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6"/>
  <workbookPr/>
  <mc:AlternateContent xmlns:mc="http://schemas.openxmlformats.org/markup-compatibility/2006">
    <mc:Choice Requires="x15">
      <x15ac:absPath xmlns:x15ac="http://schemas.microsoft.com/office/spreadsheetml/2010/11/ac" url="https://icbfgob.sharepoint.com/sites/icbf-tic-antioquia/Documentos compartidos/PARA-COMPARTIR-A-ICBF-CZ-EAS/2025/CONTRATACION 2025/IP004 LOTE 2 ADJUDICADAS , DESIERTAS/ADJUDICADAS 101/"/>
    </mc:Choice>
  </mc:AlternateContent>
  <xr:revisionPtr revIDLastSave="2160" documentId="13_ncr:1_{7E2A9239-E320-41CA-BEAC-5C329E221A96}" xr6:coauthVersionLast="47" xr6:coauthVersionMax="47" xr10:uidLastSave="{54358ED3-51E3-4233-9707-8280C7726243}"/>
  <bookViews>
    <workbookView xWindow="3465" yWindow="-11640" windowWidth="20730" windowHeight="11040" firstSheet="2" activeTab="2" xr2:uid="{91390798-AEE6-4CE0-9B31-9EC60D37A6D2}"/>
  </bookViews>
  <sheets>
    <sheet name="Costeo_Seleccionados_IP004" sheetId="1" r:id="rId1"/>
    <sheet name="Costeo_Sin Asignacion" sheetId="13" r:id="rId2"/>
    <sheet name="Etnicas" sheetId="14" r:id="rId3"/>
    <sheet name="TD" sheetId="10" r:id="rId4"/>
    <sheet name="Hoja1" sheetId="11" r:id="rId5"/>
  </sheets>
  <externalReferences>
    <externalReference r:id="rId6"/>
  </externalReferences>
  <definedNames>
    <definedName name="_xlnm._FilterDatabase" localSheetId="1" hidden="1">'Costeo_Sin Asignacion'!$A$19:$BH$561</definedName>
    <definedName name="_xlnm._FilterDatabase" localSheetId="4" hidden="1">Hoja1!$A$1:$F$121</definedName>
  </definedNames>
  <calcPr calcId="191028"/>
  <pivotCaches>
    <pivotCache cacheId="3984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2" i="14" l="1"/>
  <c r="X23" i="14"/>
  <c r="X24" i="14"/>
  <c r="X25" i="14"/>
  <c r="X26" i="14"/>
  <c r="X27" i="14"/>
  <c r="X28" i="14"/>
  <c r="X29" i="14"/>
  <c r="X30" i="14"/>
  <c r="X31" i="14"/>
  <c r="X32" i="14"/>
  <c r="X33" i="14"/>
  <c r="X34" i="14"/>
  <c r="X35" i="14"/>
  <c r="X36" i="14"/>
  <c r="X37" i="14"/>
  <c r="X38" i="14"/>
  <c r="X39" i="14"/>
  <c r="X40" i="14"/>
  <c r="X41" i="14"/>
  <c r="X42" i="14"/>
  <c r="X43" i="14"/>
  <c r="X44" i="14"/>
  <c r="X45" i="14"/>
  <c r="X46" i="14"/>
  <c r="X47" i="14"/>
  <c r="X48" i="14"/>
  <c r="X49" i="14"/>
  <c r="X50" i="14"/>
  <c r="X51" i="14"/>
  <c r="X52" i="14"/>
  <c r="X53" i="14"/>
  <c r="X54" i="14"/>
  <c r="X55" i="14"/>
  <c r="X56" i="14"/>
  <c r="X57" i="14"/>
  <c r="X58" i="14"/>
  <c r="X59" i="14"/>
  <c r="X60" i="14"/>
  <c r="X61" i="14"/>
  <c r="X62" i="14"/>
  <c r="X63" i="14"/>
  <c r="X64" i="14"/>
  <c r="X65" i="14"/>
  <c r="X66" i="14"/>
  <c r="X67" i="14"/>
  <c r="X68" i="14"/>
  <c r="X69" i="14"/>
  <c r="X70" i="14"/>
  <c r="X71" i="14"/>
  <c r="X72" i="14"/>
  <c r="X73" i="14"/>
  <c r="X74" i="14"/>
  <c r="X75" i="14"/>
  <c r="X76" i="14"/>
  <c r="X77" i="14"/>
  <c r="X78" i="14"/>
  <c r="X79" i="14"/>
  <c r="X80" i="14"/>
  <c r="X81" i="14"/>
  <c r="X82" i="14"/>
  <c r="X83" i="14"/>
  <c r="X84" i="14"/>
  <c r="X85" i="14"/>
  <c r="X86" i="14"/>
  <c r="X87" i="14"/>
  <c r="X88" i="14"/>
  <c r="X89" i="14"/>
  <c r="X90" i="14"/>
  <c r="X91" i="14"/>
  <c r="X92" i="14"/>
  <c r="X93" i="14"/>
  <c r="X94" i="14"/>
  <c r="X95" i="14"/>
  <c r="X96" i="14"/>
  <c r="X97" i="14"/>
  <c r="X98" i="14"/>
  <c r="X99" i="14"/>
  <c r="X100" i="14"/>
  <c r="X101" i="14"/>
  <c r="X102" i="14"/>
  <c r="X103" i="14"/>
  <c r="X104" i="14"/>
  <c r="X105" i="14"/>
  <c r="X106" i="14"/>
  <c r="X107" i="14"/>
  <c r="X108" i="14"/>
  <c r="X109" i="14"/>
  <c r="X110" i="14"/>
  <c r="X111" i="14"/>
  <c r="X112" i="14"/>
  <c r="X113" i="14"/>
  <c r="X114" i="14"/>
  <c r="X115" i="14"/>
  <c r="X116" i="14"/>
  <c r="X117" i="14"/>
  <c r="X118" i="14"/>
  <c r="X119" i="14"/>
  <c r="X120" i="14"/>
  <c r="X121" i="14"/>
  <c r="X122" i="14"/>
  <c r="X123" i="14"/>
  <c r="X124" i="14"/>
  <c r="X125" i="14"/>
  <c r="X126" i="14"/>
  <c r="X127" i="14"/>
  <c r="X128" i="14"/>
  <c r="X129" i="14"/>
  <c r="X130" i="14"/>
  <c r="X131" i="14"/>
  <c r="X132" i="14"/>
  <c r="X133" i="14"/>
  <c r="X134" i="14"/>
  <c r="X135" i="14"/>
  <c r="X136" i="14"/>
  <c r="X137" i="14"/>
  <c r="X138" i="14"/>
  <c r="X139" i="14"/>
  <c r="X140" i="14"/>
  <c r="X141" i="14"/>
  <c r="X142" i="14"/>
  <c r="X143" i="14"/>
  <c r="X144" i="14"/>
  <c r="X145" i="14"/>
  <c r="X146" i="14"/>
  <c r="X147" i="14"/>
  <c r="X148" i="14"/>
  <c r="X149" i="14"/>
  <c r="X150" i="14"/>
  <c r="X151" i="14"/>
  <c r="X152" i="14"/>
  <c r="X153" i="14"/>
  <c r="X154" i="14"/>
  <c r="X155" i="14"/>
  <c r="X156" i="14"/>
  <c r="X157" i="14"/>
  <c r="X158" i="14"/>
  <c r="X159" i="14"/>
  <c r="X160" i="14"/>
  <c r="X161" i="14"/>
  <c r="X162" i="14"/>
  <c r="X163" i="14"/>
  <c r="X164" i="14"/>
  <c r="X165" i="14"/>
  <c r="X166" i="14"/>
  <c r="X167" i="14"/>
  <c r="X168" i="14"/>
  <c r="X169" i="14"/>
  <c r="X170" i="14"/>
  <c r="X171" i="14"/>
  <c r="X172" i="14"/>
  <c r="X173" i="14"/>
  <c r="X174" i="14"/>
  <c r="X175" i="14"/>
  <c r="X176" i="14"/>
  <c r="X177" i="14"/>
  <c r="X178" i="14"/>
  <c r="X179" i="14"/>
  <c r="X180" i="14"/>
  <c r="X181" i="14"/>
  <c r="X182" i="14"/>
  <c r="X183" i="14"/>
  <c r="X184" i="14"/>
  <c r="X185" i="14"/>
  <c r="X186" i="14"/>
  <c r="X187" i="14"/>
  <c r="X188" i="14"/>
  <c r="X189" i="14"/>
  <c r="X190" i="14"/>
  <c r="X191" i="14"/>
  <c r="X192" i="14"/>
  <c r="X193" i="14"/>
  <c r="X194" i="14"/>
  <c r="X195" i="14"/>
  <c r="X196" i="14"/>
  <c r="X197" i="14"/>
  <c r="X198" i="14"/>
  <c r="X199" i="14"/>
  <c r="X200" i="14"/>
  <c r="X201" i="14"/>
  <c r="X202" i="14"/>
  <c r="X203" i="14"/>
  <c r="X204" i="14"/>
  <c r="X205" i="14"/>
  <c r="X206" i="14"/>
  <c r="X207" i="14"/>
  <c r="X208" i="14"/>
  <c r="X209" i="14"/>
  <c r="X210" i="14"/>
  <c r="X211" i="14"/>
  <c r="X212" i="14"/>
  <c r="X213" i="14"/>
  <c r="X214" i="14"/>
  <c r="X215" i="14"/>
  <c r="X216" i="14"/>
  <c r="X217" i="14"/>
  <c r="X218" i="14"/>
  <c r="X219" i="14"/>
  <c r="X220" i="14"/>
  <c r="X221" i="14"/>
  <c r="X222" i="14"/>
  <c r="X223" i="14"/>
  <c r="X224" i="14"/>
  <c r="X225" i="14"/>
  <c r="X226" i="14"/>
  <c r="X227" i="14"/>
  <c r="X228" i="14"/>
  <c r="X229" i="14"/>
  <c r="X230" i="14"/>
  <c r="X231" i="14"/>
  <c r="X232" i="14"/>
  <c r="X233" i="14"/>
  <c r="X234" i="14"/>
  <c r="X235" i="14"/>
  <c r="X236" i="14"/>
  <c r="X237" i="14"/>
  <c r="X238" i="14"/>
  <c r="X239" i="14"/>
  <c r="X240" i="14"/>
  <c r="X241" i="14"/>
  <c r="X242" i="14"/>
  <c r="X243" i="14"/>
  <c r="X244" i="14"/>
  <c r="X245" i="14"/>
  <c r="X246" i="14"/>
  <c r="X247" i="14"/>
  <c r="X248" i="14"/>
  <c r="X249" i="14"/>
  <c r="X250" i="14"/>
  <c r="X251" i="14"/>
  <c r="X252" i="14"/>
  <c r="X253" i="14"/>
  <c r="X254" i="14"/>
  <c r="X255" i="14"/>
  <c r="X256" i="14"/>
  <c r="X257" i="14"/>
  <c r="X258" i="14"/>
  <c r="X259" i="14"/>
  <c r="X260" i="14"/>
  <c r="X261" i="14"/>
  <c r="X262" i="14"/>
  <c r="X263" i="14"/>
  <c r="X264" i="14"/>
  <c r="X265" i="14"/>
  <c r="X266" i="14"/>
  <c r="X267" i="14"/>
  <c r="X268" i="14"/>
  <c r="X269" i="14"/>
  <c r="X270" i="14"/>
  <c r="X271" i="14"/>
  <c r="X272" i="14"/>
  <c r="X273" i="14"/>
  <c r="X274" i="14"/>
  <c r="W22" i="14"/>
  <c r="W23" i="14"/>
  <c r="W24" i="14"/>
  <c r="W25" i="14"/>
  <c r="W26" i="14"/>
  <c r="W27" i="14"/>
  <c r="W28" i="14"/>
  <c r="W29" i="14"/>
  <c r="W30" i="14"/>
  <c r="W31" i="14"/>
  <c r="W32" i="14"/>
  <c r="W33" i="14"/>
  <c r="W34" i="14"/>
  <c r="W35" i="14"/>
  <c r="W36" i="14"/>
  <c r="W37" i="14"/>
  <c r="W38" i="14"/>
  <c r="W39" i="14"/>
  <c r="W40" i="14"/>
  <c r="W41" i="14"/>
  <c r="W42" i="14"/>
  <c r="W43" i="14"/>
  <c r="W44" i="14"/>
  <c r="W45" i="14"/>
  <c r="W46" i="14"/>
  <c r="W47" i="14"/>
  <c r="W48" i="14"/>
  <c r="W49" i="14"/>
  <c r="W50" i="14"/>
  <c r="W51" i="14"/>
  <c r="W52" i="14"/>
  <c r="W53" i="14"/>
  <c r="W54" i="14"/>
  <c r="W55" i="14"/>
  <c r="W56" i="14"/>
  <c r="W57" i="14"/>
  <c r="W58" i="14"/>
  <c r="W59" i="14"/>
  <c r="W60" i="14"/>
  <c r="W61" i="14"/>
  <c r="W62" i="14"/>
  <c r="W63" i="14"/>
  <c r="W64" i="14"/>
  <c r="W65" i="14"/>
  <c r="W66" i="14"/>
  <c r="W67" i="14"/>
  <c r="W68" i="14"/>
  <c r="W69" i="14"/>
  <c r="W70" i="14"/>
  <c r="W71" i="14"/>
  <c r="W72" i="14"/>
  <c r="W73" i="14"/>
  <c r="W74" i="14"/>
  <c r="W75" i="14"/>
  <c r="W76" i="14"/>
  <c r="W77" i="14"/>
  <c r="W78" i="14"/>
  <c r="W79" i="14"/>
  <c r="W80" i="14"/>
  <c r="W81" i="14"/>
  <c r="W82" i="14"/>
  <c r="W83" i="14"/>
  <c r="W84" i="14"/>
  <c r="W85" i="14"/>
  <c r="W86" i="14"/>
  <c r="W87" i="14"/>
  <c r="W88" i="14"/>
  <c r="W89" i="14"/>
  <c r="W90" i="14"/>
  <c r="W91" i="14"/>
  <c r="W92" i="14"/>
  <c r="W93" i="14"/>
  <c r="W94" i="14"/>
  <c r="W95" i="14"/>
  <c r="W96" i="14"/>
  <c r="W97" i="14"/>
  <c r="W98" i="14"/>
  <c r="W99" i="14"/>
  <c r="W100" i="14"/>
  <c r="W101" i="14"/>
  <c r="W102" i="14"/>
  <c r="W103" i="14"/>
  <c r="W104" i="14"/>
  <c r="W105" i="14"/>
  <c r="W106" i="14"/>
  <c r="W107" i="14"/>
  <c r="W108" i="14"/>
  <c r="W109" i="14"/>
  <c r="W110" i="14"/>
  <c r="W111" i="14"/>
  <c r="W112" i="14"/>
  <c r="W113" i="14"/>
  <c r="W114" i="14"/>
  <c r="W115" i="14"/>
  <c r="W116" i="14"/>
  <c r="W117" i="14"/>
  <c r="W118" i="14"/>
  <c r="W119" i="14"/>
  <c r="W120" i="14"/>
  <c r="W121" i="14"/>
  <c r="W122" i="14"/>
  <c r="W123" i="14"/>
  <c r="W124" i="14"/>
  <c r="W125" i="14"/>
  <c r="W126" i="14"/>
  <c r="W127" i="14"/>
  <c r="W128" i="14"/>
  <c r="W129" i="14"/>
  <c r="W130" i="14"/>
  <c r="W131" i="14"/>
  <c r="W132" i="14"/>
  <c r="W133" i="14"/>
  <c r="W134" i="14"/>
  <c r="W135" i="14"/>
  <c r="W136" i="14"/>
  <c r="W137" i="14"/>
  <c r="W138" i="14"/>
  <c r="W139" i="14"/>
  <c r="W140" i="14"/>
  <c r="W141" i="14"/>
  <c r="W142" i="14"/>
  <c r="W143" i="14"/>
  <c r="W144" i="14"/>
  <c r="W145" i="14"/>
  <c r="W146" i="14"/>
  <c r="W147" i="14"/>
  <c r="W148" i="14"/>
  <c r="W149" i="14"/>
  <c r="W150" i="14"/>
  <c r="W151" i="14"/>
  <c r="W152" i="14"/>
  <c r="W153" i="14"/>
  <c r="W154" i="14"/>
  <c r="W155" i="14"/>
  <c r="W156" i="14"/>
  <c r="W157" i="14"/>
  <c r="W158" i="14"/>
  <c r="W159" i="14"/>
  <c r="W160" i="14"/>
  <c r="W161" i="14"/>
  <c r="W162" i="14"/>
  <c r="W163" i="14"/>
  <c r="W164" i="14"/>
  <c r="W165" i="14"/>
  <c r="W166" i="14"/>
  <c r="W167" i="14"/>
  <c r="W168" i="14"/>
  <c r="W169" i="14"/>
  <c r="W170" i="14"/>
  <c r="W171" i="14"/>
  <c r="W172" i="14"/>
  <c r="W173" i="14"/>
  <c r="W174" i="14"/>
  <c r="W175" i="14"/>
  <c r="W176" i="14"/>
  <c r="W177" i="14"/>
  <c r="W178" i="14"/>
  <c r="W179" i="14"/>
  <c r="W180" i="14"/>
  <c r="W181" i="14"/>
  <c r="W182" i="14"/>
  <c r="W183" i="14"/>
  <c r="W184" i="14"/>
  <c r="W185" i="14"/>
  <c r="W186" i="14"/>
  <c r="W187" i="14"/>
  <c r="W188" i="14"/>
  <c r="W189" i="14"/>
  <c r="W190" i="14"/>
  <c r="W191" i="14"/>
  <c r="W192" i="14"/>
  <c r="W193" i="14"/>
  <c r="W194" i="14"/>
  <c r="W195" i="14"/>
  <c r="W196" i="14"/>
  <c r="W197" i="14"/>
  <c r="W198" i="14"/>
  <c r="W199" i="14"/>
  <c r="W200" i="14"/>
  <c r="W201" i="14"/>
  <c r="W202" i="14"/>
  <c r="W203" i="14"/>
  <c r="W204" i="14"/>
  <c r="W205" i="14"/>
  <c r="W206" i="14"/>
  <c r="W207" i="14"/>
  <c r="W208" i="14"/>
  <c r="W209" i="14"/>
  <c r="W210" i="14"/>
  <c r="W211" i="14"/>
  <c r="W212" i="14"/>
  <c r="W213" i="14"/>
  <c r="W214" i="14"/>
  <c r="W215" i="14"/>
  <c r="W216" i="14"/>
  <c r="W217" i="14"/>
  <c r="W218" i="14"/>
  <c r="W219" i="14"/>
  <c r="W220" i="14"/>
  <c r="W221" i="14"/>
  <c r="W222" i="14"/>
  <c r="W223" i="14"/>
  <c r="W224" i="14"/>
  <c r="W225" i="14"/>
  <c r="W226" i="14"/>
  <c r="W227" i="14"/>
  <c r="W228" i="14"/>
  <c r="W229" i="14"/>
  <c r="W230" i="14"/>
  <c r="W231" i="14"/>
  <c r="W232" i="14"/>
  <c r="W233" i="14"/>
  <c r="W234" i="14"/>
  <c r="W235" i="14"/>
  <c r="W236" i="14"/>
  <c r="W237" i="14"/>
  <c r="W238" i="14"/>
  <c r="W239" i="14"/>
  <c r="W240" i="14"/>
  <c r="W241" i="14"/>
  <c r="W242" i="14"/>
  <c r="W243" i="14"/>
  <c r="W244" i="14"/>
  <c r="W245" i="14"/>
  <c r="W246" i="14"/>
  <c r="W247" i="14"/>
  <c r="W248" i="14"/>
  <c r="W249" i="14"/>
  <c r="W250" i="14"/>
  <c r="W251" i="14"/>
  <c r="W252" i="14"/>
  <c r="W253" i="14"/>
  <c r="W254" i="14"/>
  <c r="W255" i="14"/>
  <c r="W256" i="14"/>
  <c r="W257" i="14"/>
  <c r="W258" i="14"/>
  <c r="W259" i="14"/>
  <c r="W260" i="14"/>
  <c r="W261" i="14"/>
  <c r="W262" i="14"/>
  <c r="W263" i="14"/>
  <c r="W264" i="14"/>
  <c r="W265" i="14"/>
  <c r="W266" i="14"/>
  <c r="W267" i="14"/>
  <c r="W268" i="14"/>
  <c r="W269" i="14"/>
  <c r="W270" i="14"/>
  <c r="W271" i="14"/>
  <c r="W272" i="14"/>
  <c r="W273" i="14"/>
  <c r="W274" i="14"/>
  <c r="V22" i="14"/>
  <c r="V23" i="14"/>
  <c r="V24" i="14"/>
  <c r="V25" i="14"/>
  <c r="V26" i="14"/>
  <c r="V27" i="14"/>
  <c r="V28" i="14"/>
  <c r="V29" i="14"/>
  <c r="V30" i="14"/>
  <c r="V31" i="14"/>
  <c r="V32" i="14"/>
  <c r="V33" i="14"/>
  <c r="V34" i="14"/>
  <c r="V35" i="14"/>
  <c r="V36" i="14"/>
  <c r="V37" i="14"/>
  <c r="V38" i="14"/>
  <c r="V39" i="14"/>
  <c r="V40" i="14"/>
  <c r="V41" i="14"/>
  <c r="V42" i="14"/>
  <c r="V43" i="14"/>
  <c r="V44" i="14"/>
  <c r="V45" i="14"/>
  <c r="V46" i="14"/>
  <c r="V47" i="14"/>
  <c r="V48" i="14"/>
  <c r="V49" i="14"/>
  <c r="V50" i="14"/>
  <c r="V51" i="14"/>
  <c r="V52" i="14"/>
  <c r="V53" i="14"/>
  <c r="V54" i="14"/>
  <c r="V55" i="14"/>
  <c r="V56" i="14"/>
  <c r="V57" i="14"/>
  <c r="V58" i="14"/>
  <c r="V59" i="14"/>
  <c r="V60" i="14"/>
  <c r="V61" i="14"/>
  <c r="V62" i="14"/>
  <c r="V63" i="14"/>
  <c r="V64" i="14"/>
  <c r="V65" i="14"/>
  <c r="V66" i="14"/>
  <c r="V67" i="14"/>
  <c r="V68" i="14"/>
  <c r="V69" i="14"/>
  <c r="V70" i="14"/>
  <c r="V71" i="14"/>
  <c r="V72" i="14"/>
  <c r="V73" i="14"/>
  <c r="V74" i="14"/>
  <c r="V75" i="14"/>
  <c r="V76" i="14"/>
  <c r="V77" i="14"/>
  <c r="V78" i="14"/>
  <c r="V79" i="14"/>
  <c r="V80" i="14"/>
  <c r="V81" i="14"/>
  <c r="V82" i="14"/>
  <c r="V83" i="14"/>
  <c r="V84" i="14"/>
  <c r="V85" i="14"/>
  <c r="V86" i="14"/>
  <c r="V87" i="14"/>
  <c r="V88" i="14"/>
  <c r="V89" i="14"/>
  <c r="V90" i="14"/>
  <c r="V91" i="14"/>
  <c r="V92" i="14"/>
  <c r="V93" i="14"/>
  <c r="V94" i="14"/>
  <c r="V95" i="14"/>
  <c r="V96" i="14"/>
  <c r="V97" i="14"/>
  <c r="V98" i="14"/>
  <c r="V99" i="14"/>
  <c r="V100" i="14"/>
  <c r="V101" i="14"/>
  <c r="V102" i="14"/>
  <c r="V103" i="14"/>
  <c r="V104" i="14"/>
  <c r="V105" i="14"/>
  <c r="V106" i="14"/>
  <c r="V107" i="14"/>
  <c r="V108" i="14"/>
  <c r="V109" i="14"/>
  <c r="V110" i="14"/>
  <c r="V111" i="14"/>
  <c r="V112" i="14"/>
  <c r="V113" i="14"/>
  <c r="V114" i="14"/>
  <c r="V115" i="14"/>
  <c r="V116" i="14"/>
  <c r="V117" i="14"/>
  <c r="V118" i="14"/>
  <c r="V119" i="14"/>
  <c r="V120" i="14"/>
  <c r="V121" i="14"/>
  <c r="V122" i="14"/>
  <c r="V123" i="14"/>
  <c r="V124" i="14"/>
  <c r="V125" i="14"/>
  <c r="V126" i="14"/>
  <c r="V127" i="14"/>
  <c r="V128" i="14"/>
  <c r="V129" i="14"/>
  <c r="V130" i="14"/>
  <c r="V131" i="14"/>
  <c r="V132" i="14"/>
  <c r="V133" i="14"/>
  <c r="V134" i="14"/>
  <c r="V135" i="14"/>
  <c r="V136" i="14"/>
  <c r="V137" i="14"/>
  <c r="V138" i="14"/>
  <c r="V139" i="14"/>
  <c r="V140" i="14"/>
  <c r="V141" i="14"/>
  <c r="V142" i="14"/>
  <c r="V143" i="14"/>
  <c r="V144" i="14"/>
  <c r="V145" i="14"/>
  <c r="V146" i="14"/>
  <c r="V147" i="14"/>
  <c r="V148" i="14"/>
  <c r="V149" i="14"/>
  <c r="V150" i="14"/>
  <c r="V151" i="14"/>
  <c r="V152" i="14"/>
  <c r="V153" i="14"/>
  <c r="V154" i="14"/>
  <c r="V155" i="14"/>
  <c r="V156" i="14"/>
  <c r="V157" i="14"/>
  <c r="V158" i="14"/>
  <c r="V159" i="14"/>
  <c r="V160" i="14"/>
  <c r="V161" i="14"/>
  <c r="V162" i="14"/>
  <c r="V163" i="14"/>
  <c r="V164" i="14"/>
  <c r="V165" i="14"/>
  <c r="V166" i="14"/>
  <c r="V167" i="14"/>
  <c r="V168" i="14"/>
  <c r="V169" i="14"/>
  <c r="V170" i="14"/>
  <c r="V171" i="14"/>
  <c r="V172" i="14"/>
  <c r="V173" i="14"/>
  <c r="V174" i="14"/>
  <c r="V175" i="14"/>
  <c r="V176" i="14"/>
  <c r="V177" i="14"/>
  <c r="V178" i="14"/>
  <c r="V179" i="14"/>
  <c r="V180" i="14"/>
  <c r="V181" i="14"/>
  <c r="V182" i="14"/>
  <c r="V183" i="14"/>
  <c r="V184" i="14"/>
  <c r="V185" i="14"/>
  <c r="V186" i="14"/>
  <c r="V187" i="14"/>
  <c r="V188" i="14"/>
  <c r="V189" i="14"/>
  <c r="V190" i="14"/>
  <c r="V191" i="14"/>
  <c r="V192" i="14"/>
  <c r="V193" i="14"/>
  <c r="V194" i="14"/>
  <c r="V195" i="14"/>
  <c r="V196" i="14"/>
  <c r="V197" i="14"/>
  <c r="V198" i="14"/>
  <c r="V199" i="14"/>
  <c r="V200" i="14"/>
  <c r="V201" i="14"/>
  <c r="V202" i="14"/>
  <c r="V203" i="14"/>
  <c r="V204" i="14"/>
  <c r="V205" i="14"/>
  <c r="V206" i="14"/>
  <c r="V207" i="14"/>
  <c r="V208" i="14"/>
  <c r="V209" i="14"/>
  <c r="V210" i="14"/>
  <c r="V211" i="14"/>
  <c r="V212" i="14"/>
  <c r="V213" i="14"/>
  <c r="V214" i="14"/>
  <c r="V215" i="14"/>
  <c r="V216" i="14"/>
  <c r="V217" i="14"/>
  <c r="V218" i="14"/>
  <c r="V219" i="14"/>
  <c r="V220" i="14"/>
  <c r="V221" i="14"/>
  <c r="V222" i="14"/>
  <c r="V223" i="14"/>
  <c r="V224" i="14"/>
  <c r="V225" i="14"/>
  <c r="V226" i="14"/>
  <c r="V227" i="14"/>
  <c r="V228" i="14"/>
  <c r="V229" i="14"/>
  <c r="V230" i="14"/>
  <c r="V231" i="14"/>
  <c r="V232" i="14"/>
  <c r="V233" i="14"/>
  <c r="V234" i="14"/>
  <c r="V235" i="14"/>
  <c r="V236" i="14"/>
  <c r="V237" i="14"/>
  <c r="V238" i="14"/>
  <c r="V239" i="14"/>
  <c r="V240" i="14"/>
  <c r="V241" i="14"/>
  <c r="V242" i="14"/>
  <c r="V243" i="14"/>
  <c r="V244" i="14"/>
  <c r="V245" i="14"/>
  <c r="V246" i="14"/>
  <c r="V247" i="14"/>
  <c r="V248" i="14"/>
  <c r="V249" i="14"/>
  <c r="V250" i="14"/>
  <c r="V251" i="14"/>
  <c r="V252" i="14"/>
  <c r="V253" i="14"/>
  <c r="V254" i="14"/>
  <c r="V255" i="14"/>
  <c r="V256" i="14"/>
  <c r="V257" i="14"/>
  <c r="V258" i="14"/>
  <c r="V259" i="14"/>
  <c r="V260" i="14"/>
  <c r="V261" i="14"/>
  <c r="V262" i="14"/>
  <c r="V263" i="14"/>
  <c r="V264" i="14"/>
  <c r="V265" i="14"/>
  <c r="V266" i="14"/>
  <c r="V267" i="14"/>
  <c r="V268" i="14"/>
  <c r="V269" i="14"/>
  <c r="V270" i="14"/>
  <c r="V271" i="14"/>
  <c r="V272" i="14"/>
  <c r="V273" i="14"/>
  <c r="V274" i="14"/>
  <c r="BC23" i="14" l="1"/>
  <c r="BC24" i="14"/>
  <c r="BC25" i="14"/>
  <c r="BC26" i="14"/>
  <c r="BC27" i="14"/>
  <c r="BC28" i="14"/>
  <c r="BC29" i="14"/>
  <c r="BC30" i="14"/>
  <c r="BC31" i="14"/>
  <c r="BC32" i="14"/>
  <c r="BC53" i="14"/>
  <c r="BC54" i="14"/>
  <c r="BC55" i="14"/>
  <c r="BC56" i="14"/>
  <c r="BC57" i="14"/>
  <c r="BC58" i="14"/>
  <c r="BC59" i="14"/>
  <c r="BC60" i="14"/>
  <c r="BC61" i="14"/>
  <c r="BC62" i="14"/>
  <c r="BC63" i="14"/>
  <c r="BC64" i="14"/>
  <c r="BC65" i="14"/>
  <c r="BC66" i="14"/>
  <c r="BC67" i="14"/>
  <c r="BC68" i="14"/>
  <c r="BC69" i="14"/>
  <c r="BC70" i="14"/>
  <c r="BC71" i="14"/>
  <c r="BC72" i="14"/>
  <c r="BC73" i="14"/>
  <c r="BC74" i="14"/>
  <c r="BC75" i="14"/>
  <c r="BC76" i="14"/>
  <c r="BC77" i="14"/>
  <c r="BC78" i="14"/>
  <c r="BC112" i="14"/>
  <c r="BC113" i="14"/>
  <c r="BC114" i="14"/>
  <c r="BC115" i="14"/>
  <c r="BC116" i="14"/>
  <c r="BC117" i="14"/>
  <c r="BC118" i="14"/>
  <c r="BC119" i="14"/>
  <c r="BC120" i="14"/>
  <c r="BC121" i="14"/>
  <c r="BC122" i="14"/>
  <c r="BC123" i="14"/>
  <c r="BC124" i="14"/>
  <c r="BC125" i="14"/>
  <c r="BC126" i="14"/>
  <c r="BC127" i="14"/>
  <c r="BC128" i="14"/>
  <c r="BC129" i="14"/>
  <c r="BC130" i="14"/>
  <c r="BC131" i="14"/>
  <c r="BC132" i="14"/>
  <c r="BC133" i="14"/>
  <c r="BC134" i="14"/>
  <c r="BC135" i="14"/>
  <c r="BC136" i="14"/>
  <c r="BC137" i="14"/>
  <c r="BC138" i="14"/>
  <c r="BC139" i="14"/>
  <c r="BC140" i="14"/>
  <c r="BC141" i="14"/>
  <c r="BC142" i="14"/>
  <c r="BC143" i="14"/>
  <c r="BC144" i="14"/>
  <c r="BC145" i="14"/>
  <c r="BC146" i="14"/>
  <c r="BC147" i="14"/>
  <c r="BC148" i="14"/>
  <c r="BC149" i="14"/>
  <c r="BC150" i="14"/>
  <c r="BC151" i="14"/>
  <c r="BC152" i="14"/>
  <c r="BC153" i="14"/>
  <c r="BC154" i="14"/>
  <c r="BC155" i="14"/>
  <c r="BC156" i="14"/>
  <c r="BC157" i="14"/>
  <c r="BC158" i="14"/>
  <c r="BC159" i="14"/>
  <c r="BC160" i="14"/>
  <c r="BC161" i="14"/>
  <c r="BC162" i="14"/>
  <c r="BC163" i="14"/>
  <c r="BC164" i="14"/>
  <c r="BC165" i="14"/>
  <c r="BC166" i="14"/>
  <c r="BC167" i="14"/>
  <c r="BC168" i="14"/>
  <c r="BC169" i="14"/>
  <c r="BC170" i="14"/>
  <c r="BC171" i="14"/>
  <c r="BC172" i="14"/>
  <c r="BC173" i="14"/>
  <c r="BC174" i="14"/>
  <c r="BC175" i="14"/>
  <c r="BC176" i="14"/>
  <c r="BC177" i="14"/>
  <c r="BC178" i="14"/>
  <c r="BC179" i="14"/>
  <c r="BC180" i="14"/>
  <c r="BC181" i="14"/>
  <c r="BC182" i="14"/>
  <c r="BC183" i="14"/>
  <c r="BC184" i="14"/>
  <c r="BC185" i="14"/>
  <c r="BC186" i="14"/>
  <c r="BC187" i="14"/>
  <c r="BC188" i="14"/>
  <c r="BC189" i="14"/>
  <c r="BC190" i="14"/>
  <c r="BC191" i="14"/>
  <c r="BC192" i="14"/>
  <c r="BC193" i="14"/>
  <c r="BC194" i="14"/>
  <c r="BC195" i="14"/>
  <c r="BC196" i="14"/>
  <c r="BC197" i="14"/>
  <c r="BC198" i="14"/>
  <c r="BC199" i="14"/>
  <c r="BC200" i="14"/>
  <c r="BC201" i="14"/>
  <c r="BC202" i="14"/>
  <c r="BC203" i="14"/>
  <c r="BC204" i="14"/>
  <c r="BC205" i="14"/>
  <c r="BC206" i="14"/>
  <c r="BC207" i="14"/>
  <c r="BC208" i="14"/>
  <c r="BC209" i="14"/>
  <c r="BC210" i="14"/>
  <c r="BC211" i="14"/>
  <c r="BC212" i="14"/>
  <c r="BC213" i="14"/>
  <c r="BC214" i="14"/>
  <c r="BC215" i="14"/>
  <c r="BC216" i="14"/>
  <c r="BC217" i="14"/>
  <c r="BC218" i="14"/>
  <c r="BC219" i="14"/>
  <c r="BC220" i="14"/>
  <c r="BC221" i="14"/>
  <c r="BC222" i="14"/>
  <c r="BC223" i="14"/>
  <c r="BC224" i="14"/>
  <c r="BC225" i="14"/>
  <c r="BC226" i="14"/>
  <c r="BC227" i="14"/>
  <c r="BC228" i="14"/>
  <c r="BC229" i="14"/>
  <c r="BC230" i="14"/>
  <c r="BC231" i="14"/>
  <c r="BC232" i="14"/>
  <c r="BC233" i="14"/>
  <c r="BC234" i="14"/>
  <c r="BC235" i="14"/>
  <c r="BC236" i="14"/>
  <c r="BC237" i="14"/>
  <c r="BC238" i="14"/>
  <c r="BC239" i="14"/>
  <c r="BC240" i="14"/>
  <c r="BC241" i="14"/>
  <c r="BC242" i="14"/>
  <c r="BC243" i="14"/>
  <c r="BC244" i="14"/>
  <c r="BC245" i="14"/>
  <c r="BC246" i="14"/>
  <c r="BC247" i="14"/>
  <c r="BC248" i="14"/>
  <c r="BC249" i="14"/>
  <c r="BC250" i="14"/>
  <c r="BC251" i="14"/>
  <c r="BC252" i="14"/>
  <c r="BC253" i="14"/>
  <c r="BC254" i="14"/>
  <c r="BC255" i="14"/>
  <c r="BC256" i="14"/>
  <c r="BC257" i="14"/>
  <c r="BC258" i="14"/>
  <c r="BC259" i="14"/>
  <c r="BC260" i="14"/>
  <c r="BC261" i="14"/>
  <c r="BC262" i="14"/>
  <c r="BC263" i="14"/>
  <c r="BC264" i="14"/>
  <c r="BC265" i="14"/>
  <c r="BC266" i="14"/>
  <c r="BC267" i="14"/>
  <c r="BC268" i="14"/>
  <c r="BC269" i="14"/>
  <c r="BC270" i="14"/>
  <c r="BC271" i="14"/>
  <c r="BC272" i="14"/>
  <c r="BC273" i="14"/>
  <c r="BC274" i="14"/>
  <c r="BC22" i="14"/>
  <c r="BC335" i="1"/>
  <c r="BC336" i="1"/>
  <c r="BC337" i="1"/>
  <c r="BC338" i="1"/>
  <c r="BC339" i="1"/>
  <c r="BC340" i="1"/>
  <c r="BC341" i="1"/>
  <c r="BC342" i="1"/>
  <c r="BC343" i="1"/>
  <c r="BC344" i="1"/>
  <c r="BC345" i="1"/>
  <c r="BC346" i="1"/>
  <c r="BC347" i="1"/>
  <c r="BC348" i="1"/>
  <c r="BC349" i="1"/>
  <c r="BC350" i="1"/>
  <c r="BC351" i="1"/>
  <c r="BC352" i="1"/>
  <c r="BC353" i="1"/>
  <c r="BC334" i="1"/>
  <c r="AY33" i="14" l="1"/>
  <c r="AY34" i="14"/>
  <c r="AY35" i="14"/>
  <c r="AY36" i="14"/>
  <c r="AY37" i="14"/>
  <c r="AY38" i="14"/>
  <c r="AY39" i="14"/>
  <c r="AY40" i="14"/>
  <c r="AY41" i="14"/>
  <c r="AY42" i="14"/>
  <c r="AY43" i="14"/>
  <c r="AY44" i="14"/>
  <c r="AY45" i="14"/>
  <c r="AY46" i="14"/>
  <c r="AY47" i="14"/>
  <c r="AY48" i="14"/>
  <c r="AY49" i="14"/>
  <c r="AY50" i="14"/>
  <c r="AY51" i="14"/>
  <c r="AY52" i="14"/>
  <c r="AY54" i="14"/>
  <c r="AY55" i="14"/>
  <c r="AY56" i="14"/>
  <c r="AY57" i="14"/>
  <c r="AY58" i="14"/>
  <c r="AY59" i="14"/>
  <c r="AY60" i="14"/>
  <c r="AY61" i="14"/>
  <c r="AY62" i="14"/>
  <c r="AY63" i="14"/>
  <c r="AY64" i="14"/>
  <c r="AY65" i="14"/>
  <c r="AY66" i="14"/>
  <c r="AY67" i="14"/>
  <c r="AY68" i="14"/>
  <c r="AY69" i="14"/>
  <c r="AY70" i="14"/>
  <c r="AY71" i="14"/>
  <c r="AY72" i="14"/>
  <c r="AY73" i="14"/>
  <c r="AY74" i="14"/>
  <c r="AY75" i="14"/>
  <c r="AY76" i="14"/>
  <c r="AY77" i="14"/>
  <c r="AY78" i="14"/>
  <c r="AY79" i="14"/>
  <c r="AY80" i="14"/>
  <c r="AY81" i="14"/>
  <c r="AY82" i="14"/>
  <c r="AY83" i="14"/>
  <c r="AY84" i="14"/>
  <c r="AY85" i="14"/>
  <c r="AY86" i="14"/>
  <c r="AY87" i="14"/>
  <c r="AY88" i="14"/>
  <c r="AY89" i="14"/>
  <c r="AY90" i="14"/>
  <c r="AY91" i="14"/>
  <c r="AY92" i="14"/>
  <c r="AY93" i="14"/>
  <c r="AY94" i="14"/>
  <c r="AY95" i="14"/>
  <c r="AY96" i="14"/>
  <c r="AY97" i="14"/>
  <c r="AY98" i="14"/>
  <c r="AY99" i="14"/>
  <c r="AY100" i="14"/>
  <c r="AY101" i="14"/>
  <c r="AY102" i="14"/>
  <c r="AY103" i="14"/>
  <c r="AY104" i="14"/>
  <c r="AY105" i="14"/>
  <c r="AY106" i="14"/>
  <c r="AY107" i="14"/>
  <c r="AY108" i="14"/>
  <c r="AY109" i="14"/>
  <c r="AY110" i="14"/>
  <c r="AY111" i="14"/>
  <c r="AY112" i="14"/>
  <c r="AY113" i="14"/>
  <c r="AY114" i="14"/>
  <c r="AY115" i="14"/>
  <c r="AY116" i="14"/>
  <c r="AY117" i="14"/>
  <c r="AY118" i="14"/>
  <c r="AY119" i="14"/>
  <c r="AY120" i="14"/>
  <c r="AY121" i="14"/>
  <c r="AY122" i="14"/>
  <c r="AY123" i="14"/>
  <c r="AY124" i="14"/>
  <c r="AY127" i="14"/>
  <c r="AY128" i="14"/>
  <c r="AY129" i="14"/>
  <c r="AY130" i="14"/>
  <c r="AY131" i="14"/>
  <c r="AY133" i="14"/>
  <c r="AY135" i="14"/>
  <c r="AY136" i="14"/>
  <c r="AY137" i="14"/>
  <c r="AY138" i="14"/>
  <c r="AY139" i="14"/>
  <c r="AY140" i="14"/>
  <c r="AY141" i="14"/>
  <c r="AY142" i="14"/>
  <c r="AY143" i="14"/>
  <c r="AY144" i="14"/>
  <c r="AY145" i="14"/>
  <c r="AY146" i="14"/>
  <c r="AY147" i="14"/>
  <c r="AY148" i="14"/>
  <c r="AY149" i="14"/>
  <c r="AY150" i="14"/>
  <c r="AY151" i="14"/>
  <c r="AY152" i="14"/>
  <c r="AY153" i="14"/>
  <c r="AY154" i="14"/>
  <c r="AY155" i="14"/>
  <c r="AY156" i="14"/>
  <c r="AY157" i="14"/>
  <c r="AY158" i="14"/>
  <c r="AY159" i="14"/>
  <c r="AY160" i="14"/>
  <c r="AY161" i="14"/>
  <c r="AY162" i="14"/>
  <c r="AY163" i="14"/>
  <c r="AY164" i="14"/>
  <c r="AY165" i="14"/>
  <c r="AY166" i="14"/>
  <c r="AY167" i="14"/>
  <c r="AY168" i="14"/>
  <c r="AY169" i="14"/>
  <c r="AY170" i="14"/>
  <c r="AY171" i="14"/>
  <c r="AY172" i="14"/>
  <c r="AY173" i="14"/>
  <c r="AY174" i="14"/>
  <c r="AY175" i="14"/>
  <c r="AY176" i="14"/>
  <c r="AY177" i="14"/>
  <c r="AY178" i="14"/>
  <c r="AY180" i="14"/>
  <c r="AY181" i="14"/>
  <c r="AY182" i="14"/>
  <c r="AY183" i="14"/>
  <c r="AY184" i="14"/>
  <c r="AY185" i="14"/>
  <c r="AY186" i="14"/>
  <c r="AY187" i="14"/>
  <c r="AY188" i="14"/>
  <c r="AY189" i="14"/>
  <c r="AY191" i="14"/>
  <c r="AY192" i="14"/>
  <c r="AY193" i="14"/>
  <c r="AY198" i="14"/>
  <c r="AY199" i="14"/>
  <c r="AY200" i="14"/>
  <c r="AY201" i="14"/>
  <c r="AY202" i="14"/>
  <c r="AY203" i="14"/>
  <c r="AY204" i="14"/>
  <c r="AY205" i="14"/>
  <c r="AY206" i="14"/>
  <c r="AY207" i="14"/>
  <c r="AY208" i="14"/>
  <c r="AY209" i="14"/>
  <c r="AX33" i="14"/>
  <c r="AX34" i="14"/>
  <c r="AX35" i="14"/>
  <c r="AX36" i="14"/>
  <c r="AX37" i="14"/>
  <c r="AX38" i="14"/>
  <c r="AX39" i="14"/>
  <c r="AX40" i="14"/>
  <c r="AX41" i="14"/>
  <c r="AX42" i="14"/>
  <c r="AX43" i="14"/>
  <c r="AX44" i="14"/>
  <c r="AX45" i="14"/>
  <c r="AX46" i="14"/>
  <c r="AX47" i="14"/>
  <c r="AX48" i="14"/>
  <c r="AX49" i="14"/>
  <c r="AX50" i="14"/>
  <c r="AX51" i="14"/>
  <c r="AX52" i="14"/>
  <c r="AX54" i="14"/>
  <c r="AX55" i="14"/>
  <c r="AX56" i="14"/>
  <c r="AX57" i="14"/>
  <c r="AX58" i="14"/>
  <c r="AX59" i="14"/>
  <c r="AX60" i="14"/>
  <c r="AX61" i="14"/>
  <c r="AX62" i="14"/>
  <c r="AX63" i="14"/>
  <c r="AX64" i="14"/>
  <c r="AX65" i="14"/>
  <c r="AX66" i="14"/>
  <c r="AX67" i="14"/>
  <c r="AX68" i="14"/>
  <c r="AX69" i="14"/>
  <c r="AX70" i="14"/>
  <c r="AX71" i="14"/>
  <c r="AX72" i="14"/>
  <c r="AX73" i="14"/>
  <c r="AX74" i="14"/>
  <c r="AX75" i="14"/>
  <c r="AX76" i="14"/>
  <c r="AX77" i="14"/>
  <c r="AX78" i="14"/>
  <c r="AX79" i="14"/>
  <c r="AX80" i="14"/>
  <c r="AX81" i="14"/>
  <c r="AX82" i="14"/>
  <c r="AX83" i="14"/>
  <c r="AX84" i="14"/>
  <c r="AX85" i="14"/>
  <c r="AX86" i="14"/>
  <c r="AX87" i="14"/>
  <c r="AX88" i="14"/>
  <c r="AX89" i="14"/>
  <c r="AX90" i="14"/>
  <c r="AX91" i="14"/>
  <c r="AX92" i="14"/>
  <c r="AX93" i="14"/>
  <c r="AX94" i="14"/>
  <c r="AX95" i="14"/>
  <c r="AX96" i="14"/>
  <c r="AX97" i="14"/>
  <c r="AX98" i="14"/>
  <c r="AX99" i="14"/>
  <c r="AX100" i="14"/>
  <c r="AX101" i="14"/>
  <c r="AX102" i="14"/>
  <c r="AX103" i="14"/>
  <c r="AX104" i="14"/>
  <c r="AX105" i="14"/>
  <c r="AX106" i="14"/>
  <c r="AX107" i="14"/>
  <c r="AX108" i="14"/>
  <c r="AX109" i="14"/>
  <c r="AX110" i="14"/>
  <c r="AX111" i="14"/>
  <c r="AX112" i="14"/>
  <c r="AX113" i="14"/>
  <c r="AX114" i="14"/>
  <c r="AX115" i="14"/>
  <c r="AX116" i="14"/>
  <c r="AX117" i="14"/>
  <c r="AX118" i="14"/>
  <c r="AX119" i="14"/>
  <c r="AX120" i="14"/>
  <c r="AX121" i="14"/>
  <c r="AX122" i="14"/>
  <c r="AX123" i="14"/>
  <c r="AX124" i="14"/>
  <c r="AX127" i="14"/>
  <c r="AX128" i="14"/>
  <c r="AX129" i="14"/>
  <c r="AX130" i="14"/>
  <c r="AX131" i="14"/>
  <c r="AX133" i="14"/>
  <c r="AX135" i="14"/>
  <c r="AX136" i="14"/>
  <c r="AX137" i="14"/>
  <c r="AX138" i="14"/>
  <c r="AX139" i="14"/>
  <c r="AX140" i="14"/>
  <c r="AX141" i="14"/>
  <c r="AX142" i="14"/>
  <c r="AX143" i="14"/>
  <c r="AX144" i="14"/>
  <c r="AX145" i="14"/>
  <c r="AX146" i="14"/>
  <c r="AX147" i="14"/>
  <c r="AX148" i="14"/>
  <c r="AX149" i="14"/>
  <c r="AX150" i="14"/>
  <c r="AX151" i="14"/>
  <c r="AX152" i="14"/>
  <c r="AX153" i="14"/>
  <c r="AX154" i="14"/>
  <c r="AX155" i="14"/>
  <c r="AX156" i="14"/>
  <c r="AX157" i="14"/>
  <c r="AX158" i="14"/>
  <c r="AX159" i="14"/>
  <c r="AX160" i="14"/>
  <c r="AX161" i="14"/>
  <c r="AX162" i="14"/>
  <c r="AX163" i="14"/>
  <c r="AX164" i="14"/>
  <c r="AX165" i="14"/>
  <c r="AX166" i="14"/>
  <c r="AX167" i="14"/>
  <c r="AX168" i="14"/>
  <c r="AX169" i="14"/>
  <c r="AX170" i="14"/>
  <c r="AX171" i="14"/>
  <c r="AX172" i="14"/>
  <c r="AX173" i="14"/>
  <c r="AX174" i="14"/>
  <c r="AX175" i="14"/>
  <c r="AX176" i="14"/>
  <c r="AX177" i="14"/>
  <c r="AX178" i="14"/>
  <c r="AX180" i="14"/>
  <c r="AX181" i="14"/>
  <c r="AX182" i="14"/>
  <c r="AX183" i="14"/>
  <c r="AX184" i="14"/>
  <c r="AX185" i="14"/>
  <c r="AX186" i="14"/>
  <c r="AX187" i="14"/>
  <c r="AX188" i="14"/>
  <c r="AX189" i="14"/>
  <c r="AX191" i="14"/>
  <c r="AX192" i="14"/>
  <c r="AX193" i="14"/>
  <c r="AX198" i="14"/>
  <c r="AX199" i="14"/>
  <c r="AX200" i="14"/>
  <c r="AX201" i="14"/>
  <c r="AX202" i="14"/>
  <c r="AX203" i="14"/>
  <c r="AX204" i="14"/>
  <c r="AX205" i="14"/>
  <c r="AX206" i="14"/>
  <c r="AX207" i="14"/>
  <c r="AX208" i="14"/>
  <c r="AX209" i="14"/>
  <c r="AW33" i="14"/>
  <c r="AW34" i="14"/>
  <c r="AW35" i="14"/>
  <c r="AW36" i="14"/>
  <c r="AW37" i="14"/>
  <c r="AW38" i="14"/>
  <c r="AW39" i="14"/>
  <c r="AW40" i="14"/>
  <c r="AW41" i="14"/>
  <c r="AW42" i="14"/>
  <c r="AW43" i="14"/>
  <c r="AW44" i="14"/>
  <c r="AW45" i="14"/>
  <c r="AW46" i="14"/>
  <c r="AW47" i="14"/>
  <c r="AW48" i="14"/>
  <c r="AW49" i="14"/>
  <c r="AW50" i="14"/>
  <c r="AW51" i="14"/>
  <c r="AW52" i="14"/>
  <c r="AW54" i="14"/>
  <c r="AW55" i="14"/>
  <c r="AW56" i="14"/>
  <c r="AW57" i="14"/>
  <c r="AW58" i="14"/>
  <c r="AW59" i="14"/>
  <c r="AW60" i="14"/>
  <c r="AW61" i="14"/>
  <c r="AW62" i="14"/>
  <c r="AW63" i="14"/>
  <c r="AW64" i="14"/>
  <c r="AW65" i="14"/>
  <c r="AW66" i="14"/>
  <c r="AW67" i="14"/>
  <c r="AW68" i="14"/>
  <c r="AW69" i="14"/>
  <c r="AW70" i="14"/>
  <c r="AW71" i="14"/>
  <c r="AW72" i="14"/>
  <c r="AW73" i="14"/>
  <c r="AW74" i="14"/>
  <c r="AW75" i="14"/>
  <c r="AW76" i="14"/>
  <c r="AW77" i="14"/>
  <c r="AW78" i="14"/>
  <c r="AW79" i="14"/>
  <c r="AW80" i="14"/>
  <c r="AW81" i="14"/>
  <c r="AW82" i="14"/>
  <c r="AW83" i="14"/>
  <c r="AW84" i="14"/>
  <c r="AW85" i="14"/>
  <c r="AW86" i="14"/>
  <c r="AW87" i="14"/>
  <c r="AW88" i="14"/>
  <c r="AW89" i="14"/>
  <c r="AW90" i="14"/>
  <c r="AW91" i="14"/>
  <c r="AW92" i="14"/>
  <c r="AW93" i="14"/>
  <c r="AW94" i="14"/>
  <c r="AW95" i="14"/>
  <c r="AW96" i="14"/>
  <c r="AW97" i="14"/>
  <c r="AW98" i="14"/>
  <c r="AW99" i="14"/>
  <c r="AW100" i="14"/>
  <c r="AW101" i="14"/>
  <c r="AW102" i="14"/>
  <c r="AW103" i="14"/>
  <c r="AW104" i="14"/>
  <c r="AW105" i="14"/>
  <c r="AW106" i="14"/>
  <c r="AW107" i="14"/>
  <c r="AW108" i="14"/>
  <c r="AW109" i="14"/>
  <c r="AW110" i="14"/>
  <c r="AW111" i="14"/>
  <c r="AW112" i="14"/>
  <c r="AW113" i="14"/>
  <c r="AW114" i="14"/>
  <c r="AW115" i="14"/>
  <c r="AW116" i="14"/>
  <c r="AW117" i="14"/>
  <c r="AW118" i="14"/>
  <c r="AW119" i="14"/>
  <c r="AW120" i="14"/>
  <c r="AW121" i="14"/>
  <c r="AW122" i="14"/>
  <c r="AW123" i="14"/>
  <c r="AW124" i="14"/>
  <c r="AW127" i="14"/>
  <c r="AW128" i="14"/>
  <c r="AW129" i="14"/>
  <c r="AW130" i="14"/>
  <c r="AW131" i="14"/>
  <c r="AW133" i="14"/>
  <c r="AW135" i="14"/>
  <c r="AW136" i="14"/>
  <c r="AW137" i="14"/>
  <c r="AW138" i="14"/>
  <c r="AW139" i="14"/>
  <c r="AW140" i="14"/>
  <c r="AW141" i="14"/>
  <c r="AW142" i="14"/>
  <c r="AW143" i="14"/>
  <c r="AW144" i="14"/>
  <c r="AW145" i="14"/>
  <c r="AW146" i="14"/>
  <c r="AW147" i="14"/>
  <c r="AW148" i="14"/>
  <c r="AW149" i="14"/>
  <c r="AW150" i="14"/>
  <c r="AW151" i="14"/>
  <c r="AW152" i="14"/>
  <c r="AW153" i="14"/>
  <c r="AW154" i="14"/>
  <c r="AW155" i="14"/>
  <c r="AW156" i="14"/>
  <c r="AW157" i="14"/>
  <c r="AW158" i="14"/>
  <c r="AW159" i="14"/>
  <c r="AW160" i="14"/>
  <c r="AW161" i="14"/>
  <c r="AW162" i="14"/>
  <c r="AW163" i="14"/>
  <c r="AW164" i="14"/>
  <c r="AW165" i="14"/>
  <c r="AW166" i="14"/>
  <c r="AW167" i="14"/>
  <c r="AW168" i="14"/>
  <c r="AW169" i="14"/>
  <c r="AW170" i="14"/>
  <c r="AW171" i="14"/>
  <c r="AW172" i="14"/>
  <c r="AW173" i="14"/>
  <c r="AW174" i="14"/>
  <c r="AW175" i="14"/>
  <c r="AW176" i="14"/>
  <c r="AW177" i="14"/>
  <c r="AW178" i="14"/>
  <c r="AW180" i="14"/>
  <c r="AW181" i="14"/>
  <c r="AW182" i="14"/>
  <c r="AW183" i="14"/>
  <c r="AW184" i="14"/>
  <c r="AW185" i="14"/>
  <c r="AW186" i="14"/>
  <c r="AW187" i="14"/>
  <c r="AW188" i="14"/>
  <c r="AW189" i="14"/>
  <c r="AW191" i="14"/>
  <c r="AW192" i="14"/>
  <c r="AW193" i="14"/>
  <c r="AW198" i="14"/>
  <c r="AW199" i="14"/>
  <c r="AW200" i="14"/>
  <c r="AW201" i="14"/>
  <c r="AW202" i="14"/>
  <c r="AW203" i="14"/>
  <c r="AW204" i="14"/>
  <c r="AW205" i="14"/>
  <c r="AW206" i="14"/>
  <c r="AW207" i="14"/>
  <c r="AW208" i="14"/>
  <c r="AW209" i="14"/>
  <c r="AV33" i="14"/>
  <c r="AV34" i="14"/>
  <c r="AV35" i="14"/>
  <c r="AV36" i="14"/>
  <c r="AV37" i="14"/>
  <c r="AV38" i="14"/>
  <c r="AV39" i="14"/>
  <c r="AV40" i="14"/>
  <c r="AV41" i="14"/>
  <c r="AV42" i="14"/>
  <c r="AV43" i="14"/>
  <c r="AV44" i="14"/>
  <c r="AV45" i="14"/>
  <c r="AV46" i="14"/>
  <c r="AV47" i="14"/>
  <c r="AV48" i="14"/>
  <c r="AV49" i="14"/>
  <c r="AV50" i="14"/>
  <c r="AV51" i="14"/>
  <c r="AV52" i="14"/>
  <c r="AV54" i="14"/>
  <c r="AV55" i="14"/>
  <c r="AV56" i="14"/>
  <c r="AV57" i="14"/>
  <c r="AV58" i="14"/>
  <c r="AV59" i="14"/>
  <c r="AV60" i="14"/>
  <c r="AV61" i="14"/>
  <c r="AV62" i="14"/>
  <c r="AV63" i="14"/>
  <c r="AV64" i="14"/>
  <c r="AV65" i="14"/>
  <c r="AV66" i="14"/>
  <c r="AV67" i="14"/>
  <c r="AV68" i="14"/>
  <c r="AV69" i="14"/>
  <c r="AV70" i="14"/>
  <c r="AV71" i="14"/>
  <c r="AV72" i="14"/>
  <c r="AV73" i="14"/>
  <c r="AV74" i="14"/>
  <c r="AV75" i="14"/>
  <c r="AV76" i="14"/>
  <c r="AV77" i="14"/>
  <c r="AV78" i="14"/>
  <c r="AV79" i="14"/>
  <c r="AV80" i="14"/>
  <c r="AV81" i="14"/>
  <c r="AV82" i="14"/>
  <c r="AV83" i="14"/>
  <c r="AV84" i="14"/>
  <c r="AV85" i="14"/>
  <c r="AV86" i="14"/>
  <c r="AV87" i="14"/>
  <c r="AV88" i="14"/>
  <c r="AV89" i="14"/>
  <c r="AV90" i="14"/>
  <c r="AV91" i="14"/>
  <c r="AV92" i="14"/>
  <c r="AV93" i="14"/>
  <c r="AV94" i="14"/>
  <c r="AV95" i="14"/>
  <c r="AV96" i="14"/>
  <c r="AV97" i="14"/>
  <c r="AV98" i="14"/>
  <c r="AV99" i="14"/>
  <c r="AV100" i="14"/>
  <c r="AV101" i="14"/>
  <c r="AV102" i="14"/>
  <c r="AV103" i="14"/>
  <c r="AV104" i="14"/>
  <c r="AV105" i="14"/>
  <c r="AV106" i="14"/>
  <c r="AV107" i="14"/>
  <c r="AV108" i="14"/>
  <c r="AV109" i="14"/>
  <c r="AV110" i="14"/>
  <c r="AV111" i="14"/>
  <c r="AV112" i="14"/>
  <c r="AV113" i="14"/>
  <c r="AV114" i="14"/>
  <c r="AV115" i="14"/>
  <c r="AV116" i="14"/>
  <c r="AV117" i="14"/>
  <c r="AV118" i="14"/>
  <c r="AV119" i="14"/>
  <c r="AV120" i="14"/>
  <c r="AV121" i="14"/>
  <c r="AV122" i="14"/>
  <c r="AV123" i="14"/>
  <c r="AV124" i="14"/>
  <c r="AV127" i="14"/>
  <c r="AV128" i="14"/>
  <c r="AV129" i="14"/>
  <c r="AV130" i="14"/>
  <c r="AV131" i="14"/>
  <c r="AV133" i="14"/>
  <c r="AV135" i="14"/>
  <c r="AV136" i="14"/>
  <c r="AV137" i="14"/>
  <c r="AV138" i="14"/>
  <c r="AV139" i="14"/>
  <c r="AV140" i="14"/>
  <c r="AV141" i="14"/>
  <c r="AV142" i="14"/>
  <c r="AV143" i="14"/>
  <c r="AV144" i="14"/>
  <c r="AV145" i="14"/>
  <c r="AV146" i="14"/>
  <c r="AV147" i="14"/>
  <c r="AV148" i="14"/>
  <c r="AV149" i="14"/>
  <c r="AV150" i="14"/>
  <c r="AV151" i="14"/>
  <c r="AV152" i="14"/>
  <c r="AV153" i="14"/>
  <c r="AV154" i="14"/>
  <c r="AV155" i="14"/>
  <c r="AV156" i="14"/>
  <c r="AV157" i="14"/>
  <c r="AV158" i="14"/>
  <c r="AV159" i="14"/>
  <c r="AV160" i="14"/>
  <c r="AV161" i="14"/>
  <c r="AV162" i="14"/>
  <c r="AV163" i="14"/>
  <c r="AV164" i="14"/>
  <c r="AV165" i="14"/>
  <c r="AV166" i="14"/>
  <c r="AV167" i="14"/>
  <c r="AV168" i="14"/>
  <c r="AV169" i="14"/>
  <c r="AV170" i="14"/>
  <c r="AV171" i="14"/>
  <c r="AV172" i="14"/>
  <c r="AV173" i="14"/>
  <c r="AV174" i="14"/>
  <c r="AV175" i="14"/>
  <c r="AV176" i="14"/>
  <c r="AV177" i="14"/>
  <c r="AV178" i="14"/>
  <c r="AV180" i="14"/>
  <c r="AV181" i="14"/>
  <c r="AV182" i="14"/>
  <c r="AV183" i="14"/>
  <c r="AV184" i="14"/>
  <c r="AV185" i="14"/>
  <c r="AV186" i="14"/>
  <c r="AV187" i="14"/>
  <c r="AV188" i="14"/>
  <c r="AV189" i="14"/>
  <c r="AV191" i="14"/>
  <c r="AV192" i="14"/>
  <c r="AV193" i="14"/>
  <c r="AV198" i="14"/>
  <c r="AV199" i="14"/>
  <c r="AV200" i="14"/>
  <c r="AV201" i="14"/>
  <c r="AV202" i="14"/>
  <c r="AV203" i="14"/>
  <c r="AV204" i="14"/>
  <c r="AV205" i="14"/>
  <c r="AV206" i="14"/>
  <c r="AV207" i="14"/>
  <c r="AV208" i="14"/>
  <c r="AV209" i="14"/>
  <c r="AU33" i="14"/>
  <c r="AU34" i="14"/>
  <c r="AU35" i="14"/>
  <c r="AU36" i="14"/>
  <c r="AU37" i="14"/>
  <c r="AU38" i="14"/>
  <c r="AU39" i="14"/>
  <c r="AU40" i="14"/>
  <c r="AU41" i="14"/>
  <c r="AU42" i="14"/>
  <c r="AU43" i="14"/>
  <c r="AU44" i="14"/>
  <c r="AU45" i="14"/>
  <c r="AU46" i="14"/>
  <c r="AU47" i="14"/>
  <c r="AU48" i="14"/>
  <c r="AU49" i="14"/>
  <c r="AU50" i="14"/>
  <c r="AU51" i="14"/>
  <c r="AU52" i="14"/>
  <c r="AU54" i="14"/>
  <c r="AU55" i="14"/>
  <c r="AU56" i="14"/>
  <c r="AU57" i="14"/>
  <c r="AU58" i="14"/>
  <c r="AU59" i="14"/>
  <c r="AU60" i="14"/>
  <c r="AU61" i="14"/>
  <c r="AU62" i="14"/>
  <c r="AU63" i="14"/>
  <c r="AU64" i="14"/>
  <c r="AU65" i="14"/>
  <c r="AU66" i="14"/>
  <c r="AU67" i="14"/>
  <c r="AU68" i="14"/>
  <c r="AU69" i="14"/>
  <c r="AU70" i="14"/>
  <c r="AU71" i="14"/>
  <c r="AU72" i="14"/>
  <c r="AU73" i="14"/>
  <c r="AU74" i="14"/>
  <c r="AU75" i="14"/>
  <c r="AU76" i="14"/>
  <c r="AU77" i="14"/>
  <c r="AU78" i="14"/>
  <c r="AU79" i="14"/>
  <c r="AU80" i="14"/>
  <c r="AU81" i="14"/>
  <c r="AU82" i="14"/>
  <c r="AU83" i="14"/>
  <c r="AU84" i="14"/>
  <c r="AU85" i="14"/>
  <c r="AU86" i="14"/>
  <c r="AU87" i="14"/>
  <c r="AU88" i="14"/>
  <c r="AU89" i="14"/>
  <c r="AU90" i="14"/>
  <c r="AU91" i="14"/>
  <c r="AU92" i="14"/>
  <c r="AU93" i="14"/>
  <c r="AU94" i="14"/>
  <c r="AU95" i="14"/>
  <c r="AU96" i="14"/>
  <c r="AU97" i="14"/>
  <c r="AU98" i="14"/>
  <c r="AU99" i="14"/>
  <c r="AU100" i="14"/>
  <c r="AU101" i="14"/>
  <c r="AU102" i="14"/>
  <c r="AU103" i="14"/>
  <c r="AU104" i="14"/>
  <c r="AU105" i="14"/>
  <c r="AU106" i="14"/>
  <c r="AU107" i="14"/>
  <c r="AU108" i="14"/>
  <c r="AU109" i="14"/>
  <c r="AU110" i="14"/>
  <c r="AU111" i="14"/>
  <c r="AU112" i="14"/>
  <c r="AU113" i="14"/>
  <c r="AU114" i="14"/>
  <c r="AU115" i="14"/>
  <c r="AU116" i="14"/>
  <c r="AU117" i="14"/>
  <c r="AU118" i="14"/>
  <c r="AU119" i="14"/>
  <c r="AU120" i="14"/>
  <c r="AU121" i="14"/>
  <c r="AU122" i="14"/>
  <c r="AU123" i="14"/>
  <c r="AU124" i="14"/>
  <c r="AU127" i="14"/>
  <c r="AU128" i="14"/>
  <c r="AU129" i="14"/>
  <c r="AU130" i="14"/>
  <c r="AU131" i="14"/>
  <c r="AU133" i="14"/>
  <c r="AU135" i="14"/>
  <c r="AU136" i="14"/>
  <c r="AU137" i="14"/>
  <c r="AU138" i="14"/>
  <c r="AU139" i="14"/>
  <c r="AU140" i="14"/>
  <c r="AU141" i="14"/>
  <c r="AU142" i="14"/>
  <c r="AU143" i="14"/>
  <c r="AU144" i="14"/>
  <c r="AU145" i="14"/>
  <c r="AU146" i="14"/>
  <c r="AU147" i="14"/>
  <c r="AU148" i="14"/>
  <c r="AU149" i="14"/>
  <c r="AU150" i="14"/>
  <c r="AU151" i="14"/>
  <c r="AU152" i="14"/>
  <c r="AU153" i="14"/>
  <c r="AU154" i="14"/>
  <c r="AU155" i="14"/>
  <c r="AU156" i="14"/>
  <c r="AU157" i="14"/>
  <c r="AU158" i="14"/>
  <c r="AU159" i="14"/>
  <c r="AU160" i="14"/>
  <c r="AU161" i="14"/>
  <c r="AU162" i="14"/>
  <c r="AU163" i="14"/>
  <c r="AU164" i="14"/>
  <c r="AU165" i="14"/>
  <c r="AU166" i="14"/>
  <c r="AU167" i="14"/>
  <c r="AU168" i="14"/>
  <c r="AU169" i="14"/>
  <c r="AU170" i="14"/>
  <c r="AU171" i="14"/>
  <c r="AU172" i="14"/>
  <c r="AU173" i="14"/>
  <c r="AU174" i="14"/>
  <c r="AU175" i="14"/>
  <c r="AU176" i="14"/>
  <c r="AU177" i="14"/>
  <c r="AU178" i="14"/>
  <c r="AU180" i="14"/>
  <c r="AU181" i="14"/>
  <c r="AU182" i="14"/>
  <c r="AU183" i="14"/>
  <c r="AU184" i="14"/>
  <c r="AU185" i="14"/>
  <c r="AU186" i="14"/>
  <c r="AU187" i="14"/>
  <c r="AU188" i="14"/>
  <c r="AU189" i="14"/>
  <c r="AU191" i="14"/>
  <c r="AU192" i="14"/>
  <c r="AU193" i="14"/>
  <c r="AU198" i="14"/>
  <c r="AU199" i="14"/>
  <c r="AU200" i="14"/>
  <c r="AU201" i="14"/>
  <c r="AU202" i="14"/>
  <c r="AU203" i="14"/>
  <c r="AU204" i="14"/>
  <c r="AU205" i="14"/>
  <c r="AU206" i="14"/>
  <c r="AU207" i="14"/>
  <c r="AU208" i="14"/>
  <c r="AU209" i="14"/>
  <c r="AQ22" i="14"/>
  <c r="AQ23" i="14"/>
  <c r="AQ24" i="14"/>
  <c r="AY24" i="14" s="1"/>
  <c r="AQ25" i="14"/>
  <c r="AV25" i="14" s="1"/>
  <c r="AQ26" i="14"/>
  <c r="AQ27" i="14"/>
  <c r="AX27" i="14" s="1"/>
  <c r="AQ28" i="14"/>
  <c r="AU28" i="14" s="1"/>
  <c r="AQ29" i="14"/>
  <c r="AQ30" i="14"/>
  <c r="AQ31" i="14"/>
  <c r="AQ32" i="14"/>
  <c r="AQ53" i="14"/>
  <c r="AQ125" i="14"/>
  <c r="AQ126" i="14"/>
  <c r="AW126" i="14" s="1"/>
  <c r="AQ132" i="14"/>
  <c r="AU132" i="14" s="1"/>
  <c r="AQ134" i="14"/>
  <c r="AW134" i="14" s="1"/>
  <c r="AQ179" i="14"/>
  <c r="AX179" i="14" s="1"/>
  <c r="AQ190" i="14"/>
  <c r="AQ194" i="14"/>
  <c r="AQ195" i="14"/>
  <c r="AX195" i="14" s="1"/>
  <c r="AQ196" i="14"/>
  <c r="AU196" i="14" s="1"/>
  <c r="AQ197" i="14"/>
  <c r="AQ210" i="14"/>
  <c r="AQ211" i="14"/>
  <c r="AQ212" i="14"/>
  <c r="AU212" i="14" s="1"/>
  <c r="AQ213" i="14"/>
  <c r="AQ214" i="14"/>
  <c r="AQ215" i="14"/>
  <c r="AQ216" i="14"/>
  <c r="AY216" i="14" s="1"/>
  <c r="AQ217" i="14"/>
  <c r="AV217" i="14" s="1"/>
  <c r="AQ218" i="14"/>
  <c r="AQ219" i="14"/>
  <c r="AQ220" i="14"/>
  <c r="AU220" i="14" s="1"/>
  <c r="AQ221" i="14"/>
  <c r="AQ222" i="14"/>
  <c r="AU222" i="14" s="1"/>
  <c r="AQ223" i="14"/>
  <c r="AQ224" i="14"/>
  <c r="AQ225" i="14"/>
  <c r="AV225" i="14" s="1"/>
  <c r="AQ226" i="14"/>
  <c r="AQ227" i="14"/>
  <c r="AQ228" i="14"/>
  <c r="AQ229" i="14"/>
  <c r="AQ230" i="14"/>
  <c r="AQ231" i="14"/>
  <c r="AQ232" i="14"/>
  <c r="AQ233" i="14"/>
  <c r="AV233" i="14" s="1"/>
  <c r="AQ234" i="14"/>
  <c r="AQ235" i="14"/>
  <c r="AX235" i="14" s="1"/>
  <c r="AQ236" i="14"/>
  <c r="AQ237" i="14"/>
  <c r="AQ238" i="14"/>
  <c r="AW238" i="14" s="1"/>
  <c r="AQ239" i="14"/>
  <c r="AQ240" i="14"/>
  <c r="AQ241" i="14"/>
  <c r="AV241" i="14" s="1"/>
  <c r="AQ242" i="14"/>
  <c r="AQ243" i="14"/>
  <c r="AX243" i="14" s="1"/>
  <c r="AQ244" i="14"/>
  <c r="AU244" i="14" s="1"/>
  <c r="AQ245" i="14"/>
  <c r="AQ246" i="14"/>
  <c r="AW246" i="14" s="1"/>
  <c r="AQ247" i="14"/>
  <c r="AQ248" i="14"/>
  <c r="AY248" i="14" s="1"/>
  <c r="AQ249" i="14"/>
  <c r="AV249" i="14" s="1"/>
  <c r="AQ250" i="14"/>
  <c r="AQ251" i="14"/>
  <c r="AX251" i="14" s="1"/>
  <c r="AQ252" i="14"/>
  <c r="AU252" i="14" s="1"/>
  <c r="AQ253" i="14"/>
  <c r="AQ254" i="14"/>
  <c r="AU254" i="14" s="1"/>
  <c r="AQ255" i="14"/>
  <c r="AQ256" i="14"/>
  <c r="AY256" i="14" s="1"/>
  <c r="AQ257" i="14"/>
  <c r="AV257" i="14" s="1"/>
  <c r="AQ258" i="14"/>
  <c r="AQ259" i="14"/>
  <c r="AX259" i="14" s="1"/>
  <c r="AQ260" i="14"/>
  <c r="AQ261" i="14"/>
  <c r="AQ262" i="14"/>
  <c r="AQ263" i="14"/>
  <c r="AQ264" i="14"/>
  <c r="AQ265" i="14"/>
  <c r="AU265" i="14" s="1"/>
  <c r="AQ266" i="14"/>
  <c r="AQ267" i="14"/>
  <c r="AU267" i="14" s="1"/>
  <c r="AQ268" i="14"/>
  <c r="AQ269" i="14"/>
  <c r="AQ270" i="14"/>
  <c r="AQ271" i="14"/>
  <c r="AU271" i="14" s="1"/>
  <c r="AQ272" i="14"/>
  <c r="AU272" i="14" s="1"/>
  <c r="AQ273" i="14"/>
  <c r="AV273" i="14" s="1"/>
  <c r="AQ274" i="14"/>
  <c r="AP22" i="14"/>
  <c r="AP23" i="14"/>
  <c r="AP24" i="14"/>
  <c r="AP25" i="14"/>
  <c r="AP26" i="14"/>
  <c r="AP27" i="14"/>
  <c r="AP28" i="14"/>
  <c r="AP29" i="14"/>
  <c r="AP30" i="14"/>
  <c r="AP31" i="14"/>
  <c r="AP32" i="14"/>
  <c r="AP33" i="14"/>
  <c r="AP34" i="14"/>
  <c r="AP35" i="14"/>
  <c r="AP36" i="14"/>
  <c r="AP37" i="14"/>
  <c r="AP38" i="14"/>
  <c r="AP39" i="14"/>
  <c r="AP40" i="14"/>
  <c r="AP41" i="14"/>
  <c r="AP42" i="14"/>
  <c r="AP43" i="14"/>
  <c r="AP44" i="14"/>
  <c r="AP45" i="14"/>
  <c r="AP46" i="14"/>
  <c r="AP47" i="14"/>
  <c r="AP48" i="14"/>
  <c r="AP49" i="14"/>
  <c r="AP50" i="14"/>
  <c r="AP51" i="14"/>
  <c r="AP52" i="14"/>
  <c r="AP53" i="14"/>
  <c r="AP54" i="14"/>
  <c r="AP55" i="14"/>
  <c r="AP56" i="14"/>
  <c r="AP57" i="14"/>
  <c r="AP58" i="14"/>
  <c r="AP59" i="14"/>
  <c r="AP60" i="14"/>
  <c r="AP61" i="14"/>
  <c r="AP62" i="14"/>
  <c r="AP63" i="14"/>
  <c r="AP64" i="14"/>
  <c r="AP65" i="14"/>
  <c r="AP66" i="14"/>
  <c r="AP67" i="14"/>
  <c r="AP68" i="14"/>
  <c r="AP69" i="14"/>
  <c r="AP70" i="14"/>
  <c r="AP71" i="14"/>
  <c r="AP72" i="14"/>
  <c r="AP73" i="14"/>
  <c r="AP74" i="14"/>
  <c r="AP75" i="14"/>
  <c r="AP76" i="14"/>
  <c r="AP77" i="14"/>
  <c r="AP78" i="14"/>
  <c r="AP79" i="14"/>
  <c r="AP80" i="14"/>
  <c r="AP81" i="14"/>
  <c r="AP82" i="14"/>
  <c r="AP83" i="14"/>
  <c r="AP84" i="14"/>
  <c r="AP85" i="14"/>
  <c r="AP86" i="14"/>
  <c r="AP87" i="14"/>
  <c r="AP88" i="14"/>
  <c r="AP89" i="14"/>
  <c r="AP90" i="14"/>
  <c r="AP91" i="14"/>
  <c r="AP92" i="14"/>
  <c r="AP93" i="14"/>
  <c r="AP94" i="14"/>
  <c r="AP95" i="14"/>
  <c r="AP96" i="14"/>
  <c r="AP97" i="14"/>
  <c r="AP98" i="14"/>
  <c r="AP99" i="14"/>
  <c r="AP100" i="14"/>
  <c r="AP101" i="14"/>
  <c r="AP102" i="14"/>
  <c r="AP103" i="14"/>
  <c r="AP104" i="14"/>
  <c r="AP105" i="14"/>
  <c r="AP106" i="14"/>
  <c r="AP107" i="14"/>
  <c r="AP108" i="14"/>
  <c r="AP109" i="14"/>
  <c r="AP110" i="14"/>
  <c r="AP111" i="14"/>
  <c r="AP112" i="14"/>
  <c r="AP113" i="14"/>
  <c r="AP114" i="14"/>
  <c r="AP115" i="14"/>
  <c r="AP116" i="14"/>
  <c r="AP117" i="14"/>
  <c r="AP118" i="14"/>
  <c r="AP119" i="14"/>
  <c r="AP120" i="14"/>
  <c r="AP121" i="14"/>
  <c r="AP122" i="14"/>
  <c r="AP123" i="14"/>
  <c r="AP124" i="14"/>
  <c r="AP125" i="14"/>
  <c r="AP126" i="14"/>
  <c r="AP127" i="14"/>
  <c r="AP128" i="14"/>
  <c r="AP129" i="14"/>
  <c r="AP130" i="14"/>
  <c r="AP131" i="14"/>
  <c r="AP132" i="14"/>
  <c r="AP133" i="14"/>
  <c r="AP134" i="14"/>
  <c r="AP135" i="14"/>
  <c r="AP136" i="14"/>
  <c r="AP137" i="14"/>
  <c r="AP138" i="14"/>
  <c r="AP139" i="14"/>
  <c r="AP140" i="14"/>
  <c r="AP141" i="14"/>
  <c r="AP142" i="14"/>
  <c r="AP143" i="14"/>
  <c r="AP144" i="14"/>
  <c r="AP145" i="14"/>
  <c r="AP146" i="14"/>
  <c r="AP147" i="14"/>
  <c r="AP148" i="14"/>
  <c r="AP149" i="14"/>
  <c r="AP150" i="14"/>
  <c r="AP151" i="14"/>
  <c r="AP152" i="14"/>
  <c r="AP153" i="14"/>
  <c r="AP154" i="14"/>
  <c r="AP155" i="14"/>
  <c r="AP156" i="14"/>
  <c r="AP157" i="14"/>
  <c r="AP158" i="14"/>
  <c r="AP159" i="14"/>
  <c r="AP160" i="14"/>
  <c r="AP161" i="14"/>
  <c r="AP162" i="14"/>
  <c r="AP163" i="14"/>
  <c r="AP164" i="14"/>
  <c r="AP165" i="14"/>
  <c r="AP166" i="14"/>
  <c r="AP167" i="14"/>
  <c r="AP168" i="14"/>
  <c r="AP169" i="14"/>
  <c r="AP170" i="14"/>
  <c r="AP171" i="14"/>
  <c r="AP172" i="14"/>
  <c r="AP173" i="14"/>
  <c r="AP174" i="14"/>
  <c r="AP175" i="14"/>
  <c r="AP176" i="14"/>
  <c r="AP177" i="14"/>
  <c r="AP178" i="14"/>
  <c r="AP179" i="14"/>
  <c r="AP180" i="14"/>
  <c r="AP181" i="14"/>
  <c r="AP182" i="14"/>
  <c r="AP183" i="14"/>
  <c r="AP184" i="14"/>
  <c r="AP185" i="14"/>
  <c r="AP186" i="14"/>
  <c r="AP187" i="14"/>
  <c r="AP188" i="14"/>
  <c r="AP189" i="14"/>
  <c r="AP190" i="14"/>
  <c r="AP191" i="14"/>
  <c r="AP192" i="14"/>
  <c r="AP193" i="14"/>
  <c r="AP194" i="14"/>
  <c r="AP195" i="14"/>
  <c r="AP196" i="14"/>
  <c r="AP197" i="14"/>
  <c r="AP198" i="14"/>
  <c r="AP199" i="14"/>
  <c r="AP200" i="14"/>
  <c r="AP201" i="14"/>
  <c r="AP202" i="14"/>
  <c r="AP203" i="14"/>
  <c r="AP204" i="14"/>
  <c r="AP205" i="14"/>
  <c r="AP206" i="14"/>
  <c r="AP207" i="14"/>
  <c r="AP208" i="14"/>
  <c r="AP209" i="14"/>
  <c r="AP210" i="14"/>
  <c r="AP211" i="14"/>
  <c r="AP212" i="14"/>
  <c r="AP213" i="14"/>
  <c r="AP214" i="14"/>
  <c r="AP215" i="14"/>
  <c r="AP216" i="14"/>
  <c r="AP217" i="14"/>
  <c r="AP218" i="14"/>
  <c r="AP219" i="14"/>
  <c r="AP220" i="14"/>
  <c r="AP221" i="14"/>
  <c r="AP222" i="14"/>
  <c r="AP223" i="14"/>
  <c r="AP224" i="14"/>
  <c r="AP225" i="14"/>
  <c r="AP226" i="14"/>
  <c r="AP227" i="14"/>
  <c r="AP228" i="14"/>
  <c r="AP229" i="14"/>
  <c r="AP230" i="14"/>
  <c r="AP231" i="14"/>
  <c r="AP232" i="14"/>
  <c r="AP233" i="14"/>
  <c r="AP234" i="14"/>
  <c r="AP235" i="14"/>
  <c r="AP236" i="14"/>
  <c r="AP237" i="14"/>
  <c r="AP238" i="14"/>
  <c r="AP239" i="14"/>
  <c r="AP240" i="14"/>
  <c r="AP241" i="14"/>
  <c r="AP242" i="14"/>
  <c r="AP243" i="14"/>
  <c r="AP244" i="14"/>
  <c r="AP245" i="14"/>
  <c r="AP246" i="14"/>
  <c r="AP247" i="14"/>
  <c r="AP248" i="14"/>
  <c r="AP249" i="14"/>
  <c r="AP250" i="14"/>
  <c r="AP251" i="14"/>
  <c r="AP252" i="14"/>
  <c r="AP253" i="14"/>
  <c r="AP254" i="14"/>
  <c r="AP255" i="14"/>
  <c r="AP256" i="14"/>
  <c r="AP257" i="14"/>
  <c r="AP258" i="14"/>
  <c r="AP259" i="14"/>
  <c r="AP260" i="14"/>
  <c r="AP261" i="14"/>
  <c r="AP262" i="14"/>
  <c r="AP263" i="14"/>
  <c r="AP264" i="14"/>
  <c r="AP265" i="14"/>
  <c r="AP266" i="14"/>
  <c r="AP267" i="14"/>
  <c r="AP268" i="14"/>
  <c r="AP269" i="14"/>
  <c r="AP270" i="14"/>
  <c r="AP271" i="14"/>
  <c r="AP272" i="14"/>
  <c r="AP273" i="14"/>
  <c r="AP274" i="14"/>
  <c r="AO23" i="14"/>
  <c r="AO24" i="14"/>
  <c r="AO25" i="14"/>
  <c r="AO26" i="14"/>
  <c r="AO28" i="14"/>
  <c r="AO29" i="14"/>
  <c r="AO30" i="14"/>
  <c r="AO31" i="14"/>
  <c r="AO32" i="14"/>
  <c r="AO53" i="14"/>
  <c r="AO125" i="14"/>
  <c r="AO126" i="14"/>
  <c r="AO132" i="14"/>
  <c r="AO134" i="14"/>
  <c r="AO160" i="14"/>
  <c r="AO167" i="14"/>
  <c r="AO179" i="14"/>
  <c r="AO190" i="14"/>
  <c r="AO194" i="14"/>
  <c r="AO195" i="14"/>
  <c r="AO196" i="14"/>
  <c r="AO197" i="14"/>
  <c r="AO204" i="14"/>
  <c r="AO205" i="14"/>
  <c r="AO206" i="14"/>
  <c r="AO207" i="14"/>
  <c r="AO208" i="14"/>
  <c r="AO209" i="14"/>
  <c r="AO210" i="14"/>
  <c r="AO211" i="14"/>
  <c r="AO212" i="14"/>
  <c r="AO213" i="14"/>
  <c r="AO214" i="14"/>
  <c r="AO215" i="14"/>
  <c r="AO216" i="14"/>
  <c r="AO217" i="14"/>
  <c r="AO218" i="14"/>
  <c r="AO219" i="14"/>
  <c r="AO220" i="14"/>
  <c r="AO221" i="14"/>
  <c r="AO222" i="14"/>
  <c r="AO223" i="14"/>
  <c r="AO224" i="14"/>
  <c r="AO225" i="14"/>
  <c r="AO226" i="14"/>
  <c r="AO227" i="14"/>
  <c r="AO228" i="14"/>
  <c r="AO229" i="14"/>
  <c r="AO230" i="14"/>
  <c r="AO231" i="14"/>
  <c r="AO232" i="14"/>
  <c r="AO246" i="14"/>
  <c r="AO247" i="14"/>
  <c r="AO248" i="14"/>
  <c r="AO249" i="14"/>
  <c r="AO250" i="14"/>
  <c r="AO251" i="14"/>
  <c r="AO252" i="14"/>
  <c r="AO253" i="14"/>
  <c r="AO254" i="14"/>
  <c r="AN23" i="14"/>
  <c r="AN24" i="14"/>
  <c r="AN25" i="14"/>
  <c r="AN26" i="14"/>
  <c r="AN27" i="14"/>
  <c r="AN28" i="14"/>
  <c r="AN29" i="14"/>
  <c r="AN30" i="14"/>
  <c r="AN31" i="14"/>
  <c r="AN32" i="14"/>
  <c r="AN33" i="14"/>
  <c r="AZ33" i="14" s="1"/>
  <c r="AN34" i="14"/>
  <c r="AZ34" i="14" s="1"/>
  <c r="AN35" i="14"/>
  <c r="AZ35" i="14" s="1"/>
  <c r="AN36" i="14"/>
  <c r="AZ36" i="14" s="1"/>
  <c r="AN37" i="14"/>
  <c r="AZ37" i="14" s="1"/>
  <c r="AN38" i="14"/>
  <c r="AZ38" i="14" s="1"/>
  <c r="AN39" i="14"/>
  <c r="AZ39" i="14" s="1"/>
  <c r="AN40" i="14"/>
  <c r="AZ40" i="14" s="1"/>
  <c r="AN41" i="14"/>
  <c r="AZ41" i="14" s="1"/>
  <c r="AN42" i="14"/>
  <c r="AZ42" i="14" s="1"/>
  <c r="AN43" i="14"/>
  <c r="AZ43" i="14" s="1"/>
  <c r="AN44" i="14"/>
  <c r="AZ44" i="14" s="1"/>
  <c r="AN45" i="14"/>
  <c r="AZ45" i="14" s="1"/>
  <c r="AN46" i="14"/>
  <c r="AZ46" i="14" s="1"/>
  <c r="AN47" i="14"/>
  <c r="AZ47" i="14" s="1"/>
  <c r="AN48" i="14"/>
  <c r="AZ48" i="14" s="1"/>
  <c r="AN49" i="14"/>
  <c r="AZ49" i="14" s="1"/>
  <c r="AN50" i="14"/>
  <c r="AZ50" i="14" s="1"/>
  <c r="AN51" i="14"/>
  <c r="AZ51" i="14" s="1"/>
  <c r="AN52" i="14"/>
  <c r="AZ52" i="14" s="1"/>
  <c r="AN53" i="14"/>
  <c r="AN54" i="14"/>
  <c r="AZ54" i="14" s="1"/>
  <c r="AN55" i="14"/>
  <c r="AZ55" i="14" s="1"/>
  <c r="AN56" i="14"/>
  <c r="AZ56" i="14" s="1"/>
  <c r="AN57" i="14"/>
  <c r="AZ57" i="14" s="1"/>
  <c r="AN58" i="14"/>
  <c r="AZ58" i="14" s="1"/>
  <c r="AN59" i="14"/>
  <c r="AZ59" i="14" s="1"/>
  <c r="AN60" i="14"/>
  <c r="AZ60" i="14" s="1"/>
  <c r="AN61" i="14"/>
  <c r="AZ61" i="14" s="1"/>
  <c r="AN62" i="14"/>
  <c r="AZ62" i="14" s="1"/>
  <c r="AN63" i="14"/>
  <c r="AZ63" i="14" s="1"/>
  <c r="AN64" i="14"/>
  <c r="AZ64" i="14" s="1"/>
  <c r="AN65" i="14"/>
  <c r="AZ65" i="14" s="1"/>
  <c r="AN66" i="14"/>
  <c r="AZ66" i="14" s="1"/>
  <c r="AN67" i="14"/>
  <c r="AZ67" i="14" s="1"/>
  <c r="AN68" i="14"/>
  <c r="AZ68" i="14" s="1"/>
  <c r="AN69" i="14"/>
  <c r="AZ69" i="14" s="1"/>
  <c r="AN70" i="14"/>
  <c r="AZ70" i="14" s="1"/>
  <c r="AN71" i="14"/>
  <c r="AZ71" i="14" s="1"/>
  <c r="AN72" i="14"/>
  <c r="AZ72" i="14" s="1"/>
  <c r="AN73" i="14"/>
  <c r="AZ73" i="14" s="1"/>
  <c r="AN74" i="14"/>
  <c r="AZ74" i="14" s="1"/>
  <c r="AN75" i="14"/>
  <c r="AZ75" i="14" s="1"/>
  <c r="AN76" i="14"/>
  <c r="AZ76" i="14" s="1"/>
  <c r="AN77" i="14"/>
  <c r="AZ77" i="14" s="1"/>
  <c r="AN78" i="14"/>
  <c r="AZ78" i="14" s="1"/>
  <c r="AN79" i="14"/>
  <c r="AZ79" i="14" s="1"/>
  <c r="AN80" i="14"/>
  <c r="AZ80" i="14" s="1"/>
  <c r="AN81" i="14"/>
  <c r="AZ81" i="14" s="1"/>
  <c r="AN82" i="14"/>
  <c r="AZ82" i="14" s="1"/>
  <c r="AN83" i="14"/>
  <c r="AZ83" i="14" s="1"/>
  <c r="AN84" i="14"/>
  <c r="AZ84" i="14" s="1"/>
  <c r="AN85" i="14"/>
  <c r="AZ85" i="14" s="1"/>
  <c r="AN86" i="14"/>
  <c r="AZ86" i="14" s="1"/>
  <c r="AN87" i="14"/>
  <c r="AZ87" i="14" s="1"/>
  <c r="AN88" i="14"/>
  <c r="AZ88" i="14" s="1"/>
  <c r="AN89" i="14"/>
  <c r="AZ89" i="14" s="1"/>
  <c r="AN90" i="14"/>
  <c r="AZ90" i="14" s="1"/>
  <c r="AN91" i="14"/>
  <c r="AZ91" i="14" s="1"/>
  <c r="AN92" i="14"/>
  <c r="AZ92" i="14" s="1"/>
  <c r="AN93" i="14"/>
  <c r="AZ93" i="14" s="1"/>
  <c r="AN94" i="14"/>
  <c r="AZ94" i="14" s="1"/>
  <c r="AN95" i="14"/>
  <c r="AZ95" i="14" s="1"/>
  <c r="AN96" i="14"/>
  <c r="AZ96" i="14" s="1"/>
  <c r="AN97" i="14"/>
  <c r="AZ97" i="14" s="1"/>
  <c r="AN98" i="14"/>
  <c r="AZ98" i="14" s="1"/>
  <c r="AN99" i="14"/>
  <c r="AZ99" i="14" s="1"/>
  <c r="AN100" i="14"/>
  <c r="AZ100" i="14" s="1"/>
  <c r="AN101" i="14"/>
  <c r="AZ101" i="14" s="1"/>
  <c r="AN102" i="14"/>
  <c r="AZ102" i="14" s="1"/>
  <c r="AN103" i="14"/>
  <c r="AZ103" i="14" s="1"/>
  <c r="AN104" i="14"/>
  <c r="AZ104" i="14" s="1"/>
  <c r="AN105" i="14"/>
  <c r="AZ105" i="14" s="1"/>
  <c r="AN106" i="14"/>
  <c r="AZ106" i="14" s="1"/>
  <c r="AN107" i="14"/>
  <c r="AZ107" i="14" s="1"/>
  <c r="AN108" i="14"/>
  <c r="AZ108" i="14" s="1"/>
  <c r="AN109" i="14"/>
  <c r="AZ109" i="14" s="1"/>
  <c r="AN110" i="14"/>
  <c r="AZ110" i="14" s="1"/>
  <c r="AN111" i="14"/>
  <c r="AZ111" i="14" s="1"/>
  <c r="AN112" i="14"/>
  <c r="AZ112" i="14" s="1"/>
  <c r="AN113" i="14"/>
  <c r="AZ113" i="14" s="1"/>
  <c r="AN114" i="14"/>
  <c r="AZ114" i="14" s="1"/>
  <c r="AN115" i="14"/>
  <c r="AZ115" i="14" s="1"/>
  <c r="AN116" i="14"/>
  <c r="AZ116" i="14" s="1"/>
  <c r="AN117" i="14"/>
  <c r="AZ117" i="14" s="1"/>
  <c r="AN118" i="14"/>
  <c r="AZ118" i="14" s="1"/>
  <c r="AN119" i="14"/>
  <c r="AZ119" i="14" s="1"/>
  <c r="AN120" i="14"/>
  <c r="AZ120" i="14" s="1"/>
  <c r="AN121" i="14"/>
  <c r="AZ121" i="14" s="1"/>
  <c r="AN122" i="14"/>
  <c r="AZ122" i="14" s="1"/>
  <c r="AN123" i="14"/>
  <c r="AZ123" i="14" s="1"/>
  <c r="AN124" i="14"/>
  <c r="AZ124" i="14" s="1"/>
  <c r="AN125" i="14"/>
  <c r="AN126" i="14"/>
  <c r="AN127" i="14"/>
  <c r="AZ127" i="14" s="1"/>
  <c r="AN128" i="14"/>
  <c r="AZ128" i="14" s="1"/>
  <c r="AN129" i="14"/>
  <c r="AZ129" i="14" s="1"/>
  <c r="AN130" i="14"/>
  <c r="AZ130" i="14" s="1"/>
  <c r="AN131" i="14"/>
  <c r="AZ131" i="14" s="1"/>
  <c r="AN132" i="14"/>
  <c r="AN133" i="14"/>
  <c r="AZ133" i="14" s="1"/>
  <c r="AN134" i="14"/>
  <c r="AN135" i="14"/>
  <c r="AZ135" i="14" s="1"/>
  <c r="AN136" i="14"/>
  <c r="AZ136" i="14" s="1"/>
  <c r="AN137" i="14"/>
  <c r="AZ137" i="14" s="1"/>
  <c r="AN138" i="14"/>
  <c r="AZ138" i="14" s="1"/>
  <c r="AN139" i="14"/>
  <c r="AZ139" i="14" s="1"/>
  <c r="AN140" i="14"/>
  <c r="AZ140" i="14" s="1"/>
  <c r="AN141" i="14"/>
  <c r="AZ141" i="14" s="1"/>
  <c r="AN142" i="14"/>
  <c r="AZ142" i="14" s="1"/>
  <c r="AN143" i="14"/>
  <c r="AZ143" i="14" s="1"/>
  <c r="AN144" i="14"/>
  <c r="AZ144" i="14" s="1"/>
  <c r="AN145" i="14"/>
  <c r="AZ145" i="14" s="1"/>
  <c r="AN146" i="14"/>
  <c r="AZ146" i="14" s="1"/>
  <c r="AN147" i="14"/>
  <c r="AZ147" i="14" s="1"/>
  <c r="AN148" i="14"/>
  <c r="AZ148" i="14" s="1"/>
  <c r="AN149" i="14"/>
  <c r="AZ149" i="14" s="1"/>
  <c r="AN150" i="14"/>
  <c r="AZ150" i="14" s="1"/>
  <c r="AN151" i="14"/>
  <c r="AZ151" i="14" s="1"/>
  <c r="AN152" i="14"/>
  <c r="AZ152" i="14" s="1"/>
  <c r="AN153" i="14"/>
  <c r="AZ153" i="14" s="1"/>
  <c r="AN154" i="14"/>
  <c r="AZ154" i="14" s="1"/>
  <c r="AN155" i="14"/>
  <c r="AZ155" i="14" s="1"/>
  <c r="AN156" i="14"/>
  <c r="AZ156" i="14" s="1"/>
  <c r="AN157" i="14"/>
  <c r="AZ157" i="14" s="1"/>
  <c r="AN158" i="14"/>
  <c r="AZ158" i="14" s="1"/>
  <c r="AN159" i="14"/>
  <c r="AZ159" i="14" s="1"/>
  <c r="AN160" i="14"/>
  <c r="AZ160" i="14" s="1"/>
  <c r="AN161" i="14"/>
  <c r="AZ161" i="14" s="1"/>
  <c r="AN162" i="14"/>
  <c r="AZ162" i="14" s="1"/>
  <c r="AN163" i="14"/>
  <c r="AZ163" i="14" s="1"/>
  <c r="AN164" i="14"/>
  <c r="AZ164" i="14" s="1"/>
  <c r="AN165" i="14"/>
  <c r="AZ165" i="14" s="1"/>
  <c r="AN166" i="14"/>
  <c r="AZ166" i="14" s="1"/>
  <c r="AN167" i="14"/>
  <c r="AZ167" i="14" s="1"/>
  <c r="AN168" i="14"/>
  <c r="AZ168" i="14" s="1"/>
  <c r="AN169" i="14"/>
  <c r="AZ169" i="14" s="1"/>
  <c r="AN170" i="14"/>
  <c r="AZ170" i="14" s="1"/>
  <c r="AN171" i="14"/>
  <c r="AZ171" i="14" s="1"/>
  <c r="AN172" i="14"/>
  <c r="AZ172" i="14" s="1"/>
  <c r="AN173" i="14"/>
  <c r="AZ173" i="14" s="1"/>
  <c r="AN174" i="14"/>
  <c r="AZ174" i="14" s="1"/>
  <c r="AN175" i="14"/>
  <c r="AZ175" i="14" s="1"/>
  <c r="AN176" i="14"/>
  <c r="AZ176" i="14" s="1"/>
  <c r="AN177" i="14"/>
  <c r="AZ177" i="14" s="1"/>
  <c r="AN178" i="14"/>
  <c r="AZ178" i="14" s="1"/>
  <c r="AN179" i="14"/>
  <c r="AN180" i="14"/>
  <c r="AZ180" i="14" s="1"/>
  <c r="AN181" i="14"/>
  <c r="AZ181" i="14" s="1"/>
  <c r="AN182" i="14"/>
  <c r="AZ182" i="14" s="1"/>
  <c r="AN183" i="14"/>
  <c r="AZ183" i="14" s="1"/>
  <c r="AN184" i="14"/>
  <c r="AZ184" i="14" s="1"/>
  <c r="AN185" i="14"/>
  <c r="AZ185" i="14" s="1"/>
  <c r="AN186" i="14"/>
  <c r="AZ186" i="14" s="1"/>
  <c r="AN187" i="14"/>
  <c r="AZ187" i="14" s="1"/>
  <c r="AN188" i="14"/>
  <c r="AZ188" i="14" s="1"/>
  <c r="AN189" i="14"/>
  <c r="AZ189" i="14" s="1"/>
  <c r="AN190" i="14"/>
  <c r="AN191" i="14"/>
  <c r="AZ191" i="14" s="1"/>
  <c r="AN192" i="14"/>
  <c r="AZ192" i="14" s="1"/>
  <c r="AN193" i="14"/>
  <c r="AZ193" i="14" s="1"/>
  <c r="AN194" i="14"/>
  <c r="AN195" i="14"/>
  <c r="AN196" i="14"/>
  <c r="AN197" i="14"/>
  <c r="AN198" i="14"/>
  <c r="AZ198" i="14" s="1"/>
  <c r="AN199" i="14"/>
  <c r="AZ199" i="14" s="1"/>
  <c r="AN200" i="14"/>
  <c r="AZ200" i="14" s="1"/>
  <c r="AN201" i="14"/>
  <c r="AZ201" i="14" s="1"/>
  <c r="AN202" i="14"/>
  <c r="AZ202" i="14" s="1"/>
  <c r="AN203" i="14"/>
  <c r="AZ203" i="14" s="1"/>
  <c r="AN204" i="14"/>
  <c r="AZ204" i="14" s="1"/>
  <c r="AN205" i="14"/>
  <c r="AZ205" i="14" s="1"/>
  <c r="AN206" i="14"/>
  <c r="AZ206" i="14" s="1"/>
  <c r="AN207" i="14"/>
  <c r="AZ207" i="14" s="1"/>
  <c r="AN208" i="14"/>
  <c r="AZ208" i="14" s="1"/>
  <c r="AN209" i="14"/>
  <c r="AZ209" i="14" s="1"/>
  <c r="AN210" i="14"/>
  <c r="AN211" i="14"/>
  <c r="AN212" i="14"/>
  <c r="AN213" i="14"/>
  <c r="AN214" i="14"/>
  <c r="AN215" i="14"/>
  <c r="AN216" i="14"/>
  <c r="AN217" i="14"/>
  <c r="AN218" i="14"/>
  <c r="AN219" i="14"/>
  <c r="AN220" i="14"/>
  <c r="AN221" i="14"/>
  <c r="AN222" i="14"/>
  <c r="AN223" i="14"/>
  <c r="AN224" i="14"/>
  <c r="AN225" i="14"/>
  <c r="AN226" i="14"/>
  <c r="AN227" i="14"/>
  <c r="AN228" i="14"/>
  <c r="AN229" i="14"/>
  <c r="AN230" i="14"/>
  <c r="AN231" i="14"/>
  <c r="AN232" i="14"/>
  <c r="AN233" i="14"/>
  <c r="AN234" i="14"/>
  <c r="AN235" i="14"/>
  <c r="AN236" i="14"/>
  <c r="AN237" i="14"/>
  <c r="AN238" i="14"/>
  <c r="AN239" i="14"/>
  <c r="AN240" i="14"/>
  <c r="AN241" i="14"/>
  <c r="AN242" i="14"/>
  <c r="AN243" i="14"/>
  <c r="AN244" i="14"/>
  <c r="AN245" i="14"/>
  <c r="AN246" i="14"/>
  <c r="AN247" i="14"/>
  <c r="AN248" i="14"/>
  <c r="AN249" i="14"/>
  <c r="AN250" i="14"/>
  <c r="AN251" i="14"/>
  <c r="AN252" i="14"/>
  <c r="AN253" i="14"/>
  <c r="AN254" i="14"/>
  <c r="AN255" i="14"/>
  <c r="AN256" i="14"/>
  <c r="AN257" i="14"/>
  <c r="AN258" i="14"/>
  <c r="AN259" i="14"/>
  <c r="AN260" i="14"/>
  <c r="AN261" i="14"/>
  <c r="AN262" i="14"/>
  <c r="AN263" i="14"/>
  <c r="AN264" i="14"/>
  <c r="AN265" i="14"/>
  <c r="AN266" i="14"/>
  <c r="AN267" i="14"/>
  <c r="AN268" i="14"/>
  <c r="AN269" i="14"/>
  <c r="AN270" i="14"/>
  <c r="AN271" i="14"/>
  <c r="AN272" i="14"/>
  <c r="AN273" i="14"/>
  <c r="AN274" i="14"/>
  <c r="AM23" i="14"/>
  <c r="AM24" i="14"/>
  <c r="AM25" i="14"/>
  <c r="AM26" i="14"/>
  <c r="AM27" i="14"/>
  <c r="AM28" i="14"/>
  <c r="AM29" i="14"/>
  <c r="AM30" i="14"/>
  <c r="AM31" i="14"/>
  <c r="AM32" i="14"/>
  <c r="AM33" i="14"/>
  <c r="AM34" i="14"/>
  <c r="AM35" i="14"/>
  <c r="AM36" i="14"/>
  <c r="AM37" i="14"/>
  <c r="AM38" i="14"/>
  <c r="AM39" i="14"/>
  <c r="AM40" i="14"/>
  <c r="AM41" i="14"/>
  <c r="AM42" i="14"/>
  <c r="AM43" i="14"/>
  <c r="AM44" i="14"/>
  <c r="AM45" i="14"/>
  <c r="AM46" i="14"/>
  <c r="AM47" i="14"/>
  <c r="AM48" i="14"/>
  <c r="AM49" i="14"/>
  <c r="AM50" i="14"/>
  <c r="AM51" i="14"/>
  <c r="AM52" i="14"/>
  <c r="AM53" i="14"/>
  <c r="AM54" i="14"/>
  <c r="AM55" i="14"/>
  <c r="AM56" i="14"/>
  <c r="AM57" i="14"/>
  <c r="AM58" i="14"/>
  <c r="AM59" i="14"/>
  <c r="AM60" i="14"/>
  <c r="AM61" i="14"/>
  <c r="AM62" i="14"/>
  <c r="AM63" i="14"/>
  <c r="AM64" i="14"/>
  <c r="AM65" i="14"/>
  <c r="AM66" i="14"/>
  <c r="AM67" i="14"/>
  <c r="AM68" i="14"/>
  <c r="AM69" i="14"/>
  <c r="AM70" i="14"/>
  <c r="AM71" i="14"/>
  <c r="AM72" i="14"/>
  <c r="AM73" i="14"/>
  <c r="AM74" i="14"/>
  <c r="AM75" i="14"/>
  <c r="AM76" i="14"/>
  <c r="AM77" i="14"/>
  <c r="AM78" i="14"/>
  <c r="AM79" i="14"/>
  <c r="AM80" i="14"/>
  <c r="AM81" i="14"/>
  <c r="AM82" i="14"/>
  <c r="AM83" i="14"/>
  <c r="AM84" i="14"/>
  <c r="AM85" i="14"/>
  <c r="AM86" i="14"/>
  <c r="AM87" i="14"/>
  <c r="AM88" i="14"/>
  <c r="AM89" i="14"/>
  <c r="AM90" i="14"/>
  <c r="AM91" i="14"/>
  <c r="AM92" i="14"/>
  <c r="AM93" i="14"/>
  <c r="AM94" i="14"/>
  <c r="AM95" i="14"/>
  <c r="AM96" i="14"/>
  <c r="AM97" i="14"/>
  <c r="AM98" i="14"/>
  <c r="AM99" i="14"/>
  <c r="AM100" i="14"/>
  <c r="AM101" i="14"/>
  <c r="AM102" i="14"/>
  <c r="AM103" i="14"/>
  <c r="AM104" i="14"/>
  <c r="AM105" i="14"/>
  <c r="AM106" i="14"/>
  <c r="AM107" i="14"/>
  <c r="AM108" i="14"/>
  <c r="AM109" i="14"/>
  <c r="AM110" i="14"/>
  <c r="AM111" i="14"/>
  <c r="AM112" i="14"/>
  <c r="AM113" i="14"/>
  <c r="AM114" i="14"/>
  <c r="AM115" i="14"/>
  <c r="AM116" i="14"/>
  <c r="AM117" i="14"/>
  <c r="AM118" i="14"/>
  <c r="AM119" i="14"/>
  <c r="AM120" i="14"/>
  <c r="AM121" i="14"/>
  <c r="AM122" i="14"/>
  <c r="AM123" i="14"/>
  <c r="AM124" i="14"/>
  <c r="AM125" i="14"/>
  <c r="AM126" i="14"/>
  <c r="AM127" i="14"/>
  <c r="AM128" i="14"/>
  <c r="AM129" i="14"/>
  <c r="AM130" i="14"/>
  <c r="AM131" i="14"/>
  <c r="AM132" i="14"/>
  <c r="AM133" i="14"/>
  <c r="AM134" i="14"/>
  <c r="AM135" i="14"/>
  <c r="AM136" i="14"/>
  <c r="AM137" i="14"/>
  <c r="AM138" i="14"/>
  <c r="AM139" i="14"/>
  <c r="AM140" i="14"/>
  <c r="AM141" i="14"/>
  <c r="AM142" i="14"/>
  <c r="AM143" i="14"/>
  <c r="AM144" i="14"/>
  <c r="AM145" i="14"/>
  <c r="AM146" i="14"/>
  <c r="AM147" i="14"/>
  <c r="AM148" i="14"/>
  <c r="AM149" i="14"/>
  <c r="AM150" i="14"/>
  <c r="AM151" i="14"/>
  <c r="AM152" i="14"/>
  <c r="AM153" i="14"/>
  <c r="AM154" i="14"/>
  <c r="AM155" i="14"/>
  <c r="AM156" i="14"/>
  <c r="AM157" i="14"/>
  <c r="AM158" i="14"/>
  <c r="AM159" i="14"/>
  <c r="AM160" i="14"/>
  <c r="AM161" i="14"/>
  <c r="AM162" i="14"/>
  <c r="AM163" i="14"/>
  <c r="AM164" i="14"/>
  <c r="AM165" i="14"/>
  <c r="AM166" i="14"/>
  <c r="AM167" i="14"/>
  <c r="AM168" i="14"/>
  <c r="AM169" i="14"/>
  <c r="AM170" i="14"/>
  <c r="AM171" i="14"/>
  <c r="AM172" i="14"/>
  <c r="AM173" i="14"/>
  <c r="AM174" i="14"/>
  <c r="AM175" i="14"/>
  <c r="AM176" i="14"/>
  <c r="AM177" i="14"/>
  <c r="AM178" i="14"/>
  <c r="AM179" i="14"/>
  <c r="AM180" i="14"/>
  <c r="AM181" i="14"/>
  <c r="AM182" i="14"/>
  <c r="AM183" i="14"/>
  <c r="AM184" i="14"/>
  <c r="AM185" i="14"/>
  <c r="AM186" i="14"/>
  <c r="AM187" i="14"/>
  <c r="AM188" i="14"/>
  <c r="AM189" i="14"/>
  <c r="AM190" i="14"/>
  <c r="AM191" i="14"/>
  <c r="AM192" i="14"/>
  <c r="AM193" i="14"/>
  <c r="AM194" i="14"/>
  <c r="AM195" i="14"/>
  <c r="AM196" i="14"/>
  <c r="AM197" i="14"/>
  <c r="AM198" i="14"/>
  <c r="AM199" i="14"/>
  <c r="AM200" i="14"/>
  <c r="AM201" i="14"/>
  <c r="AM202" i="14"/>
  <c r="AM203" i="14"/>
  <c r="AM204" i="14"/>
  <c r="AM205" i="14"/>
  <c r="AM206" i="14"/>
  <c r="AM207" i="14"/>
  <c r="AM208" i="14"/>
  <c r="AM209" i="14"/>
  <c r="AM210" i="14"/>
  <c r="AM211" i="14"/>
  <c r="AM212" i="14"/>
  <c r="AM213" i="14"/>
  <c r="AM214" i="14"/>
  <c r="AM215" i="14"/>
  <c r="AM216" i="14"/>
  <c r="AM217" i="14"/>
  <c r="AM218" i="14"/>
  <c r="AM219" i="14"/>
  <c r="AM220" i="14"/>
  <c r="AM221" i="14"/>
  <c r="AM222" i="14"/>
  <c r="AM223" i="14"/>
  <c r="AM224" i="14"/>
  <c r="AM225" i="14"/>
  <c r="AM226" i="14"/>
  <c r="AM227" i="14"/>
  <c r="AM228" i="14"/>
  <c r="AM229" i="14"/>
  <c r="AM230" i="14"/>
  <c r="AM231" i="14"/>
  <c r="AM232" i="14"/>
  <c r="AM233" i="14"/>
  <c r="AM234" i="14"/>
  <c r="AM235" i="14"/>
  <c r="AM236" i="14"/>
  <c r="AM237" i="14"/>
  <c r="AM238" i="14"/>
  <c r="AM239" i="14"/>
  <c r="AM240" i="14"/>
  <c r="AM241" i="14"/>
  <c r="AM242" i="14"/>
  <c r="AM243" i="14"/>
  <c r="AM244" i="14"/>
  <c r="AM245" i="14"/>
  <c r="AM246" i="14"/>
  <c r="AM247" i="14"/>
  <c r="AM248" i="14"/>
  <c r="AM249" i="14"/>
  <c r="AM250" i="14"/>
  <c r="AM251" i="14"/>
  <c r="AM252" i="14"/>
  <c r="AM253" i="14"/>
  <c r="AM254" i="14"/>
  <c r="AM255" i="14"/>
  <c r="AM256" i="14"/>
  <c r="AM257" i="14"/>
  <c r="AM258" i="14"/>
  <c r="AM259" i="14"/>
  <c r="AM260" i="14"/>
  <c r="AM261" i="14"/>
  <c r="AM262" i="14"/>
  <c r="AM263" i="14"/>
  <c r="AM264" i="14"/>
  <c r="AM265" i="14"/>
  <c r="AM266" i="14"/>
  <c r="AM267" i="14"/>
  <c r="AM268" i="14"/>
  <c r="AM269" i="14"/>
  <c r="AM270" i="14"/>
  <c r="AM271" i="14"/>
  <c r="AM272" i="14"/>
  <c r="AM273" i="14"/>
  <c r="AM274" i="14"/>
  <c r="AB126" i="14" l="1"/>
  <c r="AB134" i="14"/>
  <c r="AB125" i="14"/>
  <c r="AB132" i="14"/>
  <c r="AT207" i="14"/>
  <c r="AT204" i="14"/>
  <c r="AT53" i="14"/>
  <c r="AT205" i="14"/>
  <c r="AT249" i="14"/>
  <c r="AT25" i="14"/>
  <c r="AT160" i="14"/>
  <c r="AT24" i="14"/>
  <c r="AT231" i="14"/>
  <c r="AT223" i="14"/>
  <c r="AT215" i="14"/>
  <c r="AT167" i="14"/>
  <c r="AT190" i="14"/>
  <c r="AT229" i="14"/>
  <c r="AT221" i="14"/>
  <c r="AT213" i="14"/>
  <c r="AT248" i="14"/>
  <c r="AT31" i="14"/>
  <c r="AT23" i="14"/>
  <c r="AT197" i="14"/>
  <c r="AT247" i="14"/>
  <c r="AT30" i="14"/>
  <c r="AT252" i="14"/>
  <c r="AT228" i="14"/>
  <c r="AT220" i="14"/>
  <c r="AT212" i="14"/>
  <c r="AT196" i="14"/>
  <c r="AT227" i="14"/>
  <c r="AT219" i="14"/>
  <c r="AT211" i="14"/>
  <c r="AT195" i="14"/>
  <c r="AT225" i="14"/>
  <c r="AT217" i="14"/>
  <c r="AT209" i="14"/>
  <c r="AT254" i="14"/>
  <c r="AT246" i="14"/>
  <c r="AT134" i="14"/>
  <c r="AT126" i="14"/>
  <c r="AT29" i="14"/>
  <c r="AT208" i="14"/>
  <c r="AZ125" i="14"/>
  <c r="AT224" i="14"/>
  <c r="AT216" i="14"/>
  <c r="AT253" i="14"/>
  <c r="AT132" i="14"/>
  <c r="AT28" i="14"/>
  <c r="AZ269" i="14"/>
  <c r="AZ213" i="14"/>
  <c r="AT232" i="14"/>
  <c r="AT250" i="14"/>
  <c r="AT226" i="14"/>
  <c r="AT218" i="14"/>
  <c r="AT210" i="14"/>
  <c r="AT194" i="14"/>
  <c r="AT230" i="14"/>
  <c r="AT222" i="14"/>
  <c r="AT214" i="14"/>
  <c r="AT206" i="14"/>
  <c r="AX267" i="14"/>
  <c r="AT125" i="14"/>
  <c r="AZ261" i="14"/>
  <c r="AT251" i="14"/>
  <c r="AT179" i="14"/>
  <c r="AT26" i="14"/>
  <c r="AT32" i="14"/>
  <c r="AZ197" i="14"/>
  <c r="AV26" i="14"/>
  <c r="AY26" i="14"/>
  <c r="AW26" i="14"/>
  <c r="AZ26" i="14"/>
  <c r="AU26" i="14"/>
  <c r="AX26" i="14"/>
  <c r="AW255" i="14"/>
  <c r="AZ255" i="14"/>
  <c r="AX255" i="14"/>
  <c r="AV255" i="14"/>
  <c r="AY255" i="14"/>
  <c r="AW223" i="14"/>
  <c r="AZ223" i="14"/>
  <c r="AU223" i="14"/>
  <c r="AX223" i="14"/>
  <c r="AV223" i="14"/>
  <c r="AY223" i="14"/>
  <c r="AY272" i="14"/>
  <c r="AW264" i="14"/>
  <c r="AZ264" i="14"/>
  <c r="AX264" i="14"/>
  <c r="AV264" i="14"/>
  <c r="AZ270" i="14"/>
  <c r="AX270" i="14"/>
  <c r="AV270" i="14"/>
  <c r="AY270" i="14"/>
  <c r="AZ262" i="14"/>
  <c r="AX262" i="14"/>
  <c r="AV262" i="14"/>
  <c r="AY262" i="14"/>
  <c r="AZ254" i="14"/>
  <c r="AX254" i="14"/>
  <c r="AV254" i="14"/>
  <c r="AY254" i="14"/>
  <c r="AZ246" i="14"/>
  <c r="AX246" i="14"/>
  <c r="AV246" i="14"/>
  <c r="AY246" i="14"/>
  <c r="AZ238" i="14"/>
  <c r="AX238" i="14"/>
  <c r="AV238" i="14"/>
  <c r="AY238" i="14"/>
  <c r="AZ230" i="14"/>
  <c r="AX230" i="14"/>
  <c r="AV230" i="14"/>
  <c r="AY230" i="14"/>
  <c r="AZ222" i="14"/>
  <c r="AX222" i="14"/>
  <c r="AV222" i="14"/>
  <c r="AY222" i="14"/>
  <c r="AZ214" i="14"/>
  <c r="AX214" i="14"/>
  <c r="AV214" i="14"/>
  <c r="AY214" i="14"/>
  <c r="AV194" i="14"/>
  <c r="AY194" i="14"/>
  <c r="AW194" i="14"/>
  <c r="AZ194" i="14"/>
  <c r="AU194" i="14"/>
  <c r="AX194" i="14"/>
  <c r="AW32" i="14"/>
  <c r="AZ32" i="14"/>
  <c r="AU32" i="14"/>
  <c r="AX32" i="14"/>
  <c r="AV32" i="14"/>
  <c r="AW24" i="14"/>
  <c r="AZ24" i="14"/>
  <c r="AU24" i="14"/>
  <c r="AX24" i="14"/>
  <c r="AV24" i="14"/>
  <c r="AU273" i="14"/>
  <c r="AU264" i="14"/>
  <c r="AU246" i="14"/>
  <c r="AU214" i="14"/>
  <c r="AW230" i="14"/>
  <c r="AY264" i="14"/>
  <c r="AW240" i="14"/>
  <c r="AZ240" i="14"/>
  <c r="AU240" i="14"/>
  <c r="AX240" i="14"/>
  <c r="AV240" i="14"/>
  <c r="AW216" i="14"/>
  <c r="AZ216" i="14"/>
  <c r="AU216" i="14"/>
  <c r="AX216" i="14"/>
  <c r="AV216" i="14"/>
  <c r="AW263" i="14"/>
  <c r="AZ263" i="14"/>
  <c r="AX263" i="14"/>
  <c r="AV263" i="14"/>
  <c r="AY263" i="14"/>
  <c r="AW231" i="14"/>
  <c r="AZ231" i="14"/>
  <c r="AU231" i="14"/>
  <c r="AX231" i="14"/>
  <c r="AV231" i="14"/>
  <c r="AY231" i="14"/>
  <c r="AU53" i="14"/>
  <c r="AX53" i="14"/>
  <c r="AV53" i="14"/>
  <c r="AY53" i="14"/>
  <c r="AW53" i="14"/>
  <c r="AX269" i="14"/>
  <c r="AV269" i="14"/>
  <c r="AY269" i="14"/>
  <c r="AW269" i="14"/>
  <c r="AX261" i="14"/>
  <c r="AV261" i="14"/>
  <c r="AY261" i="14"/>
  <c r="AW261" i="14"/>
  <c r="AU253" i="14"/>
  <c r="AX253" i="14"/>
  <c r="AV253" i="14"/>
  <c r="AY253" i="14"/>
  <c r="AW253" i="14"/>
  <c r="AU245" i="14"/>
  <c r="AX245" i="14"/>
  <c r="AV245" i="14"/>
  <c r="AY245" i="14"/>
  <c r="AW245" i="14"/>
  <c r="AU237" i="14"/>
  <c r="AX237" i="14"/>
  <c r="AV237" i="14"/>
  <c r="AY237" i="14"/>
  <c r="AW237" i="14"/>
  <c r="AU229" i="14"/>
  <c r="AX229" i="14"/>
  <c r="AV229" i="14"/>
  <c r="AY229" i="14"/>
  <c r="AW229" i="14"/>
  <c r="AU221" i="14"/>
  <c r="AX221" i="14"/>
  <c r="AV221" i="14"/>
  <c r="AY221" i="14"/>
  <c r="AW221" i="14"/>
  <c r="AU213" i="14"/>
  <c r="AX213" i="14"/>
  <c r="AV213" i="14"/>
  <c r="AY213" i="14"/>
  <c r="AW213" i="14"/>
  <c r="AZ190" i="14"/>
  <c r="AX190" i="14"/>
  <c r="AV190" i="14"/>
  <c r="AY190" i="14"/>
  <c r="AW31" i="14"/>
  <c r="AZ31" i="14"/>
  <c r="AU31" i="14"/>
  <c r="AX31" i="14"/>
  <c r="AV31" i="14"/>
  <c r="AY31" i="14"/>
  <c r="AW23" i="14"/>
  <c r="AZ23" i="14"/>
  <c r="AU23" i="14"/>
  <c r="AX23" i="14"/>
  <c r="AV23" i="14"/>
  <c r="AY23" i="14"/>
  <c r="AU263" i="14"/>
  <c r="AW222" i="14"/>
  <c r="AZ253" i="14"/>
  <c r="AX268" i="14"/>
  <c r="AV268" i="14"/>
  <c r="AY268" i="14"/>
  <c r="AW268" i="14"/>
  <c r="AZ268" i="14"/>
  <c r="AX260" i="14"/>
  <c r="AV260" i="14"/>
  <c r="AY260" i="14"/>
  <c r="AW260" i="14"/>
  <c r="AZ260" i="14"/>
  <c r="AX252" i="14"/>
  <c r="AV252" i="14"/>
  <c r="AY252" i="14"/>
  <c r="AW252" i="14"/>
  <c r="AZ252" i="14"/>
  <c r="AX244" i="14"/>
  <c r="AV244" i="14"/>
  <c r="AY244" i="14"/>
  <c r="AW244" i="14"/>
  <c r="AZ244" i="14"/>
  <c r="AX236" i="14"/>
  <c r="AV236" i="14"/>
  <c r="AY236" i="14"/>
  <c r="AW236" i="14"/>
  <c r="AZ236" i="14"/>
  <c r="AX228" i="14"/>
  <c r="AV228" i="14"/>
  <c r="AY228" i="14"/>
  <c r="AW228" i="14"/>
  <c r="AZ228" i="14"/>
  <c r="AX220" i="14"/>
  <c r="AV220" i="14"/>
  <c r="AY220" i="14"/>
  <c r="AW220" i="14"/>
  <c r="AZ220" i="14"/>
  <c r="AX212" i="14"/>
  <c r="AV212" i="14"/>
  <c r="AY212" i="14"/>
  <c r="AW212" i="14"/>
  <c r="AZ212" i="14"/>
  <c r="AV179" i="14"/>
  <c r="AY179" i="14"/>
  <c r="AW179" i="14"/>
  <c r="AZ179" i="14"/>
  <c r="AU179" i="14"/>
  <c r="AZ30" i="14"/>
  <c r="AU30" i="14"/>
  <c r="AX30" i="14"/>
  <c r="AV30" i="14"/>
  <c r="AY30" i="14"/>
  <c r="AU22" i="14"/>
  <c r="AX22" i="14"/>
  <c r="AV22" i="14"/>
  <c r="AY22" i="14"/>
  <c r="AU262" i="14"/>
  <c r="AU238" i="14"/>
  <c r="AU190" i="14"/>
  <c r="AW214" i="14"/>
  <c r="AW190" i="14"/>
  <c r="AZ245" i="14"/>
  <c r="AZ53" i="14"/>
  <c r="AW256" i="14"/>
  <c r="AZ256" i="14"/>
  <c r="AU256" i="14"/>
  <c r="AX256" i="14"/>
  <c r="AV256" i="14"/>
  <c r="AW224" i="14"/>
  <c r="AZ224" i="14"/>
  <c r="AU224" i="14"/>
  <c r="AX224" i="14"/>
  <c r="AV224" i="14"/>
  <c r="AU125" i="14"/>
  <c r="AX125" i="14"/>
  <c r="AV125" i="14"/>
  <c r="AY125" i="14"/>
  <c r="AW125" i="14"/>
  <c r="AW271" i="14"/>
  <c r="AZ271" i="14"/>
  <c r="AX271" i="14"/>
  <c r="AV271" i="14"/>
  <c r="AY271" i="14"/>
  <c r="AW239" i="14"/>
  <c r="AZ239" i="14"/>
  <c r="AU239" i="14"/>
  <c r="AX239" i="14"/>
  <c r="AV239" i="14"/>
  <c r="AY239" i="14"/>
  <c r="AV195" i="14"/>
  <c r="AY195" i="14"/>
  <c r="AW195" i="14"/>
  <c r="AZ195" i="14"/>
  <c r="AU195" i="14"/>
  <c r="AV267" i="14"/>
  <c r="AY267" i="14"/>
  <c r="AW267" i="14"/>
  <c r="AZ267" i="14"/>
  <c r="AV259" i="14"/>
  <c r="AY259" i="14"/>
  <c r="AW259" i="14"/>
  <c r="AZ259" i="14"/>
  <c r="AU259" i="14"/>
  <c r="AV251" i="14"/>
  <c r="AY251" i="14"/>
  <c r="AW251" i="14"/>
  <c r="AZ251" i="14"/>
  <c r="AU251" i="14"/>
  <c r="AV243" i="14"/>
  <c r="AY243" i="14"/>
  <c r="AW243" i="14"/>
  <c r="AZ243" i="14"/>
  <c r="AU243" i="14"/>
  <c r="AV235" i="14"/>
  <c r="AY235" i="14"/>
  <c r="AW235" i="14"/>
  <c r="AZ235" i="14"/>
  <c r="AU235" i="14"/>
  <c r="AV227" i="14"/>
  <c r="AY227" i="14"/>
  <c r="AW227" i="14"/>
  <c r="AZ227" i="14"/>
  <c r="AU227" i="14"/>
  <c r="AV219" i="14"/>
  <c r="AY219" i="14"/>
  <c r="AW219" i="14"/>
  <c r="AZ219" i="14"/>
  <c r="AU219" i="14"/>
  <c r="AV211" i="14"/>
  <c r="AY211" i="14"/>
  <c r="AW211" i="14"/>
  <c r="AZ211" i="14"/>
  <c r="AU211" i="14"/>
  <c r="AZ134" i="14"/>
  <c r="AU134" i="14"/>
  <c r="AX134" i="14"/>
  <c r="AV134" i="14"/>
  <c r="AY134" i="14"/>
  <c r="AU29" i="14"/>
  <c r="AX29" i="14"/>
  <c r="AV29" i="14"/>
  <c r="AY29" i="14"/>
  <c r="AW29" i="14"/>
  <c r="AU270" i="14"/>
  <c r="AU261" i="14"/>
  <c r="AU236" i="14"/>
  <c r="AW270" i="14"/>
  <c r="AX227" i="14"/>
  <c r="AY240" i="14"/>
  <c r="AZ237" i="14"/>
  <c r="AW232" i="14"/>
  <c r="AZ232" i="14"/>
  <c r="AU232" i="14"/>
  <c r="AX232" i="14"/>
  <c r="AV232" i="14"/>
  <c r="AW247" i="14"/>
  <c r="AZ247" i="14"/>
  <c r="AU247" i="14"/>
  <c r="AX247" i="14"/>
  <c r="AV247" i="14"/>
  <c r="AY247" i="14"/>
  <c r="AW215" i="14"/>
  <c r="AZ215" i="14"/>
  <c r="AU215" i="14"/>
  <c r="AX215" i="14"/>
  <c r="AV215" i="14"/>
  <c r="AY215" i="14"/>
  <c r="AY25" i="14"/>
  <c r="AW25" i="14"/>
  <c r="AZ25" i="14"/>
  <c r="AU25" i="14"/>
  <c r="AX25" i="14"/>
  <c r="AV274" i="14"/>
  <c r="AY274" i="14"/>
  <c r="AW274" i="14"/>
  <c r="AZ274" i="14"/>
  <c r="AU274" i="14"/>
  <c r="AX274" i="14"/>
  <c r="AV266" i="14"/>
  <c r="AY266" i="14"/>
  <c r="AW266" i="14"/>
  <c r="AZ266" i="14"/>
  <c r="AU266" i="14"/>
  <c r="AX266" i="14"/>
  <c r="AV258" i="14"/>
  <c r="AY258" i="14"/>
  <c r="AW258" i="14"/>
  <c r="AZ258" i="14"/>
  <c r="AU258" i="14"/>
  <c r="AX258" i="14"/>
  <c r="AV250" i="14"/>
  <c r="AY250" i="14"/>
  <c r="AW250" i="14"/>
  <c r="AZ250" i="14"/>
  <c r="AU250" i="14"/>
  <c r="AX250" i="14"/>
  <c r="AV242" i="14"/>
  <c r="AY242" i="14"/>
  <c r="AW242" i="14"/>
  <c r="AZ242" i="14"/>
  <c r="AU242" i="14"/>
  <c r="AX242" i="14"/>
  <c r="AV234" i="14"/>
  <c r="AY234" i="14"/>
  <c r="AW234" i="14"/>
  <c r="AZ234" i="14"/>
  <c r="AU234" i="14"/>
  <c r="AX234" i="14"/>
  <c r="AV226" i="14"/>
  <c r="AY226" i="14"/>
  <c r="AW226" i="14"/>
  <c r="AZ226" i="14"/>
  <c r="AU226" i="14"/>
  <c r="AX226" i="14"/>
  <c r="AV218" i="14"/>
  <c r="AY218" i="14"/>
  <c r="AW218" i="14"/>
  <c r="AZ218" i="14"/>
  <c r="AU218" i="14"/>
  <c r="AX218" i="14"/>
  <c r="AV210" i="14"/>
  <c r="AY210" i="14"/>
  <c r="AW210" i="14"/>
  <c r="AZ210" i="14"/>
  <c r="AU210" i="14"/>
  <c r="AX210" i="14"/>
  <c r="AX132" i="14"/>
  <c r="AV132" i="14"/>
  <c r="AY132" i="14"/>
  <c r="AW132" i="14"/>
  <c r="AZ132" i="14"/>
  <c r="AX28" i="14"/>
  <c r="AV28" i="14"/>
  <c r="AY28" i="14"/>
  <c r="AW28" i="14"/>
  <c r="AZ28" i="14"/>
  <c r="AU269" i="14"/>
  <c r="AU260" i="14"/>
  <c r="AU230" i="14"/>
  <c r="AW262" i="14"/>
  <c r="AW30" i="14"/>
  <c r="AX219" i="14"/>
  <c r="AY232" i="14"/>
  <c r="AZ229" i="14"/>
  <c r="AW272" i="14"/>
  <c r="AZ272" i="14"/>
  <c r="AX272" i="14"/>
  <c r="AV272" i="14"/>
  <c r="AW248" i="14"/>
  <c r="AZ248" i="14"/>
  <c r="AU248" i="14"/>
  <c r="AX248" i="14"/>
  <c r="AV248" i="14"/>
  <c r="AX196" i="14"/>
  <c r="AV196" i="14"/>
  <c r="AY196" i="14"/>
  <c r="AW196" i="14"/>
  <c r="AZ196" i="14"/>
  <c r="AY273" i="14"/>
  <c r="AW273" i="14"/>
  <c r="AZ273" i="14"/>
  <c r="AX273" i="14"/>
  <c r="AY265" i="14"/>
  <c r="AW265" i="14"/>
  <c r="AZ265" i="14"/>
  <c r="AX265" i="14"/>
  <c r="AY257" i="14"/>
  <c r="AW257" i="14"/>
  <c r="AZ257" i="14"/>
  <c r="AU257" i="14"/>
  <c r="AX257" i="14"/>
  <c r="AY249" i="14"/>
  <c r="AW249" i="14"/>
  <c r="AZ249" i="14"/>
  <c r="AU249" i="14"/>
  <c r="AX249" i="14"/>
  <c r="AY241" i="14"/>
  <c r="AW241" i="14"/>
  <c r="AZ241" i="14"/>
  <c r="AU241" i="14"/>
  <c r="AX241" i="14"/>
  <c r="AY233" i="14"/>
  <c r="AW233" i="14"/>
  <c r="AZ233" i="14"/>
  <c r="AU233" i="14"/>
  <c r="AX233" i="14"/>
  <c r="AY225" i="14"/>
  <c r="AW225" i="14"/>
  <c r="AZ225" i="14"/>
  <c r="AU225" i="14"/>
  <c r="AX225" i="14"/>
  <c r="AY217" i="14"/>
  <c r="AW217" i="14"/>
  <c r="AZ217" i="14"/>
  <c r="AU217" i="14"/>
  <c r="AX217" i="14"/>
  <c r="AU197" i="14"/>
  <c r="AX197" i="14"/>
  <c r="AV197" i="14"/>
  <c r="AY197" i="14"/>
  <c r="AW197" i="14"/>
  <c r="AZ126" i="14"/>
  <c r="AU126" i="14"/>
  <c r="AX126" i="14"/>
  <c r="AV126" i="14"/>
  <c r="AY126" i="14"/>
  <c r="AV27" i="14"/>
  <c r="AY27" i="14"/>
  <c r="AW27" i="14"/>
  <c r="AZ27" i="14"/>
  <c r="AU27" i="14"/>
  <c r="AU268" i="14"/>
  <c r="AU255" i="14"/>
  <c r="AU228" i="14"/>
  <c r="AV265" i="14"/>
  <c r="AW254" i="14"/>
  <c r="AW22" i="14"/>
  <c r="AX211" i="14"/>
  <c r="AY224" i="14"/>
  <c r="AY32" i="14"/>
  <c r="AZ221" i="14"/>
  <c r="AZ29" i="14"/>
  <c r="AR213" i="14"/>
  <c r="AR250" i="14"/>
  <c r="AR25" i="14"/>
  <c r="BE25" i="14" s="1"/>
  <c r="AR219" i="14"/>
  <c r="AR210" i="14"/>
  <c r="AR249" i="14"/>
  <c r="AR225" i="14"/>
  <c r="AR209" i="14"/>
  <c r="AR248" i="14"/>
  <c r="AR232" i="14"/>
  <c r="AR216" i="14"/>
  <c r="AR32" i="14"/>
  <c r="BE32" i="14" s="1"/>
  <c r="AR24" i="14"/>
  <c r="BE24" i="14" s="1"/>
  <c r="AR226" i="14"/>
  <c r="AR217" i="14"/>
  <c r="AR224" i="14"/>
  <c r="AR208" i="14"/>
  <c r="AR160" i="14"/>
  <c r="AR247" i="14"/>
  <c r="AR231" i="14"/>
  <c r="AR223" i="14"/>
  <c r="AR215" i="14"/>
  <c r="AR207" i="14"/>
  <c r="AR167" i="14"/>
  <c r="AR31" i="14"/>
  <c r="BE31" i="14" s="1"/>
  <c r="AR23" i="14"/>
  <c r="BE23" i="14" s="1"/>
  <c r="AR254" i="14"/>
  <c r="AR246" i="14"/>
  <c r="AR230" i="14"/>
  <c r="AR222" i="14"/>
  <c r="AR214" i="14"/>
  <c r="AR206" i="14"/>
  <c r="AR190" i="14"/>
  <c r="AR134" i="14"/>
  <c r="AR126" i="14"/>
  <c r="AR30" i="14"/>
  <c r="BE30" i="14" s="1"/>
  <c r="AR194" i="14"/>
  <c r="AR26" i="14"/>
  <c r="BE26" i="14" s="1"/>
  <c r="AR253" i="14"/>
  <c r="AR229" i="14"/>
  <c r="AR221" i="14"/>
  <c r="AR205" i="14"/>
  <c r="AR197" i="14"/>
  <c r="AR125" i="14"/>
  <c r="AR53" i="14"/>
  <c r="BE53" i="14" s="1"/>
  <c r="AR29" i="14"/>
  <c r="BE29" i="14" s="1"/>
  <c r="AR218" i="14"/>
  <c r="AR228" i="14"/>
  <c r="AR212" i="14"/>
  <c r="AR196" i="14"/>
  <c r="AR132" i="14"/>
  <c r="AR28" i="14"/>
  <c r="BE28" i="14" s="1"/>
  <c r="AR252" i="14"/>
  <c r="AR220" i="14"/>
  <c r="AR204" i="14"/>
  <c r="AR251" i="14"/>
  <c r="AR227" i="14"/>
  <c r="AR211" i="14"/>
  <c r="AR195" i="14"/>
  <c r="AR179" i="14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75" i="1"/>
  <c r="BC176" i="1"/>
  <c r="BC177" i="1"/>
  <c r="BC178" i="1"/>
  <c r="BC179" i="1"/>
  <c r="BC180" i="1"/>
  <c r="BC203" i="1"/>
  <c r="BC204" i="1"/>
  <c r="BC210" i="1"/>
  <c r="BC211" i="1"/>
  <c r="BC212" i="1"/>
  <c r="BC213" i="1"/>
  <c r="BC214" i="1"/>
  <c r="BC215" i="1"/>
  <c r="BC216" i="1"/>
  <c r="BC217" i="1"/>
  <c r="BC218" i="1"/>
  <c r="BC219" i="1"/>
  <c r="BC220" i="1"/>
  <c r="BC221" i="1"/>
  <c r="BC222" i="1"/>
  <c r="BC223" i="1"/>
  <c r="BC224" i="1"/>
  <c r="BC225" i="1"/>
  <c r="BC226" i="1"/>
  <c r="BC227" i="1"/>
  <c r="BC228" i="1"/>
  <c r="BC229" i="1"/>
  <c r="BC230" i="1"/>
  <c r="BC231" i="1"/>
  <c r="BC232" i="1"/>
  <c r="BC233" i="1"/>
  <c r="BC234" i="1"/>
  <c r="BC235" i="1"/>
  <c r="BC236" i="1"/>
  <c r="BC237" i="1"/>
  <c r="BC238" i="1"/>
  <c r="BC239" i="1"/>
  <c r="BC240" i="1"/>
  <c r="BC241" i="1"/>
  <c r="BC242" i="1"/>
  <c r="BC243" i="1"/>
  <c r="BC244" i="1"/>
  <c r="BC245" i="1"/>
  <c r="BC246" i="1"/>
  <c r="BC247" i="1"/>
  <c r="BC248" i="1"/>
  <c r="BC249" i="1"/>
  <c r="BC250" i="1"/>
  <c r="BC251" i="1"/>
  <c r="BC252" i="1"/>
  <c r="BC253" i="1"/>
  <c r="BC254" i="1"/>
  <c r="BC255" i="1"/>
  <c r="BC256" i="1"/>
  <c r="BC257" i="1"/>
  <c r="BC258" i="1"/>
  <c r="BC259" i="1"/>
  <c r="BC260" i="1"/>
  <c r="BC261" i="1"/>
  <c r="BC262" i="1"/>
  <c r="BC263" i="1"/>
  <c r="BC264" i="1"/>
  <c r="BC265" i="1"/>
  <c r="BC266" i="1"/>
  <c r="BC267" i="1"/>
  <c r="BC268" i="1"/>
  <c r="BC269" i="1"/>
  <c r="BC270" i="1"/>
  <c r="BC271" i="1"/>
  <c r="BC272" i="1"/>
  <c r="BC273" i="1"/>
  <c r="BC274" i="1"/>
  <c r="BC275" i="1"/>
  <c r="BC276" i="1"/>
  <c r="BC277" i="1"/>
  <c r="BC278" i="1"/>
  <c r="BC279" i="1"/>
  <c r="BC280" i="1"/>
  <c r="BC281" i="1"/>
  <c r="BC282" i="1"/>
  <c r="BC283" i="1"/>
  <c r="BC284" i="1"/>
  <c r="BC285" i="1"/>
  <c r="BC286" i="1"/>
  <c r="BC287" i="1"/>
  <c r="BC288" i="1"/>
  <c r="BC289" i="1"/>
  <c r="BC290" i="1"/>
  <c r="BC291" i="1"/>
  <c r="BC292" i="1"/>
  <c r="BC293" i="1"/>
  <c r="BC294" i="1"/>
  <c r="BC295" i="1"/>
  <c r="BC296" i="1"/>
  <c r="BC297" i="1"/>
  <c r="BC298" i="1"/>
  <c r="BC299" i="1"/>
  <c r="BC300" i="1"/>
  <c r="BC301" i="1"/>
  <c r="BC302" i="1"/>
  <c r="BC303" i="1"/>
  <c r="BC304" i="1"/>
  <c r="BC305" i="1"/>
  <c r="BC306" i="1"/>
  <c r="BC307" i="1"/>
  <c r="BC308" i="1"/>
  <c r="BC309" i="1"/>
  <c r="BC310" i="1"/>
  <c r="BC311" i="1"/>
  <c r="BC312" i="1"/>
  <c r="BC313" i="1"/>
  <c r="BC314" i="1"/>
  <c r="BC315" i="1"/>
  <c r="BC316" i="1"/>
  <c r="BC317" i="1"/>
  <c r="BC318" i="1"/>
  <c r="BC319" i="1"/>
  <c r="BC320" i="1"/>
  <c r="BC321" i="1"/>
  <c r="BC322" i="1"/>
  <c r="BC323" i="1"/>
  <c r="BC324" i="1"/>
  <c r="BC325" i="1"/>
  <c r="BC326" i="1"/>
  <c r="BC327" i="1"/>
  <c r="BC328" i="1"/>
  <c r="BC329" i="1"/>
  <c r="BC330" i="1"/>
  <c r="BC331" i="1"/>
  <c r="BC332" i="1"/>
  <c r="BC333" i="1"/>
  <c r="BC354" i="1"/>
  <c r="BC355" i="1"/>
  <c r="BC356" i="1"/>
  <c r="BC357" i="1"/>
  <c r="BC358" i="1"/>
  <c r="BC359" i="1"/>
  <c r="BC360" i="1"/>
  <c r="BC361" i="1"/>
  <c r="BC362" i="1"/>
  <c r="BC363" i="1"/>
  <c r="BC364" i="1"/>
  <c r="BC365" i="1"/>
  <c r="BC366" i="1"/>
  <c r="BC367" i="1"/>
  <c r="BC368" i="1"/>
  <c r="BC369" i="1"/>
  <c r="BC370" i="1"/>
  <c r="BC371" i="1"/>
  <c r="BC372" i="1"/>
  <c r="BC373" i="1"/>
  <c r="BC374" i="1"/>
  <c r="BC375" i="1"/>
  <c r="BC376" i="1"/>
  <c r="BC377" i="1"/>
  <c r="BC378" i="1"/>
  <c r="BC379" i="1"/>
  <c r="BC380" i="1"/>
  <c r="BC381" i="1"/>
  <c r="BC382" i="1"/>
  <c r="BC383" i="1"/>
  <c r="BC384" i="1"/>
  <c r="BC385" i="1"/>
  <c r="BC386" i="1"/>
  <c r="BC387" i="1"/>
  <c r="BC388" i="1"/>
  <c r="BC389" i="1"/>
  <c r="BC390" i="1"/>
  <c r="BC391" i="1"/>
  <c r="BC392" i="1"/>
  <c r="BC393" i="1"/>
  <c r="BC394" i="1"/>
  <c r="BC395" i="1"/>
  <c r="BC396" i="1"/>
  <c r="BC397" i="1"/>
  <c r="BC398" i="1"/>
  <c r="BC399" i="1"/>
  <c r="BC400" i="1"/>
  <c r="BC401" i="1"/>
  <c r="BC402" i="1"/>
  <c r="BC403" i="1"/>
  <c r="BC404" i="1"/>
  <c r="BC405" i="1"/>
  <c r="BC406" i="1"/>
  <c r="BC407" i="1"/>
  <c r="BC408" i="1"/>
  <c r="BC409" i="1"/>
  <c r="BC410" i="1"/>
  <c r="BC411" i="1"/>
  <c r="BC412" i="1"/>
  <c r="BC413" i="1"/>
  <c r="BC414" i="1"/>
  <c r="BC415" i="1"/>
  <c r="BC416" i="1"/>
  <c r="BC417" i="1"/>
  <c r="BC418" i="1"/>
  <c r="BC419" i="1"/>
  <c r="BC420" i="1"/>
  <c r="BC421" i="1"/>
  <c r="BC422" i="1"/>
  <c r="BC423" i="1"/>
  <c r="BC424" i="1"/>
  <c r="BC425" i="1"/>
  <c r="BC426" i="1"/>
  <c r="BC427" i="1"/>
  <c r="BC428" i="1"/>
  <c r="BC429" i="1"/>
  <c r="BC430" i="1"/>
  <c r="BC431" i="1"/>
  <c r="BC432" i="1"/>
  <c r="BC433" i="1"/>
  <c r="BC434" i="1"/>
  <c r="BC435" i="1"/>
  <c r="BC436" i="1"/>
  <c r="BC437" i="1"/>
  <c r="BC438" i="1"/>
  <c r="BC439" i="1"/>
  <c r="BC440" i="1"/>
  <c r="BC441" i="1"/>
  <c r="BC442" i="1"/>
  <c r="BC443" i="1"/>
  <c r="BC444" i="1"/>
  <c r="BC445" i="1"/>
  <c r="BC446" i="1"/>
  <c r="BC447" i="1"/>
  <c r="BC448" i="1"/>
  <c r="BC449" i="1"/>
  <c r="BC450" i="1"/>
  <c r="BC451" i="1"/>
  <c r="BC452" i="1"/>
  <c r="BC453" i="1"/>
  <c r="BC454" i="1"/>
  <c r="BC455" i="1"/>
  <c r="BC456" i="1"/>
  <c r="BC457" i="1"/>
  <c r="BC458" i="1"/>
  <c r="BC459" i="1"/>
  <c r="BC460" i="1"/>
  <c r="BC461" i="1"/>
  <c r="BC462" i="1"/>
  <c r="BC463" i="1"/>
  <c r="BC464" i="1"/>
  <c r="BC465" i="1"/>
  <c r="BC466" i="1"/>
  <c r="BC467" i="1"/>
  <c r="BC468" i="1"/>
  <c r="BC469" i="1"/>
  <c r="BC470" i="1"/>
  <c r="BC471" i="1"/>
  <c r="BC472" i="1"/>
  <c r="BC473" i="1"/>
  <c r="BC474" i="1"/>
  <c r="BC475" i="1"/>
  <c r="BC476" i="1"/>
  <c r="BC477" i="1"/>
  <c r="BC478" i="1"/>
  <c r="BC479" i="1"/>
  <c r="BC480" i="1"/>
  <c r="BC481" i="1"/>
  <c r="BC482" i="1"/>
  <c r="BC483" i="1"/>
  <c r="BC484" i="1"/>
  <c r="BC485" i="1"/>
  <c r="BC486" i="1"/>
  <c r="BC487" i="1"/>
  <c r="BC488" i="1"/>
  <c r="BC489" i="1"/>
  <c r="BC490" i="1"/>
  <c r="BC491" i="1"/>
  <c r="BC492" i="1"/>
  <c r="BC493" i="1"/>
  <c r="BC494" i="1"/>
  <c r="BC495" i="1"/>
  <c r="BC496" i="1"/>
  <c r="BC497" i="1"/>
  <c r="BC498" i="1"/>
  <c r="BC499" i="1"/>
  <c r="BC500" i="1"/>
  <c r="BC501" i="1"/>
  <c r="BC502" i="1"/>
  <c r="BC503" i="1"/>
  <c r="BC504" i="1"/>
  <c r="BC505" i="1"/>
  <c r="BC506" i="1"/>
  <c r="BC507" i="1"/>
  <c r="BC508" i="1"/>
  <c r="BC509" i="1"/>
  <c r="BC510" i="1"/>
  <c r="BC511" i="1"/>
  <c r="BC512" i="1"/>
  <c r="BC513" i="1"/>
  <c r="BC514" i="1"/>
  <c r="BC515" i="1"/>
  <c r="BC516" i="1"/>
  <c r="BC517" i="1"/>
  <c r="BC518" i="1"/>
  <c r="BC519" i="1"/>
  <c r="BC520" i="1"/>
  <c r="BC521" i="1"/>
  <c r="BC522" i="1"/>
  <c r="BC523" i="1"/>
  <c r="BC524" i="1"/>
  <c r="BC525" i="1"/>
  <c r="BC526" i="1"/>
  <c r="BC527" i="1"/>
  <c r="BC528" i="1"/>
  <c r="BC529" i="1"/>
  <c r="BC530" i="1"/>
  <c r="BC531" i="1"/>
  <c r="BC532" i="1"/>
  <c r="BC533" i="1"/>
  <c r="BC534" i="1"/>
  <c r="BC535" i="1"/>
  <c r="BC536" i="1"/>
  <c r="BC537" i="1"/>
  <c r="BC538" i="1"/>
  <c r="BC539" i="1"/>
  <c r="BC540" i="1"/>
  <c r="BC541" i="1"/>
  <c r="BC542" i="1"/>
  <c r="BC543" i="1"/>
  <c r="BC544" i="1"/>
  <c r="BC545" i="1"/>
  <c r="BC546" i="1"/>
  <c r="BC547" i="1"/>
  <c r="BC548" i="1"/>
  <c r="BC549" i="1"/>
  <c r="BC550" i="1"/>
  <c r="BC551" i="1"/>
  <c r="BC552" i="1"/>
  <c r="BC553" i="1"/>
  <c r="BC554" i="1"/>
  <c r="BC555" i="1"/>
  <c r="BC556" i="1"/>
  <c r="BC557" i="1"/>
  <c r="BC558" i="1"/>
  <c r="BC559" i="1"/>
  <c r="BC560" i="1"/>
  <c r="BC561" i="1"/>
  <c r="BC562" i="1"/>
  <c r="BC563" i="1"/>
  <c r="BC564" i="1"/>
  <c r="BC565" i="1"/>
  <c r="BC566" i="1"/>
  <c r="BC567" i="1"/>
  <c r="BC568" i="1"/>
  <c r="BC569" i="1"/>
  <c r="BC570" i="1"/>
  <c r="BC571" i="1"/>
  <c r="BC594" i="1"/>
  <c r="BC596" i="1"/>
  <c r="BC597" i="1"/>
  <c r="BC598" i="1"/>
  <c r="BC599" i="1"/>
  <c r="BC600" i="1"/>
  <c r="BC601" i="1"/>
  <c r="BC602" i="1"/>
  <c r="BC603" i="1"/>
  <c r="BC604" i="1"/>
  <c r="BC605" i="1"/>
  <c r="BC606" i="1"/>
  <c r="BC607" i="1"/>
  <c r="BC608" i="1"/>
  <c r="BC609" i="1"/>
  <c r="BC610" i="1"/>
  <c r="BC611" i="1"/>
  <c r="BC612" i="1"/>
  <c r="BC613" i="1"/>
  <c r="BC614" i="1"/>
  <c r="BC615" i="1"/>
  <c r="BC616" i="1"/>
  <c r="BC617" i="1"/>
  <c r="BC618" i="1"/>
  <c r="BC619" i="1"/>
  <c r="BC620" i="1"/>
  <c r="BC621" i="1"/>
  <c r="BC622" i="1"/>
  <c r="BC623" i="1"/>
  <c r="BC624" i="1"/>
  <c r="BC625" i="1"/>
  <c r="BC626" i="1"/>
  <c r="BC627" i="1"/>
  <c r="BC628" i="1"/>
  <c r="BC629" i="1"/>
  <c r="BC630" i="1"/>
  <c r="BC631" i="1"/>
  <c r="BC632" i="1"/>
  <c r="BC633" i="1"/>
  <c r="BC634" i="1"/>
  <c r="BC635" i="1"/>
  <c r="BC636" i="1"/>
  <c r="BC637" i="1"/>
  <c r="BC638" i="1"/>
  <c r="BC639" i="1"/>
  <c r="BC640" i="1"/>
  <c r="BC641" i="1"/>
  <c r="BC642" i="1"/>
  <c r="BC643" i="1"/>
  <c r="BC644" i="1"/>
  <c r="BC645" i="1"/>
  <c r="BC646" i="1"/>
  <c r="BC647" i="1"/>
  <c r="BC648" i="1"/>
  <c r="BC649" i="1"/>
  <c r="BC650" i="1"/>
  <c r="BC651" i="1"/>
  <c r="BC652" i="1"/>
  <c r="BC653" i="1"/>
  <c r="BC654" i="1"/>
  <c r="BC655" i="1"/>
  <c r="BC656" i="1"/>
  <c r="BC657" i="1"/>
  <c r="BC658" i="1"/>
  <c r="BC659" i="1"/>
  <c r="BC660" i="1"/>
  <c r="BC661" i="1"/>
  <c r="BC662" i="1"/>
  <c r="BC663" i="1"/>
  <c r="BC664" i="1"/>
  <c r="BC665" i="1"/>
  <c r="BC666" i="1"/>
  <c r="BC667" i="1"/>
  <c r="BC668" i="1"/>
  <c r="BC669" i="1"/>
  <c r="BC670" i="1"/>
  <c r="BC671" i="1"/>
  <c r="BC672" i="1"/>
  <c r="BC673" i="1"/>
  <c r="BC674" i="1"/>
  <c r="BC675" i="1"/>
  <c r="BC676" i="1"/>
  <c r="BC677" i="1"/>
  <c r="BC678" i="1"/>
  <c r="BC679" i="1"/>
  <c r="BC680" i="1"/>
  <c r="BC681" i="1"/>
  <c r="BC682" i="1"/>
  <c r="BC683" i="1"/>
  <c r="BC684" i="1"/>
  <c r="BC685" i="1"/>
  <c r="BC686" i="1"/>
  <c r="BC687" i="1"/>
  <c r="BC688" i="1"/>
  <c r="BC689" i="1"/>
  <c r="BC690" i="1"/>
  <c r="BC691" i="1"/>
  <c r="BC692" i="1"/>
  <c r="BC693" i="1"/>
  <c r="BC694" i="1"/>
  <c r="BC695" i="1"/>
  <c r="BC696" i="1"/>
  <c r="BC697" i="1"/>
  <c r="BC698" i="1"/>
  <c r="BC699" i="1"/>
  <c r="BC700" i="1"/>
  <c r="BC701" i="1"/>
  <c r="BC702" i="1"/>
  <c r="BC703" i="1"/>
  <c r="BC704" i="1"/>
  <c r="BC705" i="1"/>
  <c r="BC706" i="1"/>
  <c r="BC707" i="1"/>
  <c r="BC708" i="1"/>
  <c r="BC709" i="1"/>
  <c r="BC710" i="1"/>
  <c r="BC711" i="1"/>
  <c r="BC712" i="1"/>
  <c r="BC713" i="1"/>
  <c r="BC714" i="1"/>
  <c r="BC715" i="1"/>
  <c r="BC716" i="1"/>
  <c r="BC723" i="1"/>
  <c r="BC724" i="1"/>
  <c r="BC725" i="1"/>
  <c r="BC726" i="1"/>
  <c r="BC727" i="1"/>
  <c r="BC728" i="1"/>
  <c r="BC729" i="1"/>
  <c r="BC730" i="1"/>
  <c r="BC731" i="1"/>
  <c r="BC732" i="1"/>
  <c r="BC733" i="1"/>
  <c r="BC734" i="1"/>
  <c r="BC735" i="1"/>
  <c r="BC736" i="1"/>
  <c r="BC737" i="1"/>
  <c r="BC738" i="1"/>
  <c r="BC739" i="1"/>
  <c r="BC740" i="1"/>
  <c r="BC741" i="1"/>
  <c r="BC742" i="1"/>
  <c r="BC743" i="1"/>
  <c r="BC744" i="1"/>
  <c r="BC745" i="1"/>
  <c r="BC746" i="1"/>
  <c r="BC747" i="1"/>
  <c r="BC748" i="1"/>
  <c r="BC749" i="1"/>
  <c r="BC750" i="1"/>
  <c r="BC751" i="1"/>
  <c r="BC752" i="1"/>
  <c r="BC753" i="1"/>
  <c r="BC754" i="1"/>
  <c r="BC755" i="1"/>
  <c r="BC756" i="1"/>
  <c r="BC757" i="1"/>
  <c r="BC758" i="1"/>
  <c r="BC759" i="1"/>
  <c r="BC760" i="1"/>
  <c r="BC761" i="1"/>
  <c r="BC762" i="1"/>
  <c r="BC763" i="1"/>
  <c r="BC764" i="1"/>
  <c r="BC765" i="1"/>
  <c r="BC766" i="1"/>
  <c r="BC767" i="1"/>
  <c r="BC768" i="1"/>
  <c r="BC769" i="1"/>
  <c r="BC770" i="1"/>
  <c r="BC771" i="1"/>
  <c r="BC772" i="1"/>
  <c r="BC773" i="1"/>
  <c r="BC774" i="1"/>
  <c r="BC775" i="1"/>
  <c r="BC776" i="1"/>
  <c r="BC777" i="1"/>
  <c r="BC778" i="1"/>
  <c r="BC779" i="1"/>
  <c r="BC780" i="1"/>
  <c r="BC781" i="1"/>
  <c r="BC782" i="1"/>
  <c r="BC783" i="1"/>
  <c r="BC784" i="1"/>
  <c r="BC785" i="1"/>
  <c r="BC786" i="1"/>
  <c r="BC787" i="1"/>
  <c r="BC788" i="1"/>
  <c r="BC789" i="1"/>
  <c r="BC790" i="1"/>
  <c r="BC791" i="1"/>
  <c r="BC792" i="1"/>
  <c r="BC793" i="1"/>
  <c r="BC794" i="1"/>
  <c r="BC795" i="1"/>
  <c r="BC796" i="1"/>
  <c r="BC797" i="1"/>
  <c r="BC798" i="1"/>
  <c r="BC799" i="1"/>
  <c r="BC800" i="1"/>
  <c r="BC801" i="1"/>
  <c r="BC802" i="1"/>
  <c r="BC803" i="1"/>
  <c r="BC804" i="1"/>
  <c r="BC805" i="1"/>
  <c r="BC806" i="1"/>
  <c r="BC807" i="1"/>
  <c r="BC808" i="1"/>
  <c r="BC809" i="1"/>
  <c r="BC810" i="1"/>
  <c r="BC811" i="1"/>
  <c r="BC812" i="1"/>
  <c r="BC813" i="1"/>
  <c r="BC814" i="1"/>
  <c r="BC815" i="1"/>
  <c r="BC816" i="1"/>
  <c r="BC817" i="1"/>
  <c r="BC818" i="1"/>
  <c r="BC819" i="1"/>
  <c r="BC820" i="1"/>
  <c r="BC821" i="1"/>
  <c r="BC822" i="1"/>
  <c r="BC823" i="1"/>
  <c r="BC824" i="1"/>
  <c r="BC825" i="1"/>
  <c r="BC826" i="1"/>
  <c r="BC827" i="1"/>
  <c r="BC828" i="1"/>
  <c r="BC829" i="1"/>
  <c r="BC830" i="1"/>
  <c r="BC836" i="1"/>
  <c r="BC837" i="1"/>
  <c r="BC838" i="1"/>
  <c r="BC839" i="1"/>
  <c r="BC840" i="1"/>
  <c r="BC841" i="1"/>
  <c r="BC842" i="1"/>
  <c r="BC843" i="1"/>
  <c r="BC844" i="1"/>
  <c r="BC845" i="1"/>
  <c r="BC846" i="1"/>
  <c r="BC847" i="1"/>
  <c r="BC848" i="1"/>
  <c r="BC849" i="1"/>
  <c r="BC850" i="1"/>
  <c r="BC851" i="1"/>
  <c r="BC852" i="1"/>
  <c r="BC853" i="1"/>
  <c r="BC854" i="1"/>
  <c r="BC855" i="1"/>
  <c r="BC856" i="1"/>
  <c r="BC857" i="1"/>
  <c r="BC858" i="1"/>
  <c r="BC859" i="1"/>
  <c r="BC860" i="1"/>
  <c r="BC861" i="1"/>
  <c r="BC862" i="1"/>
  <c r="BC863" i="1"/>
  <c r="BC864" i="1"/>
  <c r="BC865" i="1"/>
  <c r="BC866" i="1"/>
  <c r="BC867" i="1"/>
  <c r="BC868" i="1"/>
  <c r="BC869" i="1"/>
  <c r="BC870" i="1"/>
  <c r="BC871" i="1"/>
  <c r="BC872" i="1"/>
  <c r="BC873" i="1"/>
  <c r="BC874" i="1"/>
  <c r="BC875" i="1"/>
  <c r="BC876" i="1"/>
  <c r="BC877" i="1"/>
  <c r="BC878" i="1"/>
  <c r="BC879" i="1"/>
  <c r="BC880" i="1"/>
  <c r="BC881" i="1"/>
  <c r="BC882" i="1"/>
  <c r="BC883" i="1"/>
  <c r="BC884" i="1"/>
  <c r="BC885" i="1"/>
  <c r="BC886" i="1"/>
  <c r="BC887" i="1"/>
  <c r="BC888" i="1"/>
  <c r="BC889" i="1"/>
  <c r="BC890" i="1"/>
  <c r="BC891" i="1"/>
  <c r="BC892" i="1"/>
  <c r="BC893" i="1"/>
  <c r="BC894" i="1"/>
  <c r="BC895" i="1"/>
  <c r="BC896" i="1"/>
  <c r="BC897" i="1"/>
  <c r="BC898" i="1"/>
  <c r="BC899" i="1"/>
  <c r="BC900" i="1"/>
  <c r="BC901" i="1"/>
  <c r="BC902" i="1"/>
  <c r="BC903" i="1"/>
  <c r="BC916" i="1"/>
  <c r="BC917" i="1"/>
  <c r="BC918" i="1"/>
  <c r="BC919" i="1"/>
  <c r="BC920" i="1"/>
  <c r="BC921" i="1"/>
  <c r="BC922" i="1"/>
  <c r="BC923" i="1"/>
  <c r="BC924" i="1"/>
  <c r="BC925" i="1"/>
  <c r="BC926" i="1"/>
  <c r="BC927" i="1"/>
  <c r="BC928" i="1"/>
  <c r="BC929" i="1"/>
  <c r="BC930" i="1"/>
  <c r="BC931" i="1"/>
  <c r="BC932" i="1"/>
  <c r="BC933" i="1"/>
  <c r="BC934" i="1"/>
  <c r="BC935" i="1"/>
  <c r="BC936" i="1"/>
  <c r="BC937" i="1"/>
  <c r="BC938" i="1"/>
  <c r="BC939" i="1"/>
  <c r="BC940" i="1"/>
  <c r="BC941" i="1"/>
  <c r="BC942" i="1"/>
  <c r="BC943" i="1"/>
  <c r="BC944" i="1"/>
  <c r="BC945" i="1"/>
  <c r="BC946" i="1"/>
  <c r="BC947" i="1"/>
  <c r="BC948" i="1"/>
  <c r="BC949" i="1"/>
  <c r="BC950" i="1"/>
  <c r="BC951" i="1"/>
  <c r="BC952" i="1"/>
  <c r="BC953" i="1"/>
  <c r="BC964" i="1"/>
  <c r="BC965" i="1"/>
  <c r="BC966" i="1"/>
  <c r="BC981" i="1"/>
  <c r="BC982" i="1"/>
  <c r="BC983" i="1"/>
  <c r="BC984" i="1"/>
  <c r="BC985" i="1"/>
  <c r="BC986" i="1"/>
  <c r="BC987" i="1"/>
  <c r="BC988" i="1"/>
  <c r="BC989" i="1"/>
  <c r="BC990" i="1"/>
  <c r="BC991" i="1"/>
  <c r="BC992" i="1"/>
  <c r="BC993" i="1"/>
  <c r="BC1007" i="1"/>
  <c r="BC1008" i="1"/>
  <c r="BC1009" i="1"/>
  <c r="BC1010" i="1"/>
  <c r="BC1011" i="1"/>
  <c r="BC1012" i="1"/>
  <c r="BC1013" i="1"/>
  <c r="BC1014" i="1"/>
  <c r="BC1015" i="1"/>
  <c r="BC1016" i="1"/>
  <c r="BC1017" i="1"/>
  <c r="BC1018" i="1"/>
  <c r="BC1019" i="1"/>
  <c r="BC1020" i="1"/>
  <c r="BC1021" i="1"/>
  <c r="BC1022" i="1"/>
  <c r="BC1023" i="1"/>
  <c r="BC1024" i="1"/>
  <c r="BC1025" i="1"/>
  <c r="BC1026" i="1"/>
  <c r="BC1027" i="1"/>
  <c r="BC1028" i="1"/>
  <c r="BC1029" i="1"/>
  <c r="BC1030" i="1"/>
  <c r="BC1031" i="1"/>
  <c r="BC1032" i="1"/>
  <c r="BC1033" i="1"/>
  <c r="BC1034" i="1"/>
  <c r="BC1035" i="1"/>
  <c r="BC1036" i="1"/>
  <c r="BC1037" i="1"/>
  <c r="BC1038" i="1"/>
  <c r="BC1039" i="1"/>
  <c r="BC1040" i="1"/>
  <c r="BC1041" i="1"/>
  <c r="BC1042" i="1"/>
  <c r="BC1043" i="1"/>
  <c r="BC1044" i="1"/>
  <c r="BC1045" i="1"/>
  <c r="BC1046" i="1"/>
  <c r="BC1047" i="1"/>
  <c r="BC1048" i="1"/>
  <c r="BC1049" i="1"/>
  <c r="BC1050" i="1"/>
  <c r="BC1051" i="1"/>
  <c r="BC1052" i="1"/>
  <c r="BC1053" i="1"/>
  <c r="BC1054" i="1"/>
  <c r="BC1055" i="1"/>
  <c r="BC1056" i="1"/>
  <c r="BC1057" i="1"/>
  <c r="BC1058" i="1"/>
  <c r="BC1059" i="1"/>
  <c r="BC1060" i="1"/>
  <c r="BC1061" i="1"/>
  <c r="BC1062" i="1"/>
  <c r="BC1063" i="1"/>
  <c r="BC1064" i="1"/>
  <c r="BC1065" i="1"/>
  <c r="BC1066" i="1"/>
  <c r="BC1067" i="1"/>
  <c r="BC1068" i="1"/>
  <c r="BC1069" i="1"/>
  <c r="BC1070" i="1"/>
  <c r="BC1076" i="1"/>
  <c r="BC1083" i="1"/>
  <c r="BC1084" i="1"/>
  <c r="BC1085" i="1"/>
  <c r="BC1086" i="1"/>
  <c r="BC1087" i="1"/>
  <c r="BC1088" i="1"/>
  <c r="BC1089" i="1"/>
  <c r="BC1090" i="1"/>
  <c r="BC1091" i="1"/>
  <c r="BC1092" i="1"/>
  <c r="BC1093" i="1"/>
  <c r="BC1094" i="1"/>
  <c r="BC1095" i="1"/>
  <c r="BC1096" i="1"/>
  <c r="BC1097" i="1"/>
  <c r="BC1098" i="1"/>
  <c r="BC1099" i="1"/>
  <c r="BC1100" i="1"/>
  <c r="BC1101" i="1"/>
  <c r="BC1102" i="1"/>
  <c r="BC1103" i="1"/>
  <c r="BC1104" i="1"/>
  <c r="BC1105" i="1"/>
  <c r="BC1106" i="1"/>
  <c r="BC1107" i="1"/>
  <c r="BC1108" i="1"/>
  <c r="BC1109" i="1"/>
  <c r="BC1110" i="1"/>
  <c r="BC1111" i="1"/>
  <c r="BC1112" i="1"/>
  <c r="BC1113" i="1"/>
  <c r="BC1114" i="1"/>
  <c r="BC1115" i="1"/>
  <c r="BC1116" i="1"/>
  <c r="BC1117" i="1"/>
  <c r="BC1118" i="1"/>
  <c r="BC1119" i="1"/>
  <c r="BC1120" i="1"/>
  <c r="BC1121" i="1"/>
  <c r="BC1122" i="1"/>
  <c r="BC1123" i="1"/>
  <c r="BC1124" i="1"/>
  <c r="BC1125" i="1"/>
  <c r="BC1126" i="1"/>
  <c r="BC1127" i="1"/>
  <c r="BC1128" i="1"/>
  <c r="BC1129" i="1"/>
  <c r="BC1130" i="1"/>
  <c r="BC1131" i="1"/>
  <c r="BC1132" i="1"/>
  <c r="BC1133" i="1"/>
  <c r="BC1134" i="1"/>
  <c r="BC1135" i="1"/>
  <c r="BC1136" i="1"/>
  <c r="BC1137" i="1"/>
  <c r="BC1138" i="1"/>
  <c r="BC1139" i="1"/>
  <c r="BC1140" i="1"/>
  <c r="BC1141" i="1"/>
  <c r="BC1142" i="1"/>
  <c r="BC1143" i="1"/>
  <c r="BC1144" i="1"/>
  <c r="BC1145" i="1"/>
  <c r="BC1146" i="1"/>
  <c r="BC1147" i="1"/>
  <c r="BC1148" i="1"/>
  <c r="BC1149" i="1"/>
  <c r="BC1150" i="1"/>
  <c r="BC1151" i="1"/>
  <c r="BC1152" i="1"/>
  <c r="BC1153" i="1"/>
  <c r="BC1154" i="1"/>
  <c r="BC1155" i="1"/>
  <c r="BC1156" i="1"/>
  <c r="BC1157" i="1"/>
  <c r="BC1158" i="1"/>
  <c r="BC1159" i="1"/>
  <c r="BC1160" i="1"/>
  <c r="BC1161" i="1"/>
  <c r="BC1162" i="1"/>
  <c r="BC1163" i="1"/>
  <c r="BC1164" i="1"/>
  <c r="BC1165" i="1"/>
  <c r="BC1166" i="1"/>
  <c r="BC1167" i="1"/>
  <c r="BC1168" i="1"/>
  <c r="BC1169" i="1"/>
  <c r="BC1170" i="1"/>
  <c r="BC1171" i="1"/>
  <c r="BC1172" i="1"/>
  <c r="BC1173" i="1"/>
  <c r="BC1174" i="1"/>
  <c r="BC1175" i="1"/>
  <c r="BC1176" i="1"/>
  <c r="BC1177" i="1"/>
  <c r="BC1178" i="1"/>
  <c r="BC1179" i="1"/>
  <c r="BC1180" i="1"/>
  <c r="BC1181" i="1"/>
  <c r="BC1182" i="1"/>
  <c r="BC1183" i="1"/>
  <c r="BC1184" i="1"/>
  <c r="BC1185" i="1"/>
  <c r="BC1186" i="1"/>
  <c r="BC1187" i="1"/>
  <c r="BC1188" i="1"/>
  <c r="BC1189" i="1"/>
  <c r="BC1190" i="1"/>
  <c r="BC1191" i="1"/>
  <c r="BC1192" i="1"/>
  <c r="BC1193" i="1"/>
  <c r="BC1194" i="1"/>
  <c r="BC1195" i="1"/>
  <c r="BC1196" i="1"/>
  <c r="BC1197" i="1"/>
  <c r="BC1198" i="1"/>
  <c r="BC1199" i="1"/>
  <c r="BC1200" i="1"/>
  <c r="BC1201" i="1"/>
  <c r="BC1202" i="1"/>
  <c r="BC1203" i="1"/>
  <c r="BC1204" i="1"/>
  <c r="BC1205" i="1"/>
  <c r="BC1206" i="1"/>
  <c r="BC1207" i="1"/>
  <c r="BC1208" i="1"/>
  <c r="BC1209" i="1"/>
  <c r="BC1210" i="1"/>
  <c r="BC1211" i="1"/>
  <c r="BC1212" i="1"/>
  <c r="BC1213" i="1"/>
  <c r="BC1214" i="1"/>
  <c r="BC1215" i="1"/>
  <c r="BC1216" i="1"/>
  <c r="BC1217" i="1"/>
  <c r="BC1218" i="1"/>
  <c r="BC1219" i="1"/>
  <c r="BC1220" i="1"/>
  <c r="BC1221" i="1"/>
  <c r="BC1222" i="1"/>
  <c r="BC1223" i="1"/>
  <c r="BC1224" i="1"/>
  <c r="BC1225" i="1"/>
  <c r="BC1226" i="1"/>
  <c r="BC1227" i="1"/>
  <c r="BC1228" i="1"/>
  <c r="BC1229" i="1"/>
  <c r="BC1230" i="1"/>
  <c r="BC1231" i="1"/>
  <c r="BC1232" i="1"/>
  <c r="BC1233" i="1"/>
  <c r="BC1234" i="1"/>
  <c r="BC1235" i="1"/>
  <c r="BC1236" i="1"/>
  <c r="BC1237" i="1"/>
  <c r="BC1238" i="1"/>
  <c r="BC1239" i="1"/>
  <c r="BC1240" i="1"/>
  <c r="BC1241" i="1"/>
  <c r="BC1242" i="1"/>
  <c r="BC1243" i="1"/>
  <c r="BC1244" i="1"/>
  <c r="BC1245" i="1"/>
  <c r="BC1246" i="1"/>
  <c r="BC1247" i="1"/>
  <c r="BC1248" i="1"/>
  <c r="BC1249" i="1"/>
  <c r="BC1250" i="1"/>
  <c r="BC1251" i="1"/>
  <c r="BC1252" i="1"/>
  <c r="BC1253" i="1"/>
  <c r="BC1254" i="1"/>
  <c r="BC1255" i="1"/>
  <c r="BC1256" i="1"/>
  <c r="BC1257" i="1"/>
  <c r="BC1258" i="1"/>
  <c r="BC1259" i="1"/>
  <c r="BC1260" i="1"/>
  <c r="BC1261" i="1"/>
  <c r="BC1262" i="1"/>
  <c r="BC1263" i="1"/>
  <c r="BC1264" i="1"/>
  <c r="BC1265" i="1"/>
  <c r="BC1266" i="1"/>
  <c r="BC1267" i="1"/>
  <c r="BC1268" i="1"/>
  <c r="BC1269" i="1"/>
  <c r="BC1270" i="1"/>
  <c r="BC1271" i="1"/>
  <c r="BC1272" i="1"/>
  <c r="BC1273" i="1"/>
  <c r="BC1274" i="1"/>
  <c r="BC1275" i="1"/>
  <c r="BC1276" i="1"/>
  <c r="BC1277" i="1"/>
  <c r="BC1278" i="1"/>
  <c r="BC1279" i="1"/>
  <c r="BC1280" i="1"/>
  <c r="BC1281" i="1"/>
  <c r="BC1282" i="1"/>
  <c r="BC1283" i="1"/>
  <c r="BC1284" i="1"/>
  <c r="BC1285" i="1"/>
  <c r="BC1286" i="1"/>
  <c r="BC1287" i="1"/>
  <c r="BC1288" i="1"/>
  <c r="BC1289" i="1"/>
  <c r="BC1290" i="1"/>
  <c r="BC1291" i="1"/>
  <c r="BC1292" i="1"/>
  <c r="BC1293" i="1"/>
  <c r="BC1294" i="1"/>
  <c r="BC1295" i="1"/>
  <c r="BC1296" i="1"/>
  <c r="BC1297" i="1"/>
  <c r="BC1298" i="1"/>
  <c r="BC1299" i="1"/>
  <c r="BC1300" i="1"/>
  <c r="BC1301" i="1"/>
  <c r="BC1302" i="1"/>
  <c r="BC1303" i="1"/>
  <c r="BC1304" i="1"/>
  <c r="BC1305" i="1"/>
  <c r="BC1306" i="1"/>
  <c r="BC1307" i="1"/>
  <c r="BC1308" i="1"/>
  <c r="BC1309" i="1"/>
  <c r="BC1310" i="1"/>
  <c r="BC1311" i="1"/>
  <c r="BC1312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Z351" i="1"/>
  <c r="AZ352" i="1"/>
  <c r="AZ353" i="1"/>
  <c r="AZ354" i="1"/>
  <c r="AZ355" i="1"/>
  <c r="AZ356" i="1"/>
  <c r="AZ357" i="1"/>
  <c r="AZ358" i="1"/>
  <c r="AZ359" i="1"/>
  <c r="AZ360" i="1"/>
  <c r="AZ361" i="1"/>
  <c r="AZ362" i="1"/>
  <c r="AZ363" i="1"/>
  <c r="AZ364" i="1"/>
  <c r="AZ365" i="1"/>
  <c r="AZ366" i="1"/>
  <c r="AZ367" i="1"/>
  <c r="AZ368" i="1"/>
  <c r="AZ369" i="1"/>
  <c r="AZ370" i="1"/>
  <c r="AZ371" i="1"/>
  <c r="AZ372" i="1"/>
  <c r="AZ373" i="1"/>
  <c r="AZ374" i="1"/>
  <c r="AZ375" i="1"/>
  <c r="AZ376" i="1"/>
  <c r="AZ377" i="1"/>
  <c r="AZ378" i="1"/>
  <c r="AZ379" i="1"/>
  <c r="AZ380" i="1"/>
  <c r="AZ381" i="1"/>
  <c r="AZ382" i="1"/>
  <c r="AZ383" i="1"/>
  <c r="AZ384" i="1"/>
  <c r="AZ385" i="1"/>
  <c r="AZ386" i="1"/>
  <c r="AZ387" i="1"/>
  <c r="AZ388" i="1"/>
  <c r="AZ389" i="1"/>
  <c r="AZ390" i="1"/>
  <c r="AZ391" i="1"/>
  <c r="AZ392" i="1"/>
  <c r="AZ393" i="1"/>
  <c r="AZ394" i="1"/>
  <c r="AZ395" i="1"/>
  <c r="AZ396" i="1"/>
  <c r="AZ397" i="1"/>
  <c r="AZ398" i="1"/>
  <c r="AZ399" i="1"/>
  <c r="AZ400" i="1"/>
  <c r="AZ401" i="1"/>
  <c r="AZ402" i="1"/>
  <c r="AZ403" i="1"/>
  <c r="AZ404" i="1"/>
  <c r="AZ405" i="1"/>
  <c r="AZ406" i="1"/>
  <c r="AZ407" i="1"/>
  <c r="AZ408" i="1"/>
  <c r="AZ409" i="1"/>
  <c r="AZ410" i="1"/>
  <c r="AZ411" i="1"/>
  <c r="AZ412" i="1"/>
  <c r="AZ413" i="1"/>
  <c r="AZ414" i="1"/>
  <c r="AZ415" i="1"/>
  <c r="AZ416" i="1"/>
  <c r="AZ417" i="1"/>
  <c r="AZ418" i="1"/>
  <c r="AZ419" i="1"/>
  <c r="AZ420" i="1"/>
  <c r="AZ421" i="1"/>
  <c r="AZ422" i="1"/>
  <c r="AZ423" i="1"/>
  <c r="AZ424" i="1"/>
  <c r="AZ425" i="1"/>
  <c r="AZ426" i="1"/>
  <c r="AZ427" i="1"/>
  <c r="AZ428" i="1"/>
  <c r="AZ429" i="1"/>
  <c r="AZ430" i="1"/>
  <c r="AZ431" i="1"/>
  <c r="AZ432" i="1"/>
  <c r="AZ433" i="1"/>
  <c r="AZ434" i="1"/>
  <c r="AZ435" i="1"/>
  <c r="AZ436" i="1"/>
  <c r="AZ437" i="1"/>
  <c r="AZ438" i="1"/>
  <c r="AZ439" i="1"/>
  <c r="AZ440" i="1"/>
  <c r="AZ441" i="1"/>
  <c r="AZ442" i="1"/>
  <c r="AZ443" i="1"/>
  <c r="AZ444" i="1"/>
  <c r="AZ445" i="1"/>
  <c r="AZ446" i="1"/>
  <c r="AZ447" i="1"/>
  <c r="AZ448" i="1"/>
  <c r="AZ449" i="1"/>
  <c r="AZ450" i="1"/>
  <c r="AZ451" i="1"/>
  <c r="AZ452" i="1"/>
  <c r="AZ453" i="1"/>
  <c r="AZ454" i="1"/>
  <c r="AZ455" i="1"/>
  <c r="AZ456" i="1"/>
  <c r="AZ457" i="1"/>
  <c r="AZ458" i="1"/>
  <c r="AZ459" i="1"/>
  <c r="AZ460" i="1"/>
  <c r="AZ461" i="1"/>
  <c r="AZ462" i="1"/>
  <c r="AZ463" i="1"/>
  <c r="AZ464" i="1"/>
  <c r="AZ465" i="1"/>
  <c r="AZ466" i="1"/>
  <c r="AZ467" i="1"/>
  <c r="AZ468" i="1"/>
  <c r="AZ469" i="1"/>
  <c r="AZ470" i="1"/>
  <c r="AZ471" i="1"/>
  <c r="AZ472" i="1"/>
  <c r="AZ473" i="1"/>
  <c r="AZ474" i="1"/>
  <c r="AZ475" i="1"/>
  <c r="AZ476" i="1"/>
  <c r="AZ477" i="1"/>
  <c r="AZ478" i="1"/>
  <c r="AZ479" i="1"/>
  <c r="AZ480" i="1"/>
  <c r="AZ481" i="1"/>
  <c r="AZ482" i="1"/>
  <c r="AZ483" i="1"/>
  <c r="AZ484" i="1"/>
  <c r="AZ485" i="1"/>
  <c r="AZ486" i="1"/>
  <c r="AZ487" i="1"/>
  <c r="AZ488" i="1"/>
  <c r="AZ489" i="1"/>
  <c r="AZ490" i="1"/>
  <c r="AZ491" i="1"/>
  <c r="AZ492" i="1"/>
  <c r="AZ493" i="1"/>
  <c r="AZ494" i="1"/>
  <c r="AZ495" i="1"/>
  <c r="AZ496" i="1"/>
  <c r="AZ497" i="1"/>
  <c r="AZ498" i="1"/>
  <c r="AZ499" i="1"/>
  <c r="AZ500" i="1"/>
  <c r="AZ501" i="1"/>
  <c r="AZ502" i="1"/>
  <c r="AZ503" i="1"/>
  <c r="AZ504" i="1"/>
  <c r="AZ505" i="1"/>
  <c r="AZ506" i="1"/>
  <c r="AZ507" i="1"/>
  <c r="AZ508" i="1"/>
  <c r="AZ509" i="1"/>
  <c r="AZ510" i="1"/>
  <c r="AZ511" i="1"/>
  <c r="AZ512" i="1"/>
  <c r="AZ513" i="1"/>
  <c r="AZ514" i="1"/>
  <c r="AZ515" i="1"/>
  <c r="AZ516" i="1"/>
  <c r="AZ517" i="1"/>
  <c r="AZ518" i="1"/>
  <c r="AZ519" i="1"/>
  <c r="AZ520" i="1"/>
  <c r="AZ521" i="1"/>
  <c r="AZ522" i="1"/>
  <c r="AZ523" i="1"/>
  <c r="AZ524" i="1"/>
  <c r="AZ525" i="1"/>
  <c r="AZ526" i="1"/>
  <c r="AZ527" i="1"/>
  <c r="AZ528" i="1"/>
  <c r="AZ529" i="1"/>
  <c r="AZ530" i="1"/>
  <c r="AZ531" i="1"/>
  <c r="AZ532" i="1"/>
  <c r="AZ533" i="1"/>
  <c r="AZ534" i="1"/>
  <c r="AZ535" i="1"/>
  <c r="AZ536" i="1"/>
  <c r="AZ537" i="1"/>
  <c r="AZ538" i="1"/>
  <c r="AZ539" i="1"/>
  <c r="AZ540" i="1"/>
  <c r="AZ541" i="1"/>
  <c r="AZ542" i="1"/>
  <c r="AZ543" i="1"/>
  <c r="AZ544" i="1"/>
  <c r="AZ545" i="1"/>
  <c r="AZ546" i="1"/>
  <c r="AZ547" i="1"/>
  <c r="AZ548" i="1"/>
  <c r="AZ549" i="1"/>
  <c r="AZ550" i="1"/>
  <c r="AZ551" i="1"/>
  <c r="AZ552" i="1"/>
  <c r="AZ553" i="1"/>
  <c r="AZ554" i="1"/>
  <c r="AZ555" i="1"/>
  <c r="AZ556" i="1"/>
  <c r="AZ557" i="1"/>
  <c r="AZ558" i="1"/>
  <c r="AZ559" i="1"/>
  <c r="AZ560" i="1"/>
  <c r="AZ561" i="1"/>
  <c r="AZ562" i="1"/>
  <c r="AZ563" i="1"/>
  <c r="AZ564" i="1"/>
  <c r="AZ565" i="1"/>
  <c r="AZ566" i="1"/>
  <c r="AZ567" i="1"/>
  <c r="AZ568" i="1"/>
  <c r="AZ569" i="1"/>
  <c r="AZ570" i="1"/>
  <c r="AZ571" i="1"/>
  <c r="AZ572" i="1"/>
  <c r="AZ573" i="1"/>
  <c r="AZ574" i="1"/>
  <c r="AZ575" i="1"/>
  <c r="AZ576" i="1"/>
  <c r="AZ577" i="1"/>
  <c r="AZ578" i="1"/>
  <c r="AZ579" i="1"/>
  <c r="AZ580" i="1"/>
  <c r="AZ581" i="1"/>
  <c r="AZ582" i="1"/>
  <c r="AZ583" i="1"/>
  <c r="AZ584" i="1"/>
  <c r="AZ585" i="1"/>
  <c r="AZ586" i="1"/>
  <c r="AZ587" i="1"/>
  <c r="AZ588" i="1"/>
  <c r="AZ589" i="1"/>
  <c r="AZ590" i="1"/>
  <c r="AZ591" i="1"/>
  <c r="AZ592" i="1"/>
  <c r="AZ593" i="1"/>
  <c r="AZ594" i="1"/>
  <c r="AZ595" i="1"/>
  <c r="AZ596" i="1"/>
  <c r="AZ597" i="1"/>
  <c r="AZ598" i="1"/>
  <c r="AZ599" i="1"/>
  <c r="AZ600" i="1"/>
  <c r="AZ601" i="1"/>
  <c r="AZ602" i="1"/>
  <c r="AZ603" i="1"/>
  <c r="AZ604" i="1"/>
  <c r="AZ605" i="1"/>
  <c r="AZ606" i="1"/>
  <c r="AZ607" i="1"/>
  <c r="AZ608" i="1"/>
  <c r="AZ609" i="1"/>
  <c r="AZ610" i="1"/>
  <c r="AZ611" i="1"/>
  <c r="AZ612" i="1"/>
  <c r="AZ613" i="1"/>
  <c r="AZ614" i="1"/>
  <c r="AZ615" i="1"/>
  <c r="AZ616" i="1"/>
  <c r="AZ617" i="1"/>
  <c r="AZ618" i="1"/>
  <c r="AZ619" i="1"/>
  <c r="AZ620" i="1"/>
  <c r="AZ621" i="1"/>
  <c r="AZ622" i="1"/>
  <c r="AZ623" i="1"/>
  <c r="AZ624" i="1"/>
  <c r="AZ625" i="1"/>
  <c r="AZ626" i="1"/>
  <c r="AZ627" i="1"/>
  <c r="AZ628" i="1"/>
  <c r="AZ629" i="1"/>
  <c r="AZ630" i="1"/>
  <c r="AZ631" i="1"/>
  <c r="AZ632" i="1"/>
  <c r="AZ633" i="1"/>
  <c r="AZ634" i="1"/>
  <c r="AZ635" i="1"/>
  <c r="AZ636" i="1"/>
  <c r="AZ637" i="1"/>
  <c r="AZ638" i="1"/>
  <c r="AZ639" i="1"/>
  <c r="AZ640" i="1"/>
  <c r="AZ641" i="1"/>
  <c r="AZ642" i="1"/>
  <c r="AZ643" i="1"/>
  <c r="AZ644" i="1"/>
  <c r="AZ645" i="1"/>
  <c r="AZ646" i="1"/>
  <c r="AZ647" i="1"/>
  <c r="AZ648" i="1"/>
  <c r="AZ649" i="1"/>
  <c r="AZ650" i="1"/>
  <c r="AZ651" i="1"/>
  <c r="AZ652" i="1"/>
  <c r="AZ653" i="1"/>
  <c r="AZ654" i="1"/>
  <c r="AZ655" i="1"/>
  <c r="AZ656" i="1"/>
  <c r="AZ657" i="1"/>
  <c r="AZ658" i="1"/>
  <c r="AZ659" i="1"/>
  <c r="AZ660" i="1"/>
  <c r="AZ661" i="1"/>
  <c r="AZ662" i="1"/>
  <c r="AZ663" i="1"/>
  <c r="AZ664" i="1"/>
  <c r="AZ665" i="1"/>
  <c r="AZ666" i="1"/>
  <c r="AZ667" i="1"/>
  <c r="AZ668" i="1"/>
  <c r="AZ669" i="1"/>
  <c r="AZ670" i="1"/>
  <c r="AZ671" i="1"/>
  <c r="AZ672" i="1"/>
  <c r="AZ673" i="1"/>
  <c r="AZ674" i="1"/>
  <c r="AZ675" i="1"/>
  <c r="AZ676" i="1"/>
  <c r="AZ677" i="1"/>
  <c r="AZ678" i="1"/>
  <c r="AZ679" i="1"/>
  <c r="AZ680" i="1"/>
  <c r="AZ681" i="1"/>
  <c r="AZ682" i="1"/>
  <c r="AZ683" i="1"/>
  <c r="AZ684" i="1"/>
  <c r="AZ685" i="1"/>
  <c r="AZ686" i="1"/>
  <c r="AZ687" i="1"/>
  <c r="AZ688" i="1"/>
  <c r="AZ689" i="1"/>
  <c r="AZ690" i="1"/>
  <c r="AZ691" i="1"/>
  <c r="AZ692" i="1"/>
  <c r="AZ693" i="1"/>
  <c r="AZ694" i="1"/>
  <c r="AZ695" i="1"/>
  <c r="AZ696" i="1"/>
  <c r="AZ697" i="1"/>
  <c r="AZ698" i="1"/>
  <c r="AZ699" i="1"/>
  <c r="AZ700" i="1"/>
  <c r="AZ701" i="1"/>
  <c r="AZ702" i="1"/>
  <c r="AZ703" i="1"/>
  <c r="AZ704" i="1"/>
  <c r="AZ705" i="1"/>
  <c r="AZ706" i="1"/>
  <c r="AZ707" i="1"/>
  <c r="AZ708" i="1"/>
  <c r="AZ709" i="1"/>
  <c r="AZ710" i="1"/>
  <c r="AZ711" i="1"/>
  <c r="AZ712" i="1"/>
  <c r="AZ713" i="1"/>
  <c r="AZ714" i="1"/>
  <c r="AZ715" i="1"/>
  <c r="AZ716" i="1"/>
  <c r="AZ717" i="1"/>
  <c r="AZ718" i="1"/>
  <c r="AZ719" i="1"/>
  <c r="AZ720" i="1"/>
  <c r="AZ721" i="1"/>
  <c r="AZ722" i="1"/>
  <c r="AZ723" i="1"/>
  <c r="AZ724" i="1"/>
  <c r="AZ725" i="1"/>
  <c r="AZ726" i="1"/>
  <c r="AZ727" i="1"/>
  <c r="AZ728" i="1"/>
  <c r="AZ729" i="1"/>
  <c r="AZ730" i="1"/>
  <c r="AZ731" i="1"/>
  <c r="AZ732" i="1"/>
  <c r="AZ733" i="1"/>
  <c r="AZ734" i="1"/>
  <c r="AZ735" i="1"/>
  <c r="AZ736" i="1"/>
  <c r="AZ737" i="1"/>
  <c r="AZ738" i="1"/>
  <c r="AZ739" i="1"/>
  <c r="AZ740" i="1"/>
  <c r="AZ741" i="1"/>
  <c r="AZ742" i="1"/>
  <c r="AZ743" i="1"/>
  <c r="AZ744" i="1"/>
  <c r="AZ745" i="1"/>
  <c r="AZ746" i="1"/>
  <c r="AZ747" i="1"/>
  <c r="AZ748" i="1"/>
  <c r="AZ749" i="1"/>
  <c r="AZ750" i="1"/>
  <c r="AZ751" i="1"/>
  <c r="AZ752" i="1"/>
  <c r="AZ753" i="1"/>
  <c r="AZ754" i="1"/>
  <c r="AZ755" i="1"/>
  <c r="AZ756" i="1"/>
  <c r="AZ757" i="1"/>
  <c r="AZ758" i="1"/>
  <c r="AZ759" i="1"/>
  <c r="AZ760" i="1"/>
  <c r="AZ761" i="1"/>
  <c r="AZ762" i="1"/>
  <c r="AZ763" i="1"/>
  <c r="AZ764" i="1"/>
  <c r="AZ765" i="1"/>
  <c r="AZ766" i="1"/>
  <c r="AZ767" i="1"/>
  <c r="AZ768" i="1"/>
  <c r="AZ769" i="1"/>
  <c r="AZ770" i="1"/>
  <c r="AZ771" i="1"/>
  <c r="AZ772" i="1"/>
  <c r="AZ773" i="1"/>
  <c r="AZ774" i="1"/>
  <c r="AZ775" i="1"/>
  <c r="AZ776" i="1"/>
  <c r="AZ777" i="1"/>
  <c r="AZ778" i="1"/>
  <c r="AZ779" i="1"/>
  <c r="AZ780" i="1"/>
  <c r="AZ781" i="1"/>
  <c r="AZ782" i="1"/>
  <c r="AZ783" i="1"/>
  <c r="AZ784" i="1"/>
  <c r="AZ785" i="1"/>
  <c r="AZ786" i="1"/>
  <c r="AZ787" i="1"/>
  <c r="AZ788" i="1"/>
  <c r="AZ789" i="1"/>
  <c r="AZ790" i="1"/>
  <c r="AZ791" i="1"/>
  <c r="AZ792" i="1"/>
  <c r="AZ793" i="1"/>
  <c r="AZ794" i="1"/>
  <c r="AZ795" i="1"/>
  <c r="AZ796" i="1"/>
  <c r="AZ797" i="1"/>
  <c r="AZ798" i="1"/>
  <c r="AZ799" i="1"/>
  <c r="AZ800" i="1"/>
  <c r="AZ801" i="1"/>
  <c r="AZ802" i="1"/>
  <c r="AZ803" i="1"/>
  <c r="AZ804" i="1"/>
  <c r="AZ805" i="1"/>
  <c r="AZ806" i="1"/>
  <c r="AZ807" i="1"/>
  <c r="AZ808" i="1"/>
  <c r="AZ809" i="1"/>
  <c r="AZ810" i="1"/>
  <c r="AZ811" i="1"/>
  <c r="AZ812" i="1"/>
  <c r="AZ813" i="1"/>
  <c r="AZ814" i="1"/>
  <c r="AZ815" i="1"/>
  <c r="AZ816" i="1"/>
  <c r="AZ817" i="1"/>
  <c r="AZ818" i="1"/>
  <c r="AZ819" i="1"/>
  <c r="AZ820" i="1"/>
  <c r="AZ821" i="1"/>
  <c r="AZ822" i="1"/>
  <c r="AZ823" i="1"/>
  <c r="AZ824" i="1"/>
  <c r="AZ825" i="1"/>
  <c r="AZ826" i="1"/>
  <c r="AZ827" i="1"/>
  <c r="AZ828" i="1"/>
  <c r="AZ829" i="1"/>
  <c r="AZ830" i="1"/>
  <c r="AZ831" i="1"/>
  <c r="AZ832" i="1"/>
  <c r="AZ833" i="1"/>
  <c r="AZ834" i="1"/>
  <c r="AZ835" i="1"/>
  <c r="AZ836" i="1"/>
  <c r="AZ837" i="1"/>
  <c r="AZ838" i="1"/>
  <c r="AZ839" i="1"/>
  <c r="AZ840" i="1"/>
  <c r="AZ841" i="1"/>
  <c r="AZ842" i="1"/>
  <c r="AZ843" i="1"/>
  <c r="AZ844" i="1"/>
  <c r="AZ845" i="1"/>
  <c r="AZ846" i="1"/>
  <c r="AZ847" i="1"/>
  <c r="AZ848" i="1"/>
  <c r="AZ849" i="1"/>
  <c r="AZ850" i="1"/>
  <c r="AZ851" i="1"/>
  <c r="AZ852" i="1"/>
  <c r="AZ853" i="1"/>
  <c r="AZ854" i="1"/>
  <c r="AZ855" i="1"/>
  <c r="AZ856" i="1"/>
  <c r="AZ857" i="1"/>
  <c r="AZ858" i="1"/>
  <c r="AZ859" i="1"/>
  <c r="AZ860" i="1"/>
  <c r="AZ861" i="1"/>
  <c r="AZ862" i="1"/>
  <c r="AZ863" i="1"/>
  <c r="AZ864" i="1"/>
  <c r="AZ865" i="1"/>
  <c r="AZ866" i="1"/>
  <c r="AZ867" i="1"/>
  <c r="AZ868" i="1"/>
  <c r="AZ869" i="1"/>
  <c r="AZ870" i="1"/>
  <c r="AZ871" i="1"/>
  <c r="AZ872" i="1"/>
  <c r="AZ873" i="1"/>
  <c r="AZ874" i="1"/>
  <c r="AZ875" i="1"/>
  <c r="AZ876" i="1"/>
  <c r="AZ877" i="1"/>
  <c r="AZ878" i="1"/>
  <c r="AZ879" i="1"/>
  <c r="AZ880" i="1"/>
  <c r="AZ881" i="1"/>
  <c r="AZ882" i="1"/>
  <c r="AZ883" i="1"/>
  <c r="AZ884" i="1"/>
  <c r="AZ885" i="1"/>
  <c r="AZ886" i="1"/>
  <c r="AZ887" i="1"/>
  <c r="AZ888" i="1"/>
  <c r="AZ889" i="1"/>
  <c r="AZ890" i="1"/>
  <c r="AZ891" i="1"/>
  <c r="AZ892" i="1"/>
  <c r="AZ893" i="1"/>
  <c r="AZ894" i="1"/>
  <c r="AZ895" i="1"/>
  <c r="AZ896" i="1"/>
  <c r="AZ897" i="1"/>
  <c r="AZ898" i="1"/>
  <c r="AZ899" i="1"/>
  <c r="AZ900" i="1"/>
  <c r="AZ901" i="1"/>
  <c r="AZ902" i="1"/>
  <c r="AZ903" i="1"/>
  <c r="AZ904" i="1"/>
  <c r="AZ905" i="1"/>
  <c r="AZ906" i="1"/>
  <c r="AZ907" i="1"/>
  <c r="AZ908" i="1"/>
  <c r="AZ909" i="1"/>
  <c r="AZ910" i="1"/>
  <c r="AZ911" i="1"/>
  <c r="AZ912" i="1"/>
  <c r="AZ913" i="1"/>
  <c r="AZ914" i="1"/>
  <c r="AZ915" i="1"/>
  <c r="AZ916" i="1"/>
  <c r="AZ917" i="1"/>
  <c r="AZ918" i="1"/>
  <c r="AZ919" i="1"/>
  <c r="AZ920" i="1"/>
  <c r="AZ921" i="1"/>
  <c r="AZ922" i="1"/>
  <c r="AZ923" i="1"/>
  <c r="AZ924" i="1"/>
  <c r="AZ925" i="1"/>
  <c r="AZ926" i="1"/>
  <c r="AZ927" i="1"/>
  <c r="AZ928" i="1"/>
  <c r="AZ929" i="1"/>
  <c r="AZ930" i="1"/>
  <c r="AZ931" i="1"/>
  <c r="AZ932" i="1"/>
  <c r="AZ933" i="1"/>
  <c r="AZ934" i="1"/>
  <c r="AZ935" i="1"/>
  <c r="AZ936" i="1"/>
  <c r="AZ937" i="1"/>
  <c r="AZ938" i="1"/>
  <c r="AZ939" i="1"/>
  <c r="AZ940" i="1"/>
  <c r="AZ941" i="1"/>
  <c r="AZ942" i="1"/>
  <c r="AZ943" i="1"/>
  <c r="AZ944" i="1"/>
  <c r="AZ945" i="1"/>
  <c r="AZ946" i="1"/>
  <c r="AZ947" i="1"/>
  <c r="AZ948" i="1"/>
  <c r="AZ949" i="1"/>
  <c r="AZ950" i="1"/>
  <c r="AZ951" i="1"/>
  <c r="AZ952" i="1"/>
  <c r="AZ953" i="1"/>
  <c r="AZ954" i="1"/>
  <c r="AZ955" i="1"/>
  <c r="AZ956" i="1"/>
  <c r="AZ957" i="1"/>
  <c r="AZ958" i="1"/>
  <c r="AZ959" i="1"/>
  <c r="AZ960" i="1"/>
  <c r="AZ961" i="1"/>
  <c r="AZ962" i="1"/>
  <c r="AZ963" i="1"/>
  <c r="AZ964" i="1"/>
  <c r="AZ965" i="1"/>
  <c r="AZ966" i="1"/>
  <c r="AZ967" i="1"/>
  <c r="AZ968" i="1"/>
  <c r="AZ969" i="1"/>
  <c r="AZ970" i="1"/>
  <c r="AZ971" i="1"/>
  <c r="AZ972" i="1"/>
  <c r="AZ973" i="1"/>
  <c r="AZ974" i="1"/>
  <c r="AZ975" i="1"/>
  <c r="AZ976" i="1"/>
  <c r="AZ977" i="1"/>
  <c r="AZ978" i="1"/>
  <c r="AZ979" i="1"/>
  <c r="AZ980" i="1"/>
  <c r="AZ981" i="1"/>
  <c r="AZ982" i="1"/>
  <c r="AZ983" i="1"/>
  <c r="AZ984" i="1"/>
  <c r="AZ985" i="1"/>
  <c r="AZ986" i="1"/>
  <c r="AZ987" i="1"/>
  <c r="AZ988" i="1"/>
  <c r="AZ989" i="1"/>
  <c r="AZ990" i="1"/>
  <c r="AZ991" i="1"/>
  <c r="AZ992" i="1"/>
  <c r="AZ993" i="1"/>
  <c r="AZ994" i="1"/>
  <c r="AZ995" i="1"/>
  <c r="AZ996" i="1"/>
  <c r="AZ997" i="1"/>
  <c r="AZ998" i="1"/>
  <c r="AZ999" i="1"/>
  <c r="AZ1000" i="1"/>
  <c r="AZ1001" i="1"/>
  <c r="AZ1002" i="1"/>
  <c r="AZ1003" i="1"/>
  <c r="AZ1004" i="1"/>
  <c r="AZ1005" i="1"/>
  <c r="AZ1006" i="1"/>
  <c r="AZ1007" i="1"/>
  <c r="AZ1008" i="1"/>
  <c r="AZ1009" i="1"/>
  <c r="AZ1010" i="1"/>
  <c r="AZ1011" i="1"/>
  <c r="AZ1012" i="1"/>
  <c r="AZ1013" i="1"/>
  <c r="AZ1014" i="1"/>
  <c r="AZ1015" i="1"/>
  <c r="AZ1016" i="1"/>
  <c r="AZ1017" i="1"/>
  <c r="AZ1018" i="1"/>
  <c r="AZ1019" i="1"/>
  <c r="AZ1020" i="1"/>
  <c r="AZ1021" i="1"/>
  <c r="AZ1022" i="1"/>
  <c r="AZ1023" i="1"/>
  <c r="AZ1024" i="1"/>
  <c r="AZ1025" i="1"/>
  <c r="AZ1026" i="1"/>
  <c r="AZ1027" i="1"/>
  <c r="AZ1028" i="1"/>
  <c r="AZ1029" i="1"/>
  <c r="AZ1030" i="1"/>
  <c r="AZ1031" i="1"/>
  <c r="AZ1032" i="1"/>
  <c r="AZ1033" i="1"/>
  <c r="AZ1034" i="1"/>
  <c r="AZ1035" i="1"/>
  <c r="AZ1036" i="1"/>
  <c r="AZ1037" i="1"/>
  <c r="AZ1038" i="1"/>
  <c r="AZ1039" i="1"/>
  <c r="AZ1040" i="1"/>
  <c r="AZ1041" i="1"/>
  <c r="AZ1042" i="1"/>
  <c r="AZ1043" i="1"/>
  <c r="AZ1044" i="1"/>
  <c r="AZ1045" i="1"/>
  <c r="AZ1046" i="1"/>
  <c r="AZ1047" i="1"/>
  <c r="AZ1048" i="1"/>
  <c r="AZ1049" i="1"/>
  <c r="AZ1050" i="1"/>
  <c r="AZ1051" i="1"/>
  <c r="AZ1052" i="1"/>
  <c r="AZ1053" i="1"/>
  <c r="AZ1054" i="1"/>
  <c r="AZ1055" i="1"/>
  <c r="AZ1056" i="1"/>
  <c r="AZ1057" i="1"/>
  <c r="AZ1058" i="1"/>
  <c r="AZ1059" i="1"/>
  <c r="AZ1060" i="1"/>
  <c r="AZ1061" i="1"/>
  <c r="AZ1062" i="1"/>
  <c r="AZ1063" i="1"/>
  <c r="AZ1064" i="1"/>
  <c r="AZ1065" i="1"/>
  <c r="AZ1066" i="1"/>
  <c r="AZ1067" i="1"/>
  <c r="AZ1068" i="1"/>
  <c r="AZ1069" i="1"/>
  <c r="AZ1070" i="1"/>
  <c r="AZ1071" i="1"/>
  <c r="AZ1072" i="1"/>
  <c r="AZ1073" i="1"/>
  <c r="AZ1074" i="1"/>
  <c r="AZ1075" i="1"/>
  <c r="AZ1076" i="1"/>
  <c r="AZ1077" i="1"/>
  <c r="AZ1078" i="1"/>
  <c r="AZ1079" i="1"/>
  <c r="AZ1080" i="1"/>
  <c r="AZ1081" i="1"/>
  <c r="AZ1082" i="1"/>
  <c r="AZ1083" i="1"/>
  <c r="AZ1084" i="1"/>
  <c r="AZ1085" i="1"/>
  <c r="AZ1086" i="1"/>
  <c r="AZ1087" i="1"/>
  <c r="AZ1088" i="1"/>
  <c r="AZ1089" i="1"/>
  <c r="AZ1090" i="1"/>
  <c r="AZ1091" i="1"/>
  <c r="AZ1092" i="1"/>
  <c r="AZ1093" i="1"/>
  <c r="AZ1094" i="1"/>
  <c r="AZ1095" i="1"/>
  <c r="AZ1096" i="1"/>
  <c r="AZ1097" i="1"/>
  <c r="AZ1098" i="1"/>
  <c r="AZ1099" i="1"/>
  <c r="AZ1100" i="1"/>
  <c r="AZ1101" i="1"/>
  <c r="AZ1102" i="1"/>
  <c r="AZ1103" i="1"/>
  <c r="AZ1104" i="1"/>
  <c r="AZ1105" i="1"/>
  <c r="AZ1106" i="1"/>
  <c r="AZ1107" i="1"/>
  <c r="AZ1108" i="1"/>
  <c r="AZ1109" i="1"/>
  <c r="AZ1110" i="1"/>
  <c r="AZ1111" i="1"/>
  <c r="AZ1112" i="1"/>
  <c r="AZ1113" i="1"/>
  <c r="AZ1114" i="1"/>
  <c r="AZ1115" i="1"/>
  <c r="AZ1116" i="1"/>
  <c r="AZ1117" i="1"/>
  <c r="AZ1118" i="1"/>
  <c r="AZ1119" i="1"/>
  <c r="AZ1120" i="1"/>
  <c r="AZ1121" i="1"/>
  <c r="AZ1122" i="1"/>
  <c r="AZ1123" i="1"/>
  <c r="AZ1124" i="1"/>
  <c r="AZ1125" i="1"/>
  <c r="AZ1126" i="1"/>
  <c r="AZ1127" i="1"/>
  <c r="AZ1128" i="1"/>
  <c r="AZ1129" i="1"/>
  <c r="AZ1130" i="1"/>
  <c r="AZ1131" i="1"/>
  <c r="AZ1132" i="1"/>
  <c r="AZ1133" i="1"/>
  <c r="AZ1134" i="1"/>
  <c r="AZ1135" i="1"/>
  <c r="AZ1136" i="1"/>
  <c r="AZ1137" i="1"/>
  <c r="AZ1138" i="1"/>
  <c r="AZ1139" i="1"/>
  <c r="AZ1140" i="1"/>
  <c r="AZ1141" i="1"/>
  <c r="AZ1142" i="1"/>
  <c r="AZ1143" i="1"/>
  <c r="AZ1144" i="1"/>
  <c r="AZ1145" i="1"/>
  <c r="AZ1146" i="1"/>
  <c r="AZ1147" i="1"/>
  <c r="AZ1148" i="1"/>
  <c r="AZ1149" i="1"/>
  <c r="AZ1150" i="1"/>
  <c r="AZ1151" i="1"/>
  <c r="AZ1152" i="1"/>
  <c r="AZ1153" i="1"/>
  <c r="AZ1154" i="1"/>
  <c r="AZ1155" i="1"/>
  <c r="AZ1156" i="1"/>
  <c r="AZ1157" i="1"/>
  <c r="AZ1158" i="1"/>
  <c r="AZ1159" i="1"/>
  <c r="AZ1160" i="1"/>
  <c r="AZ1161" i="1"/>
  <c r="AZ1162" i="1"/>
  <c r="AZ1163" i="1"/>
  <c r="AZ1164" i="1"/>
  <c r="AZ1165" i="1"/>
  <c r="AZ1166" i="1"/>
  <c r="AZ1167" i="1"/>
  <c r="AZ1168" i="1"/>
  <c r="AZ1169" i="1"/>
  <c r="AZ1170" i="1"/>
  <c r="AZ1171" i="1"/>
  <c r="AZ1172" i="1"/>
  <c r="AZ1173" i="1"/>
  <c r="AZ1174" i="1"/>
  <c r="AZ1175" i="1"/>
  <c r="AZ1176" i="1"/>
  <c r="AZ1177" i="1"/>
  <c r="AZ1178" i="1"/>
  <c r="AZ1179" i="1"/>
  <c r="AZ1180" i="1"/>
  <c r="AZ1181" i="1"/>
  <c r="AZ1182" i="1"/>
  <c r="AZ1183" i="1"/>
  <c r="AZ1184" i="1"/>
  <c r="AZ1185" i="1"/>
  <c r="AZ1186" i="1"/>
  <c r="AZ1187" i="1"/>
  <c r="AZ1188" i="1"/>
  <c r="AZ1189" i="1"/>
  <c r="AZ1190" i="1"/>
  <c r="AZ1191" i="1"/>
  <c r="AZ1192" i="1"/>
  <c r="AZ1193" i="1"/>
  <c r="AZ1194" i="1"/>
  <c r="AZ1195" i="1"/>
  <c r="AZ1196" i="1"/>
  <c r="AZ1197" i="1"/>
  <c r="AZ1198" i="1"/>
  <c r="AZ1199" i="1"/>
  <c r="AZ1200" i="1"/>
  <c r="AZ1201" i="1"/>
  <c r="AZ1202" i="1"/>
  <c r="AZ1203" i="1"/>
  <c r="AZ1204" i="1"/>
  <c r="AZ1205" i="1"/>
  <c r="AZ1206" i="1"/>
  <c r="AZ1207" i="1"/>
  <c r="AZ1208" i="1"/>
  <c r="AZ1209" i="1"/>
  <c r="AZ1210" i="1"/>
  <c r="AZ1211" i="1"/>
  <c r="AZ1212" i="1"/>
  <c r="AZ1213" i="1"/>
  <c r="AZ1214" i="1"/>
  <c r="AZ1215" i="1"/>
  <c r="AZ1216" i="1"/>
  <c r="AZ1217" i="1"/>
  <c r="AZ1218" i="1"/>
  <c r="AZ1219" i="1"/>
  <c r="AZ1220" i="1"/>
  <c r="AZ1221" i="1"/>
  <c r="AZ1222" i="1"/>
  <c r="AZ1223" i="1"/>
  <c r="AZ1224" i="1"/>
  <c r="AZ1225" i="1"/>
  <c r="AZ1226" i="1"/>
  <c r="AZ1227" i="1"/>
  <c r="AZ1228" i="1"/>
  <c r="AZ1229" i="1"/>
  <c r="AZ1230" i="1"/>
  <c r="AZ1231" i="1"/>
  <c r="AZ1232" i="1"/>
  <c r="AZ1233" i="1"/>
  <c r="AZ1234" i="1"/>
  <c r="AZ1235" i="1"/>
  <c r="AZ1236" i="1"/>
  <c r="AZ1237" i="1"/>
  <c r="AZ1238" i="1"/>
  <c r="AZ1239" i="1"/>
  <c r="AZ1240" i="1"/>
  <c r="AZ1241" i="1"/>
  <c r="AZ1242" i="1"/>
  <c r="AZ1243" i="1"/>
  <c r="AZ1244" i="1"/>
  <c r="AZ1245" i="1"/>
  <c r="AZ1246" i="1"/>
  <c r="AZ1247" i="1"/>
  <c r="AZ1248" i="1"/>
  <c r="AZ1249" i="1"/>
  <c r="AZ1250" i="1"/>
  <c r="AZ1251" i="1"/>
  <c r="AZ1252" i="1"/>
  <c r="AZ1253" i="1"/>
  <c r="AZ1254" i="1"/>
  <c r="AZ1255" i="1"/>
  <c r="AZ1256" i="1"/>
  <c r="AZ1257" i="1"/>
  <c r="AZ1258" i="1"/>
  <c r="AZ1259" i="1"/>
  <c r="AZ1260" i="1"/>
  <c r="AZ1261" i="1"/>
  <c r="AZ1262" i="1"/>
  <c r="AZ1263" i="1"/>
  <c r="AZ1264" i="1"/>
  <c r="AZ1265" i="1"/>
  <c r="AZ1266" i="1"/>
  <c r="AZ1267" i="1"/>
  <c r="AZ1268" i="1"/>
  <c r="AZ1269" i="1"/>
  <c r="AZ1270" i="1"/>
  <c r="AZ1271" i="1"/>
  <c r="AZ1272" i="1"/>
  <c r="AZ1273" i="1"/>
  <c r="AZ1274" i="1"/>
  <c r="AZ1275" i="1"/>
  <c r="AZ1276" i="1"/>
  <c r="AZ1277" i="1"/>
  <c r="AZ1278" i="1"/>
  <c r="AZ1279" i="1"/>
  <c r="AZ1280" i="1"/>
  <c r="AZ1281" i="1"/>
  <c r="AZ1282" i="1"/>
  <c r="AZ1283" i="1"/>
  <c r="AZ1284" i="1"/>
  <c r="AZ1285" i="1"/>
  <c r="AZ1286" i="1"/>
  <c r="AZ1287" i="1"/>
  <c r="AZ1288" i="1"/>
  <c r="AZ1289" i="1"/>
  <c r="AZ1290" i="1"/>
  <c r="AZ1291" i="1"/>
  <c r="AZ1292" i="1"/>
  <c r="AZ1293" i="1"/>
  <c r="AZ1294" i="1"/>
  <c r="AZ1295" i="1"/>
  <c r="AZ1296" i="1"/>
  <c r="AZ1297" i="1"/>
  <c r="AZ1298" i="1"/>
  <c r="AZ1299" i="1"/>
  <c r="AZ1300" i="1"/>
  <c r="AZ1301" i="1"/>
  <c r="AZ1302" i="1"/>
  <c r="AZ1303" i="1"/>
  <c r="AZ1304" i="1"/>
  <c r="AZ1305" i="1"/>
  <c r="AZ1306" i="1"/>
  <c r="AZ1307" i="1"/>
  <c r="AZ1308" i="1"/>
  <c r="AZ1309" i="1"/>
  <c r="AZ1310" i="1"/>
  <c r="AZ1311" i="1"/>
  <c r="AZ1312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Y259" i="1"/>
  <c r="AY260" i="1"/>
  <c r="AY261" i="1"/>
  <c r="AY262" i="1"/>
  <c r="AY263" i="1"/>
  <c r="AY264" i="1"/>
  <c r="AY265" i="1"/>
  <c r="AY266" i="1"/>
  <c r="AY267" i="1"/>
  <c r="AY268" i="1"/>
  <c r="AY269" i="1"/>
  <c r="AY270" i="1"/>
  <c r="AY271" i="1"/>
  <c r="AY272" i="1"/>
  <c r="AY273" i="1"/>
  <c r="AY274" i="1"/>
  <c r="AY275" i="1"/>
  <c r="AY276" i="1"/>
  <c r="AY277" i="1"/>
  <c r="AY278" i="1"/>
  <c r="AY279" i="1"/>
  <c r="AY280" i="1"/>
  <c r="AY281" i="1"/>
  <c r="AY282" i="1"/>
  <c r="AY283" i="1"/>
  <c r="AY284" i="1"/>
  <c r="AY285" i="1"/>
  <c r="AY286" i="1"/>
  <c r="AY287" i="1"/>
  <c r="AY288" i="1"/>
  <c r="AY289" i="1"/>
  <c r="AY290" i="1"/>
  <c r="AY291" i="1"/>
  <c r="AY292" i="1"/>
  <c r="AY293" i="1"/>
  <c r="AY294" i="1"/>
  <c r="AY295" i="1"/>
  <c r="AY296" i="1"/>
  <c r="AY297" i="1"/>
  <c r="AY298" i="1"/>
  <c r="AY299" i="1"/>
  <c r="AY300" i="1"/>
  <c r="AY301" i="1"/>
  <c r="AY302" i="1"/>
  <c r="AY303" i="1"/>
  <c r="AY304" i="1"/>
  <c r="AY305" i="1"/>
  <c r="AY306" i="1"/>
  <c r="AY307" i="1"/>
  <c r="AY308" i="1"/>
  <c r="AY309" i="1"/>
  <c r="AY310" i="1"/>
  <c r="AY311" i="1"/>
  <c r="AY312" i="1"/>
  <c r="AY313" i="1"/>
  <c r="AY314" i="1"/>
  <c r="AY315" i="1"/>
  <c r="AY316" i="1"/>
  <c r="AY317" i="1"/>
  <c r="AY318" i="1"/>
  <c r="AY319" i="1"/>
  <c r="AY320" i="1"/>
  <c r="AY321" i="1"/>
  <c r="AY322" i="1"/>
  <c r="AY323" i="1"/>
  <c r="AY324" i="1"/>
  <c r="AY325" i="1"/>
  <c r="AY326" i="1"/>
  <c r="AY327" i="1"/>
  <c r="AY328" i="1"/>
  <c r="AY329" i="1"/>
  <c r="AY330" i="1"/>
  <c r="AY331" i="1"/>
  <c r="AY332" i="1"/>
  <c r="AY333" i="1"/>
  <c r="AY334" i="1"/>
  <c r="AY335" i="1"/>
  <c r="AY336" i="1"/>
  <c r="AY337" i="1"/>
  <c r="AY338" i="1"/>
  <c r="AY339" i="1"/>
  <c r="AY340" i="1"/>
  <c r="AY341" i="1"/>
  <c r="AY342" i="1"/>
  <c r="AY343" i="1"/>
  <c r="AY344" i="1"/>
  <c r="AY345" i="1"/>
  <c r="AY346" i="1"/>
  <c r="AY347" i="1"/>
  <c r="AY348" i="1"/>
  <c r="AY349" i="1"/>
  <c r="AY350" i="1"/>
  <c r="AY351" i="1"/>
  <c r="AY352" i="1"/>
  <c r="AY353" i="1"/>
  <c r="AY354" i="1"/>
  <c r="AY355" i="1"/>
  <c r="AY356" i="1"/>
  <c r="AY357" i="1"/>
  <c r="AY358" i="1"/>
  <c r="AY359" i="1"/>
  <c r="AY360" i="1"/>
  <c r="AY361" i="1"/>
  <c r="AY362" i="1"/>
  <c r="AY363" i="1"/>
  <c r="AY364" i="1"/>
  <c r="AY365" i="1"/>
  <c r="AY366" i="1"/>
  <c r="AY367" i="1"/>
  <c r="AY368" i="1"/>
  <c r="AY369" i="1"/>
  <c r="AY370" i="1"/>
  <c r="AY371" i="1"/>
  <c r="AY372" i="1"/>
  <c r="AY373" i="1"/>
  <c r="AY374" i="1"/>
  <c r="AY375" i="1"/>
  <c r="AY376" i="1"/>
  <c r="AY377" i="1"/>
  <c r="AY378" i="1"/>
  <c r="AY379" i="1"/>
  <c r="AY380" i="1"/>
  <c r="AY381" i="1"/>
  <c r="AY382" i="1"/>
  <c r="AY383" i="1"/>
  <c r="AY384" i="1"/>
  <c r="AY385" i="1"/>
  <c r="AY386" i="1"/>
  <c r="AY387" i="1"/>
  <c r="AY388" i="1"/>
  <c r="AY389" i="1"/>
  <c r="AY390" i="1"/>
  <c r="AY391" i="1"/>
  <c r="AY392" i="1"/>
  <c r="AY393" i="1"/>
  <c r="AY394" i="1"/>
  <c r="AY395" i="1"/>
  <c r="AY396" i="1"/>
  <c r="AY397" i="1"/>
  <c r="AY398" i="1"/>
  <c r="AY399" i="1"/>
  <c r="AY400" i="1"/>
  <c r="AY401" i="1"/>
  <c r="AY402" i="1"/>
  <c r="AY403" i="1"/>
  <c r="AY404" i="1"/>
  <c r="AY405" i="1"/>
  <c r="AY406" i="1"/>
  <c r="AY407" i="1"/>
  <c r="AY408" i="1"/>
  <c r="AY409" i="1"/>
  <c r="AY410" i="1"/>
  <c r="AY411" i="1"/>
  <c r="AY412" i="1"/>
  <c r="AY413" i="1"/>
  <c r="AY414" i="1"/>
  <c r="AY415" i="1"/>
  <c r="AY416" i="1"/>
  <c r="AY417" i="1"/>
  <c r="AY418" i="1"/>
  <c r="AY419" i="1"/>
  <c r="AY420" i="1"/>
  <c r="AY421" i="1"/>
  <c r="AY422" i="1"/>
  <c r="AY423" i="1"/>
  <c r="AY424" i="1"/>
  <c r="AY425" i="1"/>
  <c r="AY426" i="1"/>
  <c r="AY427" i="1"/>
  <c r="AY428" i="1"/>
  <c r="AY429" i="1"/>
  <c r="AY430" i="1"/>
  <c r="AY431" i="1"/>
  <c r="AY432" i="1"/>
  <c r="AY433" i="1"/>
  <c r="AY434" i="1"/>
  <c r="AY435" i="1"/>
  <c r="AY436" i="1"/>
  <c r="AY437" i="1"/>
  <c r="AY438" i="1"/>
  <c r="AY439" i="1"/>
  <c r="AY440" i="1"/>
  <c r="AY441" i="1"/>
  <c r="AY442" i="1"/>
  <c r="AY443" i="1"/>
  <c r="AY444" i="1"/>
  <c r="AY445" i="1"/>
  <c r="AY446" i="1"/>
  <c r="AY447" i="1"/>
  <c r="AY448" i="1"/>
  <c r="AY449" i="1"/>
  <c r="AY450" i="1"/>
  <c r="AY451" i="1"/>
  <c r="AY452" i="1"/>
  <c r="AY453" i="1"/>
  <c r="AY454" i="1"/>
  <c r="AY455" i="1"/>
  <c r="AY456" i="1"/>
  <c r="AY457" i="1"/>
  <c r="AY458" i="1"/>
  <c r="AY459" i="1"/>
  <c r="AY460" i="1"/>
  <c r="AY461" i="1"/>
  <c r="AY462" i="1"/>
  <c r="AY463" i="1"/>
  <c r="AY464" i="1"/>
  <c r="AY465" i="1"/>
  <c r="AY466" i="1"/>
  <c r="AY467" i="1"/>
  <c r="AY468" i="1"/>
  <c r="AY469" i="1"/>
  <c r="AY470" i="1"/>
  <c r="AY471" i="1"/>
  <c r="AY472" i="1"/>
  <c r="AY473" i="1"/>
  <c r="AY474" i="1"/>
  <c r="AY475" i="1"/>
  <c r="AY476" i="1"/>
  <c r="AY477" i="1"/>
  <c r="AY478" i="1"/>
  <c r="AY479" i="1"/>
  <c r="AY480" i="1"/>
  <c r="AY481" i="1"/>
  <c r="AY482" i="1"/>
  <c r="AY483" i="1"/>
  <c r="AY484" i="1"/>
  <c r="AY485" i="1"/>
  <c r="AY486" i="1"/>
  <c r="AY487" i="1"/>
  <c r="AY488" i="1"/>
  <c r="AY489" i="1"/>
  <c r="AY490" i="1"/>
  <c r="AY491" i="1"/>
  <c r="AY492" i="1"/>
  <c r="AY493" i="1"/>
  <c r="AY494" i="1"/>
  <c r="AY495" i="1"/>
  <c r="AY496" i="1"/>
  <c r="AY497" i="1"/>
  <c r="AY498" i="1"/>
  <c r="AY499" i="1"/>
  <c r="AY500" i="1"/>
  <c r="AY501" i="1"/>
  <c r="AY502" i="1"/>
  <c r="AY503" i="1"/>
  <c r="AY504" i="1"/>
  <c r="AY505" i="1"/>
  <c r="AY506" i="1"/>
  <c r="AY507" i="1"/>
  <c r="AY508" i="1"/>
  <c r="AY509" i="1"/>
  <c r="AY510" i="1"/>
  <c r="AY511" i="1"/>
  <c r="AY512" i="1"/>
  <c r="AY513" i="1"/>
  <c r="AY514" i="1"/>
  <c r="AY515" i="1"/>
  <c r="AY516" i="1"/>
  <c r="AY517" i="1"/>
  <c r="AY518" i="1"/>
  <c r="AY519" i="1"/>
  <c r="AY520" i="1"/>
  <c r="AY521" i="1"/>
  <c r="AY522" i="1"/>
  <c r="AY523" i="1"/>
  <c r="AY524" i="1"/>
  <c r="AY525" i="1"/>
  <c r="AY526" i="1"/>
  <c r="AY527" i="1"/>
  <c r="AY528" i="1"/>
  <c r="AY529" i="1"/>
  <c r="AY530" i="1"/>
  <c r="AY531" i="1"/>
  <c r="AY532" i="1"/>
  <c r="AY533" i="1"/>
  <c r="AY534" i="1"/>
  <c r="AY535" i="1"/>
  <c r="AY536" i="1"/>
  <c r="AY537" i="1"/>
  <c r="AY538" i="1"/>
  <c r="AY539" i="1"/>
  <c r="AY540" i="1"/>
  <c r="AY541" i="1"/>
  <c r="AY542" i="1"/>
  <c r="AY543" i="1"/>
  <c r="AY544" i="1"/>
  <c r="AY545" i="1"/>
  <c r="AY546" i="1"/>
  <c r="AY547" i="1"/>
  <c r="AY548" i="1"/>
  <c r="AY549" i="1"/>
  <c r="AY550" i="1"/>
  <c r="AY551" i="1"/>
  <c r="AY552" i="1"/>
  <c r="AY553" i="1"/>
  <c r="AY554" i="1"/>
  <c r="AY555" i="1"/>
  <c r="AY556" i="1"/>
  <c r="AY557" i="1"/>
  <c r="AY558" i="1"/>
  <c r="AY559" i="1"/>
  <c r="AY560" i="1"/>
  <c r="AY561" i="1"/>
  <c r="AY562" i="1"/>
  <c r="AY563" i="1"/>
  <c r="AY564" i="1"/>
  <c r="AY565" i="1"/>
  <c r="AY566" i="1"/>
  <c r="AY567" i="1"/>
  <c r="AY568" i="1"/>
  <c r="AY569" i="1"/>
  <c r="AY570" i="1"/>
  <c r="AY571" i="1"/>
  <c r="AY572" i="1"/>
  <c r="AY573" i="1"/>
  <c r="AY574" i="1"/>
  <c r="AY575" i="1"/>
  <c r="AY576" i="1"/>
  <c r="AY577" i="1"/>
  <c r="AY578" i="1"/>
  <c r="AY579" i="1"/>
  <c r="AY580" i="1"/>
  <c r="AY581" i="1"/>
  <c r="AY582" i="1"/>
  <c r="AY583" i="1"/>
  <c r="AY584" i="1"/>
  <c r="AY585" i="1"/>
  <c r="AY586" i="1"/>
  <c r="AY587" i="1"/>
  <c r="AY588" i="1"/>
  <c r="AY589" i="1"/>
  <c r="AY590" i="1"/>
  <c r="AY591" i="1"/>
  <c r="AY592" i="1"/>
  <c r="AY593" i="1"/>
  <c r="AY594" i="1"/>
  <c r="AY595" i="1"/>
  <c r="AY596" i="1"/>
  <c r="AY597" i="1"/>
  <c r="AY598" i="1"/>
  <c r="AY599" i="1"/>
  <c r="AY600" i="1"/>
  <c r="AY601" i="1"/>
  <c r="AY602" i="1"/>
  <c r="AY603" i="1"/>
  <c r="AY604" i="1"/>
  <c r="AY605" i="1"/>
  <c r="AY606" i="1"/>
  <c r="AY607" i="1"/>
  <c r="AY608" i="1"/>
  <c r="AY609" i="1"/>
  <c r="AY610" i="1"/>
  <c r="AY611" i="1"/>
  <c r="AY612" i="1"/>
  <c r="AY613" i="1"/>
  <c r="AY614" i="1"/>
  <c r="AY615" i="1"/>
  <c r="AY616" i="1"/>
  <c r="AY617" i="1"/>
  <c r="AY618" i="1"/>
  <c r="AY619" i="1"/>
  <c r="AY620" i="1"/>
  <c r="AY621" i="1"/>
  <c r="AY622" i="1"/>
  <c r="AY623" i="1"/>
  <c r="AY624" i="1"/>
  <c r="AY625" i="1"/>
  <c r="AY626" i="1"/>
  <c r="AY627" i="1"/>
  <c r="AY628" i="1"/>
  <c r="AY629" i="1"/>
  <c r="AY630" i="1"/>
  <c r="AY631" i="1"/>
  <c r="AY632" i="1"/>
  <c r="AY633" i="1"/>
  <c r="AY634" i="1"/>
  <c r="AY635" i="1"/>
  <c r="AY636" i="1"/>
  <c r="AY637" i="1"/>
  <c r="AY638" i="1"/>
  <c r="AY639" i="1"/>
  <c r="AY640" i="1"/>
  <c r="AY641" i="1"/>
  <c r="AY642" i="1"/>
  <c r="AY643" i="1"/>
  <c r="AY644" i="1"/>
  <c r="AY645" i="1"/>
  <c r="AY646" i="1"/>
  <c r="AY647" i="1"/>
  <c r="AY648" i="1"/>
  <c r="AY649" i="1"/>
  <c r="AY650" i="1"/>
  <c r="AY651" i="1"/>
  <c r="AY652" i="1"/>
  <c r="AY653" i="1"/>
  <c r="AY654" i="1"/>
  <c r="AY655" i="1"/>
  <c r="AY656" i="1"/>
  <c r="AY657" i="1"/>
  <c r="AY658" i="1"/>
  <c r="AY659" i="1"/>
  <c r="AY660" i="1"/>
  <c r="AY661" i="1"/>
  <c r="AY662" i="1"/>
  <c r="AY663" i="1"/>
  <c r="AY664" i="1"/>
  <c r="AY665" i="1"/>
  <c r="AY666" i="1"/>
  <c r="AY667" i="1"/>
  <c r="AY668" i="1"/>
  <c r="AY669" i="1"/>
  <c r="AY670" i="1"/>
  <c r="AY671" i="1"/>
  <c r="AY672" i="1"/>
  <c r="AY673" i="1"/>
  <c r="AY674" i="1"/>
  <c r="AY675" i="1"/>
  <c r="AY676" i="1"/>
  <c r="AY677" i="1"/>
  <c r="AY678" i="1"/>
  <c r="AY679" i="1"/>
  <c r="AY680" i="1"/>
  <c r="AY681" i="1"/>
  <c r="AY682" i="1"/>
  <c r="AY683" i="1"/>
  <c r="AY684" i="1"/>
  <c r="AY685" i="1"/>
  <c r="AY686" i="1"/>
  <c r="AY687" i="1"/>
  <c r="AY688" i="1"/>
  <c r="AY689" i="1"/>
  <c r="AY690" i="1"/>
  <c r="AY691" i="1"/>
  <c r="AY692" i="1"/>
  <c r="AY693" i="1"/>
  <c r="AY694" i="1"/>
  <c r="AY695" i="1"/>
  <c r="AY696" i="1"/>
  <c r="AY697" i="1"/>
  <c r="AY698" i="1"/>
  <c r="AY699" i="1"/>
  <c r="AY700" i="1"/>
  <c r="AY701" i="1"/>
  <c r="AY702" i="1"/>
  <c r="AY703" i="1"/>
  <c r="AY704" i="1"/>
  <c r="AY705" i="1"/>
  <c r="AY706" i="1"/>
  <c r="AY707" i="1"/>
  <c r="AY708" i="1"/>
  <c r="AY709" i="1"/>
  <c r="AY710" i="1"/>
  <c r="AY711" i="1"/>
  <c r="AY712" i="1"/>
  <c r="AY713" i="1"/>
  <c r="AY714" i="1"/>
  <c r="AY715" i="1"/>
  <c r="AY716" i="1"/>
  <c r="AY717" i="1"/>
  <c r="AY718" i="1"/>
  <c r="AY719" i="1"/>
  <c r="AY720" i="1"/>
  <c r="AY721" i="1"/>
  <c r="AY722" i="1"/>
  <c r="AY723" i="1"/>
  <c r="AY724" i="1"/>
  <c r="AY725" i="1"/>
  <c r="AY726" i="1"/>
  <c r="AY727" i="1"/>
  <c r="AY728" i="1"/>
  <c r="AY729" i="1"/>
  <c r="AY730" i="1"/>
  <c r="AY731" i="1"/>
  <c r="AY732" i="1"/>
  <c r="AY733" i="1"/>
  <c r="AY734" i="1"/>
  <c r="AY735" i="1"/>
  <c r="AY736" i="1"/>
  <c r="AY737" i="1"/>
  <c r="AY738" i="1"/>
  <c r="AY739" i="1"/>
  <c r="AY740" i="1"/>
  <c r="AY741" i="1"/>
  <c r="AY742" i="1"/>
  <c r="AY743" i="1"/>
  <c r="AY744" i="1"/>
  <c r="AY745" i="1"/>
  <c r="AY746" i="1"/>
  <c r="AY747" i="1"/>
  <c r="AY748" i="1"/>
  <c r="AY749" i="1"/>
  <c r="AY750" i="1"/>
  <c r="AY751" i="1"/>
  <c r="AY752" i="1"/>
  <c r="AY753" i="1"/>
  <c r="AY754" i="1"/>
  <c r="AY755" i="1"/>
  <c r="AY756" i="1"/>
  <c r="AY757" i="1"/>
  <c r="AY758" i="1"/>
  <c r="AY759" i="1"/>
  <c r="AY760" i="1"/>
  <c r="AY761" i="1"/>
  <c r="AY762" i="1"/>
  <c r="AY763" i="1"/>
  <c r="AY764" i="1"/>
  <c r="AY765" i="1"/>
  <c r="AY766" i="1"/>
  <c r="AY767" i="1"/>
  <c r="AY768" i="1"/>
  <c r="AY769" i="1"/>
  <c r="AY770" i="1"/>
  <c r="AY771" i="1"/>
  <c r="AY772" i="1"/>
  <c r="AY773" i="1"/>
  <c r="AY774" i="1"/>
  <c r="AY775" i="1"/>
  <c r="AY776" i="1"/>
  <c r="AY777" i="1"/>
  <c r="AY778" i="1"/>
  <c r="AY779" i="1"/>
  <c r="AY780" i="1"/>
  <c r="AY781" i="1"/>
  <c r="AY782" i="1"/>
  <c r="AY783" i="1"/>
  <c r="AY784" i="1"/>
  <c r="AY785" i="1"/>
  <c r="AY786" i="1"/>
  <c r="AY787" i="1"/>
  <c r="AY788" i="1"/>
  <c r="AY789" i="1"/>
  <c r="AY790" i="1"/>
  <c r="AY791" i="1"/>
  <c r="AY792" i="1"/>
  <c r="AY793" i="1"/>
  <c r="AY794" i="1"/>
  <c r="AY795" i="1"/>
  <c r="AY796" i="1"/>
  <c r="AY797" i="1"/>
  <c r="AY798" i="1"/>
  <c r="AY799" i="1"/>
  <c r="AY800" i="1"/>
  <c r="AY801" i="1"/>
  <c r="AY802" i="1"/>
  <c r="AY803" i="1"/>
  <c r="AY804" i="1"/>
  <c r="AY805" i="1"/>
  <c r="AY806" i="1"/>
  <c r="AY807" i="1"/>
  <c r="AY808" i="1"/>
  <c r="AY809" i="1"/>
  <c r="AY810" i="1"/>
  <c r="AY811" i="1"/>
  <c r="AY812" i="1"/>
  <c r="AY813" i="1"/>
  <c r="AY814" i="1"/>
  <c r="AY815" i="1"/>
  <c r="AY816" i="1"/>
  <c r="AY817" i="1"/>
  <c r="AY818" i="1"/>
  <c r="AY819" i="1"/>
  <c r="AY820" i="1"/>
  <c r="AY821" i="1"/>
  <c r="AY822" i="1"/>
  <c r="AY823" i="1"/>
  <c r="AY824" i="1"/>
  <c r="AY825" i="1"/>
  <c r="AY826" i="1"/>
  <c r="AY827" i="1"/>
  <c r="AY828" i="1"/>
  <c r="AY829" i="1"/>
  <c r="AY830" i="1"/>
  <c r="AY831" i="1"/>
  <c r="AY832" i="1"/>
  <c r="AY833" i="1"/>
  <c r="AY834" i="1"/>
  <c r="AY835" i="1"/>
  <c r="AY836" i="1"/>
  <c r="AY837" i="1"/>
  <c r="AY838" i="1"/>
  <c r="AY839" i="1"/>
  <c r="AY840" i="1"/>
  <c r="AY841" i="1"/>
  <c r="AY842" i="1"/>
  <c r="AY843" i="1"/>
  <c r="AY844" i="1"/>
  <c r="AY845" i="1"/>
  <c r="AY846" i="1"/>
  <c r="AY847" i="1"/>
  <c r="AY848" i="1"/>
  <c r="AY849" i="1"/>
  <c r="AY850" i="1"/>
  <c r="AY851" i="1"/>
  <c r="AY852" i="1"/>
  <c r="AY853" i="1"/>
  <c r="AY854" i="1"/>
  <c r="AY855" i="1"/>
  <c r="AY856" i="1"/>
  <c r="AY857" i="1"/>
  <c r="AY858" i="1"/>
  <c r="AY859" i="1"/>
  <c r="AY860" i="1"/>
  <c r="AY861" i="1"/>
  <c r="AY862" i="1"/>
  <c r="AY863" i="1"/>
  <c r="AY864" i="1"/>
  <c r="AY865" i="1"/>
  <c r="AY866" i="1"/>
  <c r="AY867" i="1"/>
  <c r="AY868" i="1"/>
  <c r="AY869" i="1"/>
  <c r="AY870" i="1"/>
  <c r="AY871" i="1"/>
  <c r="AY872" i="1"/>
  <c r="AY873" i="1"/>
  <c r="AY874" i="1"/>
  <c r="AY875" i="1"/>
  <c r="AY876" i="1"/>
  <c r="AY877" i="1"/>
  <c r="AY878" i="1"/>
  <c r="AY879" i="1"/>
  <c r="AY880" i="1"/>
  <c r="AY881" i="1"/>
  <c r="AY882" i="1"/>
  <c r="AY883" i="1"/>
  <c r="AY884" i="1"/>
  <c r="AY885" i="1"/>
  <c r="AY886" i="1"/>
  <c r="AY887" i="1"/>
  <c r="AY888" i="1"/>
  <c r="AY889" i="1"/>
  <c r="AY890" i="1"/>
  <c r="AY891" i="1"/>
  <c r="AY892" i="1"/>
  <c r="AY893" i="1"/>
  <c r="AY894" i="1"/>
  <c r="AY895" i="1"/>
  <c r="AY896" i="1"/>
  <c r="AY897" i="1"/>
  <c r="AY898" i="1"/>
  <c r="AY899" i="1"/>
  <c r="AY900" i="1"/>
  <c r="AY901" i="1"/>
  <c r="AY902" i="1"/>
  <c r="AY903" i="1"/>
  <c r="AY904" i="1"/>
  <c r="AY905" i="1"/>
  <c r="AY906" i="1"/>
  <c r="AY907" i="1"/>
  <c r="AY908" i="1"/>
  <c r="AY909" i="1"/>
  <c r="AY910" i="1"/>
  <c r="AY911" i="1"/>
  <c r="AY912" i="1"/>
  <c r="AY913" i="1"/>
  <c r="AY914" i="1"/>
  <c r="AY915" i="1"/>
  <c r="AY916" i="1"/>
  <c r="AY917" i="1"/>
  <c r="AY918" i="1"/>
  <c r="AY919" i="1"/>
  <c r="AY920" i="1"/>
  <c r="AY921" i="1"/>
  <c r="AY922" i="1"/>
  <c r="AY923" i="1"/>
  <c r="AY924" i="1"/>
  <c r="AY925" i="1"/>
  <c r="AY926" i="1"/>
  <c r="AY927" i="1"/>
  <c r="AY928" i="1"/>
  <c r="AY929" i="1"/>
  <c r="AY930" i="1"/>
  <c r="AY931" i="1"/>
  <c r="AY932" i="1"/>
  <c r="AY933" i="1"/>
  <c r="AY934" i="1"/>
  <c r="AY935" i="1"/>
  <c r="AY936" i="1"/>
  <c r="AY937" i="1"/>
  <c r="AY938" i="1"/>
  <c r="AY939" i="1"/>
  <c r="AY940" i="1"/>
  <c r="AY941" i="1"/>
  <c r="AY942" i="1"/>
  <c r="AY943" i="1"/>
  <c r="AY944" i="1"/>
  <c r="AY945" i="1"/>
  <c r="AY946" i="1"/>
  <c r="AY947" i="1"/>
  <c r="AY948" i="1"/>
  <c r="AY949" i="1"/>
  <c r="AY950" i="1"/>
  <c r="AY951" i="1"/>
  <c r="AY952" i="1"/>
  <c r="AY953" i="1"/>
  <c r="AY954" i="1"/>
  <c r="AY955" i="1"/>
  <c r="AY956" i="1"/>
  <c r="AY957" i="1"/>
  <c r="AY958" i="1"/>
  <c r="AY959" i="1"/>
  <c r="AY960" i="1"/>
  <c r="AY961" i="1"/>
  <c r="AY962" i="1"/>
  <c r="AY963" i="1"/>
  <c r="AY964" i="1"/>
  <c r="AY965" i="1"/>
  <c r="AY966" i="1"/>
  <c r="AY967" i="1"/>
  <c r="AY968" i="1"/>
  <c r="AY969" i="1"/>
  <c r="AY970" i="1"/>
  <c r="AY971" i="1"/>
  <c r="AY972" i="1"/>
  <c r="AY973" i="1"/>
  <c r="AY974" i="1"/>
  <c r="AY975" i="1"/>
  <c r="AY976" i="1"/>
  <c r="AY977" i="1"/>
  <c r="AY978" i="1"/>
  <c r="AY979" i="1"/>
  <c r="AY980" i="1"/>
  <c r="AY981" i="1"/>
  <c r="AY982" i="1"/>
  <c r="AY983" i="1"/>
  <c r="AY984" i="1"/>
  <c r="AY985" i="1"/>
  <c r="AY986" i="1"/>
  <c r="AY987" i="1"/>
  <c r="AY988" i="1"/>
  <c r="AY989" i="1"/>
  <c r="AY990" i="1"/>
  <c r="AY991" i="1"/>
  <c r="AY992" i="1"/>
  <c r="AY993" i="1"/>
  <c r="AY994" i="1"/>
  <c r="AY995" i="1"/>
  <c r="AY996" i="1"/>
  <c r="AY997" i="1"/>
  <c r="AY998" i="1"/>
  <c r="AY999" i="1"/>
  <c r="AY1000" i="1"/>
  <c r="AY1001" i="1"/>
  <c r="AY1002" i="1"/>
  <c r="AY1003" i="1"/>
  <c r="AY1004" i="1"/>
  <c r="AY1005" i="1"/>
  <c r="AY1006" i="1"/>
  <c r="AY1007" i="1"/>
  <c r="AY1008" i="1"/>
  <c r="AY1009" i="1"/>
  <c r="AY1010" i="1"/>
  <c r="AY1011" i="1"/>
  <c r="AY1012" i="1"/>
  <c r="AY1013" i="1"/>
  <c r="AY1014" i="1"/>
  <c r="AY1015" i="1"/>
  <c r="AY1016" i="1"/>
  <c r="AY1017" i="1"/>
  <c r="AY1018" i="1"/>
  <c r="AY1019" i="1"/>
  <c r="AY1020" i="1"/>
  <c r="AY1021" i="1"/>
  <c r="AY1022" i="1"/>
  <c r="AY1023" i="1"/>
  <c r="AY1024" i="1"/>
  <c r="AY1025" i="1"/>
  <c r="AY1026" i="1"/>
  <c r="AY1027" i="1"/>
  <c r="AY1028" i="1"/>
  <c r="AY1029" i="1"/>
  <c r="AY1030" i="1"/>
  <c r="AY1031" i="1"/>
  <c r="AY1032" i="1"/>
  <c r="AY1033" i="1"/>
  <c r="AY1034" i="1"/>
  <c r="AY1035" i="1"/>
  <c r="AY1036" i="1"/>
  <c r="AY1037" i="1"/>
  <c r="AY1038" i="1"/>
  <c r="AY1039" i="1"/>
  <c r="AY1040" i="1"/>
  <c r="AY1041" i="1"/>
  <c r="AY1042" i="1"/>
  <c r="AY1043" i="1"/>
  <c r="AY1044" i="1"/>
  <c r="AY1045" i="1"/>
  <c r="AY1046" i="1"/>
  <c r="AY1047" i="1"/>
  <c r="AY1048" i="1"/>
  <c r="AY1049" i="1"/>
  <c r="AY1050" i="1"/>
  <c r="AY1051" i="1"/>
  <c r="AY1052" i="1"/>
  <c r="AY1053" i="1"/>
  <c r="AY1054" i="1"/>
  <c r="AY1055" i="1"/>
  <c r="AY1056" i="1"/>
  <c r="AY1057" i="1"/>
  <c r="AY1058" i="1"/>
  <c r="AY1059" i="1"/>
  <c r="AY1060" i="1"/>
  <c r="AY1061" i="1"/>
  <c r="AY1062" i="1"/>
  <c r="AY1063" i="1"/>
  <c r="AY1064" i="1"/>
  <c r="AY1065" i="1"/>
  <c r="AY1066" i="1"/>
  <c r="AY1067" i="1"/>
  <c r="AY1068" i="1"/>
  <c r="AY1069" i="1"/>
  <c r="AY1070" i="1"/>
  <c r="AY1071" i="1"/>
  <c r="AY1072" i="1"/>
  <c r="AY1073" i="1"/>
  <c r="AY1074" i="1"/>
  <c r="AY1075" i="1"/>
  <c r="AY1076" i="1"/>
  <c r="AY1077" i="1"/>
  <c r="AY1078" i="1"/>
  <c r="AY1079" i="1"/>
  <c r="AY1080" i="1"/>
  <c r="AY1081" i="1"/>
  <c r="AY1082" i="1"/>
  <c r="AY1083" i="1"/>
  <c r="AY1084" i="1"/>
  <c r="AY1085" i="1"/>
  <c r="AY1086" i="1"/>
  <c r="AY1087" i="1"/>
  <c r="AY1088" i="1"/>
  <c r="AY1089" i="1"/>
  <c r="AY1090" i="1"/>
  <c r="AY1091" i="1"/>
  <c r="AY1092" i="1"/>
  <c r="AY1093" i="1"/>
  <c r="AY1094" i="1"/>
  <c r="AY1095" i="1"/>
  <c r="AY1096" i="1"/>
  <c r="AY1097" i="1"/>
  <c r="AY1098" i="1"/>
  <c r="AY1099" i="1"/>
  <c r="AY1100" i="1"/>
  <c r="AY1101" i="1"/>
  <c r="AY1102" i="1"/>
  <c r="AY1103" i="1"/>
  <c r="AY1104" i="1"/>
  <c r="AY1105" i="1"/>
  <c r="AY1106" i="1"/>
  <c r="AY1107" i="1"/>
  <c r="AY1108" i="1"/>
  <c r="AY1109" i="1"/>
  <c r="AY1110" i="1"/>
  <c r="AY1111" i="1"/>
  <c r="AY1112" i="1"/>
  <c r="AY1113" i="1"/>
  <c r="AY1114" i="1"/>
  <c r="AY1115" i="1"/>
  <c r="AY1116" i="1"/>
  <c r="AY1117" i="1"/>
  <c r="AY1118" i="1"/>
  <c r="AY1119" i="1"/>
  <c r="AY1120" i="1"/>
  <c r="AY1121" i="1"/>
  <c r="AY1122" i="1"/>
  <c r="AY1123" i="1"/>
  <c r="AY1124" i="1"/>
  <c r="AY1125" i="1"/>
  <c r="AY1126" i="1"/>
  <c r="AY1127" i="1"/>
  <c r="AY1128" i="1"/>
  <c r="AY1129" i="1"/>
  <c r="AY1130" i="1"/>
  <c r="AY1131" i="1"/>
  <c r="AY1132" i="1"/>
  <c r="AY1133" i="1"/>
  <c r="AY1134" i="1"/>
  <c r="AY1135" i="1"/>
  <c r="AY1136" i="1"/>
  <c r="AY1137" i="1"/>
  <c r="AY1138" i="1"/>
  <c r="AY1139" i="1"/>
  <c r="AY1140" i="1"/>
  <c r="AY1141" i="1"/>
  <c r="AY1142" i="1"/>
  <c r="AY1143" i="1"/>
  <c r="AY1144" i="1"/>
  <c r="AY1145" i="1"/>
  <c r="AY1146" i="1"/>
  <c r="AY1147" i="1"/>
  <c r="AY1148" i="1"/>
  <c r="AY1149" i="1"/>
  <c r="AY1150" i="1"/>
  <c r="AY1151" i="1"/>
  <c r="AY1152" i="1"/>
  <c r="AY1153" i="1"/>
  <c r="AY1154" i="1"/>
  <c r="AY1155" i="1"/>
  <c r="AY1156" i="1"/>
  <c r="AY1157" i="1"/>
  <c r="AY1158" i="1"/>
  <c r="AY1159" i="1"/>
  <c r="AY1160" i="1"/>
  <c r="AY1161" i="1"/>
  <c r="AY1162" i="1"/>
  <c r="AY1163" i="1"/>
  <c r="AY1164" i="1"/>
  <c r="AY1165" i="1"/>
  <c r="AY1166" i="1"/>
  <c r="AY1167" i="1"/>
  <c r="AY1168" i="1"/>
  <c r="AY1169" i="1"/>
  <c r="AY1170" i="1"/>
  <c r="AY1171" i="1"/>
  <c r="AY1172" i="1"/>
  <c r="AY1173" i="1"/>
  <c r="AY1174" i="1"/>
  <c r="AY1175" i="1"/>
  <c r="AY1176" i="1"/>
  <c r="AY1177" i="1"/>
  <c r="AY1178" i="1"/>
  <c r="AY1179" i="1"/>
  <c r="AY1180" i="1"/>
  <c r="AY1181" i="1"/>
  <c r="AY1182" i="1"/>
  <c r="AY1183" i="1"/>
  <c r="AY1184" i="1"/>
  <c r="AY1185" i="1"/>
  <c r="AY1186" i="1"/>
  <c r="AY1187" i="1"/>
  <c r="AY1188" i="1"/>
  <c r="AY1189" i="1"/>
  <c r="AY1190" i="1"/>
  <c r="AY1191" i="1"/>
  <c r="AY1192" i="1"/>
  <c r="AY1193" i="1"/>
  <c r="AY1194" i="1"/>
  <c r="AY1195" i="1"/>
  <c r="AY1196" i="1"/>
  <c r="AY1197" i="1"/>
  <c r="AY1198" i="1"/>
  <c r="AY1199" i="1"/>
  <c r="AY1200" i="1"/>
  <c r="AY1201" i="1"/>
  <c r="AY1202" i="1"/>
  <c r="AY1203" i="1"/>
  <c r="AY1204" i="1"/>
  <c r="AY1205" i="1"/>
  <c r="AY1206" i="1"/>
  <c r="AY1207" i="1"/>
  <c r="AY1208" i="1"/>
  <c r="AY1209" i="1"/>
  <c r="AY1210" i="1"/>
  <c r="AY1211" i="1"/>
  <c r="AY1212" i="1"/>
  <c r="AY1213" i="1"/>
  <c r="AY1214" i="1"/>
  <c r="AY1215" i="1"/>
  <c r="AY1216" i="1"/>
  <c r="AY1217" i="1"/>
  <c r="AY1218" i="1"/>
  <c r="AY1219" i="1"/>
  <c r="AY1220" i="1"/>
  <c r="AY1221" i="1"/>
  <c r="AY1222" i="1"/>
  <c r="AY1223" i="1"/>
  <c r="AY1224" i="1"/>
  <c r="AY1225" i="1"/>
  <c r="AY1226" i="1"/>
  <c r="AY1227" i="1"/>
  <c r="AY1228" i="1"/>
  <c r="AY1229" i="1"/>
  <c r="AY1230" i="1"/>
  <c r="AY1231" i="1"/>
  <c r="AY1232" i="1"/>
  <c r="AY1233" i="1"/>
  <c r="AY1234" i="1"/>
  <c r="AY1235" i="1"/>
  <c r="AY1236" i="1"/>
  <c r="AY1237" i="1"/>
  <c r="AY1238" i="1"/>
  <c r="AY1239" i="1"/>
  <c r="AY1240" i="1"/>
  <c r="AY1241" i="1"/>
  <c r="AY1242" i="1"/>
  <c r="AY1243" i="1"/>
  <c r="AY1244" i="1"/>
  <c r="AY1245" i="1"/>
  <c r="AY1246" i="1"/>
  <c r="AY1247" i="1"/>
  <c r="AY1248" i="1"/>
  <c r="AY1249" i="1"/>
  <c r="AY1250" i="1"/>
  <c r="AY1251" i="1"/>
  <c r="AY1252" i="1"/>
  <c r="AY1253" i="1"/>
  <c r="AY1254" i="1"/>
  <c r="AY1255" i="1"/>
  <c r="AY1256" i="1"/>
  <c r="AY1257" i="1"/>
  <c r="AY1258" i="1"/>
  <c r="AY1259" i="1"/>
  <c r="AY1260" i="1"/>
  <c r="AY1261" i="1"/>
  <c r="AY1262" i="1"/>
  <c r="AY1263" i="1"/>
  <c r="AY1264" i="1"/>
  <c r="AY1265" i="1"/>
  <c r="AY1266" i="1"/>
  <c r="AY1267" i="1"/>
  <c r="AY1268" i="1"/>
  <c r="AY1269" i="1"/>
  <c r="AY1270" i="1"/>
  <c r="AY1271" i="1"/>
  <c r="AY1272" i="1"/>
  <c r="AY1273" i="1"/>
  <c r="AY1274" i="1"/>
  <c r="AY1275" i="1"/>
  <c r="AY1276" i="1"/>
  <c r="AY1277" i="1"/>
  <c r="AY1278" i="1"/>
  <c r="AY1279" i="1"/>
  <c r="AY1280" i="1"/>
  <c r="AY1281" i="1"/>
  <c r="AY1282" i="1"/>
  <c r="AY1283" i="1"/>
  <c r="AY1284" i="1"/>
  <c r="AY1285" i="1"/>
  <c r="AY1286" i="1"/>
  <c r="AY1287" i="1"/>
  <c r="AY1288" i="1"/>
  <c r="AY1289" i="1"/>
  <c r="AY1290" i="1"/>
  <c r="AY1291" i="1"/>
  <c r="AY1292" i="1"/>
  <c r="AY1293" i="1"/>
  <c r="AY1294" i="1"/>
  <c r="AY1295" i="1"/>
  <c r="AY1296" i="1"/>
  <c r="AY1297" i="1"/>
  <c r="AY1298" i="1"/>
  <c r="AY1299" i="1"/>
  <c r="AY1300" i="1"/>
  <c r="AY1301" i="1"/>
  <c r="AY1302" i="1"/>
  <c r="AY1303" i="1"/>
  <c r="AY1304" i="1"/>
  <c r="AY1305" i="1"/>
  <c r="AY1306" i="1"/>
  <c r="AY1307" i="1"/>
  <c r="AY1308" i="1"/>
  <c r="AY1309" i="1"/>
  <c r="AY1310" i="1"/>
  <c r="AY1311" i="1"/>
  <c r="AY1312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AX227" i="1"/>
  <c r="AX228" i="1"/>
  <c r="AX229" i="1"/>
  <c r="AX230" i="1"/>
  <c r="AX231" i="1"/>
  <c r="AX232" i="1"/>
  <c r="AX233" i="1"/>
  <c r="AX234" i="1"/>
  <c r="AX235" i="1"/>
  <c r="AX236" i="1"/>
  <c r="AX237" i="1"/>
  <c r="AX238" i="1"/>
  <c r="AX239" i="1"/>
  <c r="AX240" i="1"/>
  <c r="AX241" i="1"/>
  <c r="AX242" i="1"/>
  <c r="AX243" i="1"/>
  <c r="AX244" i="1"/>
  <c r="AX245" i="1"/>
  <c r="AX246" i="1"/>
  <c r="AX247" i="1"/>
  <c r="AX248" i="1"/>
  <c r="AX249" i="1"/>
  <c r="AX250" i="1"/>
  <c r="AX251" i="1"/>
  <c r="AX252" i="1"/>
  <c r="AX253" i="1"/>
  <c r="AX254" i="1"/>
  <c r="AX255" i="1"/>
  <c r="AX256" i="1"/>
  <c r="AX257" i="1"/>
  <c r="AX258" i="1"/>
  <c r="AX259" i="1"/>
  <c r="AX260" i="1"/>
  <c r="AX261" i="1"/>
  <c r="AX262" i="1"/>
  <c r="AX263" i="1"/>
  <c r="AX264" i="1"/>
  <c r="AX265" i="1"/>
  <c r="AX266" i="1"/>
  <c r="AX267" i="1"/>
  <c r="AX268" i="1"/>
  <c r="AX269" i="1"/>
  <c r="AX270" i="1"/>
  <c r="AX271" i="1"/>
  <c r="AX272" i="1"/>
  <c r="AX273" i="1"/>
  <c r="AX274" i="1"/>
  <c r="AX275" i="1"/>
  <c r="AX276" i="1"/>
  <c r="AX277" i="1"/>
  <c r="AX278" i="1"/>
  <c r="AX279" i="1"/>
  <c r="AX280" i="1"/>
  <c r="AX281" i="1"/>
  <c r="AX282" i="1"/>
  <c r="AX283" i="1"/>
  <c r="AX284" i="1"/>
  <c r="AX285" i="1"/>
  <c r="AX286" i="1"/>
  <c r="AX287" i="1"/>
  <c r="AX288" i="1"/>
  <c r="AX289" i="1"/>
  <c r="AX290" i="1"/>
  <c r="AX291" i="1"/>
  <c r="AX292" i="1"/>
  <c r="AX293" i="1"/>
  <c r="AX294" i="1"/>
  <c r="AX295" i="1"/>
  <c r="AX296" i="1"/>
  <c r="AX297" i="1"/>
  <c r="AX298" i="1"/>
  <c r="AX299" i="1"/>
  <c r="AX300" i="1"/>
  <c r="AX301" i="1"/>
  <c r="AX302" i="1"/>
  <c r="AX303" i="1"/>
  <c r="AX304" i="1"/>
  <c r="AX305" i="1"/>
  <c r="AX306" i="1"/>
  <c r="AX307" i="1"/>
  <c r="AX308" i="1"/>
  <c r="AX309" i="1"/>
  <c r="AX310" i="1"/>
  <c r="AX311" i="1"/>
  <c r="AX312" i="1"/>
  <c r="AX313" i="1"/>
  <c r="AX314" i="1"/>
  <c r="AX315" i="1"/>
  <c r="AX316" i="1"/>
  <c r="AX317" i="1"/>
  <c r="AX318" i="1"/>
  <c r="AX319" i="1"/>
  <c r="AX320" i="1"/>
  <c r="AX321" i="1"/>
  <c r="AX322" i="1"/>
  <c r="AX323" i="1"/>
  <c r="AX324" i="1"/>
  <c r="AX325" i="1"/>
  <c r="AX326" i="1"/>
  <c r="AX327" i="1"/>
  <c r="AX328" i="1"/>
  <c r="AX329" i="1"/>
  <c r="AX330" i="1"/>
  <c r="AX331" i="1"/>
  <c r="AX332" i="1"/>
  <c r="AX333" i="1"/>
  <c r="AX334" i="1"/>
  <c r="AX335" i="1"/>
  <c r="AX336" i="1"/>
  <c r="AX337" i="1"/>
  <c r="AX338" i="1"/>
  <c r="AX339" i="1"/>
  <c r="AX340" i="1"/>
  <c r="AX341" i="1"/>
  <c r="AX342" i="1"/>
  <c r="AX343" i="1"/>
  <c r="AX344" i="1"/>
  <c r="AX345" i="1"/>
  <c r="AX346" i="1"/>
  <c r="AX347" i="1"/>
  <c r="AX348" i="1"/>
  <c r="AX349" i="1"/>
  <c r="AX350" i="1"/>
  <c r="AX351" i="1"/>
  <c r="AX352" i="1"/>
  <c r="AX353" i="1"/>
  <c r="AX354" i="1"/>
  <c r="AX355" i="1"/>
  <c r="AX356" i="1"/>
  <c r="AX357" i="1"/>
  <c r="AX358" i="1"/>
  <c r="AX359" i="1"/>
  <c r="AX360" i="1"/>
  <c r="AX361" i="1"/>
  <c r="AX362" i="1"/>
  <c r="AX363" i="1"/>
  <c r="AX364" i="1"/>
  <c r="AX365" i="1"/>
  <c r="AX366" i="1"/>
  <c r="AX367" i="1"/>
  <c r="AX368" i="1"/>
  <c r="AX369" i="1"/>
  <c r="AX370" i="1"/>
  <c r="AX371" i="1"/>
  <c r="AX372" i="1"/>
  <c r="AX373" i="1"/>
  <c r="AX374" i="1"/>
  <c r="AX375" i="1"/>
  <c r="AX376" i="1"/>
  <c r="AX377" i="1"/>
  <c r="AX378" i="1"/>
  <c r="AX379" i="1"/>
  <c r="AX380" i="1"/>
  <c r="AX381" i="1"/>
  <c r="AX382" i="1"/>
  <c r="AX383" i="1"/>
  <c r="AX384" i="1"/>
  <c r="AX385" i="1"/>
  <c r="AX386" i="1"/>
  <c r="AX387" i="1"/>
  <c r="AX388" i="1"/>
  <c r="AX389" i="1"/>
  <c r="AX390" i="1"/>
  <c r="AX391" i="1"/>
  <c r="AX392" i="1"/>
  <c r="AX393" i="1"/>
  <c r="AX394" i="1"/>
  <c r="AX395" i="1"/>
  <c r="AX396" i="1"/>
  <c r="AX397" i="1"/>
  <c r="AX398" i="1"/>
  <c r="AX399" i="1"/>
  <c r="AX400" i="1"/>
  <c r="AX401" i="1"/>
  <c r="AX402" i="1"/>
  <c r="AX403" i="1"/>
  <c r="AX404" i="1"/>
  <c r="AX405" i="1"/>
  <c r="AX406" i="1"/>
  <c r="AX407" i="1"/>
  <c r="AX408" i="1"/>
  <c r="AX409" i="1"/>
  <c r="AX410" i="1"/>
  <c r="AX411" i="1"/>
  <c r="AX412" i="1"/>
  <c r="AX413" i="1"/>
  <c r="AX414" i="1"/>
  <c r="AX415" i="1"/>
  <c r="AX416" i="1"/>
  <c r="AX417" i="1"/>
  <c r="AX418" i="1"/>
  <c r="AX419" i="1"/>
  <c r="AX420" i="1"/>
  <c r="AX421" i="1"/>
  <c r="AX422" i="1"/>
  <c r="AX423" i="1"/>
  <c r="AX424" i="1"/>
  <c r="AX425" i="1"/>
  <c r="AX426" i="1"/>
  <c r="AX427" i="1"/>
  <c r="AX428" i="1"/>
  <c r="AX429" i="1"/>
  <c r="AX430" i="1"/>
  <c r="AX431" i="1"/>
  <c r="AX432" i="1"/>
  <c r="AX433" i="1"/>
  <c r="AX434" i="1"/>
  <c r="AX435" i="1"/>
  <c r="AX436" i="1"/>
  <c r="AX437" i="1"/>
  <c r="AX438" i="1"/>
  <c r="AX439" i="1"/>
  <c r="AX440" i="1"/>
  <c r="AX441" i="1"/>
  <c r="AX442" i="1"/>
  <c r="AX443" i="1"/>
  <c r="AX444" i="1"/>
  <c r="AX445" i="1"/>
  <c r="AX446" i="1"/>
  <c r="AX447" i="1"/>
  <c r="AX448" i="1"/>
  <c r="AX449" i="1"/>
  <c r="AX450" i="1"/>
  <c r="AX451" i="1"/>
  <c r="AX452" i="1"/>
  <c r="AX453" i="1"/>
  <c r="AX454" i="1"/>
  <c r="AX455" i="1"/>
  <c r="AX456" i="1"/>
  <c r="AX457" i="1"/>
  <c r="AX458" i="1"/>
  <c r="AX459" i="1"/>
  <c r="AX460" i="1"/>
  <c r="AX461" i="1"/>
  <c r="AX462" i="1"/>
  <c r="AX463" i="1"/>
  <c r="AX464" i="1"/>
  <c r="AX465" i="1"/>
  <c r="AX466" i="1"/>
  <c r="AX467" i="1"/>
  <c r="AX468" i="1"/>
  <c r="AX469" i="1"/>
  <c r="AX470" i="1"/>
  <c r="AX471" i="1"/>
  <c r="AX472" i="1"/>
  <c r="AX473" i="1"/>
  <c r="AX474" i="1"/>
  <c r="AX475" i="1"/>
  <c r="AX476" i="1"/>
  <c r="AX477" i="1"/>
  <c r="AX478" i="1"/>
  <c r="AX479" i="1"/>
  <c r="AX480" i="1"/>
  <c r="AX481" i="1"/>
  <c r="AX482" i="1"/>
  <c r="AX483" i="1"/>
  <c r="AX484" i="1"/>
  <c r="AX485" i="1"/>
  <c r="AX486" i="1"/>
  <c r="AX487" i="1"/>
  <c r="AX488" i="1"/>
  <c r="AX489" i="1"/>
  <c r="AX490" i="1"/>
  <c r="AX491" i="1"/>
  <c r="AX492" i="1"/>
  <c r="AX493" i="1"/>
  <c r="AX494" i="1"/>
  <c r="AX495" i="1"/>
  <c r="AX496" i="1"/>
  <c r="AX497" i="1"/>
  <c r="AX498" i="1"/>
  <c r="AX499" i="1"/>
  <c r="AX500" i="1"/>
  <c r="AX501" i="1"/>
  <c r="AX502" i="1"/>
  <c r="AX503" i="1"/>
  <c r="AX504" i="1"/>
  <c r="AX505" i="1"/>
  <c r="AX506" i="1"/>
  <c r="AX507" i="1"/>
  <c r="AX508" i="1"/>
  <c r="AX509" i="1"/>
  <c r="AX510" i="1"/>
  <c r="AX511" i="1"/>
  <c r="AX512" i="1"/>
  <c r="AX513" i="1"/>
  <c r="AX514" i="1"/>
  <c r="AX515" i="1"/>
  <c r="AX516" i="1"/>
  <c r="AX517" i="1"/>
  <c r="AX518" i="1"/>
  <c r="AX519" i="1"/>
  <c r="AX520" i="1"/>
  <c r="AX521" i="1"/>
  <c r="AX522" i="1"/>
  <c r="AX523" i="1"/>
  <c r="AX524" i="1"/>
  <c r="AX525" i="1"/>
  <c r="AX526" i="1"/>
  <c r="AX527" i="1"/>
  <c r="AX528" i="1"/>
  <c r="AX529" i="1"/>
  <c r="AX530" i="1"/>
  <c r="AX531" i="1"/>
  <c r="AX532" i="1"/>
  <c r="AX533" i="1"/>
  <c r="AX534" i="1"/>
  <c r="AX535" i="1"/>
  <c r="AX536" i="1"/>
  <c r="AX537" i="1"/>
  <c r="AX538" i="1"/>
  <c r="AX539" i="1"/>
  <c r="AX540" i="1"/>
  <c r="AX541" i="1"/>
  <c r="AX542" i="1"/>
  <c r="AX543" i="1"/>
  <c r="AX544" i="1"/>
  <c r="AX545" i="1"/>
  <c r="AX546" i="1"/>
  <c r="AX547" i="1"/>
  <c r="AX548" i="1"/>
  <c r="AX549" i="1"/>
  <c r="AX550" i="1"/>
  <c r="AX551" i="1"/>
  <c r="AX552" i="1"/>
  <c r="AX553" i="1"/>
  <c r="AX554" i="1"/>
  <c r="AX555" i="1"/>
  <c r="AX556" i="1"/>
  <c r="AX557" i="1"/>
  <c r="AX558" i="1"/>
  <c r="AX559" i="1"/>
  <c r="AX560" i="1"/>
  <c r="AX561" i="1"/>
  <c r="AX562" i="1"/>
  <c r="AX563" i="1"/>
  <c r="AX564" i="1"/>
  <c r="AX565" i="1"/>
  <c r="AX566" i="1"/>
  <c r="AX567" i="1"/>
  <c r="AX568" i="1"/>
  <c r="AX569" i="1"/>
  <c r="AX570" i="1"/>
  <c r="AX571" i="1"/>
  <c r="AX572" i="1"/>
  <c r="AX573" i="1"/>
  <c r="AX574" i="1"/>
  <c r="AX575" i="1"/>
  <c r="AX576" i="1"/>
  <c r="AX577" i="1"/>
  <c r="AX578" i="1"/>
  <c r="AX579" i="1"/>
  <c r="AX580" i="1"/>
  <c r="AX581" i="1"/>
  <c r="AX582" i="1"/>
  <c r="AX583" i="1"/>
  <c r="AX584" i="1"/>
  <c r="AX585" i="1"/>
  <c r="AX586" i="1"/>
  <c r="AX587" i="1"/>
  <c r="AX588" i="1"/>
  <c r="AX589" i="1"/>
  <c r="AX590" i="1"/>
  <c r="AX591" i="1"/>
  <c r="AX592" i="1"/>
  <c r="AX593" i="1"/>
  <c r="AX594" i="1"/>
  <c r="AX595" i="1"/>
  <c r="AX596" i="1"/>
  <c r="AX597" i="1"/>
  <c r="AX598" i="1"/>
  <c r="AX599" i="1"/>
  <c r="AX600" i="1"/>
  <c r="AX601" i="1"/>
  <c r="AX602" i="1"/>
  <c r="AX603" i="1"/>
  <c r="AX604" i="1"/>
  <c r="AX605" i="1"/>
  <c r="AX606" i="1"/>
  <c r="AX607" i="1"/>
  <c r="AX608" i="1"/>
  <c r="AX609" i="1"/>
  <c r="AX610" i="1"/>
  <c r="AX611" i="1"/>
  <c r="AX612" i="1"/>
  <c r="AX613" i="1"/>
  <c r="AX614" i="1"/>
  <c r="AX615" i="1"/>
  <c r="AX616" i="1"/>
  <c r="AX617" i="1"/>
  <c r="AX618" i="1"/>
  <c r="AX619" i="1"/>
  <c r="AX620" i="1"/>
  <c r="AX621" i="1"/>
  <c r="AX622" i="1"/>
  <c r="AX623" i="1"/>
  <c r="AX624" i="1"/>
  <c r="AX625" i="1"/>
  <c r="AX626" i="1"/>
  <c r="AX627" i="1"/>
  <c r="AX628" i="1"/>
  <c r="AX629" i="1"/>
  <c r="AX630" i="1"/>
  <c r="AX631" i="1"/>
  <c r="AX632" i="1"/>
  <c r="AX633" i="1"/>
  <c r="AX634" i="1"/>
  <c r="AX635" i="1"/>
  <c r="AX636" i="1"/>
  <c r="AX637" i="1"/>
  <c r="AX638" i="1"/>
  <c r="AX639" i="1"/>
  <c r="AX640" i="1"/>
  <c r="AX641" i="1"/>
  <c r="AX642" i="1"/>
  <c r="AX643" i="1"/>
  <c r="AX644" i="1"/>
  <c r="AX645" i="1"/>
  <c r="AX646" i="1"/>
  <c r="AX647" i="1"/>
  <c r="AX648" i="1"/>
  <c r="AX649" i="1"/>
  <c r="AX650" i="1"/>
  <c r="AX651" i="1"/>
  <c r="AX652" i="1"/>
  <c r="AX653" i="1"/>
  <c r="AX654" i="1"/>
  <c r="AX655" i="1"/>
  <c r="AX656" i="1"/>
  <c r="AX657" i="1"/>
  <c r="AX658" i="1"/>
  <c r="AX659" i="1"/>
  <c r="AX660" i="1"/>
  <c r="AX661" i="1"/>
  <c r="AX662" i="1"/>
  <c r="AX663" i="1"/>
  <c r="AX664" i="1"/>
  <c r="AX665" i="1"/>
  <c r="AX666" i="1"/>
  <c r="AX667" i="1"/>
  <c r="AX668" i="1"/>
  <c r="AX669" i="1"/>
  <c r="AX670" i="1"/>
  <c r="AX671" i="1"/>
  <c r="AX672" i="1"/>
  <c r="AX673" i="1"/>
  <c r="AX674" i="1"/>
  <c r="AX675" i="1"/>
  <c r="AX676" i="1"/>
  <c r="AX677" i="1"/>
  <c r="AX678" i="1"/>
  <c r="AX679" i="1"/>
  <c r="AX680" i="1"/>
  <c r="AX681" i="1"/>
  <c r="AX682" i="1"/>
  <c r="AX683" i="1"/>
  <c r="AX684" i="1"/>
  <c r="AX685" i="1"/>
  <c r="AX686" i="1"/>
  <c r="AX687" i="1"/>
  <c r="AX688" i="1"/>
  <c r="AX689" i="1"/>
  <c r="AX690" i="1"/>
  <c r="AX691" i="1"/>
  <c r="AX692" i="1"/>
  <c r="AX693" i="1"/>
  <c r="AX694" i="1"/>
  <c r="AX695" i="1"/>
  <c r="AX696" i="1"/>
  <c r="AX697" i="1"/>
  <c r="AX698" i="1"/>
  <c r="AX699" i="1"/>
  <c r="AX700" i="1"/>
  <c r="AX701" i="1"/>
  <c r="AX702" i="1"/>
  <c r="AX703" i="1"/>
  <c r="AX704" i="1"/>
  <c r="AX705" i="1"/>
  <c r="AX706" i="1"/>
  <c r="AX707" i="1"/>
  <c r="AX708" i="1"/>
  <c r="AX709" i="1"/>
  <c r="AX710" i="1"/>
  <c r="AX711" i="1"/>
  <c r="AX712" i="1"/>
  <c r="AX713" i="1"/>
  <c r="AX714" i="1"/>
  <c r="AX715" i="1"/>
  <c r="AX716" i="1"/>
  <c r="AX717" i="1"/>
  <c r="AX718" i="1"/>
  <c r="AX719" i="1"/>
  <c r="AX720" i="1"/>
  <c r="AX721" i="1"/>
  <c r="AX722" i="1"/>
  <c r="AX723" i="1"/>
  <c r="AX724" i="1"/>
  <c r="AX725" i="1"/>
  <c r="AX726" i="1"/>
  <c r="AX727" i="1"/>
  <c r="AX728" i="1"/>
  <c r="AX729" i="1"/>
  <c r="AX730" i="1"/>
  <c r="AX731" i="1"/>
  <c r="AX732" i="1"/>
  <c r="AX733" i="1"/>
  <c r="AX734" i="1"/>
  <c r="AX735" i="1"/>
  <c r="AX736" i="1"/>
  <c r="AX737" i="1"/>
  <c r="AX738" i="1"/>
  <c r="AX739" i="1"/>
  <c r="AX740" i="1"/>
  <c r="AX741" i="1"/>
  <c r="AX742" i="1"/>
  <c r="AX743" i="1"/>
  <c r="AX744" i="1"/>
  <c r="AX745" i="1"/>
  <c r="AX746" i="1"/>
  <c r="AX747" i="1"/>
  <c r="AX748" i="1"/>
  <c r="AX749" i="1"/>
  <c r="AX750" i="1"/>
  <c r="AX751" i="1"/>
  <c r="AX752" i="1"/>
  <c r="AX753" i="1"/>
  <c r="AX754" i="1"/>
  <c r="AX755" i="1"/>
  <c r="AX756" i="1"/>
  <c r="AX757" i="1"/>
  <c r="AX758" i="1"/>
  <c r="AX759" i="1"/>
  <c r="AX760" i="1"/>
  <c r="AX761" i="1"/>
  <c r="AX762" i="1"/>
  <c r="AX763" i="1"/>
  <c r="AX764" i="1"/>
  <c r="AX765" i="1"/>
  <c r="AX766" i="1"/>
  <c r="AX767" i="1"/>
  <c r="AX768" i="1"/>
  <c r="AX769" i="1"/>
  <c r="AX770" i="1"/>
  <c r="AX771" i="1"/>
  <c r="AX772" i="1"/>
  <c r="AX773" i="1"/>
  <c r="AX774" i="1"/>
  <c r="AX775" i="1"/>
  <c r="AX776" i="1"/>
  <c r="AX777" i="1"/>
  <c r="AX778" i="1"/>
  <c r="AX779" i="1"/>
  <c r="AX780" i="1"/>
  <c r="AX781" i="1"/>
  <c r="AX782" i="1"/>
  <c r="AX783" i="1"/>
  <c r="AX784" i="1"/>
  <c r="AX785" i="1"/>
  <c r="AX786" i="1"/>
  <c r="AX787" i="1"/>
  <c r="AX788" i="1"/>
  <c r="AX789" i="1"/>
  <c r="AX790" i="1"/>
  <c r="AX791" i="1"/>
  <c r="AX792" i="1"/>
  <c r="AX793" i="1"/>
  <c r="AX794" i="1"/>
  <c r="AX795" i="1"/>
  <c r="AX796" i="1"/>
  <c r="AX797" i="1"/>
  <c r="AX798" i="1"/>
  <c r="AX799" i="1"/>
  <c r="AX800" i="1"/>
  <c r="AX801" i="1"/>
  <c r="AX802" i="1"/>
  <c r="AX803" i="1"/>
  <c r="AX804" i="1"/>
  <c r="AX805" i="1"/>
  <c r="AX806" i="1"/>
  <c r="AX807" i="1"/>
  <c r="AX808" i="1"/>
  <c r="AX809" i="1"/>
  <c r="AX810" i="1"/>
  <c r="AX811" i="1"/>
  <c r="AX812" i="1"/>
  <c r="AX813" i="1"/>
  <c r="AX814" i="1"/>
  <c r="AX815" i="1"/>
  <c r="AX816" i="1"/>
  <c r="AX817" i="1"/>
  <c r="AX818" i="1"/>
  <c r="AX819" i="1"/>
  <c r="AX820" i="1"/>
  <c r="AX821" i="1"/>
  <c r="AX822" i="1"/>
  <c r="AX823" i="1"/>
  <c r="AX824" i="1"/>
  <c r="AX825" i="1"/>
  <c r="AX826" i="1"/>
  <c r="AX827" i="1"/>
  <c r="AX828" i="1"/>
  <c r="AX829" i="1"/>
  <c r="AX830" i="1"/>
  <c r="AX831" i="1"/>
  <c r="AX832" i="1"/>
  <c r="AX833" i="1"/>
  <c r="AX834" i="1"/>
  <c r="AX835" i="1"/>
  <c r="AX836" i="1"/>
  <c r="AX837" i="1"/>
  <c r="AX838" i="1"/>
  <c r="AX839" i="1"/>
  <c r="AX840" i="1"/>
  <c r="AX841" i="1"/>
  <c r="AX842" i="1"/>
  <c r="AX843" i="1"/>
  <c r="AX844" i="1"/>
  <c r="AX845" i="1"/>
  <c r="AX846" i="1"/>
  <c r="AX847" i="1"/>
  <c r="AX848" i="1"/>
  <c r="AX849" i="1"/>
  <c r="AX850" i="1"/>
  <c r="AX851" i="1"/>
  <c r="AX852" i="1"/>
  <c r="AX853" i="1"/>
  <c r="AX854" i="1"/>
  <c r="AX855" i="1"/>
  <c r="AX856" i="1"/>
  <c r="AX857" i="1"/>
  <c r="AX858" i="1"/>
  <c r="AX859" i="1"/>
  <c r="AX860" i="1"/>
  <c r="AX861" i="1"/>
  <c r="AX862" i="1"/>
  <c r="AX863" i="1"/>
  <c r="AX864" i="1"/>
  <c r="AX865" i="1"/>
  <c r="AX866" i="1"/>
  <c r="AX867" i="1"/>
  <c r="AX868" i="1"/>
  <c r="AX869" i="1"/>
  <c r="AX870" i="1"/>
  <c r="AX871" i="1"/>
  <c r="AX872" i="1"/>
  <c r="AX873" i="1"/>
  <c r="AX874" i="1"/>
  <c r="AX875" i="1"/>
  <c r="AX876" i="1"/>
  <c r="AX877" i="1"/>
  <c r="AX878" i="1"/>
  <c r="AX879" i="1"/>
  <c r="AX880" i="1"/>
  <c r="AX881" i="1"/>
  <c r="AX882" i="1"/>
  <c r="AX883" i="1"/>
  <c r="AX884" i="1"/>
  <c r="AX885" i="1"/>
  <c r="AX886" i="1"/>
  <c r="AX887" i="1"/>
  <c r="AX888" i="1"/>
  <c r="AX889" i="1"/>
  <c r="AX890" i="1"/>
  <c r="AX891" i="1"/>
  <c r="AX892" i="1"/>
  <c r="AX893" i="1"/>
  <c r="AX894" i="1"/>
  <c r="AX895" i="1"/>
  <c r="AX896" i="1"/>
  <c r="AX897" i="1"/>
  <c r="AX898" i="1"/>
  <c r="AX899" i="1"/>
  <c r="AX900" i="1"/>
  <c r="AX901" i="1"/>
  <c r="AX902" i="1"/>
  <c r="AX903" i="1"/>
  <c r="AX904" i="1"/>
  <c r="AX905" i="1"/>
  <c r="AX906" i="1"/>
  <c r="AX907" i="1"/>
  <c r="AX908" i="1"/>
  <c r="AX909" i="1"/>
  <c r="AX910" i="1"/>
  <c r="AX911" i="1"/>
  <c r="AX912" i="1"/>
  <c r="AX913" i="1"/>
  <c r="AX914" i="1"/>
  <c r="AX915" i="1"/>
  <c r="AX916" i="1"/>
  <c r="AX917" i="1"/>
  <c r="AX918" i="1"/>
  <c r="AX919" i="1"/>
  <c r="AX920" i="1"/>
  <c r="AX921" i="1"/>
  <c r="AX922" i="1"/>
  <c r="AX923" i="1"/>
  <c r="AX924" i="1"/>
  <c r="AX925" i="1"/>
  <c r="AX926" i="1"/>
  <c r="AX927" i="1"/>
  <c r="AX928" i="1"/>
  <c r="AX929" i="1"/>
  <c r="AX930" i="1"/>
  <c r="AX931" i="1"/>
  <c r="AX932" i="1"/>
  <c r="AX933" i="1"/>
  <c r="AX934" i="1"/>
  <c r="AX935" i="1"/>
  <c r="AX936" i="1"/>
  <c r="AX937" i="1"/>
  <c r="AX938" i="1"/>
  <c r="AX939" i="1"/>
  <c r="AX940" i="1"/>
  <c r="AX941" i="1"/>
  <c r="AX942" i="1"/>
  <c r="AX943" i="1"/>
  <c r="AX944" i="1"/>
  <c r="AX945" i="1"/>
  <c r="AX946" i="1"/>
  <c r="AX947" i="1"/>
  <c r="AX948" i="1"/>
  <c r="AX949" i="1"/>
  <c r="AX950" i="1"/>
  <c r="AX951" i="1"/>
  <c r="AX952" i="1"/>
  <c r="AX953" i="1"/>
  <c r="AX954" i="1"/>
  <c r="AX955" i="1"/>
  <c r="AX956" i="1"/>
  <c r="AX957" i="1"/>
  <c r="AX958" i="1"/>
  <c r="AX959" i="1"/>
  <c r="AX960" i="1"/>
  <c r="AX961" i="1"/>
  <c r="AX962" i="1"/>
  <c r="AX963" i="1"/>
  <c r="AX964" i="1"/>
  <c r="AX965" i="1"/>
  <c r="AX966" i="1"/>
  <c r="AX967" i="1"/>
  <c r="AX968" i="1"/>
  <c r="AX969" i="1"/>
  <c r="AX970" i="1"/>
  <c r="AX971" i="1"/>
  <c r="AX972" i="1"/>
  <c r="AX973" i="1"/>
  <c r="AX974" i="1"/>
  <c r="AX975" i="1"/>
  <c r="AX976" i="1"/>
  <c r="AX977" i="1"/>
  <c r="AX978" i="1"/>
  <c r="AX979" i="1"/>
  <c r="AX980" i="1"/>
  <c r="AX981" i="1"/>
  <c r="AX982" i="1"/>
  <c r="AX983" i="1"/>
  <c r="AX984" i="1"/>
  <c r="AX985" i="1"/>
  <c r="AX986" i="1"/>
  <c r="AX987" i="1"/>
  <c r="AX988" i="1"/>
  <c r="AX989" i="1"/>
  <c r="AX990" i="1"/>
  <c r="AX991" i="1"/>
  <c r="AX992" i="1"/>
  <c r="AX993" i="1"/>
  <c r="AX994" i="1"/>
  <c r="AX995" i="1"/>
  <c r="AX996" i="1"/>
  <c r="AX997" i="1"/>
  <c r="AX998" i="1"/>
  <c r="AX999" i="1"/>
  <c r="AX1000" i="1"/>
  <c r="AX1001" i="1"/>
  <c r="AX1002" i="1"/>
  <c r="AX1003" i="1"/>
  <c r="AX1004" i="1"/>
  <c r="AX1005" i="1"/>
  <c r="AX1006" i="1"/>
  <c r="AX1007" i="1"/>
  <c r="AX1008" i="1"/>
  <c r="AX1009" i="1"/>
  <c r="AX1010" i="1"/>
  <c r="AX1011" i="1"/>
  <c r="AX1012" i="1"/>
  <c r="AX1013" i="1"/>
  <c r="AX1014" i="1"/>
  <c r="AX1015" i="1"/>
  <c r="AX1016" i="1"/>
  <c r="AX1017" i="1"/>
  <c r="AX1018" i="1"/>
  <c r="AX1019" i="1"/>
  <c r="AX1020" i="1"/>
  <c r="AX1021" i="1"/>
  <c r="AX1022" i="1"/>
  <c r="AX1023" i="1"/>
  <c r="AX1024" i="1"/>
  <c r="AX1025" i="1"/>
  <c r="AX1026" i="1"/>
  <c r="AX1027" i="1"/>
  <c r="AX1028" i="1"/>
  <c r="AX1029" i="1"/>
  <c r="AX1030" i="1"/>
  <c r="AX1031" i="1"/>
  <c r="AX1032" i="1"/>
  <c r="AX1033" i="1"/>
  <c r="AX1034" i="1"/>
  <c r="AX1035" i="1"/>
  <c r="AX1036" i="1"/>
  <c r="AX1037" i="1"/>
  <c r="AX1038" i="1"/>
  <c r="AX1039" i="1"/>
  <c r="AX1040" i="1"/>
  <c r="AX1041" i="1"/>
  <c r="AX1042" i="1"/>
  <c r="AX1043" i="1"/>
  <c r="AX1044" i="1"/>
  <c r="AX1045" i="1"/>
  <c r="AX1046" i="1"/>
  <c r="AX1047" i="1"/>
  <c r="AX1048" i="1"/>
  <c r="AX1049" i="1"/>
  <c r="AX1050" i="1"/>
  <c r="AX1051" i="1"/>
  <c r="AX1052" i="1"/>
  <c r="AX1053" i="1"/>
  <c r="AX1054" i="1"/>
  <c r="AX1055" i="1"/>
  <c r="AX1056" i="1"/>
  <c r="AX1057" i="1"/>
  <c r="AX1058" i="1"/>
  <c r="AX1059" i="1"/>
  <c r="AX1060" i="1"/>
  <c r="AX1061" i="1"/>
  <c r="AX1062" i="1"/>
  <c r="AX1063" i="1"/>
  <c r="AX1064" i="1"/>
  <c r="AX1065" i="1"/>
  <c r="AX1066" i="1"/>
  <c r="AX1067" i="1"/>
  <c r="AX1068" i="1"/>
  <c r="AX1069" i="1"/>
  <c r="AX1070" i="1"/>
  <c r="AX1071" i="1"/>
  <c r="AX1072" i="1"/>
  <c r="AX1073" i="1"/>
  <c r="AX1074" i="1"/>
  <c r="AX1075" i="1"/>
  <c r="AX1076" i="1"/>
  <c r="AX1077" i="1"/>
  <c r="AX1078" i="1"/>
  <c r="AX1079" i="1"/>
  <c r="AX1080" i="1"/>
  <c r="AX1081" i="1"/>
  <c r="AX1082" i="1"/>
  <c r="AX1083" i="1"/>
  <c r="AX1084" i="1"/>
  <c r="AX1085" i="1"/>
  <c r="AX1086" i="1"/>
  <c r="AX1087" i="1"/>
  <c r="AX1088" i="1"/>
  <c r="AX1089" i="1"/>
  <c r="AX1090" i="1"/>
  <c r="AX1091" i="1"/>
  <c r="AX1092" i="1"/>
  <c r="AX1093" i="1"/>
  <c r="AX1094" i="1"/>
  <c r="AX1095" i="1"/>
  <c r="AX1096" i="1"/>
  <c r="AX1097" i="1"/>
  <c r="AX1098" i="1"/>
  <c r="AX1099" i="1"/>
  <c r="AX1100" i="1"/>
  <c r="AX1101" i="1"/>
  <c r="AX1102" i="1"/>
  <c r="AX1103" i="1"/>
  <c r="AX1104" i="1"/>
  <c r="AX1105" i="1"/>
  <c r="AX1106" i="1"/>
  <c r="AX1107" i="1"/>
  <c r="AX1108" i="1"/>
  <c r="AX1109" i="1"/>
  <c r="AX1110" i="1"/>
  <c r="AX1111" i="1"/>
  <c r="AX1112" i="1"/>
  <c r="AX1113" i="1"/>
  <c r="AX1114" i="1"/>
  <c r="AX1115" i="1"/>
  <c r="AX1116" i="1"/>
  <c r="AX1117" i="1"/>
  <c r="AX1118" i="1"/>
  <c r="AX1119" i="1"/>
  <c r="AX1120" i="1"/>
  <c r="AX1121" i="1"/>
  <c r="AX1122" i="1"/>
  <c r="AX1123" i="1"/>
  <c r="AX1124" i="1"/>
  <c r="AX1125" i="1"/>
  <c r="AX1126" i="1"/>
  <c r="AX1127" i="1"/>
  <c r="AX1128" i="1"/>
  <c r="AX1129" i="1"/>
  <c r="AX1130" i="1"/>
  <c r="AX1131" i="1"/>
  <c r="AX1132" i="1"/>
  <c r="AX1133" i="1"/>
  <c r="AX1134" i="1"/>
  <c r="AX1135" i="1"/>
  <c r="AX1136" i="1"/>
  <c r="AX1137" i="1"/>
  <c r="AX1138" i="1"/>
  <c r="AX1139" i="1"/>
  <c r="AX1140" i="1"/>
  <c r="AX1141" i="1"/>
  <c r="AX1142" i="1"/>
  <c r="AX1143" i="1"/>
  <c r="AX1144" i="1"/>
  <c r="AX1145" i="1"/>
  <c r="AX1146" i="1"/>
  <c r="AX1147" i="1"/>
  <c r="AX1148" i="1"/>
  <c r="AX1149" i="1"/>
  <c r="AX1150" i="1"/>
  <c r="AX1151" i="1"/>
  <c r="AX1152" i="1"/>
  <c r="AX1153" i="1"/>
  <c r="AX1154" i="1"/>
  <c r="AX1155" i="1"/>
  <c r="AX1156" i="1"/>
  <c r="AX1157" i="1"/>
  <c r="AX1158" i="1"/>
  <c r="AX1159" i="1"/>
  <c r="AX1160" i="1"/>
  <c r="AX1161" i="1"/>
  <c r="AX1162" i="1"/>
  <c r="AX1163" i="1"/>
  <c r="AX1164" i="1"/>
  <c r="AX1165" i="1"/>
  <c r="AX1166" i="1"/>
  <c r="AX1167" i="1"/>
  <c r="AX1168" i="1"/>
  <c r="AX1169" i="1"/>
  <c r="AX1170" i="1"/>
  <c r="AX1171" i="1"/>
  <c r="AX1172" i="1"/>
  <c r="AX1173" i="1"/>
  <c r="AX1174" i="1"/>
  <c r="AX1175" i="1"/>
  <c r="AX1176" i="1"/>
  <c r="AX1177" i="1"/>
  <c r="AX1178" i="1"/>
  <c r="AX1179" i="1"/>
  <c r="AX1180" i="1"/>
  <c r="AX1181" i="1"/>
  <c r="AX1182" i="1"/>
  <c r="AX1183" i="1"/>
  <c r="AX1184" i="1"/>
  <c r="AX1185" i="1"/>
  <c r="AX1186" i="1"/>
  <c r="AX1187" i="1"/>
  <c r="AX1188" i="1"/>
  <c r="AX1189" i="1"/>
  <c r="AX1190" i="1"/>
  <c r="AX1191" i="1"/>
  <c r="AX1192" i="1"/>
  <c r="AX1193" i="1"/>
  <c r="AX1194" i="1"/>
  <c r="AX1195" i="1"/>
  <c r="AX1196" i="1"/>
  <c r="AX1197" i="1"/>
  <c r="AX1198" i="1"/>
  <c r="AX1199" i="1"/>
  <c r="AX1200" i="1"/>
  <c r="AX1201" i="1"/>
  <c r="AX1202" i="1"/>
  <c r="AX1203" i="1"/>
  <c r="AX1204" i="1"/>
  <c r="AX1205" i="1"/>
  <c r="AX1206" i="1"/>
  <c r="AX1207" i="1"/>
  <c r="AX1208" i="1"/>
  <c r="AX1209" i="1"/>
  <c r="AX1210" i="1"/>
  <c r="AX1211" i="1"/>
  <c r="AX1212" i="1"/>
  <c r="AX1213" i="1"/>
  <c r="AX1214" i="1"/>
  <c r="AX1215" i="1"/>
  <c r="AX1216" i="1"/>
  <c r="AX1217" i="1"/>
  <c r="AX1218" i="1"/>
  <c r="AX1219" i="1"/>
  <c r="AX1220" i="1"/>
  <c r="AX1221" i="1"/>
  <c r="AX1222" i="1"/>
  <c r="AX1223" i="1"/>
  <c r="AX1224" i="1"/>
  <c r="AX1225" i="1"/>
  <c r="AX1226" i="1"/>
  <c r="AX1227" i="1"/>
  <c r="AX1228" i="1"/>
  <c r="AX1229" i="1"/>
  <c r="AX1230" i="1"/>
  <c r="AX1231" i="1"/>
  <c r="AX1232" i="1"/>
  <c r="AX1233" i="1"/>
  <c r="AX1234" i="1"/>
  <c r="AX1235" i="1"/>
  <c r="AX1236" i="1"/>
  <c r="AX1237" i="1"/>
  <c r="AX1238" i="1"/>
  <c r="AX1239" i="1"/>
  <c r="AX1240" i="1"/>
  <c r="AX1241" i="1"/>
  <c r="AX1242" i="1"/>
  <c r="AX1243" i="1"/>
  <c r="AX1244" i="1"/>
  <c r="AX1245" i="1"/>
  <c r="AX1246" i="1"/>
  <c r="AX1247" i="1"/>
  <c r="AX1248" i="1"/>
  <c r="AX1249" i="1"/>
  <c r="AX1250" i="1"/>
  <c r="AX1251" i="1"/>
  <c r="AX1252" i="1"/>
  <c r="AX1253" i="1"/>
  <c r="AX1254" i="1"/>
  <c r="AX1255" i="1"/>
  <c r="AX1256" i="1"/>
  <c r="AX1257" i="1"/>
  <c r="AX1258" i="1"/>
  <c r="AX1259" i="1"/>
  <c r="AX1260" i="1"/>
  <c r="AX1261" i="1"/>
  <c r="AX1262" i="1"/>
  <c r="AX1263" i="1"/>
  <c r="AX1264" i="1"/>
  <c r="AX1265" i="1"/>
  <c r="AX1266" i="1"/>
  <c r="AX1267" i="1"/>
  <c r="AX1268" i="1"/>
  <c r="AX1269" i="1"/>
  <c r="AX1270" i="1"/>
  <c r="AX1271" i="1"/>
  <c r="AX1272" i="1"/>
  <c r="AX1273" i="1"/>
  <c r="AX1274" i="1"/>
  <c r="AX1275" i="1"/>
  <c r="AX1276" i="1"/>
  <c r="AX1277" i="1"/>
  <c r="AX1278" i="1"/>
  <c r="AX1279" i="1"/>
  <c r="AX1280" i="1"/>
  <c r="AX1281" i="1"/>
  <c r="AX1282" i="1"/>
  <c r="AX1283" i="1"/>
  <c r="AX1284" i="1"/>
  <c r="AX1285" i="1"/>
  <c r="AX1286" i="1"/>
  <c r="AX1287" i="1"/>
  <c r="AX1288" i="1"/>
  <c r="AX1289" i="1"/>
  <c r="AX1290" i="1"/>
  <c r="AX1291" i="1"/>
  <c r="AX1292" i="1"/>
  <c r="AX1293" i="1"/>
  <c r="AX1294" i="1"/>
  <c r="AX1295" i="1"/>
  <c r="AX1296" i="1"/>
  <c r="AX1297" i="1"/>
  <c r="AX1298" i="1"/>
  <c r="AX1299" i="1"/>
  <c r="AX1300" i="1"/>
  <c r="AX1301" i="1"/>
  <c r="AX1302" i="1"/>
  <c r="AX1303" i="1"/>
  <c r="AX1304" i="1"/>
  <c r="AX1305" i="1"/>
  <c r="AX1306" i="1"/>
  <c r="AX1307" i="1"/>
  <c r="AX1308" i="1"/>
  <c r="AX1309" i="1"/>
  <c r="AX1310" i="1"/>
  <c r="AX1311" i="1"/>
  <c r="AX1312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W308" i="1"/>
  <c r="AW309" i="1"/>
  <c r="AW310" i="1"/>
  <c r="AW311" i="1"/>
  <c r="AW312" i="1"/>
  <c r="AW313" i="1"/>
  <c r="AW314" i="1"/>
  <c r="AW315" i="1"/>
  <c r="AW316" i="1"/>
  <c r="AW317" i="1"/>
  <c r="AW318" i="1"/>
  <c r="AW319" i="1"/>
  <c r="AW320" i="1"/>
  <c r="AW321" i="1"/>
  <c r="AW322" i="1"/>
  <c r="AW323" i="1"/>
  <c r="AW324" i="1"/>
  <c r="AW325" i="1"/>
  <c r="AW326" i="1"/>
  <c r="AW327" i="1"/>
  <c r="AW328" i="1"/>
  <c r="AW329" i="1"/>
  <c r="AW330" i="1"/>
  <c r="AW331" i="1"/>
  <c r="AW332" i="1"/>
  <c r="AW333" i="1"/>
  <c r="AW334" i="1"/>
  <c r="AW335" i="1"/>
  <c r="AW336" i="1"/>
  <c r="AW337" i="1"/>
  <c r="AW338" i="1"/>
  <c r="AW339" i="1"/>
  <c r="AW340" i="1"/>
  <c r="AW341" i="1"/>
  <c r="AW342" i="1"/>
  <c r="AW343" i="1"/>
  <c r="AW344" i="1"/>
  <c r="AW345" i="1"/>
  <c r="AW346" i="1"/>
  <c r="AW347" i="1"/>
  <c r="AW348" i="1"/>
  <c r="AW349" i="1"/>
  <c r="AW350" i="1"/>
  <c r="AW351" i="1"/>
  <c r="AW352" i="1"/>
  <c r="AW353" i="1"/>
  <c r="AW354" i="1"/>
  <c r="AW355" i="1"/>
  <c r="AW356" i="1"/>
  <c r="AW357" i="1"/>
  <c r="AW358" i="1"/>
  <c r="AW359" i="1"/>
  <c r="AW360" i="1"/>
  <c r="AW361" i="1"/>
  <c r="AW362" i="1"/>
  <c r="AW363" i="1"/>
  <c r="AW364" i="1"/>
  <c r="AW365" i="1"/>
  <c r="AW366" i="1"/>
  <c r="AW367" i="1"/>
  <c r="AW368" i="1"/>
  <c r="AW369" i="1"/>
  <c r="AW370" i="1"/>
  <c r="AW371" i="1"/>
  <c r="AW372" i="1"/>
  <c r="AW373" i="1"/>
  <c r="AW374" i="1"/>
  <c r="AW375" i="1"/>
  <c r="AW376" i="1"/>
  <c r="AW377" i="1"/>
  <c r="AW378" i="1"/>
  <c r="AW379" i="1"/>
  <c r="AW380" i="1"/>
  <c r="AW381" i="1"/>
  <c r="AW382" i="1"/>
  <c r="AW383" i="1"/>
  <c r="AW384" i="1"/>
  <c r="AW385" i="1"/>
  <c r="AW386" i="1"/>
  <c r="AW387" i="1"/>
  <c r="AW388" i="1"/>
  <c r="AW389" i="1"/>
  <c r="AW390" i="1"/>
  <c r="AW391" i="1"/>
  <c r="AW392" i="1"/>
  <c r="AW393" i="1"/>
  <c r="AW394" i="1"/>
  <c r="AW395" i="1"/>
  <c r="AW396" i="1"/>
  <c r="AW397" i="1"/>
  <c r="AW398" i="1"/>
  <c r="AW399" i="1"/>
  <c r="AW400" i="1"/>
  <c r="AW401" i="1"/>
  <c r="AW402" i="1"/>
  <c r="AW403" i="1"/>
  <c r="AW404" i="1"/>
  <c r="AW405" i="1"/>
  <c r="AW406" i="1"/>
  <c r="AW407" i="1"/>
  <c r="AW408" i="1"/>
  <c r="AW409" i="1"/>
  <c r="AW410" i="1"/>
  <c r="AW411" i="1"/>
  <c r="AW412" i="1"/>
  <c r="AW413" i="1"/>
  <c r="AW414" i="1"/>
  <c r="AW415" i="1"/>
  <c r="AW416" i="1"/>
  <c r="AW417" i="1"/>
  <c r="AW418" i="1"/>
  <c r="AW419" i="1"/>
  <c r="AW420" i="1"/>
  <c r="AW421" i="1"/>
  <c r="AW422" i="1"/>
  <c r="AW423" i="1"/>
  <c r="AW424" i="1"/>
  <c r="AW425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W456" i="1"/>
  <c r="AW457" i="1"/>
  <c r="AW458" i="1"/>
  <c r="AW459" i="1"/>
  <c r="AW460" i="1"/>
  <c r="AW461" i="1"/>
  <c r="AW462" i="1"/>
  <c r="AW463" i="1"/>
  <c r="AW464" i="1"/>
  <c r="AW465" i="1"/>
  <c r="AW466" i="1"/>
  <c r="AW467" i="1"/>
  <c r="AW468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W499" i="1"/>
  <c r="AW500" i="1"/>
  <c r="AW501" i="1"/>
  <c r="AW502" i="1"/>
  <c r="AW503" i="1"/>
  <c r="AW504" i="1"/>
  <c r="AW505" i="1"/>
  <c r="AW506" i="1"/>
  <c r="AW507" i="1"/>
  <c r="AW508" i="1"/>
  <c r="AW509" i="1"/>
  <c r="AW510" i="1"/>
  <c r="AW511" i="1"/>
  <c r="AW512" i="1"/>
  <c r="AW513" i="1"/>
  <c r="AW514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42" i="1"/>
  <c r="AW543" i="1"/>
  <c r="AW544" i="1"/>
  <c r="AW545" i="1"/>
  <c r="AW546" i="1"/>
  <c r="AW547" i="1"/>
  <c r="AW548" i="1"/>
  <c r="AW549" i="1"/>
  <c r="AW550" i="1"/>
  <c r="AW551" i="1"/>
  <c r="AW552" i="1"/>
  <c r="AW553" i="1"/>
  <c r="AW554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W573" i="1"/>
  <c r="AW574" i="1"/>
  <c r="AW575" i="1"/>
  <c r="AW576" i="1"/>
  <c r="AW577" i="1"/>
  <c r="AW578" i="1"/>
  <c r="AW579" i="1"/>
  <c r="AW580" i="1"/>
  <c r="AW581" i="1"/>
  <c r="AW582" i="1"/>
  <c r="AW583" i="1"/>
  <c r="AW584" i="1"/>
  <c r="AW585" i="1"/>
  <c r="AW586" i="1"/>
  <c r="AW587" i="1"/>
  <c r="AW588" i="1"/>
  <c r="AW589" i="1"/>
  <c r="AW590" i="1"/>
  <c r="AW591" i="1"/>
  <c r="AW592" i="1"/>
  <c r="AW593" i="1"/>
  <c r="AW594" i="1"/>
  <c r="AW595" i="1"/>
  <c r="AW596" i="1"/>
  <c r="AW597" i="1"/>
  <c r="AW598" i="1"/>
  <c r="AW599" i="1"/>
  <c r="AW600" i="1"/>
  <c r="AW601" i="1"/>
  <c r="AW602" i="1"/>
  <c r="AW603" i="1"/>
  <c r="AW604" i="1"/>
  <c r="AW605" i="1"/>
  <c r="AW606" i="1"/>
  <c r="AW607" i="1"/>
  <c r="AW608" i="1"/>
  <c r="AW609" i="1"/>
  <c r="AW610" i="1"/>
  <c r="AW611" i="1"/>
  <c r="AW612" i="1"/>
  <c r="AW613" i="1"/>
  <c r="AW614" i="1"/>
  <c r="AW615" i="1"/>
  <c r="AW616" i="1"/>
  <c r="AW617" i="1"/>
  <c r="AW618" i="1"/>
  <c r="AW619" i="1"/>
  <c r="AW620" i="1"/>
  <c r="AW621" i="1"/>
  <c r="AW622" i="1"/>
  <c r="AW623" i="1"/>
  <c r="AW624" i="1"/>
  <c r="AW625" i="1"/>
  <c r="AW626" i="1"/>
  <c r="AW627" i="1"/>
  <c r="AW628" i="1"/>
  <c r="AW629" i="1"/>
  <c r="AW630" i="1"/>
  <c r="AW631" i="1"/>
  <c r="AW632" i="1"/>
  <c r="AW633" i="1"/>
  <c r="AW634" i="1"/>
  <c r="AW635" i="1"/>
  <c r="AW636" i="1"/>
  <c r="AW637" i="1"/>
  <c r="AW638" i="1"/>
  <c r="AW639" i="1"/>
  <c r="AW640" i="1"/>
  <c r="AW641" i="1"/>
  <c r="AW642" i="1"/>
  <c r="AW643" i="1"/>
  <c r="AW644" i="1"/>
  <c r="AW645" i="1"/>
  <c r="AW646" i="1"/>
  <c r="AW647" i="1"/>
  <c r="AW648" i="1"/>
  <c r="AW649" i="1"/>
  <c r="AW650" i="1"/>
  <c r="AW651" i="1"/>
  <c r="AW652" i="1"/>
  <c r="AW653" i="1"/>
  <c r="AW654" i="1"/>
  <c r="AW655" i="1"/>
  <c r="AW656" i="1"/>
  <c r="AW657" i="1"/>
  <c r="AW658" i="1"/>
  <c r="AW659" i="1"/>
  <c r="AW660" i="1"/>
  <c r="AW661" i="1"/>
  <c r="AW662" i="1"/>
  <c r="AW663" i="1"/>
  <c r="AW664" i="1"/>
  <c r="AW665" i="1"/>
  <c r="AW666" i="1"/>
  <c r="AW667" i="1"/>
  <c r="AW668" i="1"/>
  <c r="AW669" i="1"/>
  <c r="AW670" i="1"/>
  <c r="AW671" i="1"/>
  <c r="AW672" i="1"/>
  <c r="AW673" i="1"/>
  <c r="AW674" i="1"/>
  <c r="AW675" i="1"/>
  <c r="AW676" i="1"/>
  <c r="AW677" i="1"/>
  <c r="AW678" i="1"/>
  <c r="AW679" i="1"/>
  <c r="AW680" i="1"/>
  <c r="AW681" i="1"/>
  <c r="AW682" i="1"/>
  <c r="AW683" i="1"/>
  <c r="AW684" i="1"/>
  <c r="AW685" i="1"/>
  <c r="AW686" i="1"/>
  <c r="AW687" i="1"/>
  <c r="AW688" i="1"/>
  <c r="AW689" i="1"/>
  <c r="AW690" i="1"/>
  <c r="AW691" i="1"/>
  <c r="AW692" i="1"/>
  <c r="AW693" i="1"/>
  <c r="AW694" i="1"/>
  <c r="AW695" i="1"/>
  <c r="AW696" i="1"/>
  <c r="AW697" i="1"/>
  <c r="AW698" i="1"/>
  <c r="AW699" i="1"/>
  <c r="AW700" i="1"/>
  <c r="AW701" i="1"/>
  <c r="AW702" i="1"/>
  <c r="AW703" i="1"/>
  <c r="AW704" i="1"/>
  <c r="AW705" i="1"/>
  <c r="AW706" i="1"/>
  <c r="AW707" i="1"/>
  <c r="AW708" i="1"/>
  <c r="AW709" i="1"/>
  <c r="AW710" i="1"/>
  <c r="AW711" i="1"/>
  <c r="AW712" i="1"/>
  <c r="AW713" i="1"/>
  <c r="AW714" i="1"/>
  <c r="AW715" i="1"/>
  <c r="AW716" i="1"/>
  <c r="AW717" i="1"/>
  <c r="AW718" i="1"/>
  <c r="AW719" i="1"/>
  <c r="AW720" i="1"/>
  <c r="AW721" i="1"/>
  <c r="AW722" i="1"/>
  <c r="AW723" i="1"/>
  <c r="AW724" i="1"/>
  <c r="AW725" i="1"/>
  <c r="AW726" i="1"/>
  <c r="AW727" i="1"/>
  <c r="AW728" i="1"/>
  <c r="AW729" i="1"/>
  <c r="AW730" i="1"/>
  <c r="AW731" i="1"/>
  <c r="AW732" i="1"/>
  <c r="AW733" i="1"/>
  <c r="AW734" i="1"/>
  <c r="AW735" i="1"/>
  <c r="AW736" i="1"/>
  <c r="AW737" i="1"/>
  <c r="AW738" i="1"/>
  <c r="AW739" i="1"/>
  <c r="AW740" i="1"/>
  <c r="AW741" i="1"/>
  <c r="AW742" i="1"/>
  <c r="AW743" i="1"/>
  <c r="AW744" i="1"/>
  <c r="AW745" i="1"/>
  <c r="AW746" i="1"/>
  <c r="AW747" i="1"/>
  <c r="AW748" i="1"/>
  <c r="AW749" i="1"/>
  <c r="AW750" i="1"/>
  <c r="AW751" i="1"/>
  <c r="AW752" i="1"/>
  <c r="AW753" i="1"/>
  <c r="AW754" i="1"/>
  <c r="AW755" i="1"/>
  <c r="AW756" i="1"/>
  <c r="AW757" i="1"/>
  <c r="AW758" i="1"/>
  <c r="AW759" i="1"/>
  <c r="AW760" i="1"/>
  <c r="AW761" i="1"/>
  <c r="AW762" i="1"/>
  <c r="AW763" i="1"/>
  <c r="AW764" i="1"/>
  <c r="AW765" i="1"/>
  <c r="AW766" i="1"/>
  <c r="AW767" i="1"/>
  <c r="AW768" i="1"/>
  <c r="AW769" i="1"/>
  <c r="AW770" i="1"/>
  <c r="AW771" i="1"/>
  <c r="AW772" i="1"/>
  <c r="AW773" i="1"/>
  <c r="AW774" i="1"/>
  <c r="AW775" i="1"/>
  <c r="AW776" i="1"/>
  <c r="AW777" i="1"/>
  <c r="AW778" i="1"/>
  <c r="AW779" i="1"/>
  <c r="AW780" i="1"/>
  <c r="AW781" i="1"/>
  <c r="AW782" i="1"/>
  <c r="AW783" i="1"/>
  <c r="AW784" i="1"/>
  <c r="AW785" i="1"/>
  <c r="AW786" i="1"/>
  <c r="AW787" i="1"/>
  <c r="AW788" i="1"/>
  <c r="AW789" i="1"/>
  <c r="AW790" i="1"/>
  <c r="AW791" i="1"/>
  <c r="AW792" i="1"/>
  <c r="AW793" i="1"/>
  <c r="AW794" i="1"/>
  <c r="AW795" i="1"/>
  <c r="AW796" i="1"/>
  <c r="AW797" i="1"/>
  <c r="AW798" i="1"/>
  <c r="AW799" i="1"/>
  <c r="AW800" i="1"/>
  <c r="AW801" i="1"/>
  <c r="AW802" i="1"/>
  <c r="AW803" i="1"/>
  <c r="AW804" i="1"/>
  <c r="AW805" i="1"/>
  <c r="AW806" i="1"/>
  <c r="AW807" i="1"/>
  <c r="AW808" i="1"/>
  <c r="AW809" i="1"/>
  <c r="AW810" i="1"/>
  <c r="AW811" i="1"/>
  <c r="AW812" i="1"/>
  <c r="AW813" i="1"/>
  <c r="AW814" i="1"/>
  <c r="AW815" i="1"/>
  <c r="AW816" i="1"/>
  <c r="AW817" i="1"/>
  <c r="AW818" i="1"/>
  <c r="AW819" i="1"/>
  <c r="AW820" i="1"/>
  <c r="AW821" i="1"/>
  <c r="AW822" i="1"/>
  <c r="AW823" i="1"/>
  <c r="AW824" i="1"/>
  <c r="AW825" i="1"/>
  <c r="AW826" i="1"/>
  <c r="AW827" i="1"/>
  <c r="AW828" i="1"/>
  <c r="AW829" i="1"/>
  <c r="AW830" i="1"/>
  <c r="AW831" i="1"/>
  <c r="AW832" i="1"/>
  <c r="AW833" i="1"/>
  <c r="AW834" i="1"/>
  <c r="AW835" i="1"/>
  <c r="AW836" i="1"/>
  <c r="AW837" i="1"/>
  <c r="AW838" i="1"/>
  <c r="AW839" i="1"/>
  <c r="AW840" i="1"/>
  <c r="AW841" i="1"/>
  <c r="AW842" i="1"/>
  <c r="AW843" i="1"/>
  <c r="AW844" i="1"/>
  <c r="AW845" i="1"/>
  <c r="AW846" i="1"/>
  <c r="AW847" i="1"/>
  <c r="AW848" i="1"/>
  <c r="AW849" i="1"/>
  <c r="AW850" i="1"/>
  <c r="AW851" i="1"/>
  <c r="AW852" i="1"/>
  <c r="AW853" i="1"/>
  <c r="AW854" i="1"/>
  <c r="AW855" i="1"/>
  <c r="AW856" i="1"/>
  <c r="AW857" i="1"/>
  <c r="AW858" i="1"/>
  <c r="AW859" i="1"/>
  <c r="AW860" i="1"/>
  <c r="AW861" i="1"/>
  <c r="AW862" i="1"/>
  <c r="AW863" i="1"/>
  <c r="AW864" i="1"/>
  <c r="AW865" i="1"/>
  <c r="AW866" i="1"/>
  <c r="AW867" i="1"/>
  <c r="AW868" i="1"/>
  <c r="AW869" i="1"/>
  <c r="AW870" i="1"/>
  <c r="AW871" i="1"/>
  <c r="AW872" i="1"/>
  <c r="AW873" i="1"/>
  <c r="AW874" i="1"/>
  <c r="AW875" i="1"/>
  <c r="AW876" i="1"/>
  <c r="AW877" i="1"/>
  <c r="AW878" i="1"/>
  <c r="AW879" i="1"/>
  <c r="AW880" i="1"/>
  <c r="AW881" i="1"/>
  <c r="AW882" i="1"/>
  <c r="AW883" i="1"/>
  <c r="AW884" i="1"/>
  <c r="AW885" i="1"/>
  <c r="AW886" i="1"/>
  <c r="AW887" i="1"/>
  <c r="AW888" i="1"/>
  <c r="AW889" i="1"/>
  <c r="AW890" i="1"/>
  <c r="AW891" i="1"/>
  <c r="AW892" i="1"/>
  <c r="AW893" i="1"/>
  <c r="AW894" i="1"/>
  <c r="AW895" i="1"/>
  <c r="AW896" i="1"/>
  <c r="AW897" i="1"/>
  <c r="AW898" i="1"/>
  <c r="AW899" i="1"/>
  <c r="AW900" i="1"/>
  <c r="AW901" i="1"/>
  <c r="AW902" i="1"/>
  <c r="AW903" i="1"/>
  <c r="AW904" i="1"/>
  <c r="AW905" i="1"/>
  <c r="AW906" i="1"/>
  <c r="AW907" i="1"/>
  <c r="AW908" i="1"/>
  <c r="AW909" i="1"/>
  <c r="AW910" i="1"/>
  <c r="AW911" i="1"/>
  <c r="AW912" i="1"/>
  <c r="AW913" i="1"/>
  <c r="AW914" i="1"/>
  <c r="AW915" i="1"/>
  <c r="AW916" i="1"/>
  <c r="AW917" i="1"/>
  <c r="AW918" i="1"/>
  <c r="AW919" i="1"/>
  <c r="AW920" i="1"/>
  <c r="AW921" i="1"/>
  <c r="AW922" i="1"/>
  <c r="AW923" i="1"/>
  <c r="AW924" i="1"/>
  <c r="AW925" i="1"/>
  <c r="AW926" i="1"/>
  <c r="AW927" i="1"/>
  <c r="AW928" i="1"/>
  <c r="AW929" i="1"/>
  <c r="AW930" i="1"/>
  <c r="AW931" i="1"/>
  <c r="AW932" i="1"/>
  <c r="AW933" i="1"/>
  <c r="AW934" i="1"/>
  <c r="AW935" i="1"/>
  <c r="AW936" i="1"/>
  <c r="AW937" i="1"/>
  <c r="AW938" i="1"/>
  <c r="AW939" i="1"/>
  <c r="AW940" i="1"/>
  <c r="AW941" i="1"/>
  <c r="AW942" i="1"/>
  <c r="AW943" i="1"/>
  <c r="AW944" i="1"/>
  <c r="AW945" i="1"/>
  <c r="AW946" i="1"/>
  <c r="AW947" i="1"/>
  <c r="AW948" i="1"/>
  <c r="AW949" i="1"/>
  <c r="AW950" i="1"/>
  <c r="AW951" i="1"/>
  <c r="AW952" i="1"/>
  <c r="AW953" i="1"/>
  <c r="AW954" i="1"/>
  <c r="AW955" i="1"/>
  <c r="AW956" i="1"/>
  <c r="AW957" i="1"/>
  <c r="AW958" i="1"/>
  <c r="AW959" i="1"/>
  <c r="AW960" i="1"/>
  <c r="AW961" i="1"/>
  <c r="AW962" i="1"/>
  <c r="AW963" i="1"/>
  <c r="AW964" i="1"/>
  <c r="AW965" i="1"/>
  <c r="AW966" i="1"/>
  <c r="AW967" i="1"/>
  <c r="AW968" i="1"/>
  <c r="AW969" i="1"/>
  <c r="AW970" i="1"/>
  <c r="AW971" i="1"/>
  <c r="AW972" i="1"/>
  <c r="AW973" i="1"/>
  <c r="AW974" i="1"/>
  <c r="AW975" i="1"/>
  <c r="AW976" i="1"/>
  <c r="AW977" i="1"/>
  <c r="AW978" i="1"/>
  <c r="AW979" i="1"/>
  <c r="AW980" i="1"/>
  <c r="AW981" i="1"/>
  <c r="AW982" i="1"/>
  <c r="AW983" i="1"/>
  <c r="AW984" i="1"/>
  <c r="AW985" i="1"/>
  <c r="AW986" i="1"/>
  <c r="AW987" i="1"/>
  <c r="AW988" i="1"/>
  <c r="AW989" i="1"/>
  <c r="AW990" i="1"/>
  <c r="AW991" i="1"/>
  <c r="AW992" i="1"/>
  <c r="AW993" i="1"/>
  <c r="AW994" i="1"/>
  <c r="AW995" i="1"/>
  <c r="AW996" i="1"/>
  <c r="AW997" i="1"/>
  <c r="AW998" i="1"/>
  <c r="AW999" i="1"/>
  <c r="AW1000" i="1"/>
  <c r="AW1001" i="1"/>
  <c r="AW1002" i="1"/>
  <c r="AW1003" i="1"/>
  <c r="AW1004" i="1"/>
  <c r="AW1005" i="1"/>
  <c r="AW1006" i="1"/>
  <c r="AW1007" i="1"/>
  <c r="AW1008" i="1"/>
  <c r="AW1009" i="1"/>
  <c r="AW1010" i="1"/>
  <c r="AW1011" i="1"/>
  <c r="AW1012" i="1"/>
  <c r="AW1013" i="1"/>
  <c r="AW1014" i="1"/>
  <c r="AW1015" i="1"/>
  <c r="AW1016" i="1"/>
  <c r="AW1017" i="1"/>
  <c r="AW1018" i="1"/>
  <c r="AW1019" i="1"/>
  <c r="AW1020" i="1"/>
  <c r="AW1021" i="1"/>
  <c r="AW1022" i="1"/>
  <c r="AW1023" i="1"/>
  <c r="AW1024" i="1"/>
  <c r="AW1025" i="1"/>
  <c r="AW1026" i="1"/>
  <c r="AW1027" i="1"/>
  <c r="AW1028" i="1"/>
  <c r="AW1029" i="1"/>
  <c r="AW1030" i="1"/>
  <c r="AW1031" i="1"/>
  <c r="AW1032" i="1"/>
  <c r="AW1033" i="1"/>
  <c r="AW1034" i="1"/>
  <c r="AW1035" i="1"/>
  <c r="AW1036" i="1"/>
  <c r="AW1037" i="1"/>
  <c r="AW1038" i="1"/>
  <c r="AW1039" i="1"/>
  <c r="AW1040" i="1"/>
  <c r="AW1041" i="1"/>
  <c r="AW1042" i="1"/>
  <c r="AW1043" i="1"/>
  <c r="AW1044" i="1"/>
  <c r="AW1045" i="1"/>
  <c r="AW1046" i="1"/>
  <c r="AW1047" i="1"/>
  <c r="AW1048" i="1"/>
  <c r="AW1049" i="1"/>
  <c r="AW1050" i="1"/>
  <c r="AW1051" i="1"/>
  <c r="AW1052" i="1"/>
  <c r="AW1053" i="1"/>
  <c r="AW1054" i="1"/>
  <c r="AW1055" i="1"/>
  <c r="AW1056" i="1"/>
  <c r="AW1057" i="1"/>
  <c r="AW1058" i="1"/>
  <c r="AW1059" i="1"/>
  <c r="AW1060" i="1"/>
  <c r="AW1061" i="1"/>
  <c r="AW1062" i="1"/>
  <c r="AW1063" i="1"/>
  <c r="AW1064" i="1"/>
  <c r="AW1065" i="1"/>
  <c r="AW1066" i="1"/>
  <c r="AW1067" i="1"/>
  <c r="AW1068" i="1"/>
  <c r="AW1069" i="1"/>
  <c r="AW1070" i="1"/>
  <c r="AW1071" i="1"/>
  <c r="AW1072" i="1"/>
  <c r="AW1073" i="1"/>
  <c r="AW1074" i="1"/>
  <c r="AW1075" i="1"/>
  <c r="AW1076" i="1"/>
  <c r="AW1077" i="1"/>
  <c r="AW1078" i="1"/>
  <c r="AW1079" i="1"/>
  <c r="AW1080" i="1"/>
  <c r="AW1081" i="1"/>
  <c r="AW1082" i="1"/>
  <c r="AW1083" i="1"/>
  <c r="AW1084" i="1"/>
  <c r="AW1085" i="1"/>
  <c r="AW1086" i="1"/>
  <c r="AW1087" i="1"/>
  <c r="AW1088" i="1"/>
  <c r="AW1089" i="1"/>
  <c r="AW1090" i="1"/>
  <c r="AW1091" i="1"/>
  <c r="AW1092" i="1"/>
  <c r="AW1093" i="1"/>
  <c r="AW1094" i="1"/>
  <c r="AW1095" i="1"/>
  <c r="AW1096" i="1"/>
  <c r="AW1097" i="1"/>
  <c r="AW1098" i="1"/>
  <c r="AW1099" i="1"/>
  <c r="AW1100" i="1"/>
  <c r="AW1101" i="1"/>
  <c r="AW1102" i="1"/>
  <c r="AW1103" i="1"/>
  <c r="AW1104" i="1"/>
  <c r="AW1105" i="1"/>
  <c r="AW1106" i="1"/>
  <c r="AW1107" i="1"/>
  <c r="AW1108" i="1"/>
  <c r="AW1109" i="1"/>
  <c r="AW1110" i="1"/>
  <c r="AW1111" i="1"/>
  <c r="AW1112" i="1"/>
  <c r="AW1113" i="1"/>
  <c r="AW1114" i="1"/>
  <c r="AW1115" i="1"/>
  <c r="AW1116" i="1"/>
  <c r="AW1117" i="1"/>
  <c r="AW1118" i="1"/>
  <c r="AW1119" i="1"/>
  <c r="AW1120" i="1"/>
  <c r="AW1121" i="1"/>
  <c r="AW1122" i="1"/>
  <c r="AW1123" i="1"/>
  <c r="AW1124" i="1"/>
  <c r="AW1125" i="1"/>
  <c r="AW1126" i="1"/>
  <c r="AW1127" i="1"/>
  <c r="AW1128" i="1"/>
  <c r="AW1129" i="1"/>
  <c r="AW1130" i="1"/>
  <c r="AW1131" i="1"/>
  <c r="AW1132" i="1"/>
  <c r="AW1133" i="1"/>
  <c r="AW1134" i="1"/>
  <c r="AW1135" i="1"/>
  <c r="AW1136" i="1"/>
  <c r="AW1137" i="1"/>
  <c r="AW1138" i="1"/>
  <c r="AW1139" i="1"/>
  <c r="AW1140" i="1"/>
  <c r="AW1141" i="1"/>
  <c r="AW1142" i="1"/>
  <c r="AW1143" i="1"/>
  <c r="AW1144" i="1"/>
  <c r="AW1145" i="1"/>
  <c r="AW1146" i="1"/>
  <c r="AW1147" i="1"/>
  <c r="AW1148" i="1"/>
  <c r="AW1149" i="1"/>
  <c r="AW1150" i="1"/>
  <c r="AW1151" i="1"/>
  <c r="AW1152" i="1"/>
  <c r="AW1153" i="1"/>
  <c r="AW1154" i="1"/>
  <c r="AW1155" i="1"/>
  <c r="AW1156" i="1"/>
  <c r="AW1157" i="1"/>
  <c r="AW1158" i="1"/>
  <c r="AW1159" i="1"/>
  <c r="AW1160" i="1"/>
  <c r="AW1161" i="1"/>
  <c r="AW1162" i="1"/>
  <c r="AW1163" i="1"/>
  <c r="AW1164" i="1"/>
  <c r="AW1165" i="1"/>
  <c r="AW1166" i="1"/>
  <c r="AW1167" i="1"/>
  <c r="AW1168" i="1"/>
  <c r="AW1169" i="1"/>
  <c r="AW1170" i="1"/>
  <c r="AW1171" i="1"/>
  <c r="AW1172" i="1"/>
  <c r="AW1173" i="1"/>
  <c r="AW1174" i="1"/>
  <c r="AW1175" i="1"/>
  <c r="AW1176" i="1"/>
  <c r="AW1177" i="1"/>
  <c r="AW1178" i="1"/>
  <c r="AW1179" i="1"/>
  <c r="AW1180" i="1"/>
  <c r="AW1181" i="1"/>
  <c r="AW1182" i="1"/>
  <c r="AW1183" i="1"/>
  <c r="AW1184" i="1"/>
  <c r="AW1185" i="1"/>
  <c r="AW1186" i="1"/>
  <c r="AW1187" i="1"/>
  <c r="AW1188" i="1"/>
  <c r="AW1189" i="1"/>
  <c r="AW1190" i="1"/>
  <c r="AW1191" i="1"/>
  <c r="AW1192" i="1"/>
  <c r="AW1193" i="1"/>
  <c r="AW1194" i="1"/>
  <c r="AW1195" i="1"/>
  <c r="AW1196" i="1"/>
  <c r="AW1197" i="1"/>
  <c r="AW1198" i="1"/>
  <c r="AW1199" i="1"/>
  <c r="AW1200" i="1"/>
  <c r="AW1201" i="1"/>
  <c r="AW1202" i="1"/>
  <c r="AW1203" i="1"/>
  <c r="AW1204" i="1"/>
  <c r="AW1205" i="1"/>
  <c r="AW1206" i="1"/>
  <c r="AW1207" i="1"/>
  <c r="AW1208" i="1"/>
  <c r="AW1209" i="1"/>
  <c r="AW1210" i="1"/>
  <c r="AW1211" i="1"/>
  <c r="AW1212" i="1"/>
  <c r="AW1213" i="1"/>
  <c r="AW1214" i="1"/>
  <c r="AW1215" i="1"/>
  <c r="AW1216" i="1"/>
  <c r="AW1217" i="1"/>
  <c r="AW1218" i="1"/>
  <c r="AW1219" i="1"/>
  <c r="AW1220" i="1"/>
  <c r="AW1221" i="1"/>
  <c r="AW1222" i="1"/>
  <c r="AW1223" i="1"/>
  <c r="AW1224" i="1"/>
  <c r="AW1225" i="1"/>
  <c r="AW1226" i="1"/>
  <c r="AW1227" i="1"/>
  <c r="AW1228" i="1"/>
  <c r="AW1229" i="1"/>
  <c r="AW1230" i="1"/>
  <c r="AW1231" i="1"/>
  <c r="AW1232" i="1"/>
  <c r="AW1233" i="1"/>
  <c r="AW1234" i="1"/>
  <c r="AW1235" i="1"/>
  <c r="AW1236" i="1"/>
  <c r="AW1237" i="1"/>
  <c r="AW1238" i="1"/>
  <c r="AW1239" i="1"/>
  <c r="AW1240" i="1"/>
  <c r="AW1241" i="1"/>
  <c r="AW1242" i="1"/>
  <c r="AW1243" i="1"/>
  <c r="AW1244" i="1"/>
  <c r="AW1245" i="1"/>
  <c r="AW1246" i="1"/>
  <c r="AW1247" i="1"/>
  <c r="AW1248" i="1"/>
  <c r="AW1249" i="1"/>
  <c r="AW1250" i="1"/>
  <c r="AW1251" i="1"/>
  <c r="AW1252" i="1"/>
  <c r="AW1253" i="1"/>
  <c r="AW1254" i="1"/>
  <c r="AW1255" i="1"/>
  <c r="AW1256" i="1"/>
  <c r="AW1257" i="1"/>
  <c r="AW1258" i="1"/>
  <c r="AW1259" i="1"/>
  <c r="AW1260" i="1"/>
  <c r="AW1261" i="1"/>
  <c r="AW1262" i="1"/>
  <c r="AW1263" i="1"/>
  <c r="AW1264" i="1"/>
  <c r="AW1265" i="1"/>
  <c r="AW1266" i="1"/>
  <c r="AW1267" i="1"/>
  <c r="AW1268" i="1"/>
  <c r="AW1269" i="1"/>
  <c r="AW1270" i="1"/>
  <c r="AW1271" i="1"/>
  <c r="AW1272" i="1"/>
  <c r="AW1273" i="1"/>
  <c r="AW1274" i="1"/>
  <c r="AW1275" i="1"/>
  <c r="AW1276" i="1"/>
  <c r="AW1277" i="1"/>
  <c r="AW1278" i="1"/>
  <c r="AW1279" i="1"/>
  <c r="AW1280" i="1"/>
  <c r="AW1281" i="1"/>
  <c r="AW1282" i="1"/>
  <c r="AW1283" i="1"/>
  <c r="AW1284" i="1"/>
  <c r="AW1285" i="1"/>
  <c r="AW1286" i="1"/>
  <c r="AW1287" i="1"/>
  <c r="AW1288" i="1"/>
  <c r="AW1289" i="1"/>
  <c r="AW1290" i="1"/>
  <c r="AW1291" i="1"/>
  <c r="AW1292" i="1"/>
  <c r="AW1293" i="1"/>
  <c r="AW1294" i="1"/>
  <c r="AW1295" i="1"/>
  <c r="AW1296" i="1"/>
  <c r="AW1297" i="1"/>
  <c r="AW1298" i="1"/>
  <c r="AW1299" i="1"/>
  <c r="AW1300" i="1"/>
  <c r="AW1301" i="1"/>
  <c r="AW1302" i="1"/>
  <c r="AW1303" i="1"/>
  <c r="AW1304" i="1"/>
  <c r="AW1305" i="1"/>
  <c r="AW1306" i="1"/>
  <c r="AW1307" i="1"/>
  <c r="AW1308" i="1"/>
  <c r="AW1309" i="1"/>
  <c r="AW1310" i="1"/>
  <c r="AW1311" i="1"/>
  <c r="AW1312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V573" i="1"/>
  <c r="AV574" i="1"/>
  <c r="AV575" i="1"/>
  <c r="AV576" i="1"/>
  <c r="AV577" i="1"/>
  <c r="AV578" i="1"/>
  <c r="AV579" i="1"/>
  <c r="AV580" i="1"/>
  <c r="AV581" i="1"/>
  <c r="AV582" i="1"/>
  <c r="AV583" i="1"/>
  <c r="AV584" i="1"/>
  <c r="AV585" i="1"/>
  <c r="AV586" i="1"/>
  <c r="AV587" i="1"/>
  <c r="AV588" i="1"/>
  <c r="AV589" i="1"/>
  <c r="AV590" i="1"/>
  <c r="AV591" i="1"/>
  <c r="AV592" i="1"/>
  <c r="AV593" i="1"/>
  <c r="AV594" i="1"/>
  <c r="AV595" i="1"/>
  <c r="AV596" i="1"/>
  <c r="AV597" i="1"/>
  <c r="AV598" i="1"/>
  <c r="AV599" i="1"/>
  <c r="AV600" i="1"/>
  <c r="AV601" i="1"/>
  <c r="AV602" i="1"/>
  <c r="AV603" i="1"/>
  <c r="AV604" i="1"/>
  <c r="AV605" i="1"/>
  <c r="AV606" i="1"/>
  <c r="AV607" i="1"/>
  <c r="AV608" i="1"/>
  <c r="AV609" i="1"/>
  <c r="AV610" i="1"/>
  <c r="AV611" i="1"/>
  <c r="AV612" i="1"/>
  <c r="AV613" i="1"/>
  <c r="AV614" i="1"/>
  <c r="AV615" i="1"/>
  <c r="AV616" i="1"/>
  <c r="AV617" i="1"/>
  <c r="AV618" i="1"/>
  <c r="AV619" i="1"/>
  <c r="AV620" i="1"/>
  <c r="AV621" i="1"/>
  <c r="AV622" i="1"/>
  <c r="AV623" i="1"/>
  <c r="AV624" i="1"/>
  <c r="AV625" i="1"/>
  <c r="AV626" i="1"/>
  <c r="AV627" i="1"/>
  <c r="AV628" i="1"/>
  <c r="AV629" i="1"/>
  <c r="AV630" i="1"/>
  <c r="AV631" i="1"/>
  <c r="AV632" i="1"/>
  <c r="AV633" i="1"/>
  <c r="AV634" i="1"/>
  <c r="AV635" i="1"/>
  <c r="AV636" i="1"/>
  <c r="AV637" i="1"/>
  <c r="AV638" i="1"/>
  <c r="AV639" i="1"/>
  <c r="AV640" i="1"/>
  <c r="AV641" i="1"/>
  <c r="AV642" i="1"/>
  <c r="AV643" i="1"/>
  <c r="AV644" i="1"/>
  <c r="AV645" i="1"/>
  <c r="AV646" i="1"/>
  <c r="AV647" i="1"/>
  <c r="AV648" i="1"/>
  <c r="AV649" i="1"/>
  <c r="AV650" i="1"/>
  <c r="AV651" i="1"/>
  <c r="AV652" i="1"/>
  <c r="AV653" i="1"/>
  <c r="AV654" i="1"/>
  <c r="AV655" i="1"/>
  <c r="AV656" i="1"/>
  <c r="AV657" i="1"/>
  <c r="AV658" i="1"/>
  <c r="AV659" i="1"/>
  <c r="AV660" i="1"/>
  <c r="AV661" i="1"/>
  <c r="AV662" i="1"/>
  <c r="AV663" i="1"/>
  <c r="AV664" i="1"/>
  <c r="AV665" i="1"/>
  <c r="AV666" i="1"/>
  <c r="AV667" i="1"/>
  <c r="AV668" i="1"/>
  <c r="AV669" i="1"/>
  <c r="AV670" i="1"/>
  <c r="AV671" i="1"/>
  <c r="AV672" i="1"/>
  <c r="AV673" i="1"/>
  <c r="AV674" i="1"/>
  <c r="AV675" i="1"/>
  <c r="AV676" i="1"/>
  <c r="AV677" i="1"/>
  <c r="AV678" i="1"/>
  <c r="AV679" i="1"/>
  <c r="AV680" i="1"/>
  <c r="AV681" i="1"/>
  <c r="AV682" i="1"/>
  <c r="AV683" i="1"/>
  <c r="AV684" i="1"/>
  <c r="AV685" i="1"/>
  <c r="AV686" i="1"/>
  <c r="AV687" i="1"/>
  <c r="AV688" i="1"/>
  <c r="AV689" i="1"/>
  <c r="AV690" i="1"/>
  <c r="AV691" i="1"/>
  <c r="AV692" i="1"/>
  <c r="AV693" i="1"/>
  <c r="AV694" i="1"/>
  <c r="AV695" i="1"/>
  <c r="AV696" i="1"/>
  <c r="AV697" i="1"/>
  <c r="AV698" i="1"/>
  <c r="AV699" i="1"/>
  <c r="AV700" i="1"/>
  <c r="AV701" i="1"/>
  <c r="AV702" i="1"/>
  <c r="AV703" i="1"/>
  <c r="AV704" i="1"/>
  <c r="AV705" i="1"/>
  <c r="AV706" i="1"/>
  <c r="AV707" i="1"/>
  <c r="AV708" i="1"/>
  <c r="AV709" i="1"/>
  <c r="AV710" i="1"/>
  <c r="AV711" i="1"/>
  <c r="AV712" i="1"/>
  <c r="AV713" i="1"/>
  <c r="AV714" i="1"/>
  <c r="AV715" i="1"/>
  <c r="AV716" i="1"/>
  <c r="AV717" i="1"/>
  <c r="AV718" i="1"/>
  <c r="AV719" i="1"/>
  <c r="AV720" i="1"/>
  <c r="AV721" i="1"/>
  <c r="AV722" i="1"/>
  <c r="AV723" i="1"/>
  <c r="AV724" i="1"/>
  <c r="AV725" i="1"/>
  <c r="AV726" i="1"/>
  <c r="AV727" i="1"/>
  <c r="AV728" i="1"/>
  <c r="AV729" i="1"/>
  <c r="AV730" i="1"/>
  <c r="AV731" i="1"/>
  <c r="AV732" i="1"/>
  <c r="AV733" i="1"/>
  <c r="AV734" i="1"/>
  <c r="AV735" i="1"/>
  <c r="AV736" i="1"/>
  <c r="AV737" i="1"/>
  <c r="AV738" i="1"/>
  <c r="AV739" i="1"/>
  <c r="AV740" i="1"/>
  <c r="AV741" i="1"/>
  <c r="AV742" i="1"/>
  <c r="AV743" i="1"/>
  <c r="AV744" i="1"/>
  <c r="AV745" i="1"/>
  <c r="AV746" i="1"/>
  <c r="AV747" i="1"/>
  <c r="AV748" i="1"/>
  <c r="AV749" i="1"/>
  <c r="AV750" i="1"/>
  <c r="AV751" i="1"/>
  <c r="AV752" i="1"/>
  <c r="AV753" i="1"/>
  <c r="AV754" i="1"/>
  <c r="AV755" i="1"/>
  <c r="AV756" i="1"/>
  <c r="AV757" i="1"/>
  <c r="AV758" i="1"/>
  <c r="AV759" i="1"/>
  <c r="AV760" i="1"/>
  <c r="AV761" i="1"/>
  <c r="AV762" i="1"/>
  <c r="AV763" i="1"/>
  <c r="AV764" i="1"/>
  <c r="AV765" i="1"/>
  <c r="AV766" i="1"/>
  <c r="AV767" i="1"/>
  <c r="AV768" i="1"/>
  <c r="AV769" i="1"/>
  <c r="AV770" i="1"/>
  <c r="AV771" i="1"/>
  <c r="AV772" i="1"/>
  <c r="AV773" i="1"/>
  <c r="AV774" i="1"/>
  <c r="AV775" i="1"/>
  <c r="AV776" i="1"/>
  <c r="AV777" i="1"/>
  <c r="AV778" i="1"/>
  <c r="AV779" i="1"/>
  <c r="AV780" i="1"/>
  <c r="AV781" i="1"/>
  <c r="AV782" i="1"/>
  <c r="AV783" i="1"/>
  <c r="AV784" i="1"/>
  <c r="AV785" i="1"/>
  <c r="AV786" i="1"/>
  <c r="AV787" i="1"/>
  <c r="AV788" i="1"/>
  <c r="AV789" i="1"/>
  <c r="AV790" i="1"/>
  <c r="AV791" i="1"/>
  <c r="AV792" i="1"/>
  <c r="AV793" i="1"/>
  <c r="AV794" i="1"/>
  <c r="AV795" i="1"/>
  <c r="AV796" i="1"/>
  <c r="AV797" i="1"/>
  <c r="AV798" i="1"/>
  <c r="AV799" i="1"/>
  <c r="AV800" i="1"/>
  <c r="AV801" i="1"/>
  <c r="AV802" i="1"/>
  <c r="AV803" i="1"/>
  <c r="AV804" i="1"/>
  <c r="AV805" i="1"/>
  <c r="AV806" i="1"/>
  <c r="AV807" i="1"/>
  <c r="AV808" i="1"/>
  <c r="AV809" i="1"/>
  <c r="AV810" i="1"/>
  <c r="AV811" i="1"/>
  <c r="AV812" i="1"/>
  <c r="AV813" i="1"/>
  <c r="AV814" i="1"/>
  <c r="AV815" i="1"/>
  <c r="AV816" i="1"/>
  <c r="AV817" i="1"/>
  <c r="AV818" i="1"/>
  <c r="AV819" i="1"/>
  <c r="AV820" i="1"/>
  <c r="AV821" i="1"/>
  <c r="AV822" i="1"/>
  <c r="AV823" i="1"/>
  <c r="AV824" i="1"/>
  <c r="AV825" i="1"/>
  <c r="AV826" i="1"/>
  <c r="AV827" i="1"/>
  <c r="AV828" i="1"/>
  <c r="AV829" i="1"/>
  <c r="AV830" i="1"/>
  <c r="AV831" i="1"/>
  <c r="AV832" i="1"/>
  <c r="AV833" i="1"/>
  <c r="AV834" i="1"/>
  <c r="AV835" i="1"/>
  <c r="AV836" i="1"/>
  <c r="AV837" i="1"/>
  <c r="AV838" i="1"/>
  <c r="AV839" i="1"/>
  <c r="AV840" i="1"/>
  <c r="AV841" i="1"/>
  <c r="AV842" i="1"/>
  <c r="AV843" i="1"/>
  <c r="AV844" i="1"/>
  <c r="AV845" i="1"/>
  <c r="AV846" i="1"/>
  <c r="AV847" i="1"/>
  <c r="AV848" i="1"/>
  <c r="AV849" i="1"/>
  <c r="AV850" i="1"/>
  <c r="AV851" i="1"/>
  <c r="AV852" i="1"/>
  <c r="AV853" i="1"/>
  <c r="AV854" i="1"/>
  <c r="AV855" i="1"/>
  <c r="AV856" i="1"/>
  <c r="AV857" i="1"/>
  <c r="AV858" i="1"/>
  <c r="AV859" i="1"/>
  <c r="AV860" i="1"/>
  <c r="AV861" i="1"/>
  <c r="AV862" i="1"/>
  <c r="AV863" i="1"/>
  <c r="AV864" i="1"/>
  <c r="AV865" i="1"/>
  <c r="AV866" i="1"/>
  <c r="AV867" i="1"/>
  <c r="AV868" i="1"/>
  <c r="AV869" i="1"/>
  <c r="AV870" i="1"/>
  <c r="AV871" i="1"/>
  <c r="AV872" i="1"/>
  <c r="AV873" i="1"/>
  <c r="AV874" i="1"/>
  <c r="AV875" i="1"/>
  <c r="AV876" i="1"/>
  <c r="AV877" i="1"/>
  <c r="AV878" i="1"/>
  <c r="AV879" i="1"/>
  <c r="AV880" i="1"/>
  <c r="AV881" i="1"/>
  <c r="AV882" i="1"/>
  <c r="AV883" i="1"/>
  <c r="AV884" i="1"/>
  <c r="AV885" i="1"/>
  <c r="AV886" i="1"/>
  <c r="AV887" i="1"/>
  <c r="AV888" i="1"/>
  <c r="AV889" i="1"/>
  <c r="AV890" i="1"/>
  <c r="AV891" i="1"/>
  <c r="AV892" i="1"/>
  <c r="AV893" i="1"/>
  <c r="AV894" i="1"/>
  <c r="AV895" i="1"/>
  <c r="AV896" i="1"/>
  <c r="AV897" i="1"/>
  <c r="AV898" i="1"/>
  <c r="AV899" i="1"/>
  <c r="AV900" i="1"/>
  <c r="AV901" i="1"/>
  <c r="AV902" i="1"/>
  <c r="AV903" i="1"/>
  <c r="AV904" i="1"/>
  <c r="AV905" i="1"/>
  <c r="AV906" i="1"/>
  <c r="AV907" i="1"/>
  <c r="AV908" i="1"/>
  <c r="AV909" i="1"/>
  <c r="AV910" i="1"/>
  <c r="AV911" i="1"/>
  <c r="AV912" i="1"/>
  <c r="AV913" i="1"/>
  <c r="AV914" i="1"/>
  <c r="AV915" i="1"/>
  <c r="AV916" i="1"/>
  <c r="AV917" i="1"/>
  <c r="AV918" i="1"/>
  <c r="AV919" i="1"/>
  <c r="AV920" i="1"/>
  <c r="AV921" i="1"/>
  <c r="AV922" i="1"/>
  <c r="AV923" i="1"/>
  <c r="AV924" i="1"/>
  <c r="AV925" i="1"/>
  <c r="AV926" i="1"/>
  <c r="AV927" i="1"/>
  <c r="AV928" i="1"/>
  <c r="AV929" i="1"/>
  <c r="AV930" i="1"/>
  <c r="AV931" i="1"/>
  <c r="AV932" i="1"/>
  <c r="AV933" i="1"/>
  <c r="AV934" i="1"/>
  <c r="AV935" i="1"/>
  <c r="AV936" i="1"/>
  <c r="AV937" i="1"/>
  <c r="AV938" i="1"/>
  <c r="AV939" i="1"/>
  <c r="AV940" i="1"/>
  <c r="AV941" i="1"/>
  <c r="AV942" i="1"/>
  <c r="AV943" i="1"/>
  <c r="AV944" i="1"/>
  <c r="AV945" i="1"/>
  <c r="AV946" i="1"/>
  <c r="AV947" i="1"/>
  <c r="AV948" i="1"/>
  <c r="AV949" i="1"/>
  <c r="AV950" i="1"/>
  <c r="AV951" i="1"/>
  <c r="AV952" i="1"/>
  <c r="AV953" i="1"/>
  <c r="AV954" i="1"/>
  <c r="AV955" i="1"/>
  <c r="AV956" i="1"/>
  <c r="AV957" i="1"/>
  <c r="AV958" i="1"/>
  <c r="AV959" i="1"/>
  <c r="AV960" i="1"/>
  <c r="AV961" i="1"/>
  <c r="AV962" i="1"/>
  <c r="AV963" i="1"/>
  <c r="AV964" i="1"/>
  <c r="AV965" i="1"/>
  <c r="AV966" i="1"/>
  <c r="AV967" i="1"/>
  <c r="AV968" i="1"/>
  <c r="AV969" i="1"/>
  <c r="AV970" i="1"/>
  <c r="AV971" i="1"/>
  <c r="AV972" i="1"/>
  <c r="AV973" i="1"/>
  <c r="AV974" i="1"/>
  <c r="AV975" i="1"/>
  <c r="AV976" i="1"/>
  <c r="AV977" i="1"/>
  <c r="AV978" i="1"/>
  <c r="AV979" i="1"/>
  <c r="AV980" i="1"/>
  <c r="AV981" i="1"/>
  <c r="AV982" i="1"/>
  <c r="AV983" i="1"/>
  <c r="AV984" i="1"/>
  <c r="AV985" i="1"/>
  <c r="AV986" i="1"/>
  <c r="AV987" i="1"/>
  <c r="AV988" i="1"/>
  <c r="AV989" i="1"/>
  <c r="AV990" i="1"/>
  <c r="AV991" i="1"/>
  <c r="AV992" i="1"/>
  <c r="AV993" i="1"/>
  <c r="AV994" i="1"/>
  <c r="AV995" i="1"/>
  <c r="AV996" i="1"/>
  <c r="AV997" i="1"/>
  <c r="AV998" i="1"/>
  <c r="AV999" i="1"/>
  <c r="AV1000" i="1"/>
  <c r="AV1001" i="1"/>
  <c r="AV1002" i="1"/>
  <c r="AV1003" i="1"/>
  <c r="AV1004" i="1"/>
  <c r="AV1005" i="1"/>
  <c r="AV1006" i="1"/>
  <c r="AV1007" i="1"/>
  <c r="AV1008" i="1"/>
  <c r="AV1009" i="1"/>
  <c r="AV1010" i="1"/>
  <c r="AV1011" i="1"/>
  <c r="AV1012" i="1"/>
  <c r="AV1013" i="1"/>
  <c r="AV1014" i="1"/>
  <c r="AV1015" i="1"/>
  <c r="AV1016" i="1"/>
  <c r="AV1017" i="1"/>
  <c r="AV1018" i="1"/>
  <c r="AV1019" i="1"/>
  <c r="AV1020" i="1"/>
  <c r="AV1021" i="1"/>
  <c r="AV1022" i="1"/>
  <c r="AV1023" i="1"/>
  <c r="AV1024" i="1"/>
  <c r="AV1025" i="1"/>
  <c r="AV1026" i="1"/>
  <c r="AV1027" i="1"/>
  <c r="AV1028" i="1"/>
  <c r="AV1029" i="1"/>
  <c r="AV1030" i="1"/>
  <c r="AV1031" i="1"/>
  <c r="AV1032" i="1"/>
  <c r="AV1033" i="1"/>
  <c r="AV1034" i="1"/>
  <c r="AV1035" i="1"/>
  <c r="AV1036" i="1"/>
  <c r="AV1037" i="1"/>
  <c r="AV1038" i="1"/>
  <c r="AV1039" i="1"/>
  <c r="AV1040" i="1"/>
  <c r="AV1041" i="1"/>
  <c r="AV1042" i="1"/>
  <c r="AV1043" i="1"/>
  <c r="AV1044" i="1"/>
  <c r="AV1045" i="1"/>
  <c r="AV1046" i="1"/>
  <c r="AV1047" i="1"/>
  <c r="AV1048" i="1"/>
  <c r="AV1049" i="1"/>
  <c r="AV1050" i="1"/>
  <c r="AV1051" i="1"/>
  <c r="AV1052" i="1"/>
  <c r="AV1053" i="1"/>
  <c r="AV1054" i="1"/>
  <c r="AV1055" i="1"/>
  <c r="AV1056" i="1"/>
  <c r="AV1057" i="1"/>
  <c r="AV1058" i="1"/>
  <c r="AV1059" i="1"/>
  <c r="AV1060" i="1"/>
  <c r="AV1061" i="1"/>
  <c r="AV1062" i="1"/>
  <c r="AV1063" i="1"/>
  <c r="AV1064" i="1"/>
  <c r="AV1065" i="1"/>
  <c r="AV1066" i="1"/>
  <c r="AV1067" i="1"/>
  <c r="AV1068" i="1"/>
  <c r="AV1069" i="1"/>
  <c r="AV1070" i="1"/>
  <c r="AV1071" i="1"/>
  <c r="AV1072" i="1"/>
  <c r="AV1073" i="1"/>
  <c r="AV1074" i="1"/>
  <c r="AV1075" i="1"/>
  <c r="AV1076" i="1"/>
  <c r="AV1077" i="1"/>
  <c r="AV1078" i="1"/>
  <c r="AV1079" i="1"/>
  <c r="AV1080" i="1"/>
  <c r="AV1081" i="1"/>
  <c r="AV1082" i="1"/>
  <c r="AV1083" i="1"/>
  <c r="AV1084" i="1"/>
  <c r="AV1085" i="1"/>
  <c r="AV1086" i="1"/>
  <c r="AV1087" i="1"/>
  <c r="AV1088" i="1"/>
  <c r="AV1089" i="1"/>
  <c r="AV1090" i="1"/>
  <c r="AV1091" i="1"/>
  <c r="AV1092" i="1"/>
  <c r="AV1093" i="1"/>
  <c r="AV1094" i="1"/>
  <c r="AV1095" i="1"/>
  <c r="AV1096" i="1"/>
  <c r="AV1097" i="1"/>
  <c r="AV1098" i="1"/>
  <c r="AV1099" i="1"/>
  <c r="AV1100" i="1"/>
  <c r="AV1101" i="1"/>
  <c r="AV1102" i="1"/>
  <c r="AV1103" i="1"/>
  <c r="AV1104" i="1"/>
  <c r="AV1105" i="1"/>
  <c r="AV1106" i="1"/>
  <c r="AV1107" i="1"/>
  <c r="AV1108" i="1"/>
  <c r="AV1109" i="1"/>
  <c r="AV1110" i="1"/>
  <c r="AV1111" i="1"/>
  <c r="AV1112" i="1"/>
  <c r="AV1113" i="1"/>
  <c r="AV1114" i="1"/>
  <c r="AV1115" i="1"/>
  <c r="AV1116" i="1"/>
  <c r="AV1117" i="1"/>
  <c r="AV1118" i="1"/>
  <c r="AV1119" i="1"/>
  <c r="AV1120" i="1"/>
  <c r="AV1121" i="1"/>
  <c r="AV1122" i="1"/>
  <c r="AV1123" i="1"/>
  <c r="AV1124" i="1"/>
  <c r="AV1125" i="1"/>
  <c r="AV1126" i="1"/>
  <c r="AV1127" i="1"/>
  <c r="AV1128" i="1"/>
  <c r="AV1129" i="1"/>
  <c r="AV1130" i="1"/>
  <c r="AV1131" i="1"/>
  <c r="AV1132" i="1"/>
  <c r="AV1133" i="1"/>
  <c r="AV1134" i="1"/>
  <c r="AV1135" i="1"/>
  <c r="AV1136" i="1"/>
  <c r="AV1137" i="1"/>
  <c r="AV1138" i="1"/>
  <c r="AV1139" i="1"/>
  <c r="AV1140" i="1"/>
  <c r="AV1141" i="1"/>
  <c r="AV1142" i="1"/>
  <c r="AV1143" i="1"/>
  <c r="AV1144" i="1"/>
  <c r="AV1145" i="1"/>
  <c r="AV1146" i="1"/>
  <c r="AV1147" i="1"/>
  <c r="AV1148" i="1"/>
  <c r="AV1149" i="1"/>
  <c r="AV1150" i="1"/>
  <c r="AV1151" i="1"/>
  <c r="AV1152" i="1"/>
  <c r="AV1153" i="1"/>
  <c r="AV1154" i="1"/>
  <c r="AV1155" i="1"/>
  <c r="AV1156" i="1"/>
  <c r="AV1157" i="1"/>
  <c r="AV1158" i="1"/>
  <c r="AV1159" i="1"/>
  <c r="AV1160" i="1"/>
  <c r="AV1161" i="1"/>
  <c r="AV1162" i="1"/>
  <c r="AV1163" i="1"/>
  <c r="AV1164" i="1"/>
  <c r="AV1165" i="1"/>
  <c r="AV1166" i="1"/>
  <c r="AV1167" i="1"/>
  <c r="AV1168" i="1"/>
  <c r="AV1169" i="1"/>
  <c r="AV1170" i="1"/>
  <c r="AV1171" i="1"/>
  <c r="AV1172" i="1"/>
  <c r="AV1173" i="1"/>
  <c r="AV1174" i="1"/>
  <c r="AV1175" i="1"/>
  <c r="AV1176" i="1"/>
  <c r="AV1177" i="1"/>
  <c r="AV1178" i="1"/>
  <c r="AV1179" i="1"/>
  <c r="AV1180" i="1"/>
  <c r="AV1181" i="1"/>
  <c r="AV1182" i="1"/>
  <c r="AV1183" i="1"/>
  <c r="AV1184" i="1"/>
  <c r="AV1185" i="1"/>
  <c r="AV1186" i="1"/>
  <c r="AV1187" i="1"/>
  <c r="AV1188" i="1"/>
  <c r="AV1189" i="1"/>
  <c r="AV1190" i="1"/>
  <c r="AV1191" i="1"/>
  <c r="AV1192" i="1"/>
  <c r="AV1193" i="1"/>
  <c r="AV1194" i="1"/>
  <c r="AV1195" i="1"/>
  <c r="AV1196" i="1"/>
  <c r="AV1197" i="1"/>
  <c r="AV1198" i="1"/>
  <c r="AV1199" i="1"/>
  <c r="AV1200" i="1"/>
  <c r="AV1201" i="1"/>
  <c r="AV1202" i="1"/>
  <c r="AV1203" i="1"/>
  <c r="AV1204" i="1"/>
  <c r="AV1205" i="1"/>
  <c r="AV1206" i="1"/>
  <c r="AV1207" i="1"/>
  <c r="AV1208" i="1"/>
  <c r="AV1209" i="1"/>
  <c r="AV1210" i="1"/>
  <c r="AV1211" i="1"/>
  <c r="AV1212" i="1"/>
  <c r="AV1213" i="1"/>
  <c r="AV1214" i="1"/>
  <c r="AV1215" i="1"/>
  <c r="AV1216" i="1"/>
  <c r="AV1217" i="1"/>
  <c r="AV1218" i="1"/>
  <c r="AV1219" i="1"/>
  <c r="AV1220" i="1"/>
  <c r="AV1221" i="1"/>
  <c r="AV1222" i="1"/>
  <c r="AV1223" i="1"/>
  <c r="AV1224" i="1"/>
  <c r="AV1225" i="1"/>
  <c r="AV1226" i="1"/>
  <c r="AV1227" i="1"/>
  <c r="AV1228" i="1"/>
  <c r="AV1229" i="1"/>
  <c r="AV1230" i="1"/>
  <c r="AV1231" i="1"/>
  <c r="AV1232" i="1"/>
  <c r="AV1233" i="1"/>
  <c r="AV1234" i="1"/>
  <c r="AV1235" i="1"/>
  <c r="AV1236" i="1"/>
  <c r="AV1237" i="1"/>
  <c r="AV1238" i="1"/>
  <c r="AV1239" i="1"/>
  <c r="AV1240" i="1"/>
  <c r="AV1241" i="1"/>
  <c r="AV1242" i="1"/>
  <c r="AV1243" i="1"/>
  <c r="AV1244" i="1"/>
  <c r="AV1245" i="1"/>
  <c r="AV1246" i="1"/>
  <c r="AV1247" i="1"/>
  <c r="AV1248" i="1"/>
  <c r="AV1249" i="1"/>
  <c r="AV1250" i="1"/>
  <c r="AV1251" i="1"/>
  <c r="AV1252" i="1"/>
  <c r="AV1253" i="1"/>
  <c r="AV1254" i="1"/>
  <c r="AV1255" i="1"/>
  <c r="AV1256" i="1"/>
  <c r="AV1257" i="1"/>
  <c r="AV1258" i="1"/>
  <c r="AV1259" i="1"/>
  <c r="AV1260" i="1"/>
  <c r="AV1261" i="1"/>
  <c r="AV1262" i="1"/>
  <c r="AV1263" i="1"/>
  <c r="AV1264" i="1"/>
  <c r="AV1265" i="1"/>
  <c r="AV1266" i="1"/>
  <c r="AV1267" i="1"/>
  <c r="AV1268" i="1"/>
  <c r="AV1269" i="1"/>
  <c r="AV1270" i="1"/>
  <c r="AV1271" i="1"/>
  <c r="AV1272" i="1"/>
  <c r="AV1273" i="1"/>
  <c r="AV1274" i="1"/>
  <c r="AV1275" i="1"/>
  <c r="AV1276" i="1"/>
  <c r="AV1277" i="1"/>
  <c r="AV1278" i="1"/>
  <c r="AV1279" i="1"/>
  <c r="AV1280" i="1"/>
  <c r="AV1281" i="1"/>
  <c r="AV1282" i="1"/>
  <c r="AV1283" i="1"/>
  <c r="AV1284" i="1"/>
  <c r="AV1285" i="1"/>
  <c r="AV1286" i="1"/>
  <c r="AV1287" i="1"/>
  <c r="AV1288" i="1"/>
  <c r="AV1289" i="1"/>
  <c r="AV1290" i="1"/>
  <c r="AV1291" i="1"/>
  <c r="AV1292" i="1"/>
  <c r="AV1293" i="1"/>
  <c r="AV1294" i="1"/>
  <c r="AV1295" i="1"/>
  <c r="AV1296" i="1"/>
  <c r="AV1297" i="1"/>
  <c r="AV1298" i="1"/>
  <c r="AV1299" i="1"/>
  <c r="AV1300" i="1"/>
  <c r="AV1301" i="1"/>
  <c r="AV1302" i="1"/>
  <c r="AV1303" i="1"/>
  <c r="AV1304" i="1"/>
  <c r="AV1305" i="1"/>
  <c r="AV1306" i="1"/>
  <c r="AV1307" i="1"/>
  <c r="AV1308" i="1"/>
  <c r="AV1309" i="1"/>
  <c r="AV1310" i="1"/>
  <c r="AV1311" i="1"/>
  <c r="AV1312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U351" i="1"/>
  <c r="AU352" i="1"/>
  <c r="AU353" i="1"/>
  <c r="AU354" i="1"/>
  <c r="AU355" i="1"/>
  <c r="AU356" i="1"/>
  <c r="AU357" i="1"/>
  <c r="AU358" i="1"/>
  <c r="AU359" i="1"/>
  <c r="AU360" i="1"/>
  <c r="AU361" i="1"/>
  <c r="AU362" i="1"/>
  <c r="AU363" i="1"/>
  <c r="AU364" i="1"/>
  <c r="AU365" i="1"/>
  <c r="AU366" i="1"/>
  <c r="AU367" i="1"/>
  <c r="AU368" i="1"/>
  <c r="AU369" i="1"/>
  <c r="AU370" i="1"/>
  <c r="AU371" i="1"/>
  <c r="AU372" i="1"/>
  <c r="AU373" i="1"/>
  <c r="AU374" i="1"/>
  <c r="AU375" i="1"/>
  <c r="AU376" i="1"/>
  <c r="AU377" i="1"/>
  <c r="AU378" i="1"/>
  <c r="AU379" i="1"/>
  <c r="AU380" i="1"/>
  <c r="AU381" i="1"/>
  <c r="AU382" i="1"/>
  <c r="AU383" i="1"/>
  <c r="AU384" i="1"/>
  <c r="AU385" i="1"/>
  <c r="AU386" i="1"/>
  <c r="AU387" i="1"/>
  <c r="AU388" i="1"/>
  <c r="AU389" i="1"/>
  <c r="AU390" i="1"/>
  <c r="AU391" i="1"/>
  <c r="AU392" i="1"/>
  <c r="AU393" i="1"/>
  <c r="AU394" i="1"/>
  <c r="AU395" i="1"/>
  <c r="AU396" i="1"/>
  <c r="AU397" i="1"/>
  <c r="AU398" i="1"/>
  <c r="AU399" i="1"/>
  <c r="AU400" i="1"/>
  <c r="AU401" i="1"/>
  <c r="AU402" i="1"/>
  <c r="AU403" i="1"/>
  <c r="AU404" i="1"/>
  <c r="AU405" i="1"/>
  <c r="AU406" i="1"/>
  <c r="AU407" i="1"/>
  <c r="AU408" i="1"/>
  <c r="AU409" i="1"/>
  <c r="AU410" i="1"/>
  <c r="AU411" i="1"/>
  <c r="AU412" i="1"/>
  <c r="AU413" i="1"/>
  <c r="AU414" i="1"/>
  <c r="AU415" i="1"/>
  <c r="AU416" i="1"/>
  <c r="AU417" i="1"/>
  <c r="AU418" i="1"/>
  <c r="AU419" i="1"/>
  <c r="AU420" i="1"/>
  <c r="AU421" i="1"/>
  <c r="AU422" i="1"/>
  <c r="AU423" i="1"/>
  <c r="AU424" i="1"/>
  <c r="AU425" i="1"/>
  <c r="AU426" i="1"/>
  <c r="AU427" i="1"/>
  <c r="AU428" i="1"/>
  <c r="AU429" i="1"/>
  <c r="AU430" i="1"/>
  <c r="AU431" i="1"/>
  <c r="AU432" i="1"/>
  <c r="AU433" i="1"/>
  <c r="AU434" i="1"/>
  <c r="AU435" i="1"/>
  <c r="AU436" i="1"/>
  <c r="AU437" i="1"/>
  <c r="AU438" i="1"/>
  <c r="AU439" i="1"/>
  <c r="AU440" i="1"/>
  <c r="AU441" i="1"/>
  <c r="AU442" i="1"/>
  <c r="AU443" i="1"/>
  <c r="AU444" i="1"/>
  <c r="AU445" i="1"/>
  <c r="AU446" i="1"/>
  <c r="AU447" i="1"/>
  <c r="AU448" i="1"/>
  <c r="AU449" i="1"/>
  <c r="AU450" i="1"/>
  <c r="AU451" i="1"/>
  <c r="AU452" i="1"/>
  <c r="AU453" i="1"/>
  <c r="AU454" i="1"/>
  <c r="AU455" i="1"/>
  <c r="AU456" i="1"/>
  <c r="AU457" i="1"/>
  <c r="AU458" i="1"/>
  <c r="AU459" i="1"/>
  <c r="AU460" i="1"/>
  <c r="AU461" i="1"/>
  <c r="AU462" i="1"/>
  <c r="AU463" i="1"/>
  <c r="AU464" i="1"/>
  <c r="AU465" i="1"/>
  <c r="AU466" i="1"/>
  <c r="AU467" i="1"/>
  <c r="AU468" i="1"/>
  <c r="AU469" i="1"/>
  <c r="AU470" i="1"/>
  <c r="AU471" i="1"/>
  <c r="AU472" i="1"/>
  <c r="AU473" i="1"/>
  <c r="AU474" i="1"/>
  <c r="AU475" i="1"/>
  <c r="AU476" i="1"/>
  <c r="AU477" i="1"/>
  <c r="AU478" i="1"/>
  <c r="AU479" i="1"/>
  <c r="AU480" i="1"/>
  <c r="AU481" i="1"/>
  <c r="AU482" i="1"/>
  <c r="AU483" i="1"/>
  <c r="AU484" i="1"/>
  <c r="AU485" i="1"/>
  <c r="AU486" i="1"/>
  <c r="AU487" i="1"/>
  <c r="AU488" i="1"/>
  <c r="AU489" i="1"/>
  <c r="AU490" i="1"/>
  <c r="AU491" i="1"/>
  <c r="AU492" i="1"/>
  <c r="AU493" i="1"/>
  <c r="AU494" i="1"/>
  <c r="AU495" i="1"/>
  <c r="AU496" i="1"/>
  <c r="AU497" i="1"/>
  <c r="AU498" i="1"/>
  <c r="AU499" i="1"/>
  <c r="AU500" i="1"/>
  <c r="AU501" i="1"/>
  <c r="AU502" i="1"/>
  <c r="AU503" i="1"/>
  <c r="AU504" i="1"/>
  <c r="AU505" i="1"/>
  <c r="AU506" i="1"/>
  <c r="AU507" i="1"/>
  <c r="AU508" i="1"/>
  <c r="AU509" i="1"/>
  <c r="AU510" i="1"/>
  <c r="AU511" i="1"/>
  <c r="AU512" i="1"/>
  <c r="AU513" i="1"/>
  <c r="AU514" i="1"/>
  <c r="AU515" i="1"/>
  <c r="AU516" i="1"/>
  <c r="AU517" i="1"/>
  <c r="AU518" i="1"/>
  <c r="AU519" i="1"/>
  <c r="AU520" i="1"/>
  <c r="AU521" i="1"/>
  <c r="AU522" i="1"/>
  <c r="AU523" i="1"/>
  <c r="AU524" i="1"/>
  <c r="AU525" i="1"/>
  <c r="AU526" i="1"/>
  <c r="AU527" i="1"/>
  <c r="AU528" i="1"/>
  <c r="AU529" i="1"/>
  <c r="AU530" i="1"/>
  <c r="AU531" i="1"/>
  <c r="AU532" i="1"/>
  <c r="AU533" i="1"/>
  <c r="AU534" i="1"/>
  <c r="AU535" i="1"/>
  <c r="AU536" i="1"/>
  <c r="AU537" i="1"/>
  <c r="AU538" i="1"/>
  <c r="AU539" i="1"/>
  <c r="AU540" i="1"/>
  <c r="AU541" i="1"/>
  <c r="AU542" i="1"/>
  <c r="AU543" i="1"/>
  <c r="AU544" i="1"/>
  <c r="AU545" i="1"/>
  <c r="AU546" i="1"/>
  <c r="AU547" i="1"/>
  <c r="AU548" i="1"/>
  <c r="AU549" i="1"/>
  <c r="AU550" i="1"/>
  <c r="AU551" i="1"/>
  <c r="AU552" i="1"/>
  <c r="AU553" i="1"/>
  <c r="AU554" i="1"/>
  <c r="AU555" i="1"/>
  <c r="AU556" i="1"/>
  <c r="AU557" i="1"/>
  <c r="AU558" i="1"/>
  <c r="AU559" i="1"/>
  <c r="AU560" i="1"/>
  <c r="AU561" i="1"/>
  <c r="AU562" i="1"/>
  <c r="AU563" i="1"/>
  <c r="AU564" i="1"/>
  <c r="AU565" i="1"/>
  <c r="AU566" i="1"/>
  <c r="AU567" i="1"/>
  <c r="AU568" i="1"/>
  <c r="AU569" i="1"/>
  <c r="AU570" i="1"/>
  <c r="AU571" i="1"/>
  <c r="AU572" i="1"/>
  <c r="AU573" i="1"/>
  <c r="AU574" i="1"/>
  <c r="AU575" i="1"/>
  <c r="AU576" i="1"/>
  <c r="AU577" i="1"/>
  <c r="AU578" i="1"/>
  <c r="AU579" i="1"/>
  <c r="AU580" i="1"/>
  <c r="AU581" i="1"/>
  <c r="AU582" i="1"/>
  <c r="AU583" i="1"/>
  <c r="AU584" i="1"/>
  <c r="AU585" i="1"/>
  <c r="AU586" i="1"/>
  <c r="AU587" i="1"/>
  <c r="AU588" i="1"/>
  <c r="AU589" i="1"/>
  <c r="AU590" i="1"/>
  <c r="AU591" i="1"/>
  <c r="AU592" i="1"/>
  <c r="AU593" i="1"/>
  <c r="AU594" i="1"/>
  <c r="AU595" i="1"/>
  <c r="AU596" i="1"/>
  <c r="AU597" i="1"/>
  <c r="AU598" i="1"/>
  <c r="AU599" i="1"/>
  <c r="AU600" i="1"/>
  <c r="AU601" i="1"/>
  <c r="AU602" i="1"/>
  <c r="AU603" i="1"/>
  <c r="AU604" i="1"/>
  <c r="AU605" i="1"/>
  <c r="AU606" i="1"/>
  <c r="AU607" i="1"/>
  <c r="AU608" i="1"/>
  <c r="AU609" i="1"/>
  <c r="AU610" i="1"/>
  <c r="AU611" i="1"/>
  <c r="AU612" i="1"/>
  <c r="AU613" i="1"/>
  <c r="AU614" i="1"/>
  <c r="AU615" i="1"/>
  <c r="AU616" i="1"/>
  <c r="AU617" i="1"/>
  <c r="AU618" i="1"/>
  <c r="AU619" i="1"/>
  <c r="AU620" i="1"/>
  <c r="AU621" i="1"/>
  <c r="AU622" i="1"/>
  <c r="AU623" i="1"/>
  <c r="AU624" i="1"/>
  <c r="AU625" i="1"/>
  <c r="AU626" i="1"/>
  <c r="AU627" i="1"/>
  <c r="AU628" i="1"/>
  <c r="AU629" i="1"/>
  <c r="AU630" i="1"/>
  <c r="AU631" i="1"/>
  <c r="AU632" i="1"/>
  <c r="AU633" i="1"/>
  <c r="AU634" i="1"/>
  <c r="AU635" i="1"/>
  <c r="AU636" i="1"/>
  <c r="AU637" i="1"/>
  <c r="AU638" i="1"/>
  <c r="AU639" i="1"/>
  <c r="AU640" i="1"/>
  <c r="AU641" i="1"/>
  <c r="AU642" i="1"/>
  <c r="AU643" i="1"/>
  <c r="AU644" i="1"/>
  <c r="AU645" i="1"/>
  <c r="AU646" i="1"/>
  <c r="AU647" i="1"/>
  <c r="AU648" i="1"/>
  <c r="AU649" i="1"/>
  <c r="AU650" i="1"/>
  <c r="AU651" i="1"/>
  <c r="AU652" i="1"/>
  <c r="AU653" i="1"/>
  <c r="AU654" i="1"/>
  <c r="AU655" i="1"/>
  <c r="AU656" i="1"/>
  <c r="AU657" i="1"/>
  <c r="AU658" i="1"/>
  <c r="AU659" i="1"/>
  <c r="AU660" i="1"/>
  <c r="AU661" i="1"/>
  <c r="AU662" i="1"/>
  <c r="AU663" i="1"/>
  <c r="AU664" i="1"/>
  <c r="AU665" i="1"/>
  <c r="AU666" i="1"/>
  <c r="AU667" i="1"/>
  <c r="AU668" i="1"/>
  <c r="AU669" i="1"/>
  <c r="AU670" i="1"/>
  <c r="AU671" i="1"/>
  <c r="AU672" i="1"/>
  <c r="AU673" i="1"/>
  <c r="AU674" i="1"/>
  <c r="AU675" i="1"/>
  <c r="AU676" i="1"/>
  <c r="AU677" i="1"/>
  <c r="AU678" i="1"/>
  <c r="AU679" i="1"/>
  <c r="AU680" i="1"/>
  <c r="AU681" i="1"/>
  <c r="AU682" i="1"/>
  <c r="AU683" i="1"/>
  <c r="AU684" i="1"/>
  <c r="AU685" i="1"/>
  <c r="AU686" i="1"/>
  <c r="AU687" i="1"/>
  <c r="AU688" i="1"/>
  <c r="AU689" i="1"/>
  <c r="AU690" i="1"/>
  <c r="AU691" i="1"/>
  <c r="AU692" i="1"/>
  <c r="AU693" i="1"/>
  <c r="AU694" i="1"/>
  <c r="AU695" i="1"/>
  <c r="AU696" i="1"/>
  <c r="AU697" i="1"/>
  <c r="AU698" i="1"/>
  <c r="AU699" i="1"/>
  <c r="AU700" i="1"/>
  <c r="AU701" i="1"/>
  <c r="AU702" i="1"/>
  <c r="AU703" i="1"/>
  <c r="AU704" i="1"/>
  <c r="AU705" i="1"/>
  <c r="AU706" i="1"/>
  <c r="AU707" i="1"/>
  <c r="AU708" i="1"/>
  <c r="AU709" i="1"/>
  <c r="AU710" i="1"/>
  <c r="AU711" i="1"/>
  <c r="AU712" i="1"/>
  <c r="AU713" i="1"/>
  <c r="AU714" i="1"/>
  <c r="AU715" i="1"/>
  <c r="AU716" i="1"/>
  <c r="AU717" i="1"/>
  <c r="AU718" i="1"/>
  <c r="AU719" i="1"/>
  <c r="AU720" i="1"/>
  <c r="AU721" i="1"/>
  <c r="AU722" i="1"/>
  <c r="AU723" i="1"/>
  <c r="AU724" i="1"/>
  <c r="AU725" i="1"/>
  <c r="AU726" i="1"/>
  <c r="AU727" i="1"/>
  <c r="AU728" i="1"/>
  <c r="AU729" i="1"/>
  <c r="AU730" i="1"/>
  <c r="AU731" i="1"/>
  <c r="AU732" i="1"/>
  <c r="AU733" i="1"/>
  <c r="AU734" i="1"/>
  <c r="AU735" i="1"/>
  <c r="AU736" i="1"/>
  <c r="AU737" i="1"/>
  <c r="AU738" i="1"/>
  <c r="AU739" i="1"/>
  <c r="AU740" i="1"/>
  <c r="AU741" i="1"/>
  <c r="AU742" i="1"/>
  <c r="AU743" i="1"/>
  <c r="AU744" i="1"/>
  <c r="AU745" i="1"/>
  <c r="AU746" i="1"/>
  <c r="AU747" i="1"/>
  <c r="AU748" i="1"/>
  <c r="AU749" i="1"/>
  <c r="AU750" i="1"/>
  <c r="AU751" i="1"/>
  <c r="AU752" i="1"/>
  <c r="AU753" i="1"/>
  <c r="AU754" i="1"/>
  <c r="AU755" i="1"/>
  <c r="AU756" i="1"/>
  <c r="AU757" i="1"/>
  <c r="AU758" i="1"/>
  <c r="AU759" i="1"/>
  <c r="AU760" i="1"/>
  <c r="AU761" i="1"/>
  <c r="AU762" i="1"/>
  <c r="AU763" i="1"/>
  <c r="AU764" i="1"/>
  <c r="AU765" i="1"/>
  <c r="AU766" i="1"/>
  <c r="AU767" i="1"/>
  <c r="AU768" i="1"/>
  <c r="AU769" i="1"/>
  <c r="AU770" i="1"/>
  <c r="AU771" i="1"/>
  <c r="AU772" i="1"/>
  <c r="AU773" i="1"/>
  <c r="AU774" i="1"/>
  <c r="AU775" i="1"/>
  <c r="AU776" i="1"/>
  <c r="AU777" i="1"/>
  <c r="AU778" i="1"/>
  <c r="AU779" i="1"/>
  <c r="AU780" i="1"/>
  <c r="AU781" i="1"/>
  <c r="AU782" i="1"/>
  <c r="AU783" i="1"/>
  <c r="AU784" i="1"/>
  <c r="AU785" i="1"/>
  <c r="AU786" i="1"/>
  <c r="AU787" i="1"/>
  <c r="AU788" i="1"/>
  <c r="AU789" i="1"/>
  <c r="AU790" i="1"/>
  <c r="AU791" i="1"/>
  <c r="AU792" i="1"/>
  <c r="AU793" i="1"/>
  <c r="AU794" i="1"/>
  <c r="AU795" i="1"/>
  <c r="AU796" i="1"/>
  <c r="AU797" i="1"/>
  <c r="AU798" i="1"/>
  <c r="AU799" i="1"/>
  <c r="AU800" i="1"/>
  <c r="AU801" i="1"/>
  <c r="AU802" i="1"/>
  <c r="AU803" i="1"/>
  <c r="AU804" i="1"/>
  <c r="AU805" i="1"/>
  <c r="AU806" i="1"/>
  <c r="AU807" i="1"/>
  <c r="AU808" i="1"/>
  <c r="AU809" i="1"/>
  <c r="AU810" i="1"/>
  <c r="AU811" i="1"/>
  <c r="AU812" i="1"/>
  <c r="AU813" i="1"/>
  <c r="AU814" i="1"/>
  <c r="AU815" i="1"/>
  <c r="AU816" i="1"/>
  <c r="AU817" i="1"/>
  <c r="AU818" i="1"/>
  <c r="AU819" i="1"/>
  <c r="AU820" i="1"/>
  <c r="AU821" i="1"/>
  <c r="AU822" i="1"/>
  <c r="AU823" i="1"/>
  <c r="AU824" i="1"/>
  <c r="AU825" i="1"/>
  <c r="AU826" i="1"/>
  <c r="AU827" i="1"/>
  <c r="AU828" i="1"/>
  <c r="AU829" i="1"/>
  <c r="AU830" i="1"/>
  <c r="AU831" i="1"/>
  <c r="AU832" i="1"/>
  <c r="AU833" i="1"/>
  <c r="AU834" i="1"/>
  <c r="AU835" i="1"/>
  <c r="AU836" i="1"/>
  <c r="AU837" i="1"/>
  <c r="AU838" i="1"/>
  <c r="AU839" i="1"/>
  <c r="AU840" i="1"/>
  <c r="AU841" i="1"/>
  <c r="AU842" i="1"/>
  <c r="AU843" i="1"/>
  <c r="AU844" i="1"/>
  <c r="AU845" i="1"/>
  <c r="AU846" i="1"/>
  <c r="AU847" i="1"/>
  <c r="AU848" i="1"/>
  <c r="AU849" i="1"/>
  <c r="AU850" i="1"/>
  <c r="AU851" i="1"/>
  <c r="AU852" i="1"/>
  <c r="AU853" i="1"/>
  <c r="AU854" i="1"/>
  <c r="AU855" i="1"/>
  <c r="AU856" i="1"/>
  <c r="AU857" i="1"/>
  <c r="AU858" i="1"/>
  <c r="AU859" i="1"/>
  <c r="AU860" i="1"/>
  <c r="AU861" i="1"/>
  <c r="AU862" i="1"/>
  <c r="AU863" i="1"/>
  <c r="AU864" i="1"/>
  <c r="AU865" i="1"/>
  <c r="AU866" i="1"/>
  <c r="AU867" i="1"/>
  <c r="AU868" i="1"/>
  <c r="AU869" i="1"/>
  <c r="AU870" i="1"/>
  <c r="AU871" i="1"/>
  <c r="AU872" i="1"/>
  <c r="AU873" i="1"/>
  <c r="AU874" i="1"/>
  <c r="AU875" i="1"/>
  <c r="AU876" i="1"/>
  <c r="AU877" i="1"/>
  <c r="AU878" i="1"/>
  <c r="AU879" i="1"/>
  <c r="AU880" i="1"/>
  <c r="AU881" i="1"/>
  <c r="AU882" i="1"/>
  <c r="AU883" i="1"/>
  <c r="AU884" i="1"/>
  <c r="AU885" i="1"/>
  <c r="AU886" i="1"/>
  <c r="AU887" i="1"/>
  <c r="AU888" i="1"/>
  <c r="AU889" i="1"/>
  <c r="AU890" i="1"/>
  <c r="AU891" i="1"/>
  <c r="AU892" i="1"/>
  <c r="AU893" i="1"/>
  <c r="AU894" i="1"/>
  <c r="AU895" i="1"/>
  <c r="AU896" i="1"/>
  <c r="AU897" i="1"/>
  <c r="AU898" i="1"/>
  <c r="AU899" i="1"/>
  <c r="AU900" i="1"/>
  <c r="AU901" i="1"/>
  <c r="AU902" i="1"/>
  <c r="AU903" i="1"/>
  <c r="AU904" i="1"/>
  <c r="AU905" i="1"/>
  <c r="AU906" i="1"/>
  <c r="AU907" i="1"/>
  <c r="AU908" i="1"/>
  <c r="AU909" i="1"/>
  <c r="AU910" i="1"/>
  <c r="AU911" i="1"/>
  <c r="AU912" i="1"/>
  <c r="AU913" i="1"/>
  <c r="AU914" i="1"/>
  <c r="AU915" i="1"/>
  <c r="AU916" i="1"/>
  <c r="AU917" i="1"/>
  <c r="AU918" i="1"/>
  <c r="AU919" i="1"/>
  <c r="AU920" i="1"/>
  <c r="AU921" i="1"/>
  <c r="AU922" i="1"/>
  <c r="AU923" i="1"/>
  <c r="AU924" i="1"/>
  <c r="AU925" i="1"/>
  <c r="AU926" i="1"/>
  <c r="AU927" i="1"/>
  <c r="AU928" i="1"/>
  <c r="AU929" i="1"/>
  <c r="AU930" i="1"/>
  <c r="AU931" i="1"/>
  <c r="AU932" i="1"/>
  <c r="AU933" i="1"/>
  <c r="AU934" i="1"/>
  <c r="AU935" i="1"/>
  <c r="AU936" i="1"/>
  <c r="AU937" i="1"/>
  <c r="AU938" i="1"/>
  <c r="AU939" i="1"/>
  <c r="AU940" i="1"/>
  <c r="AU941" i="1"/>
  <c r="AU942" i="1"/>
  <c r="AU943" i="1"/>
  <c r="AU944" i="1"/>
  <c r="AU945" i="1"/>
  <c r="AU946" i="1"/>
  <c r="AU947" i="1"/>
  <c r="AU948" i="1"/>
  <c r="AU949" i="1"/>
  <c r="AU950" i="1"/>
  <c r="AU951" i="1"/>
  <c r="AU952" i="1"/>
  <c r="AU953" i="1"/>
  <c r="AU954" i="1"/>
  <c r="AU955" i="1"/>
  <c r="AU956" i="1"/>
  <c r="AU957" i="1"/>
  <c r="AU958" i="1"/>
  <c r="AU959" i="1"/>
  <c r="AU960" i="1"/>
  <c r="AU961" i="1"/>
  <c r="AU962" i="1"/>
  <c r="AU963" i="1"/>
  <c r="AU964" i="1"/>
  <c r="AU965" i="1"/>
  <c r="AU966" i="1"/>
  <c r="AU967" i="1"/>
  <c r="AU968" i="1"/>
  <c r="AU969" i="1"/>
  <c r="AU970" i="1"/>
  <c r="AU971" i="1"/>
  <c r="AU972" i="1"/>
  <c r="AU973" i="1"/>
  <c r="AU974" i="1"/>
  <c r="AU975" i="1"/>
  <c r="AU976" i="1"/>
  <c r="AU977" i="1"/>
  <c r="AU978" i="1"/>
  <c r="AU979" i="1"/>
  <c r="AU980" i="1"/>
  <c r="AU981" i="1"/>
  <c r="AU982" i="1"/>
  <c r="AU983" i="1"/>
  <c r="AU984" i="1"/>
  <c r="AU985" i="1"/>
  <c r="AU986" i="1"/>
  <c r="AU987" i="1"/>
  <c r="AU988" i="1"/>
  <c r="AU989" i="1"/>
  <c r="AU990" i="1"/>
  <c r="AU991" i="1"/>
  <c r="AU992" i="1"/>
  <c r="AU993" i="1"/>
  <c r="AU994" i="1"/>
  <c r="AU995" i="1"/>
  <c r="AU996" i="1"/>
  <c r="AU997" i="1"/>
  <c r="AU998" i="1"/>
  <c r="AU999" i="1"/>
  <c r="AU1000" i="1"/>
  <c r="AU1001" i="1"/>
  <c r="AU1002" i="1"/>
  <c r="AU1003" i="1"/>
  <c r="AU1004" i="1"/>
  <c r="AU1005" i="1"/>
  <c r="AU1006" i="1"/>
  <c r="AU1007" i="1"/>
  <c r="AU1008" i="1"/>
  <c r="AU1009" i="1"/>
  <c r="AU1010" i="1"/>
  <c r="AU1011" i="1"/>
  <c r="AU1012" i="1"/>
  <c r="AU1013" i="1"/>
  <c r="AU1014" i="1"/>
  <c r="AU1015" i="1"/>
  <c r="AU1016" i="1"/>
  <c r="AU1017" i="1"/>
  <c r="AU1018" i="1"/>
  <c r="AU1019" i="1"/>
  <c r="AU1020" i="1"/>
  <c r="AU1021" i="1"/>
  <c r="AU1022" i="1"/>
  <c r="AU1023" i="1"/>
  <c r="AU1024" i="1"/>
  <c r="AU1025" i="1"/>
  <c r="AU1026" i="1"/>
  <c r="AU1027" i="1"/>
  <c r="AU1028" i="1"/>
  <c r="AU1029" i="1"/>
  <c r="AU1030" i="1"/>
  <c r="AU1031" i="1"/>
  <c r="AU1032" i="1"/>
  <c r="AU1033" i="1"/>
  <c r="AU1034" i="1"/>
  <c r="AU1035" i="1"/>
  <c r="AU1036" i="1"/>
  <c r="AU1037" i="1"/>
  <c r="AU1038" i="1"/>
  <c r="AU1039" i="1"/>
  <c r="AU1040" i="1"/>
  <c r="AU1041" i="1"/>
  <c r="AU1042" i="1"/>
  <c r="AU1043" i="1"/>
  <c r="AU1044" i="1"/>
  <c r="AU1045" i="1"/>
  <c r="AU1046" i="1"/>
  <c r="AU1047" i="1"/>
  <c r="AU1048" i="1"/>
  <c r="AU1049" i="1"/>
  <c r="AU1050" i="1"/>
  <c r="AU1051" i="1"/>
  <c r="AU1052" i="1"/>
  <c r="AU1053" i="1"/>
  <c r="AU1054" i="1"/>
  <c r="AU1055" i="1"/>
  <c r="AU1056" i="1"/>
  <c r="AU1057" i="1"/>
  <c r="AU1058" i="1"/>
  <c r="AU1059" i="1"/>
  <c r="AU1060" i="1"/>
  <c r="AU1061" i="1"/>
  <c r="AU1062" i="1"/>
  <c r="AU1063" i="1"/>
  <c r="AU1064" i="1"/>
  <c r="AU1065" i="1"/>
  <c r="AU1066" i="1"/>
  <c r="AU1067" i="1"/>
  <c r="AU1068" i="1"/>
  <c r="AU1069" i="1"/>
  <c r="AU1070" i="1"/>
  <c r="AU1071" i="1"/>
  <c r="AU1072" i="1"/>
  <c r="AU1073" i="1"/>
  <c r="AU1074" i="1"/>
  <c r="AU1075" i="1"/>
  <c r="AU1076" i="1"/>
  <c r="AU1077" i="1"/>
  <c r="AU1078" i="1"/>
  <c r="AU1079" i="1"/>
  <c r="AU1080" i="1"/>
  <c r="AU1081" i="1"/>
  <c r="AU1082" i="1"/>
  <c r="AU1083" i="1"/>
  <c r="AU1084" i="1"/>
  <c r="AU1085" i="1"/>
  <c r="AU1086" i="1"/>
  <c r="AU1087" i="1"/>
  <c r="AU1088" i="1"/>
  <c r="AU1089" i="1"/>
  <c r="AU1090" i="1"/>
  <c r="AU1091" i="1"/>
  <c r="AU1092" i="1"/>
  <c r="AU1093" i="1"/>
  <c r="AU1094" i="1"/>
  <c r="AU1095" i="1"/>
  <c r="AU1096" i="1"/>
  <c r="AU1097" i="1"/>
  <c r="AU1098" i="1"/>
  <c r="AU1099" i="1"/>
  <c r="AU1100" i="1"/>
  <c r="AU1101" i="1"/>
  <c r="AU1102" i="1"/>
  <c r="AU1103" i="1"/>
  <c r="AU1104" i="1"/>
  <c r="AU1105" i="1"/>
  <c r="AU1106" i="1"/>
  <c r="AU1107" i="1"/>
  <c r="AU1108" i="1"/>
  <c r="AU1109" i="1"/>
  <c r="AU1110" i="1"/>
  <c r="AU1111" i="1"/>
  <c r="AU1112" i="1"/>
  <c r="AU1113" i="1"/>
  <c r="AU1114" i="1"/>
  <c r="AU1115" i="1"/>
  <c r="AU1116" i="1"/>
  <c r="AU1117" i="1"/>
  <c r="AU1118" i="1"/>
  <c r="AU1119" i="1"/>
  <c r="AU1120" i="1"/>
  <c r="AU1121" i="1"/>
  <c r="AU1122" i="1"/>
  <c r="AU1123" i="1"/>
  <c r="AU1124" i="1"/>
  <c r="AU1125" i="1"/>
  <c r="AU1126" i="1"/>
  <c r="AU1127" i="1"/>
  <c r="AU1128" i="1"/>
  <c r="AU1129" i="1"/>
  <c r="AU1130" i="1"/>
  <c r="AU1131" i="1"/>
  <c r="AU1132" i="1"/>
  <c r="AU1133" i="1"/>
  <c r="AU1134" i="1"/>
  <c r="AU1135" i="1"/>
  <c r="AU1136" i="1"/>
  <c r="AU1137" i="1"/>
  <c r="AU1138" i="1"/>
  <c r="AU1139" i="1"/>
  <c r="AU1140" i="1"/>
  <c r="AU1141" i="1"/>
  <c r="AU1142" i="1"/>
  <c r="AU1143" i="1"/>
  <c r="AU1144" i="1"/>
  <c r="AU1145" i="1"/>
  <c r="AU1146" i="1"/>
  <c r="AU1147" i="1"/>
  <c r="AU1148" i="1"/>
  <c r="AU1149" i="1"/>
  <c r="AU1150" i="1"/>
  <c r="AU1151" i="1"/>
  <c r="AU1152" i="1"/>
  <c r="AU1153" i="1"/>
  <c r="AU1154" i="1"/>
  <c r="AU1155" i="1"/>
  <c r="AU1156" i="1"/>
  <c r="AU1157" i="1"/>
  <c r="AU1158" i="1"/>
  <c r="AU1159" i="1"/>
  <c r="AU1160" i="1"/>
  <c r="AU1161" i="1"/>
  <c r="AU1162" i="1"/>
  <c r="AU1163" i="1"/>
  <c r="AU1164" i="1"/>
  <c r="AU1165" i="1"/>
  <c r="AU1166" i="1"/>
  <c r="AU1167" i="1"/>
  <c r="AU1168" i="1"/>
  <c r="AU1169" i="1"/>
  <c r="AU1170" i="1"/>
  <c r="AU1171" i="1"/>
  <c r="AU1172" i="1"/>
  <c r="AU1173" i="1"/>
  <c r="AU1174" i="1"/>
  <c r="AU1175" i="1"/>
  <c r="AU1176" i="1"/>
  <c r="AU1177" i="1"/>
  <c r="AU1178" i="1"/>
  <c r="AU1179" i="1"/>
  <c r="AU1180" i="1"/>
  <c r="AU1181" i="1"/>
  <c r="AU1182" i="1"/>
  <c r="AU1183" i="1"/>
  <c r="AU1184" i="1"/>
  <c r="AU1185" i="1"/>
  <c r="AU1186" i="1"/>
  <c r="AU1187" i="1"/>
  <c r="AU1188" i="1"/>
  <c r="AU1189" i="1"/>
  <c r="AU1190" i="1"/>
  <c r="AU1191" i="1"/>
  <c r="AU1192" i="1"/>
  <c r="AU1193" i="1"/>
  <c r="AU1194" i="1"/>
  <c r="AU1195" i="1"/>
  <c r="AU1196" i="1"/>
  <c r="AU1197" i="1"/>
  <c r="AU1198" i="1"/>
  <c r="AU1199" i="1"/>
  <c r="AU1200" i="1"/>
  <c r="AU1201" i="1"/>
  <c r="AU1202" i="1"/>
  <c r="AU1203" i="1"/>
  <c r="AU1204" i="1"/>
  <c r="AU1205" i="1"/>
  <c r="AU1206" i="1"/>
  <c r="AU1207" i="1"/>
  <c r="AU1208" i="1"/>
  <c r="AU1209" i="1"/>
  <c r="AU1210" i="1"/>
  <c r="AU1211" i="1"/>
  <c r="AU1212" i="1"/>
  <c r="AU1213" i="1"/>
  <c r="AU1214" i="1"/>
  <c r="AU1215" i="1"/>
  <c r="AU1216" i="1"/>
  <c r="AU1217" i="1"/>
  <c r="AU1218" i="1"/>
  <c r="AU1219" i="1"/>
  <c r="AU1220" i="1"/>
  <c r="AU1221" i="1"/>
  <c r="AU1222" i="1"/>
  <c r="AU1223" i="1"/>
  <c r="AU1224" i="1"/>
  <c r="AU1225" i="1"/>
  <c r="AU1226" i="1"/>
  <c r="AU1227" i="1"/>
  <c r="AU1228" i="1"/>
  <c r="AU1229" i="1"/>
  <c r="AU1230" i="1"/>
  <c r="AU1231" i="1"/>
  <c r="AU1232" i="1"/>
  <c r="AU1233" i="1"/>
  <c r="AU1234" i="1"/>
  <c r="AU1235" i="1"/>
  <c r="AU1236" i="1"/>
  <c r="AU1237" i="1"/>
  <c r="AU1238" i="1"/>
  <c r="AU1239" i="1"/>
  <c r="AU1240" i="1"/>
  <c r="AU1241" i="1"/>
  <c r="AU1242" i="1"/>
  <c r="AU1243" i="1"/>
  <c r="AU1244" i="1"/>
  <c r="AU1245" i="1"/>
  <c r="AU1246" i="1"/>
  <c r="AU1247" i="1"/>
  <c r="AU1248" i="1"/>
  <c r="AU1249" i="1"/>
  <c r="AU1250" i="1"/>
  <c r="AU1251" i="1"/>
  <c r="AU1252" i="1"/>
  <c r="AU1253" i="1"/>
  <c r="AU1254" i="1"/>
  <c r="AU1255" i="1"/>
  <c r="AU1256" i="1"/>
  <c r="AU1257" i="1"/>
  <c r="AU1258" i="1"/>
  <c r="AU1259" i="1"/>
  <c r="AU1260" i="1"/>
  <c r="AU1261" i="1"/>
  <c r="AU1262" i="1"/>
  <c r="AU1263" i="1"/>
  <c r="AU1264" i="1"/>
  <c r="AU1265" i="1"/>
  <c r="AU1266" i="1"/>
  <c r="AU1267" i="1"/>
  <c r="AU1268" i="1"/>
  <c r="AU1269" i="1"/>
  <c r="AU1270" i="1"/>
  <c r="AU1271" i="1"/>
  <c r="AU1272" i="1"/>
  <c r="AU1273" i="1"/>
  <c r="AU1274" i="1"/>
  <c r="AU1275" i="1"/>
  <c r="AU1276" i="1"/>
  <c r="AU1277" i="1"/>
  <c r="AU1278" i="1"/>
  <c r="AU1279" i="1"/>
  <c r="AU1280" i="1"/>
  <c r="AU1281" i="1"/>
  <c r="AU1282" i="1"/>
  <c r="AU1283" i="1"/>
  <c r="AU1284" i="1"/>
  <c r="AU1285" i="1"/>
  <c r="AU1286" i="1"/>
  <c r="AU1287" i="1"/>
  <c r="AU1288" i="1"/>
  <c r="AU1289" i="1"/>
  <c r="AU1290" i="1"/>
  <c r="AU1291" i="1"/>
  <c r="AU1292" i="1"/>
  <c r="AU1293" i="1"/>
  <c r="AU1294" i="1"/>
  <c r="AU1295" i="1"/>
  <c r="AU1296" i="1"/>
  <c r="AU1297" i="1"/>
  <c r="AU1298" i="1"/>
  <c r="AU1299" i="1"/>
  <c r="AU1300" i="1"/>
  <c r="AU1301" i="1"/>
  <c r="AU1302" i="1"/>
  <c r="AU1303" i="1"/>
  <c r="AU1304" i="1"/>
  <c r="AU1305" i="1"/>
  <c r="AU1306" i="1"/>
  <c r="AU1307" i="1"/>
  <c r="AU1308" i="1"/>
  <c r="AU1309" i="1"/>
  <c r="AU1310" i="1"/>
  <c r="AU1311" i="1"/>
  <c r="AU1312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P351" i="1"/>
  <c r="AP352" i="1"/>
  <c r="AP353" i="1"/>
  <c r="AP354" i="1"/>
  <c r="AP355" i="1"/>
  <c r="AP356" i="1"/>
  <c r="AP357" i="1"/>
  <c r="AP358" i="1"/>
  <c r="AP359" i="1"/>
  <c r="AP360" i="1"/>
  <c r="AP361" i="1"/>
  <c r="AP362" i="1"/>
  <c r="AP363" i="1"/>
  <c r="AP364" i="1"/>
  <c r="AP365" i="1"/>
  <c r="AP366" i="1"/>
  <c r="AP367" i="1"/>
  <c r="AP368" i="1"/>
  <c r="AP369" i="1"/>
  <c r="AP370" i="1"/>
  <c r="AP371" i="1"/>
  <c r="AP372" i="1"/>
  <c r="AP373" i="1"/>
  <c r="AP374" i="1"/>
  <c r="AP375" i="1"/>
  <c r="AP376" i="1"/>
  <c r="AP377" i="1"/>
  <c r="AP378" i="1"/>
  <c r="AP379" i="1"/>
  <c r="AP380" i="1"/>
  <c r="AP381" i="1"/>
  <c r="AP382" i="1"/>
  <c r="AP383" i="1"/>
  <c r="AP384" i="1"/>
  <c r="AP385" i="1"/>
  <c r="AP386" i="1"/>
  <c r="AP387" i="1"/>
  <c r="AP388" i="1"/>
  <c r="AP389" i="1"/>
  <c r="AP390" i="1"/>
  <c r="AP391" i="1"/>
  <c r="AP392" i="1"/>
  <c r="AP393" i="1"/>
  <c r="AP394" i="1"/>
  <c r="AP395" i="1"/>
  <c r="AP396" i="1"/>
  <c r="AP397" i="1"/>
  <c r="AP398" i="1"/>
  <c r="AP399" i="1"/>
  <c r="AP400" i="1"/>
  <c r="AP401" i="1"/>
  <c r="AP402" i="1"/>
  <c r="AP403" i="1"/>
  <c r="AP404" i="1"/>
  <c r="AP405" i="1"/>
  <c r="AP406" i="1"/>
  <c r="AP407" i="1"/>
  <c r="AP408" i="1"/>
  <c r="AP409" i="1"/>
  <c r="AP410" i="1"/>
  <c r="AP411" i="1"/>
  <c r="AP412" i="1"/>
  <c r="AP413" i="1"/>
  <c r="AP414" i="1"/>
  <c r="AP415" i="1"/>
  <c r="AP416" i="1"/>
  <c r="AP417" i="1"/>
  <c r="AP418" i="1"/>
  <c r="AP419" i="1"/>
  <c r="AP420" i="1"/>
  <c r="AP421" i="1"/>
  <c r="AP422" i="1"/>
  <c r="AP423" i="1"/>
  <c r="AP424" i="1"/>
  <c r="AP425" i="1"/>
  <c r="AP426" i="1"/>
  <c r="AP427" i="1"/>
  <c r="AP428" i="1"/>
  <c r="AP429" i="1"/>
  <c r="AP430" i="1"/>
  <c r="AP431" i="1"/>
  <c r="AP432" i="1"/>
  <c r="AP433" i="1"/>
  <c r="AP434" i="1"/>
  <c r="AP435" i="1"/>
  <c r="AP436" i="1"/>
  <c r="AP437" i="1"/>
  <c r="AP438" i="1"/>
  <c r="AP439" i="1"/>
  <c r="AP440" i="1"/>
  <c r="AP441" i="1"/>
  <c r="AP442" i="1"/>
  <c r="AP443" i="1"/>
  <c r="AP444" i="1"/>
  <c r="AP445" i="1"/>
  <c r="AP446" i="1"/>
  <c r="AP447" i="1"/>
  <c r="AP448" i="1"/>
  <c r="AP449" i="1"/>
  <c r="AP450" i="1"/>
  <c r="AP451" i="1"/>
  <c r="AP452" i="1"/>
  <c r="AP453" i="1"/>
  <c r="AP454" i="1"/>
  <c r="AP455" i="1"/>
  <c r="AP456" i="1"/>
  <c r="AP457" i="1"/>
  <c r="AP458" i="1"/>
  <c r="AP459" i="1"/>
  <c r="AP460" i="1"/>
  <c r="AP461" i="1"/>
  <c r="AP462" i="1"/>
  <c r="AP463" i="1"/>
  <c r="AP464" i="1"/>
  <c r="AP465" i="1"/>
  <c r="AP466" i="1"/>
  <c r="AP467" i="1"/>
  <c r="AP468" i="1"/>
  <c r="AP469" i="1"/>
  <c r="AP470" i="1"/>
  <c r="AP471" i="1"/>
  <c r="AP472" i="1"/>
  <c r="AP473" i="1"/>
  <c r="AP474" i="1"/>
  <c r="AP475" i="1"/>
  <c r="AP476" i="1"/>
  <c r="AP477" i="1"/>
  <c r="AP478" i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496" i="1"/>
  <c r="AP497" i="1"/>
  <c r="AP498" i="1"/>
  <c r="AP499" i="1"/>
  <c r="AP500" i="1"/>
  <c r="AP501" i="1"/>
  <c r="AP502" i="1"/>
  <c r="AP503" i="1"/>
  <c r="AP504" i="1"/>
  <c r="AP505" i="1"/>
  <c r="AP506" i="1"/>
  <c r="AP507" i="1"/>
  <c r="AP508" i="1"/>
  <c r="AP509" i="1"/>
  <c r="AP510" i="1"/>
  <c r="AP511" i="1"/>
  <c r="AP512" i="1"/>
  <c r="AP513" i="1"/>
  <c r="AP514" i="1"/>
  <c r="AP515" i="1"/>
  <c r="AP516" i="1"/>
  <c r="AP517" i="1"/>
  <c r="AP518" i="1"/>
  <c r="AP519" i="1"/>
  <c r="AP520" i="1"/>
  <c r="AP521" i="1"/>
  <c r="AP522" i="1"/>
  <c r="AP523" i="1"/>
  <c r="AP524" i="1"/>
  <c r="AP525" i="1"/>
  <c r="AP526" i="1"/>
  <c r="AP527" i="1"/>
  <c r="AP528" i="1"/>
  <c r="AP529" i="1"/>
  <c r="AP530" i="1"/>
  <c r="AP531" i="1"/>
  <c r="AP532" i="1"/>
  <c r="AP533" i="1"/>
  <c r="AP534" i="1"/>
  <c r="AP535" i="1"/>
  <c r="AP536" i="1"/>
  <c r="AP537" i="1"/>
  <c r="AP538" i="1"/>
  <c r="AP539" i="1"/>
  <c r="AP540" i="1"/>
  <c r="AP541" i="1"/>
  <c r="AP542" i="1"/>
  <c r="AP543" i="1"/>
  <c r="AP544" i="1"/>
  <c r="AP545" i="1"/>
  <c r="AP546" i="1"/>
  <c r="AP547" i="1"/>
  <c r="AP548" i="1"/>
  <c r="AP549" i="1"/>
  <c r="AP550" i="1"/>
  <c r="AP551" i="1"/>
  <c r="AP552" i="1"/>
  <c r="AP553" i="1"/>
  <c r="AP554" i="1"/>
  <c r="AP555" i="1"/>
  <c r="AP556" i="1"/>
  <c r="AP557" i="1"/>
  <c r="AP558" i="1"/>
  <c r="AP559" i="1"/>
  <c r="AP560" i="1"/>
  <c r="AP561" i="1"/>
  <c r="AP562" i="1"/>
  <c r="AP563" i="1"/>
  <c r="AP564" i="1"/>
  <c r="AP565" i="1"/>
  <c r="AP566" i="1"/>
  <c r="AP567" i="1"/>
  <c r="AP568" i="1"/>
  <c r="AP569" i="1"/>
  <c r="AP570" i="1"/>
  <c r="AP571" i="1"/>
  <c r="AP572" i="1"/>
  <c r="AP573" i="1"/>
  <c r="AP574" i="1"/>
  <c r="AP575" i="1"/>
  <c r="AP576" i="1"/>
  <c r="AP577" i="1"/>
  <c r="AP578" i="1"/>
  <c r="AP579" i="1"/>
  <c r="AP580" i="1"/>
  <c r="AP581" i="1"/>
  <c r="AP582" i="1"/>
  <c r="AP583" i="1"/>
  <c r="AP584" i="1"/>
  <c r="AP585" i="1"/>
  <c r="AP586" i="1"/>
  <c r="AP587" i="1"/>
  <c r="AP588" i="1"/>
  <c r="AP589" i="1"/>
  <c r="AP590" i="1"/>
  <c r="AP591" i="1"/>
  <c r="AP592" i="1"/>
  <c r="AP593" i="1"/>
  <c r="AP594" i="1"/>
  <c r="AP595" i="1"/>
  <c r="AP596" i="1"/>
  <c r="AP597" i="1"/>
  <c r="AP598" i="1"/>
  <c r="AP599" i="1"/>
  <c r="AP600" i="1"/>
  <c r="AP601" i="1"/>
  <c r="AP602" i="1"/>
  <c r="AP603" i="1"/>
  <c r="AP604" i="1"/>
  <c r="AP605" i="1"/>
  <c r="AP606" i="1"/>
  <c r="AP607" i="1"/>
  <c r="AP608" i="1"/>
  <c r="AP609" i="1"/>
  <c r="AP610" i="1"/>
  <c r="AP611" i="1"/>
  <c r="AP612" i="1"/>
  <c r="AP613" i="1"/>
  <c r="AP614" i="1"/>
  <c r="AP615" i="1"/>
  <c r="AP616" i="1"/>
  <c r="AP617" i="1"/>
  <c r="AP618" i="1"/>
  <c r="AP619" i="1"/>
  <c r="AP620" i="1"/>
  <c r="AP621" i="1"/>
  <c r="AP622" i="1"/>
  <c r="AP623" i="1"/>
  <c r="AP624" i="1"/>
  <c r="AP625" i="1"/>
  <c r="AP626" i="1"/>
  <c r="AP627" i="1"/>
  <c r="AP628" i="1"/>
  <c r="AP629" i="1"/>
  <c r="AP630" i="1"/>
  <c r="AP631" i="1"/>
  <c r="AP632" i="1"/>
  <c r="AP633" i="1"/>
  <c r="AP634" i="1"/>
  <c r="AP635" i="1"/>
  <c r="AP636" i="1"/>
  <c r="AP637" i="1"/>
  <c r="AP638" i="1"/>
  <c r="AP639" i="1"/>
  <c r="AP640" i="1"/>
  <c r="AP641" i="1"/>
  <c r="AP642" i="1"/>
  <c r="AP643" i="1"/>
  <c r="AP644" i="1"/>
  <c r="AP645" i="1"/>
  <c r="AP646" i="1"/>
  <c r="AP647" i="1"/>
  <c r="AP648" i="1"/>
  <c r="AP649" i="1"/>
  <c r="AP650" i="1"/>
  <c r="AP651" i="1"/>
  <c r="AP652" i="1"/>
  <c r="AP653" i="1"/>
  <c r="AP654" i="1"/>
  <c r="AP655" i="1"/>
  <c r="AP656" i="1"/>
  <c r="AP657" i="1"/>
  <c r="AP658" i="1"/>
  <c r="AP659" i="1"/>
  <c r="AP660" i="1"/>
  <c r="AP661" i="1"/>
  <c r="AP662" i="1"/>
  <c r="AP663" i="1"/>
  <c r="AP664" i="1"/>
  <c r="AP665" i="1"/>
  <c r="AP666" i="1"/>
  <c r="AP667" i="1"/>
  <c r="AP668" i="1"/>
  <c r="AP669" i="1"/>
  <c r="AP670" i="1"/>
  <c r="AP671" i="1"/>
  <c r="AP672" i="1"/>
  <c r="AP673" i="1"/>
  <c r="AP674" i="1"/>
  <c r="AP675" i="1"/>
  <c r="AP676" i="1"/>
  <c r="AP677" i="1"/>
  <c r="AP678" i="1"/>
  <c r="AP679" i="1"/>
  <c r="AP680" i="1"/>
  <c r="AP681" i="1"/>
  <c r="AP682" i="1"/>
  <c r="AP683" i="1"/>
  <c r="AP684" i="1"/>
  <c r="AP685" i="1"/>
  <c r="AP686" i="1"/>
  <c r="AP687" i="1"/>
  <c r="AP688" i="1"/>
  <c r="AP689" i="1"/>
  <c r="AP690" i="1"/>
  <c r="AP691" i="1"/>
  <c r="AP692" i="1"/>
  <c r="AP693" i="1"/>
  <c r="AP694" i="1"/>
  <c r="AP695" i="1"/>
  <c r="AP696" i="1"/>
  <c r="AP697" i="1"/>
  <c r="AP698" i="1"/>
  <c r="AP699" i="1"/>
  <c r="AP700" i="1"/>
  <c r="AP701" i="1"/>
  <c r="AP702" i="1"/>
  <c r="AP703" i="1"/>
  <c r="AP704" i="1"/>
  <c r="AP705" i="1"/>
  <c r="AP706" i="1"/>
  <c r="AP707" i="1"/>
  <c r="AP708" i="1"/>
  <c r="AP709" i="1"/>
  <c r="AP710" i="1"/>
  <c r="AP711" i="1"/>
  <c r="AP712" i="1"/>
  <c r="AP713" i="1"/>
  <c r="AP714" i="1"/>
  <c r="AP715" i="1"/>
  <c r="AP716" i="1"/>
  <c r="AP717" i="1"/>
  <c r="AP718" i="1"/>
  <c r="AP719" i="1"/>
  <c r="AP720" i="1"/>
  <c r="AP721" i="1"/>
  <c r="AP722" i="1"/>
  <c r="AP723" i="1"/>
  <c r="AP724" i="1"/>
  <c r="AP725" i="1"/>
  <c r="AP726" i="1"/>
  <c r="AP727" i="1"/>
  <c r="AP728" i="1"/>
  <c r="AP729" i="1"/>
  <c r="AP730" i="1"/>
  <c r="AP731" i="1"/>
  <c r="AP732" i="1"/>
  <c r="AP733" i="1"/>
  <c r="AP734" i="1"/>
  <c r="AP735" i="1"/>
  <c r="AP736" i="1"/>
  <c r="AP737" i="1"/>
  <c r="AP738" i="1"/>
  <c r="AP739" i="1"/>
  <c r="AP740" i="1"/>
  <c r="AP741" i="1"/>
  <c r="AP742" i="1"/>
  <c r="AP743" i="1"/>
  <c r="AP744" i="1"/>
  <c r="AP745" i="1"/>
  <c r="AP746" i="1"/>
  <c r="AP747" i="1"/>
  <c r="AP748" i="1"/>
  <c r="AP749" i="1"/>
  <c r="AP750" i="1"/>
  <c r="AP751" i="1"/>
  <c r="AP752" i="1"/>
  <c r="AP753" i="1"/>
  <c r="AP754" i="1"/>
  <c r="AP755" i="1"/>
  <c r="AP756" i="1"/>
  <c r="AP757" i="1"/>
  <c r="AP758" i="1"/>
  <c r="AP759" i="1"/>
  <c r="AP760" i="1"/>
  <c r="AP761" i="1"/>
  <c r="AP762" i="1"/>
  <c r="AP763" i="1"/>
  <c r="AP764" i="1"/>
  <c r="AP765" i="1"/>
  <c r="AP766" i="1"/>
  <c r="AP767" i="1"/>
  <c r="AP768" i="1"/>
  <c r="AP769" i="1"/>
  <c r="AP770" i="1"/>
  <c r="AP771" i="1"/>
  <c r="AP772" i="1"/>
  <c r="AP773" i="1"/>
  <c r="AP774" i="1"/>
  <c r="AP775" i="1"/>
  <c r="AP776" i="1"/>
  <c r="AP777" i="1"/>
  <c r="AP778" i="1"/>
  <c r="AP779" i="1"/>
  <c r="AP780" i="1"/>
  <c r="AP781" i="1"/>
  <c r="AP782" i="1"/>
  <c r="AP783" i="1"/>
  <c r="AP784" i="1"/>
  <c r="AP785" i="1"/>
  <c r="AP786" i="1"/>
  <c r="AP787" i="1"/>
  <c r="AP788" i="1"/>
  <c r="AP789" i="1"/>
  <c r="AP790" i="1"/>
  <c r="AP791" i="1"/>
  <c r="AP792" i="1"/>
  <c r="AP793" i="1"/>
  <c r="AP794" i="1"/>
  <c r="AP795" i="1"/>
  <c r="AP796" i="1"/>
  <c r="AP797" i="1"/>
  <c r="AP798" i="1"/>
  <c r="AP799" i="1"/>
  <c r="AP800" i="1"/>
  <c r="AP801" i="1"/>
  <c r="AP802" i="1"/>
  <c r="AP803" i="1"/>
  <c r="AP804" i="1"/>
  <c r="AP805" i="1"/>
  <c r="AP806" i="1"/>
  <c r="AP807" i="1"/>
  <c r="AP808" i="1"/>
  <c r="AP809" i="1"/>
  <c r="AP810" i="1"/>
  <c r="AP811" i="1"/>
  <c r="AP812" i="1"/>
  <c r="AP813" i="1"/>
  <c r="AP814" i="1"/>
  <c r="AP815" i="1"/>
  <c r="AP816" i="1"/>
  <c r="AP817" i="1"/>
  <c r="AP818" i="1"/>
  <c r="AP819" i="1"/>
  <c r="AP820" i="1"/>
  <c r="AP821" i="1"/>
  <c r="AP822" i="1"/>
  <c r="AP823" i="1"/>
  <c r="AP824" i="1"/>
  <c r="AP825" i="1"/>
  <c r="AP826" i="1"/>
  <c r="AP827" i="1"/>
  <c r="AP828" i="1"/>
  <c r="AP829" i="1"/>
  <c r="AP830" i="1"/>
  <c r="AP831" i="1"/>
  <c r="AP832" i="1"/>
  <c r="AP833" i="1"/>
  <c r="AP834" i="1"/>
  <c r="AP835" i="1"/>
  <c r="AP836" i="1"/>
  <c r="AP837" i="1"/>
  <c r="AP838" i="1"/>
  <c r="AP839" i="1"/>
  <c r="AP840" i="1"/>
  <c r="AP841" i="1"/>
  <c r="AP842" i="1"/>
  <c r="AP843" i="1"/>
  <c r="AP844" i="1"/>
  <c r="AP845" i="1"/>
  <c r="AP846" i="1"/>
  <c r="AP847" i="1"/>
  <c r="AP848" i="1"/>
  <c r="AP849" i="1"/>
  <c r="AP850" i="1"/>
  <c r="AP851" i="1"/>
  <c r="AP852" i="1"/>
  <c r="AP853" i="1"/>
  <c r="AP854" i="1"/>
  <c r="AP855" i="1"/>
  <c r="AP856" i="1"/>
  <c r="AP857" i="1"/>
  <c r="AP858" i="1"/>
  <c r="AP859" i="1"/>
  <c r="AP860" i="1"/>
  <c r="AP861" i="1"/>
  <c r="AP862" i="1"/>
  <c r="AP863" i="1"/>
  <c r="AP864" i="1"/>
  <c r="AP865" i="1"/>
  <c r="AP866" i="1"/>
  <c r="AP867" i="1"/>
  <c r="AP868" i="1"/>
  <c r="AP869" i="1"/>
  <c r="AP870" i="1"/>
  <c r="AP871" i="1"/>
  <c r="AP872" i="1"/>
  <c r="AP873" i="1"/>
  <c r="AP874" i="1"/>
  <c r="AP875" i="1"/>
  <c r="AP876" i="1"/>
  <c r="AP877" i="1"/>
  <c r="AP878" i="1"/>
  <c r="AP879" i="1"/>
  <c r="AP880" i="1"/>
  <c r="AP881" i="1"/>
  <c r="AP882" i="1"/>
  <c r="AP883" i="1"/>
  <c r="AP884" i="1"/>
  <c r="AP885" i="1"/>
  <c r="AP886" i="1"/>
  <c r="AP887" i="1"/>
  <c r="AP888" i="1"/>
  <c r="AP889" i="1"/>
  <c r="AP890" i="1"/>
  <c r="AP891" i="1"/>
  <c r="AP892" i="1"/>
  <c r="AP893" i="1"/>
  <c r="AP894" i="1"/>
  <c r="AP895" i="1"/>
  <c r="AP896" i="1"/>
  <c r="AP897" i="1"/>
  <c r="AP898" i="1"/>
  <c r="AP899" i="1"/>
  <c r="AP900" i="1"/>
  <c r="AP901" i="1"/>
  <c r="AP902" i="1"/>
  <c r="AP903" i="1"/>
  <c r="AP904" i="1"/>
  <c r="AP905" i="1"/>
  <c r="AP906" i="1"/>
  <c r="AP907" i="1"/>
  <c r="AP908" i="1"/>
  <c r="AP909" i="1"/>
  <c r="AP910" i="1"/>
  <c r="AP911" i="1"/>
  <c r="AP912" i="1"/>
  <c r="AP913" i="1"/>
  <c r="AP914" i="1"/>
  <c r="AP915" i="1"/>
  <c r="AP916" i="1"/>
  <c r="AP917" i="1"/>
  <c r="AP918" i="1"/>
  <c r="AP919" i="1"/>
  <c r="AP920" i="1"/>
  <c r="AP921" i="1"/>
  <c r="AP922" i="1"/>
  <c r="AP923" i="1"/>
  <c r="AP924" i="1"/>
  <c r="AP925" i="1"/>
  <c r="AP926" i="1"/>
  <c r="AP927" i="1"/>
  <c r="AP928" i="1"/>
  <c r="AP929" i="1"/>
  <c r="AP930" i="1"/>
  <c r="AP931" i="1"/>
  <c r="AP932" i="1"/>
  <c r="AP933" i="1"/>
  <c r="AP934" i="1"/>
  <c r="AP935" i="1"/>
  <c r="AP936" i="1"/>
  <c r="AP937" i="1"/>
  <c r="AP938" i="1"/>
  <c r="AP939" i="1"/>
  <c r="AP940" i="1"/>
  <c r="AP941" i="1"/>
  <c r="AP942" i="1"/>
  <c r="AP943" i="1"/>
  <c r="AP944" i="1"/>
  <c r="AP945" i="1"/>
  <c r="AP946" i="1"/>
  <c r="AP947" i="1"/>
  <c r="AP948" i="1"/>
  <c r="AP949" i="1"/>
  <c r="AP950" i="1"/>
  <c r="AP951" i="1"/>
  <c r="AP952" i="1"/>
  <c r="AP953" i="1"/>
  <c r="AP954" i="1"/>
  <c r="AP955" i="1"/>
  <c r="AP956" i="1"/>
  <c r="AP957" i="1"/>
  <c r="AP958" i="1"/>
  <c r="AP959" i="1"/>
  <c r="AP960" i="1"/>
  <c r="AP961" i="1"/>
  <c r="AP962" i="1"/>
  <c r="AP963" i="1"/>
  <c r="AP964" i="1"/>
  <c r="AP965" i="1"/>
  <c r="AP966" i="1"/>
  <c r="AP967" i="1"/>
  <c r="AP968" i="1"/>
  <c r="AP969" i="1"/>
  <c r="AP970" i="1"/>
  <c r="AP971" i="1"/>
  <c r="AP972" i="1"/>
  <c r="AP973" i="1"/>
  <c r="AP974" i="1"/>
  <c r="AP975" i="1"/>
  <c r="AP976" i="1"/>
  <c r="AP977" i="1"/>
  <c r="AP978" i="1"/>
  <c r="AP979" i="1"/>
  <c r="AP980" i="1"/>
  <c r="AP981" i="1"/>
  <c r="AP982" i="1"/>
  <c r="AP983" i="1"/>
  <c r="AP984" i="1"/>
  <c r="AP985" i="1"/>
  <c r="AP986" i="1"/>
  <c r="AP987" i="1"/>
  <c r="AP988" i="1"/>
  <c r="AP989" i="1"/>
  <c r="AP990" i="1"/>
  <c r="AP991" i="1"/>
  <c r="AP992" i="1"/>
  <c r="AP993" i="1"/>
  <c r="AP994" i="1"/>
  <c r="AP995" i="1"/>
  <c r="AP996" i="1"/>
  <c r="AP997" i="1"/>
  <c r="AP998" i="1"/>
  <c r="AP999" i="1"/>
  <c r="AP1000" i="1"/>
  <c r="AP1001" i="1"/>
  <c r="AP1002" i="1"/>
  <c r="AP1003" i="1"/>
  <c r="AP1004" i="1"/>
  <c r="AP1005" i="1"/>
  <c r="AP1006" i="1"/>
  <c r="AP1007" i="1"/>
  <c r="AP1008" i="1"/>
  <c r="AP1009" i="1"/>
  <c r="AP1010" i="1"/>
  <c r="AP1011" i="1"/>
  <c r="AP1012" i="1"/>
  <c r="AP1013" i="1"/>
  <c r="AP1014" i="1"/>
  <c r="AP1015" i="1"/>
  <c r="AP1016" i="1"/>
  <c r="AP1017" i="1"/>
  <c r="AP1018" i="1"/>
  <c r="AP1019" i="1"/>
  <c r="AP1020" i="1"/>
  <c r="AP1021" i="1"/>
  <c r="AP1022" i="1"/>
  <c r="AP1023" i="1"/>
  <c r="AP1024" i="1"/>
  <c r="AP1025" i="1"/>
  <c r="AP1026" i="1"/>
  <c r="AP1027" i="1"/>
  <c r="AP1028" i="1"/>
  <c r="AP1029" i="1"/>
  <c r="AP1030" i="1"/>
  <c r="AP1031" i="1"/>
  <c r="AP1032" i="1"/>
  <c r="AP1033" i="1"/>
  <c r="AP1034" i="1"/>
  <c r="AP1035" i="1"/>
  <c r="AP1036" i="1"/>
  <c r="AP1037" i="1"/>
  <c r="AP1038" i="1"/>
  <c r="AP1039" i="1"/>
  <c r="AP1040" i="1"/>
  <c r="AP1041" i="1"/>
  <c r="AP1042" i="1"/>
  <c r="AP1043" i="1"/>
  <c r="AP1044" i="1"/>
  <c r="AP1045" i="1"/>
  <c r="AP1046" i="1"/>
  <c r="AP1047" i="1"/>
  <c r="AP1048" i="1"/>
  <c r="AP1049" i="1"/>
  <c r="AP1050" i="1"/>
  <c r="AP1051" i="1"/>
  <c r="AP1052" i="1"/>
  <c r="AP1053" i="1"/>
  <c r="AP1054" i="1"/>
  <c r="AP1055" i="1"/>
  <c r="AP1056" i="1"/>
  <c r="AP1057" i="1"/>
  <c r="AP1058" i="1"/>
  <c r="AP1059" i="1"/>
  <c r="AP1060" i="1"/>
  <c r="AP1061" i="1"/>
  <c r="AP1062" i="1"/>
  <c r="AP1063" i="1"/>
  <c r="AP1064" i="1"/>
  <c r="AP1065" i="1"/>
  <c r="AP1066" i="1"/>
  <c r="AP1067" i="1"/>
  <c r="AP1068" i="1"/>
  <c r="AP1069" i="1"/>
  <c r="AP1070" i="1"/>
  <c r="AP1071" i="1"/>
  <c r="AP1072" i="1"/>
  <c r="AP1073" i="1"/>
  <c r="AP1074" i="1"/>
  <c r="AP1075" i="1"/>
  <c r="AP1076" i="1"/>
  <c r="AP1077" i="1"/>
  <c r="AP1078" i="1"/>
  <c r="AP1079" i="1"/>
  <c r="AP1080" i="1"/>
  <c r="AP1081" i="1"/>
  <c r="AP1082" i="1"/>
  <c r="AP1083" i="1"/>
  <c r="AP1084" i="1"/>
  <c r="AP1085" i="1"/>
  <c r="AP1086" i="1"/>
  <c r="AP1087" i="1"/>
  <c r="AP1088" i="1"/>
  <c r="AP1089" i="1"/>
  <c r="AP1090" i="1"/>
  <c r="AP1091" i="1"/>
  <c r="AP1092" i="1"/>
  <c r="AP1093" i="1"/>
  <c r="AP1094" i="1"/>
  <c r="AP1095" i="1"/>
  <c r="AP1096" i="1"/>
  <c r="AP1097" i="1"/>
  <c r="AP1098" i="1"/>
  <c r="AP1099" i="1"/>
  <c r="AP1100" i="1"/>
  <c r="AP1101" i="1"/>
  <c r="AP1102" i="1"/>
  <c r="AP1103" i="1"/>
  <c r="AP1104" i="1"/>
  <c r="AP1105" i="1"/>
  <c r="AP1106" i="1"/>
  <c r="AP1107" i="1"/>
  <c r="AP1108" i="1"/>
  <c r="AP1109" i="1"/>
  <c r="AP1110" i="1"/>
  <c r="AP1111" i="1"/>
  <c r="AP1112" i="1"/>
  <c r="AP1113" i="1"/>
  <c r="AP1114" i="1"/>
  <c r="AP1115" i="1"/>
  <c r="AP1116" i="1"/>
  <c r="AP1117" i="1"/>
  <c r="AP1118" i="1"/>
  <c r="AP1119" i="1"/>
  <c r="AP1120" i="1"/>
  <c r="AP1121" i="1"/>
  <c r="AP1122" i="1"/>
  <c r="AP1123" i="1"/>
  <c r="AP1124" i="1"/>
  <c r="AP1125" i="1"/>
  <c r="AP1126" i="1"/>
  <c r="AP1127" i="1"/>
  <c r="AP1128" i="1"/>
  <c r="AP1129" i="1"/>
  <c r="AP1130" i="1"/>
  <c r="AP1131" i="1"/>
  <c r="AP1132" i="1"/>
  <c r="AP1133" i="1"/>
  <c r="AP1134" i="1"/>
  <c r="AP1135" i="1"/>
  <c r="AP1136" i="1"/>
  <c r="AP1137" i="1"/>
  <c r="AP1138" i="1"/>
  <c r="AP1139" i="1"/>
  <c r="AP1140" i="1"/>
  <c r="AP1141" i="1"/>
  <c r="AP1142" i="1"/>
  <c r="AP1143" i="1"/>
  <c r="AP1144" i="1"/>
  <c r="AP1145" i="1"/>
  <c r="AP1146" i="1"/>
  <c r="AP1147" i="1"/>
  <c r="AP1148" i="1"/>
  <c r="AP1149" i="1"/>
  <c r="AP1150" i="1"/>
  <c r="AP1151" i="1"/>
  <c r="AP1152" i="1"/>
  <c r="AP1153" i="1"/>
  <c r="AP1154" i="1"/>
  <c r="AP1155" i="1"/>
  <c r="AP1156" i="1"/>
  <c r="AP1157" i="1"/>
  <c r="AP1158" i="1"/>
  <c r="AP1159" i="1"/>
  <c r="AP1160" i="1"/>
  <c r="AP1161" i="1"/>
  <c r="AP1162" i="1"/>
  <c r="AP1163" i="1"/>
  <c r="AP1164" i="1"/>
  <c r="AP1165" i="1"/>
  <c r="AP1166" i="1"/>
  <c r="AP1167" i="1"/>
  <c r="AP1168" i="1"/>
  <c r="AP1169" i="1"/>
  <c r="AP1170" i="1"/>
  <c r="AP1171" i="1"/>
  <c r="AP1172" i="1"/>
  <c r="AP1173" i="1"/>
  <c r="AP1174" i="1"/>
  <c r="AP1175" i="1"/>
  <c r="AP1176" i="1"/>
  <c r="AP1177" i="1"/>
  <c r="AP1178" i="1"/>
  <c r="AP1179" i="1"/>
  <c r="AP1180" i="1"/>
  <c r="AP1181" i="1"/>
  <c r="AP1182" i="1"/>
  <c r="AP1183" i="1"/>
  <c r="AP1184" i="1"/>
  <c r="AP1185" i="1"/>
  <c r="AP1186" i="1"/>
  <c r="AP1187" i="1"/>
  <c r="AP1188" i="1"/>
  <c r="AP1189" i="1"/>
  <c r="AP1190" i="1"/>
  <c r="AP1191" i="1"/>
  <c r="AP1192" i="1"/>
  <c r="AP1193" i="1"/>
  <c r="AP1194" i="1"/>
  <c r="AP1195" i="1"/>
  <c r="AP1196" i="1"/>
  <c r="AP1197" i="1"/>
  <c r="AP1198" i="1"/>
  <c r="AP1199" i="1"/>
  <c r="AP1200" i="1"/>
  <c r="AP1201" i="1"/>
  <c r="AP1202" i="1"/>
  <c r="AP1203" i="1"/>
  <c r="AP1204" i="1"/>
  <c r="AP1205" i="1"/>
  <c r="AP1206" i="1"/>
  <c r="AP1207" i="1"/>
  <c r="AP1208" i="1"/>
  <c r="AP1209" i="1"/>
  <c r="AP1210" i="1"/>
  <c r="AP1211" i="1"/>
  <c r="AP1212" i="1"/>
  <c r="AP1213" i="1"/>
  <c r="AP1214" i="1"/>
  <c r="AP1215" i="1"/>
  <c r="AP1216" i="1"/>
  <c r="AP1217" i="1"/>
  <c r="AP1218" i="1"/>
  <c r="AP1219" i="1"/>
  <c r="AP1220" i="1"/>
  <c r="AP1221" i="1"/>
  <c r="AP1222" i="1"/>
  <c r="AP1223" i="1"/>
  <c r="AP1224" i="1"/>
  <c r="AP1225" i="1"/>
  <c r="AP1226" i="1"/>
  <c r="AP1227" i="1"/>
  <c r="AP1228" i="1"/>
  <c r="AP1229" i="1"/>
  <c r="AP1230" i="1"/>
  <c r="AP1231" i="1"/>
  <c r="AP1232" i="1"/>
  <c r="AP1233" i="1"/>
  <c r="AP1234" i="1"/>
  <c r="AP1235" i="1"/>
  <c r="AP1236" i="1"/>
  <c r="AP1237" i="1"/>
  <c r="AP1238" i="1"/>
  <c r="AP1239" i="1"/>
  <c r="AP1240" i="1"/>
  <c r="AP1241" i="1"/>
  <c r="AP1242" i="1"/>
  <c r="AP1243" i="1"/>
  <c r="AP1244" i="1"/>
  <c r="AP1245" i="1"/>
  <c r="AP1246" i="1"/>
  <c r="AP1247" i="1"/>
  <c r="AP1248" i="1"/>
  <c r="AP1249" i="1"/>
  <c r="AP1250" i="1"/>
  <c r="AP1251" i="1"/>
  <c r="AP1252" i="1"/>
  <c r="AP1253" i="1"/>
  <c r="AP1254" i="1"/>
  <c r="AP1255" i="1"/>
  <c r="AP1256" i="1"/>
  <c r="AP1257" i="1"/>
  <c r="AP1258" i="1"/>
  <c r="AP1259" i="1"/>
  <c r="AP1260" i="1"/>
  <c r="AP1261" i="1"/>
  <c r="AP1262" i="1"/>
  <c r="AP1263" i="1"/>
  <c r="AP1264" i="1"/>
  <c r="AP1265" i="1"/>
  <c r="AP1266" i="1"/>
  <c r="AP1267" i="1"/>
  <c r="AP1268" i="1"/>
  <c r="AP1269" i="1"/>
  <c r="AP1270" i="1"/>
  <c r="AP1271" i="1"/>
  <c r="AP1272" i="1"/>
  <c r="AP1273" i="1"/>
  <c r="AP1274" i="1"/>
  <c r="AP1275" i="1"/>
  <c r="AP1276" i="1"/>
  <c r="AP1277" i="1"/>
  <c r="AP1278" i="1"/>
  <c r="AP1279" i="1"/>
  <c r="AP1280" i="1"/>
  <c r="AP1281" i="1"/>
  <c r="AP1282" i="1"/>
  <c r="AP1283" i="1"/>
  <c r="AP1284" i="1"/>
  <c r="AP1285" i="1"/>
  <c r="AP1286" i="1"/>
  <c r="AP1287" i="1"/>
  <c r="AP1288" i="1"/>
  <c r="AP1289" i="1"/>
  <c r="AP1290" i="1"/>
  <c r="AP1291" i="1"/>
  <c r="AP1292" i="1"/>
  <c r="AP1293" i="1"/>
  <c r="AP1294" i="1"/>
  <c r="AP1295" i="1"/>
  <c r="AP1296" i="1"/>
  <c r="AP1297" i="1"/>
  <c r="AP1298" i="1"/>
  <c r="AP1299" i="1"/>
  <c r="AP1300" i="1"/>
  <c r="AP1301" i="1"/>
  <c r="AP1302" i="1"/>
  <c r="AP1303" i="1"/>
  <c r="AP1304" i="1"/>
  <c r="AP1305" i="1"/>
  <c r="AP1306" i="1"/>
  <c r="AP1307" i="1"/>
  <c r="AP1308" i="1"/>
  <c r="AP1309" i="1"/>
  <c r="AP1310" i="1"/>
  <c r="AP1311" i="1"/>
  <c r="AP1312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58" i="1"/>
  <c r="AO259" i="1"/>
  <c r="AO260" i="1"/>
  <c r="AO261" i="1"/>
  <c r="AO262" i="1"/>
  <c r="AO263" i="1"/>
  <c r="AO264" i="1"/>
  <c r="AO265" i="1"/>
  <c r="AO266" i="1"/>
  <c r="AO267" i="1"/>
  <c r="AO268" i="1"/>
  <c r="AO269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284" i="1"/>
  <c r="AO285" i="1"/>
  <c r="AO286" i="1"/>
  <c r="AO287" i="1"/>
  <c r="AO288" i="1"/>
  <c r="AO289" i="1"/>
  <c r="AO290" i="1"/>
  <c r="AO291" i="1"/>
  <c r="AO292" i="1"/>
  <c r="AO293" i="1"/>
  <c r="AO294" i="1"/>
  <c r="AO295" i="1"/>
  <c r="AO296" i="1"/>
  <c r="AO297" i="1"/>
  <c r="AO298" i="1"/>
  <c r="AO299" i="1"/>
  <c r="AO300" i="1"/>
  <c r="AO301" i="1"/>
  <c r="AO302" i="1"/>
  <c r="AO303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338" i="1"/>
  <c r="AO339" i="1"/>
  <c r="AO340" i="1"/>
  <c r="AO341" i="1"/>
  <c r="AO342" i="1"/>
  <c r="AO343" i="1"/>
  <c r="AO344" i="1"/>
  <c r="AO345" i="1"/>
  <c r="AO346" i="1"/>
  <c r="AO347" i="1"/>
  <c r="AO348" i="1"/>
  <c r="AO349" i="1"/>
  <c r="AO350" i="1"/>
  <c r="AO351" i="1"/>
  <c r="AO352" i="1"/>
  <c r="AO353" i="1"/>
  <c r="AO354" i="1"/>
  <c r="AO355" i="1"/>
  <c r="AO356" i="1"/>
  <c r="AO357" i="1"/>
  <c r="AO358" i="1"/>
  <c r="AO359" i="1"/>
  <c r="AO360" i="1"/>
  <c r="AO361" i="1"/>
  <c r="AO362" i="1"/>
  <c r="AO363" i="1"/>
  <c r="AO364" i="1"/>
  <c r="AO365" i="1"/>
  <c r="AO366" i="1"/>
  <c r="AO367" i="1"/>
  <c r="AO368" i="1"/>
  <c r="AO369" i="1"/>
  <c r="AO370" i="1"/>
  <c r="AO371" i="1"/>
  <c r="AO372" i="1"/>
  <c r="AO373" i="1"/>
  <c r="AO374" i="1"/>
  <c r="AO375" i="1"/>
  <c r="AO376" i="1"/>
  <c r="AO377" i="1"/>
  <c r="AO378" i="1"/>
  <c r="AO379" i="1"/>
  <c r="AO380" i="1"/>
  <c r="AO381" i="1"/>
  <c r="AO382" i="1"/>
  <c r="AO383" i="1"/>
  <c r="AO384" i="1"/>
  <c r="AO385" i="1"/>
  <c r="AO386" i="1"/>
  <c r="AO387" i="1"/>
  <c r="AO388" i="1"/>
  <c r="AO389" i="1"/>
  <c r="AO390" i="1"/>
  <c r="AO391" i="1"/>
  <c r="AO392" i="1"/>
  <c r="AO393" i="1"/>
  <c r="AO394" i="1"/>
  <c r="AO395" i="1"/>
  <c r="AO396" i="1"/>
  <c r="AO397" i="1"/>
  <c r="AO398" i="1"/>
  <c r="AO399" i="1"/>
  <c r="AO400" i="1"/>
  <c r="AO401" i="1"/>
  <c r="AO402" i="1"/>
  <c r="AO403" i="1"/>
  <c r="AO404" i="1"/>
  <c r="AO405" i="1"/>
  <c r="AO406" i="1"/>
  <c r="AO407" i="1"/>
  <c r="AO408" i="1"/>
  <c r="AO409" i="1"/>
  <c r="AO410" i="1"/>
  <c r="AO411" i="1"/>
  <c r="AO412" i="1"/>
  <c r="AO413" i="1"/>
  <c r="AO414" i="1"/>
  <c r="AO415" i="1"/>
  <c r="AO416" i="1"/>
  <c r="AO417" i="1"/>
  <c r="AO418" i="1"/>
  <c r="AO419" i="1"/>
  <c r="AO420" i="1"/>
  <c r="AO421" i="1"/>
  <c r="AO422" i="1"/>
  <c r="AO423" i="1"/>
  <c r="AO424" i="1"/>
  <c r="AO425" i="1"/>
  <c r="AO426" i="1"/>
  <c r="AO427" i="1"/>
  <c r="AO428" i="1"/>
  <c r="AO429" i="1"/>
  <c r="AO430" i="1"/>
  <c r="AO431" i="1"/>
  <c r="AO432" i="1"/>
  <c r="AO433" i="1"/>
  <c r="AO434" i="1"/>
  <c r="AO435" i="1"/>
  <c r="AO436" i="1"/>
  <c r="AO437" i="1"/>
  <c r="AO438" i="1"/>
  <c r="AO439" i="1"/>
  <c r="AO440" i="1"/>
  <c r="AO441" i="1"/>
  <c r="AO442" i="1"/>
  <c r="AO443" i="1"/>
  <c r="AO444" i="1"/>
  <c r="AO445" i="1"/>
  <c r="AO446" i="1"/>
  <c r="AO447" i="1"/>
  <c r="AO448" i="1"/>
  <c r="AO449" i="1"/>
  <c r="AO450" i="1"/>
  <c r="AO451" i="1"/>
  <c r="AO452" i="1"/>
  <c r="AO453" i="1"/>
  <c r="AO454" i="1"/>
  <c r="AO455" i="1"/>
  <c r="AO456" i="1"/>
  <c r="AO457" i="1"/>
  <c r="AO458" i="1"/>
  <c r="AO459" i="1"/>
  <c r="AO460" i="1"/>
  <c r="AO461" i="1"/>
  <c r="AO462" i="1"/>
  <c r="AO463" i="1"/>
  <c r="AO464" i="1"/>
  <c r="AO465" i="1"/>
  <c r="AO466" i="1"/>
  <c r="AO467" i="1"/>
  <c r="AO468" i="1"/>
  <c r="AO469" i="1"/>
  <c r="AO470" i="1"/>
  <c r="AO471" i="1"/>
  <c r="AO472" i="1"/>
  <c r="AO473" i="1"/>
  <c r="AO474" i="1"/>
  <c r="AO475" i="1"/>
  <c r="AO476" i="1"/>
  <c r="AO477" i="1"/>
  <c r="AO478" i="1"/>
  <c r="AO479" i="1"/>
  <c r="AO480" i="1"/>
  <c r="AO481" i="1"/>
  <c r="AO482" i="1"/>
  <c r="AO483" i="1"/>
  <c r="AO484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O501" i="1"/>
  <c r="AO502" i="1"/>
  <c r="AO503" i="1"/>
  <c r="AO504" i="1"/>
  <c r="AO505" i="1"/>
  <c r="AO506" i="1"/>
  <c r="AO507" i="1"/>
  <c r="AO508" i="1"/>
  <c r="AO509" i="1"/>
  <c r="AO510" i="1"/>
  <c r="AO511" i="1"/>
  <c r="AO512" i="1"/>
  <c r="AO513" i="1"/>
  <c r="AO514" i="1"/>
  <c r="AO515" i="1"/>
  <c r="AO516" i="1"/>
  <c r="AO517" i="1"/>
  <c r="AO518" i="1"/>
  <c r="AO519" i="1"/>
  <c r="AO520" i="1"/>
  <c r="AO521" i="1"/>
  <c r="AO522" i="1"/>
  <c r="AO523" i="1"/>
  <c r="AO524" i="1"/>
  <c r="AO525" i="1"/>
  <c r="AO526" i="1"/>
  <c r="AO527" i="1"/>
  <c r="AO528" i="1"/>
  <c r="AO529" i="1"/>
  <c r="AO530" i="1"/>
  <c r="AO531" i="1"/>
  <c r="AO532" i="1"/>
  <c r="AO533" i="1"/>
  <c r="AO534" i="1"/>
  <c r="AO535" i="1"/>
  <c r="AO536" i="1"/>
  <c r="AO537" i="1"/>
  <c r="AO538" i="1"/>
  <c r="AO539" i="1"/>
  <c r="AO540" i="1"/>
  <c r="AO541" i="1"/>
  <c r="AO542" i="1"/>
  <c r="AO543" i="1"/>
  <c r="AO544" i="1"/>
  <c r="AO545" i="1"/>
  <c r="AO546" i="1"/>
  <c r="AO547" i="1"/>
  <c r="AO548" i="1"/>
  <c r="AO549" i="1"/>
  <c r="AO550" i="1"/>
  <c r="AO551" i="1"/>
  <c r="AO552" i="1"/>
  <c r="AO553" i="1"/>
  <c r="AO554" i="1"/>
  <c r="AO555" i="1"/>
  <c r="AO556" i="1"/>
  <c r="AO557" i="1"/>
  <c r="AO558" i="1"/>
  <c r="AO559" i="1"/>
  <c r="AO560" i="1"/>
  <c r="AO561" i="1"/>
  <c r="AO562" i="1"/>
  <c r="AO563" i="1"/>
  <c r="AO564" i="1"/>
  <c r="AO565" i="1"/>
  <c r="AO566" i="1"/>
  <c r="AO567" i="1"/>
  <c r="AO568" i="1"/>
  <c r="AO569" i="1"/>
  <c r="AO570" i="1"/>
  <c r="AO571" i="1"/>
  <c r="AO572" i="1"/>
  <c r="AO573" i="1"/>
  <c r="AO574" i="1"/>
  <c r="AO575" i="1"/>
  <c r="AO576" i="1"/>
  <c r="AO577" i="1"/>
  <c r="AO578" i="1"/>
  <c r="AO579" i="1"/>
  <c r="AO580" i="1"/>
  <c r="AO581" i="1"/>
  <c r="AO582" i="1"/>
  <c r="AO583" i="1"/>
  <c r="AO584" i="1"/>
  <c r="AO585" i="1"/>
  <c r="AO586" i="1"/>
  <c r="AO587" i="1"/>
  <c r="AO588" i="1"/>
  <c r="AO589" i="1"/>
  <c r="AO590" i="1"/>
  <c r="AO591" i="1"/>
  <c r="AO592" i="1"/>
  <c r="AO593" i="1"/>
  <c r="AO594" i="1"/>
  <c r="AO595" i="1"/>
  <c r="AO596" i="1"/>
  <c r="AO597" i="1"/>
  <c r="AO598" i="1"/>
  <c r="AO599" i="1"/>
  <c r="AO600" i="1"/>
  <c r="AO601" i="1"/>
  <c r="AO602" i="1"/>
  <c r="AO603" i="1"/>
  <c r="AO604" i="1"/>
  <c r="AO605" i="1"/>
  <c r="AO606" i="1"/>
  <c r="AO607" i="1"/>
  <c r="AO608" i="1"/>
  <c r="AO609" i="1"/>
  <c r="AO610" i="1"/>
  <c r="AO611" i="1"/>
  <c r="AO612" i="1"/>
  <c r="AO613" i="1"/>
  <c r="AO614" i="1"/>
  <c r="AO615" i="1"/>
  <c r="AO616" i="1"/>
  <c r="AO617" i="1"/>
  <c r="AO618" i="1"/>
  <c r="AO619" i="1"/>
  <c r="AO620" i="1"/>
  <c r="AO621" i="1"/>
  <c r="AO622" i="1"/>
  <c r="AO623" i="1"/>
  <c r="AO624" i="1"/>
  <c r="AO625" i="1"/>
  <c r="AO626" i="1"/>
  <c r="AO627" i="1"/>
  <c r="AO628" i="1"/>
  <c r="AO629" i="1"/>
  <c r="AO630" i="1"/>
  <c r="AO631" i="1"/>
  <c r="AO632" i="1"/>
  <c r="AO633" i="1"/>
  <c r="AO634" i="1"/>
  <c r="AO635" i="1"/>
  <c r="AO636" i="1"/>
  <c r="AO637" i="1"/>
  <c r="AO638" i="1"/>
  <c r="AO639" i="1"/>
  <c r="AO640" i="1"/>
  <c r="AO641" i="1"/>
  <c r="AO642" i="1"/>
  <c r="AO643" i="1"/>
  <c r="AO644" i="1"/>
  <c r="AO645" i="1"/>
  <c r="AO646" i="1"/>
  <c r="AO647" i="1"/>
  <c r="AO648" i="1"/>
  <c r="AO649" i="1"/>
  <c r="AO650" i="1"/>
  <c r="AO651" i="1"/>
  <c r="AO652" i="1"/>
  <c r="AO653" i="1"/>
  <c r="AO654" i="1"/>
  <c r="AO655" i="1"/>
  <c r="AO656" i="1"/>
  <c r="AO657" i="1"/>
  <c r="AO658" i="1"/>
  <c r="AO659" i="1"/>
  <c r="AO660" i="1"/>
  <c r="AO661" i="1"/>
  <c r="AO662" i="1"/>
  <c r="AO663" i="1"/>
  <c r="AO664" i="1"/>
  <c r="AO665" i="1"/>
  <c r="AO666" i="1"/>
  <c r="AO667" i="1"/>
  <c r="AO668" i="1"/>
  <c r="AO669" i="1"/>
  <c r="AO670" i="1"/>
  <c r="AO671" i="1"/>
  <c r="AO672" i="1"/>
  <c r="AO673" i="1"/>
  <c r="AO674" i="1"/>
  <c r="AO675" i="1"/>
  <c r="AO676" i="1"/>
  <c r="AO677" i="1"/>
  <c r="AO678" i="1"/>
  <c r="AO679" i="1"/>
  <c r="AO680" i="1"/>
  <c r="AO681" i="1"/>
  <c r="AO682" i="1"/>
  <c r="AO683" i="1"/>
  <c r="AO684" i="1"/>
  <c r="AO685" i="1"/>
  <c r="AO686" i="1"/>
  <c r="AO687" i="1"/>
  <c r="AO688" i="1"/>
  <c r="AO689" i="1"/>
  <c r="AO690" i="1"/>
  <c r="AO691" i="1"/>
  <c r="AO692" i="1"/>
  <c r="AO693" i="1"/>
  <c r="AO694" i="1"/>
  <c r="AO695" i="1"/>
  <c r="AO696" i="1"/>
  <c r="AO697" i="1"/>
  <c r="AO698" i="1"/>
  <c r="AO699" i="1"/>
  <c r="AO700" i="1"/>
  <c r="AO701" i="1"/>
  <c r="AO702" i="1"/>
  <c r="AO703" i="1"/>
  <c r="AO704" i="1"/>
  <c r="AO705" i="1"/>
  <c r="AO706" i="1"/>
  <c r="AO707" i="1"/>
  <c r="AO708" i="1"/>
  <c r="AO709" i="1"/>
  <c r="AO710" i="1"/>
  <c r="AO711" i="1"/>
  <c r="AO712" i="1"/>
  <c r="AO713" i="1"/>
  <c r="AO714" i="1"/>
  <c r="AO715" i="1"/>
  <c r="AO716" i="1"/>
  <c r="AO717" i="1"/>
  <c r="AO718" i="1"/>
  <c r="AO719" i="1"/>
  <c r="AO720" i="1"/>
  <c r="AO721" i="1"/>
  <c r="AO722" i="1"/>
  <c r="AO723" i="1"/>
  <c r="AO724" i="1"/>
  <c r="AO725" i="1"/>
  <c r="AO726" i="1"/>
  <c r="AO727" i="1"/>
  <c r="AO728" i="1"/>
  <c r="AO729" i="1"/>
  <c r="AO730" i="1"/>
  <c r="AO731" i="1"/>
  <c r="AO732" i="1"/>
  <c r="AO733" i="1"/>
  <c r="AO734" i="1"/>
  <c r="AO735" i="1"/>
  <c r="AO736" i="1"/>
  <c r="AO737" i="1"/>
  <c r="AO738" i="1"/>
  <c r="AO739" i="1"/>
  <c r="AO740" i="1"/>
  <c r="AO741" i="1"/>
  <c r="AO742" i="1"/>
  <c r="AO743" i="1"/>
  <c r="AO744" i="1"/>
  <c r="AO745" i="1"/>
  <c r="AO746" i="1"/>
  <c r="AO747" i="1"/>
  <c r="AO748" i="1"/>
  <c r="AO749" i="1"/>
  <c r="AO750" i="1"/>
  <c r="AO751" i="1"/>
  <c r="AO752" i="1"/>
  <c r="AO753" i="1"/>
  <c r="AO754" i="1"/>
  <c r="AO755" i="1"/>
  <c r="AO756" i="1"/>
  <c r="AO757" i="1"/>
  <c r="AO758" i="1"/>
  <c r="AO759" i="1"/>
  <c r="AO760" i="1"/>
  <c r="AO761" i="1"/>
  <c r="AO762" i="1"/>
  <c r="AO763" i="1"/>
  <c r="AO764" i="1"/>
  <c r="AO765" i="1"/>
  <c r="AO766" i="1"/>
  <c r="AO767" i="1"/>
  <c r="AO768" i="1"/>
  <c r="AO769" i="1"/>
  <c r="AO770" i="1"/>
  <c r="AO771" i="1"/>
  <c r="AO772" i="1"/>
  <c r="AO773" i="1"/>
  <c r="AO774" i="1"/>
  <c r="AO775" i="1"/>
  <c r="AO776" i="1"/>
  <c r="AO777" i="1"/>
  <c r="AO778" i="1"/>
  <c r="AO779" i="1"/>
  <c r="AO780" i="1"/>
  <c r="AO781" i="1"/>
  <c r="AO782" i="1"/>
  <c r="AO783" i="1"/>
  <c r="AO784" i="1"/>
  <c r="AO785" i="1"/>
  <c r="AO786" i="1"/>
  <c r="AO787" i="1"/>
  <c r="AO788" i="1"/>
  <c r="AO789" i="1"/>
  <c r="AO790" i="1"/>
  <c r="AO791" i="1"/>
  <c r="AO792" i="1"/>
  <c r="AO793" i="1"/>
  <c r="AO794" i="1"/>
  <c r="AO795" i="1"/>
  <c r="AO796" i="1"/>
  <c r="AO797" i="1"/>
  <c r="AO798" i="1"/>
  <c r="AO799" i="1"/>
  <c r="AO800" i="1"/>
  <c r="AO801" i="1"/>
  <c r="AO802" i="1"/>
  <c r="AO803" i="1"/>
  <c r="AO804" i="1"/>
  <c r="AO805" i="1"/>
  <c r="AO806" i="1"/>
  <c r="AO807" i="1"/>
  <c r="AO808" i="1"/>
  <c r="AO809" i="1"/>
  <c r="AO810" i="1"/>
  <c r="AO811" i="1"/>
  <c r="AO812" i="1"/>
  <c r="AO813" i="1"/>
  <c r="AO814" i="1"/>
  <c r="AO815" i="1"/>
  <c r="AO816" i="1"/>
  <c r="AO817" i="1"/>
  <c r="AO818" i="1"/>
  <c r="AO819" i="1"/>
  <c r="AO820" i="1"/>
  <c r="AO821" i="1"/>
  <c r="AO822" i="1"/>
  <c r="AO823" i="1"/>
  <c r="AO824" i="1"/>
  <c r="AO825" i="1"/>
  <c r="AO826" i="1"/>
  <c r="AO827" i="1"/>
  <c r="AO828" i="1"/>
  <c r="AO829" i="1"/>
  <c r="AO830" i="1"/>
  <c r="AO831" i="1"/>
  <c r="AO832" i="1"/>
  <c r="AO833" i="1"/>
  <c r="AO834" i="1"/>
  <c r="AO835" i="1"/>
  <c r="AO836" i="1"/>
  <c r="AO837" i="1"/>
  <c r="AO838" i="1"/>
  <c r="AO839" i="1"/>
  <c r="AO840" i="1"/>
  <c r="AO841" i="1"/>
  <c r="AO842" i="1"/>
  <c r="AO843" i="1"/>
  <c r="AO844" i="1"/>
  <c r="AO845" i="1"/>
  <c r="AO846" i="1"/>
  <c r="AO847" i="1"/>
  <c r="AO848" i="1"/>
  <c r="AO849" i="1"/>
  <c r="AO850" i="1"/>
  <c r="AO851" i="1"/>
  <c r="AO852" i="1"/>
  <c r="AO853" i="1"/>
  <c r="AO854" i="1"/>
  <c r="AO855" i="1"/>
  <c r="AO856" i="1"/>
  <c r="AO857" i="1"/>
  <c r="AO858" i="1"/>
  <c r="AO859" i="1"/>
  <c r="AO860" i="1"/>
  <c r="AO861" i="1"/>
  <c r="AO862" i="1"/>
  <c r="AO863" i="1"/>
  <c r="AO864" i="1"/>
  <c r="AO865" i="1"/>
  <c r="AO866" i="1"/>
  <c r="AO867" i="1"/>
  <c r="AO868" i="1"/>
  <c r="AO869" i="1"/>
  <c r="AO870" i="1"/>
  <c r="AO871" i="1"/>
  <c r="AO872" i="1"/>
  <c r="AO873" i="1"/>
  <c r="AO874" i="1"/>
  <c r="AO875" i="1"/>
  <c r="AO876" i="1"/>
  <c r="AO877" i="1"/>
  <c r="AO878" i="1"/>
  <c r="AO879" i="1"/>
  <c r="AO880" i="1"/>
  <c r="AO881" i="1"/>
  <c r="AO882" i="1"/>
  <c r="AO883" i="1"/>
  <c r="AO884" i="1"/>
  <c r="AO885" i="1"/>
  <c r="AO886" i="1"/>
  <c r="AO887" i="1"/>
  <c r="AO888" i="1"/>
  <c r="AO889" i="1"/>
  <c r="AO890" i="1"/>
  <c r="AO891" i="1"/>
  <c r="AO892" i="1"/>
  <c r="AO893" i="1"/>
  <c r="AO894" i="1"/>
  <c r="AO895" i="1"/>
  <c r="AO896" i="1"/>
  <c r="AO897" i="1"/>
  <c r="AO898" i="1"/>
  <c r="AO899" i="1"/>
  <c r="AO900" i="1"/>
  <c r="AO901" i="1"/>
  <c r="AO902" i="1"/>
  <c r="AO903" i="1"/>
  <c r="AO904" i="1"/>
  <c r="AO905" i="1"/>
  <c r="AO906" i="1"/>
  <c r="AO907" i="1"/>
  <c r="AO908" i="1"/>
  <c r="AO909" i="1"/>
  <c r="AO910" i="1"/>
  <c r="AO911" i="1"/>
  <c r="AO912" i="1"/>
  <c r="AO913" i="1"/>
  <c r="AO914" i="1"/>
  <c r="AO915" i="1"/>
  <c r="AO916" i="1"/>
  <c r="AO917" i="1"/>
  <c r="AO918" i="1"/>
  <c r="AO919" i="1"/>
  <c r="AO920" i="1"/>
  <c r="AO921" i="1"/>
  <c r="AO922" i="1"/>
  <c r="AO923" i="1"/>
  <c r="AO924" i="1"/>
  <c r="AO925" i="1"/>
  <c r="AO926" i="1"/>
  <c r="AO927" i="1"/>
  <c r="AO928" i="1"/>
  <c r="AO929" i="1"/>
  <c r="AO930" i="1"/>
  <c r="AO931" i="1"/>
  <c r="AO932" i="1"/>
  <c r="AO933" i="1"/>
  <c r="AO934" i="1"/>
  <c r="AO935" i="1"/>
  <c r="AO936" i="1"/>
  <c r="AO937" i="1"/>
  <c r="AO938" i="1"/>
  <c r="AO939" i="1"/>
  <c r="AO940" i="1"/>
  <c r="AO941" i="1"/>
  <c r="AO942" i="1"/>
  <c r="AO943" i="1"/>
  <c r="AO944" i="1"/>
  <c r="AO945" i="1"/>
  <c r="AO946" i="1"/>
  <c r="AO947" i="1"/>
  <c r="AO948" i="1"/>
  <c r="AO949" i="1"/>
  <c r="AO950" i="1"/>
  <c r="AO951" i="1"/>
  <c r="AO952" i="1"/>
  <c r="AO953" i="1"/>
  <c r="AO954" i="1"/>
  <c r="AO955" i="1"/>
  <c r="AO956" i="1"/>
  <c r="AO957" i="1"/>
  <c r="AO958" i="1"/>
  <c r="AO959" i="1"/>
  <c r="AO960" i="1"/>
  <c r="AO961" i="1"/>
  <c r="AO962" i="1"/>
  <c r="AO963" i="1"/>
  <c r="AO964" i="1"/>
  <c r="AO965" i="1"/>
  <c r="AO966" i="1"/>
  <c r="AO967" i="1"/>
  <c r="AO968" i="1"/>
  <c r="AO969" i="1"/>
  <c r="AO970" i="1"/>
  <c r="AO971" i="1"/>
  <c r="AO972" i="1"/>
  <c r="AO973" i="1"/>
  <c r="AO974" i="1"/>
  <c r="AO975" i="1"/>
  <c r="AO976" i="1"/>
  <c r="AO977" i="1"/>
  <c r="AO978" i="1"/>
  <c r="AO979" i="1"/>
  <c r="AO980" i="1"/>
  <c r="AO981" i="1"/>
  <c r="AO982" i="1"/>
  <c r="AO983" i="1"/>
  <c r="AO984" i="1"/>
  <c r="AO985" i="1"/>
  <c r="AO986" i="1"/>
  <c r="AO987" i="1"/>
  <c r="AO988" i="1"/>
  <c r="AO989" i="1"/>
  <c r="AO990" i="1"/>
  <c r="AO991" i="1"/>
  <c r="AO992" i="1"/>
  <c r="AO993" i="1"/>
  <c r="AO994" i="1"/>
  <c r="AO995" i="1"/>
  <c r="AO996" i="1"/>
  <c r="AO997" i="1"/>
  <c r="AO998" i="1"/>
  <c r="AO999" i="1"/>
  <c r="AO1000" i="1"/>
  <c r="AO1001" i="1"/>
  <c r="AO1002" i="1"/>
  <c r="AO1003" i="1"/>
  <c r="AO1004" i="1"/>
  <c r="AO1005" i="1"/>
  <c r="AO1006" i="1"/>
  <c r="AO1007" i="1"/>
  <c r="AO1008" i="1"/>
  <c r="AO1009" i="1"/>
  <c r="AO1010" i="1"/>
  <c r="AO1011" i="1"/>
  <c r="AO1012" i="1"/>
  <c r="AO1013" i="1"/>
  <c r="AO1014" i="1"/>
  <c r="AO1015" i="1"/>
  <c r="AO1016" i="1"/>
  <c r="AO1017" i="1"/>
  <c r="AO1018" i="1"/>
  <c r="AO1019" i="1"/>
  <c r="AO1020" i="1"/>
  <c r="AO1021" i="1"/>
  <c r="AO1022" i="1"/>
  <c r="AO1023" i="1"/>
  <c r="AO1024" i="1"/>
  <c r="AO1025" i="1"/>
  <c r="AO1026" i="1"/>
  <c r="AO1027" i="1"/>
  <c r="AO1028" i="1"/>
  <c r="AO1029" i="1"/>
  <c r="AO1030" i="1"/>
  <c r="AO1031" i="1"/>
  <c r="AO1032" i="1"/>
  <c r="AO1033" i="1"/>
  <c r="AO1034" i="1"/>
  <c r="AO1035" i="1"/>
  <c r="AO1036" i="1"/>
  <c r="AO1037" i="1"/>
  <c r="AO1038" i="1"/>
  <c r="AO1039" i="1"/>
  <c r="AO1040" i="1"/>
  <c r="AO1041" i="1"/>
  <c r="AO1042" i="1"/>
  <c r="AO1043" i="1"/>
  <c r="AO1044" i="1"/>
  <c r="AO1045" i="1"/>
  <c r="AO1046" i="1"/>
  <c r="AO1047" i="1"/>
  <c r="AO1048" i="1"/>
  <c r="AO1049" i="1"/>
  <c r="AO1050" i="1"/>
  <c r="AO1051" i="1"/>
  <c r="AO1052" i="1"/>
  <c r="AO1053" i="1"/>
  <c r="AO1054" i="1"/>
  <c r="AO1055" i="1"/>
  <c r="AO1056" i="1"/>
  <c r="AO1057" i="1"/>
  <c r="AO1058" i="1"/>
  <c r="AO1059" i="1"/>
  <c r="AO1060" i="1"/>
  <c r="AO1061" i="1"/>
  <c r="AO1062" i="1"/>
  <c r="AO1063" i="1"/>
  <c r="AO1064" i="1"/>
  <c r="AO1065" i="1"/>
  <c r="AO1066" i="1"/>
  <c r="AO1067" i="1"/>
  <c r="AO1068" i="1"/>
  <c r="AO1069" i="1"/>
  <c r="AO1070" i="1"/>
  <c r="AO1071" i="1"/>
  <c r="AO1072" i="1"/>
  <c r="AO1073" i="1"/>
  <c r="AO1074" i="1"/>
  <c r="AO1075" i="1"/>
  <c r="AO1076" i="1"/>
  <c r="AO1077" i="1"/>
  <c r="AO1078" i="1"/>
  <c r="AO1079" i="1"/>
  <c r="AO1080" i="1"/>
  <c r="AO1081" i="1"/>
  <c r="AO1082" i="1"/>
  <c r="AO1083" i="1"/>
  <c r="AO1084" i="1"/>
  <c r="AO1085" i="1"/>
  <c r="AO1086" i="1"/>
  <c r="AO1087" i="1"/>
  <c r="AO1088" i="1"/>
  <c r="AO1089" i="1"/>
  <c r="AO1090" i="1"/>
  <c r="AO1091" i="1"/>
  <c r="AO1092" i="1"/>
  <c r="AO1093" i="1"/>
  <c r="AO1094" i="1"/>
  <c r="AO1095" i="1"/>
  <c r="AO1096" i="1"/>
  <c r="AO1097" i="1"/>
  <c r="AO1098" i="1"/>
  <c r="AO1099" i="1"/>
  <c r="AO1100" i="1"/>
  <c r="AO1101" i="1"/>
  <c r="AO1102" i="1"/>
  <c r="AO1103" i="1"/>
  <c r="AO1104" i="1"/>
  <c r="AO1105" i="1"/>
  <c r="AO1106" i="1"/>
  <c r="AO1107" i="1"/>
  <c r="AO1108" i="1"/>
  <c r="AO1109" i="1"/>
  <c r="AO1110" i="1"/>
  <c r="AO1111" i="1"/>
  <c r="AO1112" i="1"/>
  <c r="AO1113" i="1"/>
  <c r="AO1114" i="1"/>
  <c r="AO1115" i="1"/>
  <c r="AO1116" i="1"/>
  <c r="AO1117" i="1"/>
  <c r="AO1118" i="1"/>
  <c r="AO1119" i="1"/>
  <c r="AO1120" i="1"/>
  <c r="AO1121" i="1"/>
  <c r="AO1122" i="1"/>
  <c r="AO1123" i="1"/>
  <c r="AO1124" i="1"/>
  <c r="AO1125" i="1"/>
  <c r="AO1126" i="1"/>
  <c r="AO1127" i="1"/>
  <c r="AO1128" i="1"/>
  <c r="AO1129" i="1"/>
  <c r="AO1130" i="1"/>
  <c r="AO1131" i="1"/>
  <c r="AO1132" i="1"/>
  <c r="AO1133" i="1"/>
  <c r="AO1134" i="1"/>
  <c r="AO1135" i="1"/>
  <c r="AO1136" i="1"/>
  <c r="AO1137" i="1"/>
  <c r="AO1138" i="1"/>
  <c r="AO1139" i="1"/>
  <c r="AO1140" i="1"/>
  <c r="AO1141" i="1"/>
  <c r="AO1142" i="1"/>
  <c r="AO1143" i="1"/>
  <c r="AO1144" i="1"/>
  <c r="AO1145" i="1"/>
  <c r="AO1146" i="1"/>
  <c r="AO1147" i="1"/>
  <c r="AO1148" i="1"/>
  <c r="AO1149" i="1"/>
  <c r="AO1150" i="1"/>
  <c r="AO1151" i="1"/>
  <c r="AO1152" i="1"/>
  <c r="AO1153" i="1"/>
  <c r="AO1154" i="1"/>
  <c r="AO1155" i="1"/>
  <c r="AO1156" i="1"/>
  <c r="AO1157" i="1"/>
  <c r="AO1158" i="1"/>
  <c r="AO1159" i="1"/>
  <c r="AO1160" i="1"/>
  <c r="AO1161" i="1"/>
  <c r="AO1162" i="1"/>
  <c r="AO1163" i="1"/>
  <c r="AO1164" i="1"/>
  <c r="AO1165" i="1"/>
  <c r="AO1166" i="1"/>
  <c r="AO1167" i="1"/>
  <c r="AO1168" i="1"/>
  <c r="AO1169" i="1"/>
  <c r="AO1170" i="1"/>
  <c r="AO1171" i="1"/>
  <c r="AO1172" i="1"/>
  <c r="AO1173" i="1"/>
  <c r="AO1174" i="1"/>
  <c r="AO1175" i="1"/>
  <c r="AO1176" i="1"/>
  <c r="AO1177" i="1"/>
  <c r="AO1178" i="1"/>
  <c r="AO1179" i="1"/>
  <c r="AO1180" i="1"/>
  <c r="AO1181" i="1"/>
  <c r="AO1182" i="1"/>
  <c r="AO1183" i="1"/>
  <c r="AO1184" i="1"/>
  <c r="AO1185" i="1"/>
  <c r="AO1186" i="1"/>
  <c r="AO1187" i="1"/>
  <c r="AO1188" i="1"/>
  <c r="AO1189" i="1"/>
  <c r="AO1190" i="1"/>
  <c r="AO1191" i="1"/>
  <c r="AO1192" i="1"/>
  <c r="AO1193" i="1"/>
  <c r="AO1194" i="1"/>
  <c r="AO1195" i="1"/>
  <c r="AO1196" i="1"/>
  <c r="AO1197" i="1"/>
  <c r="AO1198" i="1"/>
  <c r="AO1199" i="1"/>
  <c r="AO1200" i="1"/>
  <c r="AO1201" i="1"/>
  <c r="AO1202" i="1"/>
  <c r="AO1203" i="1"/>
  <c r="AO1204" i="1"/>
  <c r="AO1205" i="1"/>
  <c r="AO1206" i="1"/>
  <c r="AO1207" i="1"/>
  <c r="AO1208" i="1"/>
  <c r="AO1209" i="1"/>
  <c r="AO1210" i="1"/>
  <c r="AO1211" i="1"/>
  <c r="AO1212" i="1"/>
  <c r="AO1213" i="1"/>
  <c r="AO1214" i="1"/>
  <c r="AO1215" i="1"/>
  <c r="AO1216" i="1"/>
  <c r="AO1217" i="1"/>
  <c r="AO1218" i="1"/>
  <c r="AO1219" i="1"/>
  <c r="AO1220" i="1"/>
  <c r="AO1221" i="1"/>
  <c r="AO1222" i="1"/>
  <c r="AO1223" i="1"/>
  <c r="AO1224" i="1"/>
  <c r="AO1225" i="1"/>
  <c r="AO1226" i="1"/>
  <c r="AO1227" i="1"/>
  <c r="AO1228" i="1"/>
  <c r="AO1229" i="1"/>
  <c r="AO1230" i="1"/>
  <c r="AO1231" i="1"/>
  <c r="AO1232" i="1"/>
  <c r="AO1233" i="1"/>
  <c r="AO1234" i="1"/>
  <c r="AO1235" i="1"/>
  <c r="AO1236" i="1"/>
  <c r="AO1237" i="1"/>
  <c r="AO1238" i="1"/>
  <c r="AO1239" i="1"/>
  <c r="AO1240" i="1"/>
  <c r="AO1241" i="1"/>
  <c r="AO1242" i="1"/>
  <c r="AO1243" i="1"/>
  <c r="AO1244" i="1"/>
  <c r="AO1245" i="1"/>
  <c r="AO1246" i="1"/>
  <c r="AO1247" i="1"/>
  <c r="AO1248" i="1"/>
  <c r="AO1249" i="1"/>
  <c r="AO1250" i="1"/>
  <c r="AO1251" i="1"/>
  <c r="AO1252" i="1"/>
  <c r="AO1253" i="1"/>
  <c r="AO1254" i="1"/>
  <c r="AO1255" i="1"/>
  <c r="AO1256" i="1"/>
  <c r="AO1257" i="1"/>
  <c r="AO1258" i="1"/>
  <c r="AO1259" i="1"/>
  <c r="AO1260" i="1"/>
  <c r="AO1261" i="1"/>
  <c r="AO1262" i="1"/>
  <c r="AO1263" i="1"/>
  <c r="AO1264" i="1"/>
  <c r="AO1265" i="1"/>
  <c r="AO1266" i="1"/>
  <c r="AO1267" i="1"/>
  <c r="AO1268" i="1"/>
  <c r="AO1269" i="1"/>
  <c r="AO1270" i="1"/>
  <c r="AO1271" i="1"/>
  <c r="AO1272" i="1"/>
  <c r="AO1273" i="1"/>
  <c r="AO1274" i="1"/>
  <c r="AO1275" i="1"/>
  <c r="AO1276" i="1"/>
  <c r="AO1277" i="1"/>
  <c r="AO1278" i="1"/>
  <c r="AO1279" i="1"/>
  <c r="AO1280" i="1"/>
  <c r="AO1281" i="1"/>
  <c r="AO1282" i="1"/>
  <c r="AO1283" i="1"/>
  <c r="AO1284" i="1"/>
  <c r="AO1285" i="1"/>
  <c r="AO1286" i="1"/>
  <c r="AO1287" i="1"/>
  <c r="AO1288" i="1"/>
  <c r="AO1289" i="1"/>
  <c r="AO1290" i="1"/>
  <c r="AO1291" i="1"/>
  <c r="AO1292" i="1"/>
  <c r="AO1293" i="1"/>
  <c r="AO1294" i="1"/>
  <c r="AO1295" i="1"/>
  <c r="AO1296" i="1"/>
  <c r="AO1297" i="1"/>
  <c r="AO1298" i="1"/>
  <c r="AO1299" i="1"/>
  <c r="AO1300" i="1"/>
  <c r="AO1301" i="1"/>
  <c r="AO1302" i="1"/>
  <c r="AO1303" i="1"/>
  <c r="AO1304" i="1"/>
  <c r="AO1305" i="1"/>
  <c r="AO1306" i="1"/>
  <c r="AO1307" i="1"/>
  <c r="AO1308" i="1"/>
  <c r="AO1309" i="1"/>
  <c r="AO1310" i="1"/>
  <c r="AO1311" i="1"/>
  <c r="AO1312" i="1"/>
  <c r="AN20" i="1"/>
  <c r="BA20" i="1" s="1"/>
  <c r="AN21" i="1"/>
  <c r="BA21" i="1" s="1"/>
  <c r="AN22" i="1"/>
  <c r="BA22" i="1" s="1"/>
  <c r="AN23" i="1"/>
  <c r="BA23" i="1" s="1"/>
  <c r="AN24" i="1"/>
  <c r="BA24" i="1" s="1"/>
  <c r="AN25" i="1"/>
  <c r="BA25" i="1" s="1"/>
  <c r="AN26" i="1"/>
  <c r="BA26" i="1" s="1"/>
  <c r="AN27" i="1"/>
  <c r="BA27" i="1" s="1"/>
  <c r="AN28" i="1"/>
  <c r="BA28" i="1" s="1"/>
  <c r="AN29" i="1"/>
  <c r="BA29" i="1" s="1"/>
  <c r="AN30" i="1"/>
  <c r="BA30" i="1" s="1"/>
  <c r="AN31" i="1"/>
  <c r="BA31" i="1" s="1"/>
  <c r="AN32" i="1"/>
  <c r="BA32" i="1" s="1"/>
  <c r="AN33" i="1"/>
  <c r="BA33" i="1" s="1"/>
  <c r="AN34" i="1"/>
  <c r="BA34" i="1" s="1"/>
  <c r="AN35" i="1"/>
  <c r="BA35" i="1" s="1"/>
  <c r="AN36" i="1"/>
  <c r="BA36" i="1" s="1"/>
  <c r="AN37" i="1"/>
  <c r="BA37" i="1" s="1"/>
  <c r="AN38" i="1"/>
  <c r="BA38" i="1" s="1"/>
  <c r="AN39" i="1"/>
  <c r="BA39" i="1" s="1"/>
  <c r="AN40" i="1"/>
  <c r="BA40" i="1" s="1"/>
  <c r="AN41" i="1"/>
  <c r="BA41" i="1" s="1"/>
  <c r="AN42" i="1"/>
  <c r="BA42" i="1" s="1"/>
  <c r="AN43" i="1"/>
  <c r="BA43" i="1" s="1"/>
  <c r="AN44" i="1"/>
  <c r="BA44" i="1" s="1"/>
  <c r="AN45" i="1"/>
  <c r="BA45" i="1" s="1"/>
  <c r="AN46" i="1"/>
  <c r="BA46" i="1" s="1"/>
  <c r="AN47" i="1"/>
  <c r="BA47" i="1" s="1"/>
  <c r="AN48" i="1"/>
  <c r="BA48" i="1" s="1"/>
  <c r="AN49" i="1"/>
  <c r="BA49" i="1" s="1"/>
  <c r="AN50" i="1"/>
  <c r="BA50" i="1" s="1"/>
  <c r="AN51" i="1"/>
  <c r="BA51" i="1" s="1"/>
  <c r="AN52" i="1"/>
  <c r="BA52" i="1" s="1"/>
  <c r="AN53" i="1"/>
  <c r="BA53" i="1" s="1"/>
  <c r="AN54" i="1"/>
  <c r="BA54" i="1" s="1"/>
  <c r="AN55" i="1"/>
  <c r="BA55" i="1" s="1"/>
  <c r="AN56" i="1"/>
  <c r="BA56" i="1" s="1"/>
  <c r="AN57" i="1"/>
  <c r="BA57" i="1" s="1"/>
  <c r="AN58" i="1"/>
  <c r="BA58" i="1" s="1"/>
  <c r="AN59" i="1"/>
  <c r="BA59" i="1" s="1"/>
  <c r="AN60" i="1"/>
  <c r="BA60" i="1" s="1"/>
  <c r="AN61" i="1"/>
  <c r="BA61" i="1" s="1"/>
  <c r="AN62" i="1"/>
  <c r="BA62" i="1" s="1"/>
  <c r="AN63" i="1"/>
  <c r="BA63" i="1" s="1"/>
  <c r="AN64" i="1"/>
  <c r="BA64" i="1" s="1"/>
  <c r="AN65" i="1"/>
  <c r="BA65" i="1" s="1"/>
  <c r="AN66" i="1"/>
  <c r="BA66" i="1" s="1"/>
  <c r="AN67" i="1"/>
  <c r="BA67" i="1" s="1"/>
  <c r="AN68" i="1"/>
  <c r="BA68" i="1" s="1"/>
  <c r="AN69" i="1"/>
  <c r="BA69" i="1" s="1"/>
  <c r="AN70" i="1"/>
  <c r="BA70" i="1" s="1"/>
  <c r="AN71" i="1"/>
  <c r="BA71" i="1" s="1"/>
  <c r="AN72" i="1"/>
  <c r="BA72" i="1" s="1"/>
  <c r="AN73" i="1"/>
  <c r="BA73" i="1" s="1"/>
  <c r="AN74" i="1"/>
  <c r="BA74" i="1" s="1"/>
  <c r="AN75" i="1"/>
  <c r="BA75" i="1" s="1"/>
  <c r="AN76" i="1"/>
  <c r="BA76" i="1" s="1"/>
  <c r="AN77" i="1"/>
  <c r="BA77" i="1" s="1"/>
  <c r="AN78" i="1"/>
  <c r="BA78" i="1" s="1"/>
  <c r="AN79" i="1"/>
  <c r="BA79" i="1" s="1"/>
  <c r="AN80" i="1"/>
  <c r="BA80" i="1" s="1"/>
  <c r="AN81" i="1"/>
  <c r="BA81" i="1" s="1"/>
  <c r="AN82" i="1"/>
  <c r="BA82" i="1" s="1"/>
  <c r="AN83" i="1"/>
  <c r="BA83" i="1" s="1"/>
  <c r="AN84" i="1"/>
  <c r="BA84" i="1" s="1"/>
  <c r="AN85" i="1"/>
  <c r="BA85" i="1" s="1"/>
  <c r="AN86" i="1"/>
  <c r="BA86" i="1" s="1"/>
  <c r="AN87" i="1"/>
  <c r="BA87" i="1" s="1"/>
  <c r="AN88" i="1"/>
  <c r="BA88" i="1" s="1"/>
  <c r="AN89" i="1"/>
  <c r="BA89" i="1" s="1"/>
  <c r="AN90" i="1"/>
  <c r="BA90" i="1" s="1"/>
  <c r="AN91" i="1"/>
  <c r="BA91" i="1" s="1"/>
  <c r="AN92" i="1"/>
  <c r="BA92" i="1" s="1"/>
  <c r="AN93" i="1"/>
  <c r="BA93" i="1" s="1"/>
  <c r="AN94" i="1"/>
  <c r="BA94" i="1" s="1"/>
  <c r="AN95" i="1"/>
  <c r="BA95" i="1" s="1"/>
  <c r="AN96" i="1"/>
  <c r="BA96" i="1" s="1"/>
  <c r="AN97" i="1"/>
  <c r="BA97" i="1" s="1"/>
  <c r="AN98" i="1"/>
  <c r="BA98" i="1" s="1"/>
  <c r="AN99" i="1"/>
  <c r="BA99" i="1" s="1"/>
  <c r="AN100" i="1"/>
  <c r="BA100" i="1" s="1"/>
  <c r="AN101" i="1"/>
  <c r="BA101" i="1" s="1"/>
  <c r="AN102" i="1"/>
  <c r="BA102" i="1" s="1"/>
  <c r="AN103" i="1"/>
  <c r="BA103" i="1" s="1"/>
  <c r="AN104" i="1"/>
  <c r="BA104" i="1" s="1"/>
  <c r="AN105" i="1"/>
  <c r="BA105" i="1" s="1"/>
  <c r="AN106" i="1"/>
  <c r="BA106" i="1" s="1"/>
  <c r="AN107" i="1"/>
  <c r="BA107" i="1" s="1"/>
  <c r="AN108" i="1"/>
  <c r="BA108" i="1" s="1"/>
  <c r="AN109" i="1"/>
  <c r="BA109" i="1" s="1"/>
  <c r="AN110" i="1"/>
  <c r="BA110" i="1" s="1"/>
  <c r="AN111" i="1"/>
  <c r="BA111" i="1" s="1"/>
  <c r="AN112" i="1"/>
  <c r="BA112" i="1" s="1"/>
  <c r="AN113" i="1"/>
  <c r="BA113" i="1" s="1"/>
  <c r="AN114" i="1"/>
  <c r="BA114" i="1" s="1"/>
  <c r="AN115" i="1"/>
  <c r="BA115" i="1" s="1"/>
  <c r="AN116" i="1"/>
  <c r="BA116" i="1" s="1"/>
  <c r="AN117" i="1"/>
  <c r="BA117" i="1" s="1"/>
  <c r="AN118" i="1"/>
  <c r="BA118" i="1" s="1"/>
  <c r="AN119" i="1"/>
  <c r="BA119" i="1" s="1"/>
  <c r="AN120" i="1"/>
  <c r="BA120" i="1" s="1"/>
  <c r="AN121" i="1"/>
  <c r="BA121" i="1" s="1"/>
  <c r="AN122" i="1"/>
  <c r="BA122" i="1" s="1"/>
  <c r="AN123" i="1"/>
  <c r="BA123" i="1" s="1"/>
  <c r="AN124" i="1"/>
  <c r="BA124" i="1" s="1"/>
  <c r="AN125" i="1"/>
  <c r="BA125" i="1" s="1"/>
  <c r="AN126" i="1"/>
  <c r="BA126" i="1" s="1"/>
  <c r="AN127" i="1"/>
  <c r="BA127" i="1" s="1"/>
  <c r="AN128" i="1"/>
  <c r="BA128" i="1" s="1"/>
  <c r="AN129" i="1"/>
  <c r="BA129" i="1" s="1"/>
  <c r="AN130" i="1"/>
  <c r="BA130" i="1" s="1"/>
  <c r="AN131" i="1"/>
  <c r="BA131" i="1" s="1"/>
  <c r="AN132" i="1"/>
  <c r="BA132" i="1" s="1"/>
  <c r="AN133" i="1"/>
  <c r="BA133" i="1" s="1"/>
  <c r="AN134" i="1"/>
  <c r="BA134" i="1" s="1"/>
  <c r="AN135" i="1"/>
  <c r="BA135" i="1" s="1"/>
  <c r="AN136" i="1"/>
  <c r="BA136" i="1" s="1"/>
  <c r="AN137" i="1"/>
  <c r="BA137" i="1" s="1"/>
  <c r="AN138" i="1"/>
  <c r="BA138" i="1" s="1"/>
  <c r="AN139" i="1"/>
  <c r="BA139" i="1" s="1"/>
  <c r="AN140" i="1"/>
  <c r="BA140" i="1" s="1"/>
  <c r="AN141" i="1"/>
  <c r="BA141" i="1" s="1"/>
  <c r="AN142" i="1"/>
  <c r="BA142" i="1" s="1"/>
  <c r="AN143" i="1"/>
  <c r="BA143" i="1" s="1"/>
  <c r="AN144" i="1"/>
  <c r="BA144" i="1" s="1"/>
  <c r="AN145" i="1"/>
  <c r="BA145" i="1" s="1"/>
  <c r="AN146" i="1"/>
  <c r="BA146" i="1" s="1"/>
  <c r="AN147" i="1"/>
  <c r="BA147" i="1" s="1"/>
  <c r="AN148" i="1"/>
  <c r="BA148" i="1" s="1"/>
  <c r="AN149" i="1"/>
  <c r="BA149" i="1" s="1"/>
  <c r="AN150" i="1"/>
  <c r="BA150" i="1" s="1"/>
  <c r="AN151" i="1"/>
  <c r="BA151" i="1" s="1"/>
  <c r="AN152" i="1"/>
  <c r="BA152" i="1" s="1"/>
  <c r="AN153" i="1"/>
  <c r="BA153" i="1" s="1"/>
  <c r="AN154" i="1"/>
  <c r="BA154" i="1" s="1"/>
  <c r="AN155" i="1"/>
  <c r="BA155" i="1" s="1"/>
  <c r="AN156" i="1"/>
  <c r="BA156" i="1" s="1"/>
  <c r="AN157" i="1"/>
  <c r="BA157" i="1" s="1"/>
  <c r="AN158" i="1"/>
  <c r="BA158" i="1" s="1"/>
  <c r="AN159" i="1"/>
  <c r="BA159" i="1" s="1"/>
  <c r="AN160" i="1"/>
  <c r="BA160" i="1" s="1"/>
  <c r="AN161" i="1"/>
  <c r="BA161" i="1" s="1"/>
  <c r="AN162" i="1"/>
  <c r="BA162" i="1" s="1"/>
  <c r="AN163" i="1"/>
  <c r="BA163" i="1" s="1"/>
  <c r="AN164" i="1"/>
  <c r="BA164" i="1" s="1"/>
  <c r="AN165" i="1"/>
  <c r="BA165" i="1" s="1"/>
  <c r="AN166" i="1"/>
  <c r="BA166" i="1" s="1"/>
  <c r="AN167" i="1"/>
  <c r="BA167" i="1" s="1"/>
  <c r="AN168" i="1"/>
  <c r="BA168" i="1" s="1"/>
  <c r="AN169" i="1"/>
  <c r="BA169" i="1" s="1"/>
  <c r="AN170" i="1"/>
  <c r="BA170" i="1" s="1"/>
  <c r="AN171" i="1"/>
  <c r="BA171" i="1" s="1"/>
  <c r="AN172" i="1"/>
  <c r="BA172" i="1" s="1"/>
  <c r="AN173" i="1"/>
  <c r="BA173" i="1" s="1"/>
  <c r="AN174" i="1"/>
  <c r="BA174" i="1" s="1"/>
  <c r="AN175" i="1"/>
  <c r="BA175" i="1" s="1"/>
  <c r="AN176" i="1"/>
  <c r="BA176" i="1" s="1"/>
  <c r="AN177" i="1"/>
  <c r="BA177" i="1" s="1"/>
  <c r="AN178" i="1"/>
  <c r="BA178" i="1" s="1"/>
  <c r="AN179" i="1"/>
  <c r="BA179" i="1" s="1"/>
  <c r="AN180" i="1"/>
  <c r="BA180" i="1" s="1"/>
  <c r="AN181" i="1"/>
  <c r="BA181" i="1" s="1"/>
  <c r="AN182" i="1"/>
  <c r="BA182" i="1" s="1"/>
  <c r="AN183" i="1"/>
  <c r="BA183" i="1" s="1"/>
  <c r="AN184" i="1"/>
  <c r="BA184" i="1" s="1"/>
  <c r="AN185" i="1"/>
  <c r="BA185" i="1" s="1"/>
  <c r="AN186" i="1"/>
  <c r="BA186" i="1" s="1"/>
  <c r="AN187" i="1"/>
  <c r="BA187" i="1" s="1"/>
  <c r="AN188" i="1"/>
  <c r="BA188" i="1" s="1"/>
  <c r="AN189" i="1"/>
  <c r="BA189" i="1" s="1"/>
  <c r="AN190" i="1"/>
  <c r="BA190" i="1" s="1"/>
  <c r="AN191" i="1"/>
  <c r="BA191" i="1" s="1"/>
  <c r="AN192" i="1"/>
  <c r="BA192" i="1" s="1"/>
  <c r="AN193" i="1"/>
  <c r="BA193" i="1" s="1"/>
  <c r="AN194" i="1"/>
  <c r="BA194" i="1" s="1"/>
  <c r="AN195" i="1"/>
  <c r="BA195" i="1" s="1"/>
  <c r="AN196" i="1"/>
  <c r="BA196" i="1" s="1"/>
  <c r="AN197" i="1"/>
  <c r="BA197" i="1" s="1"/>
  <c r="AN198" i="1"/>
  <c r="BA198" i="1" s="1"/>
  <c r="AN199" i="1"/>
  <c r="BA199" i="1" s="1"/>
  <c r="AN200" i="1"/>
  <c r="BA200" i="1" s="1"/>
  <c r="AN201" i="1"/>
  <c r="BA201" i="1" s="1"/>
  <c r="AN202" i="1"/>
  <c r="BA202" i="1" s="1"/>
  <c r="AN203" i="1"/>
  <c r="BA203" i="1" s="1"/>
  <c r="AN204" i="1"/>
  <c r="BA204" i="1" s="1"/>
  <c r="AN205" i="1"/>
  <c r="BA205" i="1" s="1"/>
  <c r="AN206" i="1"/>
  <c r="BA206" i="1" s="1"/>
  <c r="AN207" i="1"/>
  <c r="BA207" i="1" s="1"/>
  <c r="AN208" i="1"/>
  <c r="BA208" i="1" s="1"/>
  <c r="AN209" i="1"/>
  <c r="BA209" i="1" s="1"/>
  <c r="AN210" i="1"/>
  <c r="BA210" i="1" s="1"/>
  <c r="AN211" i="1"/>
  <c r="BA211" i="1" s="1"/>
  <c r="AN212" i="1"/>
  <c r="BA212" i="1" s="1"/>
  <c r="AN213" i="1"/>
  <c r="BA213" i="1" s="1"/>
  <c r="AN214" i="1"/>
  <c r="BA214" i="1" s="1"/>
  <c r="AN215" i="1"/>
  <c r="BA215" i="1" s="1"/>
  <c r="AN216" i="1"/>
  <c r="BA216" i="1" s="1"/>
  <c r="AN217" i="1"/>
  <c r="BA217" i="1" s="1"/>
  <c r="AN218" i="1"/>
  <c r="BA218" i="1" s="1"/>
  <c r="AN219" i="1"/>
  <c r="BA219" i="1" s="1"/>
  <c r="AN220" i="1"/>
  <c r="BA220" i="1" s="1"/>
  <c r="AN221" i="1"/>
  <c r="BA221" i="1" s="1"/>
  <c r="AN222" i="1"/>
  <c r="BA222" i="1" s="1"/>
  <c r="AN223" i="1"/>
  <c r="BA223" i="1" s="1"/>
  <c r="AN224" i="1"/>
  <c r="BA224" i="1" s="1"/>
  <c r="AN225" i="1"/>
  <c r="BA225" i="1" s="1"/>
  <c r="AN226" i="1"/>
  <c r="BA226" i="1" s="1"/>
  <c r="AN227" i="1"/>
  <c r="BA227" i="1" s="1"/>
  <c r="AN228" i="1"/>
  <c r="BA228" i="1" s="1"/>
  <c r="AN229" i="1"/>
  <c r="BA229" i="1" s="1"/>
  <c r="AN230" i="1"/>
  <c r="BA230" i="1" s="1"/>
  <c r="AN231" i="1"/>
  <c r="BA231" i="1" s="1"/>
  <c r="AN232" i="1"/>
  <c r="BA232" i="1" s="1"/>
  <c r="AN233" i="1"/>
  <c r="BA233" i="1" s="1"/>
  <c r="AN234" i="1"/>
  <c r="BA234" i="1" s="1"/>
  <c r="AN235" i="1"/>
  <c r="BA235" i="1" s="1"/>
  <c r="AN236" i="1"/>
  <c r="BA236" i="1" s="1"/>
  <c r="AN237" i="1"/>
  <c r="BA237" i="1" s="1"/>
  <c r="AN238" i="1"/>
  <c r="BA238" i="1" s="1"/>
  <c r="AN239" i="1"/>
  <c r="BA239" i="1" s="1"/>
  <c r="AN240" i="1"/>
  <c r="BA240" i="1" s="1"/>
  <c r="AN241" i="1"/>
  <c r="BA241" i="1" s="1"/>
  <c r="AN242" i="1"/>
  <c r="BA242" i="1" s="1"/>
  <c r="AN243" i="1"/>
  <c r="BA243" i="1" s="1"/>
  <c r="AN244" i="1"/>
  <c r="BA244" i="1" s="1"/>
  <c r="AN245" i="1"/>
  <c r="BA245" i="1" s="1"/>
  <c r="AN246" i="1"/>
  <c r="BA246" i="1" s="1"/>
  <c r="AN247" i="1"/>
  <c r="BA247" i="1" s="1"/>
  <c r="AN248" i="1"/>
  <c r="BA248" i="1" s="1"/>
  <c r="AN249" i="1"/>
  <c r="BA249" i="1" s="1"/>
  <c r="AN250" i="1"/>
  <c r="BA250" i="1" s="1"/>
  <c r="AN251" i="1"/>
  <c r="BA251" i="1" s="1"/>
  <c r="AN252" i="1"/>
  <c r="BA252" i="1" s="1"/>
  <c r="AN253" i="1"/>
  <c r="BA253" i="1" s="1"/>
  <c r="AN254" i="1"/>
  <c r="BA254" i="1" s="1"/>
  <c r="AN255" i="1"/>
  <c r="BA255" i="1" s="1"/>
  <c r="AN256" i="1"/>
  <c r="BA256" i="1" s="1"/>
  <c r="AN257" i="1"/>
  <c r="BA257" i="1" s="1"/>
  <c r="AN258" i="1"/>
  <c r="BA258" i="1" s="1"/>
  <c r="AN259" i="1"/>
  <c r="BA259" i="1" s="1"/>
  <c r="AN260" i="1"/>
  <c r="BA260" i="1" s="1"/>
  <c r="AN261" i="1"/>
  <c r="BA261" i="1" s="1"/>
  <c r="AN262" i="1"/>
  <c r="BA262" i="1" s="1"/>
  <c r="AN263" i="1"/>
  <c r="BA263" i="1" s="1"/>
  <c r="AN264" i="1"/>
  <c r="BA264" i="1" s="1"/>
  <c r="AN265" i="1"/>
  <c r="BA265" i="1" s="1"/>
  <c r="AN266" i="1"/>
  <c r="BA266" i="1" s="1"/>
  <c r="AN267" i="1"/>
  <c r="BA267" i="1" s="1"/>
  <c r="AN268" i="1"/>
  <c r="BA268" i="1" s="1"/>
  <c r="AN269" i="1"/>
  <c r="BA269" i="1" s="1"/>
  <c r="AN270" i="1"/>
  <c r="BA270" i="1" s="1"/>
  <c r="AN271" i="1"/>
  <c r="BA271" i="1" s="1"/>
  <c r="AN272" i="1"/>
  <c r="BA272" i="1" s="1"/>
  <c r="AN273" i="1"/>
  <c r="BA273" i="1" s="1"/>
  <c r="AN274" i="1"/>
  <c r="BA274" i="1" s="1"/>
  <c r="AN275" i="1"/>
  <c r="BA275" i="1" s="1"/>
  <c r="AN276" i="1"/>
  <c r="BA276" i="1" s="1"/>
  <c r="AN277" i="1"/>
  <c r="BA277" i="1" s="1"/>
  <c r="AN278" i="1"/>
  <c r="BA278" i="1" s="1"/>
  <c r="AN279" i="1"/>
  <c r="BA279" i="1" s="1"/>
  <c r="AN280" i="1"/>
  <c r="BA280" i="1" s="1"/>
  <c r="AN281" i="1"/>
  <c r="BA281" i="1" s="1"/>
  <c r="AN282" i="1"/>
  <c r="BA282" i="1" s="1"/>
  <c r="AN283" i="1"/>
  <c r="BA283" i="1" s="1"/>
  <c r="AN284" i="1"/>
  <c r="BA284" i="1" s="1"/>
  <c r="AN285" i="1"/>
  <c r="BA285" i="1" s="1"/>
  <c r="AN286" i="1"/>
  <c r="BA286" i="1" s="1"/>
  <c r="AN287" i="1"/>
  <c r="BA287" i="1" s="1"/>
  <c r="AN288" i="1"/>
  <c r="BA288" i="1" s="1"/>
  <c r="AN289" i="1"/>
  <c r="BA289" i="1" s="1"/>
  <c r="AN290" i="1"/>
  <c r="BA290" i="1" s="1"/>
  <c r="AN291" i="1"/>
  <c r="BA291" i="1" s="1"/>
  <c r="AN292" i="1"/>
  <c r="BA292" i="1" s="1"/>
  <c r="AN293" i="1"/>
  <c r="BA293" i="1" s="1"/>
  <c r="AN294" i="1"/>
  <c r="BA294" i="1" s="1"/>
  <c r="AN295" i="1"/>
  <c r="BA295" i="1" s="1"/>
  <c r="AN296" i="1"/>
  <c r="BA296" i="1" s="1"/>
  <c r="AN297" i="1"/>
  <c r="BA297" i="1" s="1"/>
  <c r="AN298" i="1"/>
  <c r="BA298" i="1" s="1"/>
  <c r="AN299" i="1"/>
  <c r="BA299" i="1" s="1"/>
  <c r="AN300" i="1"/>
  <c r="BA300" i="1" s="1"/>
  <c r="AN301" i="1"/>
  <c r="BA301" i="1" s="1"/>
  <c r="AN302" i="1"/>
  <c r="BA302" i="1" s="1"/>
  <c r="AN303" i="1"/>
  <c r="BA303" i="1" s="1"/>
  <c r="AN304" i="1"/>
  <c r="BA304" i="1" s="1"/>
  <c r="AN305" i="1"/>
  <c r="BA305" i="1" s="1"/>
  <c r="AN306" i="1"/>
  <c r="BA306" i="1" s="1"/>
  <c r="AN307" i="1"/>
  <c r="BA307" i="1" s="1"/>
  <c r="AN308" i="1"/>
  <c r="BA308" i="1" s="1"/>
  <c r="AN309" i="1"/>
  <c r="BA309" i="1" s="1"/>
  <c r="AN310" i="1"/>
  <c r="BA310" i="1" s="1"/>
  <c r="AN311" i="1"/>
  <c r="BA311" i="1" s="1"/>
  <c r="AN312" i="1"/>
  <c r="BA312" i="1" s="1"/>
  <c r="AN313" i="1"/>
  <c r="BA313" i="1" s="1"/>
  <c r="AN314" i="1"/>
  <c r="BA314" i="1" s="1"/>
  <c r="AN315" i="1"/>
  <c r="BA315" i="1" s="1"/>
  <c r="AN316" i="1"/>
  <c r="BA316" i="1" s="1"/>
  <c r="AN317" i="1"/>
  <c r="BA317" i="1" s="1"/>
  <c r="AN318" i="1"/>
  <c r="BA318" i="1" s="1"/>
  <c r="AN319" i="1"/>
  <c r="BA319" i="1" s="1"/>
  <c r="AN320" i="1"/>
  <c r="BA320" i="1" s="1"/>
  <c r="AN321" i="1"/>
  <c r="BA321" i="1" s="1"/>
  <c r="AN322" i="1"/>
  <c r="BA322" i="1" s="1"/>
  <c r="AN323" i="1"/>
  <c r="BA323" i="1" s="1"/>
  <c r="AN324" i="1"/>
  <c r="BA324" i="1" s="1"/>
  <c r="AN325" i="1"/>
  <c r="BA325" i="1" s="1"/>
  <c r="AN326" i="1"/>
  <c r="BA326" i="1" s="1"/>
  <c r="AN327" i="1"/>
  <c r="BA327" i="1" s="1"/>
  <c r="AN328" i="1"/>
  <c r="BA328" i="1" s="1"/>
  <c r="AN329" i="1"/>
  <c r="BA329" i="1" s="1"/>
  <c r="AN330" i="1"/>
  <c r="BA330" i="1" s="1"/>
  <c r="AN331" i="1"/>
  <c r="BA331" i="1" s="1"/>
  <c r="AN332" i="1"/>
  <c r="BA332" i="1" s="1"/>
  <c r="AN333" i="1"/>
  <c r="BA333" i="1" s="1"/>
  <c r="AN334" i="1"/>
  <c r="BA334" i="1" s="1"/>
  <c r="AN335" i="1"/>
  <c r="BA335" i="1" s="1"/>
  <c r="AN336" i="1"/>
  <c r="BA336" i="1" s="1"/>
  <c r="AN337" i="1"/>
  <c r="BA337" i="1" s="1"/>
  <c r="AN338" i="1"/>
  <c r="BA338" i="1" s="1"/>
  <c r="AN339" i="1"/>
  <c r="BA339" i="1" s="1"/>
  <c r="AN340" i="1"/>
  <c r="BA340" i="1" s="1"/>
  <c r="AN341" i="1"/>
  <c r="BA341" i="1" s="1"/>
  <c r="AN342" i="1"/>
  <c r="BA342" i="1" s="1"/>
  <c r="AN343" i="1"/>
  <c r="BA343" i="1" s="1"/>
  <c r="AN344" i="1"/>
  <c r="BA344" i="1" s="1"/>
  <c r="AN345" i="1"/>
  <c r="BA345" i="1" s="1"/>
  <c r="AN346" i="1"/>
  <c r="BA346" i="1" s="1"/>
  <c r="AN347" i="1"/>
  <c r="BA347" i="1" s="1"/>
  <c r="AN348" i="1"/>
  <c r="BA348" i="1" s="1"/>
  <c r="AN349" i="1"/>
  <c r="BA349" i="1" s="1"/>
  <c r="AN350" i="1"/>
  <c r="BA350" i="1" s="1"/>
  <c r="AN351" i="1"/>
  <c r="BA351" i="1" s="1"/>
  <c r="AN352" i="1"/>
  <c r="BA352" i="1" s="1"/>
  <c r="AN353" i="1"/>
  <c r="BA353" i="1" s="1"/>
  <c r="AN354" i="1"/>
  <c r="BA354" i="1" s="1"/>
  <c r="AN355" i="1"/>
  <c r="BA355" i="1" s="1"/>
  <c r="AN356" i="1"/>
  <c r="BA356" i="1" s="1"/>
  <c r="AN357" i="1"/>
  <c r="BA357" i="1" s="1"/>
  <c r="AN358" i="1"/>
  <c r="BA358" i="1" s="1"/>
  <c r="AN359" i="1"/>
  <c r="BA359" i="1" s="1"/>
  <c r="AN360" i="1"/>
  <c r="BA360" i="1" s="1"/>
  <c r="AN361" i="1"/>
  <c r="BA361" i="1" s="1"/>
  <c r="AN362" i="1"/>
  <c r="BA362" i="1" s="1"/>
  <c r="AN363" i="1"/>
  <c r="BA363" i="1" s="1"/>
  <c r="AN364" i="1"/>
  <c r="BA364" i="1" s="1"/>
  <c r="AN365" i="1"/>
  <c r="BA365" i="1" s="1"/>
  <c r="AN366" i="1"/>
  <c r="BA366" i="1" s="1"/>
  <c r="AN367" i="1"/>
  <c r="BA367" i="1" s="1"/>
  <c r="AN368" i="1"/>
  <c r="BA368" i="1" s="1"/>
  <c r="AN369" i="1"/>
  <c r="BA369" i="1" s="1"/>
  <c r="AN370" i="1"/>
  <c r="BA370" i="1" s="1"/>
  <c r="AN371" i="1"/>
  <c r="BA371" i="1" s="1"/>
  <c r="AN372" i="1"/>
  <c r="BA372" i="1" s="1"/>
  <c r="AN373" i="1"/>
  <c r="BA373" i="1" s="1"/>
  <c r="AN374" i="1"/>
  <c r="BA374" i="1" s="1"/>
  <c r="AN375" i="1"/>
  <c r="BA375" i="1" s="1"/>
  <c r="AN376" i="1"/>
  <c r="BA376" i="1" s="1"/>
  <c r="AN377" i="1"/>
  <c r="BA377" i="1" s="1"/>
  <c r="AN378" i="1"/>
  <c r="BA378" i="1" s="1"/>
  <c r="AN379" i="1"/>
  <c r="BA379" i="1" s="1"/>
  <c r="AN380" i="1"/>
  <c r="BA380" i="1" s="1"/>
  <c r="AN381" i="1"/>
  <c r="BA381" i="1" s="1"/>
  <c r="AN382" i="1"/>
  <c r="BA382" i="1" s="1"/>
  <c r="AN383" i="1"/>
  <c r="BA383" i="1" s="1"/>
  <c r="AN384" i="1"/>
  <c r="BA384" i="1" s="1"/>
  <c r="AN385" i="1"/>
  <c r="BA385" i="1" s="1"/>
  <c r="AN386" i="1"/>
  <c r="BA386" i="1" s="1"/>
  <c r="AN387" i="1"/>
  <c r="BA387" i="1" s="1"/>
  <c r="AN388" i="1"/>
  <c r="BA388" i="1" s="1"/>
  <c r="AN389" i="1"/>
  <c r="BA389" i="1" s="1"/>
  <c r="AN390" i="1"/>
  <c r="BA390" i="1" s="1"/>
  <c r="AN391" i="1"/>
  <c r="BA391" i="1" s="1"/>
  <c r="AN392" i="1"/>
  <c r="BA392" i="1" s="1"/>
  <c r="AN393" i="1"/>
  <c r="BA393" i="1" s="1"/>
  <c r="AN394" i="1"/>
  <c r="BA394" i="1" s="1"/>
  <c r="AN395" i="1"/>
  <c r="BA395" i="1" s="1"/>
  <c r="AN396" i="1"/>
  <c r="BA396" i="1" s="1"/>
  <c r="AN397" i="1"/>
  <c r="BA397" i="1" s="1"/>
  <c r="AN398" i="1"/>
  <c r="BA398" i="1" s="1"/>
  <c r="AN399" i="1"/>
  <c r="BA399" i="1" s="1"/>
  <c r="AN400" i="1"/>
  <c r="BA400" i="1" s="1"/>
  <c r="AN401" i="1"/>
  <c r="BA401" i="1" s="1"/>
  <c r="AN402" i="1"/>
  <c r="BA402" i="1" s="1"/>
  <c r="AN403" i="1"/>
  <c r="BA403" i="1" s="1"/>
  <c r="AN404" i="1"/>
  <c r="BA404" i="1" s="1"/>
  <c r="AN405" i="1"/>
  <c r="BA405" i="1" s="1"/>
  <c r="AN406" i="1"/>
  <c r="BA406" i="1" s="1"/>
  <c r="AN407" i="1"/>
  <c r="BA407" i="1" s="1"/>
  <c r="AN408" i="1"/>
  <c r="BA408" i="1" s="1"/>
  <c r="AN409" i="1"/>
  <c r="BA409" i="1" s="1"/>
  <c r="AN410" i="1"/>
  <c r="BA410" i="1" s="1"/>
  <c r="AN411" i="1"/>
  <c r="BA411" i="1" s="1"/>
  <c r="AN412" i="1"/>
  <c r="BA412" i="1" s="1"/>
  <c r="AN413" i="1"/>
  <c r="BA413" i="1" s="1"/>
  <c r="AN414" i="1"/>
  <c r="BA414" i="1" s="1"/>
  <c r="AN415" i="1"/>
  <c r="BA415" i="1" s="1"/>
  <c r="AN416" i="1"/>
  <c r="BA416" i="1" s="1"/>
  <c r="AN417" i="1"/>
  <c r="BA417" i="1" s="1"/>
  <c r="AN418" i="1"/>
  <c r="BA418" i="1" s="1"/>
  <c r="AN419" i="1"/>
  <c r="BA419" i="1" s="1"/>
  <c r="AN420" i="1"/>
  <c r="BA420" i="1" s="1"/>
  <c r="AN421" i="1"/>
  <c r="BA421" i="1" s="1"/>
  <c r="AN422" i="1"/>
  <c r="BA422" i="1" s="1"/>
  <c r="AN423" i="1"/>
  <c r="BA423" i="1" s="1"/>
  <c r="AN424" i="1"/>
  <c r="BA424" i="1" s="1"/>
  <c r="AN425" i="1"/>
  <c r="BA425" i="1" s="1"/>
  <c r="AN426" i="1"/>
  <c r="BA426" i="1" s="1"/>
  <c r="AN427" i="1"/>
  <c r="BA427" i="1" s="1"/>
  <c r="AN428" i="1"/>
  <c r="BA428" i="1" s="1"/>
  <c r="AN429" i="1"/>
  <c r="BA429" i="1" s="1"/>
  <c r="AN430" i="1"/>
  <c r="BA430" i="1" s="1"/>
  <c r="AN431" i="1"/>
  <c r="BA431" i="1" s="1"/>
  <c r="AN432" i="1"/>
  <c r="BA432" i="1" s="1"/>
  <c r="AN433" i="1"/>
  <c r="BA433" i="1" s="1"/>
  <c r="AN434" i="1"/>
  <c r="BA434" i="1" s="1"/>
  <c r="AN435" i="1"/>
  <c r="BA435" i="1" s="1"/>
  <c r="AN436" i="1"/>
  <c r="BA436" i="1" s="1"/>
  <c r="AN437" i="1"/>
  <c r="BA437" i="1" s="1"/>
  <c r="AN438" i="1"/>
  <c r="BA438" i="1" s="1"/>
  <c r="AN439" i="1"/>
  <c r="BA439" i="1" s="1"/>
  <c r="AN440" i="1"/>
  <c r="BA440" i="1" s="1"/>
  <c r="AN441" i="1"/>
  <c r="BA441" i="1" s="1"/>
  <c r="AN442" i="1"/>
  <c r="BA442" i="1" s="1"/>
  <c r="AN443" i="1"/>
  <c r="BA443" i="1" s="1"/>
  <c r="AN444" i="1"/>
  <c r="BA444" i="1" s="1"/>
  <c r="AN445" i="1"/>
  <c r="BA445" i="1" s="1"/>
  <c r="AN446" i="1"/>
  <c r="BA446" i="1" s="1"/>
  <c r="AN447" i="1"/>
  <c r="BA447" i="1" s="1"/>
  <c r="AN448" i="1"/>
  <c r="BA448" i="1" s="1"/>
  <c r="AN449" i="1"/>
  <c r="BA449" i="1" s="1"/>
  <c r="AN450" i="1"/>
  <c r="BA450" i="1" s="1"/>
  <c r="AN451" i="1"/>
  <c r="BA451" i="1" s="1"/>
  <c r="AN452" i="1"/>
  <c r="BA452" i="1" s="1"/>
  <c r="AN453" i="1"/>
  <c r="BA453" i="1" s="1"/>
  <c r="AN454" i="1"/>
  <c r="BA454" i="1" s="1"/>
  <c r="AN455" i="1"/>
  <c r="BA455" i="1" s="1"/>
  <c r="AN456" i="1"/>
  <c r="BA456" i="1" s="1"/>
  <c r="AN457" i="1"/>
  <c r="BA457" i="1" s="1"/>
  <c r="AN458" i="1"/>
  <c r="BA458" i="1" s="1"/>
  <c r="AN459" i="1"/>
  <c r="BA459" i="1" s="1"/>
  <c r="AN460" i="1"/>
  <c r="BA460" i="1" s="1"/>
  <c r="AN461" i="1"/>
  <c r="BA461" i="1" s="1"/>
  <c r="AN462" i="1"/>
  <c r="BA462" i="1" s="1"/>
  <c r="AN463" i="1"/>
  <c r="BA463" i="1" s="1"/>
  <c r="AN464" i="1"/>
  <c r="BA464" i="1" s="1"/>
  <c r="AN465" i="1"/>
  <c r="BA465" i="1" s="1"/>
  <c r="AN466" i="1"/>
  <c r="BA466" i="1" s="1"/>
  <c r="AN467" i="1"/>
  <c r="BA467" i="1" s="1"/>
  <c r="AN468" i="1"/>
  <c r="BA468" i="1" s="1"/>
  <c r="AN469" i="1"/>
  <c r="BA469" i="1" s="1"/>
  <c r="AN470" i="1"/>
  <c r="BA470" i="1" s="1"/>
  <c r="AN471" i="1"/>
  <c r="BA471" i="1" s="1"/>
  <c r="AN472" i="1"/>
  <c r="BA472" i="1" s="1"/>
  <c r="AN473" i="1"/>
  <c r="BA473" i="1" s="1"/>
  <c r="AN474" i="1"/>
  <c r="BA474" i="1" s="1"/>
  <c r="AN475" i="1"/>
  <c r="BA475" i="1" s="1"/>
  <c r="AN476" i="1"/>
  <c r="BA476" i="1" s="1"/>
  <c r="AN477" i="1"/>
  <c r="BA477" i="1" s="1"/>
  <c r="AN478" i="1"/>
  <c r="BA478" i="1" s="1"/>
  <c r="AN479" i="1"/>
  <c r="BA479" i="1" s="1"/>
  <c r="AN480" i="1"/>
  <c r="BA480" i="1" s="1"/>
  <c r="AN481" i="1"/>
  <c r="BA481" i="1" s="1"/>
  <c r="AN482" i="1"/>
  <c r="BA482" i="1" s="1"/>
  <c r="AN483" i="1"/>
  <c r="BA483" i="1" s="1"/>
  <c r="AN484" i="1"/>
  <c r="BA484" i="1" s="1"/>
  <c r="AN485" i="1"/>
  <c r="BA485" i="1" s="1"/>
  <c r="AN486" i="1"/>
  <c r="BA486" i="1" s="1"/>
  <c r="AN487" i="1"/>
  <c r="BA487" i="1" s="1"/>
  <c r="AN488" i="1"/>
  <c r="BA488" i="1" s="1"/>
  <c r="AN489" i="1"/>
  <c r="BA489" i="1" s="1"/>
  <c r="AN490" i="1"/>
  <c r="BA490" i="1" s="1"/>
  <c r="AN491" i="1"/>
  <c r="BA491" i="1" s="1"/>
  <c r="AN492" i="1"/>
  <c r="BA492" i="1" s="1"/>
  <c r="AN493" i="1"/>
  <c r="BA493" i="1" s="1"/>
  <c r="AN494" i="1"/>
  <c r="BA494" i="1" s="1"/>
  <c r="AN495" i="1"/>
  <c r="BA495" i="1" s="1"/>
  <c r="AN496" i="1"/>
  <c r="BA496" i="1" s="1"/>
  <c r="AN497" i="1"/>
  <c r="BA497" i="1" s="1"/>
  <c r="AN498" i="1"/>
  <c r="BA498" i="1" s="1"/>
  <c r="AN499" i="1"/>
  <c r="BA499" i="1" s="1"/>
  <c r="AN500" i="1"/>
  <c r="BA500" i="1" s="1"/>
  <c r="AN501" i="1"/>
  <c r="BA501" i="1" s="1"/>
  <c r="AN502" i="1"/>
  <c r="BA502" i="1" s="1"/>
  <c r="AN503" i="1"/>
  <c r="BA503" i="1" s="1"/>
  <c r="AN504" i="1"/>
  <c r="BA504" i="1" s="1"/>
  <c r="AN505" i="1"/>
  <c r="BA505" i="1" s="1"/>
  <c r="AN506" i="1"/>
  <c r="BA506" i="1" s="1"/>
  <c r="AN507" i="1"/>
  <c r="BA507" i="1" s="1"/>
  <c r="AN508" i="1"/>
  <c r="BA508" i="1" s="1"/>
  <c r="AN509" i="1"/>
  <c r="BA509" i="1" s="1"/>
  <c r="AN510" i="1"/>
  <c r="BA510" i="1" s="1"/>
  <c r="AN511" i="1"/>
  <c r="BA511" i="1" s="1"/>
  <c r="AN512" i="1"/>
  <c r="BA512" i="1" s="1"/>
  <c r="AN513" i="1"/>
  <c r="BA513" i="1" s="1"/>
  <c r="AN514" i="1"/>
  <c r="BA514" i="1" s="1"/>
  <c r="AN515" i="1"/>
  <c r="BA515" i="1" s="1"/>
  <c r="AN516" i="1"/>
  <c r="BA516" i="1" s="1"/>
  <c r="AN517" i="1"/>
  <c r="BA517" i="1" s="1"/>
  <c r="AN518" i="1"/>
  <c r="BA518" i="1" s="1"/>
  <c r="AN519" i="1"/>
  <c r="BA519" i="1" s="1"/>
  <c r="AN520" i="1"/>
  <c r="BA520" i="1" s="1"/>
  <c r="AN521" i="1"/>
  <c r="BA521" i="1" s="1"/>
  <c r="AN522" i="1"/>
  <c r="BA522" i="1" s="1"/>
  <c r="AN523" i="1"/>
  <c r="BA523" i="1" s="1"/>
  <c r="AN524" i="1"/>
  <c r="BA524" i="1" s="1"/>
  <c r="AN525" i="1"/>
  <c r="BA525" i="1" s="1"/>
  <c r="AN526" i="1"/>
  <c r="BA526" i="1" s="1"/>
  <c r="AN527" i="1"/>
  <c r="BA527" i="1" s="1"/>
  <c r="AN528" i="1"/>
  <c r="BA528" i="1" s="1"/>
  <c r="AN529" i="1"/>
  <c r="BA529" i="1" s="1"/>
  <c r="AN530" i="1"/>
  <c r="BA530" i="1" s="1"/>
  <c r="AN531" i="1"/>
  <c r="BA531" i="1" s="1"/>
  <c r="AN532" i="1"/>
  <c r="BA532" i="1" s="1"/>
  <c r="AN533" i="1"/>
  <c r="BA533" i="1" s="1"/>
  <c r="AN534" i="1"/>
  <c r="BA534" i="1" s="1"/>
  <c r="AN535" i="1"/>
  <c r="BA535" i="1" s="1"/>
  <c r="AN536" i="1"/>
  <c r="BA536" i="1" s="1"/>
  <c r="AN537" i="1"/>
  <c r="BA537" i="1" s="1"/>
  <c r="AN538" i="1"/>
  <c r="BA538" i="1" s="1"/>
  <c r="AN539" i="1"/>
  <c r="BA539" i="1" s="1"/>
  <c r="AN540" i="1"/>
  <c r="BA540" i="1" s="1"/>
  <c r="AN541" i="1"/>
  <c r="BA541" i="1" s="1"/>
  <c r="AN542" i="1"/>
  <c r="BA542" i="1" s="1"/>
  <c r="AN543" i="1"/>
  <c r="BA543" i="1" s="1"/>
  <c r="AN544" i="1"/>
  <c r="BA544" i="1" s="1"/>
  <c r="AN545" i="1"/>
  <c r="BA545" i="1" s="1"/>
  <c r="AN546" i="1"/>
  <c r="BA546" i="1" s="1"/>
  <c r="AN547" i="1"/>
  <c r="BA547" i="1" s="1"/>
  <c r="AN548" i="1"/>
  <c r="BA548" i="1" s="1"/>
  <c r="AN549" i="1"/>
  <c r="BA549" i="1" s="1"/>
  <c r="AN550" i="1"/>
  <c r="BA550" i="1" s="1"/>
  <c r="AN551" i="1"/>
  <c r="BA551" i="1" s="1"/>
  <c r="AN552" i="1"/>
  <c r="BA552" i="1" s="1"/>
  <c r="AN553" i="1"/>
  <c r="BA553" i="1" s="1"/>
  <c r="AN554" i="1"/>
  <c r="BA554" i="1" s="1"/>
  <c r="AN555" i="1"/>
  <c r="BA555" i="1" s="1"/>
  <c r="AN556" i="1"/>
  <c r="BA556" i="1" s="1"/>
  <c r="AN557" i="1"/>
  <c r="BA557" i="1" s="1"/>
  <c r="AN558" i="1"/>
  <c r="BA558" i="1" s="1"/>
  <c r="AN559" i="1"/>
  <c r="BA559" i="1" s="1"/>
  <c r="AN560" i="1"/>
  <c r="BA560" i="1" s="1"/>
  <c r="AN561" i="1"/>
  <c r="BA561" i="1" s="1"/>
  <c r="AN562" i="1"/>
  <c r="BA562" i="1" s="1"/>
  <c r="AN563" i="1"/>
  <c r="BA563" i="1" s="1"/>
  <c r="AN564" i="1"/>
  <c r="BA564" i="1" s="1"/>
  <c r="AN565" i="1"/>
  <c r="BA565" i="1" s="1"/>
  <c r="AN566" i="1"/>
  <c r="BA566" i="1" s="1"/>
  <c r="AN567" i="1"/>
  <c r="BA567" i="1" s="1"/>
  <c r="AN568" i="1"/>
  <c r="BA568" i="1" s="1"/>
  <c r="AN569" i="1"/>
  <c r="BA569" i="1" s="1"/>
  <c r="AN570" i="1"/>
  <c r="BA570" i="1" s="1"/>
  <c r="AN571" i="1"/>
  <c r="BA571" i="1" s="1"/>
  <c r="AN572" i="1"/>
  <c r="BA572" i="1" s="1"/>
  <c r="AN573" i="1"/>
  <c r="BA573" i="1" s="1"/>
  <c r="AN574" i="1"/>
  <c r="BA574" i="1" s="1"/>
  <c r="AN575" i="1"/>
  <c r="BA575" i="1" s="1"/>
  <c r="AN576" i="1"/>
  <c r="BA576" i="1" s="1"/>
  <c r="AN577" i="1"/>
  <c r="BA577" i="1" s="1"/>
  <c r="AN578" i="1"/>
  <c r="BA578" i="1" s="1"/>
  <c r="AN579" i="1"/>
  <c r="BA579" i="1" s="1"/>
  <c r="AN580" i="1"/>
  <c r="BA580" i="1" s="1"/>
  <c r="AN581" i="1"/>
  <c r="BA581" i="1" s="1"/>
  <c r="AN582" i="1"/>
  <c r="BA582" i="1" s="1"/>
  <c r="AN583" i="1"/>
  <c r="BA583" i="1" s="1"/>
  <c r="AN584" i="1"/>
  <c r="BA584" i="1" s="1"/>
  <c r="AN585" i="1"/>
  <c r="BA585" i="1" s="1"/>
  <c r="AN586" i="1"/>
  <c r="BA586" i="1" s="1"/>
  <c r="AN587" i="1"/>
  <c r="BA587" i="1" s="1"/>
  <c r="AN588" i="1"/>
  <c r="BA588" i="1" s="1"/>
  <c r="AN589" i="1"/>
  <c r="BA589" i="1" s="1"/>
  <c r="AN590" i="1"/>
  <c r="BA590" i="1" s="1"/>
  <c r="AN591" i="1"/>
  <c r="BA591" i="1" s="1"/>
  <c r="AN592" i="1"/>
  <c r="BA592" i="1" s="1"/>
  <c r="AN593" i="1"/>
  <c r="BA593" i="1" s="1"/>
  <c r="AN594" i="1"/>
  <c r="BA594" i="1" s="1"/>
  <c r="AN595" i="1"/>
  <c r="BA595" i="1" s="1"/>
  <c r="AN596" i="1"/>
  <c r="BA596" i="1" s="1"/>
  <c r="AN597" i="1"/>
  <c r="BA597" i="1" s="1"/>
  <c r="AN598" i="1"/>
  <c r="BA598" i="1" s="1"/>
  <c r="AN599" i="1"/>
  <c r="BA599" i="1" s="1"/>
  <c r="AN600" i="1"/>
  <c r="BA600" i="1" s="1"/>
  <c r="AN601" i="1"/>
  <c r="BA601" i="1" s="1"/>
  <c r="AN602" i="1"/>
  <c r="BA602" i="1" s="1"/>
  <c r="AN603" i="1"/>
  <c r="BA603" i="1" s="1"/>
  <c r="AN604" i="1"/>
  <c r="BA604" i="1" s="1"/>
  <c r="AN605" i="1"/>
  <c r="BA605" i="1" s="1"/>
  <c r="AN606" i="1"/>
  <c r="BA606" i="1" s="1"/>
  <c r="AN607" i="1"/>
  <c r="BA607" i="1" s="1"/>
  <c r="AN608" i="1"/>
  <c r="BA608" i="1" s="1"/>
  <c r="AN609" i="1"/>
  <c r="BA609" i="1" s="1"/>
  <c r="AN610" i="1"/>
  <c r="BA610" i="1" s="1"/>
  <c r="AN611" i="1"/>
  <c r="BA611" i="1" s="1"/>
  <c r="AN612" i="1"/>
  <c r="BA612" i="1" s="1"/>
  <c r="AN613" i="1"/>
  <c r="BA613" i="1" s="1"/>
  <c r="AN614" i="1"/>
  <c r="BA614" i="1" s="1"/>
  <c r="AN615" i="1"/>
  <c r="BA615" i="1" s="1"/>
  <c r="AN616" i="1"/>
  <c r="BA616" i="1" s="1"/>
  <c r="AN617" i="1"/>
  <c r="BA617" i="1" s="1"/>
  <c r="AN618" i="1"/>
  <c r="BA618" i="1" s="1"/>
  <c r="AN619" i="1"/>
  <c r="BA619" i="1" s="1"/>
  <c r="AN620" i="1"/>
  <c r="BA620" i="1" s="1"/>
  <c r="AN621" i="1"/>
  <c r="BA621" i="1" s="1"/>
  <c r="AN622" i="1"/>
  <c r="BA622" i="1" s="1"/>
  <c r="AN623" i="1"/>
  <c r="BA623" i="1" s="1"/>
  <c r="AN624" i="1"/>
  <c r="BA624" i="1" s="1"/>
  <c r="AN625" i="1"/>
  <c r="BA625" i="1" s="1"/>
  <c r="AN626" i="1"/>
  <c r="BA626" i="1" s="1"/>
  <c r="AN627" i="1"/>
  <c r="BA627" i="1" s="1"/>
  <c r="AN628" i="1"/>
  <c r="BA628" i="1" s="1"/>
  <c r="AN629" i="1"/>
  <c r="BA629" i="1" s="1"/>
  <c r="AN630" i="1"/>
  <c r="BA630" i="1" s="1"/>
  <c r="AN631" i="1"/>
  <c r="BA631" i="1" s="1"/>
  <c r="AN632" i="1"/>
  <c r="BA632" i="1" s="1"/>
  <c r="AN633" i="1"/>
  <c r="BA633" i="1" s="1"/>
  <c r="AN634" i="1"/>
  <c r="BA634" i="1" s="1"/>
  <c r="AN635" i="1"/>
  <c r="BA635" i="1" s="1"/>
  <c r="AN636" i="1"/>
  <c r="BA636" i="1" s="1"/>
  <c r="AN637" i="1"/>
  <c r="BA637" i="1" s="1"/>
  <c r="AN638" i="1"/>
  <c r="BA638" i="1" s="1"/>
  <c r="AN639" i="1"/>
  <c r="BA639" i="1" s="1"/>
  <c r="AN640" i="1"/>
  <c r="BA640" i="1" s="1"/>
  <c r="AN641" i="1"/>
  <c r="BA641" i="1" s="1"/>
  <c r="AN642" i="1"/>
  <c r="BA642" i="1" s="1"/>
  <c r="AN643" i="1"/>
  <c r="BA643" i="1" s="1"/>
  <c r="AN644" i="1"/>
  <c r="BA644" i="1" s="1"/>
  <c r="AN645" i="1"/>
  <c r="BA645" i="1" s="1"/>
  <c r="AN646" i="1"/>
  <c r="BA646" i="1" s="1"/>
  <c r="AN647" i="1"/>
  <c r="BA647" i="1" s="1"/>
  <c r="AN648" i="1"/>
  <c r="BA648" i="1" s="1"/>
  <c r="AN649" i="1"/>
  <c r="BA649" i="1" s="1"/>
  <c r="AN650" i="1"/>
  <c r="BA650" i="1" s="1"/>
  <c r="AN651" i="1"/>
  <c r="BA651" i="1" s="1"/>
  <c r="AN652" i="1"/>
  <c r="BA652" i="1" s="1"/>
  <c r="AN653" i="1"/>
  <c r="BA653" i="1" s="1"/>
  <c r="AN654" i="1"/>
  <c r="BA654" i="1" s="1"/>
  <c r="AN655" i="1"/>
  <c r="BA655" i="1" s="1"/>
  <c r="AN656" i="1"/>
  <c r="BA656" i="1" s="1"/>
  <c r="AN657" i="1"/>
  <c r="BA657" i="1" s="1"/>
  <c r="AN658" i="1"/>
  <c r="BA658" i="1" s="1"/>
  <c r="AN659" i="1"/>
  <c r="BA659" i="1" s="1"/>
  <c r="AN660" i="1"/>
  <c r="BA660" i="1" s="1"/>
  <c r="AN661" i="1"/>
  <c r="BA661" i="1" s="1"/>
  <c r="AN662" i="1"/>
  <c r="BA662" i="1" s="1"/>
  <c r="AN663" i="1"/>
  <c r="BA663" i="1" s="1"/>
  <c r="AN664" i="1"/>
  <c r="BA664" i="1" s="1"/>
  <c r="AN665" i="1"/>
  <c r="BA665" i="1" s="1"/>
  <c r="AN666" i="1"/>
  <c r="BA666" i="1" s="1"/>
  <c r="AN667" i="1"/>
  <c r="BA667" i="1" s="1"/>
  <c r="AN668" i="1"/>
  <c r="BA668" i="1" s="1"/>
  <c r="AN669" i="1"/>
  <c r="BA669" i="1" s="1"/>
  <c r="AN670" i="1"/>
  <c r="BA670" i="1" s="1"/>
  <c r="AN671" i="1"/>
  <c r="BA671" i="1" s="1"/>
  <c r="AN672" i="1"/>
  <c r="BA672" i="1" s="1"/>
  <c r="AN673" i="1"/>
  <c r="BA673" i="1" s="1"/>
  <c r="AN674" i="1"/>
  <c r="BA674" i="1" s="1"/>
  <c r="AN675" i="1"/>
  <c r="BA675" i="1" s="1"/>
  <c r="AN676" i="1"/>
  <c r="BA676" i="1" s="1"/>
  <c r="AN677" i="1"/>
  <c r="BA677" i="1" s="1"/>
  <c r="AN678" i="1"/>
  <c r="BA678" i="1" s="1"/>
  <c r="AN679" i="1"/>
  <c r="BA679" i="1" s="1"/>
  <c r="AN680" i="1"/>
  <c r="BA680" i="1" s="1"/>
  <c r="AN681" i="1"/>
  <c r="BA681" i="1" s="1"/>
  <c r="AN682" i="1"/>
  <c r="BA682" i="1" s="1"/>
  <c r="AN683" i="1"/>
  <c r="BA683" i="1" s="1"/>
  <c r="AN684" i="1"/>
  <c r="BA684" i="1" s="1"/>
  <c r="AN685" i="1"/>
  <c r="BA685" i="1" s="1"/>
  <c r="AN686" i="1"/>
  <c r="BA686" i="1" s="1"/>
  <c r="AN687" i="1"/>
  <c r="BA687" i="1" s="1"/>
  <c r="AN688" i="1"/>
  <c r="BA688" i="1" s="1"/>
  <c r="AN689" i="1"/>
  <c r="BA689" i="1" s="1"/>
  <c r="AN690" i="1"/>
  <c r="BA690" i="1" s="1"/>
  <c r="AN691" i="1"/>
  <c r="BA691" i="1" s="1"/>
  <c r="AN692" i="1"/>
  <c r="BA692" i="1" s="1"/>
  <c r="AN693" i="1"/>
  <c r="BA693" i="1" s="1"/>
  <c r="AN694" i="1"/>
  <c r="BA694" i="1" s="1"/>
  <c r="AN695" i="1"/>
  <c r="BA695" i="1" s="1"/>
  <c r="AN696" i="1"/>
  <c r="BA696" i="1" s="1"/>
  <c r="AN697" i="1"/>
  <c r="BA697" i="1" s="1"/>
  <c r="AN698" i="1"/>
  <c r="BA698" i="1" s="1"/>
  <c r="AN699" i="1"/>
  <c r="BA699" i="1" s="1"/>
  <c r="AN700" i="1"/>
  <c r="BA700" i="1" s="1"/>
  <c r="AN701" i="1"/>
  <c r="BA701" i="1" s="1"/>
  <c r="AN702" i="1"/>
  <c r="BA702" i="1" s="1"/>
  <c r="AN703" i="1"/>
  <c r="BA703" i="1" s="1"/>
  <c r="AN704" i="1"/>
  <c r="BA704" i="1" s="1"/>
  <c r="AN705" i="1"/>
  <c r="BA705" i="1" s="1"/>
  <c r="AN706" i="1"/>
  <c r="BA706" i="1" s="1"/>
  <c r="AN707" i="1"/>
  <c r="BA707" i="1" s="1"/>
  <c r="AN708" i="1"/>
  <c r="BA708" i="1" s="1"/>
  <c r="AN709" i="1"/>
  <c r="BA709" i="1" s="1"/>
  <c r="AN710" i="1"/>
  <c r="BA710" i="1" s="1"/>
  <c r="AN711" i="1"/>
  <c r="BA711" i="1" s="1"/>
  <c r="AN712" i="1"/>
  <c r="BA712" i="1" s="1"/>
  <c r="AN713" i="1"/>
  <c r="BA713" i="1" s="1"/>
  <c r="AN714" i="1"/>
  <c r="BA714" i="1" s="1"/>
  <c r="AN715" i="1"/>
  <c r="BA715" i="1" s="1"/>
  <c r="AN716" i="1"/>
  <c r="BA716" i="1" s="1"/>
  <c r="AN717" i="1"/>
  <c r="BA717" i="1" s="1"/>
  <c r="AN718" i="1"/>
  <c r="BA718" i="1" s="1"/>
  <c r="AN719" i="1"/>
  <c r="BA719" i="1" s="1"/>
  <c r="AN720" i="1"/>
  <c r="BA720" i="1" s="1"/>
  <c r="AN721" i="1"/>
  <c r="BA721" i="1" s="1"/>
  <c r="AN722" i="1"/>
  <c r="BA722" i="1" s="1"/>
  <c r="AN723" i="1"/>
  <c r="BA723" i="1" s="1"/>
  <c r="AN724" i="1"/>
  <c r="BA724" i="1" s="1"/>
  <c r="AN725" i="1"/>
  <c r="BA725" i="1" s="1"/>
  <c r="AN726" i="1"/>
  <c r="BA726" i="1" s="1"/>
  <c r="AN727" i="1"/>
  <c r="BA727" i="1" s="1"/>
  <c r="AN728" i="1"/>
  <c r="BA728" i="1" s="1"/>
  <c r="AN729" i="1"/>
  <c r="BA729" i="1" s="1"/>
  <c r="AN730" i="1"/>
  <c r="BA730" i="1" s="1"/>
  <c r="AN731" i="1"/>
  <c r="BA731" i="1" s="1"/>
  <c r="AN732" i="1"/>
  <c r="BA732" i="1" s="1"/>
  <c r="AN733" i="1"/>
  <c r="BA733" i="1" s="1"/>
  <c r="AN734" i="1"/>
  <c r="BA734" i="1" s="1"/>
  <c r="AN735" i="1"/>
  <c r="BA735" i="1" s="1"/>
  <c r="AN736" i="1"/>
  <c r="BA736" i="1" s="1"/>
  <c r="AN737" i="1"/>
  <c r="BA737" i="1" s="1"/>
  <c r="AN738" i="1"/>
  <c r="BA738" i="1" s="1"/>
  <c r="AN739" i="1"/>
  <c r="BA739" i="1" s="1"/>
  <c r="AN740" i="1"/>
  <c r="BA740" i="1" s="1"/>
  <c r="AN741" i="1"/>
  <c r="BA741" i="1" s="1"/>
  <c r="AN742" i="1"/>
  <c r="BA742" i="1" s="1"/>
  <c r="AN743" i="1"/>
  <c r="BA743" i="1" s="1"/>
  <c r="AN744" i="1"/>
  <c r="BA744" i="1" s="1"/>
  <c r="AN745" i="1"/>
  <c r="BA745" i="1" s="1"/>
  <c r="AN746" i="1"/>
  <c r="BA746" i="1" s="1"/>
  <c r="AN747" i="1"/>
  <c r="BA747" i="1" s="1"/>
  <c r="AN748" i="1"/>
  <c r="BA748" i="1" s="1"/>
  <c r="AN749" i="1"/>
  <c r="BA749" i="1" s="1"/>
  <c r="AN750" i="1"/>
  <c r="BA750" i="1" s="1"/>
  <c r="AN751" i="1"/>
  <c r="BA751" i="1" s="1"/>
  <c r="AN752" i="1"/>
  <c r="BA752" i="1" s="1"/>
  <c r="AN753" i="1"/>
  <c r="BA753" i="1" s="1"/>
  <c r="AN754" i="1"/>
  <c r="BA754" i="1" s="1"/>
  <c r="AN755" i="1"/>
  <c r="BA755" i="1" s="1"/>
  <c r="AN756" i="1"/>
  <c r="BA756" i="1" s="1"/>
  <c r="AN757" i="1"/>
  <c r="BA757" i="1" s="1"/>
  <c r="AN758" i="1"/>
  <c r="BA758" i="1" s="1"/>
  <c r="AN759" i="1"/>
  <c r="BA759" i="1" s="1"/>
  <c r="AN760" i="1"/>
  <c r="BA760" i="1" s="1"/>
  <c r="AN761" i="1"/>
  <c r="BA761" i="1" s="1"/>
  <c r="AN762" i="1"/>
  <c r="BA762" i="1" s="1"/>
  <c r="AN763" i="1"/>
  <c r="BA763" i="1" s="1"/>
  <c r="AN764" i="1"/>
  <c r="BA764" i="1" s="1"/>
  <c r="AN765" i="1"/>
  <c r="BA765" i="1" s="1"/>
  <c r="AN766" i="1"/>
  <c r="BA766" i="1" s="1"/>
  <c r="AN767" i="1"/>
  <c r="BA767" i="1" s="1"/>
  <c r="AN768" i="1"/>
  <c r="BA768" i="1" s="1"/>
  <c r="AN769" i="1"/>
  <c r="BA769" i="1" s="1"/>
  <c r="AN770" i="1"/>
  <c r="BA770" i="1" s="1"/>
  <c r="AN771" i="1"/>
  <c r="BA771" i="1" s="1"/>
  <c r="AN772" i="1"/>
  <c r="BA772" i="1" s="1"/>
  <c r="AN773" i="1"/>
  <c r="BA773" i="1" s="1"/>
  <c r="AN774" i="1"/>
  <c r="BA774" i="1" s="1"/>
  <c r="AN775" i="1"/>
  <c r="BA775" i="1" s="1"/>
  <c r="AN776" i="1"/>
  <c r="BA776" i="1" s="1"/>
  <c r="AN777" i="1"/>
  <c r="BA777" i="1" s="1"/>
  <c r="AN778" i="1"/>
  <c r="BA778" i="1" s="1"/>
  <c r="AN779" i="1"/>
  <c r="BA779" i="1" s="1"/>
  <c r="AN780" i="1"/>
  <c r="BA780" i="1" s="1"/>
  <c r="AN781" i="1"/>
  <c r="BA781" i="1" s="1"/>
  <c r="AN782" i="1"/>
  <c r="BA782" i="1" s="1"/>
  <c r="AN783" i="1"/>
  <c r="BA783" i="1" s="1"/>
  <c r="AN784" i="1"/>
  <c r="BA784" i="1" s="1"/>
  <c r="AN785" i="1"/>
  <c r="BA785" i="1" s="1"/>
  <c r="AN786" i="1"/>
  <c r="BA786" i="1" s="1"/>
  <c r="AN787" i="1"/>
  <c r="BA787" i="1" s="1"/>
  <c r="AN788" i="1"/>
  <c r="BA788" i="1" s="1"/>
  <c r="AN789" i="1"/>
  <c r="BA789" i="1" s="1"/>
  <c r="AN790" i="1"/>
  <c r="BA790" i="1" s="1"/>
  <c r="AN791" i="1"/>
  <c r="BA791" i="1" s="1"/>
  <c r="AN792" i="1"/>
  <c r="BA792" i="1" s="1"/>
  <c r="AN793" i="1"/>
  <c r="BA793" i="1" s="1"/>
  <c r="AN794" i="1"/>
  <c r="BA794" i="1" s="1"/>
  <c r="AN795" i="1"/>
  <c r="BA795" i="1" s="1"/>
  <c r="AN796" i="1"/>
  <c r="BA796" i="1" s="1"/>
  <c r="AN797" i="1"/>
  <c r="BA797" i="1" s="1"/>
  <c r="AN798" i="1"/>
  <c r="BA798" i="1" s="1"/>
  <c r="AN799" i="1"/>
  <c r="BA799" i="1" s="1"/>
  <c r="AN800" i="1"/>
  <c r="BA800" i="1" s="1"/>
  <c r="AN801" i="1"/>
  <c r="BA801" i="1" s="1"/>
  <c r="AN802" i="1"/>
  <c r="BA802" i="1" s="1"/>
  <c r="AN803" i="1"/>
  <c r="BA803" i="1" s="1"/>
  <c r="AN804" i="1"/>
  <c r="BA804" i="1" s="1"/>
  <c r="AN805" i="1"/>
  <c r="BA805" i="1" s="1"/>
  <c r="AN806" i="1"/>
  <c r="BA806" i="1" s="1"/>
  <c r="AN807" i="1"/>
  <c r="BA807" i="1" s="1"/>
  <c r="AN808" i="1"/>
  <c r="BA808" i="1" s="1"/>
  <c r="AN809" i="1"/>
  <c r="BA809" i="1" s="1"/>
  <c r="AN810" i="1"/>
  <c r="BA810" i="1" s="1"/>
  <c r="AN811" i="1"/>
  <c r="BA811" i="1" s="1"/>
  <c r="AN812" i="1"/>
  <c r="BA812" i="1" s="1"/>
  <c r="AN813" i="1"/>
  <c r="BA813" i="1" s="1"/>
  <c r="AN814" i="1"/>
  <c r="BA814" i="1" s="1"/>
  <c r="AN815" i="1"/>
  <c r="BA815" i="1" s="1"/>
  <c r="AN816" i="1"/>
  <c r="BA816" i="1" s="1"/>
  <c r="AN817" i="1"/>
  <c r="BA817" i="1" s="1"/>
  <c r="AN818" i="1"/>
  <c r="BA818" i="1" s="1"/>
  <c r="AN819" i="1"/>
  <c r="BA819" i="1" s="1"/>
  <c r="AN820" i="1"/>
  <c r="BA820" i="1" s="1"/>
  <c r="AN821" i="1"/>
  <c r="BA821" i="1" s="1"/>
  <c r="AN822" i="1"/>
  <c r="BA822" i="1" s="1"/>
  <c r="AN823" i="1"/>
  <c r="BA823" i="1" s="1"/>
  <c r="AN824" i="1"/>
  <c r="BA824" i="1" s="1"/>
  <c r="AN825" i="1"/>
  <c r="BA825" i="1" s="1"/>
  <c r="AN826" i="1"/>
  <c r="BA826" i="1" s="1"/>
  <c r="AN827" i="1"/>
  <c r="BA827" i="1" s="1"/>
  <c r="AN828" i="1"/>
  <c r="BA828" i="1" s="1"/>
  <c r="AN829" i="1"/>
  <c r="BA829" i="1" s="1"/>
  <c r="AN830" i="1"/>
  <c r="BA830" i="1" s="1"/>
  <c r="AN831" i="1"/>
  <c r="BA831" i="1" s="1"/>
  <c r="AN832" i="1"/>
  <c r="BA832" i="1" s="1"/>
  <c r="AN833" i="1"/>
  <c r="BA833" i="1" s="1"/>
  <c r="AN834" i="1"/>
  <c r="BA834" i="1" s="1"/>
  <c r="AN835" i="1"/>
  <c r="BA835" i="1" s="1"/>
  <c r="AN836" i="1"/>
  <c r="BA836" i="1" s="1"/>
  <c r="AN837" i="1"/>
  <c r="BA837" i="1" s="1"/>
  <c r="AN838" i="1"/>
  <c r="BA838" i="1" s="1"/>
  <c r="AN839" i="1"/>
  <c r="BA839" i="1" s="1"/>
  <c r="AN840" i="1"/>
  <c r="BA840" i="1" s="1"/>
  <c r="AN841" i="1"/>
  <c r="BA841" i="1" s="1"/>
  <c r="AN842" i="1"/>
  <c r="BA842" i="1" s="1"/>
  <c r="AN843" i="1"/>
  <c r="BA843" i="1" s="1"/>
  <c r="AN844" i="1"/>
  <c r="BA844" i="1" s="1"/>
  <c r="AN845" i="1"/>
  <c r="BA845" i="1" s="1"/>
  <c r="AN846" i="1"/>
  <c r="BA846" i="1" s="1"/>
  <c r="AN847" i="1"/>
  <c r="BA847" i="1" s="1"/>
  <c r="AN848" i="1"/>
  <c r="BA848" i="1" s="1"/>
  <c r="AN849" i="1"/>
  <c r="BA849" i="1" s="1"/>
  <c r="AN850" i="1"/>
  <c r="BA850" i="1" s="1"/>
  <c r="AN851" i="1"/>
  <c r="BA851" i="1" s="1"/>
  <c r="AN852" i="1"/>
  <c r="BA852" i="1" s="1"/>
  <c r="AN853" i="1"/>
  <c r="BA853" i="1" s="1"/>
  <c r="AN854" i="1"/>
  <c r="BA854" i="1" s="1"/>
  <c r="AN855" i="1"/>
  <c r="BA855" i="1" s="1"/>
  <c r="AN856" i="1"/>
  <c r="BA856" i="1" s="1"/>
  <c r="AN857" i="1"/>
  <c r="BA857" i="1" s="1"/>
  <c r="AN858" i="1"/>
  <c r="BA858" i="1" s="1"/>
  <c r="AN859" i="1"/>
  <c r="BA859" i="1" s="1"/>
  <c r="AN860" i="1"/>
  <c r="BA860" i="1" s="1"/>
  <c r="AN861" i="1"/>
  <c r="BA861" i="1" s="1"/>
  <c r="AN862" i="1"/>
  <c r="BA862" i="1" s="1"/>
  <c r="AN863" i="1"/>
  <c r="BA863" i="1" s="1"/>
  <c r="AN864" i="1"/>
  <c r="BA864" i="1" s="1"/>
  <c r="AN865" i="1"/>
  <c r="BA865" i="1" s="1"/>
  <c r="AN866" i="1"/>
  <c r="BA866" i="1" s="1"/>
  <c r="AN867" i="1"/>
  <c r="BA867" i="1" s="1"/>
  <c r="AN868" i="1"/>
  <c r="BA868" i="1" s="1"/>
  <c r="AN869" i="1"/>
  <c r="BA869" i="1" s="1"/>
  <c r="AN870" i="1"/>
  <c r="BA870" i="1" s="1"/>
  <c r="AN871" i="1"/>
  <c r="BA871" i="1" s="1"/>
  <c r="AN872" i="1"/>
  <c r="BA872" i="1" s="1"/>
  <c r="AN873" i="1"/>
  <c r="BA873" i="1" s="1"/>
  <c r="AN874" i="1"/>
  <c r="BA874" i="1" s="1"/>
  <c r="AN875" i="1"/>
  <c r="BA875" i="1" s="1"/>
  <c r="AN876" i="1"/>
  <c r="BA876" i="1" s="1"/>
  <c r="AN877" i="1"/>
  <c r="BA877" i="1" s="1"/>
  <c r="AN878" i="1"/>
  <c r="BA878" i="1" s="1"/>
  <c r="AN879" i="1"/>
  <c r="BA879" i="1" s="1"/>
  <c r="AN880" i="1"/>
  <c r="BA880" i="1" s="1"/>
  <c r="AN881" i="1"/>
  <c r="BA881" i="1" s="1"/>
  <c r="AN882" i="1"/>
  <c r="BA882" i="1" s="1"/>
  <c r="AN883" i="1"/>
  <c r="BA883" i="1" s="1"/>
  <c r="AN884" i="1"/>
  <c r="BA884" i="1" s="1"/>
  <c r="AN885" i="1"/>
  <c r="BA885" i="1" s="1"/>
  <c r="AN886" i="1"/>
  <c r="BA886" i="1" s="1"/>
  <c r="AN887" i="1"/>
  <c r="BA887" i="1" s="1"/>
  <c r="AN888" i="1"/>
  <c r="BA888" i="1" s="1"/>
  <c r="AN889" i="1"/>
  <c r="BA889" i="1" s="1"/>
  <c r="AN890" i="1"/>
  <c r="BA890" i="1" s="1"/>
  <c r="AN891" i="1"/>
  <c r="BA891" i="1" s="1"/>
  <c r="AN892" i="1"/>
  <c r="BA892" i="1" s="1"/>
  <c r="AN893" i="1"/>
  <c r="BA893" i="1" s="1"/>
  <c r="AN894" i="1"/>
  <c r="BA894" i="1" s="1"/>
  <c r="AN895" i="1"/>
  <c r="BA895" i="1" s="1"/>
  <c r="AN896" i="1"/>
  <c r="BA896" i="1" s="1"/>
  <c r="AN897" i="1"/>
  <c r="BA897" i="1" s="1"/>
  <c r="AN898" i="1"/>
  <c r="BA898" i="1" s="1"/>
  <c r="AN899" i="1"/>
  <c r="BA899" i="1" s="1"/>
  <c r="AN900" i="1"/>
  <c r="BA900" i="1" s="1"/>
  <c r="AN901" i="1"/>
  <c r="BA901" i="1" s="1"/>
  <c r="AN902" i="1"/>
  <c r="BA902" i="1" s="1"/>
  <c r="AN903" i="1"/>
  <c r="BA903" i="1" s="1"/>
  <c r="AN904" i="1"/>
  <c r="BA904" i="1" s="1"/>
  <c r="AN905" i="1"/>
  <c r="BA905" i="1" s="1"/>
  <c r="AN906" i="1"/>
  <c r="BA906" i="1" s="1"/>
  <c r="AN907" i="1"/>
  <c r="BA907" i="1" s="1"/>
  <c r="AN908" i="1"/>
  <c r="BA908" i="1" s="1"/>
  <c r="AN909" i="1"/>
  <c r="BA909" i="1" s="1"/>
  <c r="AN910" i="1"/>
  <c r="BA910" i="1" s="1"/>
  <c r="AN911" i="1"/>
  <c r="BA911" i="1" s="1"/>
  <c r="AN912" i="1"/>
  <c r="BA912" i="1" s="1"/>
  <c r="AN913" i="1"/>
  <c r="BA913" i="1" s="1"/>
  <c r="AN914" i="1"/>
  <c r="BA914" i="1" s="1"/>
  <c r="AN915" i="1"/>
  <c r="BA915" i="1" s="1"/>
  <c r="AN916" i="1"/>
  <c r="BA916" i="1" s="1"/>
  <c r="AN917" i="1"/>
  <c r="BA917" i="1" s="1"/>
  <c r="AN918" i="1"/>
  <c r="BA918" i="1" s="1"/>
  <c r="AN919" i="1"/>
  <c r="BA919" i="1" s="1"/>
  <c r="AN920" i="1"/>
  <c r="BA920" i="1" s="1"/>
  <c r="AN921" i="1"/>
  <c r="BA921" i="1" s="1"/>
  <c r="AN922" i="1"/>
  <c r="BA922" i="1" s="1"/>
  <c r="AN923" i="1"/>
  <c r="BA923" i="1" s="1"/>
  <c r="AN924" i="1"/>
  <c r="BA924" i="1" s="1"/>
  <c r="AN925" i="1"/>
  <c r="BA925" i="1" s="1"/>
  <c r="AN926" i="1"/>
  <c r="BA926" i="1" s="1"/>
  <c r="AN927" i="1"/>
  <c r="BA927" i="1" s="1"/>
  <c r="AN928" i="1"/>
  <c r="BA928" i="1" s="1"/>
  <c r="AN929" i="1"/>
  <c r="BA929" i="1" s="1"/>
  <c r="AN930" i="1"/>
  <c r="BA930" i="1" s="1"/>
  <c r="AN931" i="1"/>
  <c r="BA931" i="1" s="1"/>
  <c r="AN932" i="1"/>
  <c r="BA932" i="1" s="1"/>
  <c r="AN933" i="1"/>
  <c r="BA933" i="1" s="1"/>
  <c r="AN934" i="1"/>
  <c r="BA934" i="1" s="1"/>
  <c r="AN935" i="1"/>
  <c r="BA935" i="1" s="1"/>
  <c r="AN936" i="1"/>
  <c r="BA936" i="1" s="1"/>
  <c r="AN937" i="1"/>
  <c r="BA937" i="1" s="1"/>
  <c r="AN938" i="1"/>
  <c r="BA938" i="1" s="1"/>
  <c r="AN939" i="1"/>
  <c r="BA939" i="1" s="1"/>
  <c r="AN940" i="1"/>
  <c r="BA940" i="1" s="1"/>
  <c r="AN941" i="1"/>
  <c r="BA941" i="1" s="1"/>
  <c r="AN942" i="1"/>
  <c r="BA942" i="1" s="1"/>
  <c r="AN943" i="1"/>
  <c r="BA943" i="1" s="1"/>
  <c r="AN944" i="1"/>
  <c r="BA944" i="1" s="1"/>
  <c r="AN945" i="1"/>
  <c r="BA945" i="1" s="1"/>
  <c r="AN946" i="1"/>
  <c r="BA946" i="1" s="1"/>
  <c r="AN947" i="1"/>
  <c r="BA947" i="1" s="1"/>
  <c r="AN948" i="1"/>
  <c r="BA948" i="1" s="1"/>
  <c r="AN949" i="1"/>
  <c r="BA949" i="1" s="1"/>
  <c r="AN950" i="1"/>
  <c r="BA950" i="1" s="1"/>
  <c r="AN951" i="1"/>
  <c r="BA951" i="1" s="1"/>
  <c r="AN952" i="1"/>
  <c r="BA952" i="1" s="1"/>
  <c r="AN953" i="1"/>
  <c r="BA953" i="1" s="1"/>
  <c r="AN954" i="1"/>
  <c r="BA954" i="1" s="1"/>
  <c r="AN955" i="1"/>
  <c r="BA955" i="1" s="1"/>
  <c r="AN956" i="1"/>
  <c r="BA956" i="1" s="1"/>
  <c r="AN957" i="1"/>
  <c r="BA957" i="1" s="1"/>
  <c r="AN958" i="1"/>
  <c r="BA958" i="1" s="1"/>
  <c r="AN959" i="1"/>
  <c r="BA959" i="1" s="1"/>
  <c r="AN960" i="1"/>
  <c r="BA960" i="1" s="1"/>
  <c r="AN961" i="1"/>
  <c r="BA961" i="1" s="1"/>
  <c r="AN962" i="1"/>
  <c r="BA962" i="1" s="1"/>
  <c r="AN963" i="1"/>
  <c r="BA963" i="1" s="1"/>
  <c r="AN964" i="1"/>
  <c r="BA964" i="1" s="1"/>
  <c r="AN965" i="1"/>
  <c r="BA965" i="1" s="1"/>
  <c r="AN966" i="1"/>
  <c r="BA966" i="1" s="1"/>
  <c r="AN967" i="1"/>
  <c r="BA967" i="1" s="1"/>
  <c r="AN968" i="1"/>
  <c r="BA968" i="1" s="1"/>
  <c r="AN969" i="1"/>
  <c r="BA969" i="1" s="1"/>
  <c r="AN970" i="1"/>
  <c r="BA970" i="1" s="1"/>
  <c r="AN971" i="1"/>
  <c r="BA971" i="1" s="1"/>
  <c r="AN972" i="1"/>
  <c r="BA972" i="1" s="1"/>
  <c r="AN973" i="1"/>
  <c r="BA973" i="1" s="1"/>
  <c r="AN974" i="1"/>
  <c r="BA974" i="1" s="1"/>
  <c r="AN975" i="1"/>
  <c r="BA975" i="1" s="1"/>
  <c r="AN976" i="1"/>
  <c r="BA976" i="1" s="1"/>
  <c r="AN977" i="1"/>
  <c r="BA977" i="1" s="1"/>
  <c r="AN978" i="1"/>
  <c r="BA978" i="1" s="1"/>
  <c r="AN979" i="1"/>
  <c r="BA979" i="1" s="1"/>
  <c r="AN980" i="1"/>
  <c r="BA980" i="1" s="1"/>
  <c r="AN981" i="1"/>
  <c r="BA981" i="1" s="1"/>
  <c r="AN982" i="1"/>
  <c r="BA982" i="1" s="1"/>
  <c r="AN983" i="1"/>
  <c r="BA983" i="1" s="1"/>
  <c r="AN984" i="1"/>
  <c r="BA984" i="1" s="1"/>
  <c r="AN985" i="1"/>
  <c r="BA985" i="1" s="1"/>
  <c r="AN986" i="1"/>
  <c r="BA986" i="1" s="1"/>
  <c r="AN987" i="1"/>
  <c r="BA987" i="1" s="1"/>
  <c r="AN988" i="1"/>
  <c r="BA988" i="1" s="1"/>
  <c r="AN989" i="1"/>
  <c r="BA989" i="1" s="1"/>
  <c r="AN990" i="1"/>
  <c r="BA990" i="1" s="1"/>
  <c r="AN991" i="1"/>
  <c r="BA991" i="1" s="1"/>
  <c r="AN992" i="1"/>
  <c r="BA992" i="1" s="1"/>
  <c r="AN993" i="1"/>
  <c r="BA993" i="1" s="1"/>
  <c r="AN994" i="1"/>
  <c r="BA994" i="1" s="1"/>
  <c r="AN995" i="1"/>
  <c r="BA995" i="1" s="1"/>
  <c r="AN996" i="1"/>
  <c r="BA996" i="1" s="1"/>
  <c r="AN997" i="1"/>
  <c r="BA997" i="1" s="1"/>
  <c r="AN998" i="1"/>
  <c r="BA998" i="1" s="1"/>
  <c r="AN999" i="1"/>
  <c r="BA999" i="1" s="1"/>
  <c r="AN1000" i="1"/>
  <c r="BA1000" i="1" s="1"/>
  <c r="AN1001" i="1"/>
  <c r="BA1001" i="1" s="1"/>
  <c r="AN1002" i="1"/>
  <c r="BA1002" i="1" s="1"/>
  <c r="AN1003" i="1"/>
  <c r="BA1003" i="1" s="1"/>
  <c r="AN1004" i="1"/>
  <c r="BA1004" i="1" s="1"/>
  <c r="AN1005" i="1"/>
  <c r="BA1005" i="1" s="1"/>
  <c r="AN1006" i="1"/>
  <c r="BA1006" i="1" s="1"/>
  <c r="AN1007" i="1"/>
  <c r="BA1007" i="1" s="1"/>
  <c r="AN1008" i="1"/>
  <c r="BA1008" i="1" s="1"/>
  <c r="AN1009" i="1"/>
  <c r="BA1009" i="1" s="1"/>
  <c r="AN1010" i="1"/>
  <c r="BA1010" i="1" s="1"/>
  <c r="AN1011" i="1"/>
  <c r="BA1011" i="1" s="1"/>
  <c r="AN1012" i="1"/>
  <c r="BA1012" i="1" s="1"/>
  <c r="AN1013" i="1"/>
  <c r="BA1013" i="1" s="1"/>
  <c r="AN1014" i="1"/>
  <c r="BA1014" i="1" s="1"/>
  <c r="AN1015" i="1"/>
  <c r="BA1015" i="1" s="1"/>
  <c r="AN1016" i="1"/>
  <c r="BA1016" i="1" s="1"/>
  <c r="AN1017" i="1"/>
  <c r="BA1017" i="1" s="1"/>
  <c r="AN1018" i="1"/>
  <c r="BA1018" i="1" s="1"/>
  <c r="AN1019" i="1"/>
  <c r="BA1019" i="1" s="1"/>
  <c r="AN1020" i="1"/>
  <c r="BA1020" i="1" s="1"/>
  <c r="AN1021" i="1"/>
  <c r="BA1021" i="1" s="1"/>
  <c r="AN1022" i="1"/>
  <c r="BA1022" i="1" s="1"/>
  <c r="AN1023" i="1"/>
  <c r="BA1023" i="1" s="1"/>
  <c r="AN1024" i="1"/>
  <c r="BA1024" i="1" s="1"/>
  <c r="AN1025" i="1"/>
  <c r="BA1025" i="1" s="1"/>
  <c r="AN1026" i="1"/>
  <c r="BA1026" i="1" s="1"/>
  <c r="AN1027" i="1"/>
  <c r="BA1027" i="1" s="1"/>
  <c r="AN1028" i="1"/>
  <c r="BA1028" i="1" s="1"/>
  <c r="AN1029" i="1"/>
  <c r="BA1029" i="1" s="1"/>
  <c r="AN1030" i="1"/>
  <c r="BA1030" i="1" s="1"/>
  <c r="AN1031" i="1"/>
  <c r="BA1031" i="1" s="1"/>
  <c r="AN1032" i="1"/>
  <c r="BA1032" i="1" s="1"/>
  <c r="AN1033" i="1"/>
  <c r="BA1033" i="1" s="1"/>
  <c r="AN1034" i="1"/>
  <c r="BA1034" i="1" s="1"/>
  <c r="AN1035" i="1"/>
  <c r="BA1035" i="1" s="1"/>
  <c r="AN1036" i="1"/>
  <c r="BA1036" i="1" s="1"/>
  <c r="AN1037" i="1"/>
  <c r="BA1037" i="1" s="1"/>
  <c r="AN1038" i="1"/>
  <c r="BA1038" i="1" s="1"/>
  <c r="AN1039" i="1"/>
  <c r="BA1039" i="1" s="1"/>
  <c r="AN1040" i="1"/>
  <c r="BA1040" i="1" s="1"/>
  <c r="AN1041" i="1"/>
  <c r="BA1041" i="1" s="1"/>
  <c r="AN1042" i="1"/>
  <c r="BA1042" i="1" s="1"/>
  <c r="AN1043" i="1"/>
  <c r="BA1043" i="1" s="1"/>
  <c r="AN1044" i="1"/>
  <c r="BA1044" i="1" s="1"/>
  <c r="AN1045" i="1"/>
  <c r="BA1045" i="1" s="1"/>
  <c r="AN1046" i="1"/>
  <c r="BA1046" i="1" s="1"/>
  <c r="AN1047" i="1"/>
  <c r="BA1047" i="1" s="1"/>
  <c r="AN1048" i="1"/>
  <c r="BA1048" i="1" s="1"/>
  <c r="AN1049" i="1"/>
  <c r="BA1049" i="1" s="1"/>
  <c r="AN1050" i="1"/>
  <c r="BA1050" i="1" s="1"/>
  <c r="AN1051" i="1"/>
  <c r="BA1051" i="1" s="1"/>
  <c r="AN1052" i="1"/>
  <c r="BA1052" i="1" s="1"/>
  <c r="AN1053" i="1"/>
  <c r="BA1053" i="1" s="1"/>
  <c r="AN1054" i="1"/>
  <c r="BA1054" i="1" s="1"/>
  <c r="AN1055" i="1"/>
  <c r="BA1055" i="1" s="1"/>
  <c r="AN1056" i="1"/>
  <c r="BA1056" i="1" s="1"/>
  <c r="AN1057" i="1"/>
  <c r="BA1057" i="1" s="1"/>
  <c r="AN1058" i="1"/>
  <c r="BA1058" i="1" s="1"/>
  <c r="AN1059" i="1"/>
  <c r="BA1059" i="1" s="1"/>
  <c r="AN1060" i="1"/>
  <c r="BA1060" i="1" s="1"/>
  <c r="AN1061" i="1"/>
  <c r="BA1061" i="1" s="1"/>
  <c r="AN1062" i="1"/>
  <c r="BA1062" i="1" s="1"/>
  <c r="AN1063" i="1"/>
  <c r="BA1063" i="1" s="1"/>
  <c r="AN1064" i="1"/>
  <c r="BA1064" i="1" s="1"/>
  <c r="AN1065" i="1"/>
  <c r="BA1065" i="1" s="1"/>
  <c r="AN1066" i="1"/>
  <c r="BA1066" i="1" s="1"/>
  <c r="AN1067" i="1"/>
  <c r="BA1067" i="1" s="1"/>
  <c r="AN1068" i="1"/>
  <c r="BA1068" i="1" s="1"/>
  <c r="AN1069" i="1"/>
  <c r="BA1069" i="1" s="1"/>
  <c r="AN1070" i="1"/>
  <c r="BA1070" i="1" s="1"/>
  <c r="AN1071" i="1"/>
  <c r="BA1071" i="1" s="1"/>
  <c r="AN1072" i="1"/>
  <c r="BA1072" i="1" s="1"/>
  <c r="AN1073" i="1"/>
  <c r="BA1073" i="1" s="1"/>
  <c r="AN1074" i="1"/>
  <c r="BA1074" i="1" s="1"/>
  <c r="AN1075" i="1"/>
  <c r="BA1075" i="1" s="1"/>
  <c r="AN1076" i="1"/>
  <c r="BA1076" i="1" s="1"/>
  <c r="AN1077" i="1"/>
  <c r="BA1077" i="1" s="1"/>
  <c r="AN1078" i="1"/>
  <c r="BA1078" i="1" s="1"/>
  <c r="AN1079" i="1"/>
  <c r="BA1079" i="1" s="1"/>
  <c r="AN1080" i="1"/>
  <c r="BA1080" i="1" s="1"/>
  <c r="AN1081" i="1"/>
  <c r="BA1081" i="1" s="1"/>
  <c r="AN1082" i="1"/>
  <c r="BA1082" i="1" s="1"/>
  <c r="AN1083" i="1"/>
  <c r="BA1083" i="1" s="1"/>
  <c r="AN1084" i="1"/>
  <c r="BA1084" i="1" s="1"/>
  <c r="AN1085" i="1"/>
  <c r="BA1085" i="1" s="1"/>
  <c r="AN1086" i="1"/>
  <c r="BA1086" i="1" s="1"/>
  <c r="AN1087" i="1"/>
  <c r="BA1087" i="1" s="1"/>
  <c r="AN1088" i="1"/>
  <c r="BA1088" i="1" s="1"/>
  <c r="AN1089" i="1"/>
  <c r="BA1089" i="1" s="1"/>
  <c r="AN1090" i="1"/>
  <c r="BA1090" i="1" s="1"/>
  <c r="AN1091" i="1"/>
  <c r="BA1091" i="1" s="1"/>
  <c r="AN1092" i="1"/>
  <c r="BA1092" i="1" s="1"/>
  <c r="AN1093" i="1"/>
  <c r="BA1093" i="1" s="1"/>
  <c r="AN1094" i="1"/>
  <c r="BA1094" i="1" s="1"/>
  <c r="AN1095" i="1"/>
  <c r="BA1095" i="1" s="1"/>
  <c r="AN1096" i="1"/>
  <c r="BA1096" i="1" s="1"/>
  <c r="AN1097" i="1"/>
  <c r="BA1097" i="1" s="1"/>
  <c r="AN1098" i="1"/>
  <c r="BA1098" i="1" s="1"/>
  <c r="AN1099" i="1"/>
  <c r="BA1099" i="1" s="1"/>
  <c r="AN1100" i="1"/>
  <c r="BA1100" i="1" s="1"/>
  <c r="AN1101" i="1"/>
  <c r="BA1101" i="1" s="1"/>
  <c r="AN1102" i="1"/>
  <c r="BA1102" i="1" s="1"/>
  <c r="AN1103" i="1"/>
  <c r="BA1103" i="1" s="1"/>
  <c r="AN1104" i="1"/>
  <c r="BA1104" i="1" s="1"/>
  <c r="AN1105" i="1"/>
  <c r="BA1105" i="1" s="1"/>
  <c r="AN1106" i="1"/>
  <c r="BA1106" i="1" s="1"/>
  <c r="AN1107" i="1"/>
  <c r="BA1107" i="1" s="1"/>
  <c r="AN1108" i="1"/>
  <c r="BA1108" i="1" s="1"/>
  <c r="AN1109" i="1"/>
  <c r="BA1109" i="1" s="1"/>
  <c r="AN1110" i="1"/>
  <c r="BA1110" i="1" s="1"/>
  <c r="AN1111" i="1"/>
  <c r="BA1111" i="1" s="1"/>
  <c r="AN1112" i="1"/>
  <c r="BA1112" i="1" s="1"/>
  <c r="AN1113" i="1"/>
  <c r="BA1113" i="1" s="1"/>
  <c r="AN1114" i="1"/>
  <c r="BA1114" i="1" s="1"/>
  <c r="AN1115" i="1"/>
  <c r="BA1115" i="1" s="1"/>
  <c r="AN1116" i="1"/>
  <c r="BA1116" i="1" s="1"/>
  <c r="AN1117" i="1"/>
  <c r="BA1117" i="1" s="1"/>
  <c r="AN1118" i="1"/>
  <c r="BA1118" i="1" s="1"/>
  <c r="AN1119" i="1"/>
  <c r="BA1119" i="1" s="1"/>
  <c r="AN1120" i="1"/>
  <c r="BA1120" i="1" s="1"/>
  <c r="AN1121" i="1"/>
  <c r="BA1121" i="1" s="1"/>
  <c r="AN1122" i="1"/>
  <c r="BA1122" i="1" s="1"/>
  <c r="AN1123" i="1"/>
  <c r="BA1123" i="1" s="1"/>
  <c r="AN1124" i="1"/>
  <c r="BA1124" i="1" s="1"/>
  <c r="AN1125" i="1"/>
  <c r="BA1125" i="1" s="1"/>
  <c r="AN1126" i="1"/>
  <c r="BA1126" i="1" s="1"/>
  <c r="AN1127" i="1"/>
  <c r="BA1127" i="1" s="1"/>
  <c r="AN1128" i="1"/>
  <c r="BA1128" i="1" s="1"/>
  <c r="AN1129" i="1"/>
  <c r="BA1129" i="1" s="1"/>
  <c r="AN1130" i="1"/>
  <c r="BA1130" i="1" s="1"/>
  <c r="AN1131" i="1"/>
  <c r="BA1131" i="1" s="1"/>
  <c r="AN1132" i="1"/>
  <c r="BA1132" i="1" s="1"/>
  <c r="AN1133" i="1"/>
  <c r="BA1133" i="1" s="1"/>
  <c r="AN1134" i="1"/>
  <c r="BA1134" i="1" s="1"/>
  <c r="AN1135" i="1"/>
  <c r="BA1135" i="1" s="1"/>
  <c r="AN1136" i="1"/>
  <c r="BA1136" i="1" s="1"/>
  <c r="AN1137" i="1"/>
  <c r="BA1137" i="1" s="1"/>
  <c r="AN1138" i="1"/>
  <c r="BA1138" i="1" s="1"/>
  <c r="AN1139" i="1"/>
  <c r="BA1139" i="1" s="1"/>
  <c r="AN1140" i="1"/>
  <c r="BA1140" i="1" s="1"/>
  <c r="AN1141" i="1"/>
  <c r="BA1141" i="1" s="1"/>
  <c r="AN1142" i="1"/>
  <c r="BA1142" i="1" s="1"/>
  <c r="AN1143" i="1"/>
  <c r="BA1143" i="1" s="1"/>
  <c r="AN1144" i="1"/>
  <c r="BA1144" i="1" s="1"/>
  <c r="AN1145" i="1"/>
  <c r="BA1145" i="1" s="1"/>
  <c r="AN1146" i="1"/>
  <c r="BA1146" i="1" s="1"/>
  <c r="AN1147" i="1"/>
  <c r="BA1147" i="1" s="1"/>
  <c r="AN1148" i="1"/>
  <c r="BA1148" i="1" s="1"/>
  <c r="AN1149" i="1"/>
  <c r="BA1149" i="1" s="1"/>
  <c r="AN1150" i="1"/>
  <c r="BA1150" i="1" s="1"/>
  <c r="AN1151" i="1"/>
  <c r="BA1151" i="1" s="1"/>
  <c r="AN1152" i="1"/>
  <c r="BA1152" i="1" s="1"/>
  <c r="AN1153" i="1"/>
  <c r="BA1153" i="1" s="1"/>
  <c r="AN1154" i="1"/>
  <c r="BA1154" i="1" s="1"/>
  <c r="AN1155" i="1"/>
  <c r="BA1155" i="1" s="1"/>
  <c r="AN1156" i="1"/>
  <c r="BA1156" i="1" s="1"/>
  <c r="AN1157" i="1"/>
  <c r="BA1157" i="1" s="1"/>
  <c r="AN1158" i="1"/>
  <c r="BA1158" i="1" s="1"/>
  <c r="AN1159" i="1"/>
  <c r="BA1159" i="1" s="1"/>
  <c r="AN1160" i="1"/>
  <c r="BA1160" i="1" s="1"/>
  <c r="AN1161" i="1"/>
  <c r="BA1161" i="1" s="1"/>
  <c r="AN1162" i="1"/>
  <c r="BA1162" i="1" s="1"/>
  <c r="AN1163" i="1"/>
  <c r="BA1163" i="1" s="1"/>
  <c r="AN1164" i="1"/>
  <c r="BA1164" i="1" s="1"/>
  <c r="AN1165" i="1"/>
  <c r="BA1165" i="1" s="1"/>
  <c r="AN1166" i="1"/>
  <c r="BA1166" i="1" s="1"/>
  <c r="AN1167" i="1"/>
  <c r="BA1167" i="1" s="1"/>
  <c r="AN1168" i="1"/>
  <c r="BA1168" i="1" s="1"/>
  <c r="AN1169" i="1"/>
  <c r="BA1169" i="1" s="1"/>
  <c r="AN1170" i="1"/>
  <c r="BA1170" i="1" s="1"/>
  <c r="AN1171" i="1"/>
  <c r="BA1171" i="1" s="1"/>
  <c r="AN1172" i="1"/>
  <c r="BA1172" i="1" s="1"/>
  <c r="AN1173" i="1"/>
  <c r="BA1173" i="1" s="1"/>
  <c r="AN1174" i="1"/>
  <c r="BA1174" i="1" s="1"/>
  <c r="AN1175" i="1"/>
  <c r="BA1175" i="1" s="1"/>
  <c r="AN1176" i="1"/>
  <c r="BA1176" i="1" s="1"/>
  <c r="AN1177" i="1"/>
  <c r="BA1177" i="1" s="1"/>
  <c r="AN1178" i="1"/>
  <c r="BA1178" i="1" s="1"/>
  <c r="AN1179" i="1"/>
  <c r="BA1179" i="1" s="1"/>
  <c r="AN1180" i="1"/>
  <c r="BA1180" i="1" s="1"/>
  <c r="AN1181" i="1"/>
  <c r="BA1181" i="1" s="1"/>
  <c r="AN1182" i="1"/>
  <c r="BA1182" i="1" s="1"/>
  <c r="AN1183" i="1"/>
  <c r="BA1183" i="1" s="1"/>
  <c r="AN1184" i="1"/>
  <c r="BA1184" i="1" s="1"/>
  <c r="AN1185" i="1"/>
  <c r="BA1185" i="1" s="1"/>
  <c r="AN1186" i="1"/>
  <c r="BA1186" i="1" s="1"/>
  <c r="AN1187" i="1"/>
  <c r="BA1187" i="1" s="1"/>
  <c r="AN1188" i="1"/>
  <c r="BA1188" i="1" s="1"/>
  <c r="AN1189" i="1"/>
  <c r="BA1189" i="1" s="1"/>
  <c r="AN1190" i="1"/>
  <c r="BA1190" i="1" s="1"/>
  <c r="AN1191" i="1"/>
  <c r="BA1191" i="1" s="1"/>
  <c r="AN1192" i="1"/>
  <c r="BA1192" i="1" s="1"/>
  <c r="AN1193" i="1"/>
  <c r="BA1193" i="1" s="1"/>
  <c r="AN1194" i="1"/>
  <c r="BA1194" i="1" s="1"/>
  <c r="AN1195" i="1"/>
  <c r="BA1195" i="1" s="1"/>
  <c r="AN1196" i="1"/>
  <c r="BA1196" i="1" s="1"/>
  <c r="AN1197" i="1"/>
  <c r="BA1197" i="1" s="1"/>
  <c r="AN1198" i="1"/>
  <c r="BA1198" i="1" s="1"/>
  <c r="AN1199" i="1"/>
  <c r="BA1199" i="1" s="1"/>
  <c r="AN1200" i="1"/>
  <c r="BA1200" i="1" s="1"/>
  <c r="AN1201" i="1"/>
  <c r="BA1201" i="1" s="1"/>
  <c r="AN1202" i="1"/>
  <c r="BA1202" i="1" s="1"/>
  <c r="AN1203" i="1"/>
  <c r="BA1203" i="1" s="1"/>
  <c r="AN1204" i="1"/>
  <c r="BA1204" i="1" s="1"/>
  <c r="AN1205" i="1"/>
  <c r="BA1205" i="1" s="1"/>
  <c r="AN1206" i="1"/>
  <c r="BA1206" i="1" s="1"/>
  <c r="AN1207" i="1"/>
  <c r="BA1207" i="1" s="1"/>
  <c r="AN1208" i="1"/>
  <c r="BA1208" i="1" s="1"/>
  <c r="AN1209" i="1"/>
  <c r="BA1209" i="1" s="1"/>
  <c r="AN1210" i="1"/>
  <c r="BA1210" i="1" s="1"/>
  <c r="AN1211" i="1"/>
  <c r="BA1211" i="1" s="1"/>
  <c r="AN1212" i="1"/>
  <c r="BA1212" i="1" s="1"/>
  <c r="AN1213" i="1"/>
  <c r="BA1213" i="1" s="1"/>
  <c r="AN1214" i="1"/>
  <c r="BA1214" i="1" s="1"/>
  <c r="AN1215" i="1"/>
  <c r="BA1215" i="1" s="1"/>
  <c r="AN1216" i="1"/>
  <c r="BA1216" i="1" s="1"/>
  <c r="AN1217" i="1"/>
  <c r="BA1217" i="1" s="1"/>
  <c r="AN1218" i="1"/>
  <c r="BA1218" i="1" s="1"/>
  <c r="AN1219" i="1"/>
  <c r="BA1219" i="1" s="1"/>
  <c r="AN1220" i="1"/>
  <c r="BA1220" i="1" s="1"/>
  <c r="AN1221" i="1"/>
  <c r="BA1221" i="1" s="1"/>
  <c r="AN1222" i="1"/>
  <c r="BA1222" i="1" s="1"/>
  <c r="AN1223" i="1"/>
  <c r="BA1223" i="1" s="1"/>
  <c r="AN1224" i="1"/>
  <c r="BA1224" i="1" s="1"/>
  <c r="AN1225" i="1"/>
  <c r="BA1225" i="1" s="1"/>
  <c r="AN1226" i="1"/>
  <c r="BA1226" i="1" s="1"/>
  <c r="AN1227" i="1"/>
  <c r="BA1227" i="1" s="1"/>
  <c r="AN1228" i="1"/>
  <c r="BA1228" i="1" s="1"/>
  <c r="AN1229" i="1"/>
  <c r="BA1229" i="1" s="1"/>
  <c r="AN1230" i="1"/>
  <c r="BA1230" i="1" s="1"/>
  <c r="AN1231" i="1"/>
  <c r="BA1231" i="1" s="1"/>
  <c r="AN1232" i="1"/>
  <c r="BA1232" i="1" s="1"/>
  <c r="AN1233" i="1"/>
  <c r="BA1233" i="1" s="1"/>
  <c r="AN1234" i="1"/>
  <c r="BA1234" i="1" s="1"/>
  <c r="AN1235" i="1"/>
  <c r="BA1235" i="1" s="1"/>
  <c r="AN1236" i="1"/>
  <c r="BA1236" i="1" s="1"/>
  <c r="AN1237" i="1"/>
  <c r="BA1237" i="1" s="1"/>
  <c r="AN1238" i="1"/>
  <c r="BA1238" i="1" s="1"/>
  <c r="AN1239" i="1"/>
  <c r="BA1239" i="1" s="1"/>
  <c r="AN1240" i="1"/>
  <c r="BA1240" i="1" s="1"/>
  <c r="AN1241" i="1"/>
  <c r="BA1241" i="1" s="1"/>
  <c r="AN1242" i="1"/>
  <c r="BA1242" i="1" s="1"/>
  <c r="AN1243" i="1"/>
  <c r="BA1243" i="1" s="1"/>
  <c r="AN1244" i="1"/>
  <c r="BA1244" i="1" s="1"/>
  <c r="AN1245" i="1"/>
  <c r="BA1245" i="1" s="1"/>
  <c r="AN1246" i="1"/>
  <c r="BA1246" i="1" s="1"/>
  <c r="AN1247" i="1"/>
  <c r="BA1247" i="1" s="1"/>
  <c r="AN1248" i="1"/>
  <c r="BA1248" i="1" s="1"/>
  <c r="AN1249" i="1"/>
  <c r="BA1249" i="1" s="1"/>
  <c r="AN1250" i="1"/>
  <c r="BA1250" i="1" s="1"/>
  <c r="AN1251" i="1"/>
  <c r="BA1251" i="1" s="1"/>
  <c r="AN1252" i="1"/>
  <c r="BA1252" i="1" s="1"/>
  <c r="AN1253" i="1"/>
  <c r="BA1253" i="1" s="1"/>
  <c r="AN1254" i="1"/>
  <c r="BA1254" i="1" s="1"/>
  <c r="AN1255" i="1"/>
  <c r="BA1255" i="1" s="1"/>
  <c r="AN1256" i="1"/>
  <c r="BA1256" i="1" s="1"/>
  <c r="AN1257" i="1"/>
  <c r="BA1257" i="1" s="1"/>
  <c r="AN1258" i="1"/>
  <c r="BA1258" i="1" s="1"/>
  <c r="AN1259" i="1"/>
  <c r="BA1259" i="1" s="1"/>
  <c r="AN1260" i="1"/>
  <c r="BA1260" i="1" s="1"/>
  <c r="AN1261" i="1"/>
  <c r="BA1261" i="1" s="1"/>
  <c r="AN1262" i="1"/>
  <c r="BA1262" i="1" s="1"/>
  <c r="AN1263" i="1"/>
  <c r="BA1263" i="1" s="1"/>
  <c r="AN1264" i="1"/>
  <c r="BA1264" i="1" s="1"/>
  <c r="AN1265" i="1"/>
  <c r="BA1265" i="1" s="1"/>
  <c r="AN1266" i="1"/>
  <c r="BA1266" i="1" s="1"/>
  <c r="AN1267" i="1"/>
  <c r="BA1267" i="1" s="1"/>
  <c r="AN1268" i="1"/>
  <c r="BA1268" i="1" s="1"/>
  <c r="AN1269" i="1"/>
  <c r="BA1269" i="1" s="1"/>
  <c r="AN1270" i="1"/>
  <c r="BA1270" i="1" s="1"/>
  <c r="AN1271" i="1"/>
  <c r="BA1271" i="1" s="1"/>
  <c r="AN1272" i="1"/>
  <c r="BA1272" i="1" s="1"/>
  <c r="AN1273" i="1"/>
  <c r="BA1273" i="1" s="1"/>
  <c r="AN1274" i="1"/>
  <c r="BA1274" i="1" s="1"/>
  <c r="AN1275" i="1"/>
  <c r="BA1275" i="1" s="1"/>
  <c r="AN1276" i="1"/>
  <c r="BA1276" i="1" s="1"/>
  <c r="AN1277" i="1"/>
  <c r="BA1277" i="1" s="1"/>
  <c r="AN1278" i="1"/>
  <c r="BA1278" i="1" s="1"/>
  <c r="AN1279" i="1"/>
  <c r="BA1279" i="1" s="1"/>
  <c r="AN1280" i="1"/>
  <c r="BA1280" i="1" s="1"/>
  <c r="AN1281" i="1"/>
  <c r="BA1281" i="1" s="1"/>
  <c r="AN1282" i="1"/>
  <c r="BA1282" i="1" s="1"/>
  <c r="AN1283" i="1"/>
  <c r="BA1283" i="1" s="1"/>
  <c r="AN1284" i="1"/>
  <c r="BA1284" i="1" s="1"/>
  <c r="AN1285" i="1"/>
  <c r="BA1285" i="1" s="1"/>
  <c r="AN1286" i="1"/>
  <c r="BA1286" i="1" s="1"/>
  <c r="AN1287" i="1"/>
  <c r="BA1287" i="1" s="1"/>
  <c r="AN1288" i="1"/>
  <c r="BA1288" i="1" s="1"/>
  <c r="AN1289" i="1"/>
  <c r="BA1289" i="1" s="1"/>
  <c r="AN1290" i="1"/>
  <c r="BA1290" i="1" s="1"/>
  <c r="AN1291" i="1"/>
  <c r="BA1291" i="1" s="1"/>
  <c r="AN1292" i="1"/>
  <c r="BA1292" i="1" s="1"/>
  <c r="AN1293" i="1"/>
  <c r="BA1293" i="1" s="1"/>
  <c r="AN1294" i="1"/>
  <c r="BA1294" i="1" s="1"/>
  <c r="AN1295" i="1"/>
  <c r="BA1295" i="1" s="1"/>
  <c r="AN1296" i="1"/>
  <c r="BA1296" i="1" s="1"/>
  <c r="AN1297" i="1"/>
  <c r="BA1297" i="1" s="1"/>
  <c r="AN1298" i="1"/>
  <c r="BA1298" i="1" s="1"/>
  <c r="AN1299" i="1"/>
  <c r="BA1299" i="1" s="1"/>
  <c r="AN1300" i="1"/>
  <c r="BA1300" i="1" s="1"/>
  <c r="AN1301" i="1"/>
  <c r="BA1301" i="1" s="1"/>
  <c r="AN1302" i="1"/>
  <c r="BA1302" i="1" s="1"/>
  <c r="AN1303" i="1"/>
  <c r="BA1303" i="1" s="1"/>
  <c r="AN1304" i="1"/>
  <c r="BA1304" i="1" s="1"/>
  <c r="AN1305" i="1"/>
  <c r="BA1305" i="1" s="1"/>
  <c r="AN1306" i="1"/>
  <c r="BA1306" i="1" s="1"/>
  <c r="AN1307" i="1"/>
  <c r="BA1307" i="1" s="1"/>
  <c r="AN1308" i="1"/>
  <c r="BA1308" i="1" s="1"/>
  <c r="AN1309" i="1"/>
  <c r="BA1309" i="1" s="1"/>
  <c r="AN1310" i="1"/>
  <c r="BA1310" i="1" s="1"/>
  <c r="AN1311" i="1"/>
  <c r="BA1311" i="1" s="1"/>
  <c r="AN1312" i="1"/>
  <c r="BA1312" i="1" s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58" i="1"/>
  <c r="AM259" i="1"/>
  <c r="AM260" i="1"/>
  <c r="AM261" i="1"/>
  <c r="AM262" i="1"/>
  <c r="AM263" i="1"/>
  <c r="AM264" i="1"/>
  <c r="AM265" i="1"/>
  <c r="AM266" i="1"/>
  <c r="AM267" i="1"/>
  <c r="AM268" i="1"/>
  <c r="AM269" i="1"/>
  <c r="AM270" i="1"/>
  <c r="AM271" i="1"/>
  <c r="AM272" i="1"/>
  <c r="AM273" i="1"/>
  <c r="AM274" i="1"/>
  <c r="AM275" i="1"/>
  <c r="AM276" i="1"/>
  <c r="AM277" i="1"/>
  <c r="AM278" i="1"/>
  <c r="AM279" i="1"/>
  <c r="AM280" i="1"/>
  <c r="AM281" i="1"/>
  <c r="AM282" i="1"/>
  <c r="AM283" i="1"/>
  <c r="AM284" i="1"/>
  <c r="AM285" i="1"/>
  <c r="AM286" i="1"/>
  <c r="AM287" i="1"/>
  <c r="AM288" i="1"/>
  <c r="AM289" i="1"/>
  <c r="AM290" i="1"/>
  <c r="AM291" i="1"/>
  <c r="AM292" i="1"/>
  <c r="AM293" i="1"/>
  <c r="AM294" i="1"/>
  <c r="AM295" i="1"/>
  <c r="AM296" i="1"/>
  <c r="AM297" i="1"/>
  <c r="AM298" i="1"/>
  <c r="AM299" i="1"/>
  <c r="AM300" i="1"/>
  <c r="AM301" i="1"/>
  <c r="AM302" i="1"/>
  <c r="AM303" i="1"/>
  <c r="AM304" i="1"/>
  <c r="AM305" i="1"/>
  <c r="AM306" i="1"/>
  <c r="AM307" i="1"/>
  <c r="AM308" i="1"/>
  <c r="AM309" i="1"/>
  <c r="AM310" i="1"/>
  <c r="AM311" i="1"/>
  <c r="AM312" i="1"/>
  <c r="AM313" i="1"/>
  <c r="AM314" i="1"/>
  <c r="AM315" i="1"/>
  <c r="AM316" i="1"/>
  <c r="AM317" i="1"/>
  <c r="AM318" i="1"/>
  <c r="AM319" i="1"/>
  <c r="AM320" i="1"/>
  <c r="AM321" i="1"/>
  <c r="AM322" i="1"/>
  <c r="AM323" i="1"/>
  <c r="AM324" i="1"/>
  <c r="AM325" i="1"/>
  <c r="AM326" i="1"/>
  <c r="AM327" i="1"/>
  <c r="AM328" i="1"/>
  <c r="AM329" i="1"/>
  <c r="AM330" i="1"/>
  <c r="AM331" i="1"/>
  <c r="AM332" i="1"/>
  <c r="AM333" i="1"/>
  <c r="AM334" i="1"/>
  <c r="AM335" i="1"/>
  <c r="AM336" i="1"/>
  <c r="AM337" i="1"/>
  <c r="AM338" i="1"/>
  <c r="AM339" i="1"/>
  <c r="AM340" i="1"/>
  <c r="AM341" i="1"/>
  <c r="AM342" i="1"/>
  <c r="AM343" i="1"/>
  <c r="AM344" i="1"/>
  <c r="AM345" i="1"/>
  <c r="AM346" i="1"/>
  <c r="AM347" i="1"/>
  <c r="AM348" i="1"/>
  <c r="AM349" i="1"/>
  <c r="AM350" i="1"/>
  <c r="AM351" i="1"/>
  <c r="AM352" i="1"/>
  <c r="AM353" i="1"/>
  <c r="AM354" i="1"/>
  <c r="AM355" i="1"/>
  <c r="AM356" i="1"/>
  <c r="AM357" i="1"/>
  <c r="AM358" i="1"/>
  <c r="AM359" i="1"/>
  <c r="AM360" i="1"/>
  <c r="AM361" i="1"/>
  <c r="AM362" i="1"/>
  <c r="AM363" i="1"/>
  <c r="AM364" i="1"/>
  <c r="AM365" i="1"/>
  <c r="AM366" i="1"/>
  <c r="AM367" i="1"/>
  <c r="AM368" i="1"/>
  <c r="AM369" i="1"/>
  <c r="AM370" i="1"/>
  <c r="AM371" i="1"/>
  <c r="AM372" i="1"/>
  <c r="AM373" i="1"/>
  <c r="AM374" i="1"/>
  <c r="AM375" i="1"/>
  <c r="AM376" i="1"/>
  <c r="AM377" i="1"/>
  <c r="AM378" i="1"/>
  <c r="AM379" i="1"/>
  <c r="AM380" i="1"/>
  <c r="AM381" i="1"/>
  <c r="AM382" i="1"/>
  <c r="AM383" i="1"/>
  <c r="AM384" i="1"/>
  <c r="AM385" i="1"/>
  <c r="AM386" i="1"/>
  <c r="AM387" i="1"/>
  <c r="AM388" i="1"/>
  <c r="AM389" i="1"/>
  <c r="AM390" i="1"/>
  <c r="AM391" i="1"/>
  <c r="AM392" i="1"/>
  <c r="AM393" i="1"/>
  <c r="AM394" i="1"/>
  <c r="AM395" i="1"/>
  <c r="AM396" i="1"/>
  <c r="AM397" i="1"/>
  <c r="AM398" i="1"/>
  <c r="AM399" i="1"/>
  <c r="AM400" i="1"/>
  <c r="AM401" i="1"/>
  <c r="AM402" i="1"/>
  <c r="AM403" i="1"/>
  <c r="AM404" i="1"/>
  <c r="AM405" i="1"/>
  <c r="AM406" i="1"/>
  <c r="AM407" i="1"/>
  <c r="AM408" i="1"/>
  <c r="AM409" i="1"/>
  <c r="AM410" i="1"/>
  <c r="AM411" i="1"/>
  <c r="AM412" i="1"/>
  <c r="AM413" i="1"/>
  <c r="AM414" i="1"/>
  <c r="AM415" i="1"/>
  <c r="AM416" i="1"/>
  <c r="AM417" i="1"/>
  <c r="AM418" i="1"/>
  <c r="AM419" i="1"/>
  <c r="AM420" i="1"/>
  <c r="AM421" i="1"/>
  <c r="AM422" i="1"/>
  <c r="AM423" i="1"/>
  <c r="AM424" i="1"/>
  <c r="AM425" i="1"/>
  <c r="AM426" i="1"/>
  <c r="AM427" i="1"/>
  <c r="AM428" i="1"/>
  <c r="AM429" i="1"/>
  <c r="AM430" i="1"/>
  <c r="AM431" i="1"/>
  <c r="AM432" i="1"/>
  <c r="AM433" i="1"/>
  <c r="AM434" i="1"/>
  <c r="AM435" i="1"/>
  <c r="AM436" i="1"/>
  <c r="AM437" i="1"/>
  <c r="AM438" i="1"/>
  <c r="AM439" i="1"/>
  <c r="AM440" i="1"/>
  <c r="AM441" i="1"/>
  <c r="AM442" i="1"/>
  <c r="AM443" i="1"/>
  <c r="AM444" i="1"/>
  <c r="AM445" i="1"/>
  <c r="AM446" i="1"/>
  <c r="AM447" i="1"/>
  <c r="AM448" i="1"/>
  <c r="AM449" i="1"/>
  <c r="AM450" i="1"/>
  <c r="AM451" i="1"/>
  <c r="AM452" i="1"/>
  <c r="AM453" i="1"/>
  <c r="AM454" i="1"/>
  <c r="AM455" i="1"/>
  <c r="AM456" i="1"/>
  <c r="AM457" i="1"/>
  <c r="AM458" i="1"/>
  <c r="AM459" i="1"/>
  <c r="AM460" i="1"/>
  <c r="AM461" i="1"/>
  <c r="AM462" i="1"/>
  <c r="AM463" i="1"/>
  <c r="AM464" i="1"/>
  <c r="AM465" i="1"/>
  <c r="AM466" i="1"/>
  <c r="AM467" i="1"/>
  <c r="AM468" i="1"/>
  <c r="AM469" i="1"/>
  <c r="AM470" i="1"/>
  <c r="AM471" i="1"/>
  <c r="AM472" i="1"/>
  <c r="AM473" i="1"/>
  <c r="AM474" i="1"/>
  <c r="AM475" i="1"/>
  <c r="AM476" i="1"/>
  <c r="AM477" i="1"/>
  <c r="AM478" i="1"/>
  <c r="AM479" i="1"/>
  <c r="AM480" i="1"/>
  <c r="AM481" i="1"/>
  <c r="AM482" i="1"/>
  <c r="AM483" i="1"/>
  <c r="AM484" i="1"/>
  <c r="AM485" i="1"/>
  <c r="AM486" i="1"/>
  <c r="AM487" i="1"/>
  <c r="AM488" i="1"/>
  <c r="AM489" i="1"/>
  <c r="AM490" i="1"/>
  <c r="AM491" i="1"/>
  <c r="AM492" i="1"/>
  <c r="AM493" i="1"/>
  <c r="AM494" i="1"/>
  <c r="AM495" i="1"/>
  <c r="AM496" i="1"/>
  <c r="AM497" i="1"/>
  <c r="AM498" i="1"/>
  <c r="AM499" i="1"/>
  <c r="AM500" i="1"/>
  <c r="AM501" i="1"/>
  <c r="AM502" i="1"/>
  <c r="AM503" i="1"/>
  <c r="AM504" i="1"/>
  <c r="AM505" i="1"/>
  <c r="AM506" i="1"/>
  <c r="AM507" i="1"/>
  <c r="AM508" i="1"/>
  <c r="AM509" i="1"/>
  <c r="AM510" i="1"/>
  <c r="AM511" i="1"/>
  <c r="AM512" i="1"/>
  <c r="AM513" i="1"/>
  <c r="AM514" i="1"/>
  <c r="AM515" i="1"/>
  <c r="AM516" i="1"/>
  <c r="AM517" i="1"/>
  <c r="AM518" i="1"/>
  <c r="AM519" i="1"/>
  <c r="AM520" i="1"/>
  <c r="AM521" i="1"/>
  <c r="AM522" i="1"/>
  <c r="AM523" i="1"/>
  <c r="AM524" i="1"/>
  <c r="AM525" i="1"/>
  <c r="AM526" i="1"/>
  <c r="AM527" i="1"/>
  <c r="AM528" i="1"/>
  <c r="AM529" i="1"/>
  <c r="AM530" i="1"/>
  <c r="AM531" i="1"/>
  <c r="AM532" i="1"/>
  <c r="AM533" i="1"/>
  <c r="AM534" i="1"/>
  <c r="AM535" i="1"/>
  <c r="AM536" i="1"/>
  <c r="AM537" i="1"/>
  <c r="AM538" i="1"/>
  <c r="AM539" i="1"/>
  <c r="AM540" i="1"/>
  <c r="AM541" i="1"/>
  <c r="AM542" i="1"/>
  <c r="AM543" i="1"/>
  <c r="AM544" i="1"/>
  <c r="AM545" i="1"/>
  <c r="AM546" i="1"/>
  <c r="AM547" i="1"/>
  <c r="AM548" i="1"/>
  <c r="AM549" i="1"/>
  <c r="AM550" i="1"/>
  <c r="AM551" i="1"/>
  <c r="AM552" i="1"/>
  <c r="AM553" i="1"/>
  <c r="AM554" i="1"/>
  <c r="AM555" i="1"/>
  <c r="AM556" i="1"/>
  <c r="AM557" i="1"/>
  <c r="AM558" i="1"/>
  <c r="AM559" i="1"/>
  <c r="AM560" i="1"/>
  <c r="AM561" i="1"/>
  <c r="AM562" i="1"/>
  <c r="AM563" i="1"/>
  <c r="AM564" i="1"/>
  <c r="AM565" i="1"/>
  <c r="AM566" i="1"/>
  <c r="AM567" i="1"/>
  <c r="AM568" i="1"/>
  <c r="AM569" i="1"/>
  <c r="AM570" i="1"/>
  <c r="AM571" i="1"/>
  <c r="AM572" i="1"/>
  <c r="AM573" i="1"/>
  <c r="AM574" i="1"/>
  <c r="AM575" i="1"/>
  <c r="AM576" i="1"/>
  <c r="AM577" i="1"/>
  <c r="AM578" i="1"/>
  <c r="AM579" i="1"/>
  <c r="AM580" i="1"/>
  <c r="AM581" i="1"/>
  <c r="AM582" i="1"/>
  <c r="AM583" i="1"/>
  <c r="AM584" i="1"/>
  <c r="AM585" i="1"/>
  <c r="AM586" i="1"/>
  <c r="AM587" i="1"/>
  <c r="AM588" i="1"/>
  <c r="AM589" i="1"/>
  <c r="AM590" i="1"/>
  <c r="AM591" i="1"/>
  <c r="AM592" i="1"/>
  <c r="AM593" i="1"/>
  <c r="AM594" i="1"/>
  <c r="AM595" i="1"/>
  <c r="AM596" i="1"/>
  <c r="AM597" i="1"/>
  <c r="AM598" i="1"/>
  <c r="AM599" i="1"/>
  <c r="AM600" i="1"/>
  <c r="AM601" i="1"/>
  <c r="AM602" i="1"/>
  <c r="AM603" i="1"/>
  <c r="AM604" i="1"/>
  <c r="AM605" i="1"/>
  <c r="AM606" i="1"/>
  <c r="AM607" i="1"/>
  <c r="AM608" i="1"/>
  <c r="AM609" i="1"/>
  <c r="AM610" i="1"/>
  <c r="AM611" i="1"/>
  <c r="AM612" i="1"/>
  <c r="AM613" i="1"/>
  <c r="AM614" i="1"/>
  <c r="AM615" i="1"/>
  <c r="AM616" i="1"/>
  <c r="AM617" i="1"/>
  <c r="AM618" i="1"/>
  <c r="AM619" i="1"/>
  <c r="AM620" i="1"/>
  <c r="AM621" i="1"/>
  <c r="AM622" i="1"/>
  <c r="AM623" i="1"/>
  <c r="AM624" i="1"/>
  <c r="AM625" i="1"/>
  <c r="AM626" i="1"/>
  <c r="AM627" i="1"/>
  <c r="AM628" i="1"/>
  <c r="AM629" i="1"/>
  <c r="AM630" i="1"/>
  <c r="AM631" i="1"/>
  <c r="AM632" i="1"/>
  <c r="AM633" i="1"/>
  <c r="AM634" i="1"/>
  <c r="AM635" i="1"/>
  <c r="AM636" i="1"/>
  <c r="AM637" i="1"/>
  <c r="AM638" i="1"/>
  <c r="AM639" i="1"/>
  <c r="AM640" i="1"/>
  <c r="AM641" i="1"/>
  <c r="AM642" i="1"/>
  <c r="AM643" i="1"/>
  <c r="AM644" i="1"/>
  <c r="AM645" i="1"/>
  <c r="AM646" i="1"/>
  <c r="AM647" i="1"/>
  <c r="AM648" i="1"/>
  <c r="AM649" i="1"/>
  <c r="AM650" i="1"/>
  <c r="AM651" i="1"/>
  <c r="AM652" i="1"/>
  <c r="AM653" i="1"/>
  <c r="AM654" i="1"/>
  <c r="AM655" i="1"/>
  <c r="AM656" i="1"/>
  <c r="AM657" i="1"/>
  <c r="AM658" i="1"/>
  <c r="AM659" i="1"/>
  <c r="AM660" i="1"/>
  <c r="AM661" i="1"/>
  <c r="AM662" i="1"/>
  <c r="AM663" i="1"/>
  <c r="AM664" i="1"/>
  <c r="AM665" i="1"/>
  <c r="AM666" i="1"/>
  <c r="AM667" i="1"/>
  <c r="AM668" i="1"/>
  <c r="AM669" i="1"/>
  <c r="AM670" i="1"/>
  <c r="AM671" i="1"/>
  <c r="AM672" i="1"/>
  <c r="AM673" i="1"/>
  <c r="AM674" i="1"/>
  <c r="AM675" i="1"/>
  <c r="AM676" i="1"/>
  <c r="AM677" i="1"/>
  <c r="AM678" i="1"/>
  <c r="AM679" i="1"/>
  <c r="AM680" i="1"/>
  <c r="AM681" i="1"/>
  <c r="AM682" i="1"/>
  <c r="AM683" i="1"/>
  <c r="AM684" i="1"/>
  <c r="AM685" i="1"/>
  <c r="AM686" i="1"/>
  <c r="AM687" i="1"/>
  <c r="AM688" i="1"/>
  <c r="AM689" i="1"/>
  <c r="AM690" i="1"/>
  <c r="AM691" i="1"/>
  <c r="AM692" i="1"/>
  <c r="AM693" i="1"/>
  <c r="AM694" i="1"/>
  <c r="AM695" i="1"/>
  <c r="AM696" i="1"/>
  <c r="AM697" i="1"/>
  <c r="AM698" i="1"/>
  <c r="AM699" i="1"/>
  <c r="AM700" i="1"/>
  <c r="AM701" i="1"/>
  <c r="AM702" i="1"/>
  <c r="AM703" i="1"/>
  <c r="AM704" i="1"/>
  <c r="AM705" i="1"/>
  <c r="AM706" i="1"/>
  <c r="AM707" i="1"/>
  <c r="AM708" i="1"/>
  <c r="AM709" i="1"/>
  <c r="AM710" i="1"/>
  <c r="AM711" i="1"/>
  <c r="AM712" i="1"/>
  <c r="AM713" i="1"/>
  <c r="AM714" i="1"/>
  <c r="AM715" i="1"/>
  <c r="AM716" i="1"/>
  <c r="AM717" i="1"/>
  <c r="AM718" i="1"/>
  <c r="AM719" i="1"/>
  <c r="AM720" i="1"/>
  <c r="AM721" i="1"/>
  <c r="AM722" i="1"/>
  <c r="AM723" i="1"/>
  <c r="AM724" i="1"/>
  <c r="AM725" i="1"/>
  <c r="AM726" i="1"/>
  <c r="AM727" i="1"/>
  <c r="AM728" i="1"/>
  <c r="AM729" i="1"/>
  <c r="AM730" i="1"/>
  <c r="AM731" i="1"/>
  <c r="AM732" i="1"/>
  <c r="AM733" i="1"/>
  <c r="AM734" i="1"/>
  <c r="AM735" i="1"/>
  <c r="AM736" i="1"/>
  <c r="AM737" i="1"/>
  <c r="AM738" i="1"/>
  <c r="AM739" i="1"/>
  <c r="AM740" i="1"/>
  <c r="AM741" i="1"/>
  <c r="AM742" i="1"/>
  <c r="AM743" i="1"/>
  <c r="AM744" i="1"/>
  <c r="AM745" i="1"/>
  <c r="AM746" i="1"/>
  <c r="AM747" i="1"/>
  <c r="AM748" i="1"/>
  <c r="AM749" i="1"/>
  <c r="AM750" i="1"/>
  <c r="AM751" i="1"/>
  <c r="AM752" i="1"/>
  <c r="AM753" i="1"/>
  <c r="AM754" i="1"/>
  <c r="AM755" i="1"/>
  <c r="AM756" i="1"/>
  <c r="AM757" i="1"/>
  <c r="AM758" i="1"/>
  <c r="AM759" i="1"/>
  <c r="AM760" i="1"/>
  <c r="AM761" i="1"/>
  <c r="AM762" i="1"/>
  <c r="AM763" i="1"/>
  <c r="AM764" i="1"/>
  <c r="AM765" i="1"/>
  <c r="AM766" i="1"/>
  <c r="AM767" i="1"/>
  <c r="AM768" i="1"/>
  <c r="AM769" i="1"/>
  <c r="AM770" i="1"/>
  <c r="AM771" i="1"/>
  <c r="AM772" i="1"/>
  <c r="AM773" i="1"/>
  <c r="AM774" i="1"/>
  <c r="AM775" i="1"/>
  <c r="AM776" i="1"/>
  <c r="AM777" i="1"/>
  <c r="AM778" i="1"/>
  <c r="AM779" i="1"/>
  <c r="AM780" i="1"/>
  <c r="AM781" i="1"/>
  <c r="AM782" i="1"/>
  <c r="AM783" i="1"/>
  <c r="AM784" i="1"/>
  <c r="AM785" i="1"/>
  <c r="AM786" i="1"/>
  <c r="AM787" i="1"/>
  <c r="AM788" i="1"/>
  <c r="AM789" i="1"/>
  <c r="AM790" i="1"/>
  <c r="AM791" i="1"/>
  <c r="AM792" i="1"/>
  <c r="AM793" i="1"/>
  <c r="AM794" i="1"/>
  <c r="AM795" i="1"/>
  <c r="AM796" i="1"/>
  <c r="AM797" i="1"/>
  <c r="AM798" i="1"/>
  <c r="AM799" i="1"/>
  <c r="AM800" i="1"/>
  <c r="AM801" i="1"/>
  <c r="AM802" i="1"/>
  <c r="AM803" i="1"/>
  <c r="AM804" i="1"/>
  <c r="AM805" i="1"/>
  <c r="AM806" i="1"/>
  <c r="AM807" i="1"/>
  <c r="AM808" i="1"/>
  <c r="AM809" i="1"/>
  <c r="AM810" i="1"/>
  <c r="AM811" i="1"/>
  <c r="AM812" i="1"/>
  <c r="AM813" i="1"/>
  <c r="AM814" i="1"/>
  <c r="AM815" i="1"/>
  <c r="AM816" i="1"/>
  <c r="AM817" i="1"/>
  <c r="AM818" i="1"/>
  <c r="AM819" i="1"/>
  <c r="AM820" i="1"/>
  <c r="AM821" i="1"/>
  <c r="AM822" i="1"/>
  <c r="AM823" i="1"/>
  <c r="AM824" i="1"/>
  <c r="AM825" i="1"/>
  <c r="AM826" i="1"/>
  <c r="AM827" i="1"/>
  <c r="AM828" i="1"/>
  <c r="AM829" i="1"/>
  <c r="AM830" i="1"/>
  <c r="AM831" i="1"/>
  <c r="AM832" i="1"/>
  <c r="AM833" i="1"/>
  <c r="AM834" i="1"/>
  <c r="AM835" i="1"/>
  <c r="AM836" i="1"/>
  <c r="AM837" i="1"/>
  <c r="AM838" i="1"/>
  <c r="AM839" i="1"/>
  <c r="AM840" i="1"/>
  <c r="AM841" i="1"/>
  <c r="AM842" i="1"/>
  <c r="AM843" i="1"/>
  <c r="AM844" i="1"/>
  <c r="AM845" i="1"/>
  <c r="AM846" i="1"/>
  <c r="AM847" i="1"/>
  <c r="AM848" i="1"/>
  <c r="AM849" i="1"/>
  <c r="AM850" i="1"/>
  <c r="AM851" i="1"/>
  <c r="AM852" i="1"/>
  <c r="AM853" i="1"/>
  <c r="AM854" i="1"/>
  <c r="AM855" i="1"/>
  <c r="AM856" i="1"/>
  <c r="AM857" i="1"/>
  <c r="AM858" i="1"/>
  <c r="AM859" i="1"/>
  <c r="AM860" i="1"/>
  <c r="AM861" i="1"/>
  <c r="AM862" i="1"/>
  <c r="AM863" i="1"/>
  <c r="AM864" i="1"/>
  <c r="AM865" i="1"/>
  <c r="AM866" i="1"/>
  <c r="AM867" i="1"/>
  <c r="AM868" i="1"/>
  <c r="AM869" i="1"/>
  <c r="AM870" i="1"/>
  <c r="AM871" i="1"/>
  <c r="AM872" i="1"/>
  <c r="AM873" i="1"/>
  <c r="AM874" i="1"/>
  <c r="AM875" i="1"/>
  <c r="AM876" i="1"/>
  <c r="AM877" i="1"/>
  <c r="AM878" i="1"/>
  <c r="AM879" i="1"/>
  <c r="AM880" i="1"/>
  <c r="AM881" i="1"/>
  <c r="AM882" i="1"/>
  <c r="AM883" i="1"/>
  <c r="AM884" i="1"/>
  <c r="AM885" i="1"/>
  <c r="AM886" i="1"/>
  <c r="AM887" i="1"/>
  <c r="AM888" i="1"/>
  <c r="AM889" i="1"/>
  <c r="AM890" i="1"/>
  <c r="AM891" i="1"/>
  <c r="AM892" i="1"/>
  <c r="AM893" i="1"/>
  <c r="AM894" i="1"/>
  <c r="AM895" i="1"/>
  <c r="AM896" i="1"/>
  <c r="AM897" i="1"/>
  <c r="AM898" i="1"/>
  <c r="AM899" i="1"/>
  <c r="AM900" i="1"/>
  <c r="AM901" i="1"/>
  <c r="AM902" i="1"/>
  <c r="AM903" i="1"/>
  <c r="AM904" i="1"/>
  <c r="AM905" i="1"/>
  <c r="AM906" i="1"/>
  <c r="AM907" i="1"/>
  <c r="AM908" i="1"/>
  <c r="AM909" i="1"/>
  <c r="AM910" i="1"/>
  <c r="AM911" i="1"/>
  <c r="AM912" i="1"/>
  <c r="AM913" i="1"/>
  <c r="AM914" i="1"/>
  <c r="AM915" i="1"/>
  <c r="AM916" i="1"/>
  <c r="AM917" i="1"/>
  <c r="AM918" i="1"/>
  <c r="AM919" i="1"/>
  <c r="AM920" i="1"/>
  <c r="AM921" i="1"/>
  <c r="AM922" i="1"/>
  <c r="AM923" i="1"/>
  <c r="AM924" i="1"/>
  <c r="AM925" i="1"/>
  <c r="AM926" i="1"/>
  <c r="AM927" i="1"/>
  <c r="AM928" i="1"/>
  <c r="AM929" i="1"/>
  <c r="AM930" i="1"/>
  <c r="AM931" i="1"/>
  <c r="AM932" i="1"/>
  <c r="AM933" i="1"/>
  <c r="AM934" i="1"/>
  <c r="AM935" i="1"/>
  <c r="AM936" i="1"/>
  <c r="AM937" i="1"/>
  <c r="AM938" i="1"/>
  <c r="AM939" i="1"/>
  <c r="AM940" i="1"/>
  <c r="AM941" i="1"/>
  <c r="AM942" i="1"/>
  <c r="AM943" i="1"/>
  <c r="AM944" i="1"/>
  <c r="AM945" i="1"/>
  <c r="AM946" i="1"/>
  <c r="AM947" i="1"/>
  <c r="AM948" i="1"/>
  <c r="AM949" i="1"/>
  <c r="AM950" i="1"/>
  <c r="AM951" i="1"/>
  <c r="AM952" i="1"/>
  <c r="AM953" i="1"/>
  <c r="AM954" i="1"/>
  <c r="AM955" i="1"/>
  <c r="AM956" i="1"/>
  <c r="AM957" i="1"/>
  <c r="AM958" i="1"/>
  <c r="AM959" i="1"/>
  <c r="AM960" i="1"/>
  <c r="AM961" i="1"/>
  <c r="AM962" i="1"/>
  <c r="AM963" i="1"/>
  <c r="AM964" i="1"/>
  <c r="AM965" i="1"/>
  <c r="AM966" i="1"/>
  <c r="AM967" i="1"/>
  <c r="AM968" i="1"/>
  <c r="AM969" i="1"/>
  <c r="AM970" i="1"/>
  <c r="AM971" i="1"/>
  <c r="AM972" i="1"/>
  <c r="AM973" i="1"/>
  <c r="AM974" i="1"/>
  <c r="AM975" i="1"/>
  <c r="AM976" i="1"/>
  <c r="AM977" i="1"/>
  <c r="AM978" i="1"/>
  <c r="AM979" i="1"/>
  <c r="AM980" i="1"/>
  <c r="AM981" i="1"/>
  <c r="AM982" i="1"/>
  <c r="AM983" i="1"/>
  <c r="AM984" i="1"/>
  <c r="AM985" i="1"/>
  <c r="AM986" i="1"/>
  <c r="AM987" i="1"/>
  <c r="AM988" i="1"/>
  <c r="AM989" i="1"/>
  <c r="AM990" i="1"/>
  <c r="AM991" i="1"/>
  <c r="AM992" i="1"/>
  <c r="AM993" i="1"/>
  <c r="AM994" i="1"/>
  <c r="AM995" i="1"/>
  <c r="AM996" i="1"/>
  <c r="AM997" i="1"/>
  <c r="AM998" i="1"/>
  <c r="AM999" i="1"/>
  <c r="AM1000" i="1"/>
  <c r="AM1001" i="1"/>
  <c r="AM1002" i="1"/>
  <c r="AM1003" i="1"/>
  <c r="AM1004" i="1"/>
  <c r="AM1005" i="1"/>
  <c r="AM1006" i="1"/>
  <c r="AM1007" i="1"/>
  <c r="AM1008" i="1"/>
  <c r="AM1009" i="1"/>
  <c r="AM1010" i="1"/>
  <c r="AM1011" i="1"/>
  <c r="AM1012" i="1"/>
  <c r="AM1013" i="1"/>
  <c r="AM1014" i="1"/>
  <c r="AM1015" i="1"/>
  <c r="AM1016" i="1"/>
  <c r="AM1017" i="1"/>
  <c r="AM1018" i="1"/>
  <c r="AM1019" i="1"/>
  <c r="AM1020" i="1"/>
  <c r="AM1021" i="1"/>
  <c r="AM1022" i="1"/>
  <c r="AM1023" i="1"/>
  <c r="AM1024" i="1"/>
  <c r="AM1025" i="1"/>
  <c r="AM1026" i="1"/>
  <c r="AM1027" i="1"/>
  <c r="AM1028" i="1"/>
  <c r="AM1029" i="1"/>
  <c r="AM1030" i="1"/>
  <c r="AM1031" i="1"/>
  <c r="AM1032" i="1"/>
  <c r="AM1033" i="1"/>
  <c r="AM1034" i="1"/>
  <c r="AM1035" i="1"/>
  <c r="AM1036" i="1"/>
  <c r="AM1037" i="1"/>
  <c r="AM1038" i="1"/>
  <c r="AM1039" i="1"/>
  <c r="AM1040" i="1"/>
  <c r="AM1041" i="1"/>
  <c r="AM1042" i="1"/>
  <c r="AM1043" i="1"/>
  <c r="AM1044" i="1"/>
  <c r="AM1045" i="1"/>
  <c r="AM1046" i="1"/>
  <c r="AM1047" i="1"/>
  <c r="AM1048" i="1"/>
  <c r="AM1049" i="1"/>
  <c r="AM1050" i="1"/>
  <c r="AM1051" i="1"/>
  <c r="AM1052" i="1"/>
  <c r="AM1053" i="1"/>
  <c r="AM1054" i="1"/>
  <c r="AM1055" i="1"/>
  <c r="AM1056" i="1"/>
  <c r="AM1057" i="1"/>
  <c r="AM1058" i="1"/>
  <c r="AM1059" i="1"/>
  <c r="AM1060" i="1"/>
  <c r="AM1061" i="1"/>
  <c r="AM1062" i="1"/>
  <c r="AM1063" i="1"/>
  <c r="AM1064" i="1"/>
  <c r="AM1065" i="1"/>
  <c r="AM1066" i="1"/>
  <c r="AM1067" i="1"/>
  <c r="AM1068" i="1"/>
  <c r="AM1069" i="1"/>
  <c r="AM1070" i="1"/>
  <c r="AM1071" i="1"/>
  <c r="AM1072" i="1"/>
  <c r="AM1073" i="1"/>
  <c r="AM1074" i="1"/>
  <c r="AM1075" i="1"/>
  <c r="AM1076" i="1"/>
  <c r="AM1077" i="1"/>
  <c r="AM1078" i="1"/>
  <c r="AM1079" i="1"/>
  <c r="AM1080" i="1"/>
  <c r="AM1081" i="1"/>
  <c r="AM1082" i="1"/>
  <c r="AM1083" i="1"/>
  <c r="AM1084" i="1"/>
  <c r="AM1085" i="1"/>
  <c r="AM1086" i="1"/>
  <c r="AM1087" i="1"/>
  <c r="AM1088" i="1"/>
  <c r="AM1089" i="1"/>
  <c r="AM1090" i="1"/>
  <c r="AM1091" i="1"/>
  <c r="AM1092" i="1"/>
  <c r="AM1093" i="1"/>
  <c r="AM1094" i="1"/>
  <c r="AM1095" i="1"/>
  <c r="AM1096" i="1"/>
  <c r="AM1097" i="1"/>
  <c r="AM1098" i="1"/>
  <c r="AM1099" i="1"/>
  <c r="AM1100" i="1"/>
  <c r="AM1101" i="1"/>
  <c r="AM1102" i="1"/>
  <c r="AM1103" i="1"/>
  <c r="AM1104" i="1"/>
  <c r="AM1105" i="1"/>
  <c r="AM1106" i="1"/>
  <c r="AM1107" i="1"/>
  <c r="AM1108" i="1"/>
  <c r="AM1109" i="1"/>
  <c r="AM1110" i="1"/>
  <c r="AM1111" i="1"/>
  <c r="AM1112" i="1"/>
  <c r="AM1113" i="1"/>
  <c r="AM1114" i="1"/>
  <c r="AM1115" i="1"/>
  <c r="AM1116" i="1"/>
  <c r="AM1117" i="1"/>
  <c r="AM1118" i="1"/>
  <c r="AM1119" i="1"/>
  <c r="AM1120" i="1"/>
  <c r="AM1121" i="1"/>
  <c r="AM1122" i="1"/>
  <c r="AM1123" i="1"/>
  <c r="AM1124" i="1"/>
  <c r="AM1125" i="1"/>
  <c r="AM1126" i="1"/>
  <c r="AM1127" i="1"/>
  <c r="AM1128" i="1"/>
  <c r="AM1129" i="1"/>
  <c r="AM1130" i="1"/>
  <c r="AM1131" i="1"/>
  <c r="AM1132" i="1"/>
  <c r="AM1133" i="1"/>
  <c r="AM1134" i="1"/>
  <c r="AM1135" i="1"/>
  <c r="AM1136" i="1"/>
  <c r="AM1137" i="1"/>
  <c r="AM1138" i="1"/>
  <c r="AM1139" i="1"/>
  <c r="AM1140" i="1"/>
  <c r="AM1141" i="1"/>
  <c r="AM1142" i="1"/>
  <c r="AM1143" i="1"/>
  <c r="AM1144" i="1"/>
  <c r="AM1145" i="1"/>
  <c r="AM1146" i="1"/>
  <c r="AM1147" i="1"/>
  <c r="AM1148" i="1"/>
  <c r="AM1149" i="1"/>
  <c r="AM1150" i="1"/>
  <c r="AM1151" i="1"/>
  <c r="AM1152" i="1"/>
  <c r="AM1153" i="1"/>
  <c r="AM1154" i="1"/>
  <c r="AM1155" i="1"/>
  <c r="AM1156" i="1"/>
  <c r="AM1157" i="1"/>
  <c r="AM1158" i="1"/>
  <c r="AM1159" i="1"/>
  <c r="AM1160" i="1"/>
  <c r="AM1161" i="1"/>
  <c r="AM1162" i="1"/>
  <c r="AM1163" i="1"/>
  <c r="AM1164" i="1"/>
  <c r="AM1165" i="1"/>
  <c r="AM1166" i="1"/>
  <c r="AM1167" i="1"/>
  <c r="AM1168" i="1"/>
  <c r="AM1169" i="1"/>
  <c r="AM1170" i="1"/>
  <c r="AM1171" i="1"/>
  <c r="AM1172" i="1"/>
  <c r="AM1173" i="1"/>
  <c r="AM1174" i="1"/>
  <c r="AM1175" i="1"/>
  <c r="AM1176" i="1"/>
  <c r="AM1177" i="1"/>
  <c r="AM1178" i="1"/>
  <c r="AM1179" i="1"/>
  <c r="AM1180" i="1"/>
  <c r="AM1181" i="1"/>
  <c r="AM1182" i="1"/>
  <c r="AM1183" i="1"/>
  <c r="AM1184" i="1"/>
  <c r="AM1185" i="1"/>
  <c r="AM1186" i="1"/>
  <c r="AM1187" i="1"/>
  <c r="AM1188" i="1"/>
  <c r="AM1189" i="1"/>
  <c r="AM1190" i="1"/>
  <c r="AM1191" i="1"/>
  <c r="AM1192" i="1"/>
  <c r="AM1193" i="1"/>
  <c r="AM1194" i="1"/>
  <c r="AM1195" i="1"/>
  <c r="AM1196" i="1"/>
  <c r="AM1197" i="1"/>
  <c r="AM1198" i="1"/>
  <c r="AM1199" i="1"/>
  <c r="AM1200" i="1"/>
  <c r="AM1201" i="1"/>
  <c r="AM1202" i="1"/>
  <c r="AM1203" i="1"/>
  <c r="AM1204" i="1"/>
  <c r="AM1205" i="1"/>
  <c r="AM1206" i="1"/>
  <c r="AM1207" i="1"/>
  <c r="AM1208" i="1"/>
  <c r="AM1209" i="1"/>
  <c r="AM1210" i="1"/>
  <c r="AM1211" i="1"/>
  <c r="AM1212" i="1"/>
  <c r="AM1213" i="1"/>
  <c r="AM1214" i="1"/>
  <c r="AM1215" i="1"/>
  <c r="AM1216" i="1"/>
  <c r="AM1217" i="1"/>
  <c r="AM1218" i="1"/>
  <c r="AM1219" i="1"/>
  <c r="AM1220" i="1"/>
  <c r="AM1221" i="1"/>
  <c r="AM1222" i="1"/>
  <c r="AM1223" i="1"/>
  <c r="AM1224" i="1"/>
  <c r="AM1225" i="1"/>
  <c r="AM1226" i="1"/>
  <c r="AM1227" i="1"/>
  <c r="AM1228" i="1"/>
  <c r="AM1229" i="1"/>
  <c r="AM1230" i="1"/>
  <c r="AM1231" i="1"/>
  <c r="AM1232" i="1"/>
  <c r="AM1233" i="1"/>
  <c r="AM1234" i="1"/>
  <c r="AM1235" i="1"/>
  <c r="AM1236" i="1"/>
  <c r="AM1237" i="1"/>
  <c r="AM1238" i="1"/>
  <c r="AM1239" i="1"/>
  <c r="AM1240" i="1"/>
  <c r="AM1241" i="1"/>
  <c r="AM1242" i="1"/>
  <c r="AM1243" i="1"/>
  <c r="AM1244" i="1"/>
  <c r="AM1245" i="1"/>
  <c r="AM1246" i="1"/>
  <c r="AM1247" i="1"/>
  <c r="AM1248" i="1"/>
  <c r="AM1249" i="1"/>
  <c r="AM1250" i="1"/>
  <c r="AM1251" i="1"/>
  <c r="AM1252" i="1"/>
  <c r="AM1253" i="1"/>
  <c r="AM1254" i="1"/>
  <c r="AM1255" i="1"/>
  <c r="AM1256" i="1"/>
  <c r="AM1257" i="1"/>
  <c r="AM1258" i="1"/>
  <c r="AM1259" i="1"/>
  <c r="AM1260" i="1"/>
  <c r="AM1261" i="1"/>
  <c r="AM1262" i="1"/>
  <c r="AM1263" i="1"/>
  <c r="AM1264" i="1"/>
  <c r="AM1265" i="1"/>
  <c r="AM1266" i="1"/>
  <c r="AM1267" i="1"/>
  <c r="AM1268" i="1"/>
  <c r="AM1269" i="1"/>
  <c r="AM1270" i="1"/>
  <c r="AM1271" i="1"/>
  <c r="AM1272" i="1"/>
  <c r="AM1273" i="1"/>
  <c r="AM1274" i="1"/>
  <c r="AM1275" i="1"/>
  <c r="AM1276" i="1"/>
  <c r="AM1277" i="1"/>
  <c r="AM1278" i="1"/>
  <c r="AM1279" i="1"/>
  <c r="AM1280" i="1"/>
  <c r="AM1281" i="1"/>
  <c r="AM1282" i="1"/>
  <c r="AM1283" i="1"/>
  <c r="AM1284" i="1"/>
  <c r="AM1285" i="1"/>
  <c r="AM1286" i="1"/>
  <c r="AM1287" i="1"/>
  <c r="AM1288" i="1"/>
  <c r="AM1289" i="1"/>
  <c r="AM1290" i="1"/>
  <c r="AM1291" i="1"/>
  <c r="AM1292" i="1"/>
  <c r="AM1293" i="1"/>
  <c r="AM1294" i="1"/>
  <c r="AM1295" i="1"/>
  <c r="AM1296" i="1"/>
  <c r="AM1297" i="1"/>
  <c r="AM1298" i="1"/>
  <c r="AM1299" i="1"/>
  <c r="AM1300" i="1"/>
  <c r="AM1301" i="1"/>
  <c r="AM1302" i="1"/>
  <c r="AM1303" i="1"/>
  <c r="AM1304" i="1"/>
  <c r="AM1305" i="1"/>
  <c r="AM1306" i="1"/>
  <c r="AM1307" i="1"/>
  <c r="AM1308" i="1"/>
  <c r="AM1309" i="1"/>
  <c r="AM1310" i="1"/>
  <c r="AM1311" i="1"/>
  <c r="AM1312" i="1"/>
  <c r="R15" i="14"/>
  <c r="BF30" i="14" l="1"/>
  <c r="BF194" i="14"/>
  <c r="BF219" i="14"/>
  <c r="BF125" i="14"/>
  <c r="BF253" i="14"/>
  <c r="BF246" i="14"/>
  <c r="BF207" i="14"/>
  <c r="BF31" i="14"/>
  <c r="BF232" i="14"/>
  <c r="BF28" i="14"/>
  <c r="BF227" i="14"/>
  <c r="BF214" i="14"/>
  <c r="BF224" i="14"/>
  <c r="BF220" i="14"/>
  <c r="BF211" i="14"/>
  <c r="BF53" i="14"/>
  <c r="BF23" i="14"/>
  <c r="BF250" i="14"/>
  <c r="BF197" i="14"/>
  <c r="BF226" i="14"/>
  <c r="BF231" i="14"/>
  <c r="BF167" i="14"/>
  <c r="BF205" i="14"/>
  <c r="BF209" i="14"/>
  <c r="BF215" i="14"/>
  <c r="BF126" i="14"/>
  <c r="BF222" i="14"/>
  <c r="BF26" i="14"/>
  <c r="BF179" i="14"/>
  <c r="BF24" i="14"/>
  <c r="BF248" i="14"/>
  <c r="BF213" i="14"/>
  <c r="BF25" i="14"/>
  <c r="BF217" i="14"/>
  <c r="BF247" i="14"/>
  <c r="BF134" i="14"/>
  <c r="BF230" i="14"/>
  <c r="BF228" i="14"/>
  <c r="BF132" i="14"/>
  <c r="BF251" i="14"/>
  <c r="BF29" i="14"/>
  <c r="BF221" i="14"/>
  <c r="BF225" i="14"/>
  <c r="BF210" i="14"/>
  <c r="BF254" i="14"/>
  <c r="BF216" i="14"/>
  <c r="BF196" i="14"/>
  <c r="BF204" i="14"/>
  <c r="BF195" i="14"/>
  <c r="BF249" i="14"/>
  <c r="BF206" i="14"/>
  <c r="BF208" i="14"/>
  <c r="BF229" i="14"/>
  <c r="BF190" i="14"/>
  <c r="BF218" i="14"/>
  <c r="BF223" i="14"/>
  <c r="BF32" i="14"/>
  <c r="BF160" i="14"/>
  <c r="BF212" i="14"/>
  <c r="BF252" i="14"/>
  <c r="AT1300" i="1"/>
  <c r="BB1300" i="1" s="1"/>
  <c r="BH1300" i="1" s="1"/>
  <c r="AR1300" i="1"/>
  <c r="AT1164" i="1"/>
  <c r="BB1164" i="1" s="1"/>
  <c r="BH1164" i="1" s="1"/>
  <c r="AR1164" i="1"/>
  <c r="AT1259" i="1"/>
  <c r="BB1259" i="1" s="1"/>
  <c r="BH1259" i="1" s="1"/>
  <c r="AR1259" i="1"/>
  <c r="AT1211" i="1"/>
  <c r="BB1211" i="1" s="1"/>
  <c r="BH1211" i="1" s="1"/>
  <c r="AR1211" i="1"/>
  <c r="AT1163" i="1"/>
  <c r="BB1163" i="1" s="1"/>
  <c r="BH1163" i="1" s="1"/>
  <c r="AR1163" i="1"/>
  <c r="AT1115" i="1"/>
  <c r="BB1115" i="1" s="1"/>
  <c r="BH1115" i="1" s="1"/>
  <c r="AR1115" i="1"/>
  <c r="AT1059" i="1"/>
  <c r="BB1059" i="1" s="1"/>
  <c r="BH1059" i="1" s="1"/>
  <c r="AR1059" i="1"/>
  <c r="AT1019" i="1"/>
  <c r="BB1019" i="1" s="1"/>
  <c r="BH1019" i="1" s="1"/>
  <c r="AR1019" i="1"/>
  <c r="AT971" i="1"/>
  <c r="BB971" i="1" s="1"/>
  <c r="BH971" i="1" s="1"/>
  <c r="AR971" i="1"/>
  <c r="AT923" i="1"/>
  <c r="BB923" i="1" s="1"/>
  <c r="BH923" i="1" s="1"/>
  <c r="AR923" i="1"/>
  <c r="AT859" i="1"/>
  <c r="BB859" i="1" s="1"/>
  <c r="BH859" i="1" s="1"/>
  <c r="AR859" i="1"/>
  <c r="AT795" i="1"/>
  <c r="BB795" i="1" s="1"/>
  <c r="BH795" i="1" s="1"/>
  <c r="AR795" i="1"/>
  <c r="AT731" i="1"/>
  <c r="BB731" i="1" s="1"/>
  <c r="BH731" i="1" s="1"/>
  <c r="AR731" i="1"/>
  <c r="AT675" i="1"/>
  <c r="BB675" i="1" s="1"/>
  <c r="BH675" i="1" s="1"/>
  <c r="AR675" i="1"/>
  <c r="AT635" i="1"/>
  <c r="BB635" i="1" s="1"/>
  <c r="BH635" i="1" s="1"/>
  <c r="AR635" i="1"/>
  <c r="AT555" i="1"/>
  <c r="BB555" i="1" s="1"/>
  <c r="BH555" i="1" s="1"/>
  <c r="AR555" i="1"/>
  <c r="AT371" i="1"/>
  <c r="BB371" i="1" s="1"/>
  <c r="BH371" i="1" s="1"/>
  <c r="AR371" i="1"/>
  <c r="AT315" i="1"/>
  <c r="BB315" i="1" s="1"/>
  <c r="BH315" i="1" s="1"/>
  <c r="AR315" i="1"/>
  <c r="AT259" i="1"/>
  <c r="BB259" i="1" s="1"/>
  <c r="BH259" i="1" s="1"/>
  <c r="AR259" i="1"/>
  <c r="AT195" i="1"/>
  <c r="BB195" i="1" s="1"/>
  <c r="BH195" i="1" s="1"/>
  <c r="AR195" i="1"/>
  <c r="AT147" i="1"/>
  <c r="BB147" i="1" s="1"/>
  <c r="BH147" i="1" s="1"/>
  <c r="AR147" i="1"/>
  <c r="AT99" i="1"/>
  <c r="BB99" i="1" s="1"/>
  <c r="BH99" i="1" s="1"/>
  <c r="AR99" i="1"/>
  <c r="AT35" i="1"/>
  <c r="BB35" i="1" s="1"/>
  <c r="BH35" i="1" s="1"/>
  <c r="AR35" i="1"/>
  <c r="AT1306" i="1"/>
  <c r="BB1306" i="1" s="1"/>
  <c r="BH1306" i="1" s="1"/>
  <c r="AR1306" i="1"/>
  <c r="AT1258" i="1"/>
  <c r="BB1258" i="1" s="1"/>
  <c r="BH1258" i="1" s="1"/>
  <c r="AR1258" i="1"/>
  <c r="AT1210" i="1"/>
  <c r="BB1210" i="1" s="1"/>
  <c r="BH1210" i="1" s="1"/>
  <c r="AR1210" i="1"/>
  <c r="AT1162" i="1"/>
  <c r="BB1162" i="1" s="1"/>
  <c r="BH1162" i="1" s="1"/>
  <c r="AR1162" i="1"/>
  <c r="AT1114" i="1"/>
  <c r="BB1114" i="1" s="1"/>
  <c r="BH1114" i="1" s="1"/>
  <c r="AR1114" i="1"/>
  <c r="AT1066" i="1"/>
  <c r="BB1066" i="1" s="1"/>
  <c r="BH1066" i="1" s="1"/>
  <c r="AR1066" i="1"/>
  <c r="AT1018" i="1"/>
  <c r="BB1018" i="1" s="1"/>
  <c r="BH1018" i="1" s="1"/>
  <c r="AR1018" i="1"/>
  <c r="AT898" i="1"/>
  <c r="BB898" i="1" s="1"/>
  <c r="BH898" i="1" s="1"/>
  <c r="AR898" i="1"/>
  <c r="AT858" i="1"/>
  <c r="BB858" i="1" s="1"/>
  <c r="BH858" i="1" s="1"/>
  <c r="AR858" i="1"/>
  <c r="AT818" i="1"/>
  <c r="BB818" i="1" s="1"/>
  <c r="BH818" i="1" s="1"/>
  <c r="AR818" i="1"/>
  <c r="AT770" i="1"/>
  <c r="BB770" i="1" s="1"/>
  <c r="BH770" i="1" s="1"/>
  <c r="AR770" i="1"/>
  <c r="AT722" i="1"/>
  <c r="BB722" i="1" s="1"/>
  <c r="BH722" i="1" s="1"/>
  <c r="AR722" i="1"/>
  <c r="AT674" i="1"/>
  <c r="BB674" i="1" s="1"/>
  <c r="BH674" i="1" s="1"/>
  <c r="AR674" i="1"/>
  <c r="AT626" i="1"/>
  <c r="BB626" i="1" s="1"/>
  <c r="BH626" i="1" s="1"/>
  <c r="AR626" i="1"/>
  <c r="AT594" i="1"/>
  <c r="BB594" i="1" s="1"/>
  <c r="BH594" i="1" s="1"/>
  <c r="AR594" i="1"/>
  <c r="AT554" i="1"/>
  <c r="BB554" i="1" s="1"/>
  <c r="BH554" i="1" s="1"/>
  <c r="AR554" i="1"/>
  <c r="AT490" i="1"/>
  <c r="BB490" i="1" s="1"/>
  <c r="BH490" i="1" s="1"/>
  <c r="AR490" i="1"/>
  <c r="AT418" i="1"/>
  <c r="BB418" i="1" s="1"/>
  <c r="BH418" i="1" s="1"/>
  <c r="AR418" i="1"/>
  <c r="AT1273" i="1"/>
  <c r="BB1273" i="1" s="1"/>
  <c r="BH1273" i="1" s="1"/>
  <c r="AR1273" i="1"/>
  <c r="AT1233" i="1"/>
  <c r="BB1233" i="1" s="1"/>
  <c r="BH1233" i="1" s="1"/>
  <c r="AR1233" i="1"/>
  <c r="AT1201" i="1"/>
  <c r="BB1201" i="1" s="1"/>
  <c r="BH1201" i="1" s="1"/>
  <c r="AR1201" i="1"/>
  <c r="AT1161" i="1"/>
  <c r="BB1161" i="1" s="1"/>
  <c r="BH1161" i="1" s="1"/>
  <c r="AR1161" i="1"/>
  <c r="AT1105" i="1"/>
  <c r="BB1105" i="1" s="1"/>
  <c r="BH1105" i="1" s="1"/>
  <c r="AR1105" i="1"/>
  <c r="AT1081" i="1"/>
  <c r="BB1081" i="1" s="1"/>
  <c r="BH1081" i="1" s="1"/>
  <c r="AR1081" i="1"/>
  <c r="AT1041" i="1"/>
  <c r="BB1041" i="1" s="1"/>
  <c r="BH1041" i="1" s="1"/>
  <c r="AR1041" i="1"/>
  <c r="AT1001" i="1"/>
  <c r="BB1001" i="1" s="1"/>
  <c r="BH1001" i="1" s="1"/>
  <c r="AR1001" i="1"/>
  <c r="AT961" i="1"/>
  <c r="BB961" i="1" s="1"/>
  <c r="BH961" i="1" s="1"/>
  <c r="AR961" i="1"/>
  <c r="AT921" i="1"/>
  <c r="BB921" i="1" s="1"/>
  <c r="BH921" i="1" s="1"/>
  <c r="AR921" i="1"/>
  <c r="AT873" i="1"/>
  <c r="BB873" i="1" s="1"/>
  <c r="BH873" i="1" s="1"/>
  <c r="AR873" i="1"/>
  <c r="AT1296" i="1"/>
  <c r="BB1296" i="1" s="1"/>
  <c r="BH1296" i="1" s="1"/>
  <c r="AR1296" i="1"/>
  <c r="AT1264" i="1"/>
  <c r="BB1264" i="1" s="1"/>
  <c r="BH1264" i="1" s="1"/>
  <c r="AR1264" i="1"/>
  <c r="AT1232" i="1"/>
  <c r="BB1232" i="1" s="1"/>
  <c r="BH1232" i="1" s="1"/>
  <c r="AR1232" i="1"/>
  <c r="AT1208" i="1"/>
  <c r="BB1208" i="1" s="1"/>
  <c r="BH1208" i="1" s="1"/>
  <c r="AR1208" i="1"/>
  <c r="AT1184" i="1"/>
  <c r="BB1184" i="1" s="1"/>
  <c r="BH1184" i="1" s="1"/>
  <c r="AR1184" i="1"/>
  <c r="AT1152" i="1"/>
  <c r="BB1152" i="1" s="1"/>
  <c r="BH1152" i="1" s="1"/>
  <c r="AR1152" i="1"/>
  <c r="AT1104" i="1"/>
  <c r="BB1104" i="1" s="1"/>
  <c r="BH1104" i="1" s="1"/>
  <c r="AR1104" i="1"/>
  <c r="AT1080" i="1"/>
  <c r="BB1080" i="1" s="1"/>
  <c r="BH1080" i="1" s="1"/>
  <c r="AR1080" i="1"/>
  <c r="AT1048" i="1"/>
  <c r="BB1048" i="1" s="1"/>
  <c r="BH1048" i="1" s="1"/>
  <c r="AR1048" i="1"/>
  <c r="AT1016" i="1"/>
  <c r="BB1016" i="1" s="1"/>
  <c r="BH1016" i="1" s="1"/>
  <c r="AR1016" i="1"/>
  <c r="AT968" i="1"/>
  <c r="BB968" i="1" s="1"/>
  <c r="BH968" i="1" s="1"/>
  <c r="AR968" i="1"/>
  <c r="AT1303" i="1"/>
  <c r="BB1303" i="1" s="1"/>
  <c r="BH1303" i="1" s="1"/>
  <c r="AR1303" i="1"/>
  <c r="AT1279" i="1"/>
  <c r="BB1279" i="1" s="1"/>
  <c r="BH1279" i="1" s="1"/>
  <c r="AR1279" i="1"/>
  <c r="AT1263" i="1"/>
  <c r="BB1263" i="1" s="1"/>
  <c r="BH1263" i="1" s="1"/>
  <c r="AR1263" i="1"/>
  <c r="AT1255" i="1"/>
  <c r="BB1255" i="1" s="1"/>
  <c r="BH1255" i="1" s="1"/>
  <c r="AR1255" i="1"/>
  <c r="AT1247" i="1"/>
  <c r="BB1247" i="1" s="1"/>
  <c r="BH1247" i="1" s="1"/>
  <c r="AR1247" i="1"/>
  <c r="AT1239" i="1"/>
  <c r="BB1239" i="1" s="1"/>
  <c r="BH1239" i="1" s="1"/>
  <c r="AR1239" i="1"/>
  <c r="AT1231" i="1"/>
  <c r="BB1231" i="1" s="1"/>
  <c r="BH1231" i="1" s="1"/>
  <c r="AR1231" i="1"/>
  <c r="AT1223" i="1"/>
  <c r="BB1223" i="1" s="1"/>
  <c r="BH1223" i="1" s="1"/>
  <c r="AR1223" i="1"/>
  <c r="AT1215" i="1"/>
  <c r="BB1215" i="1" s="1"/>
  <c r="BH1215" i="1" s="1"/>
  <c r="AR1215" i="1"/>
  <c r="AT1207" i="1"/>
  <c r="BB1207" i="1" s="1"/>
  <c r="BH1207" i="1" s="1"/>
  <c r="AR1207" i="1"/>
  <c r="AT1199" i="1"/>
  <c r="BB1199" i="1" s="1"/>
  <c r="BH1199" i="1" s="1"/>
  <c r="AR1199" i="1"/>
  <c r="AT1191" i="1"/>
  <c r="BB1191" i="1" s="1"/>
  <c r="BH1191" i="1" s="1"/>
  <c r="AR1191" i="1"/>
  <c r="AT1183" i="1"/>
  <c r="BB1183" i="1" s="1"/>
  <c r="BH1183" i="1" s="1"/>
  <c r="AR1183" i="1"/>
  <c r="AT1175" i="1"/>
  <c r="BB1175" i="1" s="1"/>
  <c r="BH1175" i="1" s="1"/>
  <c r="AR1175" i="1"/>
  <c r="AT1167" i="1"/>
  <c r="BB1167" i="1" s="1"/>
  <c r="BH1167" i="1" s="1"/>
  <c r="AR1167" i="1"/>
  <c r="AT1159" i="1"/>
  <c r="BB1159" i="1" s="1"/>
  <c r="BH1159" i="1" s="1"/>
  <c r="AR1159" i="1"/>
  <c r="AT1151" i="1"/>
  <c r="BB1151" i="1" s="1"/>
  <c r="BH1151" i="1" s="1"/>
  <c r="AR1151" i="1"/>
  <c r="AT1308" i="1"/>
  <c r="BB1308" i="1" s="1"/>
  <c r="BH1308" i="1" s="1"/>
  <c r="AR1308" i="1"/>
  <c r="AT1244" i="1"/>
  <c r="BB1244" i="1" s="1"/>
  <c r="BH1244" i="1" s="1"/>
  <c r="AR1244" i="1"/>
  <c r="AT1188" i="1"/>
  <c r="BB1188" i="1" s="1"/>
  <c r="BH1188" i="1" s="1"/>
  <c r="AR1188" i="1"/>
  <c r="AT1148" i="1"/>
  <c r="BB1148" i="1" s="1"/>
  <c r="BH1148" i="1" s="1"/>
  <c r="AR1148" i="1"/>
  <c r="AT1267" i="1"/>
  <c r="BB1267" i="1" s="1"/>
  <c r="BH1267" i="1" s="1"/>
  <c r="AR1267" i="1"/>
  <c r="AT1203" i="1"/>
  <c r="BB1203" i="1" s="1"/>
  <c r="BH1203" i="1" s="1"/>
  <c r="AR1203" i="1"/>
  <c r="AT1155" i="1"/>
  <c r="BB1155" i="1" s="1"/>
  <c r="BH1155" i="1" s="1"/>
  <c r="AR1155" i="1"/>
  <c r="AT1099" i="1"/>
  <c r="BB1099" i="1" s="1"/>
  <c r="BH1099" i="1" s="1"/>
  <c r="AR1099" i="1"/>
  <c r="AT1043" i="1"/>
  <c r="BB1043" i="1" s="1"/>
  <c r="BH1043" i="1" s="1"/>
  <c r="AR1043" i="1"/>
  <c r="AT995" i="1"/>
  <c r="BB995" i="1" s="1"/>
  <c r="BH995" i="1" s="1"/>
  <c r="AR995" i="1"/>
  <c r="AT947" i="1"/>
  <c r="BB947" i="1" s="1"/>
  <c r="BH947" i="1" s="1"/>
  <c r="AR947" i="1"/>
  <c r="AT891" i="1"/>
  <c r="BB891" i="1" s="1"/>
  <c r="BH891" i="1" s="1"/>
  <c r="AR891" i="1"/>
  <c r="AT827" i="1"/>
  <c r="BB827" i="1" s="1"/>
  <c r="BH827" i="1" s="1"/>
  <c r="AR827" i="1"/>
  <c r="AT779" i="1"/>
  <c r="BB779" i="1" s="1"/>
  <c r="BH779" i="1" s="1"/>
  <c r="AR779" i="1"/>
  <c r="AT715" i="1"/>
  <c r="BB715" i="1" s="1"/>
  <c r="BH715" i="1" s="1"/>
  <c r="AR715" i="1"/>
  <c r="AT667" i="1"/>
  <c r="BB667" i="1" s="1"/>
  <c r="BH667" i="1" s="1"/>
  <c r="AR667" i="1"/>
  <c r="AT611" i="1"/>
  <c r="BB611" i="1" s="1"/>
  <c r="BH611" i="1" s="1"/>
  <c r="AR611" i="1"/>
  <c r="AT563" i="1"/>
  <c r="BB563" i="1" s="1"/>
  <c r="BH563" i="1" s="1"/>
  <c r="AR563" i="1"/>
  <c r="AT515" i="1"/>
  <c r="BB515" i="1" s="1"/>
  <c r="BH515" i="1" s="1"/>
  <c r="AR515" i="1"/>
  <c r="AT475" i="1"/>
  <c r="BB475" i="1" s="1"/>
  <c r="BH475" i="1" s="1"/>
  <c r="AR475" i="1"/>
  <c r="AT427" i="1"/>
  <c r="BB427" i="1" s="1"/>
  <c r="BH427" i="1" s="1"/>
  <c r="AR427" i="1"/>
  <c r="AT387" i="1"/>
  <c r="BB387" i="1" s="1"/>
  <c r="BH387" i="1" s="1"/>
  <c r="AR387" i="1"/>
  <c r="AT323" i="1"/>
  <c r="BB323" i="1" s="1"/>
  <c r="BH323" i="1" s="1"/>
  <c r="AR323" i="1"/>
  <c r="AT275" i="1"/>
  <c r="BB275" i="1" s="1"/>
  <c r="BH275" i="1" s="1"/>
  <c r="AR275" i="1"/>
  <c r="AT219" i="1"/>
  <c r="BB219" i="1" s="1"/>
  <c r="BH219" i="1" s="1"/>
  <c r="AR219" i="1"/>
  <c r="AT171" i="1"/>
  <c r="BB171" i="1" s="1"/>
  <c r="BH171" i="1" s="1"/>
  <c r="AR171" i="1"/>
  <c r="AT123" i="1"/>
  <c r="BB123" i="1" s="1"/>
  <c r="BH123" i="1" s="1"/>
  <c r="AR123" i="1"/>
  <c r="AT67" i="1"/>
  <c r="BB67" i="1" s="1"/>
  <c r="BH67" i="1" s="1"/>
  <c r="AR67" i="1"/>
  <c r="AT1290" i="1"/>
  <c r="BB1290" i="1" s="1"/>
  <c r="BH1290" i="1" s="1"/>
  <c r="AR1290" i="1"/>
  <c r="AT1242" i="1"/>
  <c r="BB1242" i="1" s="1"/>
  <c r="BH1242" i="1" s="1"/>
  <c r="AR1242" i="1"/>
  <c r="AT1194" i="1"/>
  <c r="BB1194" i="1" s="1"/>
  <c r="BH1194" i="1" s="1"/>
  <c r="AR1194" i="1"/>
  <c r="AT1146" i="1"/>
  <c r="BB1146" i="1" s="1"/>
  <c r="BH1146" i="1" s="1"/>
  <c r="AR1146" i="1"/>
  <c r="AT1098" i="1"/>
  <c r="BB1098" i="1" s="1"/>
  <c r="BH1098" i="1" s="1"/>
  <c r="AR1098" i="1"/>
  <c r="AT1050" i="1"/>
  <c r="BB1050" i="1" s="1"/>
  <c r="BH1050" i="1" s="1"/>
  <c r="AR1050" i="1"/>
  <c r="AT1010" i="1"/>
  <c r="BB1010" i="1" s="1"/>
  <c r="BH1010" i="1" s="1"/>
  <c r="AR1010" i="1"/>
  <c r="AT962" i="1"/>
  <c r="BB962" i="1" s="1"/>
  <c r="BH962" i="1" s="1"/>
  <c r="AR962" i="1"/>
  <c r="AT930" i="1"/>
  <c r="BB930" i="1" s="1"/>
  <c r="BH930" i="1" s="1"/>
  <c r="AR930" i="1"/>
  <c r="AT890" i="1"/>
  <c r="BB890" i="1" s="1"/>
  <c r="BH890" i="1" s="1"/>
  <c r="AR890" i="1"/>
  <c r="AT850" i="1"/>
  <c r="BB850" i="1" s="1"/>
  <c r="BH850" i="1" s="1"/>
  <c r="AR850" i="1"/>
  <c r="AT802" i="1"/>
  <c r="BB802" i="1" s="1"/>
  <c r="BH802" i="1" s="1"/>
  <c r="AR802" i="1"/>
  <c r="AT746" i="1"/>
  <c r="BB746" i="1" s="1"/>
  <c r="BH746" i="1" s="1"/>
  <c r="AR746" i="1"/>
  <c r="AT698" i="1"/>
  <c r="BB698" i="1" s="1"/>
  <c r="BH698" i="1" s="1"/>
  <c r="AR698" i="1"/>
  <c r="AT658" i="1"/>
  <c r="BB658" i="1" s="1"/>
  <c r="BH658" i="1" s="1"/>
  <c r="AR658" i="1"/>
  <c r="AT610" i="1"/>
  <c r="BB610" i="1" s="1"/>
  <c r="BH610" i="1" s="1"/>
  <c r="AR610" i="1"/>
  <c r="AT570" i="1"/>
  <c r="BB570" i="1" s="1"/>
  <c r="BH570" i="1" s="1"/>
  <c r="AR570" i="1"/>
  <c r="AT530" i="1"/>
  <c r="BB530" i="1" s="1"/>
  <c r="BH530" i="1" s="1"/>
  <c r="AR530" i="1"/>
  <c r="AT498" i="1"/>
  <c r="BB498" i="1" s="1"/>
  <c r="BH498" i="1" s="1"/>
  <c r="AR498" i="1"/>
  <c r="AT426" i="1"/>
  <c r="BB426" i="1" s="1"/>
  <c r="BH426" i="1" s="1"/>
  <c r="AR426" i="1"/>
  <c r="AT1289" i="1"/>
  <c r="BB1289" i="1" s="1"/>
  <c r="BH1289" i="1" s="1"/>
  <c r="AR1289" i="1"/>
  <c r="AT1257" i="1"/>
  <c r="BB1257" i="1" s="1"/>
  <c r="BH1257" i="1" s="1"/>
  <c r="AR1257" i="1"/>
  <c r="AT1209" i="1"/>
  <c r="BB1209" i="1" s="1"/>
  <c r="BH1209" i="1" s="1"/>
  <c r="AR1209" i="1"/>
  <c r="AT1169" i="1"/>
  <c r="BB1169" i="1" s="1"/>
  <c r="BH1169" i="1" s="1"/>
  <c r="AR1169" i="1"/>
  <c r="AT1129" i="1"/>
  <c r="BB1129" i="1" s="1"/>
  <c r="BH1129" i="1" s="1"/>
  <c r="AR1129" i="1"/>
  <c r="AT1097" i="1"/>
  <c r="BB1097" i="1" s="1"/>
  <c r="BH1097" i="1" s="1"/>
  <c r="AR1097" i="1"/>
  <c r="AT1057" i="1"/>
  <c r="BB1057" i="1" s="1"/>
  <c r="BH1057" i="1" s="1"/>
  <c r="AR1057" i="1"/>
  <c r="AT1017" i="1"/>
  <c r="BB1017" i="1" s="1"/>
  <c r="BH1017" i="1" s="1"/>
  <c r="AR1017" i="1"/>
  <c r="AT977" i="1"/>
  <c r="BB977" i="1" s="1"/>
  <c r="BH977" i="1" s="1"/>
  <c r="AR977" i="1"/>
  <c r="AT937" i="1"/>
  <c r="BB937" i="1" s="1"/>
  <c r="BH937" i="1" s="1"/>
  <c r="AR937" i="1"/>
  <c r="AT897" i="1"/>
  <c r="BB897" i="1" s="1"/>
  <c r="BH897" i="1" s="1"/>
  <c r="AR897" i="1"/>
  <c r="AT1312" i="1"/>
  <c r="BB1312" i="1" s="1"/>
  <c r="BH1312" i="1" s="1"/>
  <c r="AR1312" i="1"/>
  <c r="AT1280" i="1"/>
  <c r="BB1280" i="1" s="1"/>
  <c r="BH1280" i="1" s="1"/>
  <c r="AR1280" i="1"/>
  <c r="AT1248" i="1"/>
  <c r="BB1248" i="1" s="1"/>
  <c r="BH1248" i="1" s="1"/>
  <c r="AR1248" i="1"/>
  <c r="AT1168" i="1"/>
  <c r="BB1168" i="1" s="1"/>
  <c r="BH1168" i="1" s="1"/>
  <c r="AR1168" i="1"/>
  <c r="AT1128" i="1"/>
  <c r="BB1128" i="1" s="1"/>
  <c r="BH1128" i="1" s="1"/>
  <c r="AR1128" i="1"/>
  <c r="AT1096" i="1"/>
  <c r="BB1096" i="1" s="1"/>
  <c r="BH1096" i="1" s="1"/>
  <c r="AR1096" i="1"/>
  <c r="AR1064" i="1"/>
  <c r="AT1064" i="1"/>
  <c r="BB1064" i="1" s="1"/>
  <c r="BH1064" i="1" s="1"/>
  <c r="AT1032" i="1"/>
  <c r="BB1032" i="1" s="1"/>
  <c r="BH1032" i="1" s="1"/>
  <c r="AR1032" i="1"/>
  <c r="AT1000" i="1"/>
  <c r="BB1000" i="1" s="1"/>
  <c r="BH1000" i="1" s="1"/>
  <c r="AR1000" i="1"/>
  <c r="AT976" i="1"/>
  <c r="BB976" i="1" s="1"/>
  <c r="BH976" i="1" s="1"/>
  <c r="AR976" i="1"/>
  <c r="AT1311" i="1"/>
  <c r="BB1311" i="1" s="1"/>
  <c r="BH1311" i="1" s="1"/>
  <c r="AR1311" i="1"/>
  <c r="AT1287" i="1"/>
  <c r="BB1287" i="1" s="1"/>
  <c r="BH1287" i="1" s="1"/>
  <c r="AR1287" i="1"/>
  <c r="AT1310" i="1"/>
  <c r="BB1310" i="1" s="1"/>
  <c r="BH1310" i="1" s="1"/>
  <c r="AR1310" i="1"/>
  <c r="AT1294" i="1"/>
  <c r="BB1294" i="1" s="1"/>
  <c r="BH1294" i="1" s="1"/>
  <c r="AR1294" i="1"/>
  <c r="AT1278" i="1"/>
  <c r="BB1278" i="1" s="1"/>
  <c r="BH1278" i="1" s="1"/>
  <c r="AR1278" i="1"/>
  <c r="AT1262" i="1"/>
  <c r="BB1262" i="1" s="1"/>
  <c r="BH1262" i="1" s="1"/>
  <c r="AR1262" i="1"/>
  <c r="AT1254" i="1"/>
  <c r="BB1254" i="1" s="1"/>
  <c r="BH1254" i="1" s="1"/>
  <c r="AR1254" i="1"/>
  <c r="AT1246" i="1"/>
  <c r="BB1246" i="1" s="1"/>
  <c r="BH1246" i="1" s="1"/>
  <c r="AR1246" i="1"/>
  <c r="AT1238" i="1"/>
  <c r="BB1238" i="1" s="1"/>
  <c r="BH1238" i="1" s="1"/>
  <c r="AR1238" i="1"/>
  <c r="AT1230" i="1"/>
  <c r="BB1230" i="1" s="1"/>
  <c r="BH1230" i="1" s="1"/>
  <c r="AR1230" i="1"/>
  <c r="AT1222" i="1"/>
  <c r="BB1222" i="1" s="1"/>
  <c r="BH1222" i="1" s="1"/>
  <c r="AR1222" i="1"/>
  <c r="AT1214" i="1"/>
  <c r="BB1214" i="1" s="1"/>
  <c r="BH1214" i="1" s="1"/>
  <c r="AR1214" i="1"/>
  <c r="AT1206" i="1"/>
  <c r="BB1206" i="1" s="1"/>
  <c r="BH1206" i="1" s="1"/>
  <c r="AR1206" i="1"/>
  <c r="AT1198" i="1"/>
  <c r="BB1198" i="1" s="1"/>
  <c r="BH1198" i="1" s="1"/>
  <c r="AR1198" i="1"/>
  <c r="AT1190" i="1"/>
  <c r="BB1190" i="1" s="1"/>
  <c r="BH1190" i="1" s="1"/>
  <c r="AR1190" i="1"/>
  <c r="AT1182" i="1"/>
  <c r="BB1182" i="1" s="1"/>
  <c r="BH1182" i="1" s="1"/>
  <c r="AR1182" i="1"/>
  <c r="AT1174" i="1"/>
  <c r="BB1174" i="1" s="1"/>
  <c r="BH1174" i="1" s="1"/>
  <c r="AR1174" i="1"/>
  <c r="AT1166" i="1"/>
  <c r="BB1166" i="1" s="1"/>
  <c r="BH1166" i="1" s="1"/>
  <c r="AR1166" i="1"/>
  <c r="AT1158" i="1"/>
  <c r="BB1158" i="1" s="1"/>
  <c r="BH1158" i="1" s="1"/>
  <c r="AR1158" i="1"/>
  <c r="AT1150" i="1"/>
  <c r="BB1150" i="1" s="1"/>
  <c r="BH1150" i="1" s="1"/>
  <c r="AR1150" i="1"/>
  <c r="AT1252" i="1"/>
  <c r="BB1252" i="1" s="1"/>
  <c r="BH1252" i="1" s="1"/>
  <c r="AR1252" i="1"/>
  <c r="AT1196" i="1"/>
  <c r="BB1196" i="1" s="1"/>
  <c r="BH1196" i="1" s="1"/>
  <c r="AR1196" i="1"/>
  <c r="AT1140" i="1"/>
  <c r="BB1140" i="1" s="1"/>
  <c r="BH1140" i="1" s="1"/>
  <c r="AR1140" i="1"/>
  <c r="AT1299" i="1"/>
  <c r="BB1299" i="1" s="1"/>
  <c r="BH1299" i="1" s="1"/>
  <c r="AR1299" i="1"/>
  <c r="AT1243" i="1"/>
  <c r="BB1243" i="1" s="1"/>
  <c r="BH1243" i="1" s="1"/>
  <c r="AR1243" i="1"/>
  <c r="AT1195" i="1"/>
  <c r="BB1195" i="1" s="1"/>
  <c r="BH1195" i="1" s="1"/>
  <c r="AR1195" i="1"/>
  <c r="AT1147" i="1"/>
  <c r="BB1147" i="1" s="1"/>
  <c r="BH1147" i="1" s="1"/>
  <c r="AR1147" i="1"/>
  <c r="AT1091" i="1"/>
  <c r="BB1091" i="1" s="1"/>
  <c r="BH1091" i="1" s="1"/>
  <c r="AR1091" i="1"/>
  <c r="AT1035" i="1"/>
  <c r="BB1035" i="1" s="1"/>
  <c r="BH1035" i="1" s="1"/>
  <c r="AR1035" i="1"/>
  <c r="AT987" i="1"/>
  <c r="BB987" i="1" s="1"/>
  <c r="BH987" i="1" s="1"/>
  <c r="AR987" i="1"/>
  <c r="AT939" i="1"/>
  <c r="BB939" i="1" s="1"/>
  <c r="BH939" i="1" s="1"/>
  <c r="AR939" i="1"/>
  <c r="AT883" i="1"/>
  <c r="BB883" i="1" s="1"/>
  <c r="BH883" i="1" s="1"/>
  <c r="AR883" i="1"/>
  <c r="AT835" i="1"/>
  <c r="BB835" i="1" s="1"/>
  <c r="BH835" i="1" s="1"/>
  <c r="AR835" i="1"/>
  <c r="AT771" i="1"/>
  <c r="BB771" i="1" s="1"/>
  <c r="BH771" i="1" s="1"/>
  <c r="AR771" i="1"/>
  <c r="AT723" i="1"/>
  <c r="BB723" i="1" s="1"/>
  <c r="BH723" i="1" s="1"/>
  <c r="AR723" i="1"/>
  <c r="AT659" i="1"/>
  <c r="BB659" i="1" s="1"/>
  <c r="BH659" i="1" s="1"/>
  <c r="AR659" i="1"/>
  <c r="AT603" i="1"/>
  <c r="BB603" i="1" s="1"/>
  <c r="BH603" i="1" s="1"/>
  <c r="AR603" i="1"/>
  <c r="AT571" i="1"/>
  <c r="BB571" i="1" s="1"/>
  <c r="BH571" i="1" s="1"/>
  <c r="AR571" i="1"/>
  <c r="AT491" i="1"/>
  <c r="BB491" i="1" s="1"/>
  <c r="BH491" i="1" s="1"/>
  <c r="AR491" i="1"/>
  <c r="AT451" i="1"/>
  <c r="BB451" i="1" s="1"/>
  <c r="BH451" i="1" s="1"/>
  <c r="AR451" i="1"/>
  <c r="AT419" i="1"/>
  <c r="BB419" i="1" s="1"/>
  <c r="BH419" i="1" s="1"/>
  <c r="AR419" i="1"/>
  <c r="AT379" i="1"/>
  <c r="BB379" i="1" s="1"/>
  <c r="BH379" i="1" s="1"/>
  <c r="AR379" i="1"/>
  <c r="AT331" i="1"/>
  <c r="BB331" i="1" s="1"/>
  <c r="BH331" i="1" s="1"/>
  <c r="AR331" i="1"/>
  <c r="AT267" i="1"/>
  <c r="BB267" i="1" s="1"/>
  <c r="BH267" i="1" s="1"/>
  <c r="AR267" i="1"/>
  <c r="AT211" i="1"/>
  <c r="BB211" i="1" s="1"/>
  <c r="BH211" i="1" s="1"/>
  <c r="AR211" i="1"/>
  <c r="AT163" i="1"/>
  <c r="BB163" i="1" s="1"/>
  <c r="BH163" i="1" s="1"/>
  <c r="AR163" i="1"/>
  <c r="AT91" i="1"/>
  <c r="BB91" i="1" s="1"/>
  <c r="BH91" i="1" s="1"/>
  <c r="AR91" i="1"/>
  <c r="AT1298" i="1"/>
  <c r="BB1298" i="1" s="1"/>
  <c r="BH1298" i="1" s="1"/>
  <c r="AR1298" i="1"/>
  <c r="AT1250" i="1"/>
  <c r="BB1250" i="1" s="1"/>
  <c r="BH1250" i="1" s="1"/>
  <c r="AR1250" i="1"/>
  <c r="AT1202" i="1"/>
  <c r="BB1202" i="1" s="1"/>
  <c r="BH1202" i="1" s="1"/>
  <c r="AR1202" i="1"/>
  <c r="AT1154" i="1"/>
  <c r="BB1154" i="1" s="1"/>
  <c r="BH1154" i="1" s="1"/>
  <c r="AR1154" i="1"/>
  <c r="AT1106" i="1"/>
  <c r="BB1106" i="1" s="1"/>
  <c r="BH1106" i="1" s="1"/>
  <c r="AR1106" i="1"/>
  <c r="AT1058" i="1"/>
  <c r="BB1058" i="1" s="1"/>
  <c r="BH1058" i="1" s="1"/>
  <c r="AR1058" i="1"/>
  <c r="AT1002" i="1"/>
  <c r="BB1002" i="1" s="1"/>
  <c r="BH1002" i="1" s="1"/>
  <c r="AR1002" i="1"/>
  <c r="AT970" i="1"/>
  <c r="BB970" i="1" s="1"/>
  <c r="BH970" i="1" s="1"/>
  <c r="AR970" i="1"/>
  <c r="AT922" i="1"/>
  <c r="BB922" i="1" s="1"/>
  <c r="BH922" i="1" s="1"/>
  <c r="AR922" i="1"/>
  <c r="AT882" i="1"/>
  <c r="BB882" i="1" s="1"/>
  <c r="BH882" i="1" s="1"/>
  <c r="AR882" i="1"/>
  <c r="AT842" i="1"/>
  <c r="BB842" i="1" s="1"/>
  <c r="BH842" i="1" s="1"/>
  <c r="AR842" i="1"/>
  <c r="AT794" i="1"/>
  <c r="BB794" i="1" s="1"/>
  <c r="BH794" i="1" s="1"/>
  <c r="AR794" i="1"/>
  <c r="AT754" i="1"/>
  <c r="BB754" i="1" s="1"/>
  <c r="BH754" i="1" s="1"/>
  <c r="AR754" i="1"/>
  <c r="AT706" i="1"/>
  <c r="BB706" i="1" s="1"/>
  <c r="BH706" i="1" s="1"/>
  <c r="AR706" i="1"/>
  <c r="AT650" i="1"/>
  <c r="BB650" i="1" s="1"/>
  <c r="BH650" i="1" s="1"/>
  <c r="AR650" i="1"/>
  <c r="AT522" i="1"/>
  <c r="BB522" i="1" s="1"/>
  <c r="BH522" i="1" s="1"/>
  <c r="AR522" i="1"/>
  <c r="AT474" i="1"/>
  <c r="BB474" i="1" s="1"/>
  <c r="BH474" i="1" s="1"/>
  <c r="AR474" i="1"/>
  <c r="AT450" i="1"/>
  <c r="BB450" i="1" s="1"/>
  <c r="BH450" i="1" s="1"/>
  <c r="AR450" i="1"/>
  <c r="AT1305" i="1"/>
  <c r="BB1305" i="1" s="1"/>
  <c r="BH1305" i="1" s="1"/>
  <c r="AR1305" i="1"/>
  <c r="AT1265" i="1"/>
  <c r="BB1265" i="1" s="1"/>
  <c r="BH1265" i="1" s="1"/>
  <c r="AR1265" i="1"/>
  <c r="AT1225" i="1"/>
  <c r="BB1225" i="1" s="1"/>
  <c r="BH1225" i="1" s="1"/>
  <c r="AR1225" i="1"/>
  <c r="AT1185" i="1"/>
  <c r="BB1185" i="1" s="1"/>
  <c r="BH1185" i="1" s="1"/>
  <c r="AR1185" i="1"/>
  <c r="AT1145" i="1"/>
  <c r="BB1145" i="1" s="1"/>
  <c r="BH1145" i="1" s="1"/>
  <c r="AR1145" i="1"/>
  <c r="AT1121" i="1"/>
  <c r="BB1121" i="1" s="1"/>
  <c r="BH1121" i="1" s="1"/>
  <c r="AR1121" i="1"/>
  <c r="AT1089" i="1"/>
  <c r="BB1089" i="1" s="1"/>
  <c r="BH1089" i="1" s="1"/>
  <c r="AR1089" i="1"/>
  <c r="AT1049" i="1"/>
  <c r="BB1049" i="1" s="1"/>
  <c r="BH1049" i="1" s="1"/>
  <c r="AR1049" i="1"/>
  <c r="AT1009" i="1"/>
  <c r="BB1009" i="1" s="1"/>
  <c r="BH1009" i="1" s="1"/>
  <c r="AR1009" i="1"/>
  <c r="AT969" i="1"/>
  <c r="BB969" i="1" s="1"/>
  <c r="BH969" i="1" s="1"/>
  <c r="AR969" i="1"/>
  <c r="AT929" i="1"/>
  <c r="BB929" i="1" s="1"/>
  <c r="BH929" i="1" s="1"/>
  <c r="AR929" i="1"/>
  <c r="AT881" i="1"/>
  <c r="BB881" i="1" s="1"/>
  <c r="BH881" i="1" s="1"/>
  <c r="AR881" i="1"/>
  <c r="AT1304" i="1"/>
  <c r="BB1304" i="1" s="1"/>
  <c r="BH1304" i="1" s="1"/>
  <c r="AR1304" i="1"/>
  <c r="AT1272" i="1"/>
  <c r="BB1272" i="1" s="1"/>
  <c r="BH1272" i="1" s="1"/>
  <c r="AR1272" i="1"/>
  <c r="AT1240" i="1"/>
  <c r="BB1240" i="1" s="1"/>
  <c r="BH1240" i="1" s="1"/>
  <c r="AR1240" i="1"/>
  <c r="AT1216" i="1"/>
  <c r="BB1216" i="1" s="1"/>
  <c r="BH1216" i="1" s="1"/>
  <c r="AR1216" i="1"/>
  <c r="AT1200" i="1"/>
  <c r="BB1200" i="1" s="1"/>
  <c r="BH1200" i="1" s="1"/>
  <c r="AR1200" i="1"/>
  <c r="AT1176" i="1"/>
  <c r="BB1176" i="1" s="1"/>
  <c r="BH1176" i="1" s="1"/>
  <c r="AR1176" i="1"/>
  <c r="AT1144" i="1"/>
  <c r="BB1144" i="1" s="1"/>
  <c r="BH1144" i="1" s="1"/>
  <c r="AR1144" i="1"/>
  <c r="AT1120" i="1"/>
  <c r="BB1120" i="1" s="1"/>
  <c r="BH1120" i="1" s="1"/>
  <c r="AR1120" i="1"/>
  <c r="AT1088" i="1"/>
  <c r="BB1088" i="1" s="1"/>
  <c r="BH1088" i="1" s="1"/>
  <c r="AR1088" i="1"/>
  <c r="AT1056" i="1"/>
  <c r="BB1056" i="1" s="1"/>
  <c r="BH1056" i="1" s="1"/>
  <c r="AR1056" i="1"/>
  <c r="AT1024" i="1"/>
  <c r="BB1024" i="1" s="1"/>
  <c r="BH1024" i="1" s="1"/>
  <c r="AR1024" i="1"/>
  <c r="AT992" i="1"/>
  <c r="BB992" i="1" s="1"/>
  <c r="BH992" i="1" s="1"/>
  <c r="AR992" i="1"/>
  <c r="AT960" i="1"/>
  <c r="BB960" i="1" s="1"/>
  <c r="BH960" i="1" s="1"/>
  <c r="AR960" i="1"/>
  <c r="AT1295" i="1"/>
  <c r="BB1295" i="1" s="1"/>
  <c r="BH1295" i="1" s="1"/>
  <c r="AR1295" i="1"/>
  <c r="AT1271" i="1"/>
  <c r="BB1271" i="1" s="1"/>
  <c r="BH1271" i="1" s="1"/>
  <c r="AR1271" i="1"/>
  <c r="AT1302" i="1"/>
  <c r="BB1302" i="1" s="1"/>
  <c r="BH1302" i="1" s="1"/>
  <c r="AR1302" i="1"/>
  <c r="AT1286" i="1"/>
  <c r="BB1286" i="1" s="1"/>
  <c r="BH1286" i="1" s="1"/>
  <c r="AR1286" i="1"/>
  <c r="AT1270" i="1"/>
  <c r="BB1270" i="1" s="1"/>
  <c r="BH1270" i="1" s="1"/>
  <c r="AR1270" i="1"/>
  <c r="AT1309" i="1"/>
  <c r="BB1309" i="1" s="1"/>
  <c r="BH1309" i="1" s="1"/>
  <c r="AR1309" i="1"/>
  <c r="AT1301" i="1"/>
  <c r="BB1301" i="1" s="1"/>
  <c r="BH1301" i="1" s="1"/>
  <c r="AR1301" i="1"/>
  <c r="AT1293" i="1"/>
  <c r="BB1293" i="1" s="1"/>
  <c r="BH1293" i="1" s="1"/>
  <c r="AR1293" i="1"/>
  <c r="AT1285" i="1"/>
  <c r="BB1285" i="1" s="1"/>
  <c r="BH1285" i="1" s="1"/>
  <c r="AR1285" i="1"/>
  <c r="AT1277" i="1"/>
  <c r="BB1277" i="1" s="1"/>
  <c r="BH1277" i="1" s="1"/>
  <c r="AR1277" i="1"/>
  <c r="AT1269" i="1"/>
  <c r="BB1269" i="1" s="1"/>
  <c r="BH1269" i="1" s="1"/>
  <c r="AR1269" i="1"/>
  <c r="AT1261" i="1"/>
  <c r="BB1261" i="1" s="1"/>
  <c r="BH1261" i="1" s="1"/>
  <c r="AR1261" i="1"/>
  <c r="AT1253" i="1"/>
  <c r="BB1253" i="1" s="1"/>
  <c r="BH1253" i="1" s="1"/>
  <c r="AR1253" i="1"/>
  <c r="AT1245" i="1"/>
  <c r="BB1245" i="1" s="1"/>
  <c r="BH1245" i="1" s="1"/>
  <c r="AR1245" i="1"/>
  <c r="AT1237" i="1"/>
  <c r="BB1237" i="1" s="1"/>
  <c r="BH1237" i="1" s="1"/>
  <c r="AR1237" i="1"/>
  <c r="AT1229" i="1"/>
  <c r="BB1229" i="1" s="1"/>
  <c r="BH1229" i="1" s="1"/>
  <c r="AR1229" i="1"/>
  <c r="AR1221" i="1"/>
  <c r="AT1221" i="1"/>
  <c r="BB1221" i="1" s="1"/>
  <c r="BH1221" i="1" s="1"/>
  <c r="AT1213" i="1"/>
  <c r="BB1213" i="1" s="1"/>
  <c r="BH1213" i="1" s="1"/>
  <c r="AR1213" i="1"/>
  <c r="AT1260" i="1"/>
  <c r="BB1260" i="1" s="1"/>
  <c r="BH1260" i="1" s="1"/>
  <c r="AR1260" i="1"/>
  <c r="AT1212" i="1"/>
  <c r="BB1212" i="1" s="1"/>
  <c r="BH1212" i="1" s="1"/>
  <c r="AR1212" i="1"/>
  <c r="AT1124" i="1"/>
  <c r="BB1124" i="1" s="1"/>
  <c r="BH1124" i="1" s="1"/>
  <c r="AR1124" i="1"/>
  <c r="AT1284" i="1"/>
  <c r="BB1284" i="1" s="1"/>
  <c r="BH1284" i="1" s="1"/>
  <c r="AR1284" i="1"/>
  <c r="AT1228" i="1"/>
  <c r="BB1228" i="1" s="1"/>
  <c r="BH1228" i="1" s="1"/>
  <c r="AR1228" i="1"/>
  <c r="AT1156" i="1"/>
  <c r="BB1156" i="1" s="1"/>
  <c r="BH1156" i="1" s="1"/>
  <c r="AR1156" i="1"/>
  <c r="AT1307" i="1"/>
  <c r="BB1307" i="1" s="1"/>
  <c r="BH1307" i="1" s="1"/>
  <c r="AR1307" i="1"/>
  <c r="AT1251" i="1"/>
  <c r="BB1251" i="1" s="1"/>
  <c r="BH1251" i="1" s="1"/>
  <c r="AR1251" i="1"/>
  <c r="AT1131" i="1"/>
  <c r="BB1131" i="1" s="1"/>
  <c r="BH1131" i="1" s="1"/>
  <c r="AR1131" i="1"/>
  <c r="AT1067" i="1"/>
  <c r="BB1067" i="1" s="1"/>
  <c r="BH1067" i="1" s="1"/>
  <c r="AR1067" i="1"/>
  <c r="AT1003" i="1"/>
  <c r="BB1003" i="1" s="1"/>
  <c r="BH1003" i="1" s="1"/>
  <c r="AR1003" i="1"/>
  <c r="AT955" i="1"/>
  <c r="BB955" i="1" s="1"/>
  <c r="BH955" i="1" s="1"/>
  <c r="AR955" i="1"/>
  <c r="AT899" i="1"/>
  <c r="BB899" i="1" s="1"/>
  <c r="BH899" i="1" s="1"/>
  <c r="AR899" i="1"/>
  <c r="AT843" i="1"/>
  <c r="BB843" i="1" s="1"/>
  <c r="BH843" i="1" s="1"/>
  <c r="AR843" i="1"/>
  <c r="AT803" i="1"/>
  <c r="BB803" i="1" s="1"/>
  <c r="BH803" i="1" s="1"/>
  <c r="AR803" i="1"/>
  <c r="AT755" i="1"/>
  <c r="BB755" i="1" s="1"/>
  <c r="BH755" i="1" s="1"/>
  <c r="AR755" i="1"/>
  <c r="AT699" i="1"/>
  <c r="BB699" i="1" s="1"/>
  <c r="BH699" i="1" s="1"/>
  <c r="AR699" i="1"/>
  <c r="AT643" i="1"/>
  <c r="BB643" i="1" s="1"/>
  <c r="BH643" i="1" s="1"/>
  <c r="AR643" i="1"/>
  <c r="AT587" i="1"/>
  <c r="BB587" i="1" s="1"/>
  <c r="BH587" i="1" s="1"/>
  <c r="AR587" i="1"/>
  <c r="AT531" i="1"/>
  <c r="BB531" i="1" s="1"/>
  <c r="BH531" i="1" s="1"/>
  <c r="AR531" i="1"/>
  <c r="AT483" i="1"/>
  <c r="BB483" i="1" s="1"/>
  <c r="BH483" i="1" s="1"/>
  <c r="AR483" i="1"/>
  <c r="AT435" i="1"/>
  <c r="BB435" i="1" s="1"/>
  <c r="BH435" i="1" s="1"/>
  <c r="AR435" i="1"/>
  <c r="AT395" i="1"/>
  <c r="BB395" i="1" s="1"/>
  <c r="BH395" i="1" s="1"/>
  <c r="AR395" i="1"/>
  <c r="AT339" i="1"/>
  <c r="BB339" i="1" s="1"/>
  <c r="BH339" i="1" s="1"/>
  <c r="AR339" i="1"/>
  <c r="AT283" i="1"/>
  <c r="BB283" i="1" s="1"/>
  <c r="BH283" i="1" s="1"/>
  <c r="AR283" i="1"/>
  <c r="AT227" i="1"/>
  <c r="BB227" i="1" s="1"/>
  <c r="BH227" i="1" s="1"/>
  <c r="AR227" i="1"/>
  <c r="AT131" i="1"/>
  <c r="BB131" i="1" s="1"/>
  <c r="BH131" i="1" s="1"/>
  <c r="AR131" i="1"/>
  <c r="AT75" i="1"/>
  <c r="BB75" i="1" s="1"/>
  <c r="BH75" i="1" s="1"/>
  <c r="AR75" i="1"/>
  <c r="AT43" i="1"/>
  <c r="BB43" i="1" s="1"/>
  <c r="BH43" i="1" s="1"/>
  <c r="AR43" i="1"/>
  <c r="AT1276" i="1"/>
  <c r="BB1276" i="1" s="1"/>
  <c r="BH1276" i="1" s="1"/>
  <c r="AR1276" i="1"/>
  <c r="AT1220" i="1"/>
  <c r="BB1220" i="1" s="1"/>
  <c r="BH1220" i="1" s="1"/>
  <c r="AR1220" i="1"/>
  <c r="AT1172" i="1"/>
  <c r="BB1172" i="1" s="1"/>
  <c r="BH1172" i="1" s="1"/>
  <c r="AR1172" i="1"/>
  <c r="AT1275" i="1"/>
  <c r="BB1275" i="1" s="1"/>
  <c r="BH1275" i="1" s="1"/>
  <c r="AR1275" i="1"/>
  <c r="AT1219" i="1"/>
  <c r="BB1219" i="1" s="1"/>
  <c r="BH1219" i="1" s="1"/>
  <c r="AR1219" i="1"/>
  <c r="AT1171" i="1"/>
  <c r="BB1171" i="1" s="1"/>
  <c r="BH1171" i="1" s="1"/>
  <c r="AR1171" i="1"/>
  <c r="AT1139" i="1"/>
  <c r="BB1139" i="1" s="1"/>
  <c r="BH1139" i="1" s="1"/>
  <c r="AR1139" i="1"/>
  <c r="AT1083" i="1"/>
  <c r="BB1083" i="1" s="1"/>
  <c r="BH1083" i="1" s="1"/>
  <c r="AR1083" i="1"/>
  <c r="AT1011" i="1"/>
  <c r="BB1011" i="1" s="1"/>
  <c r="BH1011" i="1" s="1"/>
  <c r="AR1011" i="1"/>
  <c r="AT963" i="1"/>
  <c r="BB963" i="1" s="1"/>
  <c r="BH963" i="1" s="1"/>
  <c r="AR963" i="1"/>
  <c r="AT915" i="1"/>
  <c r="BB915" i="1" s="1"/>
  <c r="BH915" i="1" s="1"/>
  <c r="AR915" i="1"/>
  <c r="AT851" i="1"/>
  <c r="BB851" i="1" s="1"/>
  <c r="BH851" i="1" s="1"/>
  <c r="AR851" i="1"/>
  <c r="AT787" i="1"/>
  <c r="BB787" i="1" s="1"/>
  <c r="BH787" i="1" s="1"/>
  <c r="AR787" i="1"/>
  <c r="AT739" i="1"/>
  <c r="BB739" i="1" s="1"/>
  <c r="BH739" i="1" s="1"/>
  <c r="AR739" i="1"/>
  <c r="AT691" i="1"/>
  <c r="BB691" i="1" s="1"/>
  <c r="BH691" i="1" s="1"/>
  <c r="AR691" i="1"/>
  <c r="AT627" i="1"/>
  <c r="BB627" i="1" s="1"/>
  <c r="BH627" i="1" s="1"/>
  <c r="AR627" i="1"/>
  <c r="AT547" i="1"/>
  <c r="BB547" i="1" s="1"/>
  <c r="BH547" i="1" s="1"/>
  <c r="AR547" i="1"/>
  <c r="AT499" i="1"/>
  <c r="BB499" i="1" s="1"/>
  <c r="BH499" i="1" s="1"/>
  <c r="AR499" i="1"/>
  <c r="AT443" i="1"/>
  <c r="BB443" i="1" s="1"/>
  <c r="BH443" i="1" s="1"/>
  <c r="AR443" i="1"/>
  <c r="AT403" i="1"/>
  <c r="BB403" i="1" s="1"/>
  <c r="BH403" i="1" s="1"/>
  <c r="AR403" i="1"/>
  <c r="AT363" i="1"/>
  <c r="BB363" i="1" s="1"/>
  <c r="BH363" i="1" s="1"/>
  <c r="AR363" i="1"/>
  <c r="AT307" i="1"/>
  <c r="BB307" i="1" s="1"/>
  <c r="BH307" i="1" s="1"/>
  <c r="AR307" i="1"/>
  <c r="AT251" i="1"/>
  <c r="BB251" i="1" s="1"/>
  <c r="BH251" i="1" s="1"/>
  <c r="AR251" i="1"/>
  <c r="AT203" i="1"/>
  <c r="BB203" i="1" s="1"/>
  <c r="BH203" i="1" s="1"/>
  <c r="AR203" i="1"/>
  <c r="AT155" i="1"/>
  <c r="BB155" i="1" s="1"/>
  <c r="BH155" i="1" s="1"/>
  <c r="AR155" i="1"/>
  <c r="AT107" i="1"/>
  <c r="BB107" i="1" s="1"/>
  <c r="BH107" i="1" s="1"/>
  <c r="AR107" i="1"/>
  <c r="AT51" i="1"/>
  <c r="BB51" i="1" s="1"/>
  <c r="BH51" i="1" s="1"/>
  <c r="AR51" i="1"/>
  <c r="AT1282" i="1"/>
  <c r="BB1282" i="1" s="1"/>
  <c r="BH1282" i="1" s="1"/>
  <c r="AR1282" i="1"/>
  <c r="AT1226" i="1"/>
  <c r="BB1226" i="1" s="1"/>
  <c r="BH1226" i="1" s="1"/>
  <c r="AR1226" i="1"/>
  <c r="AT1178" i="1"/>
  <c r="BB1178" i="1" s="1"/>
  <c r="BH1178" i="1" s="1"/>
  <c r="AR1178" i="1"/>
  <c r="AT1122" i="1"/>
  <c r="BB1122" i="1" s="1"/>
  <c r="BH1122" i="1" s="1"/>
  <c r="AR1122" i="1"/>
  <c r="AT1074" i="1"/>
  <c r="BB1074" i="1" s="1"/>
  <c r="BH1074" i="1" s="1"/>
  <c r="AR1074" i="1"/>
  <c r="AT1026" i="1"/>
  <c r="BB1026" i="1" s="1"/>
  <c r="BH1026" i="1" s="1"/>
  <c r="AR1026" i="1"/>
  <c r="AT978" i="1"/>
  <c r="BB978" i="1" s="1"/>
  <c r="BH978" i="1" s="1"/>
  <c r="AR978" i="1"/>
  <c r="AT946" i="1"/>
  <c r="BB946" i="1" s="1"/>
  <c r="BH946" i="1" s="1"/>
  <c r="AR946" i="1"/>
  <c r="AT914" i="1"/>
  <c r="BB914" i="1" s="1"/>
  <c r="BH914" i="1" s="1"/>
  <c r="AR914" i="1"/>
  <c r="AT874" i="1"/>
  <c r="BB874" i="1" s="1"/>
  <c r="BH874" i="1" s="1"/>
  <c r="AR874" i="1"/>
  <c r="AT834" i="1"/>
  <c r="BB834" i="1" s="1"/>
  <c r="BH834" i="1" s="1"/>
  <c r="AR834" i="1"/>
  <c r="AT786" i="1"/>
  <c r="BB786" i="1" s="1"/>
  <c r="BH786" i="1" s="1"/>
  <c r="AR786" i="1"/>
  <c r="AT738" i="1"/>
  <c r="BB738" i="1" s="1"/>
  <c r="BH738" i="1" s="1"/>
  <c r="AR738" i="1"/>
  <c r="AT690" i="1"/>
  <c r="BB690" i="1" s="1"/>
  <c r="BH690" i="1" s="1"/>
  <c r="AR690" i="1"/>
  <c r="AT642" i="1"/>
  <c r="BB642" i="1" s="1"/>
  <c r="BH642" i="1" s="1"/>
  <c r="AR642" i="1"/>
  <c r="AT602" i="1"/>
  <c r="BB602" i="1" s="1"/>
  <c r="BH602" i="1" s="1"/>
  <c r="AR602" i="1"/>
  <c r="AT562" i="1"/>
  <c r="BB562" i="1" s="1"/>
  <c r="BH562" i="1" s="1"/>
  <c r="AR562" i="1"/>
  <c r="AT514" i="1"/>
  <c r="BB514" i="1" s="1"/>
  <c r="BH514" i="1" s="1"/>
  <c r="AR514" i="1"/>
  <c r="AT466" i="1"/>
  <c r="BB466" i="1" s="1"/>
  <c r="BH466" i="1" s="1"/>
  <c r="AR466" i="1"/>
  <c r="AT458" i="1"/>
  <c r="BB458" i="1" s="1"/>
  <c r="BH458" i="1" s="1"/>
  <c r="AR458" i="1"/>
  <c r="AT410" i="1"/>
  <c r="BB410" i="1" s="1"/>
  <c r="BH410" i="1" s="1"/>
  <c r="AR410" i="1"/>
  <c r="AT402" i="1"/>
  <c r="BB402" i="1" s="1"/>
  <c r="BH402" i="1" s="1"/>
  <c r="AR402" i="1"/>
  <c r="AT394" i="1"/>
  <c r="BB394" i="1" s="1"/>
  <c r="BH394" i="1" s="1"/>
  <c r="AR394" i="1"/>
  <c r="AT386" i="1"/>
  <c r="BB386" i="1" s="1"/>
  <c r="BH386" i="1" s="1"/>
  <c r="AR386" i="1"/>
  <c r="AT378" i="1"/>
  <c r="BB378" i="1" s="1"/>
  <c r="BH378" i="1" s="1"/>
  <c r="AR378" i="1"/>
  <c r="AT370" i="1"/>
  <c r="BB370" i="1" s="1"/>
  <c r="BH370" i="1" s="1"/>
  <c r="AR370" i="1"/>
  <c r="AT362" i="1"/>
  <c r="BB362" i="1" s="1"/>
  <c r="BH362" i="1" s="1"/>
  <c r="AR362" i="1"/>
  <c r="AT354" i="1"/>
  <c r="BB354" i="1" s="1"/>
  <c r="BH354" i="1" s="1"/>
  <c r="AR354" i="1"/>
  <c r="AT346" i="1"/>
  <c r="BB346" i="1" s="1"/>
  <c r="BH346" i="1" s="1"/>
  <c r="AR346" i="1"/>
  <c r="AT338" i="1"/>
  <c r="BB338" i="1" s="1"/>
  <c r="BH338" i="1" s="1"/>
  <c r="AR338" i="1"/>
  <c r="AT330" i="1"/>
  <c r="BB330" i="1" s="1"/>
  <c r="BH330" i="1" s="1"/>
  <c r="AR330" i="1"/>
  <c r="AR322" i="1"/>
  <c r="AT322" i="1"/>
  <c r="BB322" i="1" s="1"/>
  <c r="BH322" i="1" s="1"/>
  <c r="AT314" i="1"/>
  <c r="BB314" i="1" s="1"/>
  <c r="BH314" i="1" s="1"/>
  <c r="AR314" i="1"/>
  <c r="AT306" i="1"/>
  <c r="BB306" i="1" s="1"/>
  <c r="BH306" i="1" s="1"/>
  <c r="AR306" i="1"/>
  <c r="AT298" i="1"/>
  <c r="BB298" i="1" s="1"/>
  <c r="BH298" i="1" s="1"/>
  <c r="AR298" i="1"/>
  <c r="AT290" i="1"/>
  <c r="BB290" i="1" s="1"/>
  <c r="BH290" i="1" s="1"/>
  <c r="AR290" i="1"/>
  <c r="AT282" i="1"/>
  <c r="BB282" i="1" s="1"/>
  <c r="BH282" i="1" s="1"/>
  <c r="AR282" i="1"/>
  <c r="AT274" i="1"/>
  <c r="BB274" i="1" s="1"/>
  <c r="BH274" i="1" s="1"/>
  <c r="AR274" i="1"/>
  <c r="AR266" i="1"/>
  <c r="AT266" i="1"/>
  <c r="BB266" i="1" s="1"/>
  <c r="BH266" i="1" s="1"/>
  <c r="AT258" i="1"/>
  <c r="BB258" i="1" s="1"/>
  <c r="BH258" i="1" s="1"/>
  <c r="AR258" i="1"/>
  <c r="AT250" i="1"/>
  <c r="BB250" i="1" s="1"/>
  <c r="BH250" i="1" s="1"/>
  <c r="AR250" i="1"/>
  <c r="AT242" i="1"/>
  <c r="BB242" i="1" s="1"/>
  <c r="BH242" i="1" s="1"/>
  <c r="AR242" i="1"/>
  <c r="AT234" i="1"/>
  <c r="BB234" i="1" s="1"/>
  <c r="BH234" i="1" s="1"/>
  <c r="AR234" i="1"/>
  <c r="AT226" i="1"/>
  <c r="BB226" i="1" s="1"/>
  <c r="BH226" i="1" s="1"/>
  <c r="AR226" i="1"/>
  <c r="AR218" i="1"/>
  <c r="AT218" i="1"/>
  <c r="BB218" i="1" s="1"/>
  <c r="BH218" i="1" s="1"/>
  <c r="AT210" i="1"/>
  <c r="BB210" i="1" s="1"/>
  <c r="BH210" i="1" s="1"/>
  <c r="AR210" i="1"/>
  <c r="AT202" i="1"/>
  <c r="BB202" i="1" s="1"/>
  <c r="BH202" i="1" s="1"/>
  <c r="AR202" i="1"/>
  <c r="AT194" i="1"/>
  <c r="BB194" i="1" s="1"/>
  <c r="BH194" i="1" s="1"/>
  <c r="AR194" i="1"/>
  <c r="AT186" i="1"/>
  <c r="BB186" i="1" s="1"/>
  <c r="BH186" i="1" s="1"/>
  <c r="AR186" i="1"/>
  <c r="AT178" i="1"/>
  <c r="BB178" i="1" s="1"/>
  <c r="BH178" i="1" s="1"/>
  <c r="AR178" i="1"/>
  <c r="AT170" i="1"/>
  <c r="BB170" i="1" s="1"/>
  <c r="BH170" i="1" s="1"/>
  <c r="AR170" i="1"/>
  <c r="AT162" i="1"/>
  <c r="BB162" i="1" s="1"/>
  <c r="BH162" i="1" s="1"/>
  <c r="AR162" i="1"/>
  <c r="AR154" i="1"/>
  <c r="AT154" i="1"/>
  <c r="BB154" i="1" s="1"/>
  <c r="BH154" i="1" s="1"/>
  <c r="AT146" i="1"/>
  <c r="BB146" i="1" s="1"/>
  <c r="BH146" i="1" s="1"/>
  <c r="AR146" i="1"/>
  <c r="AT138" i="1"/>
  <c r="BB138" i="1" s="1"/>
  <c r="BH138" i="1" s="1"/>
  <c r="AR138" i="1"/>
  <c r="AT130" i="1"/>
  <c r="BB130" i="1" s="1"/>
  <c r="BH130" i="1" s="1"/>
  <c r="AR130" i="1"/>
  <c r="AT122" i="1"/>
  <c r="BB122" i="1" s="1"/>
  <c r="BH122" i="1" s="1"/>
  <c r="AR122" i="1"/>
  <c r="AT114" i="1"/>
  <c r="BB114" i="1" s="1"/>
  <c r="BH114" i="1" s="1"/>
  <c r="AR114" i="1"/>
  <c r="AT106" i="1"/>
  <c r="BB106" i="1" s="1"/>
  <c r="BH106" i="1" s="1"/>
  <c r="AR106" i="1"/>
  <c r="AT98" i="1"/>
  <c r="BB98" i="1" s="1"/>
  <c r="BH98" i="1" s="1"/>
  <c r="AR98" i="1"/>
  <c r="AT90" i="1"/>
  <c r="BB90" i="1" s="1"/>
  <c r="BH90" i="1" s="1"/>
  <c r="AR90" i="1"/>
  <c r="AT82" i="1"/>
  <c r="BB82" i="1" s="1"/>
  <c r="BH82" i="1" s="1"/>
  <c r="AR82" i="1"/>
  <c r="AT74" i="1"/>
  <c r="BB74" i="1" s="1"/>
  <c r="BH74" i="1" s="1"/>
  <c r="AR74" i="1"/>
  <c r="AT66" i="1"/>
  <c r="BB66" i="1" s="1"/>
  <c r="BH66" i="1" s="1"/>
  <c r="AR66" i="1"/>
  <c r="AT58" i="1"/>
  <c r="BB58" i="1" s="1"/>
  <c r="BH58" i="1" s="1"/>
  <c r="AR58" i="1"/>
  <c r="AT50" i="1"/>
  <c r="BB50" i="1" s="1"/>
  <c r="BH50" i="1" s="1"/>
  <c r="AR50" i="1"/>
  <c r="AT42" i="1"/>
  <c r="BB42" i="1" s="1"/>
  <c r="BH42" i="1" s="1"/>
  <c r="AR42" i="1"/>
  <c r="AT34" i="1"/>
  <c r="BB34" i="1" s="1"/>
  <c r="BH34" i="1" s="1"/>
  <c r="AR34" i="1"/>
  <c r="AT26" i="1"/>
  <c r="BB26" i="1" s="1"/>
  <c r="BH26" i="1" s="1"/>
  <c r="AR26" i="1"/>
  <c r="AT1268" i="1"/>
  <c r="BB1268" i="1" s="1"/>
  <c r="BH1268" i="1" s="1"/>
  <c r="AR1268" i="1"/>
  <c r="AT1204" i="1"/>
  <c r="BB1204" i="1" s="1"/>
  <c r="BH1204" i="1" s="1"/>
  <c r="AR1204" i="1"/>
  <c r="AT1132" i="1"/>
  <c r="BB1132" i="1" s="1"/>
  <c r="BH1132" i="1" s="1"/>
  <c r="AR1132" i="1"/>
  <c r="AT1291" i="1"/>
  <c r="BB1291" i="1" s="1"/>
  <c r="BH1291" i="1" s="1"/>
  <c r="AR1291" i="1"/>
  <c r="AT1235" i="1"/>
  <c r="BB1235" i="1" s="1"/>
  <c r="BH1235" i="1" s="1"/>
  <c r="AR1235" i="1"/>
  <c r="AT1179" i="1"/>
  <c r="BB1179" i="1" s="1"/>
  <c r="BH1179" i="1" s="1"/>
  <c r="AR1179" i="1"/>
  <c r="AT1107" i="1"/>
  <c r="BB1107" i="1" s="1"/>
  <c r="BH1107" i="1" s="1"/>
  <c r="AR1107" i="1"/>
  <c r="AT1051" i="1"/>
  <c r="BB1051" i="1" s="1"/>
  <c r="BH1051" i="1" s="1"/>
  <c r="AR1051" i="1"/>
  <c r="AT931" i="1"/>
  <c r="BB931" i="1" s="1"/>
  <c r="BH931" i="1" s="1"/>
  <c r="AR931" i="1"/>
  <c r="AT875" i="1"/>
  <c r="BB875" i="1" s="1"/>
  <c r="BH875" i="1" s="1"/>
  <c r="AR875" i="1"/>
  <c r="AT811" i="1"/>
  <c r="BB811" i="1" s="1"/>
  <c r="BH811" i="1" s="1"/>
  <c r="AR811" i="1"/>
  <c r="AT747" i="1"/>
  <c r="BB747" i="1" s="1"/>
  <c r="BH747" i="1" s="1"/>
  <c r="AR747" i="1"/>
  <c r="AT683" i="1"/>
  <c r="BB683" i="1" s="1"/>
  <c r="BH683" i="1" s="1"/>
  <c r="AR683" i="1"/>
  <c r="AT619" i="1"/>
  <c r="BB619" i="1" s="1"/>
  <c r="BH619" i="1" s="1"/>
  <c r="AR619" i="1"/>
  <c r="AT579" i="1"/>
  <c r="BB579" i="1" s="1"/>
  <c r="BH579" i="1" s="1"/>
  <c r="AR579" i="1"/>
  <c r="AT523" i="1"/>
  <c r="BB523" i="1" s="1"/>
  <c r="BH523" i="1" s="1"/>
  <c r="AR523" i="1"/>
  <c r="AT467" i="1"/>
  <c r="BB467" i="1" s="1"/>
  <c r="BH467" i="1" s="1"/>
  <c r="AR467" i="1"/>
  <c r="AT411" i="1"/>
  <c r="BB411" i="1" s="1"/>
  <c r="BH411" i="1" s="1"/>
  <c r="AR411" i="1"/>
  <c r="AT347" i="1"/>
  <c r="BB347" i="1" s="1"/>
  <c r="BH347" i="1" s="1"/>
  <c r="AR347" i="1"/>
  <c r="AT291" i="1"/>
  <c r="BB291" i="1" s="1"/>
  <c r="BH291" i="1" s="1"/>
  <c r="AR291" i="1"/>
  <c r="AT235" i="1"/>
  <c r="BB235" i="1" s="1"/>
  <c r="BH235" i="1" s="1"/>
  <c r="AR235" i="1"/>
  <c r="AT179" i="1"/>
  <c r="BB179" i="1" s="1"/>
  <c r="BH179" i="1" s="1"/>
  <c r="AR179" i="1"/>
  <c r="AT115" i="1"/>
  <c r="BB115" i="1" s="1"/>
  <c r="BH115" i="1" s="1"/>
  <c r="AR115" i="1"/>
  <c r="AT59" i="1"/>
  <c r="BB59" i="1" s="1"/>
  <c r="BH59" i="1" s="1"/>
  <c r="AR59" i="1"/>
  <c r="AT1274" i="1"/>
  <c r="BB1274" i="1" s="1"/>
  <c r="BH1274" i="1" s="1"/>
  <c r="AR1274" i="1"/>
  <c r="AT1234" i="1"/>
  <c r="BB1234" i="1" s="1"/>
  <c r="BH1234" i="1" s="1"/>
  <c r="AR1234" i="1"/>
  <c r="AT1186" i="1"/>
  <c r="BB1186" i="1" s="1"/>
  <c r="BH1186" i="1" s="1"/>
  <c r="AR1186" i="1"/>
  <c r="AT1138" i="1"/>
  <c r="BB1138" i="1" s="1"/>
  <c r="BH1138" i="1" s="1"/>
  <c r="AR1138" i="1"/>
  <c r="AT1090" i="1"/>
  <c r="BB1090" i="1" s="1"/>
  <c r="BH1090" i="1" s="1"/>
  <c r="AR1090" i="1"/>
  <c r="AT1042" i="1"/>
  <c r="BB1042" i="1" s="1"/>
  <c r="BH1042" i="1" s="1"/>
  <c r="AR1042" i="1"/>
  <c r="AT994" i="1"/>
  <c r="BB994" i="1" s="1"/>
  <c r="BH994" i="1" s="1"/>
  <c r="AR994" i="1"/>
  <c r="AT954" i="1"/>
  <c r="BB954" i="1" s="1"/>
  <c r="BH954" i="1" s="1"/>
  <c r="AR954" i="1"/>
  <c r="AT906" i="1"/>
  <c r="BB906" i="1" s="1"/>
  <c r="BH906" i="1" s="1"/>
  <c r="AR906" i="1"/>
  <c r="AT866" i="1"/>
  <c r="BB866" i="1" s="1"/>
  <c r="BH866" i="1" s="1"/>
  <c r="AR866" i="1"/>
  <c r="AT826" i="1"/>
  <c r="BB826" i="1" s="1"/>
  <c r="BH826" i="1" s="1"/>
  <c r="AR826" i="1"/>
  <c r="AT778" i="1"/>
  <c r="BB778" i="1" s="1"/>
  <c r="BH778" i="1" s="1"/>
  <c r="AR778" i="1"/>
  <c r="AT730" i="1"/>
  <c r="BB730" i="1" s="1"/>
  <c r="BH730" i="1" s="1"/>
  <c r="AR730" i="1"/>
  <c r="AT682" i="1"/>
  <c r="BB682" i="1" s="1"/>
  <c r="BH682" i="1" s="1"/>
  <c r="AR682" i="1"/>
  <c r="AT634" i="1"/>
  <c r="BB634" i="1" s="1"/>
  <c r="BH634" i="1" s="1"/>
  <c r="AR634" i="1"/>
  <c r="AT586" i="1"/>
  <c r="BB586" i="1" s="1"/>
  <c r="BH586" i="1" s="1"/>
  <c r="AR586" i="1"/>
  <c r="AT546" i="1"/>
  <c r="BB546" i="1" s="1"/>
  <c r="BH546" i="1" s="1"/>
  <c r="AR546" i="1"/>
  <c r="AT506" i="1"/>
  <c r="BB506" i="1" s="1"/>
  <c r="BH506" i="1" s="1"/>
  <c r="AR506" i="1"/>
  <c r="AT442" i="1"/>
  <c r="BB442" i="1" s="1"/>
  <c r="BH442" i="1" s="1"/>
  <c r="AR442" i="1"/>
  <c r="AT1297" i="1"/>
  <c r="BB1297" i="1" s="1"/>
  <c r="BH1297" i="1" s="1"/>
  <c r="AR1297" i="1"/>
  <c r="AT1241" i="1"/>
  <c r="BB1241" i="1" s="1"/>
  <c r="BH1241" i="1" s="1"/>
  <c r="AR1241" i="1"/>
  <c r="AT1193" i="1"/>
  <c r="BB1193" i="1" s="1"/>
  <c r="BH1193" i="1" s="1"/>
  <c r="AR1193" i="1"/>
  <c r="AT1153" i="1"/>
  <c r="BB1153" i="1" s="1"/>
  <c r="BH1153" i="1" s="1"/>
  <c r="AR1153" i="1"/>
  <c r="AT1113" i="1"/>
  <c r="BB1113" i="1" s="1"/>
  <c r="BH1113" i="1" s="1"/>
  <c r="AR1113" i="1"/>
  <c r="AT1073" i="1"/>
  <c r="BB1073" i="1" s="1"/>
  <c r="BH1073" i="1" s="1"/>
  <c r="AR1073" i="1"/>
  <c r="AT1025" i="1"/>
  <c r="BB1025" i="1" s="1"/>
  <c r="BH1025" i="1" s="1"/>
  <c r="AR1025" i="1"/>
  <c r="AT985" i="1"/>
  <c r="BB985" i="1" s="1"/>
  <c r="BH985" i="1" s="1"/>
  <c r="AR985" i="1"/>
  <c r="AT945" i="1"/>
  <c r="BB945" i="1" s="1"/>
  <c r="BH945" i="1" s="1"/>
  <c r="AR945" i="1"/>
  <c r="AT905" i="1"/>
  <c r="BB905" i="1" s="1"/>
  <c r="BH905" i="1" s="1"/>
  <c r="AR905" i="1"/>
  <c r="AT889" i="1"/>
  <c r="BB889" i="1" s="1"/>
  <c r="BH889" i="1" s="1"/>
  <c r="AR889" i="1"/>
  <c r="AT857" i="1"/>
  <c r="BB857" i="1" s="1"/>
  <c r="BH857" i="1" s="1"/>
  <c r="AR857" i="1"/>
  <c r="AT849" i="1"/>
  <c r="BB849" i="1" s="1"/>
  <c r="BH849" i="1" s="1"/>
  <c r="AR849" i="1"/>
  <c r="AT841" i="1"/>
  <c r="BB841" i="1" s="1"/>
  <c r="BH841" i="1" s="1"/>
  <c r="AR841" i="1"/>
  <c r="AT833" i="1"/>
  <c r="BB833" i="1" s="1"/>
  <c r="BH833" i="1" s="1"/>
  <c r="AR833" i="1"/>
  <c r="AT825" i="1"/>
  <c r="BB825" i="1" s="1"/>
  <c r="BH825" i="1" s="1"/>
  <c r="AR825" i="1"/>
  <c r="AT817" i="1"/>
  <c r="BB817" i="1" s="1"/>
  <c r="BH817" i="1" s="1"/>
  <c r="AR817" i="1"/>
  <c r="AT809" i="1"/>
  <c r="BB809" i="1" s="1"/>
  <c r="BH809" i="1" s="1"/>
  <c r="AR809" i="1"/>
  <c r="AT801" i="1"/>
  <c r="BB801" i="1" s="1"/>
  <c r="BH801" i="1" s="1"/>
  <c r="AR801" i="1"/>
  <c r="AT793" i="1"/>
  <c r="BB793" i="1" s="1"/>
  <c r="BH793" i="1" s="1"/>
  <c r="AR793" i="1"/>
  <c r="AT785" i="1"/>
  <c r="BB785" i="1" s="1"/>
  <c r="BH785" i="1" s="1"/>
  <c r="AR785" i="1"/>
  <c r="AT777" i="1"/>
  <c r="BB777" i="1" s="1"/>
  <c r="BH777" i="1" s="1"/>
  <c r="AR777" i="1"/>
  <c r="AT769" i="1"/>
  <c r="BB769" i="1" s="1"/>
  <c r="BH769" i="1" s="1"/>
  <c r="AR769" i="1"/>
  <c r="AT761" i="1"/>
  <c r="BB761" i="1" s="1"/>
  <c r="BH761" i="1" s="1"/>
  <c r="AR761" i="1"/>
  <c r="AT753" i="1"/>
  <c r="BB753" i="1" s="1"/>
  <c r="BH753" i="1" s="1"/>
  <c r="AR753" i="1"/>
  <c r="AT745" i="1"/>
  <c r="BB745" i="1" s="1"/>
  <c r="BH745" i="1" s="1"/>
  <c r="AR745" i="1"/>
  <c r="AT737" i="1"/>
  <c r="BB737" i="1" s="1"/>
  <c r="BH737" i="1" s="1"/>
  <c r="AR737" i="1"/>
  <c r="AT729" i="1"/>
  <c r="BB729" i="1" s="1"/>
  <c r="BH729" i="1" s="1"/>
  <c r="AR729" i="1"/>
  <c r="AT721" i="1"/>
  <c r="BB721" i="1" s="1"/>
  <c r="BH721" i="1" s="1"/>
  <c r="AR721" i="1"/>
  <c r="AT713" i="1"/>
  <c r="BB713" i="1" s="1"/>
  <c r="BH713" i="1" s="1"/>
  <c r="AR713" i="1"/>
  <c r="AT705" i="1"/>
  <c r="BB705" i="1" s="1"/>
  <c r="BH705" i="1" s="1"/>
  <c r="AR705" i="1"/>
  <c r="AT697" i="1"/>
  <c r="BB697" i="1" s="1"/>
  <c r="BH697" i="1" s="1"/>
  <c r="AR697" i="1"/>
  <c r="AT689" i="1"/>
  <c r="BB689" i="1" s="1"/>
  <c r="BH689" i="1" s="1"/>
  <c r="AR689" i="1"/>
  <c r="AT681" i="1"/>
  <c r="BB681" i="1" s="1"/>
  <c r="BH681" i="1" s="1"/>
  <c r="AR681" i="1"/>
  <c r="AT673" i="1"/>
  <c r="BB673" i="1" s="1"/>
  <c r="BH673" i="1" s="1"/>
  <c r="AR673" i="1"/>
  <c r="AT665" i="1"/>
  <c r="BB665" i="1" s="1"/>
  <c r="BH665" i="1" s="1"/>
  <c r="AR665" i="1"/>
  <c r="AT657" i="1"/>
  <c r="BB657" i="1" s="1"/>
  <c r="BH657" i="1" s="1"/>
  <c r="AR657" i="1"/>
  <c r="AT649" i="1"/>
  <c r="BB649" i="1" s="1"/>
  <c r="BH649" i="1" s="1"/>
  <c r="AR649" i="1"/>
  <c r="AT641" i="1"/>
  <c r="BB641" i="1" s="1"/>
  <c r="BH641" i="1" s="1"/>
  <c r="AR641" i="1"/>
  <c r="AT633" i="1"/>
  <c r="BB633" i="1" s="1"/>
  <c r="BH633" i="1" s="1"/>
  <c r="AR633" i="1"/>
  <c r="AT625" i="1"/>
  <c r="BB625" i="1" s="1"/>
  <c r="BH625" i="1" s="1"/>
  <c r="AR625" i="1"/>
  <c r="AT617" i="1"/>
  <c r="BB617" i="1" s="1"/>
  <c r="BH617" i="1" s="1"/>
  <c r="AR617" i="1"/>
  <c r="AT609" i="1"/>
  <c r="BB609" i="1" s="1"/>
  <c r="BH609" i="1" s="1"/>
  <c r="AR609" i="1"/>
  <c r="AT601" i="1"/>
  <c r="BB601" i="1" s="1"/>
  <c r="BH601" i="1" s="1"/>
  <c r="AR601" i="1"/>
  <c r="AT1292" i="1"/>
  <c r="BB1292" i="1" s="1"/>
  <c r="BH1292" i="1" s="1"/>
  <c r="AR1292" i="1"/>
  <c r="AT1236" i="1"/>
  <c r="BB1236" i="1" s="1"/>
  <c r="BH1236" i="1" s="1"/>
  <c r="AR1236" i="1"/>
  <c r="AT1180" i="1"/>
  <c r="BB1180" i="1" s="1"/>
  <c r="BH1180" i="1" s="1"/>
  <c r="AR1180" i="1"/>
  <c r="AT1283" i="1"/>
  <c r="BB1283" i="1" s="1"/>
  <c r="BH1283" i="1" s="1"/>
  <c r="AR1283" i="1"/>
  <c r="AT1227" i="1"/>
  <c r="BB1227" i="1" s="1"/>
  <c r="BH1227" i="1" s="1"/>
  <c r="AR1227" i="1"/>
  <c r="AT1187" i="1"/>
  <c r="BB1187" i="1" s="1"/>
  <c r="BH1187" i="1" s="1"/>
  <c r="AR1187" i="1"/>
  <c r="AT1123" i="1"/>
  <c r="BB1123" i="1" s="1"/>
  <c r="BH1123" i="1" s="1"/>
  <c r="AR1123" i="1"/>
  <c r="AT1075" i="1"/>
  <c r="BB1075" i="1" s="1"/>
  <c r="BH1075" i="1" s="1"/>
  <c r="AR1075" i="1"/>
  <c r="AT1027" i="1"/>
  <c r="BB1027" i="1" s="1"/>
  <c r="BH1027" i="1" s="1"/>
  <c r="AR1027" i="1"/>
  <c r="AT979" i="1"/>
  <c r="BB979" i="1" s="1"/>
  <c r="BH979" i="1" s="1"/>
  <c r="AR979" i="1"/>
  <c r="AT907" i="1"/>
  <c r="BB907" i="1" s="1"/>
  <c r="BH907" i="1" s="1"/>
  <c r="AR907" i="1"/>
  <c r="AT867" i="1"/>
  <c r="BB867" i="1" s="1"/>
  <c r="BH867" i="1" s="1"/>
  <c r="AR867" i="1"/>
  <c r="AT819" i="1"/>
  <c r="BB819" i="1" s="1"/>
  <c r="BH819" i="1" s="1"/>
  <c r="AR819" i="1"/>
  <c r="AT763" i="1"/>
  <c r="BB763" i="1" s="1"/>
  <c r="BH763" i="1" s="1"/>
  <c r="AR763" i="1"/>
  <c r="AT707" i="1"/>
  <c r="BB707" i="1" s="1"/>
  <c r="BH707" i="1" s="1"/>
  <c r="AR707" i="1"/>
  <c r="AT651" i="1"/>
  <c r="BB651" i="1" s="1"/>
  <c r="BH651" i="1" s="1"/>
  <c r="AR651" i="1"/>
  <c r="AT595" i="1"/>
  <c r="BB595" i="1" s="1"/>
  <c r="BH595" i="1" s="1"/>
  <c r="AR595" i="1"/>
  <c r="AT539" i="1"/>
  <c r="BB539" i="1" s="1"/>
  <c r="BH539" i="1" s="1"/>
  <c r="AR539" i="1"/>
  <c r="AT507" i="1"/>
  <c r="BB507" i="1" s="1"/>
  <c r="BH507" i="1" s="1"/>
  <c r="AR507" i="1"/>
  <c r="AT459" i="1"/>
  <c r="BB459" i="1" s="1"/>
  <c r="BH459" i="1" s="1"/>
  <c r="AR459" i="1"/>
  <c r="AT355" i="1"/>
  <c r="BB355" i="1" s="1"/>
  <c r="BH355" i="1" s="1"/>
  <c r="AR355" i="1"/>
  <c r="AT299" i="1"/>
  <c r="BB299" i="1" s="1"/>
  <c r="BH299" i="1" s="1"/>
  <c r="AR299" i="1"/>
  <c r="AT243" i="1"/>
  <c r="BB243" i="1" s="1"/>
  <c r="BH243" i="1" s="1"/>
  <c r="AR243" i="1"/>
  <c r="AT187" i="1"/>
  <c r="BB187" i="1" s="1"/>
  <c r="BH187" i="1" s="1"/>
  <c r="AR187" i="1"/>
  <c r="AT139" i="1"/>
  <c r="BB139" i="1" s="1"/>
  <c r="BH139" i="1" s="1"/>
  <c r="AR139" i="1"/>
  <c r="AT83" i="1"/>
  <c r="BB83" i="1" s="1"/>
  <c r="BH83" i="1" s="1"/>
  <c r="AR83" i="1"/>
  <c r="AT27" i="1"/>
  <c r="BB27" i="1" s="1"/>
  <c r="BH27" i="1" s="1"/>
  <c r="AR27" i="1"/>
  <c r="AT1266" i="1"/>
  <c r="BB1266" i="1" s="1"/>
  <c r="BH1266" i="1" s="1"/>
  <c r="AR1266" i="1"/>
  <c r="AT1218" i="1"/>
  <c r="BB1218" i="1" s="1"/>
  <c r="BH1218" i="1" s="1"/>
  <c r="AR1218" i="1"/>
  <c r="AT1170" i="1"/>
  <c r="BB1170" i="1" s="1"/>
  <c r="BH1170" i="1" s="1"/>
  <c r="AR1170" i="1"/>
  <c r="AT1130" i="1"/>
  <c r="BB1130" i="1" s="1"/>
  <c r="BH1130" i="1" s="1"/>
  <c r="AR1130" i="1"/>
  <c r="AT1082" i="1"/>
  <c r="BB1082" i="1" s="1"/>
  <c r="BH1082" i="1" s="1"/>
  <c r="AR1082" i="1"/>
  <c r="AT1034" i="1"/>
  <c r="BB1034" i="1" s="1"/>
  <c r="BH1034" i="1" s="1"/>
  <c r="AR1034" i="1"/>
  <c r="AT986" i="1"/>
  <c r="BB986" i="1" s="1"/>
  <c r="BH986" i="1" s="1"/>
  <c r="AR986" i="1"/>
  <c r="AT938" i="1"/>
  <c r="BB938" i="1" s="1"/>
  <c r="BH938" i="1" s="1"/>
  <c r="AR938" i="1"/>
  <c r="AT810" i="1"/>
  <c r="BB810" i="1" s="1"/>
  <c r="BH810" i="1" s="1"/>
  <c r="AR810" i="1"/>
  <c r="AT762" i="1"/>
  <c r="BB762" i="1" s="1"/>
  <c r="BH762" i="1" s="1"/>
  <c r="AR762" i="1"/>
  <c r="AT714" i="1"/>
  <c r="BB714" i="1" s="1"/>
  <c r="BH714" i="1" s="1"/>
  <c r="AR714" i="1"/>
  <c r="AT666" i="1"/>
  <c r="BB666" i="1" s="1"/>
  <c r="BH666" i="1" s="1"/>
  <c r="AR666" i="1"/>
  <c r="AT618" i="1"/>
  <c r="BB618" i="1" s="1"/>
  <c r="BH618" i="1" s="1"/>
  <c r="AR618" i="1"/>
  <c r="AT578" i="1"/>
  <c r="BB578" i="1" s="1"/>
  <c r="BH578" i="1" s="1"/>
  <c r="AR578" i="1"/>
  <c r="AT538" i="1"/>
  <c r="BB538" i="1" s="1"/>
  <c r="BH538" i="1" s="1"/>
  <c r="AR538" i="1"/>
  <c r="AT482" i="1"/>
  <c r="BB482" i="1" s="1"/>
  <c r="BH482" i="1" s="1"/>
  <c r="AR482" i="1"/>
  <c r="AT434" i="1"/>
  <c r="BB434" i="1" s="1"/>
  <c r="BH434" i="1" s="1"/>
  <c r="AR434" i="1"/>
  <c r="AT1281" i="1"/>
  <c r="BB1281" i="1" s="1"/>
  <c r="BH1281" i="1" s="1"/>
  <c r="AR1281" i="1"/>
  <c r="AT1249" i="1"/>
  <c r="BB1249" i="1" s="1"/>
  <c r="BH1249" i="1" s="1"/>
  <c r="AR1249" i="1"/>
  <c r="AT1217" i="1"/>
  <c r="BB1217" i="1" s="1"/>
  <c r="BH1217" i="1" s="1"/>
  <c r="AR1217" i="1"/>
  <c r="AT1177" i="1"/>
  <c r="BB1177" i="1" s="1"/>
  <c r="BH1177" i="1" s="1"/>
  <c r="AR1177" i="1"/>
  <c r="AT1137" i="1"/>
  <c r="BB1137" i="1" s="1"/>
  <c r="BH1137" i="1" s="1"/>
  <c r="AR1137" i="1"/>
  <c r="AT1065" i="1"/>
  <c r="BB1065" i="1" s="1"/>
  <c r="BH1065" i="1" s="1"/>
  <c r="AR1065" i="1"/>
  <c r="AT1033" i="1"/>
  <c r="BB1033" i="1" s="1"/>
  <c r="BH1033" i="1" s="1"/>
  <c r="AR1033" i="1"/>
  <c r="AT993" i="1"/>
  <c r="BB993" i="1" s="1"/>
  <c r="BH993" i="1" s="1"/>
  <c r="AR993" i="1"/>
  <c r="AT953" i="1"/>
  <c r="BB953" i="1" s="1"/>
  <c r="BH953" i="1" s="1"/>
  <c r="AR953" i="1"/>
  <c r="AT913" i="1"/>
  <c r="BB913" i="1" s="1"/>
  <c r="BH913" i="1" s="1"/>
  <c r="AR913" i="1"/>
  <c r="AT865" i="1"/>
  <c r="BB865" i="1" s="1"/>
  <c r="BH865" i="1" s="1"/>
  <c r="AR865" i="1"/>
  <c r="AT1288" i="1"/>
  <c r="BB1288" i="1" s="1"/>
  <c r="BH1288" i="1" s="1"/>
  <c r="AR1288" i="1"/>
  <c r="AT1256" i="1"/>
  <c r="BB1256" i="1" s="1"/>
  <c r="BH1256" i="1" s="1"/>
  <c r="AR1256" i="1"/>
  <c r="AT1224" i="1"/>
  <c r="BB1224" i="1" s="1"/>
  <c r="BH1224" i="1" s="1"/>
  <c r="AR1224" i="1"/>
  <c r="AT1192" i="1"/>
  <c r="BB1192" i="1" s="1"/>
  <c r="BH1192" i="1" s="1"/>
  <c r="AR1192" i="1"/>
  <c r="AT1160" i="1"/>
  <c r="BB1160" i="1" s="1"/>
  <c r="BH1160" i="1" s="1"/>
  <c r="AR1160" i="1"/>
  <c r="AT1136" i="1"/>
  <c r="BB1136" i="1" s="1"/>
  <c r="BH1136" i="1" s="1"/>
  <c r="AR1136" i="1"/>
  <c r="AT1112" i="1"/>
  <c r="BB1112" i="1" s="1"/>
  <c r="BH1112" i="1" s="1"/>
  <c r="AR1112" i="1"/>
  <c r="AT1072" i="1"/>
  <c r="BB1072" i="1" s="1"/>
  <c r="BH1072" i="1" s="1"/>
  <c r="AR1072" i="1"/>
  <c r="AT1040" i="1"/>
  <c r="BB1040" i="1" s="1"/>
  <c r="BH1040" i="1" s="1"/>
  <c r="AR1040" i="1"/>
  <c r="AT1008" i="1"/>
  <c r="BB1008" i="1" s="1"/>
  <c r="BH1008" i="1" s="1"/>
  <c r="AR1008" i="1"/>
  <c r="AT984" i="1"/>
  <c r="BB984" i="1" s="1"/>
  <c r="BH984" i="1" s="1"/>
  <c r="AR984" i="1"/>
  <c r="AT952" i="1"/>
  <c r="BB952" i="1" s="1"/>
  <c r="BH952" i="1" s="1"/>
  <c r="AR952" i="1"/>
  <c r="AT944" i="1"/>
  <c r="BB944" i="1" s="1"/>
  <c r="BH944" i="1" s="1"/>
  <c r="AR944" i="1"/>
  <c r="AT936" i="1"/>
  <c r="BB936" i="1" s="1"/>
  <c r="BH936" i="1" s="1"/>
  <c r="AR936" i="1"/>
  <c r="AT928" i="1"/>
  <c r="BB928" i="1" s="1"/>
  <c r="BH928" i="1" s="1"/>
  <c r="AR928" i="1"/>
  <c r="AT920" i="1"/>
  <c r="BB920" i="1" s="1"/>
  <c r="BH920" i="1" s="1"/>
  <c r="AR920" i="1"/>
  <c r="AT912" i="1"/>
  <c r="BB912" i="1" s="1"/>
  <c r="BH912" i="1" s="1"/>
  <c r="AR912" i="1"/>
  <c r="AT904" i="1"/>
  <c r="BB904" i="1" s="1"/>
  <c r="BH904" i="1" s="1"/>
  <c r="AR904" i="1"/>
  <c r="AT896" i="1"/>
  <c r="BB896" i="1" s="1"/>
  <c r="BH896" i="1" s="1"/>
  <c r="AR896" i="1"/>
  <c r="AT888" i="1"/>
  <c r="BB888" i="1" s="1"/>
  <c r="BH888" i="1" s="1"/>
  <c r="AR888" i="1"/>
  <c r="AT880" i="1"/>
  <c r="BB880" i="1" s="1"/>
  <c r="BH880" i="1" s="1"/>
  <c r="AR880" i="1"/>
  <c r="AT872" i="1"/>
  <c r="BB872" i="1" s="1"/>
  <c r="BH872" i="1" s="1"/>
  <c r="AR872" i="1"/>
  <c r="AT864" i="1"/>
  <c r="BB864" i="1" s="1"/>
  <c r="BH864" i="1" s="1"/>
  <c r="AR864" i="1"/>
  <c r="AR856" i="1"/>
  <c r="AT856" i="1"/>
  <c r="BB856" i="1" s="1"/>
  <c r="BH856" i="1" s="1"/>
  <c r="AT848" i="1"/>
  <c r="BB848" i="1" s="1"/>
  <c r="BH848" i="1" s="1"/>
  <c r="AR848" i="1"/>
  <c r="AT840" i="1"/>
  <c r="BB840" i="1" s="1"/>
  <c r="BH840" i="1" s="1"/>
  <c r="AR840" i="1"/>
  <c r="AT832" i="1"/>
  <c r="BB832" i="1" s="1"/>
  <c r="BH832" i="1" s="1"/>
  <c r="AR832" i="1"/>
  <c r="AT824" i="1"/>
  <c r="BB824" i="1" s="1"/>
  <c r="BH824" i="1" s="1"/>
  <c r="AR824" i="1"/>
  <c r="AT816" i="1"/>
  <c r="BB816" i="1" s="1"/>
  <c r="BH816" i="1" s="1"/>
  <c r="AR816" i="1"/>
  <c r="AT808" i="1"/>
  <c r="BB808" i="1" s="1"/>
  <c r="BH808" i="1" s="1"/>
  <c r="AR808" i="1"/>
  <c r="AT800" i="1"/>
  <c r="BB800" i="1" s="1"/>
  <c r="BH800" i="1" s="1"/>
  <c r="AR800" i="1"/>
  <c r="AT593" i="1"/>
  <c r="BB593" i="1" s="1"/>
  <c r="BH593" i="1" s="1"/>
  <c r="AR593" i="1"/>
  <c r="AT585" i="1"/>
  <c r="BB585" i="1" s="1"/>
  <c r="BH585" i="1" s="1"/>
  <c r="AR585" i="1"/>
  <c r="AT577" i="1"/>
  <c r="BB577" i="1" s="1"/>
  <c r="BH577" i="1" s="1"/>
  <c r="AR577" i="1"/>
  <c r="AT569" i="1"/>
  <c r="BB569" i="1" s="1"/>
  <c r="BH569" i="1" s="1"/>
  <c r="AR569" i="1"/>
  <c r="AT561" i="1"/>
  <c r="BB561" i="1" s="1"/>
  <c r="BH561" i="1" s="1"/>
  <c r="AR561" i="1"/>
  <c r="AT553" i="1"/>
  <c r="BB553" i="1" s="1"/>
  <c r="BH553" i="1" s="1"/>
  <c r="AR553" i="1"/>
  <c r="AT545" i="1"/>
  <c r="BB545" i="1" s="1"/>
  <c r="BH545" i="1" s="1"/>
  <c r="AR545" i="1"/>
  <c r="AT537" i="1"/>
  <c r="BB537" i="1" s="1"/>
  <c r="BH537" i="1" s="1"/>
  <c r="AR537" i="1"/>
  <c r="AT529" i="1"/>
  <c r="BB529" i="1" s="1"/>
  <c r="BH529" i="1" s="1"/>
  <c r="AR529" i="1"/>
  <c r="AT521" i="1"/>
  <c r="BB521" i="1" s="1"/>
  <c r="BH521" i="1" s="1"/>
  <c r="AR521" i="1"/>
  <c r="AT513" i="1"/>
  <c r="BB513" i="1" s="1"/>
  <c r="BH513" i="1" s="1"/>
  <c r="AR513" i="1"/>
  <c r="AT505" i="1"/>
  <c r="BB505" i="1" s="1"/>
  <c r="BH505" i="1" s="1"/>
  <c r="AR505" i="1"/>
  <c r="AT497" i="1"/>
  <c r="BB497" i="1" s="1"/>
  <c r="BH497" i="1" s="1"/>
  <c r="AR497" i="1"/>
  <c r="AT489" i="1"/>
  <c r="BB489" i="1" s="1"/>
  <c r="BH489" i="1" s="1"/>
  <c r="AR489" i="1"/>
  <c r="AT481" i="1"/>
  <c r="BB481" i="1" s="1"/>
  <c r="BH481" i="1" s="1"/>
  <c r="AR481" i="1"/>
  <c r="AT473" i="1"/>
  <c r="BB473" i="1" s="1"/>
  <c r="BH473" i="1" s="1"/>
  <c r="AR473" i="1"/>
  <c r="AT465" i="1"/>
  <c r="BB465" i="1" s="1"/>
  <c r="BH465" i="1" s="1"/>
  <c r="AR465" i="1"/>
  <c r="AT457" i="1"/>
  <c r="BB457" i="1" s="1"/>
  <c r="BH457" i="1" s="1"/>
  <c r="AR457" i="1"/>
  <c r="AT449" i="1"/>
  <c r="BB449" i="1" s="1"/>
  <c r="BH449" i="1" s="1"/>
  <c r="AR449" i="1"/>
  <c r="AT441" i="1"/>
  <c r="BB441" i="1" s="1"/>
  <c r="BH441" i="1" s="1"/>
  <c r="AR441" i="1"/>
  <c r="AT433" i="1"/>
  <c r="BB433" i="1" s="1"/>
  <c r="BH433" i="1" s="1"/>
  <c r="AR433" i="1"/>
  <c r="AT425" i="1"/>
  <c r="BB425" i="1" s="1"/>
  <c r="BH425" i="1" s="1"/>
  <c r="AR425" i="1"/>
  <c r="AT417" i="1"/>
  <c r="BB417" i="1" s="1"/>
  <c r="BH417" i="1" s="1"/>
  <c r="AR417" i="1"/>
  <c r="AT409" i="1"/>
  <c r="BB409" i="1" s="1"/>
  <c r="BH409" i="1" s="1"/>
  <c r="AR409" i="1"/>
  <c r="AT401" i="1"/>
  <c r="BB401" i="1" s="1"/>
  <c r="BH401" i="1" s="1"/>
  <c r="AR401" i="1"/>
  <c r="AT393" i="1"/>
  <c r="BB393" i="1" s="1"/>
  <c r="BH393" i="1" s="1"/>
  <c r="AR393" i="1"/>
  <c r="AT385" i="1"/>
  <c r="BB385" i="1" s="1"/>
  <c r="BH385" i="1" s="1"/>
  <c r="AR385" i="1"/>
  <c r="AT377" i="1"/>
  <c r="BB377" i="1" s="1"/>
  <c r="BH377" i="1" s="1"/>
  <c r="AR377" i="1"/>
  <c r="AT369" i="1"/>
  <c r="BB369" i="1" s="1"/>
  <c r="BH369" i="1" s="1"/>
  <c r="AR369" i="1"/>
  <c r="AT361" i="1"/>
  <c r="BB361" i="1" s="1"/>
  <c r="BH361" i="1" s="1"/>
  <c r="AR361" i="1"/>
  <c r="AT353" i="1"/>
  <c r="BB353" i="1" s="1"/>
  <c r="BH353" i="1" s="1"/>
  <c r="AR353" i="1"/>
  <c r="AT345" i="1"/>
  <c r="BB345" i="1" s="1"/>
  <c r="BH345" i="1" s="1"/>
  <c r="AR345" i="1"/>
  <c r="AT337" i="1"/>
  <c r="BB337" i="1" s="1"/>
  <c r="BH337" i="1" s="1"/>
  <c r="AR337" i="1"/>
  <c r="AT329" i="1"/>
  <c r="BB329" i="1" s="1"/>
  <c r="BH329" i="1" s="1"/>
  <c r="AR329" i="1"/>
  <c r="AT321" i="1"/>
  <c r="BB321" i="1" s="1"/>
  <c r="BH321" i="1" s="1"/>
  <c r="AR321" i="1"/>
  <c r="AT313" i="1"/>
  <c r="BB313" i="1" s="1"/>
  <c r="BH313" i="1" s="1"/>
  <c r="AR313" i="1"/>
  <c r="AT305" i="1"/>
  <c r="BB305" i="1" s="1"/>
  <c r="BH305" i="1" s="1"/>
  <c r="AR305" i="1"/>
  <c r="AT297" i="1"/>
  <c r="BB297" i="1" s="1"/>
  <c r="BH297" i="1" s="1"/>
  <c r="AR297" i="1"/>
  <c r="AT289" i="1"/>
  <c r="BB289" i="1" s="1"/>
  <c r="BH289" i="1" s="1"/>
  <c r="AR289" i="1"/>
  <c r="AT281" i="1"/>
  <c r="BB281" i="1" s="1"/>
  <c r="BH281" i="1" s="1"/>
  <c r="AR281" i="1"/>
  <c r="AT273" i="1"/>
  <c r="BB273" i="1" s="1"/>
  <c r="BH273" i="1" s="1"/>
  <c r="AR273" i="1"/>
  <c r="AT265" i="1"/>
  <c r="BB265" i="1" s="1"/>
  <c r="BH265" i="1" s="1"/>
  <c r="AR265" i="1"/>
  <c r="AT257" i="1"/>
  <c r="BB257" i="1" s="1"/>
  <c r="BH257" i="1" s="1"/>
  <c r="AR257" i="1"/>
  <c r="AT249" i="1"/>
  <c r="BB249" i="1" s="1"/>
  <c r="BH249" i="1" s="1"/>
  <c r="AR249" i="1"/>
  <c r="AT241" i="1"/>
  <c r="BB241" i="1" s="1"/>
  <c r="BH241" i="1" s="1"/>
  <c r="AR241" i="1"/>
  <c r="AT233" i="1"/>
  <c r="BB233" i="1" s="1"/>
  <c r="BH233" i="1" s="1"/>
  <c r="AR233" i="1"/>
  <c r="AT225" i="1"/>
  <c r="BB225" i="1" s="1"/>
  <c r="BH225" i="1" s="1"/>
  <c r="AR225" i="1"/>
  <c r="AT217" i="1"/>
  <c r="BB217" i="1" s="1"/>
  <c r="BH217" i="1" s="1"/>
  <c r="AR217" i="1"/>
  <c r="AT209" i="1"/>
  <c r="BB209" i="1" s="1"/>
  <c r="BH209" i="1" s="1"/>
  <c r="AR209" i="1"/>
  <c r="AT201" i="1"/>
  <c r="BB201" i="1" s="1"/>
  <c r="BH201" i="1" s="1"/>
  <c r="AR201" i="1"/>
  <c r="AT193" i="1"/>
  <c r="BB193" i="1" s="1"/>
  <c r="BH193" i="1" s="1"/>
  <c r="AR193" i="1"/>
  <c r="AT185" i="1"/>
  <c r="BB185" i="1" s="1"/>
  <c r="BH185" i="1" s="1"/>
  <c r="AR185" i="1"/>
  <c r="AT177" i="1"/>
  <c r="BB177" i="1" s="1"/>
  <c r="BH177" i="1" s="1"/>
  <c r="AR177" i="1"/>
  <c r="AT169" i="1"/>
  <c r="BB169" i="1" s="1"/>
  <c r="BH169" i="1" s="1"/>
  <c r="AR169" i="1"/>
  <c r="AT161" i="1"/>
  <c r="BB161" i="1" s="1"/>
  <c r="BH161" i="1" s="1"/>
  <c r="AR161" i="1"/>
  <c r="AT153" i="1"/>
  <c r="BB153" i="1" s="1"/>
  <c r="BH153" i="1" s="1"/>
  <c r="AR153" i="1"/>
  <c r="AT145" i="1"/>
  <c r="BB145" i="1" s="1"/>
  <c r="BH145" i="1" s="1"/>
  <c r="AR145" i="1"/>
  <c r="AT137" i="1"/>
  <c r="BB137" i="1" s="1"/>
  <c r="BH137" i="1" s="1"/>
  <c r="AR137" i="1"/>
  <c r="AT129" i="1"/>
  <c r="BB129" i="1" s="1"/>
  <c r="BH129" i="1" s="1"/>
  <c r="AR129" i="1"/>
  <c r="AT121" i="1"/>
  <c r="BB121" i="1" s="1"/>
  <c r="BH121" i="1" s="1"/>
  <c r="AR121" i="1"/>
  <c r="AT113" i="1"/>
  <c r="BB113" i="1" s="1"/>
  <c r="BH113" i="1" s="1"/>
  <c r="AR113" i="1"/>
  <c r="AT105" i="1"/>
  <c r="BB105" i="1" s="1"/>
  <c r="BH105" i="1" s="1"/>
  <c r="AR105" i="1"/>
  <c r="AT97" i="1"/>
  <c r="BB97" i="1" s="1"/>
  <c r="BH97" i="1" s="1"/>
  <c r="AR97" i="1"/>
  <c r="AT89" i="1"/>
  <c r="BB89" i="1" s="1"/>
  <c r="BH89" i="1" s="1"/>
  <c r="AR89" i="1"/>
  <c r="AT81" i="1"/>
  <c r="BB81" i="1" s="1"/>
  <c r="BH81" i="1" s="1"/>
  <c r="AR81" i="1"/>
  <c r="AT73" i="1"/>
  <c r="BB73" i="1" s="1"/>
  <c r="BH73" i="1" s="1"/>
  <c r="AR73" i="1"/>
  <c r="AT65" i="1"/>
  <c r="BB65" i="1" s="1"/>
  <c r="BH65" i="1" s="1"/>
  <c r="AR65" i="1"/>
  <c r="AT57" i="1"/>
  <c r="BB57" i="1" s="1"/>
  <c r="BH57" i="1" s="1"/>
  <c r="AR57" i="1"/>
  <c r="AT49" i="1"/>
  <c r="BB49" i="1" s="1"/>
  <c r="BH49" i="1" s="1"/>
  <c r="AR49" i="1"/>
  <c r="AT41" i="1"/>
  <c r="BB41" i="1" s="1"/>
  <c r="BH41" i="1" s="1"/>
  <c r="AR41" i="1"/>
  <c r="AT33" i="1"/>
  <c r="BB33" i="1" s="1"/>
  <c r="BH33" i="1" s="1"/>
  <c r="AR33" i="1"/>
  <c r="AT25" i="1"/>
  <c r="BB25" i="1" s="1"/>
  <c r="BH25" i="1" s="1"/>
  <c r="AR25" i="1"/>
  <c r="AR792" i="1"/>
  <c r="AT792" i="1"/>
  <c r="BB792" i="1" s="1"/>
  <c r="BH792" i="1" s="1"/>
  <c r="AT784" i="1"/>
  <c r="BB784" i="1" s="1"/>
  <c r="BH784" i="1" s="1"/>
  <c r="AR784" i="1"/>
  <c r="AT776" i="1"/>
  <c r="BB776" i="1" s="1"/>
  <c r="BH776" i="1" s="1"/>
  <c r="AR776" i="1"/>
  <c r="AT768" i="1"/>
  <c r="BB768" i="1" s="1"/>
  <c r="BH768" i="1" s="1"/>
  <c r="AR768" i="1"/>
  <c r="AT760" i="1"/>
  <c r="BB760" i="1" s="1"/>
  <c r="BH760" i="1" s="1"/>
  <c r="AR760" i="1"/>
  <c r="AT752" i="1"/>
  <c r="BB752" i="1" s="1"/>
  <c r="BH752" i="1" s="1"/>
  <c r="AR752" i="1"/>
  <c r="AT744" i="1"/>
  <c r="BB744" i="1" s="1"/>
  <c r="BH744" i="1" s="1"/>
  <c r="AR744" i="1"/>
  <c r="AT736" i="1"/>
  <c r="BB736" i="1" s="1"/>
  <c r="BH736" i="1" s="1"/>
  <c r="AR736" i="1"/>
  <c r="AT728" i="1"/>
  <c r="BB728" i="1" s="1"/>
  <c r="BH728" i="1" s="1"/>
  <c r="AR728" i="1"/>
  <c r="AT720" i="1"/>
  <c r="BB720" i="1" s="1"/>
  <c r="BH720" i="1" s="1"/>
  <c r="AR720" i="1"/>
  <c r="AT712" i="1"/>
  <c r="BB712" i="1" s="1"/>
  <c r="BH712" i="1" s="1"/>
  <c r="AR712" i="1"/>
  <c r="AT704" i="1"/>
  <c r="BB704" i="1" s="1"/>
  <c r="BH704" i="1" s="1"/>
  <c r="AR704" i="1"/>
  <c r="AT696" i="1"/>
  <c r="BB696" i="1" s="1"/>
  <c r="BH696" i="1" s="1"/>
  <c r="AR696" i="1"/>
  <c r="AT688" i="1"/>
  <c r="BB688" i="1" s="1"/>
  <c r="BH688" i="1" s="1"/>
  <c r="AR688" i="1"/>
  <c r="AT680" i="1"/>
  <c r="BB680" i="1" s="1"/>
  <c r="BH680" i="1" s="1"/>
  <c r="AR680" i="1"/>
  <c r="AT672" i="1"/>
  <c r="BB672" i="1" s="1"/>
  <c r="BH672" i="1" s="1"/>
  <c r="AR672" i="1"/>
  <c r="AT664" i="1"/>
  <c r="BB664" i="1" s="1"/>
  <c r="BH664" i="1" s="1"/>
  <c r="AR664" i="1"/>
  <c r="AT656" i="1"/>
  <c r="BB656" i="1" s="1"/>
  <c r="BH656" i="1" s="1"/>
  <c r="AR656" i="1"/>
  <c r="AT648" i="1"/>
  <c r="BB648" i="1" s="1"/>
  <c r="BH648" i="1" s="1"/>
  <c r="AR648" i="1"/>
  <c r="AT640" i="1"/>
  <c r="BB640" i="1" s="1"/>
  <c r="BH640" i="1" s="1"/>
  <c r="AR640" i="1"/>
  <c r="AT632" i="1"/>
  <c r="BB632" i="1" s="1"/>
  <c r="BH632" i="1" s="1"/>
  <c r="AR632" i="1"/>
  <c r="AT624" i="1"/>
  <c r="BB624" i="1" s="1"/>
  <c r="BH624" i="1" s="1"/>
  <c r="AR624" i="1"/>
  <c r="AT616" i="1"/>
  <c r="BB616" i="1" s="1"/>
  <c r="BH616" i="1" s="1"/>
  <c r="AR616" i="1"/>
  <c r="AT608" i="1"/>
  <c r="BB608" i="1" s="1"/>
  <c r="BH608" i="1" s="1"/>
  <c r="AR608" i="1"/>
  <c r="AT600" i="1"/>
  <c r="BB600" i="1" s="1"/>
  <c r="BH600" i="1" s="1"/>
  <c r="AR600" i="1"/>
  <c r="AT592" i="1"/>
  <c r="BB592" i="1" s="1"/>
  <c r="BH592" i="1" s="1"/>
  <c r="AR592" i="1"/>
  <c r="AT584" i="1"/>
  <c r="BB584" i="1" s="1"/>
  <c r="BH584" i="1" s="1"/>
  <c r="AR584" i="1"/>
  <c r="AT576" i="1"/>
  <c r="BB576" i="1" s="1"/>
  <c r="BH576" i="1" s="1"/>
  <c r="AR576" i="1"/>
  <c r="AT568" i="1"/>
  <c r="BB568" i="1" s="1"/>
  <c r="BH568" i="1" s="1"/>
  <c r="AR568" i="1"/>
  <c r="AT560" i="1"/>
  <c r="BB560" i="1" s="1"/>
  <c r="BH560" i="1" s="1"/>
  <c r="AR560" i="1"/>
  <c r="AT552" i="1"/>
  <c r="BB552" i="1" s="1"/>
  <c r="BH552" i="1" s="1"/>
  <c r="AR552" i="1"/>
  <c r="AT544" i="1"/>
  <c r="BB544" i="1" s="1"/>
  <c r="BH544" i="1" s="1"/>
  <c r="AR544" i="1"/>
  <c r="AT536" i="1"/>
  <c r="BB536" i="1" s="1"/>
  <c r="BH536" i="1" s="1"/>
  <c r="AR536" i="1"/>
  <c r="AT528" i="1"/>
  <c r="BB528" i="1" s="1"/>
  <c r="BH528" i="1" s="1"/>
  <c r="AR528" i="1"/>
  <c r="AT520" i="1"/>
  <c r="BB520" i="1" s="1"/>
  <c r="BH520" i="1" s="1"/>
  <c r="AR520" i="1"/>
  <c r="AT512" i="1"/>
  <c r="BB512" i="1" s="1"/>
  <c r="BH512" i="1" s="1"/>
  <c r="AR512" i="1"/>
  <c r="AT504" i="1"/>
  <c r="BB504" i="1" s="1"/>
  <c r="BH504" i="1" s="1"/>
  <c r="AR504" i="1"/>
  <c r="AT496" i="1"/>
  <c r="BB496" i="1" s="1"/>
  <c r="BH496" i="1" s="1"/>
  <c r="AR496" i="1"/>
  <c r="AT488" i="1"/>
  <c r="BB488" i="1" s="1"/>
  <c r="BH488" i="1" s="1"/>
  <c r="AR488" i="1"/>
  <c r="AT480" i="1"/>
  <c r="BB480" i="1" s="1"/>
  <c r="BH480" i="1" s="1"/>
  <c r="AR480" i="1"/>
  <c r="AT472" i="1"/>
  <c r="BB472" i="1" s="1"/>
  <c r="BH472" i="1" s="1"/>
  <c r="AR472" i="1"/>
  <c r="AT464" i="1"/>
  <c r="BB464" i="1" s="1"/>
  <c r="BH464" i="1" s="1"/>
  <c r="AR464" i="1"/>
  <c r="AT456" i="1"/>
  <c r="BB456" i="1" s="1"/>
  <c r="BH456" i="1" s="1"/>
  <c r="AR456" i="1"/>
  <c r="AT448" i="1"/>
  <c r="BB448" i="1" s="1"/>
  <c r="BH448" i="1" s="1"/>
  <c r="AR448" i="1"/>
  <c r="AT440" i="1"/>
  <c r="BB440" i="1" s="1"/>
  <c r="BH440" i="1" s="1"/>
  <c r="AR440" i="1"/>
  <c r="AT432" i="1"/>
  <c r="BB432" i="1" s="1"/>
  <c r="BH432" i="1" s="1"/>
  <c r="AR432" i="1"/>
  <c r="AT424" i="1"/>
  <c r="BB424" i="1" s="1"/>
  <c r="BH424" i="1" s="1"/>
  <c r="AR424" i="1"/>
  <c r="AT416" i="1"/>
  <c r="BB416" i="1" s="1"/>
  <c r="BH416" i="1" s="1"/>
  <c r="AR416" i="1"/>
  <c r="AT408" i="1"/>
  <c r="BB408" i="1" s="1"/>
  <c r="BH408" i="1" s="1"/>
  <c r="AR408" i="1"/>
  <c r="AT400" i="1"/>
  <c r="BB400" i="1" s="1"/>
  <c r="BH400" i="1" s="1"/>
  <c r="AR400" i="1"/>
  <c r="AT392" i="1"/>
  <c r="BB392" i="1" s="1"/>
  <c r="BH392" i="1" s="1"/>
  <c r="AR392" i="1"/>
  <c r="AT384" i="1"/>
  <c r="BB384" i="1" s="1"/>
  <c r="BH384" i="1" s="1"/>
  <c r="AR384" i="1"/>
  <c r="AT376" i="1"/>
  <c r="BB376" i="1" s="1"/>
  <c r="BH376" i="1" s="1"/>
  <c r="AR376" i="1"/>
  <c r="AT368" i="1"/>
  <c r="BB368" i="1" s="1"/>
  <c r="BH368" i="1" s="1"/>
  <c r="AR368" i="1"/>
  <c r="AT360" i="1"/>
  <c r="BB360" i="1" s="1"/>
  <c r="BH360" i="1" s="1"/>
  <c r="AR360" i="1"/>
  <c r="AT352" i="1"/>
  <c r="BB352" i="1" s="1"/>
  <c r="BH352" i="1" s="1"/>
  <c r="AR352" i="1"/>
  <c r="AT344" i="1"/>
  <c r="BB344" i="1" s="1"/>
  <c r="BH344" i="1" s="1"/>
  <c r="AR344" i="1"/>
  <c r="AT336" i="1"/>
  <c r="BB336" i="1" s="1"/>
  <c r="BH336" i="1" s="1"/>
  <c r="AR336" i="1"/>
  <c r="AT328" i="1"/>
  <c r="BB328" i="1" s="1"/>
  <c r="BH328" i="1" s="1"/>
  <c r="AR328" i="1"/>
  <c r="AT320" i="1"/>
  <c r="BB320" i="1" s="1"/>
  <c r="BH320" i="1" s="1"/>
  <c r="AR320" i="1"/>
  <c r="AT312" i="1"/>
  <c r="BB312" i="1" s="1"/>
  <c r="BH312" i="1" s="1"/>
  <c r="AR312" i="1"/>
  <c r="AT304" i="1"/>
  <c r="BB304" i="1" s="1"/>
  <c r="BH304" i="1" s="1"/>
  <c r="AR304" i="1"/>
  <c r="AT296" i="1"/>
  <c r="BB296" i="1" s="1"/>
  <c r="BH296" i="1" s="1"/>
  <c r="AR296" i="1"/>
  <c r="AT288" i="1"/>
  <c r="BB288" i="1" s="1"/>
  <c r="BH288" i="1" s="1"/>
  <c r="AR288" i="1"/>
  <c r="AT280" i="1"/>
  <c r="BB280" i="1" s="1"/>
  <c r="BH280" i="1" s="1"/>
  <c r="AR280" i="1"/>
  <c r="AT272" i="1"/>
  <c r="BB272" i="1" s="1"/>
  <c r="BH272" i="1" s="1"/>
  <c r="AR272" i="1"/>
  <c r="AT264" i="1"/>
  <c r="BB264" i="1" s="1"/>
  <c r="BH264" i="1" s="1"/>
  <c r="AR264" i="1"/>
  <c r="AT256" i="1"/>
  <c r="BB256" i="1" s="1"/>
  <c r="BH256" i="1" s="1"/>
  <c r="AR256" i="1"/>
  <c r="AT248" i="1"/>
  <c r="BB248" i="1" s="1"/>
  <c r="BH248" i="1" s="1"/>
  <c r="AR248" i="1"/>
  <c r="AT240" i="1"/>
  <c r="BB240" i="1" s="1"/>
  <c r="BH240" i="1" s="1"/>
  <c r="AR240" i="1"/>
  <c r="AT232" i="1"/>
  <c r="BB232" i="1" s="1"/>
  <c r="BH232" i="1" s="1"/>
  <c r="AR232" i="1"/>
  <c r="AT224" i="1"/>
  <c r="BB224" i="1" s="1"/>
  <c r="BH224" i="1" s="1"/>
  <c r="AR224" i="1"/>
  <c r="AT216" i="1"/>
  <c r="BB216" i="1" s="1"/>
  <c r="BH216" i="1" s="1"/>
  <c r="AR216" i="1"/>
  <c r="AT208" i="1"/>
  <c r="BB208" i="1" s="1"/>
  <c r="BH208" i="1" s="1"/>
  <c r="AR208" i="1"/>
  <c r="AT200" i="1"/>
  <c r="BB200" i="1" s="1"/>
  <c r="BH200" i="1" s="1"/>
  <c r="AR200" i="1"/>
  <c r="AT192" i="1"/>
  <c r="BB192" i="1" s="1"/>
  <c r="BH192" i="1" s="1"/>
  <c r="AR192" i="1"/>
  <c r="AT184" i="1"/>
  <c r="BB184" i="1" s="1"/>
  <c r="BH184" i="1" s="1"/>
  <c r="AR184" i="1"/>
  <c r="AT176" i="1"/>
  <c r="BB176" i="1" s="1"/>
  <c r="BH176" i="1" s="1"/>
  <c r="AR176" i="1"/>
  <c r="AT168" i="1"/>
  <c r="BB168" i="1" s="1"/>
  <c r="BH168" i="1" s="1"/>
  <c r="AR168" i="1"/>
  <c r="AT160" i="1"/>
  <c r="BB160" i="1" s="1"/>
  <c r="BH160" i="1" s="1"/>
  <c r="AR160" i="1"/>
  <c r="AT152" i="1"/>
  <c r="BB152" i="1" s="1"/>
  <c r="BH152" i="1" s="1"/>
  <c r="AR152" i="1"/>
  <c r="AT144" i="1"/>
  <c r="BB144" i="1" s="1"/>
  <c r="BH144" i="1" s="1"/>
  <c r="AR144" i="1"/>
  <c r="AT136" i="1"/>
  <c r="BB136" i="1" s="1"/>
  <c r="BH136" i="1" s="1"/>
  <c r="AR136" i="1"/>
  <c r="AT128" i="1"/>
  <c r="BB128" i="1" s="1"/>
  <c r="BH128" i="1" s="1"/>
  <c r="AR128" i="1"/>
  <c r="AT120" i="1"/>
  <c r="BB120" i="1" s="1"/>
  <c r="BH120" i="1" s="1"/>
  <c r="AR120" i="1"/>
  <c r="AT112" i="1"/>
  <c r="BB112" i="1" s="1"/>
  <c r="BH112" i="1" s="1"/>
  <c r="AR112" i="1"/>
  <c r="AT104" i="1"/>
  <c r="BB104" i="1" s="1"/>
  <c r="BH104" i="1" s="1"/>
  <c r="AR104" i="1"/>
  <c r="AT96" i="1"/>
  <c r="BB96" i="1" s="1"/>
  <c r="BH96" i="1" s="1"/>
  <c r="AR96" i="1"/>
  <c r="AT88" i="1"/>
  <c r="BB88" i="1" s="1"/>
  <c r="BH88" i="1" s="1"/>
  <c r="AR88" i="1"/>
  <c r="AT80" i="1"/>
  <c r="BB80" i="1" s="1"/>
  <c r="BH80" i="1" s="1"/>
  <c r="AR80" i="1"/>
  <c r="AT72" i="1"/>
  <c r="BB72" i="1" s="1"/>
  <c r="BH72" i="1" s="1"/>
  <c r="AR72" i="1"/>
  <c r="AT64" i="1"/>
  <c r="BB64" i="1" s="1"/>
  <c r="BH64" i="1" s="1"/>
  <c r="AR64" i="1"/>
  <c r="AT56" i="1"/>
  <c r="BB56" i="1" s="1"/>
  <c r="BH56" i="1" s="1"/>
  <c r="AR56" i="1"/>
  <c r="AT48" i="1"/>
  <c r="BB48" i="1" s="1"/>
  <c r="BH48" i="1" s="1"/>
  <c r="AR48" i="1"/>
  <c r="AT40" i="1"/>
  <c r="BB40" i="1" s="1"/>
  <c r="BH40" i="1" s="1"/>
  <c r="AR40" i="1"/>
  <c r="AT32" i="1"/>
  <c r="BB32" i="1" s="1"/>
  <c r="BH32" i="1" s="1"/>
  <c r="AR32" i="1"/>
  <c r="AT24" i="1"/>
  <c r="BB24" i="1" s="1"/>
  <c r="BH24" i="1" s="1"/>
  <c r="AR24" i="1"/>
  <c r="AT1143" i="1"/>
  <c r="BB1143" i="1" s="1"/>
  <c r="BH1143" i="1" s="1"/>
  <c r="AR1143" i="1"/>
  <c r="AT1135" i="1"/>
  <c r="BB1135" i="1" s="1"/>
  <c r="BH1135" i="1" s="1"/>
  <c r="AR1135" i="1"/>
  <c r="AT1127" i="1"/>
  <c r="BB1127" i="1" s="1"/>
  <c r="BH1127" i="1" s="1"/>
  <c r="AR1127" i="1"/>
  <c r="AT1119" i="1"/>
  <c r="BB1119" i="1" s="1"/>
  <c r="BH1119" i="1" s="1"/>
  <c r="AR1119" i="1"/>
  <c r="AT1111" i="1"/>
  <c r="BB1111" i="1" s="1"/>
  <c r="BH1111" i="1" s="1"/>
  <c r="AR1111" i="1"/>
  <c r="AT1103" i="1"/>
  <c r="BB1103" i="1" s="1"/>
  <c r="BH1103" i="1" s="1"/>
  <c r="AR1103" i="1"/>
  <c r="AT1095" i="1"/>
  <c r="BB1095" i="1" s="1"/>
  <c r="BH1095" i="1" s="1"/>
  <c r="AR1095" i="1"/>
  <c r="AT1087" i="1"/>
  <c r="BB1087" i="1" s="1"/>
  <c r="BH1087" i="1" s="1"/>
  <c r="AR1087" i="1"/>
  <c r="AT1079" i="1"/>
  <c r="BB1079" i="1" s="1"/>
  <c r="BH1079" i="1" s="1"/>
  <c r="AR1079" i="1"/>
  <c r="AT1071" i="1"/>
  <c r="BB1071" i="1" s="1"/>
  <c r="BH1071" i="1" s="1"/>
  <c r="AR1071" i="1"/>
  <c r="AT1063" i="1"/>
  <c r="BB1063" i="1" s="1"/>
  <c r="BH1063" i="1" s="1"/>
  <c r="AR1063" i="1"/>
  <c r="AT1055" i="1"/>
  <c r="BB1055" i="1" s="1"/>
  <c r="BH1055" i="1" s="1"/>
  <c r="AR1055" i="1"/>
  <c r="AT1047" i="1"/>
  <c r="BB1047" i="1" s="1"/>
  <c r="BH1047" i="1" s="1"/>
  <c r="AR1047" i="1"/>
  <c r="AT1039" i="1"/>
  <c r="BB1039" i="1" s="1"/>
  <c r="BH1039" i="1" s="1"/>
  <c r="AR1039" i="1"/>
  <c r="AT1031" i="1"/>
  <c r="BB1031" i="1" s="1"/>
  <c r="BH1031" i="1" s="1"/>
  <c r="AR1031" i="1"/>
  <c r="AT1023" i="1"/>
  <c r="BB1023" i="1" s="1"/>
  <c r="BH1023" i="1" s="1"/>
  <c r="AR1023" i="1"/>
  <c r="AR1015" i="1"/>
  <c r="AT1015" i="1"/>
  <c r="BB1015" i="1" s="1"/>
  <c r="BH1015" i="1" s="1"/>
  <c r="AT1007" i="1"/>
  <c r="BB1007" i="1" s="1"/>
  <c r="BH1007" i="1" s="1"/>
  <c r="AR1007" i="1"/>
  <c r="AT999" i="1"/>
  <c r="BB999" i="1" s="1"/>
  <c r="BH999" i="1" s="1"/>
  <c r="AR999" i="1"/>
  <c r="AT991" i="1"/>
  <c r="BB991" i="1" s="1"/>
  <c r="BH991" i="1" s="1"/>
  <c r="AR991" i="1"/>
  <c r="AT983" i="1"/>
  <c r="BB983" i="1" s="1"/>
  <c r="BH983" i="1" s="1"/>
  <c r="AR983" i="1"/>
  <c r="AT975" i="1"/>
  <c r="BB975" i="1" s="1"/>
  <c r="BH975" i="1" s="1"/>
  <c r="AR975" i="1"/>
  <c r="AT967" i="1"/>
  <c r="BB967" i="1" s="1"/>
  <c r="BH967" i="1" s="1"/>
  <c r="AR967" i="1"/>
  <c r="AT959" i="1"/>
  <c r="BB959" i="1" s="1"/>
  <c r="BH959" i="1" s="1"/>
  <c r="AR959" i="1"/>
  <c r="AT951" i="1"/>
  <c r="BB951" i="1" s="1"/>
  <c r="BH951" i="1" s="1"/>
  <c r="AR951" i="1"/>
  <c r="AT943" i="1"/>
  <c r="BB943" i="1" s="1"/>
  <c r="BH943" i="1" s="1"/>
  <c r="AR943" i="1"/>
  <c r="AT935" i="1"/>
  <c r="BB935" i="1" s="1"/>
  <c r="BH935" i="1" s="1"/>
  <c r="AR935" i="1"/>
  <c r="AT927" i="1"/>
  <c r="BB927" i="1" s="1"/>
  <c r="BH927" i="1" s="1"/>
  <c r="AR927" i="1"/>
  <c r="AT919" i="1"/>
  <c r="BB919" i="1" s="1"/>
  <c r="BH919" i="1" s="1"/>
  <c r="AR919" i="1"/>
  <c r="AT911" i="1"/>
  <c r="BB911" i="1" s="1"/>
  <c r="BH911" i="1" s="1"/>
  <c r="AR911" i="1"/>
  <c r="AT903" i="1"/>
  <c r="BB903" i="1" s="1"/>
  <c r="BH903" i="1" s="1"/>
  <c r="AR903" i="1"/>
  <c r="AT895" i="1"/>
  <c r="BB895" i="1" s="1"/>
  <c r="BH895" i="1" s="1"/>
  <c r="AR895" i="1"/>
  <c r="AT887" i="1"/>
  <c r="BB887" i="1" s="1"/>
  <c r="BH887" i="1" s="1"/>
  <c r="AR887" i="1"/>
  <c r="AT879" i="1"/>
  <c r="BB879" i="1" s="1"/>
  <c r="BH879" i="1" s="1"/>
  <c r="AR879" i="1"/>
  <c r="AT871" i="1"/>
  <c r="BB871" i="1" s="1"/>
  <c r="BH871" i="1" s="1"/>
  <c r="AR871" i="1"/>
  <c r="AT863" i="1"/>
  <c r="BB863" i="1" s="1"/>
  <c r="BH863" i="1" s="1"/>
  <c r="AR863" i="1"/>
  <c r="AT855" i="1"/>
  <c r="BB855" i="1" s="1"/>
  <c r="BH855" i="1" s="1"/>
  <c r="AR855" i="1"/>
  <c r="AT847" i="1"/>
  <c r="BB847" i="1" s="1"/>
  <c r="BH847" i="1" s="1"/>
  <c r="AR847" i="1"/>
  <c r="AT839" i="1"/>
  <c r="BB839" i="1" s="1"/>
  <c r="BH839" i="1" s="1"/>
  <c r="AR839" i="1"/>
  <c r="AT831" i="1"/>
  <c r="BB831" i="1" s="1"/>
  <c r="BH831" i="1" s="1"/>
  <c r="AR831" i="1"/>
  <c r="AT823" i="1"/>
  <c r="BB823" i="1" s="1"/>
  <c r="BH823" i="1" s="1"/>
  <c r="AR823" i="1"/>
  <c r="AT815" i="1"/>
  <c r="BB815" i="1" s="1"/>
  <c r="BH815" i="1" s="1"/>
  <c r="AR815" i="1"/>
  <c r="AT807" i="1"/>
  <c r="BB807" i="1" s="1"/>
  <c r="BH807" i="1" s="1"/>
  <c r="AR807" i="1"/>
  <c r="AT799" i="1"/>
  <c r="BB799" i="1" s="1"/>
  <c r="BH799" i="1" s="1"/>
  <c r="AR799" i="1"/>
  <c r="AT791" i="1"/>
  <c r="BB791" i="1" s="1"/>
  <c r="BH791" i="1" s="1"/>
  <c r="AR791" i="1"/>
  <c r="AT783" i="1"/>
  <c r="BB783" i="1" s="1"/>
  <c r="BH783" i="1" s="1"/>
  <c r="AR783" i="1"/>
  <c r="AT775" i="1"/>
  <c r="BB775" i="1" s="1"/>
  <c r="BH775" i="1" s="1"/>
  <c r="AR775" i="1"/>
  <c r="AT767" i="1"/>
  <c r="BB767" i="1" s="1"/>
  <c r="BH767" i="1" s="1"/>
  <c r="AR767" i="1"/>
  <c r="AT759" i="1"/>
  <c r="BB759" i="1" s="1"/>
  <c r="BH759" i="1" s="1"/>
  <c r="AR759" i="1"/>
  <c r="AT751" i="1"/>
  <c r="BB751" i="1" s="1"/>
  <c r="BH751" i="1" s="1"/>
  <c r="AR751" i="1"/>
  <c r="AT743" i="1"/>
  <c r="BB743" i="1" s="1"/>
  <c r="BH743" i="1" s="1"/>
  <c r="AR743" i="1"/>
  <c r="AT735" i="1"/>
  <c r="BB735" i="1" s="1"/>
  <c r="BH735" i="1" s="1"/>
  <c r="AR735" i="1"/>
  <c r="AT727" i="1"/>
  <c r="BB727" i="1" s="1"/>
  <c r="BH727" i="1" s="1"/>
  <c r="AR727" i="1"/>
  <c r="AT719" i="1"/>
  <c r="BB719" i="1" s="1"/>
  <c r="BH719" i="1" s="1"/>
  <c r="AR719" i="1"/>
  <c r="AT711" i="1"/>
  <c r="BB711" i="1" s="1"/>
  <c r="BH711" i="1" s="1"/>
  <c r="AR711" i="1"/>
  <c r="AT703" i="1"/>
  <c r="BB703" i="1" s="1"/>
  <c r="BH703" i="1" s="1"/>
  <c r="AR703" i="1"/>
  <c r="AT695" i="1"/>
  <c r="BB695" i="1" s="1"/>
  <c r="BH695" i="1" s="1"/>
  <c r="AR695" i="1"/>
  <c r="AT687" i="1"/>
  <c r="BB687" i="1" s="1"/>
  <c r="BH687" i="1" s="1"/>
  <c r="AR687" i="1"/>
  <c r="AT679" i="1"/>
  <c r="BB679" i="1" s="1"/>
  <c r="BH679" i="1" s="1"/>
  <c r="AR679" i="1"/>
  <c r="AT671" i="1"/>
  <c r="BB671" i="1" s="1"/>
  <c r="BH671" i="1" s="1"/>
  <c r="AR671" i="1"/>
  <c r="AT663" i="1"/>
  <c r="BB663" i="1" s="1"/>
  <c r="BH663" i="1" s="1"/>
  <c r="AR663" i="1"/>
  <c r="AT655" i="1"/>
  <c r="BB655" i="1" s="1"/>
  <c r="BH655" i="1" s="1"/>
  <c r="AR655" i="1"/>
  <c r="AT647" i="1"/>
  <c r="BB647" i="1" s="1"/>
  <c r="BH647" i="1" s="1"/>
  <c r="AR647" i="1"/>
  <c r="AT639" i="1"/>
  <c r="BB639" i="1" s="1"/>
  <c r="BH639" i="1" s="1"/>
  <c r="AR639" i="1"/>
  <c r="AT631" i="1"/>
  <c r="BB631" i="1" s="1"/>
  <c r="BH631" i="1" s="1"/>
  <c r="AR631" i="1"/>
  <c r="AT623" i="1"/>
  <c r="BB623" i="1" s="1"/>
  <c r="BH623" i="1" s="1"/>
  <c r="AR623" i="1"/>
  <c r="AT615" i="1"/>
  <c r="BB615" i="1" s="1"/>
  <c r="BH615" i="1" s="1"/>
  <c r="AR615" i="1"/>
  <c r="AT607" i="1"/>
  <c r="BB607" i="1" s="1"/>
  <c r="BH607" i="1" s="1"/>
  <c r="AR607" i="1"/>
  <c r="AT599" i="1"/>
  <c r="BB599" i="1" s="1"/>
  <c r="BH599" i="1" s="1"/>
  <c r="AR599" i="1"/>
  <c r="AT591" i="1"/>
  <c r="BB591" i="1" s="1"/>
  <c r="BH591" i="1" s="1"/>
  <c r="AR591" i="1"/>
  <c r="AT583" i="1"/>
  <c r="BB583" i="1" s="1"/>
  <c r="BH583" i="1" s="1"/>
  <c r="AR583" i="1"/>
  <c r="AT575" i="1"/>
  <c r="BB575" i="1" s="1"/>
  <c r="BH575" i="1" s="1"/>
  <c r="AR575" i="1"/>
  <c r="AT567" i="1"/>
  <c r="BB567" i="1" s="1"/>
  <c r="BH567" i="1" s="1"/>
  <c r="AR567" i="1"/>
  <c r="AT559" i="1"/>
  <c r="BB559" i="1" s="1"/>
  <c r="BH559" i="1" s="1"/>
  <c r="AR559" i="1"/>
  <c r="AT551" i="1"/>
  <c r="BB551" i="1" s="1"/>
  <c r="BH551" i="1" s="1"/>
  <c r="AR551" i="1"/>
  <c r="AT543" i="1"/>
  <c r="BB543" i="1" s="1"/>
  <c r="BH543" i="1" s="1"/>
  <c r="AR543" i="1"/>
  <c r="AT535" i="1"/>
  <c r="BB535" i="1" s="1"/>
  <c r="BH535" i="1" s="1"/>
  <c r="AR535" i="1"/>
  <c r="AT527" i="1"/>
  <c r="BB527" i="1" s="1"/>
  <c r="BH527" i="1" s="1"/>
  <c r="AR527" i="1"/>
  <c r="AT519" i="1"/>
  <c r="BB519" i="1" s="1"/>
  <c r="BH519" i="1" s="1"/>
  <c r="AR519" i="1"/>
  <c r="AT511" i="1"/>
  <c r="BB511" i="1" s="1"/>
  <c r="BH511" i="1" s="1"/>
  <c r="AR511" i="1"/>
  <c r="AT503" i="1"/>
  <c r="BB503" i="1" s="1"/>
  <c r="BH503" i="1" s="1"/>
  <c r="AR503" i="1"/>
  <c r="AT495" i="1"/>
  <c r="BB495" i="1" s="1"/>
  <c r="BH495" i="1" s="1"/>
  <c r="AR495" i="1"/>
  <c r="AT487" i="1"/>
  <c r="BB487" i="1" s="1"/>
  <c r="BH487" i="1" s="1"/>
  <c r="AR487" i="1"/>
  <c r="AT479" i="1"/>
  <c r="BB479" i="1" s="1"/>
  <c r="BH479" i="1" s="1"/>
  <c r="AR479" i="1"/>
  <c r="AT471" i="1"/>
  <c r="BB471" i="1" s="1"/>
  <c r="BH471" i="1" s="1"/>
  <c r="AR471" i="1"/>
  <c r="AT463" i="1"/>
  <c r="BB463" i="1" s="1"/>
  <c r="BH463" i="1" s="1"/>
  <c r="AR463" i="1"/>
  <c r="AT455" i="1"/>
  <c r="BB455" i="1" s="1"/>
  <c r="BH455" i="1" s="1"/>
  <c r="AR455" i="1"/>
  <c r="AT447" i="1"/>
  <c r="BB447" i="1" s="1"/>
  <c r="BH447" i="1" s="1"/>
  <c r="AR447" i="1"/>
  <c r="AT439" i="1"/>
  <c r="BB439" i="1" s="1"/>
  <c r="BH439" i="1" s="1"/>
  <c r="AR439" i="1"/>
  <c r="AT431" i="1"/>
  <c r="BB431" i="1" s="1"/>
  <c r="BH431" i="1" s="1"/>
  <c r="AR431" i="1"/>
  <c r="AT423" i="1"/>
  <c r="BB423" i="1" s="1"/>
  <c r="BH423" i="1" s="1"/>
  <c r="AR423" i="1"/>
  <c r="AT415" i="1"/>
  <c r="BB415" i="1" s="1"/>
  <c r="BH415" i="1" s="1"/>
  <c r="AR415" i="1"/>
  <c r="AT407" i="1"/>
  <c r="BB407" i="1" s="1"/>
  <c r="BH407" i="1" s="1"/>
  <c r="AR407" i="1"/>
  <c r="AT399" i="1"/>
  <c r="BB399" i="1" s="1"/>
  <c r="BH399" i="1" s="1"/>
  <c r="AR399" i="1"/>
  <c r="AT391" i="1"/>
  <c r="BB391" i="1" s="1"/>
  <c r="BH391" i="1" s="1"/>
  <c r="AR391" i="1"/>
  <c r="AT383" i="1"/>
  <c r="BB383" i="1" s="1"/>
  <c r="BH383" i="1" s="1"/>
  <c r="AR383" i="1"/>
  <c r="AT375" i="1"/>
  <c r="BB375" i="1" s="1"/>
  <c r="BH375" i="1" s="1"/>
  <c r="AR375" i="1"/>
  <c r="AT367" i="1"/>
  <c r="BB367" i="1" s="1"/>
  <c r="BH367" i="1" s="1"/>
  <c r="AR367" i="1"/>
  <c r="AT359" i="1"/>
  <c r="BB359" i="1" s="1"/>
  <c r="BH359" i="1" s="1"/>
  <c r="AR359" i="1"/>
  <c r="AT351" i="1"/>
  <c r="BB351" i="1" s="1"/>
  <c r="BH351" i="1" s="1"/>
  <c r="AR351" i="1"/>
  <c r="AT343" i="1"/>
  <c r="BB343" i="1" s="1"/>
  <c r="BH343" i="1" s="1"/>
  <c r="AR343" i="1"/>
  <c r="AT335" i="1"/>
  <c r="BB335" i="1" s="1"/>
  <c r="BH335" i="1" s="1"/>
  <c r="AR335" i="1"/>
  <c r="AT327" i="1"/>
  <c r="BB327" i="1" s="1"/>
  <c r="BH327" i="1" s="1"/>
  <c r="AR327" i="1"/>
  <c r="AT319" i="1"/>
  <c r="BB319" i="1" s="1"/>
  <c r="BH319" i="1" s="1"/>
  <c r="AR319" i="1"/>
  <c r="AT311" i="1"/>
  <c r="BB311" i="1" s="1"/>
  <c r="BH311" i="1" s="1"/>
  <c r="AR311" i="1"/>
  <c r="AT303" i="1"/>
  <c r="BB303" i="1" s="1"/>
  <c r="BH303" i="1" s="1"/>
  <c r="AR303" i="1"/>
  <c r="AT295" i="1"/>
  <c r="BB295" i="1" s="1"/>
  <c r="BH295" i="1" s="1"/>
  <c r="AR295" i="1"/>
  <c r="AT287" i="1"/>
  <c r="BB287" i="1" s="1"/>
  <c r="BH287" i="1" s="1"/>
  <c r="AR287" i="1"/>
  <c r="AT279" i="1"/>
  <c r="BB279" i="1" s="1"/>
  <c r="BH279" i="1" s="1"/>
  <c r="AR279" i="1"/>
  <c r="AT271" i="1"/>
  <c r="BB271" i="1" s="1"/>
  <c r="BH271" i="1" s="1"/>
  <c r="AR271" i="1"/>
  <c r="AT263" i="1"/>
  <c r="BB263" i="1" s="1"/>
  <c r="BH263" i="1" s="1"/>
  <c r="AR263" i="1"/>
  <c r="AT255" i="1"/>
  <c r="BB255" i="1" s="1"/>
  <c r="BH255" i="1" s="1"/>
  <c r="AR255" i="1"/>
  <c r="AT247" i="1"/>
  <c r="BB247" i="1" s="1"/>
  <c r="BH247" i="1" s="1"/>
  <c r="AR247" i="1"/>
  <c r="AT239" i="1"/>
  <c r="BB239" i="1" s="1"/>
  <c r="BH239" i="1" s="1"/>
  <c r="AR239" i="1"/>
  <c r="AT231" i="1"/>
  <c r="BB231" i="1" s="1"/>
  <c r="BH231" i="1" s="1"/>
  <c r="AR231" i="1"/>
  <c r="AT223" i="1"/>
  <c r="BB223" i="1" s="1"/>
  <c r="BH223" i="1" s="1"/>
  <c r="AR223" i="1"/>
  <c r="AT215" i="1"/>
  <c r="BB215" i="1" s="1"/>
  <c r="BH215" i="1" s="1"/>
  <c r="AR215" i="1"/>
  <c r="AT207" i="1"/>
  <c r="BB207" i="1" s="1"/>
  <c r="BH207" i="1" s="1"/>
  <c r="AR207" i="1"/>
  <c r="AT199" i="1"/>
  <c r="BB199" i="1" s="1"/>
  <c r="BH199" i="1" s="1"/>
  <c r="AR199" i="1"/>
  <c r="AT191" i="1"/>
  <c r="BB191" i="1" s="1"/>
  <c r="BH191" i="1" s="1"/>
  <c r="AR191" i="1"/>
  <c r="AT183" i="1"/>
  <c r="BB183" i="1" s="1"/>
  <c r="BH183" i="1" s="1"/>
  <c r="AR183" i="1"/>
  <c r="AT175" i="1"/>
  <c r="BB175" i="1" s="1"/>
  <c r="BH175" i="1" s="1"/>
  <c r="AR175" i="1"/>
  <c r="AT167" i="1"/>
  <c r="BB167" i="1" s="1"/>
  <c r="BH167" i="1" s="1"/>
  <c r="AR167" i="1"/>
  <c r="AT159" i="1"/>
  <c r="BB159" i="1" s="1"/>
  <c r="BH159" i="1" s="1"/>
  <c r="AR159" i="1"/>
  <c r="AT151" i="1"/>
  <c r="BB151" i="1" s="1"/>
  <c r="BH151" i="1" s="1"/>
  <c r="AR151" i="1"/>
  <c r="AT143" i="1"/>
  <c r="BB143" i="1" s="1"/>
  <c r="BH143" i="1" s="1"/>
  <c r="AR143" i="1"/>
  <c r="AT135" i="1"/>
  <c r="BB135" i="1" s="1"/>
  <c r="BH135" i="1" s="1"/>
  <c r="AR135" i="1"/>
  <c r="AT127" i="1"/>
  <c r="BB127" i="1" s="1"/>
  <c r="BH127" i="1" s="1"/>
  <c r="AR127" i="1"/>
  <c r="AT119" i="1"/>
  <c r="BB119" i="1" s="1"/>
  <c r="BH119" i="1" s="1"/>
  <c r="AR119" i="1"/>
  <c r="AT111" i="1"/>
  <c r="BB111" i="1" s="1"/>
  <c r="BH111" i="1" s="1"/>
  <c r="AR111" i="1"/>
  <c r="AT103" i="1"/>
  <c r="BB103" i="1" s="1"/>
  <c r="BH103" i="1" s="1"/>
  <c r="AR103" i="1"/>
  <c r="AR95" i="1"/>
  <c r="AT95" i="1"/>
  <c r="BB95" i="1" s="1"/>
  <c r="BH95" i="1" s="1"/>
  <c r="AT87" i="1"/>
  <c r="BB87" i="1" s="1"/>
  <c r="BH87" i="1" s="1"/>
  <c r="AR87" i="1"/>
  <c r="AT79" i="1"/>
  <c r="BB79" i="1" s="1"/>
  <c r="BH79" i="1" s="1"/>
  <c r="AR79" i="1"/>
  <c r="AT71" i="1"/>
  <c r="BB71" i="1" s="1"/>
  <c r="BH71" i="1" s="1"/>
  <c r="AR71" i="1"/>
  <c r="AT63" i="1"/>
  <c r="BB63" i="1" s="1"/>
  <c r="BH63" i="1" s="1"/>
  <c r="AR63" i="1"/>
  <c r="AT55" i="1"/>
  <c r="BB55" i="1" s="1"/>
  <c r="BH55" i="1" s="1"/>
  <c r="AR55" i="1"/>
  <c r="AT47" i="1"/>
  <c r="BB47" i="1" s="1"/>
  <c r="BH47" i="1" s="1"/>
  <c r="AR47" i="1"/>
  <c r="AT39" i="1"/>
  <c r="BB39" i="1" s="1"/>
  <c r="BH39" i="1" s="1"/>
  <c r="AR39" i="1"/>
  <c r="AT31" i="1"/>
  <c r="BB31" i="1" s="1"/>
  <c r="BH31" i="1" s="1"/>
  <c r="AR31" i="1"/>
  <c r="AT23" i="1"/>
  <c r="BB23" i="1" s="1"/>
  <c r="BH23" i="1" s="1"/>
  <c r="AR23" i="1"/>
  <c r="AT1142" i="1"/>
  <c r="BB1142" i="1" s="1"/>
  <c r="BH1142" i="1" s="1"/>
  <c r="AR1142" i="1"/>
  <c r="AT1134" i="1"/>
  <c r="BB1134" i="1" s="1"/>
  <c r="BH1134" i="1" s="1"/>
  <c r="AR1134" i="1"/>
  <c r="AT1126" i="1"/>
  <c r="BB1126" i="1" s="1"/>
  <c r="BH1126" i="1" s="1"/>
  <c r="AR1126" i="1"/>
  <c r="AT1118" i="1"/>
  <c r="BB1118" i="1" s="1"/>
  <c r="BH1118" i="1" s="1"/>
  <c r="AR1118" i="1"/>
  <c r="AT1110" i="1"/>
  <c r="BB1110" i="1" s="1"/>
  <c r="BH1110" i="1" s="1"/>
  <c r="AR1110" i="1"/>
  <c r="AT1102" i="1"/>
  <c r="BB1102" i="1" s="1"/>
  <c r="BH1102" i="1" s="1"/>
  <c r="AR1102" i="1"/>
  <c r="AT1094" i="1"/>
  <c r="BB1094" i="1" s="1"/>
  <c r="BH1094" i="1" s="1"/>
  <c r="AR1094" i="1"/>
  <c r="AT1086" i="1"/>
  <c r="BB1086" i="1" s="1"/>
  <c r="BH1086" i="1" s="1"/>
  <c r="AR1086" i="1"/>
  <c r="AT1078" i="1"/>
  <c r="BB1078" i="1" s="1"/>
  <c r="BH1078" i="1" s="1"/>
  <c r="AR1078" i="1"/>
  <c r="AT1070" i="1"/>
  <c r="BB1070" i="1" s="1"/>
  <c r="BH1070" i="1" s="1"/>
  <c r="AR1070" i="1"/>
  <c r="AT1062" i="1"/>
  <c r="BB1062" i="1" s="1"/>
  <c r="BH1062" i="1" s="1"/>
  <c r="AR1062" i="1"/>
  <c r="AT1054" i="1"/>
  <c r="BB1054" i="1" s="1"/>
  <c r="BH1054" i="1" s="1"/>
  <c r="AR1054" i="1"/>
  <c r="AT1046" i="1"/>
  <c r="BB1046" i="1" s="1"/>
  <c r="BH1046" i="1" s="1"/>
  <c r="AR1046" i="1"/>
  <c r="AT1038" i="1"/>
  <c r="BB1038" i="1" s="1"/>
  <c r="BH1038" i="1" s="1"/>
  <c r="AR1038" i="1"/>
  <c r="AT1030" i="1"/>
  <c r="BB1030" i="1" s="1"/>
  <c r="BH1030" i="1" s="1"/>
  <c r="AR1030" i="1"/>
  <c r="AT1022" i="1"/>
  <c r="BB1022" i="1" s="1"/>
  <c r="BH1022" i="1" s="1"/>
  <c r="AR1022" i="1"/>
  <c r="AR1014" i="1"/>
  <c r="AT1014" i="1"/>
  <c r="BB1014" i="1" s="1"/>
  <c r="BH1014" i="1" s="1"/>
  <c r="AT1006" i="1"/>
  <c r="BB1006" i="1" s="1"/>
  <c r="BH1006" i="1" s="1"/>
  <c r="AR1006" i="1"/>
  <c r="AT998" i="1"/>
  <c r="BB998" i="1" s="1"/>
  <c r="BH998" i="1" s="1"/>
  <c r="AR998" i="1"/>
  <c r="AT990" i="1"/>
  <c r="BB990" i="1" s="1"/>
  <c r="BH990" i="1" s="1"/>
  <c r="AR990" i="1"/>
  <c r="AT982" i="1"/>
  <c r="BB982" i="1" s="1"/>
  <c r="BH982" i="1" s="1"/>
  <c r="AR982" i="1"/>
  <c r="AT974" i="1"/>
  <c r="BB974" i="1" s="1"/>
  <c r="BH974" i="1" s="1"/>
  <c r="AR974" i="1"/>
  <c r="AT966" i="1"/>
  <c r="BB966" i="1" s="1"/>
  <c r="BH966" i="1" s="1"/>
  <c r="AR966" i="1"/>
  <c r="AT958" i="1"/>
  <c r="BB958" i="1" s="1"/>
  <c r="BH958" i="1" s="1"/>
  <c r="AR958" i="1"/>
  <c r="AT950" i="1"/>
  <c r="BB950" i="1" s="1"/>
  <c r="BH950" i="1" s="1"/>
  <c r="AR950" i="1"/>
  <c r="AT942" i="1"/>
  <c r="BB942" i="1" s="1"/>
  <c r="BH942" i="1" s="1"/>
  <c r="AR942" i="1"/>
  <c r="AT934" i="1"/>
  <c r="BB934" i="1" s="1"/>
  <c r="BH934" i="1" s="1"/>
  <c r="AR934" i="1"/>
  <c r="AT926" i="1"/>
  <c r="BB926" i="1" s="1"/>
  <c r="BH926" i="1" s="1"/>
  <c r="AR926" i="1"/>
  <c r="AT918" i="1"/>
  <c r="BB918" i="1" s="1"/>
  <c r="BH918" i="1" s="1"/>
  <c r="AR918" i="1"/>
  <c r="AT910" i="1"/>
  <c r="BB910" i="1" s="1"/>
  <c r="BH910" i="1" s="1"/>
  <c r="AR910" i="1"/>
  <c r="AT902" i="1"/>
  <c r="BB902" i="1" s="1"/>
  <c r="BH902" i="1" s="1"/>
  <c r="AR902" i="1"/>
  <c r="AT894" i="1"/>
  <c r="BB894" i="1" s="1"/>
  <c r="BH894" i="1" s="1"/>
  <c r="AR894" i="1"/>
  <c r="AT886" i="1"/>
  <c r="BB886" i="1" s="1"/>
  <c r="BH886" i="1" s="1"/>
  <c r="AR886" i="1"/>
  <c r="AT878" i="1"/>
  <c r="BB878" i="1" s="1"/>
  <c r="BH878" i="1" s="1"/>
  <c r="AR878" i="1"/>
  <c r="AT870" i="1"/>
  <c r="BB870" i="1" s="1"/>
  <c r="BH870" i="1" s="1"/>
  <c r="AR870" i="1"/>
  <c r="AT862" i="1"/>
  <c r="BB862" i="1" s="1"/>
  <c r="BH862" i="1" s="1"/>
  <c r="AR862" i="1"/>
  <c r="AT854" i="1"/>
  <c r="BB854" i="1" s="1"/>
  <c r="BH854" i="1" s="1"/>
  <c r="AR854" i="1"/>
  <c r="AT846" i="1"/>
  <c r="BB846" i="1" s="1"/>
  <c r="BH846" i="1" s="1"/>
  <c r="AR846" i="1"/>
  <c r="AT838" i="1"/>
  <c r="BB838" i="1" s="1"/>
  <c r="BH838" i="1" s="1"/>
  <c r="AR838" i="1"/>
  <c r="AT830" i="1"/>
  <c r="BB830" i="1" s="1"/>
  <c r="BH830" i="1" s="1"/>
  <c r="AR830" i="1"/>
  <c r="AT822" i="1"/>
  <c r="BB822" i="1" s="1"/>
  <c r="BH822" i="1" s="1"/>
  <c r="AR822" i="1"/>
  <c r="AT814" i="1"/>
  <c r="BB814" i="1" s="1"/>
  <c r="BH814" i="1" s="1"/>
  <c r="AR814" i="1"/>
  <c r="AT806" i="1"/>
  <c r="BB806" i="1" s="1"/>
  <c r="BH806" i="1" s="1"/>
  <c r="AR806" i="1"/>
  <c r="AT798" i="1"/>
  <c r="BB798" i="1" s="1"/>
  <c r="BH798" i="1" s="1"/>
  <c r="AR798" i="1"/>
  <c r="AT790" i="1"/>
  <c r="BB790" i="1" s="1"/>
  <c r="BH790" i="1" s="1"/>
  <c r="AR790" i="1"/>
  <c r="AT782" i="1"/>
  <c r="BB782" i="1" s="1"/>
  <c r="BH782" i="1" s="1"/>
  <c r="AR782" i="1"/>
  <c r="AT774" i="1"/>
  <c r="BB774" i="1" s="1"/>
  <c r="BH774" i="1" s="1"/>
  <c r="AR774" i="1"/>
  <c r="AT766" i="1"/>
  <c r="BB766" i="1" s="1"/>
  <c r="BH766" i="1" s="1"/>
  <c r="AR766" i="1"/>
  <c r="AT758" i="1"/>
  <c r="BB758" i="1" s="1"/>
  <c r="BH758" i="1" s="1"/>
  <c r="AR758" i="1"/>
  <c r="AT750" i="1"/>
  <c r="BB750" i="1" s="1"/>
  <c r="BH750" i="1" s="1"/>
  <c r="AR750" i="1"/>
  <c r="AT742" i="1"/>
  <c r="BB742" i="1" s="1"/>
  <c r="BH742" i="1" s="1"/>
  <c r="AR742" i="1"/>
  <c r="AT734" i="1"/>
  <c r="BB734" i="1" s="1"/>
  <c r="BH734" i="1" s="1"/>
  <c r="AR734" i="1"/>
  <c r="AT726" i="1"/>
  <c r="BB726" i="1" s="1"/>
  <c r="BH726" i="1" s="1"/>
  <c r="AR726" i="1"/>
  <c r="AT718" i="1"/>
  <c r="BB718" i="1" s="1"/>
  <c r="BH718" i="1" s="1"/>
  <c r="AR718" i="1"/>
  <c r="AT710" i="1"/>
  <c r="BB710" i="1" s="1"/>
  <c r="BH710" i="1" s="1"/>
  <c r="AR710" i="1"/>
  <c r="AT702" i="1"/>
  <c r="BB702" i="1" s="1"/>
  <c r="BH702" i="1" s="1"/>
  <c r="AR702" i="1"/>
  <c r="AT694" i="1"/>
  <c r="BB694" i="1" s="1"/>
  <c r="BH694" i="1" s="1"/>
  <c r="AR694" i="1"/>
  <c r="AT686" i="1"/>
  <c r="BB686" i="1" s="1"/>
  <c r="BH686" i="1" s="1"/>
  <c r="AR686" i="1"/>
  <c r="AT678" i="1"/>
  <c r="BB678" i="1" s="1"/>
  <c r="BH678" i="1" s="1"/>
  <c r="AR678" i="1"/>
  <c r="AT670" i="1"/>
  <c r="BB670" i="1" s="1"/>
  <c r="BH670" i="1" s="1"/>
  <c r="AR670" i="1"/>
  <c r="AT662" i="1"/>
  <c r="BB662" i="1" s="1"/>
  <c r="BH662" i="1" s="1"/>
  <c r="AR662" i="1"/>
  <c r="AT654" i="1"/>
  <c r="BB654" i="1" s="1"/>
  <c r="BH654" i="1" s="1"/>
  <c r="AR654" i="1"/>
  <c r="AT646" i="1"/>
  <c r="BB646" i="1" s="1"/>
  <c r="BH646" i="1" s="1"/>
  <c r="AR646" i="1"/>
  <c r="AT638" i="1"/>
  <c r="BB638" i="1" s="1"/>
  <c r="BH638" i="1" s="1"/>
  <c r="AR638" i="1"/>
  <c r="AT630" i="1"/>
  <c r="BB630" i="1" s="1"/>
  <c r="BH630" i="1" s="1"/>
  <c r="AR630" i="1"/>
  <c r="AT622" i="1"/>
  <c r="BB622" i="1" s="1"/>
  <c r="BH622" i="1" s="1"/>
  <c r="AR622" i="1"/>
  <c r="AT614" i="1"/>
  <c r="BB614" i="1" s="1"/>
  <c r="BH614" i="1" s="1"/>
  <c r="AR614" i="1"/>
  <c r="AT606" i="1"/>
  <c r="BB606" i="1" s="1"/>
  <c r="BH606" i="1" s="1"/>
  <c r="AR606" i="1"/>
  <c r="AT598" i="1"/>
  <c r="BB598" i="1" s="1"/>
  <c r="BH598" i="1" s="1"/>
  <c r="AR598" i="1"/>
  <c r="AT590" i="1"/>
  <c r="BB590" i="1" s="1"/>
  <c r="BH590" i="1" s="1"/>
  <c r="AR590" i="1"/>
  <c r="AT582" i="1"/>
  <c r="BB582" i="1" s="1"/>
  <c r="BH582" i="1" s="1"/>
  <c r="AR582" i="1"/>
  <c r="AT574" i="1"/>
  <c r="BB574" i="1" s="1"/>
  <c r="BH574" i="1" s="1"/>
  <c r="AR574" i="1"/>
  <c r="AT566" i="1"/>
  <c r="BB566" i="1" s="1"/>
  <c r="BH566" i="1" s="1"/>
  <c r="AR566" i="1"/>
  <c r="AT558" i="1"/>
  <c r="BB558" i="1" s="1"/>
  <c r="BH558" i="1" s="1"/>
  <c r="AR558" i="1"/>
  <c r="AT550" i="1"/>
  <c r="BB550" i="1" s="1"/>
  <c r="BH550" i="1" s="1"/>
  <c r="AR550" i="1"/>
  <c r="AT542" i="1"/>
  <c r="BB542" i="1" s="1"/>
  <c r="BH542" i="1" s="1"/>
  <c r="AR542" i="1"/>
  <c r="AT534" i="1"/>
  <c r="BB534" i="1" s="1"/>
  <c r="BH534" i="1" s="1"/>
  <c r="AR534" i="1"/>
  <c r="AT526" i="1"/>
  <c r="BB526" i="1" s="1"/>
  <c r="BH526" i="1" s="1"/>
  <c r="AR526" i="1"/>
  <c r="AT518" i="1"/>
  <c r="BB518" i="1" s="1"/>
  <c r="BH518" i="1" s="1"/>
  <c r="AR518" i="1"/>
  <c r="AT510" i="1"/>
  <c r="BB510" i="1" s="1"/>
  <c r="BH510" i="1" s="1"/>
  <c r="AR510" i="1"/>
  <c r="AT502" i="1"/>
  <c r="BB502" i="1" s="1"/>
  <c r="BH502" i="1" s="1"/>
  <c r="AR502" i="1"/>
  <c r="AT494" i="1"/>
  <c r="BB494" i="1" s="1"/>
  <c r="BH494" i="1" s="1"/>
  <c r="AR494" i="1"/>
  <c r="AR486" i="1"/>
  <c r="AT486" i="1"/>
  <c r="BB486" i="1" s="1"/>
  <c r="BH486" i="1" s="1"/>
  <c r="AT478" i="1"/>
  <c r="BB478" i="1" s="1"/>
  <c r="BH478" i="1" s="1"/>
  <c r="AR478" i="1"/>
  <c r="AT470" i="1"/>
  <c r="BB470" i="1" s="1"/>
  <c r="BH470" i="1" s="1"/>
  <c r="AR470" i="1"/>
  <c r="AT462" i="1"/>
  <c r="BB462" i="1" s="1"/>
  <c r="BH462" i="1" s="1"/>
  <c r="AR462" i="1"/>
  <c r="AT454" i="1"/>
  <c r="BB454" i="1" s="1"/>
  <c r="BH454" i="1" s="1"/>
  <c r="AR454" i="1"/>
  <c r="AT446" i="1"/>
  <c r="BB446" i="1" s="1"/>
  <c r="BH446" i="1" s="1"/>
  <c r="AR446" i="1"/>
  <c r="AT438" i="1"/>
  <c r="BB438" i="1" s="1"/>
  <c r="BH438" i="1" s="1"/>
  <c r="AR438" i="1"/>
  <c r="AT430" i="1"/>
  <c r="BB430" i="1" s="1"/>
  <c r="BH430" i="1" s="1"/>
  <c r="AR430" i="1"/>
  <c r="AT422" i="1"/>
  <c r="BB422" i="1" s="1"/>
  <c r="BH422" i="1" s="1"/>
  <c r="AR422" i="1"/>
  <c r="AT414" i="1"/>
  <c r="BB414" i="1" s="1"/>
  <c r="BH414" i="1" s="1"/>
  <c r="AR414" i="1"/>
  <c r="AT406" i="1"/>
  <c r="BB406" i="1" s="1"/>
  <c r="BH406" i="1" s="1"/>
  <c r="AR406" i="1"/>
  <c r="AT398" i="1"/>
  <c r="BB398" i="1" s="1"/>
  <c r="BH398" i="1" s="1"/>
  <c r="AR398" i="1"/>
  <c r="AT390" i="1"/>
  <c r="BB390" i="1" s="1"/>
  <c r="BH390" i="1" s="1"/>
  <c r="AR390" i="1"/>
  <c r="AT382" i="1"/>
  <c r="BB382" i="1" s="1"/>
  <c r="BH382" i="1" s="1"/>
  <c r="AR382" i="1"/>
  <c r="AT374" i="1"/>
  <c r="BB374" i="1" s="1"/>
  <c r="BH374" i="1" s="1"/>
  <c r="AR374" i="1"/>
  <c r="AT366" i="1"/>
  <c r="BB366" i="1" s="1"/>
  <c r="BH366" i="1" s="1"/>
  <c r="AR366" i="1"/>
  <c r="AT358" i="1"/>
  <c r="BB358" i="1" s="1"/>
  <c r="BH358" i="1" s="1"/>
  <c r="AR358" i="1"/>
  <c r="AT350" i="1"/>
  <c r="BB350" i="1" s="1"/>
  <c r="BH350" i="1" s="1"/>
  <c r="AR350" i="1"/>
  <c r="AT342" i="1"/>
  <c r="BB342" i="1" s="1"/>
  <c r="BH342" i="1" s="1"/>
  <c r="AR342" i="1"/>
  <c r="AT334" i="1"/>
  <c r="BB334" i="1" s="1"/>
  <c r="BH334" i="1" s="1"/>
  <c r="AR334" i="1"/>
  <c r="AT326" i="1"/>
  <c r="BB326" i="1" s="1"/>
  <c r="BH326" i="1" s="1"/>
  <c r="AR326" i="1"/>
  <c r="AT318" i="1"/>
  <c r="BB318" i="1" s="1"/>
  <c r="BH318" i="1" s="1"/>
  <c r="AR318" i="1"/>
  <c r="AT310" i="1"/>
  <c r="BB310" i="1" s="1"/>
  <c r="BH310" i="1" s="1"/>
  <c r="AR310" i="1"/>
  <c r="AT302" i="1"/>
  <c r="BB302" i="1" s="1"/>
  <c r="BH302" i="1" s="1"/>
  <c r="AR302" i="1"/>
  <c r="AT294" i="1"/>
  <c r="BB294" i="1" s="1"/>
  <c r="BH294" i="1" s="1"/>
  <c r="AR294" i="1"/>
  <c r="AT286" i="1"/>
  <c r="BB286" i="1" s="1"/>
  <c r="BH286" i="1" s="1"/>
  <c r="AR286" i="1"/>
  <c r="AT278" i="1"/>
  <c r="BB278" i="1" s="1"/>
  <c r="BH278" i="1" s="1"/>
  <c r="AR278" i="1"/>
  <c r="AT270" i="1"/>
  <c r="BB270" i="1" s="1"/>
  <c r="BH270" i="1" s="1"/>
  <c r="AR270" i="1"/>
  <c r="AT262" i="1"/>
  <c r="BB262" i="1" s="1"/>
  <c r="BH262" i="1" s="1"/>
  <c r="AR262" i="1"/>
  <c r="AT254" i="1"/>
  <c r="BB254" i="1" s="1"/>
  <c r="BH254" i="1" s="1"/>
  <c r="AR254" i="1"/>
  <c r="AT246" i="1"/>
  <c r="BB246" i="1" s="1"/>
  <c r="BH246" i="1" s="1"/>
  <c r="AR246" i="1"/>
  <c r="AT238" i="1"/>
  <c r="BB238" i="1" s="1"/>
  <c r="BH238" i="1" s="1"/>
  <c r="AR238" i="1"/>
  <c r="AT230" i="1"/>
  <c r="BB230" i="1" s="1"/>
  <c r="BH230" i="1" s="1"/>
  <c r="AR230" i="1"/>
  <c r="AT222" i="1"/>
  <c r="BB222" i="1" s="1"/>
  <c r="BH222" i="1" s="1"/>
  <c r="AR222" i="1"/>
  <c r="AT214" i="1"/>
  <c r="BB214" i="1" s="1"/>
  <c r="BH214" i="1" s="1"/>
  <c r="AR214" i="1"/>
  <c r="AT206" i="1"/>
  <c r="BB206" i="1" s="1"/>
  <c r="BH206" i="1" s="1"/>
  <c r="AR206" i="1"/>
  <c r="AT198" i="1"/>
  <c r="BB198" i="1" s="1"/>
  <c r="BH198" i="1" s="1"/>
  <c r="AR198" i="1"/>
  <c r="AT190" i="1"/>
  <c r="BB190" i="1" s="1"/>
  <c r="BH190" i="1" s="1"/>
  <c r="AR190" i="1"/>
  <c r="AT182" i="1"/>
  <c r="BB182" i="1" s="1"/>
  <c r="BH182" i="1" s="1"/>
  <c r="AR182" i="1"/>
  <c r="AT174" i="1"/>
  <c r="BB174" i="1" s="1"/>
  <c r="BH174" i="1" s="1"/>
  <c r="AR174" i="1"/>
  <c r="AT166" i="1"/>
  <c r="BB166" i="1" s="1"/>
  <c r="BH166" i="1" s="1"/>
  <c r="AR166" i="1"/>
  <c r="AT158" i="1"/>
  <c r="BB158" i="1" s="1"/>
  <c r="BH158" i="1" s="1"/>
  <c r="AR158" i="1"/>
  <c r="AT150" i="1"/>
  <c r="BB150" i="1" s="1"/>
  <c r="BH150" i="1" s="1"/>
  <c r="AR150" i="1"/>
  <c r="AT142" i="1"/>
  <c r="BB142" i="1" s="1"/>
  <c r="BH142" i="1" s="1"/>
  <c r="AR142" i="1"/>
  <c r="AT134" i="1"/>
  <c r="BB134" i="1" s="1"/>
  <c r="BH134" i="1" s="1"/>
  <c r="AR134" i="1"/>
  <c r="AT126" i="1"/>
  <c r="BB126" i="1" s="1"/>
  <c r="BH126" i="1" s="1"/>
  <c r="AR126" i="1"/>
  <c r="AT118" i="1"/>
  <c r="BB118" i="1" s="1"/>
  <c r="BH118" i="1" s="1"/>
  <c r="AR118" i="1"/>
  <c r="AT110" i="1"/>
  <c r="BB110" i="1" s="1"/>
  <c r="BH110" i="1" s="1"/>
  <c r="AR110" i="1"/>
  <c r="AT102" i="1"/>
  <c r="BB102" i="1" s="1"/>
  <c r="BH102" i="1" s="1"/>
  <c r="AR102" i="1"/>
  <c r="AR94" i="1"/>
  <c r="AT94" i="1"/>
  <c r="BB94" i="1" s="1"/>
  <c r="BH94" i="1" s="1"/>
  <c r="AT86" i="1"/>
  <c r="BB86" i="1" s="1"/>
  <c r="BH86" i="1" s="1"/>
  <c r="AR86" i="1"/>
  <c r="AT78" i="1"/>
  <c r="BB78" i="1" s="1"/>
  <c r="BH78" i="1" s="1"/>
  <c r="AR78" i="1"/>
  <c r="AT70" i="1"/>
  <c r="BB70" i="1" s="1"/>
  <c r="BH70" i="1" s="1"/>
  <c r="AR70" i="1"/>
  <c r="AT62" i="1"/>
  <c r="BB62" i="1" s="1"/>
  <c r="BH62" i="1" s="1"/>
  <c r="AR62" i="1"/>
  <c r="AT54" i="1"/>
  <c r="BB54" i="1" s="1"/>
  <c r="BH54" i="1" s="1"/>
  <c r="AR54" i="1"/>
  <c r="AT46" i="1"/>
  <c r="BB46" i="1" s="1"/>
  <c r="BH46" i="1" s="1"/>
  <c r="AR46" i="1"/>
  <c r="AT38" i="1"/>
  <c r="BB38" i="1" s="1"/>
  <c r="BH38" i="1" s="1"/>
  <c r="AR38" i="1"/>
  <c r="AT30" i="1"/>
  <c r="BB30" i="1" s="1"/>
  <c r="BH30" i="1" s="1"/>
  <c r="AR30" i="1"/>
  <c r="AT22" i="1"/>
  <c r="BB22" i="1" s="1"/>
  <c r="BH22" i="1" s="1"/>
  <c r="AR22" i="1"/>
  <c r="AT1205" i="1"/>
  <c r="BB1205" i="1" s="1"/>
  <c r="BH1205" i="1" s="1"/>
  <c r="AR1205" i="1"/>
  <c r="AT1197" i="1"/>
  <c r="BB1197" i="1" s="1"/>
  <c r="BH1197" i="1" s="1"/>
  <c r="AR1197" i="1"/>
  <c r="AT1189" i="1"/>
  <c r="BB1189" i="1" s="1"/>
  <c r="BH1189" i="1" s="1"/>
  <c r="AR1189" i="1"/>
  <c r="AT1181" i="1"/>
  <c r="BB1181" i="1" s="1"/>
  <c r="BH1181" i="1" s="1"/>
  <c r="AR1181" i="1"/>
  <c r="AT1173" i="1"/>
  <c r="BB1173" i="1" s="1"/>
  <c r="BH1173" i="1" s="1"/>
  <c r="AR1173" i="1"/>
  <c r="AT1165" i="1"/>
  <c r="BB1165" i="1" s="1"/>
  <c r="BH1165" i="1" s="1"/>
  <c r="AR1165" i="1"/>
  <c r="AT1157" i="1"/>
  <c r="BB1157" i="1" s="1"/>
  <c r="BH1157" i="1" s="1"/>
  <c r="AR1157" i="1"/>
  <c r="AT1149" i="1"/>
  <c r="BB1149" i="1" s="1"/>
  <c r="BH1149" i="1" s="1"/>
  <c r="AR1149" i="1"/>
  <c r="AT1141" i="1"/>
  <c r="BB1141" i="1" s="1"/>
  <c r="BH1141" i="1" s="1"/>
  <c r="AR1141" i="1"/>
  <c r="AT1133" i="1"/>
  <c r="BB1133" i="1" s="1"/>
  <c r="BH1133" i="1" s="1"/>
  <c r="AR1133" i="1"/>
  <c r="AT1125" i="1"/>
  <c r="BB1125" i="1" s="1"/>
  <c r="BH1125" i="1" s="1"/>
  <c r="AR1125" i="1"/>
  <c r="AT1117" i="1"/>
  <c r="BB1117" i="1" s="1"/>
  <c r="BH1117" i="1" s="1"/>
  <c r="AR1117" i="1"/>
  <c r="AT1109" i="1"/>
  <c r="BB1109" i="1" s="1"/>
  <c r="BH1109" i="1" s="1"/>
  <c r="AR1109" i="1"/>
  <c r="AT1101" i="1"/>
  <c r="BB1101" i="1" s="1"/>
  <c r="BH1101" i="1" s="1"/>
  <c r="AR1101" i="1"/>
  <c r="AT1093" i="1"/>
  <c r="BB1093" i="1" s="1"/>
  <c r="BH1093" i="1" s="1"/>
  <c r="AR1093" i="1"/>
  <c r="AT1085" i="1"/>
  <c r="BB1085" i="1" s="1"/>
  <c r="BH1085" i="1" s="1"/>
  <c r="AR1085" i="1"/>
  <c r="AT1077" i="1"/>
  <c r="BB1077" i="1" s="1"/>
  <c r="BH1077" i="1" s="1"/>
  <c r="AR1077" i="1"/>
  <c r="AT1069" i="1"/>
  <c r="BB1069" i="1" s="1"/>
  <c r="BH1069" i="1" s="1"/>
  <c r="AR1069" i="1"/>
  <c r="AT1061" i="1"/>
  <c r="BB1061" i="1" s="1"/>
  <c r="BH1061" i="1" s="1"/>
  <c r="AR1061" i="1"/>
  <c r="AT1053" i="1"/>
  <c r="BB1053" i="1" s="1"/>
  <c r="BH1053" i="1" s="1"/>
  <c r="AR1053" i="1"/>
  <c r="AT1045" i="1"/>
  <c r="BB1045" i="1" s="1"/>
  <c r="BH1045" i="1" s="1"/>
  <c r="AR1045" i="1"/>
  <c r="AT1037" i="1"/>
  <c r="BB1037" i="1" s="1"/>
  <c r="BH1037" i="1" s="1"/>
  <c r="AR1037" i="1"/>
  <c r="AT1029" i="1"/>
  <c r="BB1029" i="1" s="1"/>
  <c r="BH1029" i="1" s="1"/>
  <c r="AR1029" i="1"/>
  <c r="AT1021" i="1"/>
  <c r="BB1021" i="1" s="1"/>
  <c r="BH1021" i="1" s="1"/>
  <c r="AR1021" i="1"/>
  <c r="AT1013" i="1"/>
  <c r="BB1013" i="1" s="1"/>
  <c r="BH1013" i="1" s="1"/>
  <c r="AR1013" i="1"/>
  <c r="AT1005" i="1"/>
  <c r="BB1005" i="1" s="1"/>
  <c r="BH1005" i="1" s="1"/>
  <c r="AR1005" i="1"/>
  <c r="AT997" i="1"/>
  <c r="BB997" i="1" s="1"/>
  <c r="BH997" i="1" s="1"/>
  <c r="AR997" i="1"/>
  <c r="AT989" i="1"/>
  <c r="BB989" i="1" s="1"/>
  <c r="BH989" i="1" s="1"/>
  <c r="AR989" i="1"/>
  <c r="AT981" i="1"/>
  <c r="BB981" i="1" s="1"/>
  <c r="BH981" i="1" s="1"/>
  <c r="AR981" i="1"/>
  <c r="AT973" i="1"/>
  <c r="BB973" i="1" s="1"/>
  <c r="BH973" i="1" s="1"/>
  <c r="AR973" i="1"/>
  <c r="AR965" i="1"/>
  <c r="AT965" i="1"/>
  <c r="BB965" i="1" s="1"/>
  <c r="BH965" i="1" s="1"/>
  <c r="AT957" i="1"/>
  <c r="BB957" i="1" s="1"/>
  <c r="BH957" i="1" s="1"/>
  <c r="AR957" i="1"/>
  <c r="AT949" i="1"/>
  <c r="BB949" i="1" s="1"/>
  <c r="BH949" i="1" s="1"/>
  <c r="AR949" i="1"/>
  <c r="AT941" i="1"/>
  <c r="BB941" i="1" s="1"/>
  <c r="BH941" i="1" s="1"/>
  <c r="AR941" i="1"/>
  <c r="AT933" i="1"/>
  <c r="BB933" i="1" s="1"/>
  <c r="BH933" i="1" s="1"/>
  <c r="AR933" i="1"/>
  <c r="AT925" i="1"/>
  <c r="BB925" i="1" s="1"/>
  <c r="BH925" i="1" s="1"/>
  <c r="AR925" i="1"/>
  <c r="AT917" i="1"/>
  <c r="BB917" i="1" s="1"/>
  <c r="BH917" i="1" s="1"/>
  <c r="AR917" i="1"/>
  <c r="AT909" i="1"/>
  <c r="BB909" i="1" s="1"/>
  <c r="BH909" i="1" s="1"/>
  <c r="AR909" i="1"/>
  <c r="AT901" i="1"/>
  <c r="BB901" i="1" s="1"/>
  <c r="BH901" i="1" s="1"/>
  <c r="AR901" i="1"/>
  <c r="AT893" i="1"/>
  <c r="BB893" i="1" s="1"/>
  <c r="BH893" i="1" s="1"/>
  <c r="AR893" i="1"/>
  <c r="AT885" i="1"/>
  <c r="BB885" i="1" s="1"/>
  <c r="BH885" i="1" s="1"/>
  <c r="AR885" i="1"/>
  <c r="AT877" i="1"/>
  <c r="BB877" i="1" s="1"/>
  <c r="BH877" i="1" s="1"/>
  <c r="AR877" i="1"/>
  <c r="AT869" i="1"/>
  <c r="BB869" i="1" s="1"/>
  <c r="BH869" i="1" s="1"/>
  <c r="AR869" i="1"/>
  <c r="AT861" i="1"/>
  <c r="BB861" i="1" s="1"/>
  <c r="BH861" i="1" s="1"/>
  <c r="AR861" i="1"/>
  <c r="AT853" i="1"/>
  <c r="BB853" i="1" s="1"/>
  <c r="BH853" i="1" s="1"/>
  <c r="AR853" i="1"/>
  <c r="AT845" i="1"/>
  <c r="BB845" i="1" s="1"/>
  <c r="BH845" i="1" s="1"/>
  <c r="AR845" i="1"/>
  <c r="AT837" i="1"/>
  <c r="BB837" i="1" s="1"/>
  <c r="BH837" i="1" s="1"/>
  <c r="AR837" i="1"/>
  <c r="AT829" i="1"/>
  <c r="BB829" i="1" s="1"/>
  <c r="BH829" i="1" s="1"/>
  <c r="AR829" i="1"/>
  <c r="AT821" i="1"/>
  <c r="BB821" i="1" s="1"/>
  <c r="BH821" i="1" s="1"/>
  <c r="AR821" i="1"/>
  <c r="AT813" i="1"/>
  <c r="BB813" i="1" s="1"/>
  <c r="BH813" i="1" s="1"/>
  <c r="AR813" i="1"/>
  <c r="AT805" i="1"/>
  <c r="BB805" i="1" s="1"/>
  <c r="BH805" i="1" s="1"/>
  <c r="AR805" i="1"/>
  <c r="AR797" i="1"/>
  <c r="AT797" i="1"/>
  <c r="BB797" i="1" s="1"/>
  <c r="BH797" i="1" s="1"/>
  <c r="AT789" i="1"/>
  <c r="BB789" i="1" s="1"/>
  <c r="BH789" i="1" s="1"/>
  <c r="AR789" i="1"/>
  <c r="AT781" i="1"/>
  <c r="BB781" i="1" s="1"/>
  <c r="BH781" i="1" s="1"/>
  <c r="AR781" i="1"/>
  <c r="AT773" i="1"/>
  <c r="BB773" i="1" s="1"/>
  <c r="BH773" i="1" s="1"/>
  <c r="AR773" i="1"/>
  <c r="AT765" i="1"/>
  <c r="BB765" i="1" s="1"/>
  <c r="BH765" i="1" s="1"/>
  <c r="AR765" i="1"/>
  <c r="AT757" i="1"/>
  <c r="BB757" i="1" s="1"/>
  <c r="BH757" i="1" s="1"/>
  <c r="AR757" i="1"/>
  <c r="AT749" i="1"/>
  <c r="BB749" i="1" s="1"/>
  <c r="BH749" i="1" s="1"/>
  <c r="AR749" i="1"/>
  <c r="AT741" i="1"/>
  <c r="BB741" i="1" s="1"/>
  <c r="BH741" i="1" s="1"/>
  <c r="AR741" i="1"/>
  <c r="AT733" i="1"/>
  <c r="BB733" i="1" s="1"/>
  <c r="BH733" i="1" s="1"/>
  <c r="AR733" i="1"/>
  <c r="AT725" i="1"/>
  <c r="BB725" i="1" s="1"/>
  <c r="BH725" i="1" s="1"/>
  <c r="AR725" i="1"/>
  <c r="AT717" i="1"/>
  <c r="BB717" i="1" s="1"/>
  <c r="BH717" i="1" s="1"/>
  <c r="AR717" i="1"/>
  <c r="AT709" i="1"/>
  <c r="BB709" i="1" s="1"/>
  <c r="BH709" i="1" s="1"/>
  <c r="AR709" i="1"/>
  <c r="AT701" i="1"/>
  <c r="BB701" i="1" s="1"/>
  <c r="BH701" i="1" s="1"/>
  <c r="AR701" i="1"/>
  <c r="AT693" i="1"/>
  <c r="BB693" i="1" s="1"/>
  <c r="BH693" i="1" s="1"/>
  <c r="AR693" i="1"/>
  <c r="AT685" i="1"/>
  <c r="BB685" i="1" s="1"/>
  <c r="BH685" i="1" s="1"/>
  <c r="AR685" i="1"/>
  <c r="AT677" i="1"/>
  <c r="BB677" i="1" s="1"/>
  <c r="BH677" i="1" s="1"/>
  <c r="AR677" i="1"/>
  <c r="AT669" i="1"/>
  <c r="BB669" i="1" s="1"/>
  <c r="BH669" i="1" s="1"/>
  <c r="AR669" i="1"/>
  <c r="AT661" i="1"/>
  <c r="BB661" i="1" s="1"/>
  <c r="BH661" i="1" s="1"/>
  <c r="AR661" i="1"/>
  <c r="AT653" i="1"/>
  <c r="BB653" i="1" s="1"/>
  <c r="BH653" i="1" s="1"/>
  <c r="AR653" i="1"/>
  <c r="AT645" i="1"/>
  <c r="BB645" i="1" s="1"/>
  <c r="BH645" i="1" s="1"/>
  <c r="AR645" i="1"/>
  <c r="AT637" i="1"/>
  <c r="BB637" i="1" s="1"/>
  <c r="BH637" i="1" s="1"/>
  <c r="AR637" i="1"/>
  <c r="AT629" i="1"/>
  <c r="BB629" i="1" s="1"/>
  <c r="BH629" i="1" s="1"/>
  <c r="AR629" i="1"/>
  <c r="AT621" i="1"/>
  <c r="BB621" i="1" s="1"/>
  <c r="BH621" i="1" s="1"/>
  <c r="AR621" i="1"/>
  <c r="AT613" i="1"/>
  <c r="BB613" i="1" s="1"/>
  <c r="BH613" i="1" s="1"/>
  <c r="AR613" i="1"/>
  <c r="AT605" i="1"/>
  <c r="BB605" i="1" s="1"/>
  <c r="BH605" i="1" s="1"/>
  <c r="AR605" i="1"/>
  <c r="AT597" i="1"/>
  <c r="BB597" i="1" s="1"/>
  <c r="BH597" i="1" s="1"/>
  <c r="AR597" i="1"/>
  <c r="AT589" i="1"/>
  <c r="BB589" i="1" s="1"/>
  <c r="BH589" i="1" s="1"/>
  <c r="AR589" i="1"/>
  <c r="AT581" i="1"/>
  <c r="BB581" i="1" s="1"/>
  <c r="BH581" i="1" s="1"/>
  <c r="AR581" i="1"/>
  <c r="AT573" i="1"/>
  <c r="BB573" i="1" s="1"/>
  <c r="BH573" i="1" s="1"/>
  <c r="AR573" i="1"/>
  <c r="AT565" i="1"/>
  <c r="BB565" i="1" s="1"/>
  <c r="BH565" i="1" s="1"/>
  <c r="AR565" i="1"/>
  <c r="AT557" i="1"/>
  <c r="BB557" i="1" s="1"/>
  <c r="BH557" i="1" s="1"/>
  <c r="AR557" i="1"/>
  <c r="AT549" i="1"/>
  <c r="BB549" i="1" s="1"/>
  <c r="BH549" i="1" s="1"/>
  <c r="AR549" i="1"/>
  <c r="AT541" i="1"/>
  <c r="BB541" i="1" s="1"/>
  <c r="BH541" i="1" s="1"/>
  <c r="AR541" i="1"/>
  <c r="AT533" i="1"/>
  <c r="BB533" i="1" s="1"/>
  <c r="BH533" i="1" s="1"/>
  <c r="AR533" i="1"/>
  <c r="AT525" i="1"/>
  <c r="BB525" i="1" s="1"/>
  <c r="BH525" i="1" s="1"/>
  <c r="AR525" i="1"/>
  <c r="AT517" i="1"/>
  <c r="BB517" i="1" s="1"/>
  <c r="BH517" i="1" s="1"/>
  <c r="AR517" i="1"/>
  <c r="AT509" i="1"/>
  <c r="BB509" i="1" s="1"/>
  <c r="BH509" i="1" s="1"/>
  <c r="AR509" i="1"/>
  <c r="AT501" i="1"/>
  <c r="BB501" i="1" s="1"/>
  <c r="BH501" i="1" s="1"/>
  <c r="AR501" i="1"/>
  <c r="AT493" i="1"/>
  <c r="BB493" i="1" s="1"/>
  <c r="BH493" i="1" s="1"/>
  <c r="AR493" i="1"/>
  <c r="AT485" i="1"/>
  <c r="BB485" i="1" s="1"/>
  <c r="BH485" i="1" s="1"/>
  <c r="AR485" i="1"/>
  <c r="AT477" i="1"/>
  <c r="BB477" i="1" s="1"/>
  <c r="BH477" i="1" s="1"/>
  <c r="AR477" i="1"/>
  <c r="AT469" i="1"/>
  <c r="BB469" i="1" s="1"/>
  <c r="BH469" i="1" s="1"/>
  <c r="AR469" i="1"/>
  <c r="AT461" i="1"/>
  <c r="BB461" i="1" s="1"/>
  <c r="BH461" i="1" s="1"/>
  <c r="AR461" i="1"/>
  <c r="AT453" i="1"/>
  <c r="BB453" i="1" s="1"/>
  <c r="BH453" i="1" s="1"/>
  <c r="AR453" i="1"/>
  <c r="AT445" i="1"/>
  <c r="BB445" i="1" s="1"/>
  <c r="BH445" i="1" s="1"/>
  <c r="AR445" i="1"/>
  <c r="AT437" i="1"/>
  <c r="BB437" i="1" s="1"/>
  <c r="BH437" i="1" s="1"/>
  <c r="AR437" i="1"/>
  <c r="AT429" i="1"/>
  <c r="BB429" i="1" s="1"/>
  <c r="BH429" i="1" s="1"/>
  <c r="AR429" i="1"/>
  <c r="AT421" i="1"/>
  <c r="BB421" i="1" s="1"/>
  <c r="BH421" i="1" s="1"/>
  <c r="AR421" i="1"/>
  <c r="AT413" i="1"/>
  <c r="BB413" i="1" s="1"/>
  <c r="BH413" i="1" s="1"/>
  <c r="AR413" i="1"/>
  <c r="AT405" i="1"/>
  <c r="BB405" i="1" s="1"/>
  <c r="BH405" i="1" s="1"/>
  <c r="AR405" i="1"/>
  <c r="AT397" i="1"/>
  <c r="BB397" i="1" s="1"/>
  <c r="BH397" i="1" s="1"/>
  <c r="AR397" i="1"/>
  <c r="AT389" i="1"/>
  <c r="BB389" i="1" s="1"/>
  <c r="BH389" i="1" s="1"/>
  <c r="AR389" i="1"/>
  <c r="AT381" i="1"/>
  <c r="BB381" i="1" s="1"/>
  <c r="BH381" i="1" s="1"/>
  <c r="AR381" i="1"/>
  <c r="AT373" i="1"/>
  <c r="BB373" i="1" s="1"/>
  <c r="BH373" i="1" s="1"/>
  <c r="AR373" i="1"/>
  <c r="AT365" i="1"/>
  <c r="BB365" i="1" s="1"/>
  <c r="BH365" i="1" s="1"/>
  <c r="AR365" i="1"/>
  <c r="AT357" i="1"/>
  <c r="BB357" i="1" s="1"/>
  <c r="BH357" i="1" s="1"/>
  <c r="AR357" i="1"/>
  <c r="AT349" i="1"/>
  <c r="BB349" i="1" s="1"/>
  <c r="BH349" i="1" s="1"/>
  <c r="AR349" i="1"/>
  <c r="AT341" i="1"/>
  <c r="BB341" i="1" s="1"/>
  <c r="BH341" i="1" s="1"/>
  <c r="AR341" i="1"/>
  <c r="AT333" i="1"/>
  <c r="BB333" i="1" s="1"/>
  <c r="BH333" i="1" s="1"/>
  <c r="AR333" i="1"/>
  <c r="AT325" i="1"/>
  <c r="BB325" i="1" s="1"/>
  <c r="BH325" i="1" s="1"/>
  <c r="AR325" i="1"/>
  <c r="AT317" i="1"/>
  <c r="BB317" i="1" s="1"/>
  <c r="BH317" i="1" s="1"/>
  <c r="AR317" i="1"/>
  <c r="AT309" i="1"/>
  <c r="BB309" i="1" s="1"/>
  <c r="BH309" i="1" s="1"/>
  <c r="AR309" i="1"/>
  <c r="AT301" i="1"/>
  <c r="BB301" i="1" s="1"/>
  <c r="BH301" i="1" s="1"/>
  <c r="AR301" i="1"/>
  <c r="AT293" i="1"/>
  <c r="BB293" i="1" s="1"/>
  <c r="BH293" i="1" s="1"/>
  <c r="AR293" i="1"/>
  <c r="AT285" i="1"/>
  <c r="BB285" i="1" s="1"/>
  <c r="BH285" i="1" s="1"/>
  <c r="AR285" i="1"/>
  <c r="AT277" i="1"/>
  <c r="BB277" i="1" s="1"/>
  <c r="BH277" i="1" s="1"/>
  <c r="AR277" i="1"/>
  <c r="AT269" i="1"/>
  <c r="BB269" i="1" s="1"/>
  <c r="BH269" i="1" s="1"/>
  <c r="AR269" i="1"/>
  <c r="AT261" i="1"/>
  <c r="BB261" i="1" s="1"/>
  <c r="BH261" i="1" s="1"/>
  <c r="AR261" i="1"/>
  <c r="AT253" i="1"/>
  <c r="BB253" i="1" s="1"/>
  <c r="BH253" i="1" s="1"/>
  <c r="AR253" i="1"/>
  <c r="AT245" i="1"/>
  <c r="BB245" i="1" s="1"/>
  <c r="BH245" i="1" s="1"/>
  <c r="AR245" i="1"/>
  <c r="AT237" i="1"/>
  <c r="BB237" i="1" s="1"/>
  <c r="BH237" i="1" s="1"/>
  <c r="AR237" i="1"/>
  <c r="AT229" i="1"/>
  <c r="BB229" i="1" s="1"/>
  <c r="BH229" i="1" s="1"/>
  <c r="AR229" i="1"/>
  <c r="AT221" i="1"/>
  <c r="BB221" i="1" s="1"/>
  <c r="BH221" i="1" s="1"/>
  <c r="AR221" i="1"/>
  <c r="AT213" i="1"/>
  <c r="BB213" i="1" s="1"/>
  <c r="BH213" i="1" s="1"/>
  <c r="AR213" i="1"/>
  <c r="AT205" i="1"/>
  <c r="BB205" i="1" s="1"/>
  <c r="BH205" i="1" s="1"/>
  <c r="AR205" i="1"/>
  <c r="AT197" i="1"/>
  <c r="BB197" i="1" s="1"/>
  <c r="BH197" i="1" s="1"/>
  <c r="AR197" i="1"/>
  <c r="AT189" i="1"/>
  <c r="BB189" i="1" s="1"/>
  <c r="BH189" i="1" s="1"/>
  <c r="AR189" i="1"/>
  <c r="AT181" i="1"/>
  <c r="BB181" i="1" s="1"/>
  <c r="BH181" i="1" s="1"/>
  <c r="AR181" i="1"/>
  <c r="AT173" i="1"/>
  <c r="BB173" i="1" s="1"/>
  <c r="BH173" i="1" s="1"/>
  <c r="AR173" i="1"/>
  <c r="AT165" i="1"/>
  <c r="BB165" i="1" s="1"/>
  <c r="BH165" i="1" s="1"/>
  <c r="AR165" i="1"/>
  <c r="AT157" i="1"/>
  <c r="BB157" i="1" s="1"/>
  <c r="BH157" i="1" s="1"/>
  <c r="AR157" i="1"/>
  <c r="AT149" i="1"/>
  <c r="BB149" i="1" s="1"/>
  <c r="BH149" i="1" s="1"/>
  <c r="AR149" i="1"/>
  <c r="AT141" i="1"/>
  <c r="BB141" i="1" s="1"/>
  <c r="BH141" i="1" s="1"/>
  <c r="AR141" i="1"/>
  <c r="AT133" i="1"/>
  <c r="BB133" i="1" s="1"/>
  <c r="BH133" i="1" s="1"/>
  <c r="AR133" i="1"/>
  <c r="AT125" i="1"/>
  <c r="BB125" i="1" s="1"/>
  <c r="BH125" i="1" s="1"/>
  <c r="AR125" i="1"/>
  <c r="AT117" i="1"/>
  <c r="BB117" i="1" s="1"/>
  <c r="BH117" i="1" s="1"/>
  <c r="AR117" i="1"/>
  <c r="AT109" i="1"/>
  <c r="BB109" i="1" s="1"/>
  <c r="BH109" i="1" s="1"/>
  <c r="AR109" i="1"/>
  <c r="AT101" i="1"/>
  <c r="BB101" i="1" s="1"/>
  <c r="BH101" i="1" s="1"/>
  <c r="AR101" i="1"/>
  <c r="AT93" i="1"/>
  <c r="BB93" i="1" s="1"/>
  <c r="BH93" i="1" s="1"/>
  <c r="AR93" i="1"/>
  <c r="AT85" i="1"/>
  <c r="BB85" i="1" s="1"/>
  <c r="BH85" i="1" s="1"/>
  <c r="AR85" i="1"/>
  <c r="AT77" i="1"/>
  <c r="BB77" i="1" s="1"/>
  <c r="BH77" i="1" s="1"/>
  <c r="AR77" i="1"/>
  <c r="AT69" i="1"/>
  <c r="BB69" i="1" s="1"/>
  <c r="BH69" i="1" s="1"/>
  <c r="AR69" i="1"/>
  <c r="AT61" i="1"/>
  <c r="BB61" i="1" s="1"/>
  <c r="BH61" i="1" s="1"/>
  <c r="AR61" i="1"/>
  <c r="AT53" i="1"/>
  <c r="BB53" i="1" s="1"/>
  <c r="BH53" i="1" s="1"/>
  <c r="AR53" i="1"/>
  <c r="AT45" i="1"/>
  <c r="BB45" i="1" s="1"/>
  <c r="BH45" i="1" s="1"/>
  <c r="AR45" i="1"/>
  <c r="AT37" i="1"/>
  <c r="BB37" i="1" s="1"/>
  <c r="BH37" i="1" s="1"/>
  <c r="AR37" i="1"/>
  <c r="AT29" i="1"/>
  <c r="BB29" i="1" s="1"/>
  <c r="BH29" i="1" s="1"/>
  <c r="AR29" i="1"/>
  <c r="AT21" i="1"/>
  <c r="BB21" i="1" s="1"/>
  <c r="BH21" i="1" s="1"/>
  <c r="AR21" i="1"/>
  <c r="AT1116" i="1"/>
  <c r="BB1116" i="1" s="1"/>
  <c r="BH1116" i="1" s="1"/>
  <c r="AR1116" i="1"/>
  <c r="AT1108" i="1"/>
  <c r="BB1108" i="1" s="1"/>
  <c r="BH1108" i="1" s="1"/>
  <c r="AR1108" i="1"/>
  <c r="AT1100" i="1"/>
  <c r="BB1100" i="1" s="1"/>
  <c r="BH1100" i="1" s="1"/>
  <c r="AR1100" i="1"/>
  <c r="AT1092" i="1"/>
  <c r="BB1092" i="1" s="1"/>
  <c r="BH1092" i="1" s="1"/>
  <c r="AR1092" i="1"/>
  <c r="AT1084" i="1"/>
  <c r="BB1084" i="1" s="1"/>
  <c r="BH1084" i="1" s="1"/>
  <c r="AR1084" i="1"/>
  <c r="AT1076" i="1"/>
  <c r="BB1076" i="1" s="1"/>
  <c r="BH1076" i="1" s="1"/>
  <c r="AR1076" i="1"/>
  <c r="AT1068" i="1"/>
  <c r="BB1068" i="1" s="1"/>
  <c r="BH1068" i="1" s="1"/>
  <c r="AR1068" i="1"/>
  <c r="AT1060" i="1"/>
  <c r="BB1060" i="1" s="1"/>
  <c r="BH1060" i="1" s="1"/>
  <c r="AR1060" i="1"/>
  <c r="AT1052" i="1"/>
  <c r="BB1052" i="1" s="1"/>
  <c r="BH1052" i="1" s="1"/>
  <c r="AR1052" i="1"/>
  <c r="AT1044" i="1"/>
  <c r="BB1044" i="1" s="1"/>
  <c r="BH1044" i="1" s="1"/>
  <c r="AR1044" i="1"/>
  <c r="AT1036" i="1"/>
  <c r="BB1036" i="1" s="1"/>
  <c r="BH1036" i="1" s="1"/>
  <c r="AR1036" i="1"/>
  <c r="AT1028" i="1"/>
  <c r="BB1028" i="1" s="1"/>
  <c r="BH1028" i="1" s="1"/>
  <c r="AR1028" i="1"/>
  <c r="AT1020" i="1"/>
  <c r="BB1020" i="1" s="1"/>
  <c r="BH1020" i="1" s="1"/>
  <c r="AR1020" i="1"/>
  <c r="AT1012" i="1"/>
  <c r="BB1012" i="1" s="1"/>
  <c r="BH1012" i="1" s="1"/>
  <c r="AR1012" i="1"/>
  <c r="AT1004" i="1"/>
  <c r="BB1004" i="1" s="1"/>
  <c r="BH1004" i="1" s="1"/>
  <c r="AR1004" i="1"/>
  <c r="AT996" i="1"/>
  <c r="BB996" i="1" s="1"/>
  <c r="BH996" i="1" s="1"/>
  <c r="AR996" i="1"/>
  <c r="AT988" i="1"/>
  <c r="BB988" i="1" s="1"/>
  <c r="BH988" i="1" s="1"/>
  <c r="AR988" i="1"/>
  <c r="AT980" i="1"/>
  <c r="BB980" i="1" s="1"/>
  <c r="BH980" i="1" s="1"/>
  <c r="AR980" i="1"/>
  <c r="AT972" i="1"/>
  <c r="BB972" i="1" s="1"/>
  <c r="BH972" i="1" s="1"/>
  <c r="AR972" i="1"/>
  <c r="AT964" i="1"/>
  <c r="BB964" i="1" s="1"/>
  <c r="BH964" i="1" s="1"/>
  <c r="AR964" i="1"/>
  <c r="AT956" i="1"/>
  <c r="BB956" i="1" s="1"/>
  <c r="BH956" i="1" s="1"/>
  <c r="AR956" i="1"/>
  <c r="AT948" i="1"/>
  <c r="BB948" i="1" s="1"/>
  <c r="BH948" i="1" s="1"/>
  <c r="AR948" i="1"/>
  <c r="AT940" i="1"/>
  <c r="BB940" i="1" s="1"/>
  <c r="BH940" i="1" s="1"/>
  <c r="AR940" i="1"/>
  <c r="AT932" i="1"/>
  <c r="BB932" i="1" s="1"/>
  <c r="BH932" i="1" s="1"/>
  <c r="AR932" i="1"/>
  <c r="AT924" i="1"/>
  <c r="BB924" i="1" s="1"/>
  <c r="BH924" i="1" s="1"/>
  <c r="AR924" i="1"/>
  <c r="AT916" i="1"/>
  <c r="BB916" i="1" s="1"/>
  <c r="BH916" i="1" s="1"/>
  <c r="AR916" i="1"/>
  <c r="AT908" i="1"/>
  <c r="BB908" i="1" s="1"/>
  <c r="BH908" i="1" s="1"/>
  <c r="AR908" i="1"/>
  <c r="AT900" i="1"/>
  <c r="BB900" i="1" s="1"/>
  <c r="BH900" i="1" s="1"/>
  <c r="AR900" i="1"/>
  <c r="AT892" i="1"/>
  <c r="BB892" i="1" s="1"/>
  <c r="BH892" i="1" s="1"/>
  <c r="AR892" i="1"/>
  <c r="AT884" i="1"/>
  <c r="BB884" i="1" s="1"/>
  <c r="BH884" i="1" s="1"/>
  <c r="AR884" i="1"/>
  <c r="AT876" i="1"/>
  <c r="BB876" i="1" s="1"/>
  <c r="BH876" i="1" s="1"/>
  <c r="AR876" i="1"/>
  <c r="AT868" i="1"/>
  <c r="BB868" i="1" s="1"/>
  <c r="BH868" i="1" s="1"/>
  <c r="AR868" i="1"/>
  <c r="AT860" i="1"/>
  <c r="BB860" i="1" s="1"/>
  <c r="BH860" i="1" s="1"/>
  <c r="AR860" i="1"/>
  <c r="AT852" i="1"/>
  <c r="BB852" i="1" s="1"/>
  <c r="BH852" i="1" s="1"/>
  <c r="AR852" i="1"/>
  <c r="AT844" i="1"/>
  <c r="BB844" i="1" s="1"/>
  <c r="BH844" i="1" s="1"/>
  <c r="AR844" i="1"/>
  <c r="AT836" i="1"/>
  <c r="BB836" i="1" s="1"/>
  <c r="BH836" i="1" s="1"/>
  <c r="AR836" i="1"/>
  <c r="AT828" i="1"/>
  <c r="BB828" i="1" s="1"/>
  <c r="BH828" i="1" s="1"/>
  <c r="AR828" i="1"/>
  <c r="AT820" i="1"/>
  <c r="BB820" i="1" s="1"/>
  <c r="BH820" i="1" s="1"/>
  <c r="AR820" i="1"/>
  <c r="AT812" i="1"/>
  <c r="BB812" i="1" s="1"/>
  <c r="BH812" i="1" s="1"/>
  <c r="AR812" i="1"/>
  <c r="AT804" i="1"/>
  <c r="BB804" i="1" s="1"/>
  <c r="BH804" i="1" s="1"/>
  <c r="AR804" i="1"/>
  <c r="AT796" i="1"/>
  <c r="BB796" i="1" s="1"/>
  <c r="BH796" i="1" s="1"/>
  <c r="AR796" i="1"/>
  <c r="AT788" i="1"/>
  <c r="BB788" i="1" s="1"/>
  <c r="BH788" i="1" s="1"/>
  <c r="AR788" i="1"/>
  <c r="AT780" i="1"/>
  <c r="BB780" i="1" s="1"/>
  <c r="BH780" i="1" s="1"/>
  <c r="AR780" i="1"/>
  <c r="AT772" i="1"/>
  <c r="BB772" i="1" s="1"/>
  <c r="BH772" i="1" s="1"/>
  <c r="AR772" i="1"/>
  <c r="AT764" i="1"/>
  <c r="BB764" i="1" s="1"/>
  <c r="BH764" i="1" s="1"/>
  <c r="AR764" i="1"/>
  <c r="AT756" i="1"/>
  <c r="BB756" i="1" s="1"/>
  <c r="BH756" i="1" s="1"/>
  <c r="AR756" i="1"/>
  <c r="AT748" i="1"/>
  <c r="BB748" i="1" s="1"/>
  <c r="BH748" i="1" s="1"/>
  <c r="AR748" i="1"/>
  <c r="AT740" i="1"/>
  <c r="BB740" i="1" s="1"/>
  <c r="BH740" i="1" s="1"/>
  <c r="AR740" i="1"/>
  <c r="AT732" i="1"/>
  <c r="BB732" i="1" s="1"/>
  <c r="BH732" i="1" s="1"/>
  <c r="AR732" i="1"/>
  <c r="AT724" i="1"/>
  <c r="BB724" i="1" s="1"/>
  <c r="BH724" i="1" s="1"/>
  <c r="AR724" i="1"/>
  <c r="AR716" i="1"/>
  <c r="AT716" i="1"/>
  <c r="BB716" i="1" s="1"/>
  <c r="BH716" i="1" s="1"/>
  <c r="AT708" i="1"/>
  <c r="BB708" i="1" s="1"/>
  <c r="BH708" i="1" s="1"/>
  <c r="AR708" i="1"/>
  <c r="AT700" i="1"/>
  <c r="BB700" i="1" s="1"/>
  <c r="BH700" i="1" s="1"/>
  <c r="AR700" i="1"/>
  <c r="AT692" i="1"/>
  <c r="BB692" i="1" s="1"/>
  <c r="BH692" i="1" s="1"/>
  <c r="AR692" i="1"/>
  <c r="AT684" i="1"/>
  <c r="BB684" i="1" s="1"/>
  <c r="BH684" i="1" s="1"/>
  <c r="AR684" i="1"/>
  <c r="AT676" i="1"/>
  <c r="BB676" i="1" s="1"/>
  <c r="BH676" i="1" s="1"/>
  <c r="AR676" i="1"/>
  <c r="AT668" i="1"/>
  <c r="BB668" i="1" s="1"/>
  <c r="BH668" i="1" s="1"/>
  <c r="AR668" i="1"/>
  <c r="AT660" i="1"/>
  <c r="BB660" i="1" s="1"/>
  <c r="BH660" i="1" s="1"/>
  <c r="AR660" i="1"/>
  <c r="AT652" i="1"/>
  <c r="BB652" i="1" s="1"/>
  <c r="BH652" i="1" s="1"/>
  <c r="AR652" i="1"/>
  <c r="AT644" i="1"/>
  <c r="BB644" i="1" s="1"/>
  <c r="BH644" i="1" s="1"/>
  <c r="AR644" i="1"/>
  <c r="AT636" i="1"/>
  <c r="BB636" i="1" s="1"/>
  <c r="BH636" i="1" s="1"/>
  <c r="AR636" i="1"/>
  <c r="AT628" i="1"/>
  <c r="BB628" i="1" s="1"/>
  <c r="BH628" i="1" s="1"/>
  <c r="AR628" i="1"/>
  <c r="AT620" i="1"/>
  <c r="BB620" i="1" s="1"/>
  <c r="BH620" i="1" s="1"/>
  <c r="AR620" i="1"/>
  <c r="AT612" i="1"/>
  <c r="BB612" i="1" s="1"/>
  <c r="BH612" i="1" s="1"/>
  <c r="AR612" i="1"/>
  <c r="AT604" i="1"/>
  <c r="BB604" i="1" s="1"/>
  <c r="BH604" i="1" s="1"/>
  <c r="AR604" i="1"/>
  <c r="AT596" i="1"/>
  <c r="BB596" i="1" s="1"/>
  <c r="BH596" i="1" s="1"/>
  <c r="AR596" i="1"/>
  <c r="AT588" i="1"/>
  <c r="BB588" i="1" s="1"/>
  <c r="BH588" i="1" s="1"/>
  <c r="AR588" i="1"/>
  <c r="AT580" i="1"/>
  <c r="BB580" i="1" s="1"/>
  <c r="BH580" i="1" s="1"/>
  <c r="AR580" i="1"/>
  <c r="AT572" i="1"/>
  <c r="BB572" i="1" s="1"/>
  <c r="BH572" i="1" s="1"/>
  <c r="AR572" i="1"/>
  <c r="AT564" i="1"/>
  <c r="BB564" i="1" s="1"/>
  <c r="BH564" i="1" s="1"/>
  <c r="AR564" i="1"/>
  <c r="AT556" i="1"/>
  <c r="BB556" i="1" s="1"/>
  <c r="BH556" i="1" s="1"/>
  <c r="AR556" i="1"/>
  <c r="AT548" i="1"/>
  <c r="BB548" i="1" s="1"/>
  <c r="BH548" i="1" s="1"/>
  <c r="AR548" i="1"/>
  <c r="AT540" i="1"/>
  <c r="BB540" i="1" s="1"/>
  <c r="BH540" i="1" s="1"/>
  <c r="AR540" i="1"/>
  <c r="AT532" i="1"/>
  <c r="BB532" i="1" s="1"/>
  <c r="BH532" i="1" s="1"/>
  <c r="AR532" i="1"/>
  <c r="AT524" i="1"/>
  <c r="BB524" i="1" s="1"/>
  <c r="BH524" i="1" s="1"/>
  <c r="AR524" i="1"/>
  <c r="AT516" i="1"/>
  <c r="BB516" i="1" s="1"/>
  <c r="BH516" i="1" s="1"/>
  <c r="AR516" i="1"/>
  <c r="AT508" i="1"/>
  <c r="BB508" i="1" s="1"/>
  <c r="BH508" i="1" s="1"/>
  <c r="AR508" i="1"/>
  <c r="AT500" i="1"/>
  <c r="BB500" i="1" s="1"/>
  <c r="BH500" i="1" s="1"/>
  <c r="AR500" i="1"/>
  <c r="AT492" i="1"/>
  <c r="BB492" i="1" s="1"/>
  <c r="BH492" i="1" s="1"/>
  <c r="AR492" i="1"/>
  <c r="AT484" i="1"/>
  <c r="BB484" i="1" s="1"/>
  <c r="BH484" i="1" s="1"/>
  <c r="AR484" i="1"/>
  <c r="AT476" i="1"/>
  <c r="BB476" i="1" s="1"/>
  <c r="BH476" i="1" s="1"/>
  <c r="AR476" i="1"/>
  <c r="AT468" i="1"/>
  <c r="BB468" i="1" s="1"/>
  <c r="BH468" i="1" s="1"/>
  <c r="AR468" i="1"/>
  <c r="AT460" i="1"/>
  <c r="BB460" i="1" s="1"/>
  <c r="BH460" i="1" s="1"/>
  <c r="AR460" i="1"/>
  <c r="AT452" i="1"/>
  <c r="BB452" i="1" s="1"/>
  <c r="BH452" i="1" s="1"/>
  <c r="AR452" i="1"/>
  <c r="AT444" i="1"/>
  <c r="BB444" i="1" s="1"/>
  <c r="BH444" i="1" s="1"/>
  <c r="AR444" i="1"/>
  <c r="AT436" i="1"/>
  <c r="BB436" i="1" s="1"/>
  <c r="BH436" i="1" s="1"/>
  <c r="AR436" i="1"/>
  <c r="AT428" i="1"/>
  <c r="BB428" i="1" s="1"/>
  <c r="BH428" i="1" s="1"/>
  <c r="AR428" i="1"/>
  <c r="AT420" i="1"/>
  <c r="BB420" i="1" s="1"/>
  <c r="BH420" i="1" s="1"/>
  <c r="AR420" i="1"/>
  <c r="AT412" i="1"/>
  <c r="BB412" i="1" s="1"/>
  <c r="BH412" i="1" s="1"/>
  <c r="AR412" i="1"/>
  <c r="AT404" i="1"/>
  <c r="BB404" i="1" s="1"/>
  <c r="BH404" i="1" s="1"/>
  <c r="AR404" i="1"/>
  <c r="AT396" i="1"/>
  <c r="BB396" i="1" s="1"/>
  <c r="BH396" i="1" s="1"/>
  <c r="AR396" i="1"/>
  <c r="AT388" i="1"/>
  <c r="BB388" i="1" s="1"/>
  <c r="BH388" i="1" s="1"/>
  <c r="AR388" i="1"/>
  <c r="AT380" i="1"/>
  <c r="BB380" i="1" s="1"/>
  <c r="BH380" i="1" s="1"/>
  <c r="AR380" i="1"/>
  <c r="AT372" i="1"/>
  <c r="BB372" i="1" s="1"/>
  <c r="BH372" i="1" s="1"/>
  <c r="AR372" i="1"/>
  <c r="AT364" i="1"/>
  <c r="BB364" i="1" s="1"/>
  <c r="BH364" i="1" s="1"/>
  <c r="AR364" i="1"/>
  <c r="AT356" i="1"/>
  <c r="BB356" i="1" s="1"/>
  <c r="BH356" i="1" s="1"/>
  <c r="AR356" i="1"/>
  <c r="AT348" i="1"/>
  <c r="BB348" i="1" s="1"/>
  <c r="BH348" i="1" s="1"/>
  <c r="AR348" i="1"/>
  <c r="AT340" i="1"/>
  <c r="BB340" i="1" s="1"/>
  <c r="BH340" i="1" s="1"/>
  <c r="AR340" i="1"/>
  <c r="AT332" i="1"/>
  <c r="BB332" i="1" s="1"/>
  <c r="BH332" i="1" s="1"/>
  <c r="AR332" i="1"/>
  <c r="AR324" i="1"/>
  <c r="AT324" i="1"/>
  <c r="BB324" i="1" s="1"/>
  <c r="BH324" i="1" s="1"/>
  <c r="AT316" i="1"/>
  <c r="BB316" i="1" s="1"/>
  <c r="BH316" i="1" s="1"/>
  <c r="AR316" i="1"/>
  <c r="AT308" i="1"/>
  <c r="BB308" i="1" s="1"/>
  <c r="BH308" i="1" s="1"/>
  <c r="AR308" i="1"/>
  <c r="AT300" i="1"/>
  <c r="BB300" i="1" s="1"/>
  <c r="BH300" i="1" s="1"/>
  <c r="AR300" i="1"/>
  <c r="AT292" i="1"/>
  <c r="BB292" i="1" s="1"/>
  <c r="BH292" i="1" s="1"/>
  <c r="AR292" i="1"/>
  <c r="AT284" i="1"/>
  <c r="BB284" i="1" s="1"/>
  <c r="BH284" i="1" s="1"/>
  <c r="AR284" i="1"/>
  <c r="AT276" i="1"/>
  <c r="BB276" i="1" s="1"/>
  <c r="BH276" i="1" s="1"/>
  <c r="AR276" i="1"/>
  <c r="AT268" i="1"/>
  <c r="BB268" i="1" s="1"/>
  <c r="BH268" i="1" s="1"/>
  <c r="AR268" i="1"/>
  <c r="AT260" i="1"/>
  <c r="BB260" i="1" s="1"/>
  <c r="BH260" i="1" s="1"/>
  <c r="AR260" i="1"/>
  <c r="AT252" i="1"/>
  <c r="BB252" i="1" s="1"/>
  <c r="BH252" i="1" s="1"/>
  <c r="AR252" i="1"/>
  <c r="AT244" i="1"/>
  <c r="BB244" i="1" s="1"/>
  <c r="BH244" i="1" s="1"/>
  <c r="AR244" i="1"/>
  <c r="AT236" i="1"/>
  <c r="BB236" i="1" s="1"/>
  <c r="BH236" i="1" s="1"/>
  <c r="AR236" i="1"/>
  <c r="AT228" i="1"/>
  <c r="BB228" i="1" s="1"/>
  <c r="BH228" i="1" s="1"/>
  <c r="AR228" i="1"/>
  <c r="AT220" i="1"/>
  <c r="BB220" i="1" s="1"/>
  <c r="BH220" i="1" s="1"/>
  <c r="AR220" i="1"/>
  <c r="AT212" i="1"/>
  <c r="BB212" i="1" s="1"/>
  <c r="BH212" i="1" s="1"/>
  <c r="AR212" i="1"/>
  <c r="AT204" i="1"/>
  <c r="BB204" i="1" s="1"/>
  <c r="BH204" i="1" s="1"/>
  <c r="AR204" i="1"/>
  <c r="AT196" i="1"/>
  <c r="BB196" i="1" s="1"/>
  <c r="BH196" i="1" s="1"/>
  <c r="AR196" i="1"/>
  <c r="AT188" i="1"/>
  <c r="BB188" i="1" s="1"/>
  <c r="BH188" i="1" s="1"/>
  <c r="AR188" i="1"/>
  <c r="AT180" i="1"/>
  <c r="BB180" i="1" s="1"/>
  <c r="BH180" i="1" s="1"/>
  <c r="AR180" i="1"/>
  <c r="AT172" i="1"/>
  <c r="BB172" i="1" s="1"/>
  <c r="BH172" i="1" s="1"/>
  <c r="AR172" i="1"/>
  <c r="AT164" i="1"/>
  <c r="BB164" i="1" s="1"/>
  <c r="BH164" i="1" s="1"/>
  <c r="AR164" i="1"/>
  <c r="AT156" i="1"/>
  <c r="BB156" i="1" s="1"/>
  <c r="BH156" i="1" s="1"/>
  <c r="AR156" i="1"/>
  <c r="AT148" i="1"/>
  <c r="BB148" i="1" s="1"/>
  <c r="BH148" i="1" s="1"/>
  <c r="AR148" i="1"/>
  <c r="AT140" i="1"/>
  <c r="BB140" i="1" s="1"/>
  <c r="BH140" i="1" s="1"/>
  <c r="AR140" i="1"/>
  <c r="AT132" i="1"/>
  <c r="BB132" i="1" s="1"/>
  <c r="BH132" i="1" s="1"/>
  <c r="AR132" i="1"/>
  <c r="AT124" i="1"/>
  <c r="BB124" i="1" s="1"/>
  <c r="BH124" i="1" s="1"/>
  <c r="AR124" i="1"/>
  <c r="AT116" i="1"/>
  <c r="BB116" i="1" s="1"/>
  <c r="BH116" i="1" s="1"/>
  <c r="AR116" i="1"/>
  <c r="AT108" i="1"/>
  <c r="BB108" i="1" s="1"/>
  <c r="BH108" i="1" s="1"/>
  <c r="AR108" i="1"/>
  <c r="AT100" i="1"/>
  <c r="BB100" i="1" s="1"/>
  <c r="BH100" i="1" s="1"/>
  <c r="AR100" i="1"/>
  <c r="AT92" i="1"/>
  <c r="BB92" i="1" s="1"/>
  <c r="BH92" i="1" s="1"/>
  <c r="AR92" i="1"/>
  <c r="AT84" i="1"/>
  <c r="BB84" i="1" s="1"/>
  <c r="BH84" i="1" s="1"/>
  <c r="AR84" i="1"/>
  <c r="AT76" i="1"/>
  <c r="BB76" i="1" s="1"/>
  <c r="BH76" i="1" s="1"/>
  <c r="AR76" i="1"/>
  <c r="AT68" i="1"/>
  <c r="BB68" i="1" s="1"/>
  <c r="BH68" i="1" s="1"/>
  <c r="AR68" i="1"/>
  <c r="AT60" i="1"/>
  <c r="BB60" i="1" s="1"/>
  <c r="BH60" i="1" s="1"/>
  <c r="AR60" i="1"/>
  <c r="AT52" i="1"/>
  <c r="BB52" i="1" s="1"/>
  <c r="BH52" i="1" s="1"/>
  <c r="AR52" i="1"/>
  <c r="AT44" i="1"/>
  <c r="BB44" i="1" s="1"/>
  <c r="BH44" i="1" s="1"/>
  <c r="AR44" i="1"/>
  <c r="AT36" i="1"/>
  <c r="BB36" i="1" s="1"/>
  <c r="BH36" i="1" s="1"/>
  <c r="AR36" i="1"/>
  <c r="AT28" i="1"/>
  <c r="BB28" i="1" s="1"/>
  <c r="BH28" i="1" s="1"/>
  <c r="AR28" i="1"/>
  <c r="AT20" i="1"/>
  <c r="BB20" i="1" s="1"/>
  <c r="AR20" i="1"/>
  <c r="AF274" i="14"/>
  <c r="AS274" i="14" s="1"/>
  <c r="AD31" i="14"/>
  <c r="AH31" i="14" s="1"/>
  <c r="AD247" i="14"/>
  <c r="AD32" i="14"/>
  <c r="AH32" i="14" s="1"/>
  <c r="AD248" i="14"/>
  <c r="AD249" i="14"/>
  <c r="AD250" i="14"/>
  <c r="AD213" i="14"/>
  <c r="AD214" i="14"/>
  <c r="AD215" i="14"/>
  <c r="AD216" i="14"/>
  <c r="AD217" i="14"/>
  <c r="AD218" i="14"/>
  <c r="AD219" i="14"/>
  <c r="AD220" i="14"/>
  <c r="AD221" i="14"/>
  <c r="AD222" i="14"/>
  <c r="AD223" i="14"/>
  <c r="AD224" i="14"/>
  <c r="AD251" i="14"/>
  <c r="AD252" i="14"/>
  <c r="AD253" i="14"/>
  <c r="AD254" i="14"/>
  <c r="AF31" i="14"/>
  <c r="AS31" i="14" s="1"/>
  <c r="AF247" i="14"/>
  <c r="AS247" i="14" s="1"/>
  <c r="AF32" i="14"/>
  <c r="AS32" i="14" s="1"/>
  <c r="AF248" i="14"/>
  <c r="AS248" i="14" s="1"/>
  <c r="AF249" i="14"/>
  <c r="AS249" i="14" s="1"/>
  <c r="AF250" i="14"/>
  <c r="AS250" i="14" s="1"/>
  <c r="AF213" i="14"/>
  <c r="AS213" i="14" s="1"/>
  <c r="AF214" i="14"/>
  <c r="AS214" i="14" s="1"/>
  <c r="AF215" i="14"/>
  <c r="AS215" i="14" s="1"/>
  <c r="AF216" i="14"/>
  <c r="AS216" i="14" s="1"/>
  <c r="AF217" i="14"/>
  <c r="AS217" i="14" s="1"/>
  <c r="AF218" i="14"/>
  <c r="AS218" i="14" s="1"/>
  <c r="AF219" i="14"/>
  <c r="AS219" i="14" s="1"/>
  <c r="AF220" i="14"/>
  <c r="AS220" i="14" s="1"/>
  <c r="AF221" i="14"/>
  <c r="AS221" i="14" s="1"/>
  <c r="AF222" i="14"/>
  <c r="AS222" i="14" s="1"/>
  <c r="AF223" i="14"/>
  <c r="AS223" i="14" s="1"/>
  <c r="AF224" i="14"/>
  <c r="AS224" i="14" s="1"/>
  <c r="AF251" i="14"/>
  <c r="AS251" i="14" s="1"/>
  <c r="AF252" i="14"/>
  <c r="AS252" i="14" s="1"/>
  <c r="AF253" i="14"/>
  <c r="AS253" i="14" s="1"/>
  <c r="AF254" i="14"/>
  <c r="AS254" i="14" s="1"/>
  <c r="BE247" i="14"/>
  <c r="BE249" i="14"/>
  <c r="BE213" i="14"/>
  <c r="BE214" i="14"/>
  <c r="BE216" i="14"/>
  <c r="BE219" i="14"/>
  <c r="BE221" i="14"/>
  <c r="BE222" i="14"/>
  <c r="BE224" i="14"/>
  <c r="BE253" i="14"/>
  <c r="BE232" i="14"/>
  <c r="BE231" i="14"/>
  <c r="BE230" i="14"/>
  <c r="BE229" i="14"/>
  <c r="BE228" i="14"/>
  <c r="BE227" i="14"/>
  <c r="BE226" i="14"/>
  <c r="BE225" i="14"/>
  <c r="BE212" i="14"/>
  <c r="BE211" i="14"/>
  <c r="BE210" i="14"/>
  <c r="BE209" i="14"/>
  <c r="BE208" i="14"/>
  <c r="BE207" i="14"/>
  <c r="BE206" i="14"/>
  <c r="BE205" i="14"/>
  <c r="BE204" i="14"/>
  <c r="BE197" i="14"/>
  <c r="BE196" i="14"/>
  <c r="BE195" i="14"/>
  <c r="BE194" i="14"/>
  <c r="BE190" i="14"/>
  <c r="BE179" i="14"/>
  <c r="BE167" i="14"/>
  <c r="BE160" i="14"/>
  <c r="BE134" i="14"/>
  <c r="BE132" i="14"/>
  <c r="BE126" i="14"/>
  <c r="BE125" i="14"/>
  <c r="BE246" i="14"/>
  <c r="AD22" i="14"/>
  <c r="AD23" i="14"/>
  <c r="AD24" i="14"/>
  <c r="AD25" i="14"/>
  <c r="AD26" i="14"/>
  <c r="AD27" i="14"/>
  <c r="AD28" i="14"/>
  <c r="AD29" i="14"/>
  <c r="AD30" i="14"/>
  <c r="AD53" i="14"/>
  <c r="AD246" i="14"/>
  <c r="AD125" i="14"/>
  <c r="AD126" i="14"/>
  <c r="AD132" i="14"/>
  <c r="AD134" i="14"/>
  <c r="AD160" i="14"/>
  <c r="AD167" i="14"/>
  <c r="AD179" i="14"/>
  <c r="AD190" i="14"/>
  <c r="AD194" i="14"/>
  <c r="AD195" i="14"/>
  <c r="AD196" i="14"/>
  <c r="AD197" i="14"/>
  <c r="AD204" i="14"/>
  <c r="AD205" i="14"/>
  <c r="AD206" i="14"/>
  <c r="AD207" i="14"/>
  <c r="AD208" i="14"/>
  <c r="AD209" i="14"/>
  <c r="AD210" i="14"/>
  <c r="AD211" i="14"/>
  <c r="AD212" i="14"/>
  <c r="AD225" i="14"/>
  <c r="AD226" i="14"/>
  <c r="AD227" i="14"/>
  <c r="AD228" i="14"/>
  <c r="AD229" i="14"/>
  <c r="AD230" i="14"/>
  <c r="AD231" i="14"/>
  <c r="AD232" i="14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AF507" i="1"/>
  <c r="AD507" i="1"/>
  <c r="AH507" i="1" s="1"/>
  <c r="AF506" i="1"/>
  <c r="AD506" i="1"/>
  <c r="AH506" i="1" s="1"/>
  <c r="AL505" i="1"/>
  <c r="AK505" i="1"/>
  <c r="AJ505" i="1"/>
  <c r="AF505" i="1"/>
  <c r="AD505" i="1"/>
  <c r="AH505" i="1" s="1"/>
  <c r="AD508" i="1"/>
  <c r="AH508" i="1" s="1"/>
  <c r="AF508" i="1"/>
  <c r="AH251" i="14" l="1"/>
  <c r="BE251" i="14"/>
  <c r="AH217" i="14"/>
  <c r="BE217" i="14"/>
  <c r="AH223" i="14"/>
  <c r="BE223" i="14"/>
  <c r="AH215" i="14"/>
  <c r="BE215" i="14"/>
  <c r="AH254" i="14"/>
  <c r="BE254" i="14"/>
  <c r="AH220" i="14"/>
  <c r="BE220" i="14"/>
  <c r="AH250" i="14"/>
  <c r="BE250" i="14"/>
  <c r="AH252" i="14"/>
  <c r="BE252" i="14"/>
  <c r="AH218" i="14"/>
  <c r="BE218" i="14"/>
  <c r="AH248" i="14"/>
  <c r="BE248" i="14"/>
  <c r="AH221" i="14"/>
  <c r="AH213" i="14"/>
  <c r="AH214" i="14"/>
  <c r="AH253" i="14"/>
  <c r="AH219" i="14"/>
  <c r="AH249" i="14"/>
  <c r="AH224" i="14"/>
  <c r="AH216" i="14"/>
  <c r="AH247" i="14"/>
  <c r="Z253" i="14"/>
  <c r="Z219" i="14"/>
  <c r="Z249" i="14"/>
  <c r="AI252" i="14"/>
  <c r="AI218" i="14"/>
  <c r="Z248" i="14"/>
  <c r="AI251" i="14"/>
  <c r="AI217" i="14"/>
  <c r="Z32" i="14"/>
  <c r="AI224" i="14"/>
  <c r="AI216" i="14"/>
  <c r="AI247" i="14"/>
  <c r="Z223" i="14"/>
  <c r="Z215" i="14"/>
  <c r="Z31" i="14"/>
  <c r="Z222" i="14"/>
  <c r="Y214" i="14"/>
  <c r="Y221" i="14"/>
  <c r="Y213" i="14"/>
  <c r="Y254" i="14"/>
  <c r="Y220" i="14"/>
  <c r="Y250" i="14"/>
  <c r="BF28" i="1"/>
  <c r="BE28" i="1"/>
  <c r="BF60" i="1"/>
  <c r="BE60" i="1"/>
  <c r="BF92" i="1"/>
  <c r="BE92" i="1"/>
  <c r="BF124" i="1"/>
  <c r="BE124" i="1"/>
  <c r="BF156" i="1"/>
  <c r="BE156" i="1"/>
  <c r="BF188" i="1"/>
  <c r="BE188" i="1"/>
  <c r="BF220" i="1"/>
  <c r="BE220" i="1"/>
  <c r="BF252" i="1"/>
  <c r="BE252" i="1"/>
  <c r="BF284" i="1"/>
  <c r="BE284" i="1"/>
  <c r="BF316" i="1"/>
  <c r="BE316" i="1"/>
  <c r="BF348" i="1"/>
  <c r="BE348" i="1"/>
  <c r="BF380" i="1"/>
  <c r="BE380" i="1"/>
  <c r="BF412" i="1"/>
  <c r="BE412" i="1"/>
  <c r="BF444" i="1"/>
  <c r="BE444" i="1"/>
  <c r="BF476" i="1"/>
  <c r="BE476" i="1"/>
  <c r="BF508" i="1"/>
  <c r="BE508" i="1"/>
  <c r="BF540" i="1"/>
  <c r="BE540" i="1"/>
  <c r="BF572" i="1"/>
  <c r="BE572" i="1"/>
  <c r="BF604" i="1"/>
  <c r="BE604" i="1"/>
  <c r="BF636" i="1"/>
  <c r="BE636" i="1"/>
  <c r="BF668" i="1"/>
  <c r="BE668" i="1"/>
  <c r="BF700" i="1"/>
  <c r="BE700" i="1"/>
  <c r="BF732" i="1"/>
  <c r="BE732" i="1"/>
  <c r="BF764" i="1"/>
  <c r="BE764" i="1"/>
  <c r="BF796" i="1"/>
  <c r="BE796" i="1"/>
  <c r="BF828" i="1"/>
  <c r="BE828" i="1"/>
  <c r="BF860" i="1"/>
  <c r="BE860" i="1"/>
  <c r="BF892" i="1"/>
  <c r="BE892" i="1"/>
  <c r="BF924" i="1"/>
  <c r="BE924" i="1"/>
  <c r="BF956" i="1"/>
  <c r="BE956" i="1"/>
  <c r="BF988" i="1"/>
  <c r="BE988" i="1"/>
  <c r="BF1020" i="1"/>
  <c r="BE1020" i="1"/>
  <c r="BF1052" i="1"/>
  <c r="BE1052" i="1"/>
  <c r="BF1084" i="1"/>
  <c r="BE1084" i="1"/>
  <c r="BF1116" i="1"/>
  <c r="BE1116" i="1"/>
  <c r="BF45" i="1"/>
  <c r="BE45" i="1"/>
  <c r="BF77" i="1"/>
  <c r="BE77" i="1"/>
  <c r="BF109" i="1"/>
  <c r="BE109" i="1"/>
  <c r="BF141" i="1"/>
  <c r="BE141" i="1"/>
  <c r="BF173" i="1"/>
  <c r="BE173" i="1"/>
  <c r="BF205" i="1"/>
  <c r="BE205" i="1"/>
  <c r="BF237" i="1"/>
  <c r="BE237" i="1"/>
  <c r="BF269" i="1"/>
  <c r="BE269" i="1"/>
  <c r="BF301" i="1"/>
  <c r="BE301" i="1"/>
  <c r="BF333" i="1"/>
  <c r="BE333" i="1"/>
  <c r="BF365" i="1"/>
  <c r="BE365" i="1"/>
  <c r="BF397" i="1"/>
  <c r="BE397" i="1"/>
  <c r="BF429" i="1"/>
  <c r="BE429" i="1"/>
  <c r="BF461" i="1"/>
  <c r="BE461" i="1"/>
  <c r="BF493" i="1"/>
  <c r="BE493" i="1"/>
  <c r="BF525" i="1"/>
  <c r="BE525" i="1"/>
  <c r="BF557" i="1"/>
  <c r="BE557" i="1"/>
  <c r="BF589" i="1"/>
  <c r="BE589" i="1"/>
  <c r="BF621" i="1"/>
  <c r="BE621" i="1"/>
  <c r="BF653" i="1"/>
  <c r="BE653" i="1"/>
  <c r="BF685" i="1"/>
  <c r="BE685" i="1"/>
  <c r="BF717" i="1"/>
  <c r="BE717" i="1"/>
  <c r="BF749" i="1"/>
  <c r="BE749" i="1"/>
  <c r="BF781" i="1"/>
  <c r="BE781" i="1"/>
  <c r="BF813" i="1"/>
  <c r="BE813" i="1"/>
  <c r="BF845" i="1"/>
  <c r="BE845" i="1"/>
  <c r="BF877" i="1"/>
  <c r="BE877" i="1"/>
  <c r="BF909" i="1"/>
  <c r="BE909" i="1"/>
  <c r="BF941" i="1"/>
  <c r="BE941" i="1"/>
  <c r="BF973" i="1"/>
  <c r="BE973" i="1"/>
  <c r="BF1005" i="1"/>
  <c r="BE1005" i="1"/>
  <c r="BF1037" i="1"/>
  <c r="BE1037" i="1"/>
  <c r="BF1069" i="1"/>
  <c r="BE1069" i="1"/>
  <c r="BF1101" i="1"/>
  <c r="BE1101" i="1"/>
  <c r="BF1133" i="1"/>
  <c r="BE1133" i="1"/>
  <c r="BF1165" i="1"/>
  <c r="BE1165" i="1"/>
  <c r="BF1197" i="1"/>
  <c r="BE1197" i="1"/>
  <c r="BF38" i="1"/>
  <c r="BE38" i="1"/>
  <c r="BF70" i="1"/>
  <c r="BE70" i="1"/>
  <c r="BF102" i="1"/>
  <c r="BE102" i="1"/>
  <c r="BF134" i="1"/>
  <c r="BE134" i="1"/>
  <c r="BF166" i="1"/>
  <c r="BE166" i="1"/>
  <c r="BF198" i="1"/>
  <c r="BE198" i="1"/>
  <c r="BF230" i="1"/>
  <c r="BE230" i="1"/>
  <c r="BF262" i="1"/>
  <c r="BE262" i="1"/>
  <c r="BF294" i="1"/>
  <c r="BE294" i="1"/>
  <c r="BF326" i="1"/>
  <c r="BE326" i="1"/>
  <c r="BF358" i="1"/>
  <c r="BE358" i="1"/>
  <c r="BF390" i="1"/>
  <c r="BE390" i="1"/>
  <c r="BF422" i="1"/>
  <c r="BE422" i="1"/>
  <c r="BF454" i="1"/>
  <c r="BE454" i="1"/>
  <c r="BF518" i="1"/>
  <c r="BE518" i="1"/>
  <c r="BF550" i="1"/>
  <c r="BE550" i="1"/>
  <c r="BF582" i="1"/>
  <c r="BE582" i="1"/>
  <c r="BF614" i="1"/>
  <c r="BE614" i="1"/>
  <c r="BF646" i="1"/>
  <c r="BE646" i="1"/>
  <c r="BF678" i="1"/>
  <c r="BE678" i="1"/>
  <c r="BF710" i="1"/>
  <c r="BE710" i="1"/>
  <c r="BF742" i="1"/>
  <c r="BE742" i="1"/>
  <c r="BF774" i="1"/>
  <c r="BE774" i="1"/>
  <c r="BF806" i="1"/>
  <c r="BE806" i="1"/>
  <c r="BF838" i="1"/>
  <c r="BE838" i="1"/>
  <c r="BF870" i="1"/>
  <c r="BE870" i="1"/>
  <c r="BF902" i="1"/>
  <c r="BE902" i="1"/>
  <c r="BF934" i="1"/>
  <c r="BE934" i="1"/>
  <c r="BF966" i="1"/>
  <c r="BE966" i="1"/>
  <c r="BF998" i="1"/>
  <c r="BE998" i="1"/>
  <c r="BF1030" i="1"/>
  <c r="BE1030" i="1"/>
  <c r="BF1062" i="1"/>
  <c r="BE1062" i="1"/>
  <c r="BF1094" i="1"/>
  <c r="BE1094" i="1"/>
  <c r="BF1126" i="1"/>
  <c r="BE1126" i="1"/>
  <c r="BF31" i="1"/>
  <c r="BE31" i="1"/>
  <c r="BF63" i="1"/>
  <c r="BE63" i="1"/>
  <c r="BF127" i="1"/>
  <c r="BE127" i="1"/>
  <c r="BF159" i="1"/>
  <c r="BE159" i="1"/>
  <c r="BF191" i="1"/>
  <c r="BE191" i="1"/>
  <c r="BF223" i="1"/>
  <c r="BE223" i="1"/>
  <c r="BF255" i="1"/>
  <c r="BE255" i="1"/>
  <c r="BF287" i="1"/>
  <c r="BE287" i="1"/>
  <c r="BF319" i="1"/>
  <c r="BE319" i="1"/>
  <c r="BF351" i="1"/>
  <c r="BE351" i="1"/>
  <c r="BF383" i="1"/>
  <c r="BE383" i="1"/>
  <c r="BF415" i="1"/>
  <c r="BE415" i="1"/>
  <c r="BF447" i="1"/>
  <c r="BE447" i="1"/>
  <c r="BF479" i="1"/>
  <c r="BE479" i="1"/>
  <c r="BF511" i="1"/>
  <c r="BE511" i="1"/>
  <c r="BF543" i="1"/>
  <c r="BE543" i="1"/>
  <c r="BF575" i="1"/>
  <c r="BE575" i="1"/>
  <c r="BF607" i="1"/>
  <c r="BE607" i="1"/>
  <c r="BF639" i="1"/>
  <c r="BE639" i="1"/>
  <c r="BF671" i="1"/>
  <c r="BE671" i="1"/>
  <c r="BF703" i="1"/>
  <c r="BE703" i="1"/>
  <c r="BF735" i="1"/>
  <c r="BE735" i="1"/>
  <c r="BF767" i="1"/>
  <c r="BE767" i="1"/>
  <c r="BF799" i="1"/>
  <c r="BE799" i="1"/>
  <c r="BF831" i="1"/>
  <c r="BE831" i="1"/>
  <c r="BF863" i="1"/>
  <c r="BE863" i="1"/>
  <c r="BF895" i="1"/>
  <c r="BE895" i="1"/>
  <c r="BF927" i="1"/>
  <c r="BE927" i="1"/>
  <c r="BF959" i="1"/>
  <c r="BE959" i="1"/>
  <c r="BF991" i="1"/>
  <c r="BE991" i="1"/>
  <c r="BF1023" i="1"/>
  <c r="BE1023" i="1"/>
  <c r="BF1055" i="1"/>
  <c r="BE1055" i="1"/>
  <c r="BF1087" i="1"/>
  <c r="BE1087" i="1"/>
  <c r="BF1119" i="1"/>
  <c r="BE1119" i="1"/>
  <c r="BF24" i="1"/>
  <c r="BE24" i="1"/>
  <c r="BF56" i="1"/>
  <c r="BE56" i="1"/>
  <c r="BF88" i="1"/>
  <c r="BE88" i="1"/>
  <c r="BF120" i="1"/>
  <c r="BE120" i="1"/>
  <c r="BF152" i="1"/>
  <c r="BE152" i="1"/>
  <c r="BF184" i="1"/>
  <c r="BE184" i="1"/>
  <c r="BF216" i="1"/>
  <c r="BE216" i="1"/>
  <c r="BF248" i="1"/>
  <c r="BE248" i="1"/>
  <c r="BF280" i="1"/>
  <c r="BE280" i="1"/>
  <c r="BF312" i="1"/>
  <c r="BE312" i="1"/>
  <c r="BF344" i="1"/>
  <c r="BE344" i="1"/>
  <c r="BF376" i="1"/>
  <c r="BE376" i="1"/>
  <c r="BF408" i="1"/>
  <c r="BE408" i="1"/>
  <c r="BF440" i="1"/>
  <c r="BE440" i="1"/>
  <c r="BF472" i="1"/>
  <c r="BE472" i="1"/>
  <c r="BF504" i="1"/>
  <c r="BE504" i="1"/>
  <c r="BF536" i="1"/>
  <c r="BE536" i="1"/>
  <c r="BF568" i="1"/>
  <c r="BE568" i="1"/>
  <c r="BF600" i="1"/>
  <c r="BE600" i="1"/>
  <c r="BF632" i="1"/>
  <c r="BE632" i="1"/>
  <c r="BF664" i="1"/>
  <c r="BE664" i="1"/>
  <c r="BF696" i="1"/>
  <c r="BE696" i="1"/>
  <c r="BF728" i="1"/>
  <c r="BE728" i="1"/>
  <c r="BF760" i="1"/>
  <c r="BE760" i="1"/>
  <c r="BF49" i="1"/>
  <c r="BE49" i="1"/>
  <c r="BF81" i="1"/>
  <c r="BE81" i="1"/>
  <c r="BF113" i="1"/>
  <c r="BE113" i="1"/>
  <c r="BF145" i="1"/>
  <c r="BE145" i="1"/>
  <c r="BF177" i="1"/>
  <c r="BE177" i="1"/>
  <c r="BF209" i="1"/>
  <c r="BE209" i="1"/>
  <c r="BF241" i="1"/>
  <c r="BE241" i="1"/>
  <c r="BF273" i="1"/>
  <c r="BE273" i="1"/>
  <c r="BF305" i="1"/>
  <c r="BE305" i="1"/>
  <c r="BF337" i="1"/>
  <c r="BE337" i="1"/>
  <c r="BF369" i="1"/>
  <c r="BE369" i="1"/>
  <c r="BF401" i="1"/>
  <c r="BE401" i="1"/>
  <c r="BF433" i="1"/>
  <c r="BE433" i="1"/>
  <c r="BF465" i="1"/>
  <c r="BE465" i="1"/>
  <c r="BF497" i="1"/>
  <c r="BE497" i="1"/>
  <c r="BF529" i="1"/>
  <c r="BE529" i="1"/>
  <c r="BF561" i="1"/>
  <c r="BE561" i="1"/>
  <c r="BF593" i="1"/>
  <c r="BE593" i="1"/>
  <c r="BF824" i="1"/>
  <c r="BE824" i="1"/>
  <c r="BF888" i="1"/>
  <c r="BE888" i="1"/>
  <c r="BF920" i="1"/>
  <c r="BE920" i="1"/>
  <c r="BF952" i="1"/>
  <c r="BE952" i="1"/>
  <c r="BF1072" i="1"/>
  <c r="BE1072" i="1"/>
  <c r="BF1192" i="1"/>
  <c r="BE1192" i="1"/>
  <c r="BF865" i="1"/>
  <c r="BE865" i="1"/>
  <c r="BF1033" i="1"/>
  <c r="BE1033" i="1"/>
  <c r="BF1217" i="1"/>
  <c r="BE1217" i="1"/>
  <c r="BF482" i="1"/>
  <c r="BE482" i="1"/>
  <c r="BF666" i="1"/>
  <c r="BE666" i="1"/>
  <c r="BF938" i="1"/>
  <c r="BE938" i="1"/>
  <c r="BF1130" i="1"/>
  <c r="BE1130" i="1"/>
  <c r="BF27" i="1"/>
  <c r="BE27" i="1"/>
  <c r="BF243" i="1"/>
  <c r="BE243" i="1"/>
  <c r="BF507" i="1"/>
  <c r="BE507" i="1"/>
  <c r="BF707" i="1"/>
  <c r="BE707" i="1"/>
  <c r="BF907" i="1"/>
  <c r="BE907" i="1"/>
  <c r="BF1123" i="1"/>
  <c r="BE1123" i="1"/>
  <c r="BF1180" i="1"/>
  <c r="BE1180" i="1"/>
  <c r="BF609" i="1"/>
  <c r="BE609" i="1"/>
  <c r="BF641" i="1"/>
  <c r="BE641" i="1"/>
  <c r="BF673" i="1"/>
  <c r="BE673" i="1"/>
  <c r="BF705" i="1"/>
  <c r="BE705" i="1"/>
  <c r="BF737" i="1"/>
  <c r="BE737" i="1"/>
  <c r="BF769" i="1"/>
  <c r="BE769" i="1"/>
  <c r="BF801" i="1"/>
  <c r="BE801" i="1"/>
  <c r="BF833" i="1"/>
  <c r="BE833" i="1"/>
  <c r="BF889" i="1"/>
  <c r="BE889" i="1"/>
  <c r="BF1025" i="1"/>
  <c r="BE1025" i="1"/>
  <c r="BF1193" i="1"/>
  <c r="BE1193" i="1"/>
  <c r="BF506" i="1"/>
  <c r="BE506" i="1"/>
  <c r="BF682" i="1"/>
  <c r="BE682" i="1"/>
  <c r="BF866" i="1"/>
  <c r="BE866" i="1"/>
  <c r="BF1042" i="1"/>
  <c r="BE1042" i="1"/>
  <c r="BF1234" i="1"/>
  <c r="BE1234" i="1"/>
  <c r="BF179" i="1"/>
  <c r="BE179" i="1"/>
  <c r="BF411" i="1"/>
  <c r="BE411" i="1"/>
  <c r="BF619" i="1"/>
  <c r="BE619" i="1"/>
  <c r="BF875" i="1"/>
  <c r="BE875" i="1"/>
  <c r="BF1179" i="1"/>
  <c r="BE1179" i="1"/>
  <c r="BE1204" i="1"/>
  <c r="BF1204" i="1"/>
  <c r="BF42" i="1"/>
  <c r="BE42" i="1"/>
  <c r="BF74" i="1"/>
  <c r="BE74" i="1"/>
  <c r="BF106" i="1"/>
  <c r="BE106" i="1"/>
  <c r="BF138" i="1"/>
  <c r="BE138" i="1"/>
  <c r="BF170" i="1"/>
  <c r="BE170" i="1"/>
  <c r="BF202" i="1"/>
  <c r="BE202" i="1"/>
  <c r="BF234" i="1"/>
  <c r="BE234" i="1"/>
  <c r="BF298" i="1"/>
  <c r="BE298" i="1"/>
  <c r="BF330" i="1"/>
  <c r="BE330" i="1"/>
  <c r="BF362" i="1"/>
  <c r="BE362" i="1"/>
  <c r="BF394" i="1"/>
  <c r="BE394" i="1"/>
  <c r="BF466" i="1"/>
  <c r="BE466" i="1"/>
  <c r="BF642" i="1"/>
  <c r="BE642" i="1"/>
  <c r="BF834" i="1"/>
  <c r="BE834" i="1"/>
  <c r="BF978" i="1"/>
  <c r="BE978" i="1"/>
  <c r="BF1178" i="1"/>
  <c r="BE1178" i="1"/>
  <c r="BF107" i="1"/>
  <c r="BE107" i="1"/>
  <c r="BF307" i="1"/>
  <c r="BE307" i="1"/>
  <c r="BF499" i="1"/>
  <c r="BE499" i="1"/>
  <c r="BF739" i="1"/>
  <c r="BE739" i="1"/>
  <c r="BF963" i="1"/>
  <c r="BE963" i="1"/>
  <c r="BF1171" i="1"/>
  <c r="BE1171" i="1"/>
  <c r="BF1220" i="1"/>
  <c r="BE1220" i="1"/>
  <c r="BF131" i="1"/>
  <c r="BE131" i="1"/>
  <c r="BF395" i="1"/>
  <c r="BE395" i="1"/>
  <c r="BF587" i="1"/>
  <c r="BE587" i="1"/>
  <c r="BF803" i="1"/>
  <c r="BE803" i="1"/>
  <c r="BF1003" i="1"/>
  <c r="BE1003" i="1"/>
  <c r="BF1307" i="1"/>
  <c r="BE1307" i="1"/>
  <c r="BF1124" i="1"/>
  <c r="BE1124" i="1"/>
  <c r="BF1253" i="1"/>
  <c r="BE1253" i="1"/>
  <c r="BF1285" i="1"/>
  <c r="BE1285" i="1"/>
  <c r="BF1270" i="1"/>
  <c r="BE1270" i="1"/>
  <c r="BF1295" i="1"/>
  <c r="BE1295" i="1"/>
  <c r="BF1056" i="1"/>
  <c r="BE1056" i="1"/>
  <c r="BF1176" i="1"/>
  <c r="BE1176" i="1"/>
  <c r="BF1272" i="1"/>
  <c r="BE1272" i="1"/>
  <c r="BF969" i="1"/>
  <c r="BE969" i="1"/>
  <c r="BF1121" i="1"/>
  <c r="BE1121" i="1"/>
  <c r="BF1265" i="1"/>
  <c r="BE1265" i="1"/>
  <c r="BF522" i="1"/>
  <c r="BE522" i="1"/>
  <c r="BE794" i="1"/>
  <c r="BF794" i="1"/>
  <c r="BF970" i="1"/>
  <c r="BE970" i="1"/>
  <c r="BF1154" i="1"/>
  <c r="BE1154" i="1"/>
  <c r="BF91" i="1"/>
  <c r="BE91" i="1"/>
  <c r="BF331" i="1"/>
  <c r="BE331" i="1"/>
  <c r="BF491" i="1"/>
  <c r="BE491" i="1"/>
  <c r="BF723" i="1"/>
  <c r="BE723" i="1"/>
  <c r="BF939" i="1"/>
  <c r="BE939" i="1"/>
  <c r="BF1147" i="1"/>
  <c r="BE1147" i="1"/>
  <c r="BF1140" i="1"/>
  <c r="BE1140" i="1"/>
  <c r="BF1158" i="1"/>
  <c r="BE1158" i="1"/>
  <c r="BF1190" i="1"/>
  <c r="BE1190" i="1"/>
  <c r="BF1222" i="1"/>
  <c r="BE1222" i="1"/>
  <c r="BF1254" i="1"/>
  <c r="BE1254" i="1"/>
  <c r="BF1310" i="1"/>
  <c r="BE1310" i="1"/>
  <c r="BF1000" i="1"/>
  <c r="BE1000" i="1"/>
  <c r="BF1128" i="1"/>
  <c r="BE1128" i="1"/>
  <c r="BF1312" i="1"/>
  <c r="BE1312" i="1"/>
  <c r="BF1017" i="1"/>
  <c r="BE1017" i="1"/>
  <c r="BF1169" i="1"/>
  <c r="BE1169" i="1"/>
  <c r="BF426" i="1"/>
  <c r="BE426" i="1"/>
  <c r="BF610" i="1"/>
  <c r="BE610" i="1"/>
  <c r="BF802" i="1"/>
  <c r="BE802" i="1"/>
  <c r="BF962" i="1"/>
  <c r="BE962" i="1"/>
  <c r="BF1146" i="1"/>
  <c r="BE1146" i="1"/>
  <c r="BF67" i="1"/>
  <c r="BE67" i="1"/>
  <c r="BF275" i="1"/>
  <c r="BE275" i="1"/>
  <c r="BF475" i="1"/>
  <c r="BE475" i="1"/>
  <c r="BF667" i="1"/>
  <c r="BE667" i="1"/>
  <c r="BF891" i="1"/>
  <c r="BE891" i="1"/>
  <c r="BF1099" i="1"/>
  <c r="BE1099" i="1"/>
  <c r="BF1148" i="1"/>
  <c r="BE1148" i="1"/>
  <c r="BF1151" i="1"/>
  <c r="BE1151" i="1"/>
  <c r="BF1183" i="1"/>
  <c r="BE1183" i="1"/>
  <c r="BF1215" i="1"/>
  <c r="BE1215" i="1"/>
  <c r="BF1247" i="1"/>
  <c r="BE1247" i="1"/>
  <c r="BF1303" i="1"/>
  <c r="BE1303" i="1"/>
  <c r="BF1080" i="1"/>
  <c r="BE1080" i="1"/>
  <c r="BF1208" i="1"/>
  <c r="BE1208" i="1"/>
  <c r="BF873" i="1"/>
  <c r="BE873" i="1"/>
  <c r="BF1041" i="1"/>
  <c r="BE1041" i="1"/>
  <c r="BF1201" i="1"/>
  <c r="BE1201" i="1"/>
  <c r="BF490" i="1"/>
  <c r="BE490" i="1"/>
  <c r="BF674" i="1"/>
  <c r="BE674" i="1"/>
  <c r="BE858" i="1"/>
  <c r="BF858" i="1"/>
  <c r="BE1114" i="1"/>
  <c r="BF1114" i="1"/>
  <c r="BF1306" i="1"/>
  <c r="BE1306" i="1"/>
  <c r="BF195" i="1"/>
  <c r="BE195" i="1"/>
  <c r="BF555" i="1"/>
  <c r="BE555" i="1"/>
  <c r="BF795" i="1"/>
  <c r="BE795" i="1"/>
  <c r="BF1019" i="1"/>
  <c r="BE1019" i="1"/>
  <c r="BF1211" i="1"/>
  <c r="BE1211" i="1"/>
  <c r="BF856" i="1"/>
  <c r="BE856" i="1"/>
  <c r="BF266" i="1"/>
  <c r="BE266" i="1"/>
  <c r="BF1221" i="1"/>
  <c r="BE1221" i="1"/>
  <c r="BF36" i="1"/>
  <c r="BE36" i="1"/>
  <c r="BF68" i="1"/>
  <c r="BE68" i="1"/>
  <c r="BF100" i="1"/>
  <c r="BE100" i="1"/>
  <c r="BF132" i="1"/>
  <c r="BE132" i="1"/>
  <c r="BF164" i="1"/>
  <c r="BE164" i="1"/>
  <c r="BF196" i="1"/>
  <c r="BE196" i="1"/>
  <c r="BF228" i="1"/>
  <c r="BE228" i="1"/>
  <c r="BF260" i="1"/>
  <c r="BE260" i="1"/>
  <c r="BF292" i="1"/>
  <c r="BE292" i="1"/>
  <c r="BF356" i="1"/>
  <c r="BE356" i="1"/>
  <c r="BF388" i="1"/>
  <c r="BE388" i="1"/>
  <c r="BF420" i="1"/>
  <c r="BE420" i="1"/>
  <c r="BF452" i="1"/>
  <c r="BE452" i="1"/>
  <c r="BF484" i="1"/>
  <c r="BE484" i="1"/>
  <c r="BF516" i="1"/>
  <c r="BE516" i="1"/>
  <c r="BF548" i="1"/>
  <c r="BE548" i="1"/>
  <c r="BF580" i="1"/>
  <c r="BE580" i="1"/>
  <c r="BF612" i="1"/>
  <c r="BE612" i="1"/>
  <c r="BF644" i="1"/>
  <c r="BE644" i="1"/>
  <c r="BF676" i="1"/>
  <c r="BE676" i="1"/>
  <c r="BF708" i="1"/>
  <c r="BE708" i="1"/>
  <c r="BF740" i="1"/>
  <c r="BE740" i="1"/>
  <c r="BF772" i="1"/>
  <c r="BE772" i="1"/>
  <c r="BF804" i="1"/>
  <c r="BE804" i="1"/>
  <c r="BF836" i="1"/>
  <c r="BE836" i="1"/>
  <c r="BF868" i="1"/>
  <c r="BE868" i="1"/>
  <c r="BF900" i="1"/>
  <c r="BE900" i="1"/>
  <c r="BF932" i="1"/>
  <c r="BE932" i="1"/>
  <c r="BF964" i="1"/>
  <c r="BE964" i="1"/>
  <c r="BF996" i="1"/>
  <c r="BE996" i="1"/>
  <c r="BF1028" i="1"/>
  <c r="BE1028" i="1"/>
  <c r="BF1060" i="1"/>
  <c r="BE1060" i="1"/>
  <c r="BF1092" i="1"/>
  <c r="BE1092" i="1"/>
  <c r="BF21" i="1"/>
  <c r="BE21" i="1"/>
  <c r="BF53" i="1"/>
  <c r="BE53" i="1"/>
  <c r="BF85" i="1"/>
  <c r="BE85" i="1"/>
  <c r="BF117" i="1"/>
  <c r="BE117" i="1"/>
  <c r="BF149" i="1"/>
  <c r="BE149" i="1"/>
  <c r="BF181" i="1"/>
  <c r="BE181" i="1"/>
  <c r="BF213" i="1"/>
  <c r="BE213" i="1"/>
  <c r="BF245" i="1"/>
  <c r="BE245" i="1"/>
  <c r="BF277" i="1"/>
  <c r="BE277" i="1"/>
  <c r="BF309" i="1"/>
  <c r="BE309" i="1"/>
  <c r="BF341" i="1"/>
  <c r="BE341" i="1"/>
  <c r="BF373" i="1"/>
  <c r="BE373" i="1"/>
  <c r="BF405" i="1"/>
  <c r="BE405" i="1"/>
  <c r="BF437" i="1"/>
  <c r="BE437" i="1"/>
  <c r="BF469" i="1"/>
  <c r="BE469" i="1"/>
  <c r="BF501" i="1"/>
  <c r="BE501" i="1"/>
  <c r="BF533" i="1"/>
  <c r="BE533" i="1"/>
  <c r="BF565" i="1"/>
  <c r="BE565" i="1"/>
  <c r="BF597" i="1"/>
  <c r="BE597" i="1"/>
  <c r="BF629" i="1"/>
  <c r="BE629" i="1"/>
  <c r="BF661" i="1"/>
  <c r="BE661" i="1"/>
  <c r="BF693" i="1"/>
  <c r="BE693" i="1"/>
  <c r="BF725" i="1"/>
  <c r="BE725" i="1"/>
  <c r="BF757" i="1"/>
  <c r="BE757" i="1"/>
  <c r="BF789" i="1"/>
  <c r="BE789" i="1"/>
  <c r="BF821" i="1"/>
  <c r="BE821" i="1"/>
  <c r="BF853" i="1"/>
  <c r="BE853" i="1"/>
  <c r="BF885" i="1"/>
  <c r="BE885" i="1"/>
  <c r="BF917" i="1"/>
  <c r="BE917" i="1"/>
  <c r="BF949" i="1"/>
  <c r="BE949" i="1"/>
  <c r="BF981" i="1"/>
  <c r="BE981" i="1"/>
  <c r="BF1013" i="1"/>
  <c r="BE1013" i="1"/>
  <c r="BF1045" i="1"/>
  <c r="BE1045" i="1"/>
  <c r="BF1077" i="1"/>
  <c r="BE1077" i="1"/>
  <c r="BF1109" i="1"/>
  <c r="BE1109" i="1"/>
  <c r="BF1141" i="1"/>
  <c r="BE1141" i="1"/>
  <c r="BF1173" i="1"/>
  <c r="BE1173" i="1"/>
  <c r="BF1205" i="1"/>
  <c r="BE1205" i="1"/>
  <c r="BF46" i="1"/>
  <c r="BE46" i="1"/>
  <c r="BF78" i="1"/>
  <c r="BE78" i="1"/>
  <c r="BF110" i="1"/>
  <c r="BE110" i="1"/>
  <c r="BF142" i="1"/>
  <c r="BE142" i="1"/>
  <c r="BF174" i="1"/>
  <c r="BE174" i="1"/>
  <c r="BF206" i="1"/>
  <c r="BE206" i="1"/>
  <c r="BF238" i="1"/>
  <c r="BE238" i="1"/>
  <c r="BF270" i="1"/>
  <c r="BE270" i="1"/>
  <c r="BF302" i="1"/>
  <c r="BE302" i="1"/>
  <c r="BF334" i="1"/>
  <c r="BE334" i="1"/>
  <c r="BF366" i="1"/>
  <c r="BE366" i="1"/>
  <c r="BF398" i="1"/>
  <c r="BE398" i="1"/>
  <c r="BF430" i="1"/>
  <c r="BE430" i="1"/>
  <c r="BF462" i="1"/>
  <c r="BE462" i="1"/>
  <c r="BF494" i="1"/>
  <c r="BE494" i="1"/>
  <c r="BF526" i="1"/>
  <c r="BE526" i="1"/>
  <c r="BF558" i="1"/>
  <c r="BE558" i="1"/>
  <c r="BF590" i="1"/>
  <c r="BE590" i="1"/>
  <c r="BF622" i="1"/>
  <c r="BE622" i="1"/>
  <c r="BF654" i="1"/>
  <c r="BE654" i="1"/>
  <c r="BF686" i="1"/>
  <c r="BE686" i="1"/>
  <c r="BF718" i="1"/>
  <c r="BE718" i="1"/>
  <c r="BF750" i="1"/>
  <c r="BE750" i="1"/>
  <c r="BF782" i="1"/>
  <c r="BE782" i="1"/>
  <c r="BF814" i="1"/>
  <c r="BE814" i="1"/>
  <c r="BF846" i="1"/>
  <c r="BE846" i="1"/>
  <c r="BF878" i="1"/>
  <c r="BE878" i="1"/>
  <c r="BF910" i="1"/>
  <c r="BE910" i="1"/>
  <c r="BF942" i="1"/>
  <c r="BE942" i="1"/>
  <c r="BF974" i="1"/>
  <c r="BE974" i="1"/>
  <c r="BF1006" i="1"/>
  <c r="BE1006" i="1"/>
  <c r="BF1038" i="1"/>
  <c r="BE1038" i="1"/>
  <c r="BF1070" i="1"/>
  <c r="BE1070" i="1"/>
  <c r="BF1102" i="1"/>
  <c r="BE1102" i="1"/>
  <c r="BF1134" i="1"/>
  <c r="BE1134" i="1"/>
  <c r="BF39" i="1"/>
  <c r="BE39" i="1"/>
  <c r="BF71" i="1"/>
  <c r="BE71" i="1"/>
  <c r="BF103" i="1"/>
  <c r="BE103" i="1"/>
  <c r="BF135" i="1"/>
  <c r="BE135" i="1"/>
  <c r="BF167" i="1"/>
  <c r="BE167" i="1"/>
  <c r="BF199" i="1"/>
  <c r="BE199" i="1"/>
  <c r="BF231" i="1"/>
  <c r="BE231" i="1"/>
  <c r="BF263" i="1"/>
  <c r="BE263" i="1"/>
  <c r="BF295" i="1"/>
  <c r="BE295" i="1"/>
  <c r="BF327" i="1"/>
  <c r="BE327" i="1"/>
  <c r="BF359" i="1"/>
  <c r="BE359" i="1"/>
  <c r="BF391" i="1"/>
  <c r="BE391" i="1"/>
  <c r="BF423" i="1"/>
  <c r="BE423" i="1"/>
  <c r="BF455" i="1"/>
  <c r="BE455" i="1"/>
  <c r="BF487" i="1"/>
  <c r="BE487" i="1"/>
  <c r="BF519" i="1"/>
  <c r="BE519" i="1"/>
  <c r="BF551" i="1"/>
  <c r="BE551" i="1"/>
  <c r="BF583" i="1"/>
  <c r="BE583" i="1"/>
  <c r="BF615" i="1"/>
  <c r="BE615" i="1"/>
  <c r="BF647" i="1"/>
  <c r="BE647" i="1"/>
  <c r="BF679" i="1"/>
  <c r="BE679" i="1"/>
  <c r="BF711" i="1"/>
  <c r="BE711" i="1"/>
  <c r="BF743" i="1"/>
  <c r="BE743" i="1"/>
  <c r="BF775" i="1"/>
  <c r="BE775" i="1"/>
  <c r="BF807" i="1"/>
  <c r="BE807" i="1"/>
  <c r="BF839" i="1"/>
  <c r="BE839" i="1"/>
  <c r="BF871" i="1"/>
  <c r="BE871" i="1"/>
  <c r="BF903" i="1"/>
  <c r="BE903" i="1"/>
  <c r="BF935" i="1"/>
  <c r="BE935" i="1"/>
  <c r="BF967" i="1"/>
  <c r="BE967" i="1"/>
  <c r="BF999" i="1"/>
  <c r="BE999" i="1"/>
  <c r="BF1031" i="1"/>
  <c r="BE1031" i="1"/>
  <c r="BF1063" i="1"/>
  <c r="BE1063" i="1"/>
  <c r="BF1095" i="1"/>
  <c r="BE1095" i="1"/>
  <c r="BF1127" i="1"/>
  <c r="BE1127" i="1"/>
  <c r="BF32" i="1"/>
  <c r="BE32" i="1"/>
  <c r="BF64" i="1"/>
  <c r="BE64" i="1"/>
  <c r="BF96" i="1"/>
  <c r="BE96" i="1"/>
  <c r="BF128" i="1"/>
  <c r="BE128" i="1"/>
  <c r="BF160" i="1"/>
  <c r="BE160" i="1"/>
  <c r="BF192" i="1"/>
  <c r="BE192" i="1"/>
  <c r="BF224" i="1"/>
  <c r="BE224" i="1"/>
  <c r="BF256" i="1"/>
  <c r="BE256" i="1"/>
  <c r="BF288" i="1"/>
  <c r="BE288" i="1"/>
  <c r="BF320" i="1"/>
  <c r="BE320" i="1"/>
  <c r="BF352" i="1"/>
  <c r="BE352" i="1"/>
  <c r="BF384" i="1"/>
  <c r="BE384" i="1"/>
  <c r="BF416" i="1"/>
  <c r="BE416" i="1"/>
  <c r="BF448" i="1"/>
  <c r="BE448" i="1"/>
  <c r="BF480" i="1"/>
  <c r="BE480" i="1"/>
  <c r="BF512" i="1"/>
  <c r="BE512" i="1"/>
  <c r="BF544" i="1"/>
  <c r="BE544" i="1"/>
  <c r="BF576" i="1"/>
  <c r="BE576" i="1"/>
  <c r="BF608" i="1"/>
  <c r="BE608" i="1"/>
  <c r="BF640" i="1"/>
  <c r="BE640" i="1"/>
  <c r="BF672" i="1"/>
  <c r="BE672" i="1"/>
  <c r="BF704" i="1"/>
  <c r="BE704" i="1"/>
  <c r="BF736" i="1"/>
  <c r="BE736" i="1"/>
  <c r="BF768" i="1"/>
  <c r="BE768" i="1"/>
  <c r="BF25" i="1"/>
  <c r="BE25" i="1"/>
  <c r="BF57" i="1"/>
  <c r="BE57" i="1"/>
  <c r="BF89" i="1"/>
  <c r="BE89" i="1"/>
  <c r="BF121" i="1"/>
  <c r="BE121" i="1"/>
  <c r="BF153" i="1"/>
  <c r="BE153" i="1"/>
  <c r="BF185" i="1"/>
  <c r="BE185" i="1"/>
  <c r="BF217" i="1"/>
  <c r="BE217" i="1"/>
  <c r="BF249" i="1"/>
  <c r="BE249" i="1"/>
  <c r="BF281" i="1"/>
  <c r="BE281" i="1"/>
  <c r="BF313" i="1"/>
  <c r="BE313" i="1"/>
  <c r="BF345" i="1"/>
  <c r="BE345" i="1"/>
  <c r="BF377" i="1"/>
  <c r="BE377" i="1"/>
  <c r="BF409" i="1"/>
  <c r="BE409" i="1"/>
  <c r="BF441" i="1"/>
  <c r="BE441" i="1"/>
  <c r="BF473" i="1"/>
  <c r="BE473" i="1"/>
  <c r="BF505" i="1"/>
  <c r="BE505" i="1"/>
  <c r="BF537" i="1"/>
  <c r="BE537" i="1"/>
  <c r="BF569" i="1"/>
  <c r="BE569" i="1"/>
  <c r="BF800" i="1"/>
  <c r="BE800" i="1"/>
  <c r="BF832" i="1"/>
  <c r="BE832" i="1"/>
  <c r="BF864" i="1"/>
  <c r="BE864" i="1"/>
  <c r="BF896" i="1"/>
  <c r="BE896" i="1"/>
  <c r="BF928" i="1"/>
  <c r="BE928" i="1"/>
  <c r="BF984" i="1"/>
  <c r="BE984" i="1"/>
  <c r="BF1112" i="1"/>
  <c r="BE1112" i="1"/>
  <c r="BF1224" i="1"/>
  <c r="BE1224" i="1"/>
  <c r="BF913" i="1"/>
  <c r="BE913" i="1"/>
  <c r="BF1065" i="1"/>
  <c r="BE1065" i="1"/>
  <c r="BF1249" i="1"/>
  <c r="BE1249" i="1"/>
  <c r="BF538" i="1"/>
  <c r="BE538" i="1"/>
  <c r="BF714" i="1"/>
  <c r="BE714" i="1"/>
  <c r="BE986" i="1"/>
  <c r="BF986" i="1"/>
  <c r="BF1170" i="1"/>
  <c r="BE1170" i="1"/>
  <c r="BF83" i="1"/>
  <c r="BE83" i="1"/>
  <c r="BF299" i="1"/>
  <c r="BE299" i="1"/>
  <c r="BF539" i="1"/>
  <c r="BE539" i="1"/>
  <c r="BF763" i="1"/>
  <c r="BE763" i="1"/>
  <c r="BF979" i="1"/>
  <c r="BE979" i="1"/>
  <c r="BE1187" i="1"/>
  <c r="BF1187" i="1"/>
  <c r="BF1236" i="1"/>
  <c r="BE1236" i="1"/>
  <c r="BF617" i="1"/>
  <c r="BE617" i="1"/>
  <c r="BF649" i="1"/>
  <c r="BE649" i="1"/>
  <c r="BF681" i="1"/>
  <c r="BE681" i="1"/>
  <c r="BF713" i="1"/>
  <c r="BE713" i="1"/>
  <c r="BF745" i="1"/>
  <c r="BE745" i="1"/>
  <c r="BF777" i="1"/>
  <c r="BE777" i="1"/>
  <c r="BF809" i="1"/>
  <c r="BE809" i="1"/>
  <c r="BF841" i="1"/>
  <c r="BE841" i="1"/>
  <c r="BF905" i="1"/>
  <c r="BE905" i="1"/>
  <c r="BF1073" i="1"/>
  <c r="BE1073" i="1"/>
  <c r="BF1241" i="1"/>
  <c r="BE1241" i="1"/>
  <c r="BF546" i="1"/>
  <c r="BE546" i="1"/>
  <c r="BE730" i="1"/>
  <c r="BF730" i="1"/>
  <c r="BF906" i="1"/>
  <c r="BE906" i="1"/>
  <c r="BF1090" i="1"/>
  <c r="BE1090" i="1"/>
  <c r="BF1274" i="1"/>
  <c r="BE1274" i="1"/>
  <c r="BF235" i="1"/>
  <c r="BE235" i="1"/>
  <c r="BF467" i="1"/>
  <c r="BE467" i="1"/>
  <c r="BF683" i="1"/>
  <c r="BE683" i="1"/>
  <c r="BF931" i="1"/>
  <c r="BE931" i="1"/>
  <c r="BF1235" i="1"/>
  <c r="BE1235" i="1"/>
  <c r="BF1268" i="1"/>
  <c r="BE1268" i="1"/>
  <c r="BF50" i="1"/>
  <c r="BE50" i="1"/>
  <c r="BF82" i="1"/>
  <c r="BE82" i="1"/>
  <c r="BF114" i="1"/>
  <c r="BE114" i="1"/>
  <c r="BF146" i="1"/>
  <c r="BE146" i="1"/>
  <c r="BF178" i="1"/>
  <c r="BE178" i="1"/>
  <c r="BF210" i="1"/>
  <c r="BE210" i="1"/>
  <c r="BF242" i="1"/>
  <c r="BE242" i="1"/>
  <c r="BF274" i="1"/>
  <c r="BE274" i="1"/>
  <c r="BF306" i="1"/>
  <c r="BE306" i="1"/>
  <c r="BF338" i="1"/>
  <c r="BE338" i="1"/>
  <c r="BF370" i="1"/>
  <c r="BE370" i="1"/>
  <c r="BF402" i="1"/>
  <c r="BE402" i="1"/>
  <c r="BF514" i="1"/>
  <c r="BE514" i="1"/>
  <c r="BF690" i="1"/>
  <c r="BE690" i="1"/>
  <c r="BF874" i="1"/>
  <c r="BE874" i="1"/>
  <c r="BF1026" i="1"/>
  <c r="BE1026" i="1"/>
  <c r="BF1226" i="1"/>
  <c r="BE1226" i="1"/>
  <c r="BF155" i="1"/>
  <c r="BE155" i="1"/>
  <c r="BF363" i="1"/>
  <c r="BE363" i="1"/>
  <c r="BF547" i="1"/>
  <c r="BE547" i="1"/>
  <c r="BF787" i="1"/>
  <c r="BE787" i="1"/>
  <c r="BF1011" i="1"/>
  <c r="BE1011" i="1"/>
  <c r="BF1219" i="1"/>
  <c r="BE1219" i="1"/>
  <c r="BF1276" i="1"/>
  <c r="BE1276" i="1"/>
  <c r="BF227" i="1"/>
  <c r="BE227" i="1"/>
  <c r="BF435" i="1"/>
  <c r="BE435" i="1"/>
  <c r="BF643" i="1"/>
  <c r="BE643" i="1"/>
  <c r="BF843" i="1"/>
  <c r="BE843" i="1"/>
  <c r="BF1067" i="1"/>
  <c r="BE1067" i="1"/>
  <c r="BF1156" i="1"/>
  <c r="BE1156" i="1"/>
  <c r="BF1212" i="1"/>
  <c r="BE1212" i="1"/>
  <c r="BF1229" i="1"/>
  <c r="BE1229" i="1"/>
  <c r="BF1261" i="1"/>
  <c r="BE1261" i="1"/>
  <c r="BF1293" i="1"/>
  <c r="BE1293" i="1"/>
  <c r="BF1286" i="1"/>
  <c r="BE1286" i="1"/>
  <c r="BF960" i="1"/>
  <c r="BE960" i="1"/>
  <c r="BF1088" i="1"/>
  <c r="BE1088" i="1"/>
  <c r="BF1200" i="1"/>
  <c r="BE1200" i="1"/>
  <c r="BF1304" i="1"/>
  <c r="BE1304" i="1"/>
  <c r="BF1009" i="1"/>
  <c r="BE1009" i="1"/>
  <c r="BF1145" i="1"/>
  <c r="BE1145" i="1"/>
  <c r="BF1305" i="1"/>
  <c r="BE1305" i="1"/>
  <c r="BF650" i="1"/>
  <c r="BE650" i="1"/>
  <c r="BF842" i="1"/>
  <c r="BE842" i="1"/>
  <c r="BF1002" i="1"/>
  <c r="BE1002" i="1"/>
  <c r="BF1202" i="1"/>
  <c r="BE1202" i="1"/>
  <c r="BF163" i="1"/>
  <c r="BE163" i="1"/>
  <c r="BF379" i="1"/>
  <c r="BE379" i="1"/>
  <c r="BF571" i="1"/>
  <c r="BE571" i="1"/>
  <c r="BF771" i="1"/>
  <c r="BE771" i="1"/>
  <c r="BE987" i="1"/>
  <c r="BF987" i="1"/>
  <c r="BF1195" i="1"/>
  <c r="BE1195" i="1"/>
  <c r="BF1196" i="1"/>
  <c r="BE1196" i="1"/>
  <c r="BF1166" i="1"/>
  <c r="BE1166" i="1"/>
  <c r="BF1198" i="1"/>
  <c r="BE1198" i="1"/>
  <c r="BF1230" i="1"/>
  <c r="BE1230" i="1"/>
  <c r="BF1262" i="1"/>
  <c r="BE1262" i="1"/>
  <c r="BF1287" i="1"/>
  <c r="BE1287" i="1"/>
  <c r="BF1032" i="1"/>
  <c r="BE1032" i="1"/>
  <c r="BF1168" i="1"/>
  <c r="BE1168" i="1"/>
  <c r="BF897" i="1"/>
  <c r="BE897" i="1"/>
  <c r="BF1057" i="1"/>
  <c r="BE1057" i="1"/>
  <c r="BF1209" i="1"/>
  <c r="BE1209" i="1"/>
  <c r="BF498" i="1"/>
  <c r="BE498" i="1"/>
  <c r="BF658" i="1"/>
  <c r="BE658" i="1"/>
  <c r="BF850" i="1"/>
  <c r="BE850" i="1"/>
  <c r="BF1010" i="1"/>
  <c r="BE1010" i="1"/>
  <c r="BF1194" i="1"/>
  <c r="BE1194" i="1"/>
  <c r="BF123" i="1"/>
  <c r="BE123" i="1"/>
  <c r="BF323" i="1"/>
  <c r="BE323" i="1"/>
  <c r="BF515" i="1"/>
  <c r="BE515" i="1"/>
  <c r="BF715" i="1"/>
  <c r="BE715" i="1"/>
  <c r="BF947" i="1"/>
  <c r="BE947" i="1"/>
  <c r="BF1155" i="1"/>
  <c r="BE1155" i="1"/>
  <c r="BF1188" i="1"/>
  <c r="BE1188" i="1"/>
  <c r="BF1159" i="1"/>
  <c r="BE1159" i="1"/>
  <c r="BF1191" i="1"/>
  <c r="BE1191" i="1"/>
  <c r="BF1223" i="1"/>
  <c r="BE1223" i="1"/>
  <c r="BF1255" i="1"/>
  <c r="BE1255" i="1"/>
  <c r="BF968" i="1"/>
  <c r="BE968" i="1"/>
  <c r="BF1104" i="1"/>
  <c r="BE1104" i="1"/>
  <c r="BF1232" i="1"/>
  <c r="BE1232" i="1"/>
  <c r="BF921" i="1"/>
  <c r="BE921" i="1"/>
  <c r="BF1081" i="1"/>
  <c r="BE1081" i="1"/>
  <c r="BF1233" i="1"/>
  <c r="BE1233" i="1"/>
  <c r="BF554" i="1"/>
  <c r="BE554" i="1"/>
  <c r="BF722" i="1"/>
  <c r="BE722" i="1"/>
  <c r="BF898" i="1"/>
  <c r="BE898" i="1"/>
  <c r="BF1162" i="1"/>
  <c r="BE1162" i="1"/>
  <c r="BF35" i="1"/>
  <c r="BE35" i="1"/>
  <c r="BF259" i="1"/>
  <c r="BE259" i="1"/>
  <c r="BF635" i="1"/>
  <c r="BE635" i="1"/>
  <c r="BE859" i="1"/>
  <c r="BF859" i="1"/>
  <c r="BF1059" i="1"/>
  <c r="BE1059" i="1"/>
  <c r="BF1259" i="1"/>
  <c r="BE1259" i="1"/>
  <c r="BF324" i="1"/>
  <c r="BE324" i="1"/>
  <c r="BF792" i="1"/>
  <c r="BE792" i="1"/>
  <c r="BF44" i="1"/>
  <c r="BE44" i="1"/>
  <c r="BF76" i="1"/>
  <c r="BE76" i="1"/>
  <c r="BF108" i="1"/>
  <c r="BE108" i="1"/>
  <c r="BF140" i="1"/>
  <c r="BE140" i="1"/>
  <c r="BF172" i="1"/>
  <c r="BE172" i="1"/>
  <c r="BF204" i="1"/>
  <c r="BE204" i="1"/>
  <c r="BF236" i="1"/>
  <c r="BE236" i="1"/>
  <c r="BF268" i="1"/>
  <c r="BE268" i="1"/>
  <c r="BF300" i="1"/>
  <c r="BE300" i="1"/>
  <c r="BF332" i="1"/>
  <c r="BE332" i="1"/>
  <c r="BF364" i="1"/>
  <c r="BE364" i="1"/>
  <c r="BF396" i="1"/>
  <c r="BE396" i="1"/>
  <c r="BF428" i="1"/>
  <c r="BE428" i="1"/>
  <c r="BF460" i="1"/>
  <c r="BE460" i="1"/>
  <c r="BF492" i="1"/>
  <c r="BE492" i="1"/>
  <c r="BF524" i="1"/>
  <c r="BE524" i="1"/>
  <c r="BF556" i="1"/>
  <c r="BE556" i="1"/>
  <c r="BF588" i="1"/>
  <c r="BE588" i="1"/>
  <c r="BF620" i="1"/>
  <c r="BE620" i="1"/>
  <c r="BF652" i="1"/>
  <c r="BE652" i="1"/>
  <c r="BF684" i="1"/>
  <c r="BE684" i="1"/>
  <c r="BF748" i="1"/>
  <c r="BE748" i="1"/>
  <c r="BF780" i="1"/>
  <c r="BE780" i="1"/>
  <c r="BF812" i="1"/>
  <c r="BE812" i="1"/>
  <c r="BF844" i="1"/>
  <c r="BE844" i="1"/>
  <c r="BF876" i="1"/>
  <c r="BE876" i="1"/>
  <c r="BF908" i="1"/>
  <c r="BE908" i="1"/>
  <c r="BF940" i="1"/>
  <c r="BE940" i="1"/>
  <c r="BF972" i="1"/>
  <c r="BE972" i="1"/>
  <c r="BF1004" i="1"/>
  <c r="BE1004" i="1"/>
  <c r="BF1036" i="1"/>
  <c r="BE1036" i="1"/>
  <c r="BF1068" i="1"/>
  <c r="BE1068" i="1"/>
  <c r="BF1100" i="1"/>
  <c r="BE1100" i="1"/>
  <c r="BF29" i="1"/>
  <c r="BE29" i="1"/>
  <c r="BF61" i="1"/>
  <c r="BE61" i="1"/>
  <c r="BF93" i="1"/>
  <c r="BE93" i="1"/>
  <c r="BF125" i="1"/>
  <c r="BE125" i="1"/>
  <c r="BF157" i="1"/>
  <c r="BE157" i="1"/>
  <c r="BF189" i="1"/>
  <c r="BE189" i="1"/>
  <c r="BF221" i="1"/>
  <c r="BE221" i="1"/>
  <c r="BF253" i="1"/>
  <c r="BE253" i="1"/>
  <c r="BF285" i="1"/>
  <c r="BE285" i="1"/>
  <c r="BF317" i="1"/>
  <c r="BE317" i="1"/>
  <c r="BF349" i="1"/>
  <c r="BE349" i="1"/>
  <c r="BF381" i="1"/>
  <c r="BE381" i="1"/>
  <c r="BF413" i="1"/>
  <c r="BE413" i="1"/>
  <c r="BF445" i="1"/>
  <c r="BE445" i="1"/>
  <c r="BF477" i="1"/>
  <c r="BE477" i="1"/>
  <c r="BF509" i="1"/>
  <c r="BE509" i="1"/>
  <c r="BF541" i="1"/>
  <c r="BE541" i="1"/>
  <c r="BF573" i="1"/>
  <c r="BE573" i="1"/>
  <c r="BF605" i="1"/>
  <c r="BE605" i="1"/>
  <c r="BF637" i="1"/>
  <c r="BE637" i="1"/>
  <c r="BF669" i="1"/>
  <c r="BE669" i="1"/>
  <c r="BF701" i="1"/>
  <c r="BE701" i="1"/>
  <c r="BF733" i="1"/>
  <c r="BE733" i="1"/>
  <c r="BF765" i="1"/>
  <c r="BE765" i="1"/>
  <c r="BF829" i="1"/>
  <c r="BE829" i="1"/>
  <c r="BF861" i="1"/>
  <c r="BE861" i="1"/>
  <c r="BF893" i="1"/>
  <c r="BE893" i="1"/>
  <c r="BF925" i="1"/>
  <c r="BE925" i="1"/>
  <c r="BF957" i="1"/>
  <c r="BE957" i="1"/>
  <c r="BF989" i="1"/>
  <c r="BE989" i="1"/>
  <c r="BF1021" i="1"/>
  <c r="BE1021" i="1"/>
  <c r="BF1053" i="1"/>
  <c r="BE1053" i="1"/>
  <c r="BF1085" i="1"/>
  <c r="BE1085" i="1"/>
  <c r="BF1117" i="1"/>
  <c r="BE1117" i="1"/>
  <c r="BF1149" i="1"/>
  <c r="BE1149" i="1"/>
  <c r="BF1181" i="1"/>
  <c r="BE1181" i="1"/>
  <c r="BF22" i="1"/>
  <c r="BE22" i="1"/>
  <c r="BF54" i="1"/>
  <c r="BE54" i="1"/>
  <c r="BF86" i="1"/>
  <c r="BE86" i="1"/>
  <c r="BF118" i="1"/>
  <c r="BE118" i="1"/>
  <c r="BF150" i="1"/>
  <c r="BE150" i="1"/>
  <c r="BF182" i="1"/>
  <c r="BE182" i="1"/>
  <c r="BF214" i="1"/>
  <c r="BE214" i="1"/>
  <c r="BF246" i="1"/>
  <c r="BE246" i="1"/>
  <c r="BF278" i="1"/>
  <c r="BE278" i="1"/>
  <c r="BF310" i="1"/>
  <c r="BE310" i="1"/>
  <c r="BF342" i="1"/>
  <c r="BE342" i="1"/>
  <c r="BF374" i="1"/>
  <c r="BE374" i="1"/>
  <c r="BF406" i="1"/>
  <c r="BE406" i="1"/>
  <c r="BF438" i="1"/>
  <c r="BE438" i="1"/>
  <c r="BF470" i="1"/>
  <c r="BE470" i="1"/>
  <c r="BF502" i="1"/>
  <c r="BE502" i="1"/>
  <c r="BF534" i="1"/>
  <c r="BE534" i="1"/>
  <c r="BF566" i="1"/>
  <c r="BE566" i="1"/>
  <c r="BF598" i="1"/>
  <c r="BE598" i="1"/>
  <c r="BE630" i="1"/>
  <c r="BF630" i="1"/>
  <c r="BE662" i="1"/>
  <c r="BF662" i="1"/>
  <c r="BE694" i="1"/>
  <c r="BF694" i="1"/>
  <c r="BF726" i="1"/>
  <c r="BE726" i="1"/>
  <c r="BF758" i="1"/>
  <c r="BE758" i="1"/>
  <c r="BF790" i="1"/>
  <c r="BE790" i="1"/>
  <c r="BF822" i="1"/>
  <c r="BE822" i="1"/>
  <c r="BF854" i="1"/>
  <c r="BE854" i="1"/>
  <c r="BF886" i="1"/>
  <c r="BE886" i="1"/>
  <c r="BF918" i="1"/>
  <c r="BE918" i="1"/>
  <c r="BF950" i="1"/>
  <c r="BE950" i="1"/>
  <c r="BF982" i="1"/>
  <c r="BE982" i="1"/>
  <c r="BF1046" i="1"/>
  <c r="BE1046" i="1"/>
  <c r="BF1078" i="1"/>
  <c r="BE1078" i="1"/>
  <c r="BF1110" i="1"/>
  <c r="BE1110" i="1"/>
  <c r="BF1142" i="1"/>
  <c r="BE1142" i="1"/>
  <c r="BF47" i="1"/>
  <c r="BE47" i="1"/>
  <c r="BF79" i="1"/>
  <c r="BE79" i="1"/>
  <c r="BF111" i="1"/>
  <c r="BE111" i="1"/>
  <c r="BF143" i="1"/>
  <c r="BE143" i="1"/>
  <c r="BF175" i="1"/>
  <c r="BE175" i="1"/>
  <c r="BF207" i="1"/>
  <c r="BE207" i="1"/>
  <c r="BF239" i="1"/>
  <c r="BE239" i="1"/>
  <c r="BF271" i="1"/>
  <c r="BE271" i="1"/>
  <c r="BF303" i="1"/>
  <c r="BE303" i="1"/>
  <c r="BF335" i="1"/>
  <c r="BE335" i="1"/>
  <c r="BF367" i="1"/>
  <c r="BE367" i="1"/>
  <c r="BF399" i="1"/>
  <c r="BE399" i="1"/>
  <c r="BF431" i="1"/>
  <c r="BE431" i="1"/>
  <c r="BF463" i="1"/>
  <c r="BE463" i="1"/>
  <c r="BF495" i="1"/>
  <c r="BE495" i="1"/>
  <c r="BF527" i="1"/>
  <c r="BE527" i="1"/>
  <c r="BF559" i="1"/>
  <c r="BE559" i="1"/>
  <c r="BF591" i="1"/>
  <c r="BE591" i="1"/>
  <c r="BF623" i="1"/>
  <c r="BE623" i="1"/>
  <c r="BF655" i="1"/>
  <c r="BE655" i="1"/>
  <c r="BF687" i="1"/>
  <c r="BE687" i="1"/>
  <c r="BF719" i="1"/>
  <c r="BE719" i="1"/>
  <c r="BF751" i="1"/>
  <c r="BE751" i="1"/>
  <c r="BF783" i="1"/>
  <c r="BE783" i="1"/>
  <c r="BF815" i="1"/>
  <c r="BE815" i="1"/>
  <c r="BF847" i="1"/>
  <c r="BE847" i="1"/>
  <c r="BF879" i="1"/>
  <c r="BE879" i="1"/>
  <c r="BF911" i="1"/>
  <c r="BE911" i="1"/>
  <c r="BF943" i="1"/>
  <c r="BE943" i="1"/>
  <c r="BF975" i="1"/>
  <c r="BE975" i="1"/>
  <c r="BF1007" i="1"/>
  <c r="BE1007" i="1"/>
  <c r="BF1039" i="1"/>
  <c r="BE1039" i="1"/>
  <c r="BF1071" i="1"/>
  <c r="BE1071" i="1"/>
  <c r="BF1103" i="1"/>
  <c r="BE1103" i="1"/>
  <c r="BF1135" i="1"/>
  <c r="BE1135" i="1"/>
  <c r="BF40" i="1"/>
  <c r="BE40" i="1"/>
  <c r="BF72" i="1"/>
  <c r="BE72" i="1"/>
  <c r="BF104" i="1"/>
  <c r="BE104" i="1"/>
  <c r="BF136" i="1"/>
  <c r="BE136" i="1"/>
  <c r="BF168" i="1"/>
  <c r="BE168" i="1"/>
  <c r="BF200" i="1"/>
  <c r="BE200" i="1"/>
  <c r="BF232" i="1"/>
  <c r="BE232" i="1"/>
  <c r="BF264" i="1"/>
  <c r="BE264" i="1"/>
  <c r="BF296" i="1"/>
  <c r="BE296" i="1"/>
  <c r="BF328" i="1"/>
  <c r="BE328" i="1"/>
  <c r="BF360" i="1"/>
  <c r="BE360" i="1"/>
  <c r="BF392" i="1"/>
  <c r="BE392" i="1"/>
  <c r="BF424" i="1"/>
  <c r="BE424" i="1"/>
  <c r="BF456" i="1"/>
  <c r="BE456" i="1"/>
  <c r="BF488" i="1"/>
  <c r="BE488" i="1"/>
  <c r="BF520" i="1"/>
  <c r="BE520" i="1"/>
  <c r="BF552" i="1"/>
  <c r="BE552" i="1"/>
  <c r="BF584" i="1"/>
  <c r="BE584" i="1"/>
  <c r="BF616" i="1"/>
  <c r="BE616" i="1"/>
  <c r="BF648" i="1"/>
  <c r="BE648" i="1"/>
  <c r="BF680" i="1"/>
  <c r="BE680" i="1"/>
  <c r="BF712" i="1"/>
  <c r="BE712" i="1"/>
  <c r="BF744" i="1"/>
  <c r="BE744" i="1"/>
  <c r="BF776" i="1"/>
  <c r="BE776" i="1"/>
  <c r="BF33" i="1"/>
  <c r="BE33" i="1"/>
  <c r="BF65" i="1"/>
  <c r="BE65" i="1"/>
  <c r="BF97" i="1"/>
  <c r="BE97" i="1"/>
  <c r="BF129" i="1"/>
  <c r="BE129" i="1"/>
  <c r="BF161" i="1"/>
  <c r="BE161" i="1"/>
  <c r="BF193" i="1"/>
  <c r="BE193" i="1"/>
  <c r="BF225" i="1"/>
  <c r="BE225" i="1"/>
  <c r="BF257" i="1"/>
  <c r="BE257" i="1"/>
  <c r="BF289" i="1"/>
  <c r="BE289" i="1"/>
  <c r="BF321" i="1"/>
  <c r="BE321" i="1"/>
  <c r="BF353" i="1"/>
  <c r="BE353" i="1"/>
  <c r="BF385" i="1"/>
  <c r="BE385" i="1"/>
  <c r="BF417" i="1"/>
  <c r="BE417" i="1"/>
  <c r="BF449" i="1"/>
  <c r="BE449" i="1"/>
  <c r="BF481" i="1"/>
  <c r="BE481" i="1"/>
  <c r="BF513" i="1"/>
  <c r="BE513" i="1"/>
  <c r="BF545" i="1"/>
  <c r="BE545" i="1"/>
  <c r="BF577" i="1"/>
  <c r="BE577" i="1"/>
  <c r="BF808" i="1"/>
  <c r="BE808" i="1"/>
  <c r="BF840" i="1"/>
  <c r="BE840" i="1"/>
  <c r="BF872" i="1"/>
  <c r="BE872" i="1"/>
  <c r="BF904" i="1"/>
  <c r="BE904" i="1"/>
  <c r="BF936" i="1"/>
  <c r="BE936" i="1"/>
  <c r="BF1008" i="1"/>
  <c r="BE1008" i="1"/>
  <c r="BF1136" i="1"/>
  <c r="BE1136" i="1"/>
  <c r="BF1256" i="1"/>
  <c r="BE1256" i="1"/>
  <c r="BF953" i="1"/>
  <c r="BE953" i="1"/>
  <c r="BF1137" i="1"/>
  <c r="BE1137" i="1"/>
  <c r="BF1281" i="1"/>
  <c r="BE1281" i="1"/>
  <c r="BF578" i="1"/>
  <c r="BE578" i="1"/>
  <c r="BE762" i="1"/>
  <c r="BF762" i="1"/>
  <c r="BF1034" i="1"/>
  <c r="BE1034" i="1"/>
  <c r="BF1218" i="1"/>
  <c r="BE1218" i="1"/>
  <c r="BF139" i="1"/>
  <c r="BE139" i="1"/>
  <c r="BF355" i="1"/>
  <c r="BE355" i="1"/>
  <c r="BF595" i="1"/>
  <c r="BE595" i="1"/>
  <c r="BF819" i="1"/>
  <c r="BE819" i="1"/>
  <c r="BF1027" i="1"/>
  <c r="BE1027" i="1"/>
  <c r="BF1227" i="1"/>
  <c r="BE1227" i="1"/>
  <c r="BF1292" i="1"/>
  <c r="BE1292" i="1"/>
  <c r="BF625" i="1"/>
  <c r="BE625" i="1"/>
  <c r="BF657" i="1"/>
  <c r="BE657" i="1"/>
  <c r="BF689" i="1"/>
  <c r="BE689" i="1"/>
  <c r="BF721" i="1"/>
  <c r="BE721" i="1"/>
  <c r="BF753" i="1"/>
  <c r="BE753" i="1"/>
  <c r="BF785" i="1"/>
  <c r="BE785" i="1"/>
  <c r="BF817" i="1"/>
  <c r="BE817" i="1"/>
  <c r="BF849" i="1"/>
  <c r="BE849" i="1"/>
  <c r="BF945" i="1"/>
  <c r="BE945" i="1"/>
  <c r="BF1113" i="1"/>
  <c r="BE1113" i="1"/>
  <c r="BF1297" i="1"/>
  <c r="BE1297" i="1"/>
  <c r="BF586" i="1"/>
  <c r="BE586" i="1"/>
  <c r="BF778" i="1"/>
  <c r="BE778" i="1"/>
  <c r="BE954" i="1"/>
  <c r="BF954" i="1"/>
  <c r="BF1138" i="1"/>
  <c r="BE1138" i="1"/>
  <c r="BF59" i="1"/>
  <c r="BE59" i="1"/>
  <c r="BF291" i="1"/>
  <c r="BE291" i="1"/>
  <c r="BE523" i="1"/>
  <c r="BF523" i="1"/>
  <c r="BF747" i="1"/>
  <c r="BE747" i="1"/>
  <c r="BF1051" i="1"/>
  <c r="BE1051" i="1"/>
  <c r="BF1291" i="1"/>
  <c r="BE1291" i="1"/>
  <c r="BF26" i="1"/>
  <c r="BE26" i="1"/>
  <c r="BF58" i="1"/>
  <c r="BE58" i="1"/>
  <c r="BF90" i="1"/>
  <c r="BE90" i="1"/>
  <c r="BF122" i="1"/>
  <c r="BE122" i="1"/>
  <c r="BF186" i="1"/>
  <c r="BE186" i="1"/>
  <c r="BF250" i="1"/>
  <c r="BE250" i="1"/>
  <c r="BF282" i="1"/>
  <c r="BE282" i="1"/>
  <c r="BF314" i="1"/>
  <c r="BE314" i="1"/>
  <c r="BF346" i="1"/>
  <c r="BE346" i="1"/>
  <c r="BF378" i="1"/>
  <c r="BE378" i="1"/>
  <c r="BF410" i="1"/>
  <c r="BE410" i="1"/>
  <c r="BF562" i="1"/>
  <c r="BE562" i="1"/>
  <c r="BF738" i="1"/>
  <c r="BE738" i="1"/>
  <c r="BF914" i="1"/>
  <c r="BE914" i="1"/>
  <c r="BF1074" i="1"/>
  <c r="BE1074" i="1"/>
  <c r="BF1282" i="1"/>
  <c r="BE1282" i="1"/>
  <c r="BF203" i="1"/>
  <c r="BE203" i="1"/>
  <c r="BF403" i="1"/>
  <c r="BE403" i="1"/>
  <c r="BF627" i="1"/>
  <c r="BE627" i="1"/>
  <c r="BF851" i="1"/>
  <c r="BE851" i="1"/>
  <c r="BF1083" i="1"/>
  <c r="BE1083" i="1"/>
  <c r="BF1275" i="1"/>
  <c r="BE1275" i="1"/>
  <c r="BF43" i="1"/>
  <c r="BE43" i="1"/>
  <c r="BF283" i="1"/>
  <c r="BE283" i="1"/>
  <c r="BF483" i="1"/>
  <c r="BE483" i="1"/>
  <c r="BF699" i="1"/>
  <c r="BE699" i="1"/>
  <c r="BF899" i="1"/>
  <c r="BE899" i="1"/>
  <c r="BF1131" i="1"/>
  <c r="BE1131" i="1"/>
  <c r="BF1228" i="1"/>
  <c r="BE1228" i="1"/>
  <c r="BF1260" i="1"/>
  <c r="BE1260" i="1"/>
  <c r="BF1237" i="1"/>
  <c r="BE1237" i="1"/>
  <c r="BF1269" i="1"/>
  <c r="BE1269" i="1"/>
  <c r="BF1301" i="1"/>
  <c r="BE1301" i="1"/>
  <c r="BF1302" i="1"/>
  <c r="BE1302" i="1"/>
  <c r="BF992" i="1"/>
  <c r="BE992" i="1"/>
  <c r="BF1120" i="1"/>
  <c r="BE1120" i="1"/>
  <c r="BF1216" i="1"/>
  <c r="BE1216" i="1"/>
  <c r="BF881" i="1"/>
  <c r="BE881" i="1"/>
  <c r="BF1049" i="1"/>
  <c r="BE1049" i="1"/>
  <c r="BF1185" i="1"/>
  <c r="BE1185" i="1"/>
  <c r="BF450" i="1"/>
  <c r="BE450" i="1"/>
  <c r="BF706" i="1"/>
  <c r="BE706" i="1"/>
  <c r="BF882" i="1"/>
  <c r="BE882" i="1"/>
  <c r="BF1058" i="1"/>
  <c r="BE1058" i="1"/>
  <c r="BE1250" i="1"/>
  <c r="BF1250" i="1"/>
  <c r="BF211" i="1"/>
  <c r="BE211" i="1"/>
  <c r="BF419" i="1"/>
  <c r="BE419" i="1"/>
  <c r="BF603" i="1"/>
  <c r="BE603" i="1"/>
  <c r="BF835" i="1"/>
  <c r="BE835" i="1"/>
  <c r="BF1035" i="1"/>
  <c r="BE1035" i="1"/>
  <c r="BF1243" i="1"/>
  <c r="BE1243" i="1"/>
  <c r="BF1252" i="1"/>
  <c r="BE1252" i="1"/>
  <c r="BF1174" i="1"/>
  <c r="BE1174" i="1"/>
  <c r="BF1206" i="1"/>
  <c r="BE1206" i="1"/>
  <c r="BF1238" i="1"/>
  <c r="BE1238" i="1"/>
  <c r="BF1278" i="1"/>
  <c r="BE1278" i="1"/>
  <c r="BF1311" i="1"/>
  <c r="BE1311" i="1"/>
  <c r="BF1248" i="1"/>
  <c r="BE1248" i="1"/>
  <c r="BF937" i="1"/>
  <c r="BE937" i="1"/>
  <c r="BF1097" i="1"/>
  <c r="BE1097" i="1"/>
  <c r="BF1257" i="1"/>
  <c r="BE1257" i="1"/>
  <c r="BF530" i="1"/>
  <c r="BE530" i="1"/>
  <c r="BF698" i="1"/>
  <c r="BE698" i="1"/>
  <c r="BF890" i="1"/>
  <c r="BE890" i="1"/>
  <c r="BF1050" i="1"/>
  <c r="BE1050" i="1"/>
  <c r="BF1242" i="1"/>
  <c r="BE1242" i="1"/>
  <c r="BF171" i="1"/>
  <c r="BE171" i="1"/>
  <c r="BF387" i="1"/>
  <c r="BE387" i="1"/>
  <c r="BF563" i="1"/>
  <c r="BE563" i="1"/>
  <c r="BF779" i="1"/>
  <c r="BE779" i="1"/>
  <c r="BF995" i="1"/>
  <c r="BE995" i="1"/>
  <c r="BF1203" i="1"/>
  <c r="BE1203" i="1"/>
  <c r="BF1244" i="1"/>
  <c r="BE1244" i="1"/>
  <c r="BF1167" i="1"/>
  <c r="BE1167" i="1"/>
  <c r="BF1199" i="1"/>
  <c r="BE1199" i="1"/>
  <c r="BF1231" i="1"/>
  <c r="BE1231" i="1"/>
  <c r="BF1263" i="1"/>
  <c r="BE1263" i="1"/>
  <c r="BF1016" i="1"/>
  <c r="BE1016" i="1"/>
  <c r="BF1152" i="1"/>
  <c r="BE1152" i="1"/>
  <c r="BF1264" i="1"/>
  <c r="BE1264" i="1"/>
  <c r="BF961" i="1"/>
  <c r="BE961" i="1"/>
  <c r="BF1105" i="1"/>
  <c r="BE1105" i="1"/>
  <c r="BF1273" i="1"/>
  <c r="BE1273" i="1"/>
  <c r="BF594" i="1"/>
  <c r="BE594" i="1"/>
  <c r="BF770" i="1"/>
  <c r="BE770" i="1"/>
  <c r="BF1018" i="1"/>
  <c r="BE1018" i="1"/>
  <c r="BE1210" i="1"/>
  <c r="BF1210" i="1"/>
  <c r="BF99" i="1"/>
  <c r="BE99" i="1"/>
  <c r="BF315" i="1"/>
  <c r="BE315" i="1"/>
  <c r="BF675" i="1"/>
  <c r="BE675" i="1"/>
  <c r="BF923" i="1"/>
  <c r="BE923" i="1"/>
  <c r="BE1115" i="1"/>
  <c r="BF1115" i="1"/>
  <c r="BF1164" i="1"/>
  <c r="BE1164" i="1"/>
  <c r="BF95" i="1"/>
  <c r="BE95" i="1"/>
  <c r="BF1014" i="1"/>
  <c r="BE1014" i="1"/>
  <c r="BF154" i="1"/>
  <c r="BE154" i="1"/>
  <c r="BF218" i="1"/>
  <c r="BE218" i="1"/>
  <c r="BF1064" i="1"/>
  <c r="BE1064" i="1"/>
  <c r="BF486" i="1"/>
  <c r="BE486" i="1"/>
  <c r="BF716" i="1"/>
  <c r="BE716" i="1"/>
  <c r="BF797" i="1"/>
  <c r="BE797" i="1"/>
  <c r="BF20" i="1"/>
  <c r="BE20" i="1"/>
  <c r="BF52" i="1"/>
  <c r="BE52" i="1"/>
  <c r="BF84" i="1"/>
  <c r="BE84" i="1"/>
  <c r="BF116" i="1"/>
  <c r="BE116" i="1"/>
  <c r="BF148" i="1"/>
  <c r="BE148" i="1"/>
  <c r="BF180" i="1"/>
  <c r="BE180" i="1"/>
  <c r="BF212" i="1"/>
  <c r="BE212" i="1"/>
  <c r="BF244" i="1"/>
  <c r="BE244" i="1"/>
  <c r="BF276" i="1"/>
  <c r="BE276" i="1"/>
  <c r="BF308" i="1"/>
  <c r="BE308" i="1"/>
  <c r="BF340" i="1"/>
  <c r="BE340" i="1"/>
  <c r="BF372" i="1"/>
  <c r="BE372" i="1"/>
  <c r="BF404" i="1"/>
  <c r="BE404" i="1"/>
  <c r="BF436" i="1"/>
  <c r="BE436" i="1"/>
  <c r="BF468" i="1"/>
  <c r="BE468" i="1"/>
  <c r="BF500" i="1"/>
  <c r="BE500" i="1"/>
  <c r="BF532" i="1"/>
  <c r="BE532" i="1"/>
  <c r="BF564" i="1"/>
  <c r="BE564" i="1"/>
  <c r="BF596" i="1"/>
  <c r="BE596" i="1"/>
  <c r="BF628" i="1"/>
  <c r="BE628" i="1"/>
  <c r="BF660" i="1"/>
  <c r="BE660" i="1"/>
  <c r="BF692" i="1"/>
  <c r="BE692" i="1"/>
  <c r="BF724" i="1"/>
  <c r="BE724" i="1"/>
  <c r="BF756" i="1"/>
  <c r="BE756" i="1"/>
  <c r="BF788" i="1"/>
  <c r="BE788" i="1"/>
  <c r="BF820" i="1"/>
  <c r="BE820" i="1"/>
  <c r="BF852" i="1"/>
  <c r="BE852" i="1"/>
  <c r="BF884" i="1"/>
  <c r="BE884" i="1"/>
  <c r="BF916" i="1"/>
  <c r="BE916" i="1"/>
  <c r="BF948" i="1"/>
  <c r="BE948" i="1"/>
  <c r="BF980" i="1"/>
  <c r="BE980" i="1"/>
  <c r="BF1012" i="1"/>
  <c r="BE1012" i="1"/>
  <c r="BF1044" i="1"/>
  <c r="BE1044" i="1"/>
  <c r="BF1076" i="1"/>
  <c r="BE1076" i="1"/>
  <c r="BF1108" i="1"/>
  <c r="BE1108" i="1"/>
  <c r="BF37" i="1"/>
  <c r="BE37" i="1"/>
  <c r="BF69" i="1"/>
  <c r="BE69" i="1"/>
  <c r="BF101" i="1"/>
  <c r="BE101" i="1"/>
  <c r="BF133" i="1"/>
  <c r="BE133" i="1"/>
  <c r="BF165" i="1"/>
  <c r="BE165" i="1"/>
  <c r="BF197" i="1"/>
  <c r="BE197" i="1"/>
  <c r="BF229" i="1"/>
  <c r="BE229" i="1"/>
  <c r="BF261" i="1"/>
  <c r="BE261" i="1"/>
  <c r="BF293" i="1"/>
  <c r="BE293" i="1"/>
  <c r="BF325" i="1"/>
  <c r="BE325" i="1"/>
  <c r="BF357" i="1"/>
  <c r="BE357" i="1"/>
  <c r="BF389" i="1"/>
  <c r="BE389" i="1"/>
  <c r="BF421" i="1"/>
  <c r="BE421" i="1"/>
  <c r="BF453" i="1"/>
  <c r="BE453" i="1"/>
  <c r="BF485" i="1"/>
  <c r="BE485" i="1"/>
  <c r="BF517" i="1"/>
  <c r="BE517" i="1"/>
  <c r="BF549" i="1"/>
  <c r="BE549" i="1"/>
  <c r="BF581" i="1"/>
  <c r="BE581" i="1"/>
  <c r="BF613" i="1"/>
  <c r="BE613" i="1"/>
  <c r="BF645" i="1"/>
  <c r="BE645" i="1"/>
  <c r="BF677" i="1"/>
  <c r="BE677" i="1"/>
  <c r="BF709" i="1"/>
  <c r="BE709" i="1"/>
  <c r="BF741" i="1"/>
  <c r="BE741" i="1"/>
  <c r="BF773" i="1"/>
  <c r="BE773" i="1"/>
  <c r="BF805" i="1"/>
  <c r="BE805" i="1"/>
  <c r="BF837" i="1"/>
  <c r="BE837" i="1"/>
  <c r="BF869" i="1"/>
  <c r="BE869" i="1"/>
  <c r="BF901" i="1"/>
  <c r="BE901" i="1"/>
  <c r="BF933" i="1"/>
  <c r="BE933" i="1"/>
  <c r="BF997" i="1"/>
  <c r="BE997" i="1"/>
  <c r="BF1029" i="1"/>
  <c r="BE1029" i="1"/>
  <c r="BF1061" i="1"/>
  <c r="BE1061" i="1"/>
  <c r="BF1093" i="1"/>
  <c r="BE1093" i="1"/>
  <c r="BF1125" i="1"/>
  <c r="BE1125" i="1"/>
  <c r="BF1157" i="1"/>
  <c r="BE1157" i="1"/>
  <c r="BF1189" i="1"/>
  <c r="BE1189" i="1"/>
  <c r="BF30" i="1"/>
  <c r="BE30" i="1"/>
  <c r="BF62" i="1"/>
  <c r="BE62" i="1"/>
  <c r="BF126" i="1"/>
  <c r="BE126" i="1"/>
  <c r="BF158" i="1"/>
  <c r="BE158" i="1"/>
  <c r="BF190" i="1"/>
  <c r="BE190" i="1"/>
  <c r="BF222" i="1"/>
  <c r="BE222" i="1"/>
  <c r="BF254" i="1"/>
  <c r="BE254" i="1"/>
  <c r="BF286" i="1"/>
  <c r="BE286" i="1"/>
  <c r="BF318" i="1"/>
  <c r="BE318" i="1"/>
  <c r="BF350" i="1"/>
  <c r="BE350" i="1"/>
  <c r="BF382" i="1"/>
  <c r="BE382" i="1"/>
  <c r="BF414" i="1"/>
  <c r="BE414" i="1"/>
  <c r="BF446" i="1"/>
  <c r="BE446" i="1"/>
  <c r="BF478" i="1"/>
  <c r="BE478" i="1"/>
  <c r="BF510" i="1"/>
  <c r="BE510" i="1"/>
  <c r="BF542" i="1"/>
  <c r="BE542" i="1"/>
  <c r="BF574" i="1"/>
  <c r="BE574" i="1"/>
  <c r="BF606" i="1"/>
  <c r="BE606" i="1"/>
  <c r="BF638" i="1"/>
  <c r="BE638" i="1"/>
  <c r="BF670" i="1"/>
  <c r="BE670" i="1"/>
  <c r="BF702" i="1"/>
  <c r="BE702" i="1"/>
  <c r="BF734" i="1"/>
  <c r="BE734" i="1"/>
  <c r="BF766" i="1"/>
  <c r="BE766" i="1"/>
  <c r="BF798" i="1"/>
  <c r="BE798" i="1"/>
  <c r="BF830" i="1"/>
  <c r="BE830" i="1"/>
  <c r="BF862" i="1"/>
  <c r="BE862" i="1"/>
  <c r="BF894" i="1"/>
  <c r="BE894" i="1"/>
  <c r="BF926" i="1"/>
  <c r="BE926" i="1"/>
  <c r="BF958" i="1"/>
  <c r="BE958" i="1"/>
  <c r="BF990" i="1"/>
  <c r="BE990" i="1"/>
  <c r="BF1022" i="1"/>
  <c r="BE1022" i="1"/>
  <c r="BF1054" i="1"/>
  <c r="BE1054" i="1"/>
  <c r="BF1086" i="1"/>
  <c r="BE1086" i="1"/>
  <c r="BF1118" i="1"/>
  <c r="BE1118" i="1"/>
  <c r="BF23" i="1"/>
  <c r="BE23" i="1"/>
  <c r="BF55" i="1"/>
  <c r="BE55" i="1"/>
  <c r="BF87" i="1"/>
  <c r="BE87" i="1"/>
  <c r="BF119" i="1"/>
  <c r="BE119" i="1"/>
  <c r="BF151" i="1"/>
  <c r="BE151" i="1"/>
  <c r="BF183" i="1"/>
  <c r="BE183" i="1"/>
  <c r="BF215" i="1"/>
  <c r="BE215" i="1"/>
  <c r="BF247" i="1"/>
  <c r="BE247" i="1"/>
  <c r="BF279" i="1"/>
  <c r="BE279" i="1"/>
  <c r="BF311" i="1"/>
  <c r="BE311" i="1"/>
  <c r="BF343" i="1"/>
  <c r="BE343" i="1"/>
  <c r="BF375" i="1"/>
  <c r="BE375" i="1"/>
  <c r="BF407" i="1"/>
  <c r="BE407" i="1"/>
  <c r="BF439" i="1"/>
  <c r="BE439" i="1"/>
  <c r="BF471" i="1"/>
  <c r="BE471" i="1"/>
  <c r="BF503" i="1"/>
  <c r="BE503" i="1"/>
  <c r="BF535" i="1"/>
  <c r="BE535" i="1"/>
  <c r="BF567" i="1"/>
  <c r="BE567" i="1"/>
  <c r="BF599" i="1"/>
  <c r="BE599" i="1"/>
  <c r="BF631" i="1"/>
  <c r="BE631" i="1"/>
  <c r="BF663" i="1"/>
  <c r="BE663" i="1"/>
  <c r="BF695" i="1"/>
  <c r="BE695" i="1"/>
  <c r="BF727" i="1"/>
  <c r="BE727" i="1"/>
  <c r="BF759" i="1"/>
  <c r="BE759" i="1"/>
  <c r="BF791" i="1"/>
  <c r="BE791" i="1"/>
  <c r="BF823" i="1"/>
  <c r="BE823" i="1"/>
  <c r="BF855" i="1"/>
  <c r="BE855" i="1"/>
  <c r="BF887" i="1"/>
  <c r="BE887" i="1"/>
  <c r="BF919" i="1"/>
  <c r="BE919" i="1"/>
  <c r="BF951" i="1"/>
  <c r="BE951" i="1"/>
  <c r="BF983" i="1"/>
  <c r="BE983" i="1"/>
  <c r="BF1047" i="1"/>
  <c r="BE1047" i="1"/>
  <c r="BF1079" i="1"/>
  <c r="BE1079" i="1"/>
  <c r="BF1111" i="1"/>
  <c r="BE1111" i="1"/>
  <c r="BF1143" i="1"/>
  <c r="BE1143" i="1"/>
  <c r="BF48" i="1"/>
  <c r="BE48" i="1"/>
  <c r="BF80" i="1"/>
  <c r="BE80" i="1"/>
  <c r="BF112" i="1"/>
  <c r="BE112" i="1"/>
  <c r="BF144" i="1"/>
  <c r="BE144" i="1"/>
  <c r="BF176" i="1"/>
  <c r="BE176" i="1"/>
  <c r="BF208" i="1"/>
  <c r="BE208" i="1"/>
  <c r="BF240" i="1"/>
  <c r="BE240" i="1"/>
  <c r="BF272" i="1"/>
  <c r="BE272" i="1"/>
  <c r="BF304" i="1"/>
  <c r="BE304" i="1"/>
  <c r="BF336" i="1"/>
  <c r="BE336" i="1"/>
  <c r="BF368" i="1"/>
  <c r="BE368" i="1"/>
  <c r="BF400" i="1"/>
  <c r="BE400" i="1"/>
  <c r="BF432" i="1"/>
  <c r="BE432" i="1"/>
  <c r="BF464" i="1"/>
  <c r="BE464" i="1"/>
  <c r="BF496" i="1"/>
  <c r="BE496" i="1"/>
  <c r="BF528" i="1"/>
  <c r="BE528" i="1"/>
  <c r="BF560" i="1"/>
  <c r="BE560" i="1"/>
  <c r="BF592" i="1"/>
  <c r="BE592" i="1"/>
  <c r="BF624" i="1"/>
  <c r="BE624" i="1"/>
  <c r="BF656" i="1"/>
  <c r="BE656" i="1"/>
  <c r="BF688" i="1"/>
  <c r="BE688" i="1"/>
  <c r="BF720" i="1"/>
  <c r="BE720" i="1"/>
  <c r="BF752" i="1"/>
  <c r="BE752" i="1"/>
  <c r="BF784" i="1"/>
  <c r="BE784" i="1"/>
  <c r="BF41" i="1"/>
  <c r="BE41" i="1"/>
  <c r="BF73" i="1"/>
  <c r="BE73" i="1"/>
  <c r="BF105" i="1"/>
  <c r="BE105" i="1"/>
  <c r="BF137" i="1"/>
  <c r="BE137" i="1"/>
  <c r="BF169" i="1"/>
  <c r="BE169" i="1"/>
  <c r="BF201" i="1"/>
  <c r="BE201" i="1"/>
  <c r="BF233" i="1"/>
  <c r="BE233" i="1"/>
  <c r="BF265" i="1"/>
  <c r="BE265" i="1"/>
  <c r="BF297" i="1"/>
  <c r="BE297" i="1"/>
  <c r="BF329" i="1"/>
  <c r="BE329" i="1"/>
  <c r="BF361" i="1"/>
  <c r="BE361" i="1"/>
  <c r="BF393" i="1"/>
  <c r="BE393" i="1"/>
  <c r="BF425" i="1"/>
  <c r="BE425" i="1"/>
  <c r="BF457" i="1"/>
  <c r="BE457" i="1"/>
  <c r="BF489" i="1"/>
  <c r="BE489" i="1"/>
  <c r="BF521" i="1"/>
  <c r="BE521" i="1"/>
  <c r="BF553" i="1"/>
  <c r="BE553" i="1"/>
  <c r="BF585" i="1"/>
  <c r="BE585" i="1"/>
  <c r="BF816" i="1"/>
  <c r="BE816" i="1"/>
  <c r="BF848" i="1"/>
  <c r="BE848" i="1"/>
  <c r="BF880" i="1"/>
  <c r="BE880" i="1"/>
  <c r="BF912" i="1"/>
  <c r="BE912" i="1"/>
  <c r="BF944" i="1"/>
  <c r="BE944" i="1"/>
  <c r="BF1040" i="1"/>
  <c r="BE1040" i="1"/>
  <c r="BF1160" i="1"/>
  <c r="BE1160" i="1"/>
  <c r="BF1288" i="1"/>
  <c r="BE1288" i="1"/>
  <c r="BF993" i="1"/>
  <c r="BE993" i="1"/>
  <c r="BF1177" i="1"/>
  <c r="BE1177" i="1"/>
  <c r="BF434" i="1"/>
  <c r="BE434" i="1"/>
  <c r="BF618" i="1"/>
  <c r="BE618" i="1"/>
  <c r="BF810" i="1"/>
  <c r="BE810" i="1"/>
  <c r="BF1082" i="1"/>
  <c r="BE1082" i="1"/>
  <c r="BE1266" i="1"/>
  <c r="BF1266" i="1"/>
  <c r="BF187" i="1"/>
  <c r="BE187" i="1"/>
  <c r="BF459" i="1"/>
  <c r="BE459" i="1"/>
  <c r="BF651" i="1"/>
  <c r="BE651" i="1"/>
  <c r="BF867" i="1"/>
  <c r="BE867" i="1"/>
  <c r="BF1075" i="1"/>
  <c r="BE1075" i="1"/>
  <c r="BF1283" i="1"/>
  <c r="BE1283" i="1"/>
  <c r="BF601" i="1"/>
  <c r="BE601" i="1"/>
  <c r="BF633" i="1"/>
  <c r="BE633" i="1"/>
  <c r="BF665" i="1"/>
  <c r="BE665" i="1"/>
  <c r="BF697" i="1"/>
  <c r="BE697" i="1"/>
  <c r="BF729" i="1"/>
  <c r="BE729" i="1"/>
  <c r="BF761" i="1"/>
  <c r="BE761" i="1"/>
  <c r="BF793" i="1"/>
  <c r="BE793" i="1"/>
  <c r="BF825" i="1"/>
  <c r="BE825" i="1"/>
  <c r="BF857" i="1"/>
  <c r="BE857" i="1"/>
  <c r="BF985" i="1"/>
  <c r="BE985" i="1"/>
  <c r="BF1153" i="1"/>
  <c r="BE1153" i="1"/>
  <c r="BF442" i="1"/>
  <c r="BE442" i="1"/>
  <c r="BF634" i="1"/>
  <c r="BE634" i="1"/>
  <c r="BE826" i="1"/>
  <c r="BF826" i="1"/>
  <c r="BF994" i="1"/>
  <c r="BE994" i="1"/>
  <c r="BE1186" i="1"/>
  <c r="BF1186" i="1"/>
  <c r="BF115" i="1"/>
  <c r="BE115" i="1"/>
  <c r="BF347" i="1"/>
  <c r="BE347" i="1"/>
  <c r="BF579" i="1"/>
  <c r="BE579" i="1"/>
  <c r="BF811" i="1"/>
  <c r="BE811" i="1"/>
  <c r="BF1107" i="1"/>
  <c r="BE1107" i="1"/>
  <c r="BF1132" i="1"/>
  <c r="BE1132" i="1"/>
  <c r="BF34" i="1"/>
  <c r="BE34" i="1"/>
  <c r="BF66" i="1"/>
  <c r="BE66" i="1"/>
  <c r="BF98" i="1"/>
  <c r="BE98" i="1"/>
  <c r="BF130" i="1"/>
  <c r="BE130" i="1"/>
  <c r="BF162" i="1"/>
  <c r="BE162" i="1"/>
  <c r="BF194" i="1"/>
  <c r="BE194" i="1"/>
  <c r="BF226" i="1"/>
  <c r="BE226" i="1"/>
  <c r="BF258" i="1"/>
  <c r="BE258" i="1"/>
  <c r="BF290" i="1"/>
  <c r="BE290" i="1"/>
  <c r="BF354" i="1"/>
  <c r="BE354" i="1"/>
  <c r="BF386" i="1"/>
  <c r="BE386" i="1"/>
  <c r="BF458" i="1"/>
  <c r="BE458" i="1"/>
  <c r="BF602" i="1"/>
  <c r="BE602" i="1"/>
  <c r="BF786" i="1"/>
  <c r="BE786" i="1"/>
  <c r="BF946" i="1"/>
  <c r="BE946" i="1"/>
  <c r="BF1122" i="1"/>
  <c r="BE1122" i="1"/>
  <c r="BF51" i="1"/>
  <c r="BE51" i="1"/>
  <c r="BF251" i="1"/>
  <c r="BE251" i="1"/>
  <c r="BF443" i="1"/>
  <c r="BE443" i="1"/>
  <c r="BE691" i="1"/>
  <c r="BF691" i="1"/>
  <c r="BF915" i="1"/>
  <c r="BE915" i="1"/>
  <c r="BF1139" i="1"/>
  <c r="BE1139" i="1"/>
  <c r="BF1172" i="1"/>
  <c r="BE1172" i="1"/>
  <c r="BF75" i="1"/>
  <c r="BE75" i="1"/>
  <c r="BF339" i="1"/>
  <c r="BE339" i="1"/>
  <c r="BF531" i="1"/>
  <c r="BE531" i="1"/>
  <c r="BF755" i="1"/>
  <c r="BE755" i="1"/>
  <c r="BE955" i="1"/>
  <c r="BF955" i="1"/>
  <c r="BE1251" i="1"/>
  <c r="BF1251" i="1"/>
  <c r="BF1284" i="1"/>
  <c r="BE1284" i="1"/>
  <c r="BF1213" i="1"/>
  <c r="BE1213" i="1"/>
  <c r="BF1245" i="1"/>
  <c r="BE1245" i="1"/>
  <c r="BE1277" i="1"/>
  <c r="BF1277" i="1"/>
  <c r="BF1309" i="1"/>
  <c r="BE1309" i="1"/>
  <c r="BF1271" i="1"/>
  <c r="BE1271" i="1"/>
  <c r="BF1024" i="1"/>
  <c r="BE1024" i="1"/>
  <c r="BF1144" i="1"/>
  <c r="BE1144" i="1"/>
  <c r="BF1240" i="1"/>
  <c r="BE1240" i="1"/>
  <c r="BF929" i="1"/>
  <c r="BE929" i="1"/>
  <c r="BF1089" i="1"/>
  <c r="BE1089" i="1"/>
  <c r="BF1225" i="1"/>
  <c r="BE1225" i="1"/>
  <c r="BF474" i="1"/>
  <c r="BE474" i="1"/>
  <c r="BF754" i="1"/>
  <c r="BE754" i="1"/>
  <c r="BF922" i="1"/>
  <c r="BE922" i="1"/>
  <c r="BF1106" i="1"/>
  <c r="BE1106" i="1"/>
  <c r="BF1298" i="1"/>
  <c r="BE1298" i="1"/>
  <c r="BE267" i="1"/>
  <c r="BF267" i="1"/>
  <c r="BF451" i="1"/>
  <c r="BE451" i="1"/>
  <c r="BF659" i="1"/>
  <c r="BE659" i="1"/>
  <c r="BF883" i="1"/>
  <c r="BE883" i="1"/>
  <c r="BF1091" i="1"/>
  <c r="BE1091" i="1"/>
  <c r="BF1299" i="1"/>
  <c r="BE1299" i="1"/>
  <c r="BF1150" i="1"/>
  <c r="BE1150" i="1"/>
  <c r="BF1182" i="1"/>
  <c r="BE1182" i="1"/>
  <c r="BF1214" i="1"/>
  <c r="BE1214" i="1"/>
  <c r="BF1246" i="1"/>
  <c r="BE1246" i="1"/>
  <c r="BF1294" i="1"/>
  <c r="BE1294" i="1"/>
  <c r="BF976" i="1"/>
  <c r="BE976" i="1"/>
  <c r="BF1096" i="1"/>
  <c r="BE1096" i="1"/>
  <c r="BE1280" i="1"/>
  <c r="BF1280" i="1"/>
  <c r="BF977" i="1"/>
  <c r="BE977" i="1"/>
  <c r="BF1129" i="1"/>
  <c r="BE1129" i="1"/>
  <c r="BF1289" i="1"/>
  <c r="BE1289" i="1"/>
  <c r="BF570" i="1"/>
  <c r="BE570" i="1"/>
  <c r="BF746" i="1"/>
  <c r="BE746" i="1"/>
  <c r="BF930" i="1"/>
  <c r="BE930" i="1"/>
  <c r="BF1098" i="1"/>
  <c r="BE1098" i="1"/>
  <c r="BF1290" i="1"/>
  <c r="BE1290" i="1"/>
  <c r="BF219" i="1"/>
  <c r="BE219" i="1"/>
  <c r="BF427" i="1"/>
  <c r="BE427" i="1"/>
  <c r="BF611" i="1"/>
  <c r="BE611" i="1"/>
  <c r="BE827" i="1"/>
  <c r="BF827" i="1"/>
  <c r="BF1043" i="1"/>
  <c r="BE1043" i="1"/>
  <c r="BE1267" i="1"/>
  <c r="BF1267" i="1"/>
  <c r="BF1308" i="1"/>
  <c r="BE1308" i="1"/>
  <c r="BF1175" i="1"/>
  <c r="BE1175" i="1"/>
  <c r="BF1207" i="1"/>
  <c r="BE1207" i="1"/>
  <c r="BF1239" i="1"/>
  <c r="BE1239" i="1"/>
  <c r="BF1279" i="1"/>
  <c r="BE1279" i="1"/>
  <c r="BF1048" i="1"/>
  <c r="BE1048" i="1"/>
  <c r="BF1184" i="1"/>
  <c r="BE1184" i="1"/>
  <c r="BF1296" i="1"/>
  <c r="BE1296" i="1"/>
  <c r="BF1001" i="1"/>
  <c r="BE1001" i="1"/>
  <c r="BF1161" i="1"/>
  <c r="BE1161" i="1"/>
  <c r="BF418" i="1"/>
  <c r="BE418" i="1"/>
  <c r="BF626" i="1"/>
  <c r="BE626" i="1"/>
  <c r="BF818" i="1"/>
  <c r="BE818" i="1"/>
  <c r="BF1066" i="1"/>
  <c r="BE1066" i="1"/>
  <c r="BF1258" i="1"/>
  <c r="BE1258" i="1"/>
  <c r="BF147" i="1"/>
  <c r="BE147" i="1"/>
  <c r="BF371" i="1"/>
  <c r="BE371" i="1"/>
  <c r="BE731" i="1"/>
  <c r="BF731" i="1"/>
  <c r="BF971" i="1"/>
  <c r="BE971" i="1"/>
  <c r="BF1163" i="1"/>
  <c r="BE1163" i="1"/>
  <c r="BF1300" i="1"/>
  <c r="BE1300" i="1"/>
  <c r="BF965" i="1"/>
  <c r="BE965" i="1"/>
  <c r="BF94" i="1"/>
  <c r="BE94" i="1"/>
  <c r="BF1015" i="1"/>
  <c r="BE1015" i="1"/>
  <c r="BF322" i="1"/>
  <c r="BE322" i="1"/>
  <c r="BG124" i="1"/>
  <c r="BG284" i="1"/>
  <c r="BG444" i="1"/>
  <c r="BG572" i="1"/>
  <c r="BG732" i="1"/>
  <c r="BG860" i="1"/>
  <c r="BG1020" i="1"/>
  <c r="BG45" i="1"/>
  <c r="BG173" i="1"/>
  <c r="BG237" i="1"/>
  <c r="BG365" i="1"/>
  <c r="BG461" i="1"/>
  <c r="BG589" i="1"/>
  <c r="BG685" i="1"/>
  <c r="BG813" i="1"/>
  <c r="BG230" i="1"/>
  <c r="BG294" i="1"/>
  <c r="BG390" i="1"/>
  <c r="BG582" i="1"/>
  <c r="BG710" i="1"/>
  <c r="BG870" i="1"/>
  <c r="BG1030" i="1"/>
  <c r="BG63" i="1"/>
  <c r="BG223" i="1"/>
  <c r="BG383" i="1"/>
  <c r="BG479" i="1"/>
  <c r="BG639" i="1"/>
  <c r="BG767" i="1"/>
  <c r="BG927" i="1"/>
  <c r="BG1055" i="1"/>
  <c r="BG56" i="1"/>
  <c r="BG184" i="1"/>
  <c r="BG312" i="1"/>
  <c r="BG472" i="1"/>
  <c r="BG568" i="1"/>
  <c r="BG696" i="1"/>
  <c r="BG49" i="1"/>
  <c r="BG145" i="1"/>
  <c r="BG241" i="1"/>
  <c r="BG305" i="1"/>
  <c r="BG401" i="1"/>
  <c r="BG465" i="1"/>
  <c r="BG529" i="1"/>
  <c r="BG593" i="1"/>
  <c r="BG888" i="1"/>
  <c r="BG952" i="1"/>
  <c r="BG1192" i="1"/>
  <c r="BG1033" i="1"/>
  <c r="BG666" i="1"/>
  <c r="BG243" i="1"/>
  <c r="BG707" i="1"/>
  <c r="BG1180" i="1"/>
  <c r="BG673" i="1"/>
  <c r="BG737" i="1"/>
  <c r="BG833" i="1"/>
  <c r="BG1025" i="1"/>
  <c r="BG506" i="1"/>
  <c r="BG866" i="1"/>
  <c r="BG1234" i="1"/>
  <c r="BG411" i="1"/>
  <c r="BG875" i="1"/>
  <c r="BG42" i="1"/>
  <c r="BG106" i="1"/>
  <c r="BG170" i="1"/>
  <c r="BG234" i="1"/>
  <c r="BG330" i="1"/>
  <c r="BG394" i="1"/>
  <c r="BG642" i="1"/>
  <c r="BG978" i="1"/>
  <c r="BG107" i="1"/>
  <c r="BG499" i="1"/>
  <c r="BG963" i="1"/>
  <c r="BG1220" i="1"/>
  <c r="BG395" i="1"/>
  <c r="BG803" i="1"/>
  <c r="BG1003" i="1"/>
  <c r="BG1124" i="1"/>
  <c r="BG1285" i="1"/>
  <c r="BG1295" i="1"/>
  <c r="BG1272" i="1"/>
  <c r="BG1121" i="1"/>
  <c r="BG522" i="1"/>
  <c r="BG970" i="1"/>
  <c r="BG91" i="1"/>
  <c r="BG491" i="1"/>
  <c r="BG939" i="1"/>
  <c r="BG1140" i="1"/>
  <c r="BG1190" i="1"/>
  <c r="BG1254" i="1"/>
  <c r="BG1000" i="1"/>
  <c r="BG1312" i="1"/>
  <c r="BG1169" i="1"/>
  <c r="BG610" i="1"/>
  <c r="BG962" i="1"/>
  <c r="BG67" i="1"/>
  <c r="BG475" i="1"/>
  <c r="BG891" i="1"/>
  <c r="BG1148" i="1"/>
  <c r="BG1183" i="1"/>
  <c r="BG1247" i="1"/>
  <c r="BG1080" i="1"/>
  <c r="BG873" i="1"/>
  <c r="BG1201" i="1"/>
  <c r="BG674" i="1"/>
  <c r="BG795" i="1"/>
  <c r="BG1125" i="1"/>
  <c r="BG1211" i="1"/>
  <c r="BG92" i="1"/>
  <c r="BG252" i="1"/>
  <c r="BG380" i="1"/>
  <c r="BG540" i="1"/>
  <c r="BG700" i="1"/>
  <c r="BG828" i="1"/>
  <c r="BG988" i="1"/>
  <c r="BG1116" i="1"/>
  <c r="BG141" i="1"/>
  <c r="BG269" i="1"/>
  <c r="BG397" i="1"/>
  <c r="BG525" i="1"/>
  <c r="BG621" i="1"/>
  <c r="BG717" i="1"/>
  <c r="BG781" i="1"/>
  <c r="BG877" i="1"/>
  <c r="BG941" i="1"/>
  <c r="BG1005" i="1"/>
  <c r="BG1069" i="1"/>
  <c r="BG326" i="1"/>
  <c r="BG454" i="1"/>
  <c r="BG550" i="1"/>
  <c r="BG678" i="1"/>
  <c r="BG838" i="1"/>
  <c r="BG998" i="1"/>
  <c r="BG1094" i="1"/>
  <c r="BG159" i="1"/>
  <c r="BG287" i="1"/>
  <c r="BG415" i="1"/>
  <c r="BG575" i="1"/>
  <c r="BG735" i="1"/>
  <c r="BG895" i="1"/>
  <c r="BG1087" i="1"/>
  <c r="BG408" i="1"/>
  <c r="BG1217" i="1"/>
  <c r="BG938" i="1"/>
  <c r="BG507" i="1"/>
  <c r="BG1123" i="1"/>
  <c r="BG609" i="1"/>
  <c r="BG705" i="1"/>
  <c r="BG769" i="1"/>
  <c r="BG889" i="1"/>
  <c r="BG1193" i="1"/>
  <c r="BG682" i="1"/>
  <c r="BG1042" i="1"/>
  <c r="BG179" i="1"/>
  <c r="BG619" i="1"/>
  <c r="BG1179" i="1"/>
  <c r="BG74" i="1"/>
  <c r="BG138" i="1"/>
  <c r="BG202" i="1"/>
  <c r="BG298" i="1"/>
  <c r="BG362" i="1"/>
  <c r="BG466" i="1"/>
  <c r="BG834" i="1"/>
  <c r="BG1178" i="1"/>
  <c r="BG307" i="1"/>
  <c r="BG739" i="1"/>
  <c r="BG1171" i="1"/>
  <c r="BG131" i="1"/>
  <c r="BG587" i="1"/>
  <c r="BG1307" i="1"/>
  <c r="BG1253" i="1"/>
  <c r="BG1270" i="1"/>
  <c r="BG1056" i="1"/>
  <c r="BG1176" i="1"/>
  <c r="BG969" i="1"/>
  <c r="BG1265" i="1"/>
  <c r="BG794" i="1"/>
  <c r="BG1154" i="1"/>
  <c r="BG331" i="1"/>
  <c r="BG723" i="1"/>
  <c r="BG1147" i="1"/>
  <c r="BG1158" i="1"/>
  <c r="BG1222" i="1"/>
  <c r="BG1310" i="1"/>
  <c r="BG1128" i="1"/>
  <c r="BG1017" i="1"/>
  <c r="BG426" i="1"/>
  <c r="BG802" i="1"/>
  <c r="BG1146" i="1"/>
  <c r="BG275" i="1"/>
  <c r="BG667" i="1"/>
  <c r="BG1099" i="1"/>
  <c r="BG1151" i="1"/>
  <c r="BG1215" i="1"/>
  <c r="BG1303" i="1"/>
  <c r="BG1208" i="1"/>
  <c r="BG1041" i="1"/>
  <c r="BG490" i="1"/>
  <c r="BG858" i="1"/>
  <c r="BG1019" i="1"/>
  <c r="BG324" i="1"/>
  <c r="BG36" i="1"/>
  <c r="BG68" i="1"/>
  <c r="BG100" i="1"/>
  <c r="BG132" i="1"/>
  <c r="BG164" i="1"/>
  <c r="BG196" i="1"/>
  <c r="BG228" i="1"/>
  <c r="BG260" i="1"/>
  <c r="BG292" i="1"/>
  <c r="BG356" i="1"/>
  <c r="BG388" i="1"/>
  <c r="BG420" i="1"/>
  <c r="BG452" i="1"/>
  <c r="BG484" i="1"/>
  <c r="BG516" i="1"/>
  <c r="BG548" i="1"/>
  <c r="BG580" i="1"/>
  <c r="BG612" i="1"/>
  <c r="BG644" i="1"/>
  <c r="BG676" i="1"/>
  <c r="BG708" i="1"/>
  <c r="BG740" i="1"/>
  <c r="BG772" i="1"/>
  <c r="BG804" i="1"/>
  <c r="BG836" i="1"/>
  <c r="BG868" i="1"/>
  <c r="BG900" i="1"/>
  <c r="BG932" i="1"/>
  <c r="BG964" i="1"/>
  <c r="BG996" i="1"/>
  <c r="BG1028" i="1"/>
  <c r="BG1060" i="1"/>
  <c r="BG1092" i="1"/>
  <c r="BG21" i="1"/>
  <c r="BG53" i="1"/>
  <c r="BG85" i="1"/>
  <c r="BG117" i="1"/>
  <c r="BG149" i="1"/>
  <c r="BG181" i="1"/>
  <c r="BG213" i="1"/>
  <c r="BG245" i="1"/>
  <c r="BG277" i="1"/>
  <c r="BG309" i="1"/>
  <c r="BG341" i="1"/>
  <c r="BG405" i="1"/>
  <c r="BG437" i="1"/>
  <c r="BG469" i="1"/>
  <c r="BG501" i="1"/>
  <c r="BG533" i="1"/>
  <c r="BG565" i="1"/>
  <c r="BG597" i="1"/>
  <c r="BG629" i="1"/>
  <c r="BG661" i="1"/>
  <c r="BG693" i="1"/>
  <c r="BG725" i="1"/>
  <c r="BG757" i="1"/>
  <c r="BG789" i="1"/>
  <c r="BG821" i="1"/>
  <c r="BG853" i="1"/>
  <c r="BG885" i="1"/>
  <c r="BG917" i="1"/>
  <c r="BG949" i="1"/>
  <c r="BG981" i="1"/>
  <c r="BG1013" i="1"/>
  <c r="BG1045" i="1"/>
  <c r="BG1077" i="1"/>
  <c r="BG1109" i="1"/>
  <c r="BG188" i="1"/>
  <c r="BG412" i="1"/>
  <c r="BG636" i="1"/>
  <c r="BG956" i="1"/>
  <c r="BG333" i="1"/>
  <c r="BG1101" i="1"/>
  <c r="BG1133" i="1"/>
  <c r="BG1165" i="1"/>
  <c r="BG1197" i="1"/>
  <c r="BG38" i="1"/>
  <c r="BG70" i="1"/>
  <c r="BG102" i="1"/>
  <c r="BG134" i="1"/>
  <c r="BG166" i="1"/>
  <c r="BG198" i="1"/>
  <c r="BG262" i="1"/>
  <c r="BG422" i="1"/>
  <c r="BG614" i="1"/>
  <c r="BG742" i="1"/>
  <c r="BG934" i="1"/>
  <c r="BG1126" i="1"/>
  <c r="BG319" i="1"/>
  <c r="BG543" i="1"/>
  <c r="BG703" i="1"/>
  <c r="BG863" i="1"/>
  <c r="BG1023" i="1"/>
  <c r="BG88" i="1"/>
  <c r="BG280" i="1"/>
  <c r="BG440" i="1"/>
  <c r="BG600" i="1"/>
  <c r="BG865" i="1"/>
  <c r="BG195" i="1"/>
  <c r="BG373" i="1"/>
  <c r="BG77" i="1"/>
  <c r="BG1114" i="1"/>
  <c r="BG44" i="1"/>
  <c r="BG76" i="1"/>
  <c r="BG108" i="1"/>
  <c r="BG140" i="1"/>
  <c r="BG172" i="1"/>
  <c r="BG204" i="1"/>
  <c r="BG236" i="1"/>
  <c r="BG268" i="1"/>
  <c r="BG300" i="1"/>
  <c r="BG332" i="1"/>
  <c r="BG364" i="1"/>
  <c r="BG396" i="1"/>
  <c r="BG428" i="1"/>
  <c r="BG460" i="1"/>
  <c r="BG492" i="1"/>
  <c r="BG524" i="1"/>
  <c r="BG556" i="1"/>
  <c r="BG588" i="1"/>
  <c r="BG620" i="1"/>
  <c r="BG652" i="1"/>
  <c r="BG684" i="1"/>
  <c r="BG748" i="1"/>
  <c r="BG780" i="1"/>
  <c r="BG812" i="1"/>
  <c r="BG844" i="1"/>
  <c r="BG876" i="1"/>
  <c r="BG908" i="1"/>
  <c r="BG940" i="1"/>
  <c r="BG972" i="1"/>
  <c r="BG1004" i="1"/>
  <c r="BG1036" i="1"/>
  <c r="BG1068" i="1"/>
  <c r="BG1100" i="1"/>
  <c r="BG29" i="1"/>
  <c r="BG61" i="1"/>
  <c r="BG93" i="1"/>
  <c r="BG125" i="1"/>
  <c r="BG157" i="1"/>
  <c r="BG189" i="1"/>
  <c r="BG221" i="1"/>
  <c r="BG253" i="1"/>
  <c r="BG285" i="1"/>
  <c r="BG349" i="1"/>
  <c r="BG381" i="1"/>
  <c r="BG413" i="1"/>
  <c r="BG445" i="1"/>
  <c r="BG477" i="1"/>
  <c r="BG509" i="1"/>
  <c r="BG541" i="1"/>
  <c r="BG573" i="1"/>
  <c r="BG605" i="1"/>
  <c r="BG637" i="1"/>
  <c r="BG669" i="1"/>
  <c r="BG701" i="1"/>
  <c r="BG733" i="1"/>
  <c r="BG765" i="1"/>
  <c r="BG829" i="1"/>
  <c r="BG861" i="1"/>
  <c r="BG893" i="1"/>
  <c r="BG925" i="1"/>
  <c r="BG957" i="1"/>
  <c r="BG989" i="1"/>
  <c r="BG1021" i="1"/>
  <c r="BG1053" i="1"/>
  <c r="BG1085" i="1"/>
  <c r="BG1117" i="1"/>
  <c r="BG1149" i="1"/>
  <c r="BG60" i="1"/>
  <c r="BG220" i="1"/>
  <c r="BG348" i="1"/>
  <c r="BG508" i="1"/>
  <c r="BG668" i="1"/>
  <c r="BG796" i="1"/>
  <c r="BG924" i="1"/>
  <c r="BG1052" i="1"/>
  <c r="BG109" i="1"/>
  <c r="BG205" i="1"/>
  <c r="BG301" i="1"/>
  <c r="BG429" i="1"/>
  <c r="BG557" i="1"/>
  <c r="BG653" i="1"/>
  <c r="BG749" i="1"/>
  <c r="BG845" i="1"/>
  <c r="BG909" i="1"/>
  <c r="BG973" i="1"/>
  <c r="BG1037" i="1"/>
  <c r="BG358" i="1"/>
  <c r="BG518" i="1"/>
  <c r="BG646" i="1"/>
  <c r="BG806" i="1"/>
  <c r="BG966" i="1"/>
  <c r="BG31" i="1"/>
  <c r="BG191" i="1"/>
  <c r="BG351" i="1"/>
  <c r="BG511" i="1"/>
  <c r="BG671" i="1"/>
  <c r="BG831" i="1"/>
  <c r="BG991" i="1"/>
  <c r="BG1119" i="1"/>
  <c r="BG152" i="1"/>
  <c r="BG248" i="1"/>
  <c r="BG376" i="1"/>
  <c r="BG536" i="1"/>
  <c r="BG664" i="1"/>
  <c r="BG760" i="1"/>
  <c r="BG113" i="1"/>
  <c r="BG209" i="1"/>
  <c r="BG273" i="1"/>
  <c r="BG369" i="1"/>
  <c r="BG433" i="1"/>
  <c r="BG497" i="1"/>
  <c r="BG561" i="1"/>
  <c r="BG824" i="1"/>
  <c r="BG920" i="1"/>
  <c r="BG1072" i="1"/>
  <c r="BG482" i="1"/>
  <c r="BG27" i="1"/>
  <c r="BG907" i="1"/>
  <c r="BG641" i="1"/>
  <c r="BG801" i="1"/>
  <c r="BG1204" i="1"/>
  <c r="BG555" i="1"/>
  <c r="BG317" i="1"/>
  <c r="BG28" i="1"/>
  <c r="BG156" i="1"/>
  <c r="BG316" i="1"/>
  <c r="BG476" i="1"/>
  <c r="BG604" i="1"/>
  <c r="BG764" i="1"/>
  <c r="BG892" i="1"/>
  <c r="BG1084" i="1"/>
  <c r="BG493" i="1"/>
  <c r="BG774" i="1"/>
  <c r="BG902" i="1"/>
  <c r="BG1062" i="1"/>
  <c r="BG127" i="1"/>
  <c r="BG255" i="1"/>
  <c r="BG447" i="1"/>
  <c r="BG607" i="1"/>
  <c r="BG799" i="1"/>
  <c r="BG959" i="1"/>
  <c r="BG24" i="1"/>
  <c r="BG120" i="1"/>
  <c r="BG216" i="1"/>
  <c r="BG344" i="1"/>
  <c r="BG504" i="1"/>
  <c r="BG632" i="1"/>
  <c r="BG728" i="1"/>
  <c r="BG81" i="1"/>
  <c r="BG177" i="1"/>
  <c r="BG337" i="1"/>
  <c r="BG1130" i="1"/>
  <c r="BG1306" i="1"/>
  <c r="BG20" i="1"/>
  <c r="BH20" i="1"/>
  <c r="BG52" i="1"/>
  <c r="BG84" i="1"/>
  <c r="BG116" i="1"/>
  <c r="BG148" i="1"/>
  <c r="BG180" i="1"/>
  <c r="BG212" i="1"/>
  <c r="BG244" i="1"/>
  <c r="BG276" i="1"/>
  <c r="BG308" i="1"/>
  <c r="BG340" i="1"/>
  <c r="BG372" i="1"/>
  <c r="BG404" i="1"/>
  <c r="BG436" i="1"/>
  <c r="BG468" i="1"/>
  <c r="BG500" i="1"/>
  <c r="BG532" i="1"/>
  <c r="BG564" i="1"/>
  <c r="BG596" i="1"/>
  <c r="BG628" i="1"/>
  <c r="BG660" i="1"/>
  <c r="BG692" i="1"/>
  <c r="BG724" i="1"/>
  <c r="BG756" i="1"/>
  <c r="BG788" i="1"/>
  <c r="BG820" i="1"/>
  <c r="BG852" i="1"/>
  <c r="BG884" i="1"/>
  <c r="BG916" i="1"/>
  <c r="BG948" i="1"/>
  <c r="BG980" i="1"/>
  <c r="BG1012" i="1"/>
  <c r="BG1044" i="1"/>
  <c r="BG1076" i="1"/>
  <c r="BG1108" i="1"/>
  <c r="BG37" i="1"/>
  <c r="BG69" i="1"/>
  <c r="BG101" i="1"/>
  <c r="BG133" i="1"/>
  <c r="BG165" i="1"/>
  <c r="BG197" i="1"/>
  <c r="BG229" i="1"/>
  <c r="BG261" i="1"/>
  <c r="BG293" i="1"/>
  <c r="BG325" i="1"/>
  <c r="BG357" i="1"/>
  <c r="BG389" i="1"/>
  <c r="BG421" i="1"/>
  <c r="BG453" i="1"/>
  <c r="BG485" i="1"/>
  <c r="BG517" i="1"/>
  <c r="BG549" i="1"/>
  <c r="BG581" i="1"/>
  <c r="BG613" i="1"/>
  <c r="BG645" i="1"/>
  <c r="BG677" i="1"/>
  <c r="BG709" i="1"/>
  <c r="BG741" i="1"/>
  <c r="BG773" i="1"/>
  <c r="BG805" i="1"/>
  <c r="BG837" i="1"/>
  <c r="BG869" i="1"/>
  <c r="BG901" i="1"/>
  <c r="BG933" i="1"/>
  <c r="BG997" i="1"/>
  <c r="BG1029" i="1"/>
  <c r="BG1061" i="1"/>
  <c r="BG1093" i="1"/>
  <c r="BG1157" i="1"/>
  <c r="BG486" i="1"/>
  <c r="BG95" i="1"/>
  <c r="BG792" i="1"/>
  <c r="BG856" i="1"/>
  <c r="BG266" i="1"/>
  <c r="BG1221" i="1"/>
  <c r="BG1141" i="1"/>
  <c r="BG1173" i="1"/>
  <c r="BG1205" i="1"/>
  <c r="BG46" i="1"/>
  <c r="BG78" i="1"/>
  <c r="BG110" i="1"/>
  <c r="BG142" i="1"/>
  <c r="BG174" i="1"/>
  <c r="BG206" i="1"/>
  <c r="BG238" i="1"/>
  <c r="BG270" i="1"/>
  <c r="BG302" i="1"/>
  <c r="BG334" i="1"/>
  <c r="BG366" i="1"/>
  <c r="BG398" i="1"/>
  <c r="BG430" i="1"/>
  <c r="BG462" i="1"/>
  <c r="BG494" i="1"/>
  <c r="BG526" i="1"/>
  <c r="BG558" i="1"/>
  <c r="BG590" i="1"/>
  <c r="BG622" i="1"/>
  <c r="BG654" i="1"/>
  <c r="BG686" i="1"/>
  <c r="BG718" i="1"/>
  <c r="BG750" i="1"/>
  <c r="BG782" i="1"/>
  <c r="BG814" i="1"/>
  <c r="BG846" i="1"/>
  <c r="BG878" i="1"/>
  <c r="BG910" i="1"/>
  <c r="BG942" i="1"/>
  <c r="BG974" i="1"/>
  <c r="BG1006" i="1"/>
  <c r="BG1038" i="1"/>
  <c r="BG1070" i="1"/>
  <c r="BG1102" i="1"/>
  <c r="BG1134" i="1"/>
  <c r="BG39" i="1"/>
  <c r="BG71" i="1"/>
  <c r="BG103" i="1"/>
  <c r="BG135" i="1"/>
  <c r="BG167" i="1"/>
  <c r="BG199" i="1"/>
  <c r="BG231" i="1"/>
  <c r="BG263" i="1"/>
  <c r="BG295" i="1"/>
  <c r="BG327" i="1"/>
  <c r="BG359" i="1"/>
  <c r="BG391" i="1"/>
  <c r="BG423" i="1"/>
  <c r="BG455" i="1"/>
  <c r="BG487" i="1"/>
  <c r="BG519" i="1"/>
  <c r="BG551" i="1"/>
  <c r="BG583" i="1"/>
  <c r="BG615" i="1"/>
  <c r="BG647" i="1"/>
  <c r="BG679" i="1"/>
  <c r="BG711" i="1"/>
  <c r="BG743" i="1"/>
  <c r="BG775" i="1"/>
  <c r="BG807" i="1"/>
  <c r="BG839" i="1"/>
  <c r="BG871" i="1"/>
  <c r="BG903" i="1"/>
  <c r="BG935" i="1"/>
  <c r="BG967" i="1"/>
  <c r="BG999" i="1"/>
  <c r="BG1031" i="1"/>
  <c r="BG1063" i="1"/>
  <c r="BG1095" i="1"/>
  <c r="BG1127" i="1"/>
  <c r="BG32" i="1"/>
  <c r="BG64" i="1"/>
  <c r="BG96" i="1"/>
  <c r="BG128" i="1"/>
  <c r="BG160" i="1"/>
  <c r="BG192" i="1"/>
  <c r="BG224" i="1"/>
  <c r="BG256" i="1"/>
  <c r="BG288" i="1"/>
  <c r="BG320" i="1"/>
  <c r="BG352" i="1"/>
  <c r="BG384" i="1"/>
  <c r="BG416" i="1"/>
  <c r="BG448" i="1"/>
  <c r="BG480" i="1"/>
  <c r="BG512" i="1"/>
  <c r="BG544" i="1"/>
  <c r="BG576" i="1"/>
  <c r="BG608" i="1"/>
  <c r="BG640" i="1"/>
  <c r="BG672" i="1"/>
  <c r="BG704" i="1"/>
  <c r="BG736" i="1"/>
  <c r="BG768" i="1"/>
  <c r="BG25" i="1"/>
  <c r="BG57" i="1"/>
  <c r="BG89" i="1"/>
  <c r="BG121" i="1"/>
  <c r="BG153" i="1"/>
  <c r="BG185" i="1"/>
  <c r="BG217" i="1"/>
  <c r="BG249" i="1"/>
  <c r="BG281" i="1"/>
  <c r="BG313" i="1"/>
  <c r="BG345" i="1"/>
  <c r="BG377" i="1"/>
  <c r="BG409" i="1"/>
  <c r="BG441" i="1"/>
  <c r="BG473" i="1"/>
  <c r="BG505" i="1"/>
  <c r="BG537" i="1"/>
  <c r="BG569" i="1"/>
  <c r="BG800" i="1"/>
  <c r="BG832" i="1"/>
  <c r="BG864" i="1"/>
  <c r="BG896" i="1"/>
  <c r="BG928" i="1"/>
  <c r="BG984" i="1"/>
  <c r="BG1112" i="1"/>
  <c r="BG1224" i="1"/>
  <c r="BG913" i="1"/>
  <c r="BG1065" i="1"/>
  <c r="BG1249" i="1"/>
  <c r="BG538" i="1"/>
  <c r="BG714" i="1"/>
  <c r="BG986" i="1"/>
  <c r="BG1170" i="1"/>
  <c r="BG83" i="1"/>
  <c r="BG299" i="1"/>
  <c r="BG539" i="1"/>
  <c r="BG763" i="1"/>
  <c r="BG979" i="1"/>
  <c r="BG1187" i="1"/>
  <c r="BG1236" i="1"/>
  <c r="BG617" i="1"/>
  <c r="BG649" i="1"/>
  <c r="BG681" i="1"/>
  <c r="BG713" i="1"/>
  <c r="BG745" i="1"/>
  <c r="BG777" i="1"/>
  <c r="BG809" i="1"/>
  <c r="BG841" i="1"/>
  <c r="BG905" i="1"/>
  <c r="BG1073" i="1"/>
  <c r="BG1241" i="1"/>
  <c r="BG546" i="1"/>
  <c r="BG730" i="1"/>
  <c r="BG906" i="1"/>
  <c r="BG1090" i="1"/>
  <c r="BG1274" i="1"/>
  <c r="BG235" i="1"/>
  <c r="BG467" i="1"/>
  <c r="BG683" i="1"/>
  <c r="BG931" i="1"/>
  <c r="BG1235" i="1"/>
  <c r="BG1268" i="1"/>
  <c r="BG50" i="1"/>
  <c r="BG82" i="1"/>
  <c r="BG114" i="1"/>
  <c r="BG146" i="1"/>
  <c r="BG178" i="1"/>
  <c r="BG210" i="1"/>
  <c r="BG242" i="1"/>
  <c r="BG274" i="1"/>
  <c r="BG306" i="1"/>
  <c r="BG338" i="1"/>
  <c r="BG370" i="1"/>
  <c r="BG402" i="1"/>
  <c r="BG514" i="1"/>
  <c r="BG690" i="1"/>
  <c r="BG874" i="1"/>
  <c r="BG1026" i="1"/>
  <c r="BG1226" i="1"/>
  <c r="BG155" i="1"/>
  <c r="BG363" i="1"/>
  <c r="BG547" i="1"/>
  <c r="BG787" i="1"/>
  <c r="BG1011" i="1"/>
  <c r="BG1219" i="1"/>
  <c r="BG1276" i="1"/>
  <c r="BG227" i="1"/>
  <c r="BG435" i="1"/>
  <c r="BG643" i="1"/>
  <c r="BG843" i="1"/>
  <c r="BG1067" i="1"/>
  <c r="BG1156" i="1"/>
  <c r="BG1212" i="1"/>
  <c r="BG1229" i="1"/>
  <c r="BG1261" i="1"/>
  <c r="BG1293" i="1"/>
  <c r="BG1286" i="1"/>
  <c r="BG960" i="1"/>
  <c r="BG1088" i="1"/>
  <c r="BG1200" i="1"/>
  <c r="BG1304" i="1"/>
  <c r="BG1009" i="1"/>
  <c r="BG1145" i="1"/>
  <c r="BG1305" i="1"/>
  <c r="BG650" i="1"/>
  <c r="BG842" i="1"/>
  <c r="BG1002" i="1"/>
  <c r="BG1202" i="1"/>
  <c r="BG163" i="1"/>
  <c r="BG379" i="1"/>
  <c r="BG571" i="1"/>
  <c r="BG771" i="1"/>
  <c r="BG987" i="1"/>
  <c r="BG1195" i="1"/>
  <c r="BG1196" i="1"/>
  <c r="BG1166" i="1"/>
  <c r="BG1198" i="1"/>
  <c r="BG1230" i="1"/>
  <c r="BG1262" i="1"/>
  <c r="BG1287" i="1"/>
  <c r="BG1032" i="1"/>
  <c r="BG1168" i="1"/>
  <c r="BG897" i="1"/>
  <c r="BG1057" i="1"/>
  <c r="BG1209" i="1"/>
  <c r="BG498" i="1"/>
  <c r="BG658" i="1"/>
  <c r="BG850" i="1"/>
  <c r="BG1010" i="1"/>
  <c r="BG1194" i="1"/>
  <c r="BG123" i="1"/>
  <c r="BG323" i="1"/>
  <c r="BG515" i="1"/>
  <c r="BG715" i="1"/>
  <c r="BG947" i="1"/>
  <c r="BG1155" i="1"/>
  <c r="BG1188" i="1"/>
  <c r="BG1159" i="1"/>
  <c r="BG1191" i="1"/>
  <c r="BG1223" i="1"/>
  <c r="BG1255" i="1"/>
  <c r="BG968" i="1"/>
  <c r="BG1104" i="1"/>
  <c r="BG1232" i="1"/>
  <c r="BG921" i="1"/>
  <c r="BG1081" i="1"/>
  <c r="BG1233" i="1"/>
  <c r="BG554" i="1"/>
  <c r="BG722" i="1"/>
  <c r="BG898" i="1"/>
  <c r="BG1162" i="1"/>
  <c r="BG35" i="1"/>
  <c r="BG259" i="1"/>
  <c r="BG635" i="1"/>
  <c r="BG859" i="1"/>
  <c r="BG1059" i="1"/>
  <c r="BG1259" i="1"/>
  <c r="BG716" i="1"/>
  <c r="BG797" i="1"/>
  <c r="BG1014" i="1"/>
  <c r="BG154" i="1"/>
  <c r="BG218" i="1"/>
  <c r="BG1064" i="1"/>
  <c r="BG1181" i="1"/>
  <c r="BG22" i="1"/>
  <c r="BG54" i="1"/>
  <c r="BG86" i="1"/>
  <c r="BG118" i="1"/>
  <c r="BG150" i="1"/>
  <c r="BG182" i="1"/>
  <c r="BG214" i="1"/>
  <c r="BG246" i="1"/>
  <c r="BG278" i="1"/>
  <c r="BG310" i="1"/>
  <c r="BG342" i="1"/>
  <c r="BG374" i="1"/>
  <c r="BG406" i="1"/>
  <c r="BG438" i="1"/>
  <c r="BG470" i="1"/>
  <c r="BG502" i="1"/>
  <c r="BG534" i="1"/>
  <c r="BG566" i="1"/>
  <c r="BG598" i="1"/>
  <c r="BG630" i="1"/>
  <c r="BG662" i="1"/>
  <c r="BG694" i="1"/>
  <c r="BG726" i="1"/>
  <c r="BG758" i="1"/>
  <c r="BG790" i="1"/>
  <c r="BG822" i="1"/>
  <c r="BG854" i="1"/>
  <c r="BG886" i="1"/>
  <c r="BG918" i="1"/>
  <c r="BG950" i="1"/>
  <c r="BG982" i="1"/>
  <c r="BG1046" i="1"/>
  <c r="BG1078" i="1"/>
  <c r="BG1110" i="1"/>
  <c r="BG1142" i="1"/>
  <c r="BG47" i="1"/>
  <c r="BG79" i="1"/>
  <c r="BG111" i="1"/>
  <c r="BG143" i="1"/>
  <c r="BG175" i="1"/>
  <c r="BG207" i="1"/>
  <c r="BG239" i="1"/>
  <c r="BG271" i="1"/>
  <c r="BG303" i="1"/>
  <c r="BG335" i="1"/>
  <c r="BG367" i="1"/>
  <c r="BG399" i="1"/>
  <c r="BG431" i="1"/>
  <c r="BG463" i="1"/>
  <c r="BG495" i="1"/>
  <c r="BG527" i="1"/>
  <c r="BG559" i="1"/>
  <c r="BG591" i="1"/>
  <c r="BG623" i="1"/>
  <c r="BG655" i="1"/>
  <c r="BG687" i="1"/>
  <c r="BG719" i="1"/>
  <c r="BG751" i="1"/>
  <c r="BG783" i="1"/>
  <c r="BG815" i="1"/>
  <c r="BG847" i="1"/>
  <c r="BG879" i="1"/>
  <c r="BG911" i="1"/>
  <c r="BG943" i="1"/>
  <c r="BG975" i="1"/>
  <c r="BG1007" i="1"/>
  <c r="BG1039" i="1"/>
  <c r="BG1071" i="1"/>
  <c r="BG1103" i="1"/>
  <c r="BG1135" i="1"/>
  <c r="BG40" i="1"/>
  <c r="BG72" i="1"/>
  <c r="BG104" i="1"/>
  <c r="BG136" i="1"/>
  <c r="BG168" i="1"/>
  <c r="BG200" i="1"/>
  <c r="BG232" i="1"/>
  <c r="BG264" i="1"/>
  <c r="BG296" i="1"/>
  <c r="BG328" i="1"/>
  <c r="BG360" i="1"/>
  <c r="BG392" i="1"/>
  <c r="BG424" i="1"/>
  <c r="BG456" i="1"/>
  <c r="BG488" i="1"/>
  <c r="BG520" i="1"/>
  <c r="BG552" i="1"/>
  <c r="BG584" i="1"/>
  <c r="BG616" i="1"/>
  <c r="BG648" i="1"/>
  <c r="BG680" i="1"/>
  <c r="BG712" i="1"/>
  <c r="BG744" i="1"/>
  <c r="BG776" i="1"/>
  <c r="BG33" i="1"/>
  <c r="BG65" i="1"/>
  <c r="BG97" i="1"/>
  <c r="BG129" i="1"/>
  <c r="BG161" i="1"/>
  <c r="BG193" i="1"/>
  <c r="BG225" i="1"/>
  <c r="BG257" i="1"/>
  <c r="BG289" i="1"/>
  <c r="BG321" i="1"/>
  <c r="BG353" i="1"/>
  <c r="BG385" i="1"/>
  <c r="BG417" i="1"/>
  <c r="BG449" i="1"/>
  <c r="BG481" i="1"/>
  <c r="BG513" i="1"/>
  <c r="BG545" i="1"/>
  <c r="BG577" i="1"/>
  <c r="BG808" i="1"/>
  <c r="BG840" i="1"/>
  <c r="BG872" i="1"/>
  <c r="BG904" i="1"/>
  <c r="BG936" i="1"/>
  <c r="BG1008" i="1"/>
  <c r="BG1136" i="1"/>
  <c r="BG1256" i="1"/>
  <c r="BG953" i="1"/>
  <c r="BG1137" i="1"/>
  <c r="BG1281" i="1"/>
  <c r="BG578" i="1"/>
  <c r="BG762" i="1"/>
  <c r="BG1034" i="1"/>
  <c r="BG1218" i="1"/>
  <c r="BG139" i="1"/>
  <c r="BG355" i="1"/>
  <c r="BG595" i="1"/>
  <c r="BG819" i="1"/>
  <c r="BG1027" i="1"/>
  <c r="BG1227" i="1"/>
  <c r="BG1292" i="1"/>
  <c r="BG625" i="1"/>
  <c r="BG657" i="1"/>
  <c r="BG689" i="1"/>
  <c r="BG721" i="1"/>
  <c r="BG753" i="1"/>
  <c r="BG785" i="1"/>
  <c r="BG817" i="1"/>
  <c r="BG849" i="1"/>
  <c r="BG945" i="1"/>
  <c r="BG1113" i="1"/>
  <c r="BG1297" i="1"/>
  <c r="BG586" i="1"/>
  <c r="BG778" i="1"/>
  <c r="BG954" i="1"/>
  <c r="BG1138" i="1"/>
  <c r="BG59" i="1"/>
  <c r="BG291" i="1"/>
  <c r="BG523" i="1"/>
  <c r="BG747" i="1"/>
  <c r="BG1051" i="1"/>
  <c r="BG1291" i="1"/>
  <c r="BG26" i="1"/>
  <c r="BG58" i="1"/>
  <c r="BG90" i="1"/>
  <c r="BG122" i="1"/>
  <c r="BG186" i="1"/>
  <c r="BG250" i="1"/>
  <c r="BG282" i="1"/>
  <c r="BG314" i="1"/>
  <c r="BG346" i="1"/>
  <c r="BG378" i="1"/>
  <c r="BG410" i="1"/>
  <c r="BG562" i="1"/>
  <c r="BG738" i="1"/>
  <c r="BG914" i="1"/>
  <c r="BG1074" i="1"/>
  <c r="BG1282" i="1"/>
  <c r="BG203" i="1"/>
  <c r="BG403" i="1"/>
  <c r="BG627" i="1"/>
  <c r="BG851" i="1"/>
  <c r="BG1083" i="1"/>
  <c r="BG1275" i="1"/>
  <c r="BG43" i="1"/>
  <c r="BG283" i="1"/>
  <c r="BG483" i="1"/>
  <c r="BG699" i="1"/>
  <c r="BG899" i="1"/>
  <c r="BG1131" i="1"/>
  <c r="BG1228" i="1"/>
  <c r="BG1260" i="1"/>
  <c r="BG1237" i="1"/>
  <c r="BG1269" i="1"/>
  <c r="BG1301" i="1"/>
  <c r="BG1302" i="1"/>
  <c r="BG992" i="1"/>
  <c r="BG1120" i="1"/>
  <c r="BG1216" i="1"/>
  <c r="BG881" i="1"/>
  <c r="BG1049" i="1"/>
  <c r="BG1185" i="1"/>
  <c r="BG450" i="1"/>
  <c r="BG706" i="1"/>
  <c r="BG882" i="1"/>
  <c r="BG1058" i="1"/>
  <c r="BG1250" i="1"/>
  <c r="BG211" i="1"/>
  <c r="BG419" i="1"/>
  <c r="BG603" i="1"/>
  <c r="BG835" i="1"/>
  <c r="BG1035" i="1"/>
  <c r="BG1243" i="1"/>
  <c r="BG1252" i="1"/>
  <c r="BG1174" i="1"/>
  <c r="BG1206" i="1"/>
  <c r="BG1238" i="1"/>
  <c r="BG1278" i="1"/>
  <c r="BG1311" i="1"/>
  <c r="BG1248" i="1"/>
  <c r="BG937" i="1"/>
  <c r="BG1097" i="1"/>
  <c r="BG1257" i="1"/>
  <c r="BG530" i="1"/>
  <c r="BG698" i="1"/>
  <c r="BG890" i="1"/>
  <c r="BG1050" i="1"/>
  <c r="BG1242" i="1"/>
  <c r="BG171" i="1"/>
  <c r="BG387" i="1"/>
  <c r="BG563" i="1"/>
  <c r="BG779" i="1"/>
  <c r="BG995" i="1"/>
  <c r="BG1203" i="1"/>
  <c r="BG1244" i="1"/>
  <c r="BG1167" i="1"/>
  <c r="BG1199" i="1"/>
  <c r="BG1231" i="1"/>
  <c r="BG1263" i="1"/>
  <c r="BG1016" i="1"/>
  <c r="BG1152" i="1"/>
  <c r="BG1264" i="1"/>
  <c r="BG961" i="1"/>
  <c r="BG1105" i="1"/>
  <c r="BG1273" i="1"/>
  <c r="BG594" i="1"/>
  <c r="BG770" i="1"/>
  <c r="BG1018" i="1"/>
  <c r="BG1210" i="1"/>
  <c r="BG99" i="1"/>
  <c r="BG315" i="1"/>
  <c r="BG675" i="1"/>
  <c r="BG923" i="1"/>
  <c r="BG1115" i="1"/>
  <c r="BG1164" i="1"/>
  <c r="BG965" i="1"/>
  <c r="BG94" i="1"/>
  <c r="BG1015" i="1"/>
  <c r="BG322" i="1"/>
  <c r="BG1189" i="1"/>
  <c r="BG30" i="1"/>
  <c r="BG62" i="1"/>
  <c r="BG126" i="1"/>
  <c r="BG158" i="1"/>
  <c r="BG190" i="1"/>
  <c r="BG222" i="1"/>
  <c r="BG254" i="1"/>
  <c r="BG286" i="1"/>
  <c r="BG318" i="1"/>
  <c r="BG350" i="1"/>
  <c r="BG382" i="1"/>
  <c r="BG414" i="1"/>
  <c r="BG446" i="1"/>
  <c r="BG478" i="1"/>
  <c r="BG510" i="1"/>
  <c r="BG542" i="1"/>
  <c r="BG574" i="1"/>
  <c r="BG606" i="1"/>
  <c r="BG638" i="1"/>
  <c r="BG670" i="1"/>
  <c r="BG702" i="1"/>
  <c r="BG734" i="1"/>
  <c r="BG766" i="1"/>
  <c r="BG798" i="1"/>
  <c r="BG830" i="1"/>
  <c r="BG862" i="1"/>
  <c r="BG894" i="1"/>
  <c r="BG926" i="1"/>
  <c r="BG958" i="1"/>
  <c r="BG990" i="1"/>
  <c r="BG1022" i="1"/>
  <c r="BG1054" i="1"/>
  <c r="BG1086" i="1"/>
  <c r="BG1118" i="1"/>
  <c r="BG23" i="1"/>
  <c r="BG55" i="1"/>
  <c r="BG87" i="1"/>
  <c r="BG119" i="1"/>
  <c r="BG151" i="1"/>
  <c r="BG183" i="1"/>
  <c r="BG215" i="1"/>
  <c r="BG247" i="1"/>
  <c r="BG279" i="1"/>
  <c r="BG311" i="1"/>
  <c r="BG343" i="1"/>
  <c r="BG375" i="1"/>
  <c r="BG407" i="1"/>
  <c r="BG439" i="1"/>
  <c r="BG471" i="1"/>
  <c r="BG503" i="1"/>
  <c r="BG535" i="1"/>
  <c r="BG567" i="1"/>
  <c r="BG599" i="1"/>
  <c r="BG631" i="1"/>
  <c r="BG663" i="1"/>
  <c r="BG695" i="1"/>
  <c r="BG727" i="1"/>
  <c r="BG759" i="1"/>
  <c r="BG791" i="1"/>
  <c r="BG823" i="1"/>
  <c r="BG855" i="1"/>
  <c r="BG887" i="1"/>
  <c r="BG919" i="1"/>
  <c r="BG951" i="1"/>
  <c r="BG983" i="1"/>
  <c r="BG1047" i="1"/>
  <c r="BG1079" i="1"/>
  <c r="BG1111" i="1"/>
  <c r="BG1143" i="1"/>
  <c r="BG48" i="1"/>
  <c r="BG80" i="1"/>
  <c r="BG112" i="1"/>
  <c r="BG144" i="1"/>
  <c r="BG176" i="1"/>
  <c r="BG208" i="1"/>
  <c r="BG240" i="1"/>
  <c r="BG272" i="1"/>
  <c r="BG304" i="1"/>
  <c r="BG336" i="1"/>
  <c r="BG368" i="1"/>
  <c r="BG400" i="1"/>
  <c r="BG432" i="1"/>
  <c r="BG464" i="1"/>
  <c r="BG496" i="1"/>
  <c r="BG528" i="1"/>
  <c r="BG560" i="1"/>
  <c r="BG592" i="1"/>
  <c r="BG624" i="1"/>
  <c r="BG656" i="1"/>
  <c r="BG688" i="1"/>
  <c r="BG720" i="1"/>
  <c r="BG752" i="1"/>
  <c r="BG784" i="1"/>
  <c r="BG41" i="1"/>
  <c r="BG73" i="1"/>
  <c r="BG105" i="1"/>
  <c r="BG137" i="1"/>
  <c r="BG169" i="1"/>
  <c r="BG201" i="1"/>
  <c r="BG233" i="1"/>
  <c r="BG265" i="1"/>
  <c r="BG297" i="1"/>
  <c r="BG329" i="1"/>
  <c r="BG361" i="1"/>
  <c r="BG393" i="1"/>
  <c r="BG425" i="1"/>
  <c r="BG457" i="1"/>
  <c r="BG489" i="1"/>
  <c r="BG521" i="1"/>
  <c r="BG553" i="1"/>
  <c r="BG585" i="1"/>
  <c r="BG816" i="1"/>
  <c r="BG848" i="1"/>
  <c r="BG880" i="1"/>
  <c r="BG912" i="1"/>
  <c r="BG944" i="1"/>
  <c r="BG1040" i="1"/>
  <c r="BG1160" i="1"/>
  <c r="BG1288" i="1"/>
  <c r="BG993" i="1"/>
  <c r="BG1177" i="1"/>
  <c r="BG434" i="1"/>
  <c r="BG618" i="1"/>
  <c r="BG810" i="1"/>
  <c r="BG1082" i="1"/>
  <c r="BG1266" i="1"/>
  <c r="BG187" i="1"/>
  <c r="BG459" i="1"/>
  <c r="BG651" i="1"/>
  <c r="BG867" i="1"/>
  <c r="BG1075" i="1"/>
  <c r="BG1283" i="1"/>
  <c r="BG601" i="1"/>
  <c r="BG633" i="1"/>
  <c r="BG665" i="1"/>
  <c r="BG697" i="1"/>
  <c r="BG729" i="1"/>
  <c r="BG761" i="1"/>
  <c r="BG793" i="1"/>
  <c r="BG825" i="1"/>
  <c r="BG857" i="1"/>
  <c r="BG985" i="1"/>
  <c r="BG1153" i="1"/>
  <c r="BG442" i="1"/>
  <c r="BG634" i="1"/>
  <c r="BG826" i="1"/>
  <c r="BG994" i="1"/>
  <c r="BG1186" i="1"/>
  <c r="BG115" i="1"/>
  <c r="BG347" i="1"/>
  <c r="BG579" i="1"/>
  <c r="BG811" i="1"/>
  <c r="BG1107" i="1"/>
  <c r="BG1132" i="1"/>
  <c r="BG34" i="1"/>
  <c r="BG66" i="1"/>
  <c r="BG98" i="1"/>
  <c r="BG130" i="1"/>
  <c r="BG162" i="1"/>
  <c r="BG194" i="1"/>
  <c r="BG226" i="1"/>
  <c r="BG258" i="1"/>
  <c r="BG290" i="1"/>
  <c r="BG354" i="1"/>
  <c r="BG386" i="1"/>
  <c r="BG458" i="1"/>
  <c r="BG602" i="1"/>
  <c r="BG786" i="1"/>
  <c r="BG946" i="1"/>
  <c r="BG1122" i="1"/>
  <c r="BG51" i="1"/>
  <c r="BG251" i="1"/>
  <c r="BG443" i="1"/>
  <c r="BG691" i="1"/>
  <c r="BG915" i="1"/>
  <c r="BG1139" i="1"/>
  <c r="BG1172" i="1"/>
  <c r="BG75" i="1"/>
  <c r="BG339" i="1"/>
  <c r="BG531" i="1"/>
  <c r="BG755" i="1"/>
  <c r="BG955" i="1"/>
  <c r="BG1251" i="1"/>
  <c r="BG1284" i="1"/>
  <c r="BG1213" i="1"/>
  <c r="BG1245" i="1"/>
  <c r="BG1277" i="1"/>
  <c r="BG1309" i="1"/>
  <c r="BG1271" i="1"/>
  <c r="BG1024" i="1"/>
  <c r="BG1144" i="1"/>
  <c r="BG1240" i="1"/>
  <c r="BG929" i="1"/>
  <c r="BG1089" i="1"/>
  <c r="BG1225" i="1"/>
  <c r="BG474" i="1"/>
  <c r="BG754" i="1"/>
  <c r="BG922" i="1"/>
  <c r="BG1106" i="1"/>
  <c r="BG1298" i="1"/>
  <c r="BG267" i="1"/>
  <c r="BG451" i="1"/>
  <c r="BG659" i="1"/>
  <c r="BG883" i="1"/>
  <c r="BG1091" i="1"/>
  <c r="BG1299" i="1"/>
  <c r="BG1150" i="1"/>
  <c r="BG1182" i="1"/>
  <c r="BG1214" i="1"/>
  <c r="BG1246" i="1"/>
  <c r="BG1294" i="1"/>
  <c r="BG976" i="1"/>
  <c r="BG1096" i="1"/>
  <c r="BG1280" i="1"/>
  <c r="BG977" i="1"/>
  <c r="BG1129" i="1"/>
  <c r="BG1289" i="1"/>
  <c r="BG570" i="1"/>
  <c r="BG746" i="1"/>
  <c r="BG930" i="1"/>
  <c r="BG1098" i="1"/>
  <c r="BG1290" i="1"/>
  <c r="BG219" i="1"/>
  <c r="BG427" i="1"/>
  <c r="BG611" i="1"/>
  <c r="BG827" i="1"/>
  <c r="BG1043" i="1"/>
  <c r="BG1267" i="1"/>
  <c r="BG1308" i="1"/>
  <c r="BG1175" i="1"/>
  <c r="BG1207" i="1"/>
  <c r="BG1239" i="1"/>
  <c r="BG1279" i="1"/>
  <c r="BG1048" i="1"/>
  <c r="BG1184" i="1"/>
  <c r="BG1296" i="1"/>
  <c r="BG1001" i="1"/>
  <c r="BG1161" i="1"/>
  <c r="BG418" i="1"/>
  <c r="BG626" i="1"/>
  <c r="BG818" i="1"/>
  <c r="BG1066" i="1"/>
  <c r="BG1258" i="1"/>
  <c r="BG147" i="1"/>
  <c r="BG371" i="1"/>
  <c r="BG731" i="1"/>
  <c r="BG971" i="1"/>
  <c r="BG1163" i="1"/>
  <c r="BG1300" i="1"/>
  <c r="AS507" i="1"/>
  <c r="Z507" i="1"/>
  <c r="Y507" i="1"/>
  <c r="AS506" i="1"/>
  <c r="Y506" i="1"/>
  <c r="Z506" i="1"/>
  <c r="AI508" i="1"/>
  <c r="AS508" i="1"/>
  <c r="Z508" i="1"/>
  <c r="Y508" i="1"/>
  <c r="AI505" i="1"/>
  <c r="AS505" i="1"/>
  <c r="Z505" i="1"/>
  <c r="Y505" i="1"/>
  <c r="AI248" i="14"/>
  <c r="AI32" i="14"/>
  <c r="AI31" i="14"/>
  <c r="BB253" i="14"/>
  <c r="BH253" i="14" s="1"/>
  <c r="AI250" i="14"/>
  <c r="AI219" i="14"/>
  <c r="AI249" i="14"/>
  <c r="AI253" i="14"/>
  <c r="BB32" i="14"/>
  <c r="BB251" i="14"/>
  <c r="BB217" i="14"/>
  <c r="Z250" i="14"/>
  <c r="BB249" i="14"/>
  <c r="AI220" i="14"/>
  <c r="AH222" i="14"/>
  <c r="AI215" i="14"/>
  <c r="Y252" i="14"/>
  <c r="AI214" i="14"/>
  <c r="Y218" i="14"/>
  <c r="AI254" i="14"/>
  <c r="AI213" i="14"/>
  <c r="Y248" i="14"/>
  <c r="AI222" i="14"/>
  <c r="Z254" i="14"/>
  <c r="AI221" i="14"/>
  <c r="Z220" i="14"/>
  <c r="Z214" i="14"/>
  <c r="BB215" i="14"/>
  <c r="BB31" i="14"/>
  <c r="BB221" i="14"/>
  <c r="BB213" i="14"/>
  <c r="AI223" i="14"/>
  <c r="Z221" i="14"/>
  <c r="Z213" i="14"/>
  <c r="Y253" i="14"/>
  <c r="Y219" i="14"/>
  <c r="Y249" i="14"/>
  <c r="Y251" i="14"/>
  <c r="Y217" i="14"/>
  <c r="Y32" i="14"/>
  <c r="Z252" i="14"/>
  <c r="Z218" i="14"/>
  <c r="Y224" i="14"/>
  <c r="Y216" i="14"/>
  <c r="Y247" i="14"/>
  <c r="Z251" i="14"/>
  <c r="Z217" i="14"/>
  <c r="Y223" i="14"/>
  <c r="Y215" i="14"/>
  <c r="Y31" i="14"/>
  <c r="Z224" i="14"/>
  <c r="Z216" i="14"/>
  <c r="Z247" i="14"/>
  <c r="Y222" i="14"/>
  <c r="BG217" i="14" l="1"/>
  <c r="BH217" i="14"/>
  <c r="BG251" i="14"/>
  <c r="BH251" i="14"/>
  <c r="BG215" i="14"/>
  <c r="BH215" i="14"/>
  <c r="BG32" i="14"/>
  <c r="BH32" i="14"/>
  <c r="BG213" i="14"/>
  <c r="BH213" i="14"/>
  <c r="BG221" i="14"/>
  <c r="BH221" i="14"/>
  <c r="BG31" i="14"/>
  <c r="BH31" i="14"/>
  <c r="BG249" i="14"/>
  <c r="BH249" i="14"/>
  <c r="BG253" i="14"/>
  <c r="BB218" i="14"/>
  <c r="BH218" i="14" s="1"/>
  <c r="BB248" i="14"/>
  <c r="BB247" i="14"/>
  <c r="BH247" i="14" s="1"/>
  <c r="BB224" i="14"/>
  <c r="BB223" i="14"/>
  <c r="BH223" i="14" s="1"/>
  <c r="BB216" i="14"/>
  <c r="BH216" i="14" s="1"/>
  <c r="BB219" i="14"/>
  <c r="BB220" i="14"/>
  <c r="BB252" i="14"/>
  <c r="BB250" i="14"/>
  <c r="BB254" i="14"/>
  <c r="BB214" i="14"/>
  <c r="BB222" i="14"/>
  <c r="AL508" i="1"/>
  <c r="BG220" i="14" l="1"/>
  <c r="BH220" i="14"/>
  <c r="BG214" i="14"/>
  <c r="BH214" i="14"/>
  <c r="BG252" i="14"/>
  <c r="BH252" i="14"/>
  <c r="BG219" i="14"/>
  <c r="BH219" i="14"/>
  <c r="BG222" i="14"/>
  <c r="BH222" i="14"/>
  <c r="BG224" i="14"/>
  <c r="BH224" i="14"/>
  <c r="BG254" i="14"/>
  <c r="BH254" i="14"/>
  <c r="BG250" i="14"/>
  <c r="BH250" i="14"/>
  <c r="BG248" i="14"/>
  <c r="BH248" i="14"/>
  <c r="BG223" i="14"/>
  <c r="BG247" i="14"/>
  <c r="BG216" i="14"/>
  <c r="BG218" i="14"/>
  <c r="AF209" i="14" l="1"/>
  <c r="AS209" i="14" s="1"/>
  <c r="AF208" i="14"/>
  <c r="AS208" i="14" s="1"/>
  <c r="AF207" i="14"/>
  <c r="AS207" i="14" s="1"/>
  <c r="AF30" i="14"/>
  <c r="AS30" i="14" s="1"/>
  <c r="AF29" i="14"/>
  <c r="AS29" i="14" s="1"/>
  <c r="AF212" i="14"/>
  <c r="AS212" i="14" s="1"/>
  <c r="AF211" i="14"/>
  <c r="AS211" i="14" s="1"/>
  <c r="AF28" i="14"/>
  <c r="AS28" i="14" s="1"/>
  <c r="AF206" i="14"/>
  <c r="AS206" i="14" s="1"/>
  <c r="AF205" i="14"/>
  <c r="AS205" i="14" s="1"/>
  <c r="AF204" i="14"/>
  <c r="AF210" i="14"/>
  <c r="AF203" i="14"/>
  <c r="AS203" i="14" s="1"/>
  <c r="AF202" i="14"/>
  <c r="AS202" i="14" s="1"/>
  <c r="AF201" i="14"/>
  <c r="AS201" i="14" s="1"/>
  <c r="AF200" i="14"/>
  <c r="AS200" i="14" s="1"/>
  <c r="AF199" i="14"/>
  <c r="AS199" i="14" s="1"/>
  <c r="AF198" i="14"/>
  <c r="AS198" i="14" s="1"/>
  <c r="AF197" i="14"/>
  <c r="AS197" i="14" s="1"/>
  <c r="AF196" i="14"/>
  <c r="AS196" i="14" s="1"/>
  <c r="AF195" i="14"/>
  <c r="AS195" i="14" s="1"/>
  <c r="AF194" i="14"/>
  <c r="AS194" i="14" s="1"/>
  <c r="AF193" i="14"/>
  <c r="AS193" i="14" s="1"/>
  <c r="AF192" i="14"/>
  <c r="AS192" i="14" s="1"/>
  <c r="AF191" i="14"/>
  <c r="AS191" i="14" s="1"/>
  <c r="AF190" i="14"/>
  <c r="AS190" i="14" s="1"/>
  <c r="AF246" i="14"/>
  <c r="AS246" i="14" s="1"/>
  <c r="AF189" i="14"/>
  <c r="AS189" i="14" s="1"/>
  <c r="AF188" i="14"/>
  <c r="AS188" i="14" s="1"/>
  <c r="AF187" i="14"/>
  <c r="AS187" i="14" s="1"/>
  <c r="AF186" i="14"/>
  <c r="AS186" i="14" s="1"/>
  <c r="AF185" i="14"/>
  <c r="AS185" i="14" s="1"/>
  <c r="AF184" i="14"/>
  <c r="AS184" i="14" s="1"/>
  <c r="AF183" i="14"/>
  <c r="AS183" i="14" s="1"/>
  <c r="AF182" i="14"/>
  <c r="AS182" i="14" s="1"/>
  <c r="AF181" i="14"/>
  <c r="AS181" i="14" s="1"/>
  <c r="AF180" i="14"/>
  <c r="AS180" i="14" s="1"/>
  <c r="AF179" i="14"/>
  <c r="AS179" i="14" s="1"/>
  <c r="AF178" i="14"/>
  <c r="AS178" i="14" s="1"/>
  <c r="AF177" i="14"/>
  <c r="AS177" i="14" s="1"/>
  <c r="AF176" i="14"/>
  <c r="AS176" i="14" s="1"/>
  <c r="AF175" i="14"/>
  <c r="AS175" i="14" s="1"/>
  <c r="AF174" i="14"/>
  <c r="AS174" i="14" s="1"/>
  <c r="AF173" i="14"/>
  <c r="AS173" i="14" s="1"/>
  <c r="AF172" i="14"/>
  <c r="AS172" i="14" s="1"/>
  <c r="AF171" i="14"/>
  <c r="AS171" i="14" s="1"/>
  <c r="AF170" i="14"/>
  <c r="AS170" i="14" s="1"/>
  <c r="AF169" i="14"/>
  <c r="AS169" i="14" s="1"/>
  <c r="AF168" i="14"/>
  <c r="AF167" i="14"/>
  <c r="AS167" i="14" s="1"/>
  <c r="AF245" i="14"/>
  <c r="AF166" i="14"/>
  <c r="AS166" i="14" s="1"/>
  <c r="AF165" i="14"/>
  <c r="AS165" i="14" s="1"/>
  <c r="AF164" i="14"/>
  <c r="AS164" i="14" s="1"/>
  <c r="AF163" i="14"/>
  <c r="AS163" i="14" s="1"/>
  <c r="AF162" i="14"/>
  <c r="AS162" i="14" s="1"/>
  <c r="AF161" i="14"/>
  <c r="AS161" i="14" s="1"/>
  <c r="AF160" i="14"/>
  <c r="AS160" i="14" s="1"/>
  <c r="AF159" i="14"/>
  <c r="AS159" i="14" s="1"/>
  <c r="AF158" i="14"/>
  <c r="AS158" i="14" s="1"/>
  <c r="AF157" i="14"/>
  <c r="AS157" i="14" s="1"/>
  <c r="AF156" i="14"/>
  <c r="AS156" i="14" s="1"/>
  <c r="AF155" i="14"/>
  <c r="AF154" i="14"/>
  <c r="AS154" i="14" s="1"/>
  <c r="AF153" i="14"/>
  <c r="AS153" i="14" s="1"/>
  <c r="AF152" i="14"/>
  <c r="AS152" i="14" s="1"/>
  <c r="AF244" i="14"/>
  <c r="AS244" i="14" s="1"/>
  <c r="AF243" i="14"/>
  <c r="AS243" i="14" s="1"/>
  <c r="AF151" i="14"/>
  <c r="AS151" i="14" s="1"/>
  <c r="AF150" i="14"/>
  <c r="AS150" i="14" s="1"/>
  <c r="AF149" i="14"/>
  <c r="AS149" i="14" s="1"/>
  <c r="AF148" i="14"/>
  <c r="AS148" i="14" s="1"/>
  <c r="AF147" i="14"/>
  <c r="AS147" i="14" s="1"/>
  <c r="AF146" i="14"/>
  <c r="AS146" i="14" s="1"/>
  <c r="AF145" i="14"/>
  <c r="AS145" i="14" s="1"/>
  <c r="AF144" i="14"/>
  <c r="AS144" i="14" s="1"/>
  <c r="AF143" i="14"/>
  <c r="AS143" i="14" s="1"/>
  <c r="AF142" i="14"/>
  <c r="AS142" i="14" s="1"/>
  <c r="AF141" i="14"/>
  <c r="AS141" i="14" s="1"/>
  <c r="AF140" i="14"/>
  <c r="AS140" i="14" s="1"/>
  <c r="AF139" i="14"/>
  <c r="AS139" i="14" s="1"/>
  <c r="AF138" i="14"/>
  <c r="AS138" i="14" s="1"/>
  <c r="AF137" i="14"/>
  <c r="AS137" i="14" s="1"/>
  <c r="AF242" i="14"/>
  <c r="AS242" i="14" s="1"/>
  <c r="AF136" i="14"/>
  <c r="AS136" i="14" s="1"/>
  <c r="AF135" i="14"/>
  <c r="AF134" i="14"/>
  <c r="AS134" i="14" s="1"/>
  <c r="AF133" i="14"/>
  <c r="AS133" i="14" s="1"/>
  <c r="AF132" i="14"/>
  <c r="AS132" i="14" s="1"/>
  <c r="AF273" i="14"/>
  <c r="AS273" i="14" s="1"/>
  <c r="AF131" i="14"/>
  <c r="AS131" i="14" s="1"/>
  <c r="AF272" i="14"/>
  <c r="AS272" i="14" s="1"/>
  <c r="AF271" i="14"/>
  <c r="AS271" i="14" s="1"/>
  <c r="AF270" i="14"/>
  <c r="AS270" i="14" s="1"/>
  <c r="AF269" i="14"/>
  <c r="AS269" i="14" s="1"/>
  <c r="AF130" i="14"/>
  <c r="AS130" i="14" s="1"/>
  <c r="AF129" i="14"/>
  <c r="AS129" i="14" s="1"/>
  <c r="AF128" i="14"/>
  <c r="AS128" i="14" s="1"/>
  <c r="AF127" i="14"/>
  <c r="AS127" i="14" s="1"/>
  <c r="AF126" i="14"/>
  <c r="AS126" i="14" s="1"/>
  <c r="AF125" i="14"/>
  <c r="AS125" i="14" s="1"/>
  <c r="AF124" i="14"/>
  <c r="AS124" i="14" s="1"/>
  <c r="AF123" i="14"/>
  <c r="AS123" i="14" s="1"/>
  <c r="AF122" i="14"/>
  <c r="AS122" i="14" s="1"/>
  <c r="AF268" i="14"/>
  <c r="AS268" i="14" s="1"/>
  <c r="AF267" i="14"/>
  <c r="AS267" i="14" s="1"/>
  <c r="AF121" i="14"/>
  <c r="AS121" i="14" s="1"/>
  <c r="AF266" i="14"/>
  <c r="AS266" i="14" s="1"/>
  <c r="AF265" i="14"/>
  <c r="AS265" i="14" s="1"/>
  <c r="AF264" i="14"/>
  <c r="AS264" i="14" s="1"/>
  <c r="AF263" i="14"/>
  <c r="AS263" i="14" s="1"/>
  <c r="AF120" i="14"/>
  <c r="AS120" i="14" s="1"/>
  <c r="AF262" i="14"/>
  <c r="AS262" i="14" s="1"/>
  <c r="AF261" i="14"/>
  <c r="AS261" i="14" s="1"/>
  <c r="AF119" i="14"/>
  <c r="AS119" i="14" s="1"/>
  <c r="AF260" i="14"/>
  <c r="AS260" i="14" s="1"/>
  <c r="AF259" i="14"/>
  <c r="AS259" i="14" s="1"/>
  <c r="AF118" i="14"/>
  <c r="AS118" i="14" s="1"/>
  <c r="AF117" i="14"/>
  <c r="AS117" i="14" s="1"/>
  <c r="AF258" i="14"/>
  <c r="AS258" i="14" s="1"/>
  <c r="AF116" i="14"/>
  <c r="AS116" i="14" s="1"/>
  <c r="AF115" i="14"/>
  <c r="AS115" i="14" s="1"/>
  <c r="AF257" i="14"/>
  <c r="AS257" i="14" s="1"/>
  <c r="AF114" i="14"/>
  <c r="AS114" i="14" s="1"/>
  <c r="AF113" i="14"/>
  <c r="AS113" i="14" s="1"/>
  <c r="AF112" i="14"/>
  <c r="AF256" i="14"/>
  <c r="AS256" i="14" s="1"/>
  <c r="AF255" i="14"/>
  <c r="AF241" i="14"/>
  <c r="AS241" i="14" s="1"/>
  <c r="AF111" i="14"/>
  <c r="AS111" i="14" s="1"/>
  <c r="AF110" i="14"/>
  <c r="AS110" i="14" s="1"/>
  <c r="AF109" i="14"/>
  <c r="AS109" i="14" s="1"/>
  <c r="AF108" i="14"/>
  <c r="AS108" i="14" s="1"/>
  <c r="AF240" i="14"/>
  <c r="AS240" i="14" s="1"/>
  <c r="AF107" i="14"/>
  <c r="AS107" i="14" s="1"/>
  <c r="AF106" i="14"/>
  <c r="AS106" i="14" s="1"/>
  <c r="AF105" i="14"/>
  <c r="AS105" i="14" s="1"/>
  <c r="AF104" i="14"/>
  <c r="AS104" i="14" s="1"/>
  <c r="AF103" i="14"/>
  <c r="AS103" i="14" s="1"/>
  <c r="AF102" i="14"/>
  <c r="AS102" i="14" s="1"/>
  <c r="AF101" i="14"/>
  <c r="AS101" i="14" s="1"/>
  <c r="AF100" i="14"/>
  <c r="AS100" i="14" s="1"/>
  <c r="AF99" i="14"/>
  <c r="AS99" i="14" s="1"/>
  <c r="AF98" i="14"/>
  <c r="AS98" i="14" s="1"/>
  <c r="AF97" i="14"/>
  <c r="AS97" i="14" s="1"/>
  <c r="AF96" i="14"/>
  <c r="AS96" i="14" s="1"/>
  <c r="AF95" i="14"/>
  <c r="AS95" i="14" s="1"/>
  <c r="AF94" i="14"/>
  <c r="AS94" i="14" s="1"/>
  <c r="AF93" i="14"/>
  <c r="AS93" i="14" s="1"/>
  <c r="AF92" i="14"/>
  <c r="AS92" i="14" s="1"/>
  <c r="AF91" i="14"/>
  <c r="AS91" i="14" s="1"/>
  <c r="AF90" i="14"/>
  <c r="AS90" i="14" s="1"/>
  <c r="AF89" i="14"/>
  <c r="AS89" i="14" s="1"/>
  <c r="AF88" i="14"/>
  <c r="AS88" i="14" s="1"/>
  <c r="AF87" i="14"/>
  <c r="AS87" i="14" s="1"/>
  <c r="AF86" i="14"/>
  <c r="AS86" i="14" s="1"/>
  <c r="AF85" i="14"/>
  <c r="AS85" i="14" s="1"/>
  <c r="AF84" i="14"/>
  <c r="AS84" i="14" s="1"/>
  <c r="AF83" i="14"/>
  <c r="AS83" i="14" s="1"/>
  <c r="AF82" i="14"/>
  <c r="AS82" i="14" s="1"/>
  <c r="AF81" i="14"/>
  <c r="AS81" i="14" s="1"/>
  <c r="AF80" i="14"/>
  <c r="AS80" i="14" s="1"/>
  <c r="AF239" i="14"/>
  <c r="AF79" i="14"/>
  <c r="AF78" i="14"/>
  <c r="AS78" i="14" s="1"/>
  <c r="AF77" i="14"/>
  <c r="AS77" i="14" s="1"/>
  <c r="AF76" i="14"/>
  <c r="AS76" i="14" s="1"/>
  <c r="AF75" i="14"/>
  <c r="AS75" i="14" s="1"/>
  <c r="AF74" i="14"/>
  <c r="AS74" i="14" s="1"/>
  <c r="AF73" i="14"/>
  <c r="AS73" i="14" s="1"/>
  <c r="AF72" i="14"/>
  <c r="AS72" i="14" s="1"/>
  <c r="AF71" i="14"/>
  <c r="AS71" i="14" s="1"/>
  <c r="AF70" i="14"/>
  <c r="AS70" i="14" s="1"/>
  <c r="AF69" i="14"/>
  <c r="AS69" i="14" s="1"/>
  <c r="AF68" i="14"/>
  <c r="AS68" i="14" s="1"/>
  <c r="AF67" i="14"/>
  <c r="AS67" i="14" s="1"/>
  <c r="AF66" i="14"/>
  <c r="AS66" i="14" s="1"/>
  <c r="AF65" i="14"/>
  <c r="AS65" i="14" s="1"/>
  <c r="AF64" i="14"/>
  <c r="AS64" i="14" s="1"/>
  <c r="AF63" i="14"/>
  <c r="AS63" i="14" s="1"/>
  <c r="AF62" i="14"/>
  <c r="AS62" i="14" s="1"/>
  <c r="AF61" i="14"/>
  <c r="AS61" i="14" s="1"/>
  <c r="AF60" i="14"/>
  <c r="AS60" i="14" s="1"/>
  <c r="AF59" i="14"/>
  <c r="AS59" i="14" s="1"/>
  <c r="AF58" i="14"/>
  <c r="AS58" i="14" s="1"/>
  <c r="AF57" i="14"/>
  <c r="AS57" i="14" s="1"/>
  <c r="AF27" i="14"/>
  <c r="AS27" i="14" s="1"/>
  <c r="AF56" i="14"/>
  <c r="AS56" i="14" s="1"/>
  <c r="AF55" i="14"/>
  <c r="AS55" i="14" s="1"/>
  <c r="AF54" i="14"/>
  <c r="AF53" i="14"/>
  <c r="AS53" i="14" s="1"/>
  <c r="AF52" i="14"/>
  <c r="AS52" i="14" s="1"/>
  <c r="AF51" i="14"/>
  <c r="AS51" i="14" s="1"/>
  <c r="AF238" i="14"/>
  <c r="AS238" i="14" s="1"/>
  <c r="AF50" i="14"/>
  <c r="AS50" i="14" s="1"/>
  <c r="AF49" i="14"/>
  <c r="AS49" i="14" s="1"/>
  <c r="AF237" i="14"/>
  <c r="AS237" i="14" s="1"/>
  <c r="AF48" i="14"/>
  <c r="AS48" i="14" s="1"/>
  <c r="AF47" i="14"/>
  <c r="AS47" i="14" s="1"/>
  <c r="AF46" i="14"/>
  <c r="AS46" i="14" s="1"/>
  <c r="AF236" i="14"/>
  <c r="AS236" i="14" s="1"/>
  <c r="AF235" i="14"/>
  <c r="AS235" i="14" s="1"/>
  <c r="AF45" i="14"/>
  <c r="AS45" i="14" s="1"/>
  <c r="AF44" i="14"/>
  <c r="AS44" i="14" s="1"/>
  <c r="AF43" i="14"/>
  <c r="AS43" i="14" s="1"/>
  <c r="AF42" i="14"/>
  <c r="AS42" i="14" s="1"/>
  <c r="AF41" i="14"/>
  <c r="AS41" i="14" s="1"/>
  <c r="AF40" i="14"/>
  <c r="AS40" i="14" s="1"/>
  <c r="AF39" i="14"/>
  <c r="AS39" i="14" s="1"/>
  <c r="AF38" i="14"/>
  <c r="AS38" i="14" s="1"/>
  <c r="AF37" i="14"/>
  <c r="AS37" i="14" s="1"/>
  <c r="AF36" i="14"/>
  <c r="AS36" i="14" s="1"/>
  <c r="AF234" i="14"/>
  <c r="AS234" i="14" s="1"/>
  <c r="AF233" i="14"/>
  <c r="AF35" i="14"/>
  <c r="AS35" i="14" s="1"/>
  <c r="AF34" i="14"/>
  <c r="AS34" i="14" s="1"/>
  <c r="AF33" i="14"/>
  <c r="AF26" i="14"/>
  <c r="AS26" i="14" s="1"/>
  <c r="AF25" i="14"/>
  <c r="AS25" i="14" s="1"/>
  <c r="AF232" i="14"/>
  <c r="AS232" i="14" s="1"/>
  <c r="AF231" i="14"/>
  <c r="AS231" i="14" s="1"/>
  <c r="AF230" i="14"/>
  <c r="AS230" i="14" s="1"/>
  <c r="AF229" i="14"/>
  <c r="AS229" i="14" s="1"/>
  <c r="AF228" i="14"/>
  <c r="AS228" i="14" s="1"/>
  <c r="AF24" i="14"/>
  <c r="AS24" i="14" s="1"/>
  <c r="AF23" i="14"/>
  <c r="AS23" i="14" s="1"/>
  <c r="AO22" i="14"/>
  <c r="AN22" i="14"/>
  <c r="AZ22" i="14" s="1"/>
  <c r="AM22" i="14"/>
  <c r="AF22" i="14"/>
  <c r="AF227" i="14"/>
  <c r="AS227" i="14" s="1"/>
  <c r="AF226" i="14"/>
  <c r="AS226" i="14" s="1"/>
  <c r="AF225" i="14"/>
  <c r="L20" i="14"/>
  <c r="R16" i="14"/>
  <c r="R14" i="14"/>
  <c r="R13" i="14"/>
  <c r="R12" i="14"/>
  <c r="R11" i="14"/>
  <c r="Q10" i="14"/>
  <c r="AO175" i="14" s="1"/>
  <c r="Q8" i="14"/>
  <c r="R7" i="14"/>
  <c r="R6" i="14"/>
  <c r="R5" i="14"/>
  <c r="R4" i="14"/>
  <c r="R3" i="14"/>
  <c r="AT175" i="14" l="1"/>
  <c r="AD175" i="14"/>
  <c r="AT22" i="14"/>
  <c r="BB22" i="14" s="1"/>
  <c r="AR22" i="14"/>
  <c r="BE22" i="14" s="1"/>
  <c r="AR175" i="14"/>
  <c r="BE175" i="14" s="1"/>
  <c r="AO40" i="14"/>
  <c r="AO48" i="14"/>
  <c r="AO34" i="14"/>
  <c r="AO42" i="14"/>
  <c r="AO50" i="14"/>
  <c r="AO58" i="14"/>
  <c r="AO66" i="14"/>
  <c r="AO27" i="14"/>
  <c r="AT27" i="14" s="1"/>
  <c r="AO35" i="14"/>
  <c r="AO43" i="14"/>
  <c r="AO51" i="14"/>
  <c r="AO59" i="14"/>
  <c r="AO67" i="14"/>
  <c r="AO75" i="14"/>
  <c r="AO36" i="14"/>
  <c r="AO44" i="14"/>
  <c r="AO52" i="14"/>
  <c r="AO60" i="14"/>
  <c r="AO37" i="14"/>
  <c r="AO45" i="14"/>
  <c r="AO61" i="14"/>
  <c r="AO49" i="14"/>
  <c r="AO64" i="14"/>
  <c r="AO74" i="14"/>
  <c r="AO83" i="14"/>
  <c r="AO91" i="14"/>
  <c r="AO99" i="14"/>
  <c r="AO107" i="14"/>
  <c r="AO115" i="14"/>
  <c r="AO123" i="14"/>
  <c r="AO131" i="14"/>
  <c r="AO139" i="14"/>
  <c r="AO147" i="14"/>
  <c r="AO155" i="14"/>
  <c r="AO163" i="14"/>
  <c r="AO171" i="14"/>
  <c r="AO187" i="14"/>
  <c r="AO203" i="14"/>
  <c r="AO235" i="14"/>
  <c r="AO243" i="14"/>
  <c r="AO259" i="14"/>
  <c r="AO267" i="14"/>
  <c r="AO65" i="14"/>
  <c r="AO76" i="14"/>
  <c r="AO84" i="14"/>
  <c r="AO92" i="14"/>
  <c r="AO100" i="14"/>
  <c r="AO108" i="14"/>
  <c r="AO116" i="14"/>
  <c r="AO124" i="14"/>
  <c r="AO140" i="14"/>
  <c r="AO148" i="14"/>
  <c r="AO156" i="14"/>
  <c r="AO164" i="14"/>
  <c r="AO172" i="14"/>
  <c r="AO180" i="14"/>
  <c r="AO188" i="14"/>
  <c r="AO236" i="14"/>
  <c r="AO244" i="14"/>
  <c r="AO260" i="14"/>
  <c r="AO268" i="14"/>
  <c r="AO33" i="14"/>
  <c r="AO54" i="14"/>
  <c r="AO68" i="14"/>
  <c r="AO77" i="14"/>
  <c r="AO85" i="14"/>
  <c r="AO93" i="14"/>
  <c r="AO101" i="14"/>
  <c r="AO109" i="14"/>
  <c r="AO117" i="14"/>
  <c r="AO133" i="14"/>
  <c r="AO141" i="14"/>
  <c r="AO149" i="14"/>
  <c r="AO157" i="14"/>
  <c r="AO165" i="14"/>
  <c r="AO173" i="14"/>
  <c r="AO181" i="14"/>
  <c r="AO189" i="14"/>
  <c r="AO237" i="14"/>
  <c r="AO245" i="14"/>
  <c r="AO261" i="14"/>
  <c r="AO269" i="14"/>
  <c r="AO38" i="14"/>
  <c r="AO55" i="14"/>
  <c r="AO69" i="14"/>
  <c r="AO78" i="14"/>
  <c r="AO86" i="14"/>
  <c r="AO94" i="14"/>
  <c r="AO102" i="14"/>
  <c r="AO110" i="14"/>
  <c r="AO118" i="14"/>
  <c r="AO142" i="14"/>
  <c r="AO150" i="14"/>
  <c r="AO158" i="14"/>
  <c r="AO166" i="14"/>
  <c r="AO174" i="14"/>
  <c r="AO182" i="14"/>
  <c r="AO198" i="14"/>
  <c r="AO238" i="14"/>
  <c r="AO262" i="14"/>
  <c r="AO270" i="14"/>
  <c r="AO82" i="14"/>
  <c r="AO114" i="14"/>
  <c r="AO146" i="14"/>
  <c r="AO178" i="14"/>
  <c r="AO234" i="14"/>
  <c r="AO266" i="14"/>
  <c r="AO39" i="14"/>
  <c r="AO56" i="14"/>
  <c r="AO70" i="14"/>
  <c r="AO79" i="14"/>
  <c r="AO87" i="14"/>
  <c r="AO95" i="14"/>
  <c r="AO103" i="14"/>
  <c r="AO111" i="14"/>
  <c r="AO119" i="14"/>
  <c r="AO127" i="14"/>
  <c r="AO135" i="14"/>
  <c r="AO143" i="14"/>
  <c r="AO151" i="14"/>
  <c r="AO159" i="14"/>
  <c r="AO183" i="14"/>
  <c r="AO191" i="14"/>
  <c r="AO199" i="14"/>
  <c r="AO239" i="14"/>
  <c r="AO255" i="14"/>
  <c r="AO263" i="14"/>
  <c r="AO271" i="14"/>
  <c r="AO63" i="14"/>
  <c r="AO98" i="14"/>
  <c r="AO130" i="14"/>
  <c r="AO162" i="14"/>
  <c r="AO258" i="14"/>
  <c r="AO41" i="14"/>
  <c r="AO57" i="14"/>
  <c r="AO71" i="14"/>
  <c r="AO80" i="14"/>
  <c r="AO88" i="14"/>
  <c r="AO96" i="14"/>
  <c r="AO104" i="14"/>
  <c r="AO112" i="14"/>
  <c r="AO120" i="14"/>
  <c r="AO128" i="14"/>
  <c r="AO136" i="14"/>
  <c r="AO144" i="14"/>
  <c r="AO152" i="14"/>
  <c r="AO168" i="14"/>
  <c r="AO176" i="14"/>
  <c r="AO184" i="14"/>
  <c r="AO192" i="14"/>
  <c r="AO200" i="14"/>
  <c r="AO240" i="14"/>
  <c r="AO256" i="14"/>
  <c r="AO264" i="14"/>
  <c r="AO272" i="14"/>
  <c r="AO73" i="14"/>
  <c r="AO106" i="14"/>
  <c r="AO138" i="14"/>
  <c r="AO170" i="14"/>
  <c r="AO202" i="14"/>
  <c r="AO242" i="14"/>
  <c r="AO274" i="14"/>
  <c r="AO46" i="14"/>
  <c r="AO62" i="14"/>
  <c r="AO72" i="14"/>
  <c r="AO81" i="14"/>
  <c r="AO89" i="14"/>
  <c r="AO97" i="14"/>
  <c r="AO105" i="14"/>
  <c r="AO113" i="14"/>
  <c r="AO121" i="14"/>
  <c r="AO129" i="14"/>
  <c r="AO137" i="14"/>
  <c r="AO145" i="14"/>
  <c r="AO153" i="14"/>
  <c r="AO161" i="14"/>
  <c r="AO169" i="14"/>
  <c r="AO177" i="14"/>
  <c r="AO185" i="14"/>
  <c r="AO193" i="14"/>
  <c r="AO201" i="14"/>
  <c r="AO233" i="14"/>
  <c r="AO241" i="14"/>
  <c r="AO257" i="14"/>
  <c r="AO265" i="14"/>
  <c r="AO273" i="14"/>
  <c r="AO47" i="14"/>
  <c r="AO90" i="14"/>
  <c r="AO122" i="14"/>
  <c r="AO154" i="14"/>
  <c r="AO186" i="14"/>
  <c r="AJ204" i="14"/>
  <c r="AS204" i="14"/>
  <c r="AJ22" i="14"/>
  <c r="AJ225" i="14"/>
  <c r="AS225" i="14"/>
  <c r="AJ210" i="14"/>
  <c r="AS210" i="14"/>
  <c r="AI37" i="14"/>
  <c r="AI45" i="14"/>
  <c r="Z50" i="14"/>
  <c r="AH27" i="14"/>
  <c r="AI57" i="14"/>
  <c r="Y261" i="14"/>
  <c r="Z267" i="14"/>
  <c r="AH132" i="14"/>
  <c r="AH179" i="14"/>
  <c r="Y202" i="14"/>
  <c r="AI226" i="14"/>
  <c r="Y64" i="14"/>
  <c r="Y239" i="14"/>
  <c r="Z257" i="14"/>
  <c r="AI129" i="14"/>
  <c r="AI132" i="14"/>
  <c r="Y148" i="14"/>
  <c r="AI163" i="14"/>
  <c r="AI171" i="14"/>
  <c r="AI179" i="14"/>
  <c r="Z24" i="14"/>
  <c r="Z43" i="14"/>
  <c r="Z79" i="14"/>
  <c r="Y86" i="14"/>
  <c r="Y94" i="14"/>
  <c r="Y102" i="14"/>
  <c r="Y109" i="14"/>
  <c r="AI114" i="14"/>
  <c r="Z260" i="14"/>
  <c r="AH125" i="14"/>
  <c r="AH126" i="14"/>
  <c r="Z128" i="14"/>
  <c r="AH160" i="14"/>
  <c r="Z162" i="14"/>
  <c r="Z170" i="14"/>
  <c r="AI187" i="14"/>
  <c r="AI233" i="14"/>
  <c r="AH53" i="14"/>
  <c r="Z62" i="14"/>
  <c r="AI85" i="14"/>
  <c r="Y93" i="14"/>
  <c r="AI101" i="14"/>
  <c r="AI108" i="14"/>
  <c r="Z259" i="14"/>
  <c r="Z138" i="14"/>
  <c r="Z146" i="14"/>
  <c r="Z152" i="14"/>
  <c r="AH167" i="14"/>
  <c r="Z186" i="14"/>
  <c r="AH194" i="14"/>
  <c r="AH195" i="14"/>
  <c r="AH196" i="14"/>
  <c r="AH197" i="14"/>
  <c r="AI225" i="14"/>
  <c r="AI229" i="14"/>
  <c r="AI47" i="14"/>
  <c r="AI53" i="14"/>
  <c r="Y69" i="14"/>
  <c r="Y112" i="14"/>
  <c r="Y137" i="14"/>
  <c r="Z159" i="14"/>
  <c r="AH175" i="14"/>
  <c r="Y194" i="14"/>
  <c r="AI197" i="14"/>
  <c r="Z198" i="14"/>
  <c r="AI22" i="14"/>
  <c r="AI23" i="14"/>
  <c r="AH225" i="14"/>
  <c r="AH226" i="14"/>
  <c r="AH227" i="14"/>
  <c r="AH22" i="14"/>
  <c r="AH23" i="14"/>
  <c r="AH24" i="14"/>
  <c r="AH228" i="14"/>
  <c r="AH229" i="14"/>
  <c r="AH230" i="14"/>
  <c r="AH231" i="14"/>
  <c r="AH232" i="14"/>
  <c r="AH25" i="14"/>
  <c r="AH26" i="14"/>
  <c r="Y34" i="14"/>
  <c r="Y40" i="14"/>
  <c r="Z52" i="14"/>
  <c r="AI60" i="14"/>
  <c r="AI83" i="14"/>
  <c r="AI91" i="14"/>
  <c r="AI99" i="14"/>
  <c r="AI107" i="14"/>
  <c r="AI256" i="14"/>
  <c r="Z245" i="14"/>
  <c r="Z175" i="14"/>
  <c r="AH210" i="14"/>
  <c r="AH204" i="14"/>
  <c r="AH205" i="14"/>
  <c r="AH206" i="14"/>
  <c r="AH28" i="14"/>
  <c r="AH211" i="14"/>
  <c r="AH212" i="14"/>
  <c r="AH29" i="14"/>
  <c r="AH30" i="14"/>
  <c r="AH207" i="14"/>
  <c r="AH208" i="14"/>
  <c r="AH209" i="14"/>
  <c r="AI26" i="14"/>
  <c r="Y33" i="14"/>
  <c r="Y236" i="14"/>
  <c r="Z51" i="14"/>
  <c r="Z67" i="14"/>
  <c r="Y75" i="14"/>
  <c r="AI255" i="14"/>
  <c r="Z122" i="14"/>
  <c r="Z136" i="14"/>
  <c r="Z143" i="14"/>
  <c r="Z151" i="14"/>
  <c r="Z183" i="14"/>
  <c r="AH246" i="14"/>
  <c r="AH190" i="14"/>
  <c r="Z210" i="14"/>
  <c r="Z204" i="14"/>
  <c r="Z28" i="14"/>
  <c r="AI29" i="14"/>
  <c r="AI30" i="14"/>
  <c r="AI231" i="14"/>
  <c r="Y38" i="14"/>
  <c r="Y235" i="14"/>
  <c r="Z238" i="14"/>
  <c r="Y116" i="14"/>
  <c r="AH134" i="14"/>
  <c r="Z135" i="14"/>
  <c r="AI142" i="14"/>
  <c r="AI150" i="14"/>
  <c r="AI246" i="14"/>
  <c r="Z190" i="14"/>
  <c r="Y181" i="14"/>
  <c r="Y22" i="14"/>
  <c r="Y169" i="14"/>
  <c r="Z22" i="14"/>
  <c r="Z228" i="14"/>
  <c r="Z113" i="14"/>
  <c r="Y59" i="14"/>
  <c r="AI228" i="14"/>
  <c r="Y110" i="14"/>
  <c r="Z111" i="14"/>
  <c r="Z176" i="14"/>
  <c r="Y177" i="14"/>
  <c r="Y154" i="14"/>
  <c r="Z96" i="14"/>
  <c r="Y95" i="14"/>
  <c r="AI155" i="14"/>
  <c r="Y155" i="14"/>
  <c r="R8" i="14"/>
  <c r="AW20" i="14"/>
  <c r="Y27" i="14"/>
  <c r="Z81" i="14"/>
  <c r="Y82" i="14"/>
  <c r="AX20" i="14"/>
  <c r="Y81" i="14"/>
  <c r="Z119" i="14"/>
  <c r="Z189" i="14"/>
  <c r="Y175" i="14"/>
  <c r="Y228" i="14"/>
  <c r="Z89" i="14"/>
  <c r="AI119" i="14"/>
  <c r="Y274" i="14"/>
  <c r="Y201" i="14"/>
  <c r="AI208" i="14"/>
  <c r="Y159" i="14"/>
  <c r="Z160" i="14"/>
  <c r="Y98" i="14"/>
  <c r="Y115" i="14"/>
  <c r="Z196" i="14"/>
  <c r="Z25" i="14"/>
  <c r="Y113" i="14"/>
  <c r="Z59" i="14"/>
  <c r="Z155" i="14"/>
  <c r="Y156" i="14"/>
  <c r="AI204" i="14"/>
  <c r="AI260" i="14"/>
  <c r="AI181" i="14"/>
  <c r="AI156" i="14"/>
  <c r="AI172" i="14"/>
  <c r="AI177" i="14"/>
  <c r="AI115" i="14"/>
  <c r="Z231" i="14"/>
  <c r="Y25" i="14"/>
  <c r="Y89" i="14"/>
  <c r="Z92" i="14"/>
  <c r="Y105" i="14"/>
  <c r="AI111" i="14"/>
  <c r="AI113" i="14"/>
  <c r="AI267" i="14"/>
  <c r="AI126" i="14"/>
  <c r="AI272" i="14"/>
  <c r="AI273" i="14"/>
  <c r="AI147" i="14"/>
  <c r="Z169" i="14"/>
  <c r="AI210" i="14"/>
  <c r="AL210" i="14" s="1"/>
  <c r="Z208" i="14"/>
  <c r="AI43" i="14"/>
  <c r="AI49" i="14"/>
  <c r="AI66" i="14"/>
  <c r="Z239" i="14"/>
  <c r="Z80" i="14"/>
  <c r="Z85" i="14"/>
  <c r="AI266" i="14"/>
  <c r="AI270" i="14"/>
  <c r="AI134" i="14"/>
  <c r="AI139" i="14"/>
  <c r="AI161" i="14"/>
  <c r="Y180" i="14"/>
  <c r="AI185" i="14"/>
  <c r="AI200" i="14"/>
  <c r="AI207" i="14"/>
  <c r="AI264" i="14"/>
  <c r="Z180" i="14"/>
  <c r="AI38" i="14"/>
  <c r="AI92" i="14"/>
  <c r="AI42" i="14"/>
  <c r="AI234" i="14"/>
  <c r="Y26" i="14"/>
  <c r="Y49" i="14"/>
  <c r="AI80" i="14"/>
  <c r="AI89" i="14"/>
  <c r="Z105" i="14"/>
  <c r="Z240" i="14"/>
  <c r="AI153" i="14"/>
  <c r="AI169" i="14"/>
  <c r="AI227" i="14"/>
  <c r="AI232" i="14"/>
  <c r="Z226" i="14"/>
  <c r="Y234" i="14"/>
  <c r="Y41" i="14"/>
  <c r="Z42" i="14"/>
  <c r="Z235" i="14"/>
  <c r="Z47" i="14"/>
  <c r="Z49" i="14"/>
  <c r="Z101" i="14"/>
  <c r="Y106" i="14"/>
  <c r="Z255" i="14"/>
  <c r="Y117" i="14"/>
  <c r="Y264" i="14"/>
  <c r="Z123" i="14"/>
  <c r="Z134" i="14"/>
  <c r="AI154" i="14"/>
  <c r="Y161" i="14"/>
  <c r="Y165" i="14"/>
  <c r="Y245" i="14"/>
  <c r="Z167" i="14"/>
  <c r="AI180" i="14"/>
  <c r="Z184" i="14"/>
  <c r="Y185" i="14"/>
  <c r="AI191" i="14"/>
  <c r="AI192" i="14"/>
  <c r="Y207" i="14"/>
  <c r="Z234" i="14"/>
  <c r="Z39" i="14"/>
  <c r="Z53" i="14"/>
  <c r="Z117" i="14"/>
  <c r="Y119" i="14"/>
  <c r="Z264" i="14"/>
  <c r="Y129" i="14"/>
  <c r="Z270" i="14"/>
  <c r="Y131" i="14"/>
  <c r="Y142" i="14"/>
  <c r="Y145" i="14"/>
  <c r="Z165" i="14"/>
  <c r="Z185" i="14"/>
  <c r="Y189" i="14"/>
  <c r="Z197" i="14"/>
  <c r="Y200" i="14"/>
  <c r="Z207" i="14"/>
  <c r="AI63" i="14"/>
  <c r="Y61" i="14"/>
  <c r="AI61" i="14"/>
  <c r="Y232" i="14"/>
  <c r="Y227" i="14"/>
  <c r="Y229" i="14"/>
  <c r="AV20" i="14"/>
  <c r="AY20" i="14"/>
  <c r="Z232" i="14"/>
  <c r="Z227" i="14"/>
  <c r="BC20" i="14"/>
  <c r="Y23" i="14"/>
  <c r="Z229" i="14"/>
  <c r="AI25" i="14"/>
  <c r="AU20" i="14"/>
  <c r="AI237" i="14"/>
  <c r="AI39" i="14"/>
  <c r="Y43" i="14"/>
  <c r="Y47" i="14"/>
  <c r="Y50" i="14"/>
  <c r="AI59" i="14"/>
  <c r="Z38" i="14"/>
  <c r="Y237" i="14"/>
  <c r="Y52" i="14"/>
  <c r="Y56" i="14"/>
  <c r="Z56" i="14"/>
  <c r="Z27" i="14"/>
  <c r="Y35" i="14"/>
  <c r="Z233" i="14"/>
  <c r="Y39" i="14"/>
  <c r="Z237" i="14"/>
  <c r="AI50" i="14"/>
  <c r="AI238" i="14"/>
  <c r="AI64" i="14"/>
  <c r="Z64" i="14"/>
  <c r="AI71" i="14"/>
  <c r="Y54" i="14"/>
  <c r="Z54" i="14"/>
  <c r="Y67" i="14"/>
  <c r="AI68" i="14"/>
  <c r="AI72" i="14"/>
  <c r="Z72" i="14"/>
  <c r="Y72" i="14"/>
  <c r="AI76" i="14"/>
  <c r="AI58" i="14"/>
  <c r="AI67" i="14"/>
  <c r="AI69" i="14"/>
  <c r="Z75" i="14"/>
  <c r="AI75" i="14"/>
  <c r="Y77" i="14"/>
  <c r="AI52" i="14"/>
  <c r="AI27" i="14"/>
  <c r="AI77" i="14"/>
  <c r="Z84" i="14"/>
  <c r="Y84" i="14"/>
  <c r="Y87" i="14"/>
  <c r="AI84" i="14"/>
  <c r="Y90" i="14"/>
  <c r="AI93" i="14"/>
  <c r="Z93" i="14"/>
  <c r="AI104" i="14"/>
  <c r="Z104" i="14"/>
  <c r="Y103" i="14"/>
  <c r="AI74" i="14"/>
  <c r="AI79" i="14"/>
  <c r="AL79" i="14" s="1"/>
  <c r="Y79" i="14"/>
  <c r="Z88" i="14"/>
  <c r="AI88" i="14"/>
  <c r="Z100" i="14"/>
  <c r="Y100" i="14"/>
  <c r="AI100" i="14"/>
  <c r="AI97" i="14"/>
  <c r="Y101" i="14"/>
  <c r="Y240" i="14"/>
  <c r="Y270" i="14"/>
  <c r="Z140" i="14"/>
  <c r="Z244" i="14"/>
  <c r="AI244" i="14"/>
  <c r="AI140" i="14"/>
  <c r="AI105" i="14"/>
  <c r="Y108" i="14"/>
  <c r="Y118" i="14"/>
  <c r="Y124" i="14"/>
  <c r="Y127" i="14"/>
  <c r="AI269" i="14"/>
  <c r="AI274" i="14"/>
  <c r="Z144" i="14"/>
  <c r="AI144" i="14"/>
  <c r="Y97" i="14"/>
  <c r="Z108" i="14"/>
  <c r="AI241" i="14"/>
  <c r="AI112" i="14"/>
  <c r="Z118" i="14"/>
  <c r="AI263" i="14"/>
  <c r="Y121" i="14"/>
  <c r="Z124" i="14"/>
  <c r="Z127" i="14"/>
  <c r="AI81" i="14"/>
  <c r="Y85" i="14"/>
  <c r="Y92" i="14"/>
  <c r="AI96" i="14"/>
  <c r="Z97" i="14"/>
  <c r="AI240" i="14"/>
  <c r="Y114" i="14"/>
  <c r="AI117" i="14"/>
  <c r="Z121" i="14"/>
  <c r="AI123" i="14"/>
  <c r="Z131" i="14"/>
  <c r="Y150" i="14"/>
  <c r="AI242" i="14"/>
  <c r="Z242" i="14"/>
  <c r="Z148" i="14"/>
  <c r="AI149" i="14"/>
  <c r="Y241" i="14"/>
  <c r="AI257" i="14"/>
  <c r="Y260" i="14"/>
  <c r="Z120" i="14"/>
  <c r="AI127" i="14"/>
  <c r="Z269" i="14"/>
  <c r="Z274" i="14"/>
  <c r="Y140" i="14"/>
  <c r="AI148" i="14"/>
  <c r="Y244" i="14"/>
  <c r="Z241" i="14"/>
  <c r="Z256" i="14"/>
  <c r="Z112" i="14"/>
  <c r="AI118" i="14"/>
  <c r="Z263" i="14"/>
  <c r="AI121" i="14"/>
  <c r="AI124" i="14"/>
  <c r="AI131" i="14"/>
  <c r="Y132" i="14"/>
  <c r="Z137" i="14"/>
  <c r="AI137" i="14"/>
  <c r="Z145" i="14"/>
  <c r="Z243" i="14"/>
  <c r="Z154" i="14"/>
  <c r="Z178" i="14"/>
  <c r="Y178" i="14"/>
  <c r="AI193" i="14"/>
  <c r="Y193" i="14"/>
  <c r="AI157" i="14"/>
  <c r="Z157" i="14"/>
  <c r="Y157" i="14"/>
  <c r="AI141" i="14"/>
  <c r="AI145" i="14"/>
  <c r="AI243" i="14"/>
  <c r="Z168" i="14"/>
  <c r="AI168" i="14"/>
  <c r="AL168" i="14" s="1"/>
  <c r="Y168" i="14"/>
  <c r="AI188" i="14"/>
  <c r="Z188" i="14"/>
  <c r="Y188" i="14"/>
  <c r="Z156" i="14"/>
  <c r="AI165" i="14"/>
  <c r="Y172" i="14"/>
  <c r="Z177" i="14"/>
  <c r="Z181" i="14"/>
  <c r="Y186" i="14"/>
  <c r="Y246" i="14"/>
  <c r="Y191" i="14"/>
  <c r="AI199" i="14"/>
  <c r="Z172" i="14"/>
  <c r="AI189" i="14"/>
  <c r="Z246" i="14"/>
  <c r="Y192" i="14"/>
  <c r="Y164" i="14"/>
  <c r="Y173" i="14"/>
  <c r="Y197" i="14"/>
  <c r="AI201" i="14"/>
  <c r="Z164" i="14"/>
  <c r="Z173" i="14"/>
  <c r="AI164" i="14"/>
  <c r="AI173" i="14"/>
  <c r="AI184" i="14"/>
  <c r="Y212" i="14"/>
  <c r="Y206" i="14"/>
  <c r="Z212" i="14"/>
  <c r="Y209" i="14"/>
  <c r="Y204" i="14"/>
  <c r="Y29" i="14"/>
  <c r="Y210" i="14"/>
  <c r="AI206" i="14"/>
  <c r="Y28" i="14"/>
  <c r="AI212" i="14"/>
  <c r="Z29" i="14"/>
  <c r="Y208" i="14"/>
  <c r="AI209" i="14"/>
  <c r="Y225" i="14"/>
  <c r="Y226" i="14"/>
  <c r="Z23" i="14"/>
  <c r="AI230" i="14"/>
  <c r="Y231" i="14"/>
  <c r="Z26" i="14"/>
  <c r="Z225" i="14"/>
  <c r="AI24" i="14"/>
  <c r="Y230" i="14"/>
  <c r="R10" i="14"/>
  <c r="Y24" i="14"/>
  <c r="Z230" i="14"/>
  <c r="Z33" i="14"/>
  <c r="Z34" i="14"/>
  <c r="AI36" i="14"/>
  <c r="Y37" i="14"/>
  <c r="Z40" i="14"/>
  <c r="AI44" i="14"/>
  <c r="Y45" i="14"/>
  <c r="Z236" i="14"/>
  <c r="AI46" i="14"/>
  <c r="AI35" i="14"/>
  <c r="Y233" i="14"/>
  <c r="Z37" i="14"/>
  <c r="AI41" i="14"/>
  <c r="Y42" i="14"/>
  <c r="Z45" i="14"/>
  <c r="AI235" i="14"/>
  <c r="Z48" i="14"/>
  <c r="Y53" i="14"/>
  <c r="Y36" i="14"/>
  <c r="Y44" i="14"/>
  <c r="Y46" i="14"/>
  <c r="Y48" i="14"/>
  <c r="AI48" i="14"/>
  <c r="AI33" i="14"/>
  <c r="AI34" i="14"/>
  <c r="Z36" i="14"/>
  <c r="AI40" i="14"/>
  <c r="Z44" i="14"/>
  <c r="AI236" i="14"/>
  <c r="Z46" i="14"/>
  <c r="Y51" i="14"/>
  <c r="Z35" i="14"/>
  <c r="Z41" i="14"/>
  <c r="Y238" i="14"/>
  <c r="AI51" i="14"/>
  <c r="Z65" i="14"/>
  <c r="Y65" i="14"/>
  <c r="AI65" i="14"/>
  <c r="AI55" i="14"/>
  <c r="Y70" i="14"/>
  <c r="AI70" i="14"/>
  <c r="Y62" i="14"/>
  <c r="AI62" i="14"/>
  <c r="AI54" i="14"/>
  <c r="AI56" i="14"/>
  <c r="Z76" i="14"/>
  <c r="Y76" i="14"/>
  <c r="Y55" i="14"/>
  <c r="Y57" i="14"/>
  <c r="Z55" i="14"/>
  <c r="Z57" i="14"/>
  <c r="Z68" i="14"/>
  <c r="Y68" i="14"/>
  <c r="Z78" i="14"/>
  <c r="Y78" i="14"/>
  <c r="AI78" i="14"/>
  <c r="Z60" i="14"/>
  <c r="Y60" i="14"/>
  <c r="Z70" i="14"/>
  <c r="Z73" i="14"/>
  <c r="Y73" i="14"/>
  <c r="AI73" i="14"/>
  <c r="Y58" i="14"/>
  <c r="Z61" i="14"/>
  <c r="Y66" i="14"/>
  <c r="Z69" i="14"/>
  <c r="Y74" i="14"/>
  <c r="Z77" i="14"/>
  <c r="Z58" i="14"/>
  <c r="Y63" i="14"/>
  <c r="Z66" i="14"/>
  <c r="Y71" i="14"/>
  <c r="Z74" i="14"/>
  <c r="Z63" i="14"/>
  <c r="Z71" i="14"/>
  <c r="AI82" i="14"/>
  <c r="Y83" i="14"/>
  <c r="Z86" i="14"/>
  <c r="AI90" i="14"/>
  <c r="Y91" i="14"/>
  <c r="Z94" i="14"/>
  <c r="AI98" i="14"/>
  <c r="Y99" i="14"/>
  <c r="Z102" i="14"/>
  <c r="AI106" i="14"/>
  <c r="Y107" i="14"/>
  <c r="Z109" i="14"/>
  <c r="AI239" i="14"/>
  <c r="Y80" i="14"/>
  <c r="Z83" i="14"/>
  <c r="AI87" i="14"/>
  <c r="Y88" i="14"/>
  <c r="Z91" i="14"/>
  <c r="AI95" i="14"/>
  <c r="Y96" i="14"/>
  <c r="Z99" i="14"/>
  <c r="AI103" i="14"/>
  <c r="Y104" i="14"/>
  <c r="Z107" i="14"/>
  <c r="AI110" i="14"/>
  <c r="Y111" i="14"/>
  <c r="Z82" i="14"/>
  <c r="AI86" i="14"/>
  <c r="Z90" i="14"/>
  <c r="AI94" i="14"/>
  <c r="Z98" i="14"/>
  <c r="AI102" i="14"/>
  <c r="Z106" i="14"/>
  <c r="AI109" i="14"/>
  <c r="Z87" i="14"/>
  <c r="Z95" i="14"/>
  <c r="Z103" i="14"/>
  <c r="Z110" i="14"/>
  <c r="Z116" i="14"/>
  <c r="Z261" i="14"/>
  <c r="Z265" i="14"/>
  <c r="Y265" i="14"/>
  <c r="AI265" i="14"/>
  <c r="AI268" i="14"/>
  <c r="Z268" i="14"/>
  <c r="Y130" i="14"/>
  <c r="AI130" i="14"/>
  <c r="Y255" i="14"/>
  <c r="Y256" i="14"/>
  <c r="Z114" i="14"/>
  <c r="AI258" i="14"/>
  <c r="AI259" i="14"/>
  <c r="Y262" i="14"/>
  <c r="Z125" i="14"/>
  <c r="Y125" i="14"/>
  <c r="AI125" i="14"/>
  <c r="Y128" i="14"/>
  <c r="Z115" i="14"/>
  <c r="AI262" i="14"/>
  <c r="Z262" i="14"/>
  <c r="AI116" i="14"/>
  <c r="Y258" i="14"/>
  <c r="AI261" i="14"/>
  <c r="Y120" i="14"/>
  <c r="AI120" i="14"/>
  <c r="Y257" i="14"/>
  <c r="Z258" i="14"/>
  <c r="Y259" i="14"/>
  <c r="Y267" i="14"/>
  <c r="Y268" i="14"/>
  <c r="AI128" i="14"/>
  <c r="Z130" i="14"/>
  <c r="Y122" i="14"/>
  <c r="AI122" i="14"/>
  <c r="Z271" i="14"/>
  <c r="Y271" i="14"/>
  <c r="AI271" i="14"/>
  <c r="Z133" i="14"/>
  <c r="Y133" i="14"/>
  <c r="AI133" i="14"/>
  <c r="Y266" i="14"/>
  <c r="Y126" i="14"/>
  <c r="Z129" i="14"/>
  <c r="Y272" i="14"/>
  <c r="Z132" i="14"/>
  <c r="AI138" i="14"/>
  <c r="Y139" i="14"/>
  <c r="Z142" i="14"/>
  <c r="AI146" i="14"/>
  <c r="Y147" i="14"/>
  <c r="Z150" i="14"/>
  <c r="AI152" i="14"/>
  <c r="Y153" i="14"/>
  <c r="Y263" i="14"/>
  <c r="Z266" i="14"/>
  <c r="Y123" i="14"/>
  <c r="Z126" i="14"/>
  <c r="Y269" i="14"/>
  <c r="Z272" i="14"/>
  <c r="Y134" i="14"/>
  <c r="AI135" i="14"/>
  <c r="AI136" i="14"/>
  <c r="Y242" i="14"/>
  <c r="Z139" i="14"/>
  <c r="AI143" i="14"/>
  <c r="Y144" i="14"/>
  <c r="Z147" i="14"/>
  <c r="AI151" i="14"/>
  <c r="Y243" i="14"/>
  <c r="Z153" i="14"/>
  <c r="Y273" i="14"/>
  <c r="Y141" i="14"/>
  <c r="Y149" i="14"/>
  <c r="Z273" i="14"/>
  <c r="Y138" i="14"/>
  <c r="Z141" i="14"/>
  <c r="Y146" i="14"/>
  <c r="Z149" i="14"/>
  <c r="Y152" i="14"/>
  <c r="Y135" i="14"/>
  <c r="Y136" i="14"/>
  <c r="Y143" i="14"/>
  <c r="Y151" i="14"/>
  <c r="AI166" i="14"/>
  <c r="Z166" i="14"/>
  <c r="Y166" i="14"/>
  <c r="AI182" i="14"/>
  <c r="Z182" i="14"/>
  <c r="Y182" i="14"/>
  <c r="AI158" i="14"/>
  <c r="Z158" i="14"/>
  <c r="Y158" i="14"/>
  <c r="AI174" i="14"/>
  <c r="Z174" i="14"/>
  <c r="Y174" i="14"/>
  <c r="AI160" i="14"/>
  <c r="AI167" i="14"/>
  <c r="AI176" i="14"/>
  <c r="Z195" i="14"/>
  <c r="Y195" i="14"/>
  <c r="AI195" i="14"/>
  <c r="Z161" i="14"/>
  <c r="AI162" i="14"/>
  <c r="Y163" i="14"/>
  <c r="AI170" i="14"/>
  <c r="Y171" i="14"/>
  <c r="AI178" i="14"/>
  <c r="Y179" i="14"/>
  <c r="AI186" i="14"/>
  <c r="Y187" i="14"/>
  <c r="AI202" i="14"/>
  <c r="Z202" i="14"/>
  <c r="AI159" i="14"/>
  <c r="Y160" i="14"/>
  <c r="Z163" i="14"/>
  <c r="AI245" i="14"/>
  <c r="Y167" i="14"/>
  <c r="Z171" i="14"/>
  <c r="AI175" i="14"/>
  <c r="Y176" i="14"/>
  <c r="Z179" i="14"/>
  <c r="AI183" i="14"/>
  <c r="Y184" i="14"/>
  <c r="Z187" i="14"/>
  <c r="Y162" i="14"/>
  <c r="Y170" i="14"/>
  <c r="AI194" i="14"/>
  <c r="Z194" i="14"/>
  <c r="Z203" i="14"/>
  <c r="Y203" i="14"/>
  <c r="AI203" i="14"/>
  <c r="Y183" i="14"/>
  <c r="Z192" i="14"/>
  <c r="AI196" i="14"/>
  <c r="Z200" i="14"/>
  <c r="AI190" i="14"/>
  <c r="AI198" i="14"/>
  <c r="Y199" i="14"/>
  <c r="Z191" i="14"/>
  <c r="Y196" i="14"/>
  <c r="Z199" i="14"/>
  <c r="Y190" i="14"/>
  <c r="Z193" i="14"/>
  <c r="Y198" i="14"/>
  <c r="Z201" i="14"/>
  <c r="Z205" i="14"/>
  <c r="Y205" i="14"/>
  <c r="AI205" i="14"/>
  <c r="AI211" i="14"/>
  <c r="Z206" i="14"/>
  <c r="Y30" i="14"/>
  <c r="Z209" i="14"/>
  <c r="AI28" i="14"/>
  <c r="Y211" i="14"/>
  <c r="Z30" i="14"/>
  <c r="Z211" i="14"/>
  <c r="BG22" i="14" l="1"/>
  <c r="AT47" i="14"/>
  <c r="AD47" i="14"/>
  <c r="AH47" i="14" s="1"/>
  <c r="AT185" i="14"/>
  <c r="AD185" i="14"/>
  <c r="AH185" i="14" s="1"/>
  <c r="AT121" i="14"/>
  <c r="AB121" i="14"/>
  <c r="AD121" i="14" s="1"/>
  <c r="AH121" i="14" s="1"/>
  <c r="AT46" i="14"/>
  <c r="BB46" i="14" s="1"/>
  <c r="AD46" i="14"/>
  <c r="AH46" i="14" s="1"/>
  <c r="AT272" i="14"/>
  <c r="AD272" i="14"/>
  <c r="AH272" i="14" s="1"/>
  <c r="AT168" i="14"/>
  <c r="AD168" i="14"/>
  <c r="AT96" i="14"/>
  <c r="AD96" i="14"/>
  <c r="AH96" i="14" s="1"/>
  <c r="AT130" i="14"/>
  <c r="AB130" i="14"/>
  <c r="AD130" i="14" s="1"/>
  <c r="AH130" i="14" s="1"/>
  <c r="AT191" i="14"/>
  <c r="AD191" i="14"/>
  <c r="AH191" i="14" s="1"/>
  <c r="AT111" i="14"/>
  <c r="AD111" i="14"/>
  <c r="AH111" i="14" s="1"/>
  <c r="AT266" i="14"/>
  <c r="AD266" i="14"/>
  <c r="AH266" i="14" s="1"/>
  <c r="AT238" i="14"/>
  <c r="AD238" i="14"/>
  <c r="AH238" i="14" s="1"/>
  <c r="AT118" i="14"/>
  <c r="AB118" i="14"/>
  <c r="AD118" i="14" s="1"/>
  <c r="AH118" i="14" s="1"/>
  <c r="AT38" i="14"/>
  <c r="AD38" i="14"/>
  <c r="AH38" i="14" s="1"/>
  <c r="AT165" i="14"/>
  <c r="AD165" i="14"/>
  <c r="AH165" i="14" s="1"/>
  <c r="AT93" i="14"/>
  <c r="AD93" i="14"/>
  <c r="AH93" i="14" s="1"/>
  <c r="AT244" i="14"/>
  <c r="AD244" i="14"/>
  <c r="AH244" i="14" s="1"/>
  <c r="AT140" i="14"/>
  <c r="AD140" i="14"/>
  <c r="AH140" i="14" s="1"/>
  <c r="AT65" i="14"/>
  <c r="AD65" i="14"/>
  <c r="AH65" i="14" s="1"/>
  <c r="AT163" i="14"/>
  <c r="AD163" i="14"/>
  <c r="AH163" i="14" s="1"/>
  <c r="AT99" i="14"/>
  <c r="AD99" i="14"/>
  <c r="AH99" i="14" s="1"/>
  <c r="AT37" i="14"/>
  <c r="AD37" i="14"/>
  <c r="AH37" i="14" s="1"/>
  <c r="AT51" i="14"/>
  <c r="AD51" i="14"/>
  <c r="AH51" i="14" s="1"/>
  <c r="AT34" i="14"/>
  <c r="BB34" i="14" s="1"/>
  <c r="AD34" i="14"/>
  <c r="AH34" i="14" s="1"/>
  <c r="AT273" i="14"/>
  <c r="AD273" i="14"/>
  <c r="AH273" i="14" s="1"/>
  <c r="AT177" i="14"/>
  <c r="AD177" i="14"/>
  <c r="AH177" i="14" s="1"/>
  <c r="AT113" i="14"/>
  <c r="BB113" i="14" s="1"/>
  <c r="AB113" i="14"/>
  <c r="AD113" i="14" s="1"/>
  <c r="AH113" i="14" s="1"/>
  <c r="AT274" i="14"/>
  <c r="BB274" i="14" s="1"/>
  <c r="AD274" i="14"/>
  <c r="AH274" i="14" s="1"/>
  <c r="AT264" i="14"/>
  <c r="BB264" i="14" s="1"/>
  <c r="AD264" i="14"/>
  <c r="AH264" i="14" s="1"/>
  <c r="AT152" i="14"/>
  <c r="AD152" i="14"/>
  <c r="AH152" i="14" s="1"/>
  <c r="AT88" i="14"/>
  <c r="AD88" i="14"/>
  <c r="AH88" i="14" s="1"/>
  <c r="AT98" i="14"/>
  <c r="BB98" i="14" s="1"/>
  <c r="AD98" i="14"/>
  <c r="AH98" i="14" s="1"/>
  <c r="AT183" i="14"/>
  <c r="AD183" i="14"/>
  <c r="AH183" i="14" s="1"/>
  <c r="AT103" i="14"/>
  <c r="AD103" i="14"/>
  <c r="AH103" i="14" s="1"/>
  <c r="AT234" i="14"/>
  <c r="BB234" i="14" s="1"/>
  <c r="AD234" i="14"/>
  <c r="AH234" i="14" s="1"/>
  <c r="AT198" i="14"/>
  <c r="BB198" i="14" s="1"/>
  <c r="AD198" i="14"/>
  <c r="AH198" i="14" s="1"/>
  <c r="AT110" i="14"/>
  <c r="BB110" i="14" s="1"/>
  <c r="AD110" i="14"/>
  <c r="AH110" i="14" s="1"/>
  <c r="AT269" i="14"/>
  <c r="BB269" i="14" s="1"/>
  <c r="AD269" i="14"/>
  <c r="AH269" i="14" s="1"/>
  <c r="AT157" i="14"/>
  <c r="AD157" i="14"/>
  <c r="AH157" i="14" s="1"/>
  <c r="AT85" i="14"/>
  <c r="AD85" i="14"/>
  <c r="AH85" i="14" s="1"/>
  <c r="AT236" i="14"/>
  <c r="AD236" i="14"/>
  <c r="AH236" i="14" s="1"/>
  <c r="AT124" i="14"/>
  <c r="AB124" i="14"/>
  <c r="AD124" i="14" s="1"/>
  <c r="AH124" i="14" s="1"/>
  <c r="AT267" i="14"/>
  <c r="AD267" i="14"/>
  <c r="AH267" i="14" s="1"/>
  <c r="AT155" i="14"/>
  <c r="AD155" i="14"/>
  <c r="AT91" i="14"/>
  <c r="AD91" i="14"/>
  <c r="AH91" i="14" s="1"/>
  <c r="AT60" i="14"/>
  <c r="AD60" i="14"/>
  <c r="AH60" i="14" s="1"/>
  <c r="AT43" i="14"/>
  <c r="BB43" i="14" s="1"/>
  <c r="AD43" i="14"/>
  <c r="AH43" i="14" s="1"/>
  <c r="AT48" i="14"/>
  <c r="BB48" i="14" s="1"/>
  <c r="AD48" i="14"/>
  <c r="AH48" i="14" s="1"/>
  <c r="AT265" i="14"/>
  <c r="BB265" i="14" s="1"/>
  <c r="AD265" i="14"/>
  <c r="AH265" i="14" s="1"/>
  <c r="AT169" i="14"/>
  <c r="BB169" i="14" s="1"/>
  <c r="AD169" i="14"/>
  <c r="AH169" i="14" s="1"/>
  <c r="AT105" i="14"/>
  <c r="BB105" i="14" s="1"/>
  <c r="AD105" i="14"/>
  <c r="AH105" i="14" s="1"/>
  <c r="AT242" i="14"/>
  <c r="BB242" i="14" s="1"/>
  <c r="AD242" i="14"/>
  <c r="AH242" i="14" s="1"/>
  <c r="AT256" i="14"/>
  <c r="BB256" i="14" s="1"/>
  <c r="AD256" i="14"/>
  <c r="AH256" i="14" s="1"/>
  <c r="AT144" i="14"/>
  <c r="BB144" i="14" s="1"/>
  <c r="AD144" i="14"/>
  <c r="AH144" i="14" s="1"/>
  <c r="AT80" i="14"/>
  <c r="AD80" i="14"/>
  <c r="AH80" i="14" s="1"/>
  <c r="AT63" i="14"/>
  <c r="AD63" i="14"/>
  <c r="AH63" i="14" s="1"/>
  <c r="AT159" i="14"/>
  <c r="BB159" i="14" s="1"/>
  <c r="AD159" i="14"/>
  <c r="AH159" i="14" s="1"/>
  <c r="AT95" i="14"/>
  <c r="BB95" i="14" s="1"/>
  <c r="AD95" i="14"/>
  <c r="AH95" i="14" s="1"/>
  <c r="AT178" i="14"/>
  <c r="BB178" i="14" s="1"/>
  <c r="AD178" i="14"/>
  <c r="AH178" i="14" s="1"/>
  <c r="AT182" i="14"/>
  <c r="BB182" i="14" s="1"/>
  <c r="AD182" i="14"/>
  <c r="AH182" i="14" s="1"/>
  <c r="AT102" i="14"/>
  <c r="BB102" i="14" s="1"/>
  <c r="AD102" i="14"/>
  <c r="AH102" i="14" s="1"/>
  <c r="AT261" i="14"/>
  <c r="BB261" i="14" s="1"/>
  <c r="AD261" i="14"/>
  <c r="AH261" i="14" s="1"/>
  <c r="AT149" i="14"/>
  <c r="AD149" i="14"/>
  <c r="AH149" i="14" s="1"/>
  <c r="AT77" i="14"/>
  <c r="BB77" i="14" s="1"/>
  <c r="AD77" i="14"/>
  <c r="AH77" i="14" s="1"/>
  <c r="AT188" i="14"/>
  <c r="AD188" i="14"/>
  <c r="AH188" i="14" s="1"/>
  <c r="AT116" i="14"/>
  <c r="AB116" i="14"/>
  <c r="AD116" i="14" s="1"/>
  <c r="AH116" i="14" s="1"/>
  <c r="AT259" i="14"/>
  <c r="BB259" i="14" s="1"/>
  <c r="AD259" i="14"/>
  <c r="AH259" i="14" s="1"/>
  <c r="AT147" i="14"/>
  <c r="BB147" i="14" s="1"/>
  <c r="AD147" i="14"/>
  <c r="AH147" i="14" s="1"/>
  <c r="AT83" i="14"/>
  <c r="AD83" i="14"/>
  <c r="AH83" i="14" s="1"/>
  <c r="AT52" i="14"/>
  <c r="AD52" i="14"/>
  <c r="AH52" i="14" s="1"/>
  <c r="AT35" i="14"/>
  <c r="AD35" i="14"/>
  <c r="AH35" i="14" s="1"/>
  <c r="AT40" i="14"/>
  <c r="BB40" i="14" s="1"/>
  <c r="AD40" i="14"/>
  <c r="AH40" i="14" s="1"/>
  <c r="AT257" i="14"/>
  <c r="AD257" i="14"/>
  <c r="AH257" i="14" s="1"/>
  <c r="AT161" i="14"/>
  <c r="BB161" i="14" s="1"/>
  <c r="AD161" i="14"/>
  <c r="AH161" i="14" s="1"/>
  <c r="AT97" i="14"/>
  <c r="BB97" i="14" s="1"/>
  <c r="AD97" i="14"/>
  <c r="AH97" i="14" s="1"/>
  <c r="AT202" i="14"/>
  <c r="BB202" i="14" s="1"/>
  <c r="AD202" i="14"/>
  <c r="AH202" i="14" s="1"/>
  <c r="AT240" i="14"/>
  <c r="BB240" i="14" s="1"/>
  <c r="AD240" i="14"/>
  <c r="AH240" i="14" s="1"/>
  <c r="AT136" i="14"/>
  <c r="AD136" i="14"/>
  <c r="AH136" i="14" s="1"/>
  <c r="AT71" i="14"/>
  <c r="BB71" i="14" s="1"/>
  <c r="AD71" i="14"/>
  <c r="AH71" i="14" s="1"/>
  <c r="AT271" i="14"/>
  <c r="AD271" i="14"/>
  <c r="AH271" i="14" s="1"/>
  <c r="AT151" i="14"/>
  <c r="BB151" i="14" s="1"/>
  <c r="AD151" i="14"/>
  <c r="AH151" i="14" s="1"/>
  <c r="AT87" i="14"/>
  <c r="BB87" i="14" s="1"/>
  <c r="AD87" i="14"/>
  <c r="AH87" i="14" s="1"/>
  <c r="AT146" i="14"/>
  <c r="AD146" i="14"/>
  <c r="AH146" i="14" s="1"/>
  <c r="AT174" i="14"/>
  <c r="BB174" i="14" s="1"/>
  <c r="AD174" i="14"/>
  <c r="AH174" i="14" s="1"/>
  <c r="AT94" i="14"/>
  <c r="BB94" i="14" s="1"/>
  <c r="AD94" i="14"/>
  <c r="AH94" i="14" s="1"/>
  <c r="AT245" i="14"/>
  <c r="BB245" i="14" s="1"/>
  <c r="AD245" i="14"/>
  <c r="AT141" i="14"/>
  <c r="AD141" i="14"/>
  <c r="AH141" i="14" s="1"/>
  <c r="AT68" i="14"/>
  <c r="AD68" i="14"/>
  <c r="AH68" i="14" s="1"/>
  <c r="AT180" i="14"/>
  <c r="BB180" i="14" s="1"/>
  <c r="AD180" i="14"/>
  <c r="AH180" i="14" s="1"/>
  <c r="AT108" i="14"/>
  <c r="AD108" i="14"/>
  <c r="AH108" i="14" s="1"/>
  <c r="AT243" i="14"/>
  <c r="BB243" i="14" s="1"/>
  <c r="AD243" i="14"/>
  <c r="AH243" i="14" s="1"/>
  <c r="AT139" i="14"/>
  <c r="AD139" i="14"/>
  <c r="AH139" i="14" s="1"/>
  <c r="AT74" i="14"/>
  <c r="AD74" i="14"/>
  <c r="AH74" i="14" s="1"/>
  <c r="AT44" i="14"/>
  <c r="BB44" i="14" s="1"/>
  <c r="AD44" i="14"/>
  <c r="AH44" i="14" s="1"/>
  <c r="AT186" i="14"/>
  <c r="BB186" i="14" s="1"/>
  <c r="AD186" i="14"/>
  <c r="AH186" i="14" s="1"/>
  <c r="AT241" i="14"/>
  <c r="AD241" i="14"/>
  <c r="AH241" i="14" s="1"/>
  <c r="AT153" i="14"/>
  <c r="AD153" i="14"/>
  <c r="AH153" i="14" s="1"/>
  <c r="AT89" i="14"/>
  <c r="BB89" i="14" s="1"/>
  <c r="AD89" i="14"/>
  <c r="AH89" i="14" s="1"/>
  <c r="AT170" i="14"/>
  <c r="BB170" i="14" s="1"/>
  <c r="AD170" i="14"/>
  <c r="AH170" i="14" s="1"/>
  <c r="AT200" i="14"/>
  <c r="AD200" i="14"/>
  <c r="AH200" i="14" s="1"/>
  <c r="AT128" i="14"/>
  <c r="AB128" i="14"/>
  <c r="AD128" i="14" s="1"/>
  <c r="AH128" i="14" s="1"/>
  <c r="AT57" i="14"/>
  <c r="AD57" i="14"/>
  <c r="AH57" i="14" s="1"/>
  <c r="AT263" i="14"/>
  <c r="BB263" i="14" s="1"/>
  <c r="AD263" i="14"/>
  <c r="AH263" i="14" s="1"/>
  <c r="AT143" i="14"/>
  <c r="AD143" i="14"/>
  <c r="AH143" i="14" s="1"/>
  <c r="AT79" i="14"/>
  <c r="BB79" i="14" s="1"/>
  <c r="AD79" i="14"/>
  <c r="AT114" i="14"/>
  <c r="AB114" i="14"/>
  <c r="AD114" i="14" s="1"/>
  <c r="AH114" i="14" s="1"/>
  <c r="AT166" i="14"/>
  <c r="BB166" i="14" s="1"/>
  <c r="AD166" i="14"/>
  <c r="AH166" i="14" s="1"/>
  <c r="AT86" i="14"/>
  <c r="BB86" i="14" s="1"/>
  <c r="AD86" i="14"/>
  <c r="AH86" i="14" s="1"/>
  <c r="AT237" i="14"/>
  <c r="AD237" i="14"/>
  <c r="AH237" i="14" s="1"/>
  <c r="AT133" i="14"/>
  <c r="AB133" i="14"/>
  <c r="AD133" i="14" s="1"/>
  <c r="AH133" i="14" s="1"/>
  <c r="AT54" i="14"/>
  <c r="BB54" i="14" s="1"/>
  <c r="AD54" i="14"/>
  <c r="AT172" i="14"/>
  <c r="AD172" i="14"/>
  <c r="AH172" i="14" s="1"/>
  <c r="AT100" i="14"/>
  <c r="AD100" i="14"/>
  <c r="AH100" i="14" s="1"/>
  <c r="AT235" i="14"/>
  <c r="AD235" i="14"/>
  <c r="AH235" i="14" s="1"/>
  <c r="AT131" i="14"/>
  <c r="AB131" i="14"/>
  <c r="AD131" i="14" s="1"/>
  <c r="AH131" i="14" s="1"/>
  <c r="AT64" i="14"/>
  <c r="BB64" i="14" s="1"/>
  <c r="AD64" i="14"/>
  <c r="AH64" i="14" s="1"/>
  <c r="AT36" i="14"/>
  <c r="BB36" i="14" s="1"/>
  <c r="AD36" i="14"/>
  <c r="AH36" i="14" s="1"/>
  <c r="AT66" i="14"/>
  <c r="BB66" i="14" s="1"/>
  <c r="AD66" i="14"/>
  <c r="AH66" i="14" s="1"/>
  <c r="AT154" i="14"/>
  <c r="AD154" i="14"/>
  <c r="AH154" i="14" s="1"/>
  <c r="AT233" i="14"/>
  <c r="AD233" i="14"/>
  <c r="AT145" i="14"/>
  <c r="BB145" i="14" s="1"/>
  <c r="AD145" i="14"/>
  <c r="AH145" i="14" s="1"/>
  <c r="AT81" i="14"/>
  <c r="BB81" i="14" s="1"/>
  <c r="AD81" i="14"/>
  <c r="AH81" i="14" s="1"/>
  <c r="AT138" i="14"/>
  <c r="AD138" i="14"/>
  <c r="AH138" i="14" s="1"/>
  <c r="AT192" i="14"/>
  <c r="AD192" i="14"/>
  <c r="AH192" i="14" s="1"/>
  <c r="AT120" i="14"/>
  <c r="AB120" i="14"/>
  <c r="AD120" i="14" s="1"/>
  <c r="AH120" i="14" s="1"/>
  <c r="AT41" i="14"/>
  <c r="AD41" i="14"/>
  <c r="AH41" i="14" s="1"/>
  <c r="AT255" i="14"/>
  <c r="AD255" i="14"/>
  <c r="AT135" i="14"/>
  <c r="BB135" i="14" s="1"/>
  <c r="AD135" i="14"/>
  <c r="AT70" i="14"/>
  <c r="AD70" i="14"/>
  <c r="AH70" i="14" s="1"/>
  <c r="AT82" i="14"/>
  <c r="BB82" i="14" s="1"/>
  <c r="AD82" i="14"/>
  <c r="AH82" i="14" s="1"/>
  <c r="AT158" i="14"/>
  <c r="BB158" i="14" s="1"/>
  <c r="AD158" i="14"/>
  <c r="AH158" i="14" s="1"/>
  <c r="AT78" i="14"/>
  <c r="AD78" i="14"/>
  <c r="AH78" i="14" s="1"/>
  <c r="AT189" i="14"/>
  <c r="AD189" i="14"/>
  <c r="AH189" i="14" s="1"/>
  <c r="AT117" i="14"/>
  <c r="BB117" i="14" s="1"/>
  <c r="AB117" i="14"/>
  <c r="AD117" i="14" s="1"/>
  <c r="AH117" i="14" s="1"/>
  <c r="AT33" i="14"/>
  <c r="AD33" i="14"/>
  <c r="AT164" i="14"/>
  <c r="BB164" i="14" s="1"/>
  <c r="AD164" i="14"/>
  <c r="AH164" i="14" s="1"/>
  <c r="AT92" i="14"/>
  <c r="BB92" i="14" s="1"/>
  <c r="AD92" i="14"/>
  <c r="AH92" i="14" s="1"/>
  <c r="AT203" i="14"/>
  <c r="BB203" i="14" s="1"/>
  <c r="AD203" i="14"/>
  <c r="AH203" i="14" s="1"/>
  <c r="AT123" i="14"/>
  <c r="BB123" i="14" s="1"/>
  <c r="AB123" i="14"/>
  <c r="AD123" i="14" s="1"/>
  <c r="AH123" i="14" s="1"/>
  <c r="AT49" i="14"/>
  <c r="BB49" i="14" s="1"/>
  <c r="AD49" i="14"/>
  <c r="AH49" i="14" s="1"/>
  <c r="AT75" i="14"/>
  <c r="AD75" i="14"/>
  <c r="AH75" i="14" s="1"/>
  <c r="AT58" i="14"/>
  <c r="BB58" i="14" s="1"/>
  <c r="AD58" i="14"/>
  <c r="AH58" i="14" s="1"/>
  <c r="AT122" i="14"/>
  <c r="AB122" i="14"/>
  <c r="AD122" i="14" s="1"/>
  <c r="AH122" i="14" s="1"/>
  <c r="AT201" i="14"/>
  <c r="AD201" i="14"/>
  <c r="AH201" i="14" s="1"/>
  <c r="AT137" i="14"/>
  <c r="BB137" i="14" s="1"/>
  <c r="AD137" i="14"/>
  <c r="AH137" i="14" s="1"/>
  <c r="AT72" i="14"/>
  <c r="AD72" i="14"/>
  <c r="AH72" i="14" s="1"/>
  <c r="AT106" i="14"/>
  <c r="BB106" i="14" s="1"/>
  <c r="AD106" i="14"/>
  <c r="AH106" i="14" s="1"/>
  <c r="AT184" i="14"/>
  <c r="AD184" i="14"/>
  <c r="AH184" i="14" s="1"/>
  <c r="AT112" i="14"/>
  <c r="AB112" i="14"/>
  <c r="AD112" i="14" s="1"/>
  <c r="AT258" i="14"/>
  <c r="BB258" i="14" s="1"/>
  <c r="AD258" i="14"/>
  <c r="AH258" i="14" s="1"/>
  <c r="AT239" i="14"/>
  <c r="AD239" i="14"/>
  <c r="AT127" i="14"/>
  <c r="AB127" i="14"/>
  <c r="AD127" i="14" s="1"/>
  <c r="AH127" i="14" s="1"/>
  <c r="AT56" i="14"/>
  <c r="BB56" i="14" s="1"/>
  <c r="AD56" i="14"/>
  <c r="AH56" i="14" s="1"/>
  <c r="AT270" i="14"/>
  <c r="BB270" i="14" s="1"/>
  <c r="AD270" i="14"/>
  <c r="AH270" i="14" s="1"/>
  <c r="AT150" i="14"/>
  <c r="BB150" i="14" s="1"/>
  <c r="AD150" i="14"/>
  <c r="AH150" i="14" s="1"/>
  <c r="AT69" i="14"/>
  <c r="BB69" i="14" s="1"/>
  <c r="AD69" i="14"/>
  <c r="AH69" i="14" s="1"/>
  <c r="AT181" i="14"/>
  <c r="AD181" i="14"/>
  <c r="AH181" i="14" s="1"/>
  <c r="AT109" i="14"/>
  <c r="BB109" i="14" s="1"/>
  <c r="AD109" i="14"/>
  <c r="AH109" i="14" s="1"/>
  <c r="AT268" i="14"/>
  <c r="BB268" i="14" s="1"/>
  <c r="AD268" i="14"/>
  <c r="AH268" i="14" s="1"/>
  <c r="AT156" i="14"/>
  <c r="BB156" i="14" s="1"/>
  <c r="AD156" i="14"/>
  <c r="AH156" i="14" s="1"/>
  <c r="AT84" i="14"/>
  <c r="AD84" i="14"/>
  <c r="AH84" i="14" s="1"/>
  <c r="AT187" i="14"/>
  <c r="BB187" i="14" s="1"/>
  <c r="AD187" i="14"/>
  <c r="AH187" i="14" s="1"/>
  <c r="AT115" i="14"/>
  <c r="AB115" i="14"/>
  <c r="AD115" i="14" s="1"/>
  <c r="AH115" i="14" s="1"/>
  <c r="AT61" i="14"/>
  <c r="BB61" i="14" s="1"/>
  <c r="AD61" i="14"/>
  <c r="AH61" i="14" s="1"/>
  <c r="AT67" i="14"/>
  <c r="AD67" i="14"/>
  <c r="AH67" i="14" s="1"/>
  <c r="AT50" i="14"/>
  <c r="AD50" i="14"/>
  <c r="AH50" i="14" s="1"/>
  <c r="AT90" i="14"/>
  <c r="BB90" i="14" s="1"/>
  <c r="AD90" i="14"/>
  <c r="AH90" i="14" s="1"/>
  <c r="AT193" i="14"/>
  <c r="AD193" i="14"/>
  <c r="AH193" i="14" s="1"/>
  <c r="AT129" i="14"/>
  <c r="BB129" i="14" s="1"/>
  <c r="AB129" i="14"/>
  <c r="AD129" i="14" s="1"/>
  <c r="AH129" i="14" s="1"/>
  <c r="AT62" i="14"/>
  <c r="AD62" i="14"/>
  <c r="AH62" i="14" s="1"/>
  <c r="AT73" i="14"/>
  <c r="AD73" i="14"/>
  <c r="AH73" i="14" s="1"/>
  <c r="AT176" i="14"/>
  <c r="AD176" i="14"/>
  <c r="AH176" i="14" s="1"/>
  <c r="AT104" i="14"/>
  <c r="AD104" i="14"/>
  <c r="AH104" i="14" s="1"/>
  <c r="AT162" i="14"/>
  <c r="BB162" i="14" s="1"/>
  <c r="AD162" i="14"/>
  <c r="AH162" i="14" s="1"/>
  <c r="AT199" i="14"/>
  <c r="BB199" i="14" s="1"/>
  <c r="AD199" i="14"/>
  <c r="AH199" i="14" s="1"/>
  <c r="AT119" i="14"/>
  <c r="AB119" i="14"/>
  <c r="AD119" i="14" s="1"/>
  <c r="AH119" i="14" s="1"/>
  <c r="AT39" i="14"/>
  <c r="AD39" i="14"/>
  <c r="AH39" i="14" s="1"/>
  <c r="AT262" i="14"/>
  <c r="BB262" i="14" s="1"/>
  <c r="AD262" i="14"/>
  <c r="AH262" i="14" s="1"/>
  <c r="AT142" i="14"/>
  <c r="BB142" i="14" s="1"/>
  <c r="AD142" i="14"/>
  <c r="AH142" i="14" s="1"/>
  <c r="AT55" i="14"/>
  <c r="AD55" i="14"/>
  <c r="AH55" i="14" s="1"/>
  <c r="AT173" i="14"/>
  <c r="AD173" i="14"/>
  <c r="AH173" i="14" s="1"/>
  <c r="AT101" i="14"/>
  <c r="AD101" i="14"/>
  <c r="AH101" i="14" s="1"/>
  <c r="AT260" i="14"/>
  <c r="AD260" i="14"/>
  <c r="AH260" i="14" s="1"/>
  <c r="AT148" i="14"/>
  <c r="AD148" i="14"/>
  <c r="AH148" i="14" s="1"/>
  <c r="AT76" i="14"/>
  <c r="AD76" i="14"/>
  <c r="AH76" i="14" s="1"/>
  <c r="AT171" i="14"/>
  <c r="AD171" i="14"/>
  <c r="AH171" i="14" s="1"/>
  <c r="AT107" i="14"/>
  <c r="AD107" i="14"/>
  <c r="AH107" i="14" s="1"/>
  <c r="AT45" i="14"/>
  <c r="AD45" i="14"/>
  <c r="AH45" i="14" s="1"/>
  <c r="AT59" i="14"/>
  <c r="AD59" i="14"/>
  <c r="AH59" i="14" s="1"/>
  <c r="AT42" i="14"/>
  <c r="AD42" i="14"/>
  <c r="AH42" i="14" s="1"/>
  <c r="BH22" i="14"/>
  <c r="AR265" i="14"/>
  <c r="BE265" i="14" s="1"/>
  <c r="AR169" i="14"/>
  <c r="BE169" i="14" s="1"/>
  <c r="AR105" i="14"/>
  <c r="BE105" i="14" s="1"/>
  <c r="AR242" i="14"/>
  <c r="BE242" i="14" s="1"/>
  <c r="AR256" i="14"/>
  <c r="AR144" i="14"/>
  <c r="AR80" i="14"/>
  <c r="AR63" i="14"/>
  <c r="BE63" i="14" s="1"/>
  <c r="AR159" i="14"/>
  <c r="BE159" i="14" s="1"/>
  <c r="AR95" i="14"/>
  <c r="AR178" i="14"/>
  <c r="BE178" i="14" s="1"/>
  <c r="AR182" i="14"/>
  <c r="BE182" i="14" s="1"/>
  <c r="AR102" i="14"/>
  <c r="AR261" i="14"/>
  <c r="AR149" i="14"/>
  <c r="AR77" i="14"/>
  <c r="BE77" i="14" s="1"/>
  <c r="AR188" i="14"/>
  <c r="BE188" i="14" s="1"/>
  <c r="AR116" i="14"/>
  <c r="AR259" i="14"/>
  <c r="BE259" i="14" s="1"/>
  <c r="AR147" i="14"/>
  <c r="BE147" i="14" s="1"/>
  <c r="AR83" i="14"/>
  <c r="AR52" i="14"/>
  <c r="AR35" i="14"/>
  <c r="AR40" i="14"/>
  <c r="BE40" i="14" s="1"/>
  <c r="AR257" i="14"/>
  <c r="BE257" i="14" s="1"/>
  <c r="AR161" i="14"/>
  <c r="BE161" i="14" s="1"/>
  <c r="AR97" i="14"/>
  <c r="BE97" i="14" s="1"/>
  <c r="AR202" i="14"/>
  <c r="BE202" i="14" s="1"/>
  <c r="AR240" i="14"/>
  <c r="BE240" i="14" s="1"/>
  <c r="AR136" i="14"/>
  <c r="AR71" i="14"/>
  <c r="AR271" i="14"/>
  <c r="BE271" i="14" s="1"/>
  <c r="AR151" i="14"/>
  <c r="BE151" i="14" s="1"/>
  <c r="AR87" i="14"/>
  <c r="BE87" i="14" s="1"/>
  <c r="AR146" i="14"/>
  <c r="BE146" i="14" s="1"/>
  <c r="AR174" i="14"/>
  <c r="BE174" i="14" s="1"/>
  <c r="AR94" i="14"/>
  <c r="BE94" i="14" s="1"/>
  <c r="AR245" i="14"/>
  <c r="AR141" i="14"/>
  <c r="BE141" i="14" s="1"/>
  <c r="AR68" i="14"/>
  <c r="BE68" i="14" s="1"/>
  <c r="AR180" i="14"/>
  <c r="BE180" i="14" s="1"/>
  <c r="AR108" i="14"/>
  <c r="AR243" i="14"/>
  <c r="BE243" i="14" s="1"/>
  <c r="AR139" i="14"/>
  <c r="BE139" i="14" s="1"/>
  <c r="AR74" i="14"/>
  <c r="BE74" i="14" s="1"/>
  <c r="AR44" i="14"/>
  <c r="AR27" i="14"/>
  <c r="BB27" i="14"/>
  <c r="BF175" i="14"/>
  <c r="AR186" i="14"/>
  <c r="AR241" i="14"/>
  <c r="AR153" i="14"/>
  <c r="BE153" i="14" s="1"/>
  <c r="AR89" i="14"/>
  <c r="BE89" i="14" s="1"/>
  <c r="AR170" i="14"/>
  <c r="BE170" i="14" s="1"/>
  <c r="AR200" i="14"/>
  <c r="AR128" i="14"/>
  <c r="BE128" i="14" s="1"/>
  <c r="AR57" i="14"/>
  <c r="BE57" i="14" s="1"/>
  <c r="AR263" i="14"/>
  <c r="AR143" i="14"/>
  <c r="AR79" i="14"/>
  <c r="BE79" i="14" s="1"/>
  <c r="AR114" i="14"/>
  <c r="BE114" i="14" s="1"/>
  <c r="AR166" i="14"/>
  <c r="AR86" i="14"/>
  <c r="BE86" i="14" s="1"/>
  <c r="AR237" i="14"/>
  <c r="BE237" i="14" s="1"/>
  <c r="AR133" i="14"/>
  <c r="BE133" i="14" s="1"/>
  <c r="AR54" i="14"/>
  <c r="BE54" i="14" s="1"/>
  <c r="AR172" i="14"/>
  <c r="AR100" i="14"/>
  <c r="AR235" i="14"/>
  <c r="BE235" i="14" s="1"/>
  <c r="AR131" i="14"/>
  <c r="AR64" i="14"/>
  <c r="BE64" i="14" s="1"/>
  <c r="AR36" i="14"/>
  <c r="BE36" i="14" s="1"/>
  <c r="AR66" i="14"/>
  <c r="BE66" i="14" s="1"/>
  <c r="AR154" i="14"/>
  <c r="BE154" i="14" s="1"/>
  <c r="AR233" i="14"/>
  <c r="AR145" i="14"/>
  <c r="AR81" i="14"/>
  <c r="BE81" i="14" s="1"/>
  <c r="AR138" i="14"/>
  <c r="BE138" i="14" s="1"/>
  <c r="AR192" i="14"/>
  <c r="BE192" i="14" s="1"/>
  <c r="AR120" i="14"/>
  <c r="BE120" i="14" s="1"/>
  <c r="AR41" i="14"/>
  <c r="BE41" i="14" s="1"/>
  <c r="AR255" i="14"/>
  <c r="AR135" i="14"/>
  <c r="AR70" i="14"/>
  <c r="AR82" i="14"/>
  <c r="BE82" i="14" s="1"/>
  <c r="AR158" i="14"/>
  <c r="AR78" i="14"/>
  <c r="AR189" i="14"/>
  <c r="BE189" i="14" s="1"/>
  <c r="AR117" i="14"/>
  <c r="BE117" i="14" s="1"/>
  <c r="AR33" i="14"/>
  <c r="BE33" i="14" s="1"/>
  <c r="AR164" i="14"/>
  <c r="BE164" i="14" s="1"/>
  <c r="AR92" i="14"/>
  <c r="AR203" i="14"/>
  <c r="AR123" i="14"/>
  <c r="BE123" i="14" s="1"/>
  <c r="AR49" i="14"/>
  <c r="BE49" i="14" s="1"/>
  <c r="AR75" i="14"/>
  <c r="BE75" i="14" s="1"/>
  <c r="AR58" i="14"/>
  <c r="BE58" i="14" s="1"/>
  <c r="AR122" i="14"/>
  <c r="BE122" i="14" s="1"/>
  <c r="AR201" i="14"/>
  <c r="AR137" i="14"/>
  <c r="AR72" i="14"/>
  <c r="AR106" i="14"/>
  <c r="BE106" i="14" s="1"/>
  <c r="AR184" i="14"/>
  <c r="AR112" i="14"/>
  <c r="BE112" i="14" s="1"/>
  <c r="AR258" i="14"/>
  <c r="BE258" i="14" s="1"/>
  <c r="AR239" i="14"/>
  <c r="BE239" i="14" s="1"/>
  <c r="AR127" i="14"/>
  <c r="AR56" i="14"/>
  <c r="AR270" i="14"/>
  <c r="AR150" i="14"/>
  <c r="AR69" i="14"/>
  <c r="AR181" i="14"/>
  <c r="BE181" i="14" s="1"/>
  <c r="AR109" i="14"/>
  <c r="BE109" i="14" s="1"/>
  <c r="AR268" i="14"/>
  <c r="AR156" i="14"/>
  <c r="BE156" i="14" s="1"/>
  <c r="AR84" i="14"/>
  <c r="AR187" i="14"/>
  <c r="AR115" i="14"/>
  <c r="BE115" i="14" s="1"/>
  <c r="AR61" i="14"/>
  <c r="BE61" i="14" s="1"/>
  <c r="AR67" i="14"/>
  <c r="BE67" i="14" s="1"/>
  <c r="AR50" i="14"/>
  <c r="BE50" i="14" s="1"/>
  <c r="AR90" i="14"/>
  <c r="BE90" i="14" s="1"/>
  <c r="AR193" i="14"/>
  <c r="AR129" i="14"/>
  <c r="AR62" i="14"/>
  <c r="BE62" i="14" s="1"/>
  <c r="AR73" i="14"/>
  <c r="BE73" i="14" s="1"/>
  <c r="AR176" i="14"/>
  <c r="BE176" i="14" s="1"/>
  <c r="AR104" i="14"/>
  <c r="BE104" i="14" s="1"/>
  <c r="AR162" i="14"/>
  <c r="BE162" i="14" s="1"/>
  <c r="AR199" i="14"/>
  <c r="AR119" i="14"/>
  <c r="AR39" i="14"/>
  <c r="AR262" i="14"/>
  <c r="AR142" i="14"/>
  <c r="BE142" i="14" s="1"/>
  <c r="AR55" i="14"/>
  <c r="AR173" i="14"/>
  <c r="BE173" i="14" s="1"/>
  <c r="AR101" i="14"/>
  <c r="BE101" i="14" s="1"/>
  <c r="AR260" i="14"/>
  <c r="AR148" i="14"/>
  <c r="AR76" i="14"/>
  <c r="AR171" i="14"/>
  <c r="BE171" i="14" s="1"/>
  <c r="AR107" i="14"/>
  <c r="BE107" i="14" s="1"/>
  <c r="AR45" i="14"/>
  <c r="BE45" i="14" s="1"/>
  <c r="AR59" i="14"/>
  <c r="BE59" i="14" s="1"/>
  <c r="AR42" i="14"/>
  <c r="BE42" i="14" s="1"/>
  <c r="AR47" i="14"/>
  <c r="BE47" i="14" s="1"/>
  <c r="AR185" i="14"/>
  <c r="BE185" i="14" s="1"/>
  <c r="BB185" i="14"/>
  <c r="AR121" i="14"/>
  <c r="BE121" i="14" s="1"/>
  <c r="AR46" i="14"/>
  <c r="AR272" i="14"/>
  <c r="BE272" i="14" s="1"/>
  <c r="AR168" i="14"/>
  <c r="BE168" i="14" s="1"/>
  <c r="AR96" i="14"/>
  <c r="BE96" i="14" s="1"/>
  <c r="AR130" i="14"/>
  <c r="BE130" i="14" s="1"/>
  <c r="AR191" i="14"/>
  <c r="BE191" i="14" s="1"/>
  <c r="AR111" i="14"/>
  <c r="BE111" i="14" s="1"/>
  <c r="AR266" i="14"/>
  <c r="BB266" i="14"/>
  <c r="AR238" i="14"/>
  <c r="BB118" i="14"/>
  <c r="AR118" i="14"/>
  <c r="BE118" i="14" s="1"/>
  <c r="AR38" i="14"/>
  <c r="AR165" i="14"/>
  <c r="BE165" i="14" s="1"/>
  <c r="AR93" i="14"/>
  <c r="BE93" i="14" s="1"/>
  <c r="AR244" i="14"/>
  <c r="BE244" i="14" s="1"/>
  <c r="AR140" i="14"/>
  <c r="BE140" i="14" s="1"/>
  <c r="AR65" i="14"/>
  <c r="AR163" i="14"/>
  <c r="BE163" i="14" s="1"/>
  <c r="AR99" i="14"/>
  <c r="BE99" i="14" s="1"/>
  <c r="AR37" i="14"/>
  <c r="BE37" i="14" s="1"/>
  <c r="AR51" i="14"/>
  <c r="BE51" i="14" s="1"/>
  <c r="AR34" i="14"/>
  <c r="BE34" i="14" s="1"/>
  <c r="AR273" i="14"/>
  <c r="BE273" i="14" s="1"/>
  <c r="AR177" i="14"/>
  <c r="AR113" i="14"/>
  <c r="AR274" i="14"/>
  <c r="AR264" i="14"/>
  <c r="AR152" i="14"/>
  <c r="AR88" i="14"/>
  <c r="AR98" i="14"/>
  <c r="BE98" i="14" s="1"/>
  <c r="AR183" i="14"/>
  <c r="BE183" i="14" s="1"/>
  <c r="AR103" i="14"/>
  <c r="BE103" i="14" s="1"/>
  <c r="AR234" i="14"/>
  <c r="AR198" i="14"/>
  <c r="BE198" i="14" s="1"/>
  <c r="AR110" i="14"/>
  <c r="BE110" i="14" s="1"/>
  <c r="AR269" i="14"/>
  <c r="AR157" i="14"/>
  <c r="BE157" i="14" s="1"/>
  <c r="AR85" i="14"/>
  <c r="BE85" i="14" s="1"/>
  <c r="AR236" i="14"/>
  <c r="AR124" i="14"/>
  <c r="BB124" i="14"/>
  <c r="AR267" i="14"/>
  <c r="AR155" i="14"/>
  <c r="BE155" i="14" s="1"/>
  <c r="AR91" i="14"/>
  <c r="BE91" i="14" s="1"/>
  <c r="AR60" i="14"/>
  <c r="BE60" i="14" s="1"/>
  <c r="AR43" i="14"/>
  <c r="AR48" i="14"/>
  <c r="BE48" i="14" s="1"/>
  <c r="BF22" i="14"/>
  <c r="BB209" i="14"/>
  <c r="AL135" i="14"/>
  <c r="AL255" i="14"/>
  <c r="AL54" i="14"/>
  <c r="AL33" i="14"/>
  <c r="AL245" i="14"/>
  <c r="AK204" i="14"/>
  <c r="AL204" i="14"/>
  <c r="AL112" i="14"/>
  <c r="AK225" i="14"/>
  <c r="AL225" i="14"/>
  <c r="AL233" i="14"/>
  <c r="AL239" i="14"/>
  <c r="AK210" i="14"/>
  <c r="AL22" i="14"/>
  <c r="AK22" i="14"/>
  <c r="BB207" i="14"/>
  <c r="BH207" i="14" s="1"/>
  <c r="BB225" i="14"/>
  <c r="BH225" i="14" s="1"/>
  <c r="BB190" i="14"/>
  <c r="BH190" i="14" s="1"/>
  <c r="BB29" i="14"/>
  <c r="BB30" i="14"/>
  <c r="BB37" i="14"/>
  <c r="BB167" i="14"/>
  <c r="BB231" i="14"/>
  <c r="BH231" i="14" s="1"/>
  <c r="BB26" i="14"/>
  <c r="BH26" i="14" s="1"/>
  <c r="BB197" i="14"/>
  <c r="BB208" i="14"/>
  <c r="BB204" i="14"/>
  <c r="BH204" i="14" s="1"/>
  <c r="BB229" i="14"/>
  <c r="BB230" i="14"/>
  <c r="BH230" i="14" s="1"/>
  <c r="BB191" i="14"/>
  <c r="BB228" i="14"/>
  <c r="BB25" i="14"/>
  <c r="BH25" i="14" s="1"/>
  <c r="BB179" i="14"/>
  <c r="BB132" i="14"/>
  <c r="BB23" i="14"/>
  <c r="BB125" i="14"/>
  <c r="BB196" i="14"/>
  <c r="BB28" i="14"/>
  <c r="BB134" i="14"/>
  <c r="BB195" i="14"/>
  <c r="BH195" i="14" s="1"/>
  <c r="BB211" i="14"/>
  <c r="BB205" i="14"/>
  <c r="BH205" i="14" s="1"/>
  <c r="BB210" i="14"/>
  <c r="BB194" i="14"/>
  <c r="BH194" i="14" s="1"/>
  <c r="BB244" i="14"/>
  <c r="BB177" i="14"/>
  <c r="BB227" i="14"/>
  <c r="BH227" i="14" s="1"/>
  <c r="BB53" i="14"/>
  <c r="BH53" i="14" s="1"/>
  <c r="BB226" i="14"/>
  <c r="BH226" i="14" s="1"/>
  <c r="BB232" i="14"/>
  <c r="BH232" i="14" s="1"/>
  <c r="BB246" i="14"/>
  <c r="BB160" i="14"/>
  <c r="BH160" i="14" s="1"/>
  <c r="BB126" i="14"/>
  <c r="BH126" i="14" s="1"/>
  <c r="BB212" i="14"/>
  <c r="BH212" i="14" s="1"/>
  <c r="BB24" i="14"/>
  <c r="BB206" i="14"/>
  <c r="BH206" i="14" s="1"/>
  <c r="BA20" i="14"/>
  <c r="BF269" i="14" l="1"/>
  <c r="BE269" i="14"/>
  <c r="BF267" i="14"/>
  <c r="BE267" i="14"/>
  <c r="BF177" i="14"/>
  <c r="BE177" i="14"/>
  <c r="BF65" i="14"/>
  <c r="BE65" i="14"/>
  <c r="BF238" i="14"/>
  <c r="BE238" i="14"/>
  <c r="BF56" i="14"/>
  <c r="BE56" i="14"/>
  <c r="BF72" i="14"/>
  <c r="BE72" i="14"/>
  <c r="BF145" i="14"/>
  <c r="BE145" i="14"/>
  <c r="BF44" i="14"/>
  <c r="BE44" i="14"/>
  <c r="AS245" i="14"/>
  <c r="BE245" i="14"/>
  <c r="BF71" i="14"/>
  <c r="BE71" i="14"/>
  <c r="BF95" i="14"/>
  <c r="BE95" i="14"/>
  <c r="BF88" i="14"/>
  <c r="BE88" i="14"/>
  <c r="BF55" i="14"/>
  <c r="BE55" i="14"/>
  <c r="BF127" i="14"/>
  <c r="BE127" i="14"/>
  <c r="BF137" i="14"/>
  <c r="BE137" i="14"/>
  <c r="BF135" i="14"/>
  <c r="BE135" i="14"/>
  <c r="BF233" i="14"/>
  <c r="BE233" i="14"/>
  <c r="BF100" i="14"/>
  <c r="BE100" i="14"/>
  <c r="BF136" i="14"/>
  <c r="BE136" i="14"/>
  <c r="BF266" i="14"/>
  <c r="BE266" i="14"/>
  <c r="BF46" i="14"/>
  <c r="BE46" i="14"/>
  <c r="BF268" i="14"/>
  <c r="BE268" i="14"/>
  <c r="BF201" i="14"/>
  <c r="BE201" i="14"/>
  <c r="BF203" i="14"/>
  <c r="BE203" i="14"/>
  <c r="BF78" i="14"/>
  <c r="BE78" i="14"/>
  <c r="BF255" i="14"/>
  <c r="BE255" i="14"/>
  <c r="BF172" i="14"/>
  <c r="BE172" i="14"/>
  <c r="BF35" i="14"/>
  <c r="BE35" i="14"/>
  <c r="BF149" i="14"/>
  <c r="BE149" i="14"/>
  <c r="BF236" i="14"/>
  <c r="BE236" i="14"/>
  <c r="BF234" i="14"/>
  <c r="BE234" i="14"/>
  <c r="BF264" i="14"/>
  <c r="BE264" i="14"/>
  <c r="BF262" i="14"/>
  <c r="BE262" i="14"/>
  <c r="BF158" i="14"/>
  <c r="BE158" i="14"/>
  <c r="BF143" i="14"/>
  <c r="BE143" i="14"/>
  <c r="BF241" i="14"/>
  <c r="BE241" i="14"/>
  <c r="BF52" i="14"/>
  <c r="BE52" i="14"/>
  <c r="BF261" i="14"/>
  <c r="BE261" i="14"/>
  <c r="BF80" i="14"/>
  <c r="BE80" i="14"/>
  <c r="BF124" i="14"/>
  <c r="BE124" i="14"/>
  <c r="BF152" i="14"/>
  <c r="BE152" i="14"/>
  <c r="BF43" i="14"/>
  <c r="BE43" i="14"/>
  <c r="BF76" i="14"/>
  <c r="BE76" i="14"/>
  <c r="BF39" i="14"/>
  <c r="BE39" i="14"/>
  <c r="BF92" i="14"/>
  <c r="BE92" i="14"/>
  <c r="BF263" i="14"/>
  <c r="BE263" i="14"/>
  <c r="BF186" i="14"/>
  <c r="BE186" i="14"/>
  <c r="BF108" i="14"/>
  <c r="BE108" i="14"/>
  <c r="BF83" i="14"/>
  <c r="BE83" i="14"/>
  <c r="BF102" i="14"/>
  <c r="BE102" i="14"/>
  <c r="BF144" i="14"/>
  <c r="BE144" i="14"/>
  <c r="BF274" i="14"/>
  <c r="BE274" i="14"/>
  <c r="BF38" i="14"/>
  <c r="BE38" i="14"/>
  <c r="BF148" i="14"/>
  <c r="BE148" i="14"/>
  <c r="BF119" i="14"/>
  <c r="BE119" i="14"/>
  <c r="BF129" i="14"/>
  <c r="BE129" i="14"/>
  <c r="BF187" i="14"/>
  <c r="BE187" i="14"/>
  <c r="BF69" i="14"/>
  <c r="BE69" i="14"/>
  <c r="BF256" i="14"/>
  <c r="BE256" i="14"/>
  <c r="BF113" i="14"/>
  <c r="BE113" i="14"/>
  <c r="BF260" i="14"/>
  <c r="BE260" i="14"/>
  <c r="BF199" i="14"/>
  <c r="BE199" i="14"/>
  <c r="BF84" i="14"/>
  <c r="BE84" i="14"/>
  <c r="BF150" i="14"/>
  <c r="BE150" i="14"/>
  <c r="BF184" i="14"/>
  <c r="BE184" i="14"/>
  <c r="BF193" i="14"/>
  <c r="BE193" i="14"/>
  <c r="BF270" i="14"/>
  <c r="BE270" i="14"/>
  <c r="BF70" i="14"/>
  <c r="BE70" i="14"/>
  <c r="BF131" i="14"/>
  <c r="BE131" i="14"/>
  <c r="BF166" i="14"/>
  <c r="BE166" i="14"/>
  <c r="BF200" i="14"/>
  <c r="BE200" i="14"/>
  <c r="AS22" i="14"/>
  <c r="BE27" i="14"/>
  <c r="BF116" i="14"/>
  <c r="BE116" i="14"/>
  <c r="AJ155" i="14"/>
  <c r="AK155" i="14" s="1"/>
  <c r="AL155" i="14" s="1"/>
  <c r="AH155" i="14"/>
  <c r="AH239" i="14"/>
  <c r="AJ239" i="14"/>
  <c r="AK239" i="14" s="1"/>
  <c r="AH33" i="14"/>
  <c r="AJ33" i="14"/>
  <c r="AK33" i="14" s="1"/>
  <c r="AJ255" i="14"/>
  <c r="AK255" i="14" s="1"/>
  <c r="AH255" i="14"/>
  <c r="AJ54" i="14"/>
  <c r="AK54" i="14" s="1"/>
  <c r="AH54" i="14"/>
  <c r="AH245" i="14"/>
  <c r="AJ245" i="14"/>
  <c r="AK245" i="14" s="1"/>
  <c r="AH168" i="14"/>
  <c r="AJ168" i="14"/>
  <c r="AK168" i="14" s="1"/>
  <c r="AH112" i="14"/>
  <c r="AJ112" i="14"/>
  <c r="AK112" i="14" s="1"/>
  <c r="AJ79" i="14"/>
  <c r="AK79" i="14" s="1"/>
  <c r="AH79" i="14"/>
  <c r="AH135" i="14"/>
  <c r="AJ135" i="14"/>
  <c r="AK135" i="14" s="1"/>
  <c r="AJ233" i="14"/>
  <c r="AK233" i="14" s="1"/>
  <c r="AH233" i="14"/>
  <c r="BH144" i="14"/>
  <c r="BH105" i="14"/>
  <c r="BH54" i="14"/>
  <c r="BH174" i="14"/>
  <c r="BH61" i="14"/>
  <c r="BH269" i="14"/>
  <c r="BH151" i="14"/>
  <c r="BF161" i="14"/>
  <c r="BH266" i="14"/>
  <c r="BH34" i="14"/>
  <c r="BH259" i="14"/>
  <c r="BF106" i="14"/>
  <c r="BH245" i="14"/>
  <c r="BH71" i="14"/>
  <c r="BH92" i="14"/>
  <c r="BH147" i="14"/>
  <c r="BF115" i="14"/>
  <c r="BH66" i="14"/>
  <c r="BF47" i="14"/>
  <c r="BF265" i="14"/>
  <c r="BH182" i="14"/>
  <c r="BH234" i="14"/>
  <c r="BF168" i="14"/>
  <c r="BH242" i="14"/>
  <c r="BF165" i="14"/>
  <c r="BH129" i="14"/>
  <c r="BF169" i="14"/>
  <c r="BH46" i="14"/>
  <c r="BF118" i="14"/>
  <c r="BF192" i="14"/>
  <c r="BF54" i="14"/>
  <c r="BF61" i="14"/>
  <c r="BH156" i="14"/>
  <c r="BF123" i="14"/>
  <c r="BH117" i="14"/>
  <c r="BF170" i="14"/>
  <c r="BF180" i="14"/>
  <c r="BF159" i="14"/>
  <c r="BH110" i="14"/>
  <c r="BF104" i="14"/>
  <c r="BF237" i="14"/>
  <c r="BH27" i="14"/>
  <c r="BF154" i="14"/>
  <c r="BF151" i="14"/>
  <c r="BH113" i="14"/>
  <c r="BF111" i="14"/>
  <c r="BF73" i="14"/>
  <c r="BH203" i="14"/>
  <c r="BH56" i="14"/>
  <c r="BF27" i="14"/>
  <c r="BH48" i="14"/>
  <c r="BH98" i="14"/>
  <c r="BF45" i="14"/>
  <c r="BF239" i="14"/>
  <c r="BF66" i="14"/>
  <c r="BF141" i="14"/>
  <c r="BH166" i="14"/>
  <c r="BH97" i="14"/>
  <c r="AS155" i="14"/>
  <c r="BF36" i="14"/>
  <c r="BF60" i="14"/>
  <c r="BF121" i="14"/>
  <c r="BF49" i="14"/>
  <c r="BF117" i="14"/>
  <c r="BF41" i="14"/>
  <c r="BF235" i="14"/>
  <c r="BF240" i="14"/>
  <c r="BF244" i="14"/>
  <c r="BF142" i="14"/>
  <c r="BF181" i="14"/>
  <c r="BF94" i="14"/>
  <c r="BF87" i="14"/>
  <c r="BF157" i="14"/>
  <c r="BH89" i="14"/>
  <c r="BH49" i="14"/>
  <c r="BH135" i="14"/>
  <c r="BF58" i="14"/>
  <c r="BF164" i="14"/>
  <c r="BH81" i="14"/>
  <c r="BF183" i="14"/>
  <c r="BF173" i="14"/>
  <c r="BF112" i="14"/>
  <c r="BF128" i="14"/>
  <c r="BF139" i="14"/>
  <c r="BH185" i="14"/>
  <c r="BH77" i="14"/>
  <c r="BH118" i="14"/>
  <c r="BF96" i="14"/>
  <c r="BF272" i="14"/>
  <c r="BF90" i="14"/>
  <c r="BF86" i="14"/>
  <c r="BF114" i="14"/>
  <c r="BF188" i="14"/>
  <c r="BF176" i="14"/>
  <c r="BF189" i="14"/>
  <c r="BF257" i="14"/>
  <c r="BH79" i="14"/>
  <c r="BF37" i="14"/>
  <c r="BF93" i="14"/>
  <c r="BF122" i="14"/>
  <c r="BF138" i="14"/>
  <c r="BF133" i="14"/>
  <c r="BF74" i="14"/>
  <c r="BF63" i="14"/>
  <c r="BH137" i="14"/>
  <c r="BH95" i="14"/>
  <c r="BH240" i="14"/>
  <c r="BH64" i="14"/>
  <c r="BF91" i="14"/>
  <c r="BF273" i="14"/>
  <c r="BF191" i="14"/>
  <c r="BF101" i="14"/>
  <c r="BF50" i="14"/>
  <c r="BF258" i="14"/>
  <c r="BF33" i="14"/>
  <c r="BF271" i="14"/>
  <c r="BG198" i="14"/>
  <c r="BH198" i="14"/>
  <c r="BG268" i="14"/>
  <c r="BH268" i="14"/>
  <c r="BG208" i="14"/>
  <c r="BH208" i="14"/>
  <c r="BG87" i="14"/>
  <c r="BH87" i="14"/>
  <c r="BG210" i="14"/>
  <c r="BH210" i="14"/>
  <c r="BG145" i="14"/>
  <c r="BH145" i="14"/>
  <c r="BG229" i="14"/>
  <c r="BH229" i="14"/>
  <c r="BG82" i="14"/>
  <c r="BH82" i="14"/>
  <c r="BG29" i="14"/>
  <c r="BH29" i="14"/>
  <c r="BG178" i="14"/>
  <c r="BH178" i="14"/>
  <c r="BG24" i="14"/>
  <c r="BH24" i="14"/>
  <c r="BG109" i="14"/>
  <c r="BH109" i="14"/>
  <c r="BG58" i="14"/>
  <c r="BH58" i="14"/>
  <c r="BG261" i="14"/>
  <c r="BH261" i="14"/>
  <c r="BG125" i="14"/>
  <c r="BH125" i="14"/>
  <c r="BG258" i="14"/>
  <c r="BH258" i="14"/>
  <c r="BG274" i="14"/>
  <c r="BH274" i="14"/>
  <c r="BG150" i="14"/>
  <c r="BH150" i="14"/>
  <c r="BG256" i="14"/>
  <c r="BH256" i="14"/>
  <c r="BG211" i="14"/>
  <c r="BH211" i="14"/>
  <c r="BG90" i="14"/>
  <c r="BH90" i="14"/>
  <c r="BG86" i="14"/>
  <c r="BH86" i="14"/>
  <c r="BG170" i="14"/>
  <c r="BH170" i="14"/>
  <c r="BG270" i="14"/>
  <c r="BH270" i="14"/>
  <c r="BG132" i="14"/>
  <c r="BH132" i="14"/>
  <c r="BG180" i="14"/>
  <c r="BH180" i="14"/>
  <c r="BG159" i="14"/>
  <c r="BH159" i="14"/>
  <c r="BG228" i="14"/>
  <c r="BH228" i="14"/>
  <c r="BG199" i="14"/>
  <c r="BH199" i="14"/>
  <c r="BG246" i="14"/>
  <c r="BH246" i="14"/>
  <c r="BG187" i="14"/>
  <c r="BH187" i="14"/>
  <c r="BG191" i="14"/>
  <c r="BH191" i="14"/>
  <c r="BG36" i="14"/>
  <c r="BH36" i="14"/>
  <c r="BG263" i="14"/>
  <c r="BH263" i="14"/>
  <c r="BG179" i="14"/>
  <c r="BH179" i="14"/>
  <c r="BG94" i="14"/>
  <c r="BH94" i="14"/>
  <c r="BG197" i="14"/>
  <c r="BH197" i="14"/>
  <c r="BG262" i="14"/>
  <c r="BH262" i="14"/>
  <c r="BG164" i="14"/>
  <c r="BH164" i="14"/>
  <c r="BG186" i="14"/>
  <c r="BH186" i="14"/>
  <c r="BG265" i="14"/>
  <c r="BH265" i="14"/>
  <c r="BG102" i="14"/>
  <c r="BH102" i="14"/>
  <c r="BG162" i="14"/>
  <c r="BH162" i="14"/>
  <c r="BG169" i="14"/>
  <c r="BH169" i="14"/>
  <c r="BG134" i="14"/>
  <c r="BH134" i="14"/>
  <c r="BG161" i="14"/>
  <c r="BH161" i="14"/>
  <c r="BG202" i="14"/>
  <c r="BH202" i="14"/>
  <c r="BG44" i="14"/>
  <c r="BH44" i="14"/>
  <c r="BG167" i="14"/>
  <c r="BH167" i="14"/>
  <c r="BG37" i="14"/>
  <c r="BH37" i="14"/>
  <c r="BG124" i="14"/>
  <c r="BH124" i="14"/>
  <c r="BG106" i="14"/>
  <c r="BH106" i="14"/>
  <c r="BG123" i="14"/>
  <c r="BH123" i="14"/>
  <c r="BG177" i="14"/>
  <c r="BH177" i="14"/>
  <c r="BG28" i="14"/>
  <c r="BH28" i="14"/>
  <c r="BG243" i="14"/>
  <c r="BH243" i="14"/>
  <c r="BG158" i="14"/>
  <c r="BH158" i="14"/>
  <c r="BG30" i="14"/>
  <c r="BH30" i="14"/>
  <c r="BG209" i="14"/>
  <c r="BH209" i="14"/>
  <c r="BG43" i="14"/>
  <c r="BH43" i="14"/>
  <c r="BG40" i="14"/>
  <c r="BH40" i="14"/>
  <c r="BG23" i="14"/>
  <c r="BH23" i="14"/>
  <c r="BG69" i="14"/>
  <c r="BH69" i="14"/>
  <c r="BG142" i="14"/>
  <c r="BH142" i="14"/>
  <c r="BG244" i="14"/>
  <c r="BH244" i="14"/>
  <c r="BG196" i="14"/>
  <c r="BH196" i="14"/>
  <c r="BG264" i="14"/>
  <c r="BH264" i="14"/>
  <c r="BG185" i="14"/>
  <c r="BF155" i="14"/>
  <c r="BF198" i="14"/>
  <c r="BF163" i="14"/>
  <c r="BF171" i="14"/>
  <c r="BF62" i="14"/>
  <c r="BF82" i="14"/>
  <c r="BF81" i="14"/>
  <c r="AS79" i="14"/>
  <c r="BF89" i="14"/>
  <c r="BF68" i="14"/>
  <c r="BF40" i="14"/>
  <c r="BF77" i="14"/>
  <c r="BF51" i="14"/>
  <c r="BF59" i="14"/>
  <c r="BF67" i="14"/>
  <c r="BF75" i="14"/>
  <c r="BF120" i="14"/>
  <c r="AS54" i="14"/>
  <c r="BF243" i="14"/>
  <c r="BF146" i="14"/>
  <c r="BF97" i="14"/>
  <c r="BF259" i="14"/>
  <c r="BF178" i="14"/>
  <c r="BF105" i="14"/>
  <c r="BG48" i="14"/>
  <c r="BF103" i="14"/>
  <c r="BF140" i="14"/>
  <c r="AS168" i="14"/>
  <c r="BF185" i="14"/>
  <c r="BF156" i="14"/>
  <c r="AS239" i="14"/>
  <c r="AS33" i="14"/>
  <c r="AS255" i="14"/>
  <c r="BF245" i="14"/>
  <c r="BF110" i="14"/>
  <c r="BF99" i="14"/>
  <c r="BF107" i="14"/>
  <c r="BG34" i="14"/>
  <c r="BF48" i="14"/>
  <c r="BF85" i="14"/>
  <c r="BF98" i="14"/>
  <c r="BF34" i="14"/>
  <c r="BF130" i="14"/>
  <c r="BF42" i="14"/>
  <c r="BF162" i="14"/>
  <c r="BF109" i="14"/>
  <c r="AS112" i="14"/>
  <c r="BF57" i="14"/>
  <c r="BF174" i="14"/>
  <c r="BF202" i="14"/>
  <c r="BF147" i="14"/>
  <c r="BF182" i="14"/>
  <c r="BF242" i="14"/>
  <c r="BF79" i="14"/>
  <c r="BF153" i="14"/>
  <c r="AS135" i="14"/>
  <c r="AS233" i="14"/>
  <c r="BF64" i="14"/>
  <c r="AZ20" i="14"/>
  <c r="BG194" i="14"/>
  <c r="BG46" i="14"/>
  <c r="BG156" i="14"/>
  <c r="BG203" i="14"/>
  <c r="BG232" i="14"/>
  <c r="BG54" i="14"/>
  <c r="BG195" i="14"/>
  <c r="BG182" i="14"/>
  <c r="BG98" i="14"/>
  <c r="BG71" i="14"/>
  <c r="BG166" i="14"/>
  <c r="BG97" i="14"/>
  <c r="BG225" i="14"/>
  <c r="BG81" i="14"/>
  <c r="BG56" i="14"/>
  <c r="BG231" i="14"/>
  <c r="BG212" i="14"/>
  <c r="BG205" i="14"/>
  <c r="BG259" i="14"/>
  <c r="BG137" i="14"/>
  <c r="BG234" i="14"/>
  <c r="BG174" i="14"/>
  <c r="BG230" i="14"/>
  <c r="BG105" i="14"/>
  <c r="BG226" i="14"/>
  <c r="BG64" i="14"/>
  <c r="BG61" i="14"/>
  <c r="BG126" i="14"/>
  <c r="BG89" i="14"/>
  <c r="BG49" i="14"/>
  <c r="BG144" i="14"/>
  <c r="BG110" i="14"/>
  <c r="BG147" i="14"/>
  <c r="BG207" i="14"/>
  <c r="BG118" i="14"/>
  <c r="BG266" i="14"/>
  <c r="BG160" i="14"/>
  <c r="BG95" i="14"/>
  <c r="BG135" i="14"/>
  <c r="BG53" i="14"/>
  <c r="BG117" i="14"/>
  <c r="BG204" i="14"/>
  <c r="BG269" i="14"/>
  <c r="BG206" i="14"/>
  <c r="BG26" i="14"/>
  <c r="BG66" i="14"/>
  <c r="BG227" i="14"/>
  <c r="BG240" i="14"/>
  <c r="BG245" i="14"/>
  <c r="BG27" i="14"/>
  <c r="BG79" i="14"/>
  <c r="BG77" i="14"/>
  <c r="BG151" i="14"/>
  <c r="BG242" i="14"/>
  <c r="BG113" i="14"/>
  <c r="BG92" i="14"/>
  <c r="BG25" i="14"/>
  <c r="BG129" i="14"/>
  <c r="BG190" i="14"/>
  <c r="BB168" i="14"/>
  <c r="BB184" i="14"/>
  <c r="BB93" i="14"/>
  <c r="BH93" i="14" s="1"/>
  <c r="BB120" i="14"/>
  <c r="BB41" i="14"/>
  <c r="BB50" i="14"/>
  <c r="BH50" i="14" s="1"/>
  <c r="BB200" i="14"/>
  <c r="BB108" i="14"/>
  <c r="BB65" i="14"/>
  <c r="BB76" i="14"/>
  <c r="BH76" i="14" s="1"/>
  <c r="BB193" i="14"/>
  <c r="BH193" i="14" s="1"/>
  <c r="BB149" i="14"/>
  <c r="BB33" i="14"/>
  <c r="BB42" i="14"/>
  <c r="BH42" i="14" s="1"/>
  <c r="BB233" i="14"/>
  <c r="BH233" i="14" s="1"/>
  <c r="BB154" i="14"/>
  <c r="BB91" i="14"/>
  <c r="BB100" i="14"/>
  <c r="BH100" i="14" s="1"/>
  <c r="BB122" i="14"/>
  <c r="BH122" i="14" s="1"/>
  <c r="BB183" i="14"/>
  <c r="BB175" i="14"/>
  <c r="BB136" i="14"/>
  <c r="BB188" i="14"/>
  <c r="BB181" i="14"/>
  <c r="BB152" i="14"/>
  <c r="BH152" i="14" s="1"/>
  <c r="BB114" i="14"/>
  <c r="BH114" i="14" s="1"/>
  <c r="BB38" i="14"/>
  <c r="BB52" i="14"/>
  <c r="BB55" i="14"/>
  <c r="BB272" i="14"/>
  <c r="BB60" i="14"/>
  <c r="BH60" i="14" s="1"/>
  <c r="BB121" i="14"/>
  <c r="BB153" i="14"/>
  <c r="BB101" i="14"/>
  <c r="BB271" i="14"/>
  <c r="BB163" i="14"/>
  <c r="BB80" i="14"/>
  <c r="BB127" i="14"/>
  <c r="BB257" i="14"/>
  <c r="BB115" i="14"/>
  <c r="BB176" i="14"/>
  <c r="BB83" i="14"/>
  <c r="BH83" i="14" s="1"/>
  <c r="BB88" i="14"/>
  <c r="BH88" i="14" s="1"/>
  <c r="BB236" i="14"/>
  <c r="BB173" i="14"/>
  <c r="BB165" i="14"/>
  <c r="BH165" i="14" s="1"/>
  <c r="BB128" i="14"/>
  <c r="BH128" i="14" s="1"/>
  <c r="BB75" i="14"/>
  <c r="BH75" i="14" s="1"/>
  <c r="BB235" i="14"/>
  <c r="BB131" i="14"/>
  <c r="BB119" i="14"/>
  <c r="BB139" i="14"/>
  <c r="BB67" i="14"/>
  <c r="BB155" i="14"/>
  <c r="BB47" i="14"/>
  <c r="BB74" i="14"/>
  <c r="BB273" i="14"/>
  <c r="BB241" i="14"/>
  <c r="BB192" i="14"/>
  <c r="BH192" i="14" s="1"/>
  <c r="BB112" i="14"/>
  <c r="BH112" i="14" s="1"/>
  <c r="BB85" i="14"/>
  <c r="BH85" i="14" s="1"/>
  <c r="BB157" i="14"/>
  <c r="BB107" i="14"/>
  <c r="BB35" i="14"/>
  <c r="BB260" i="14"/>
  <c r="BB143" i="14"/>
  <c r="BB130" i="14"/>
  <c r="BH130" i="14" s="1"/>
  <c r="BB239" i="14"/>
  <c r="BB140" i="14"/>
  <c r="BH140" i="14" s="1"/>
  <c r="BB59" i="14"/>
  <c r="BH59" i="14" s="1"/>
  <c r="BB51" i="14"/>
  <c r="BH51" i="14" s="1"/>
  <c r="BB99" i="14"/>
  <c r="BB96" i="14"/>
  <c r="BB267" i="14"/>
  <c r="BB68" i="14"/>
  <c r="BH68" i="14" s="1"/>
  <c r="BB146" i="14"/>
  <c r="BH146" i="14" s="1"/>
  <c r="BB237" i="14"/>
  <c r="BB116" i="14"/>
  <c r="BB111" i="14"/>
  <c r="BH111" i="14" s="1"/>
  <c r="BB45" i="14"/>
  <c r="BB238" i="14"/>
  <c r="BB63" i="14"/>
  <c r="BB103" i="14"/>
  <c r="BH103" i="14" s="1"/>
  <c r="BB189" i="14"/>
  <c r="BB133" i="14"/>
  <c r="BH133" i="14" s="1"/>
  <c r="BB84" i="14"/>
  <c r="BB201" i="14"/>
  <c r="BB141" i="14"/>
  <c r="BH141" i="14" s="1"/>
  <c r="BB148" i="14"/>
  <c r="BH148" i="14" s="1"/>
  <c r="BB172" i="14"/>
  <c r="BB73" i="14"/>
  <c r="BB171" i="14"/>
  <c r="BB104" i="14"/>
  <c r="BB57" i="14"/>
  <c r="BH57" i="14" s="1"/>
  <c r="BB39" i="14"/>
  <c r="BB138" i="14"/>
  <c r="BH138" i="14" s="1"/>
  <c r="BB70" i="14"/>
  <c r="BB72" i="14"/>
  <c r="BB62" i="14"/>
  <c r="BB78" i="14"/>
  <c r="BB255" i="14"/>
  <c r="AT20" i="14"/>
  <c r="BG189" i="14" l="1"/>
  <c r="BH189" i="14"/>
  <c r="BG52" i="14"/>
  <c r="BH52" i="14"/>
  <c r="BG62" i="14"/>
  <c r="BH62" i="14"/>
  <c r="BG119" i="14"/>
  <c r="BH119" i="14"/>
  <c r="BG271" i="14"/>
  <c r="BH271" i="14"/>
  <c r="BG38" i="14"/>
  <c r="BH38" i="14"/>
  <c r="BG163" i="14"/>
  <c r="BH163" i="14"/>
  <c r="BG73" i="14"/>
  <c r="BH73" i="14"/>
  <c r="BG72" i="14"/>
  <c r="BH72" i="14"/>
  <c r="BG172" i="14"/>
  <c r="BH172" i="14"/>
  <c r="BG63" i="14"/>
  <c r="BH63" i="14"/>
  <c r="BG267" i="14"/>
  <c r="BH267" i="14"/>
  <c r="BG143" i="14"/>
  <c r="BH143" i="14"/>
  <c r="BG241" i="14"/>
  <c r="BH241" i="14"/>
  <c r="BG131" i="14"/>
  <c r="BH131" i="14"/>
  <c r="BG101" i="14"/>
  <c r="BH101" i="14"/>
  <c r="BG184" i="14"/>
  <c r="BH184" i="14"/>
  <c r="BG255" i="14"/>
  <c r="BH255" i="14"/>
  <c r="BG171" i="14"/>
  <c r="BH171" i="14"/>
  <c r="BG236" i="14"/>
  <c r="BH236" i="14"/>
  <c r="BG149" i="14"/>
  <c r="BH149" i="14"/>
  <c r="BG238" i="14"/>
  <c r="BH238" i="14"/>
  <c r="BG273" i="14"/>
  <c r="BH273" i="14"/>
  <c r="BG176" i="14"/>
  <c r="BH176" i="14"/>
  <c r="BG91" i="14"/>
  <c r="BH91" i="14"/>
  <c r="BG65" i="14"/>
  <c r="BH65" i="14"/>
  <c r="BG168" i="14"/>
  <c r="BH168" i="14"/>
  <c r="BG78" i="14"/>
  <c r="BH78" i="14"/>
  <c r="BG139" i="14"/>
  <c r="BH139" i="14"/>
  <c r="BG183" i="14"/>
  <c r="BH183" i="14"/>
  <c r="BG96" i="14"/>
  <c r="BH96" i="14"/>
  <c r="BG235" i="14"/>
  <c r="BH235" i="14"/>
  <c r="BG99" i="14"/>
  <c r="BH99" i="14"/>
  <c r="BG74" i="14"/>
  <c r="BH74" i="14"/>
  <c r="BG115" i="14"/>
  <c r="BH115" i="14"/>
  <c r="BG121" i="14"/>
  <c r="BH121" i="14"/>
  <c r="BG181" i="14"/>
  <c r="BH181" i="14"/>
  <c r="BG154" i="14"/>
  <c r="BH154" i="14"/>
  <c r="BG108" i="14"/>
  <c r="BH108" i="14"/>
  <c r="BG104" i="14"/>
  <c r="BH104" i="14"/>
  <c r="BG239" i="14"/>
  <c r="BH239" i="14"/>
  <c r="BG120" i="14"/>
  <c r="BH120" i="14"/>
  <c r="BG70" i="14"/>
  <c r="BH70" i="14"/>
  <c r="BG260" i="14"/>
  <c r="BH260" i="14"/>
  <c r="BG153" i="14"/>
  <c r="BH153" i="14"/>
  <c r="BG45" i="14"/>
  <c r="BH45" i="14"/>
  <c r="BG35" i="14"/>
  <c r="BH35" i="14"/>
  <c r="BG39" i="14"/>
  <c r="BH39" i="14"/>
  <c r="BG201" i="14"/>
  <c r="BH201" i="14"/>
  <c r="BG107" i="14"/>
  <c r="BH107" i="14"/>
  <c r="BG47" i="14"/>
  <c r="BH47" i="14"/>
  <c r="BG257" i="14"/>
  <c r="BH257" i="14"/>
  <c r="BG188" i="14"/>
  <c r="BH188" i="14"/>
  <c r="BG200" i="14"/>
  <c r="BH200" i="14"/>
  <c r="BG84" i="14"/>
  <c r="BH84" i="14"/>
  <c r="BG116" i="14"/>
  <c r="BH116" i="14"/>
  <c r="BG157" i="14"/>
  <c r="BH157" i="14"/>
  <c r="BG155" i="14"/>
  <c r="BH155" i="14"/>
  <c r="BG127" i="14"/>
  <c r="BH127" i="14"/>
  <c r="BG272" i="14"/>
  <c r="BH272" i="14"/>
  <c r="BG136" i="14"/>
  <c r="BH136" i="14"/>
  <c r="BG237" i="14"/>
  <c r="BH237" i="14"/>
  <c r="BG67" i="14"/>
  <c r="BH67" i="14"/>
  <c r="BG173" i="14"/>
  <c r="BH173" i="14"/>
  <c r="BG80" i="14"/>
  <c r="BH80" i="14"/>
  <c r="BG55" i="14"/>
  <c r="BH55" i="14"/>
  <c r="BG175" i="14"/>
  <c r="BH175" i="14"/>
  <c r="BG33" i="14"/>
  <c r="BH33" i="14"/>
  <c r="BG41" i="14"/>
  <c r="BH41" i="14"/>
  <c r="BG111" i="14"/>
  <c r="BG133" i="14"/>
  <c r="BG83" i="14"/>
  <c r="BG233" i="14"/>
  <c r="BG146" i="14"/>
  <c r="BG42" i="14"/>
  <c r="BG50" i="14"/>
  <c r="BG140" i="14"/>
  <c r="BG75" i="14"/>
  <c r="BG114" i="14"/>
  <c r="BG88" i="14"/>
  <c r="BG85" i="14"/>
  <c r="BG128" i="14"/>
  <c r="BG152" i="14"/>
  <c r="BG51" i="14"/>
  <c r="BG138" i="14"/>
  <c r="BG103" i="14"/>
  <c r="BG148" i="14"/>
  <c r="BG57" i="14"/>
  <c r="BG141" i="14"/>
  <c r="BG130" i="14"/>
  <c r="BG112" i="14"/>
  <c r="BG165" i="14"/>
  <c r="BG122" i="14"/>
  <c r="BG193" i="14"/>
  <c r="BG93" i="14"/>
  <c r="BG59" i="14"/>
  <c r="BG68" i="14"/>
  <c r="BG192" i="14"/>
  <c r="BG60" i="14"/>
  <c r="BG100" i="14"/>
  <c r="BG76" i="14"/>
  <c r="BB20" i="14"/>
  <c r="BB561" i="13"/>
  <c r="BA561" i="13"/>
  <c r="AZ561" i="13"/>
  <c r="AY561" i="13"/>
  <c r="AX561" i="13"/>
  <c r="AW561" i="13"/>
  <c r="AT561" i="13"/>
  <c r="AP561" i="13"/>
  <c r="AO561" i="13"/>
  <c r="AN561" i="13"/>
  <c r="AM561" i="13"/>
  <c r="AF561" i="13"/>
  <c r="AI561" i="13" s="1"/>
  <c r="AD561" i="13"/>
  <c r="AH561" i="13" s="1"/>
  <c r="X561" i="13"/>
  <c r="W561" i="13"/>
  <c r="V561" i="13"/>
  <c r="BB560" i="13"/>
  <c r="BA560" i="13"/>
  <c r="AZ560" i="13"/>
  <c r="AY560" i="13"/>
  <c r="AX560" i="13"/>
  <c r="AW560" i="13"/>
  <c r="AT560" i="13"/>
  <c r="AP560" i="13"/>
  <c r="AO560" i="13"/>
  <c r="AN560" i="13"/>
  <c r="BC560" i="13" s="1"/>
  <c r="AM560" i="13"/>
  <c r="AF560" i="13"/>
  <c r="AS560" i="13" s="1"/>
  <c r="AD560" i="13"/>
  <c r="AH560" i="13" s="1"/>
  <c r="X560" i="13"/>
  <c r="W560" i="13"/>
  <c r="V560" i="13"/>
  <c r="BB559" i="13"/>
  <c r="BA559" i="13"/>
  <c r="AZ559" i="13"/>
  <c r="AY559" i="13"/>
  <c r="AX559" i="13"/>
  <c r="AW559" i="13"/>
  <c r="AT559" i="13"/>
  <c r="AP559" i="13"/>
  <c r="AO559" i="13"/>
  <c r="AN559" i="13"/>
  <c r="BC559" i="13" s="1"/>
  <c r="AM559" i="13"/>
  <c r="AF559" i="13"/>
  <c r="AS559" i="13" s="1"/>
  <c r="AD559" i="13"/>
  <c r="AH559" i="13" s="1"/>
  <c r="X559" i="13"/>
  <c r="W559" i="13"/>
  <c r="V559" i="13"/>
  <c r="BB558" i="13"/>
  <c r="BA558" i="13"/>
  <c r="AZ558" i="13"/>
  <c r="AY558" i="13"/>
  <c r="AX558" i="13"/>
  <c r="AW558" i="13"/>
  <c r="AT558" i="13"/>
  <c r="AP558" i="13"/>
  <c r="AO558" i="13"/>
  <c r="AN558" i="13"/>
  <c r="BC558" i="13" s="1"/>
  <c r="AM558" i="13"/>
  <c r="AF558" i="13"/>
  <c r="Y558" i="13" s="1"/>
  <c r="AD558" i="13"/>
  <c r="AH558" i="13" s="1"/>
  <c r="X558" i="13"/>
  <c r="W558" i="13"/>
  <c r="V558" i="13"/>
  <c r="BB557" i="13"/>
  <c r="BA557" i="13"/>
  <c r="AZ557" i="13"/>
  <c r="AY557" i="13"/>
  <c r="AX557" i="13"/>
  <c r="AW557" i="13"/>
  <c r="AT557" i="13"/>
  <c r="AP557" i="13"/>
  <c r="AO557" i="13"/>
  <c r="AN557" i="13"/>
  <c r="AM557" i="13"/>
  <c r="AF557" i="13"/>
  <c r="AI557" i="13" s="1"/>
  <c r="AD557" i="13"/>
  <c r="AH557" i="13" s="1"/>
  <c r="X557" i="13"/>
  <c r="W557" i="13"/>
  <c r="V557" i="13"/>
  <c r="BB556" i="13"/>
  <c r="BA556" i="13"/>
  <c r="AZ556" i="13"/>
  <c r="AY556" i="13"/>
  <c r="AX556" i="13"/>
  <c r="AW556" i="13"/>
  <c r="AT556" i="13"/>
  <c r="AP556" i="13"/>
  <c r="AO556" i="13"/>
  <c r="AN556" i="13"/>
  <c r="BC556" i="13" s="1"/>
  <c r="AM556" i="13"/>
  <c r="AF556" i="13"/>
  <c r="AS556" i="13" s="1"/>
  <c r="AD556" i="13"/>
  <c r="AH556" i="13" s="1"/>
  <c r="X556" i="13"/>
  <c r="W556" i="13"/>
  <c r="V556" i="13"/>
  <c r="BB555" i="13"/>
  <c r="BA555" i="13"/>
  <c r="AZ555" i="13"/>
  <c r="AY555" i="13"/>
  <c r="AX555" i="13"/>
  <c r="AW555" i="13"/>
  <c r="AT555" i="13"/>
  <c r="AP555" i="13"/>
  <c r="AO555" i="13"/>
  <c r="AN555" i="13"/>
  <c r="BC555" i="13" s="1"/>
  <c r="AM555" i="13"/>
  <c r="AF555" i="13"/>
  <c r="AS555" i="13" s="1"/>
  <c r="AD555" i="13"/>
  <c r="AH555" i="13" s="1"/>
  <c r="X555" i="13"/>
  <c r="W555" i="13"/>
  <c r="V555" i="13"/>
  <c r="BB554" i="13"/>
  <c r="BA554" i="13"/>
  <c r="AZ554" i="13"/>
  <c r="AY554" i="13"/>
  <c r="AX554" i="13"/>
  <c r="AW554" i="13"/>
  <c r="AT554" i="13"/>
  <c r="AP554" i="13"/>
  <c r="AO554" i="13"/>
  <c r="AN554" i="13"/>
  <c r="BC554" i="13" s="1"/>
  <c r="AM554" i="13"/>
  <c r="AF554" i="13"/>
  <c r="Y554" i="13" s="1"/>
  <c r="AD554" i="13"/>
  <c r="AH554" i="13" s="1"/>
  <c r="X554" i="13"/>
  <c r="W554" i="13"/>
  <c r="V554" i="13"/>
  <c r="BB553" i="13"/>
  <c r="BA553" i="13"/>
  <c r="AZ553" i="13"/>
  <c r="AY553" i="13"/>
  <c r="AX553" i="13"/>
  <c r="AW553" i="13"/>
  <c r="AT553" i="13"/>
  <c r="AP553" i="13"/>
  <c r="AO553" i="13"/>
  <c r="AN553" i="13"/>
  <c r="AM553" i="13"/>
  <c r="AF553" i="13"/>
  <c r="AI553" i="13" s="1"/>
  <c r="AD553" i="13"/>
  <c r="AH553" i="13" s="1"/>
  <c r="X553" i="13"/>
  <c r="W553" i="13"/>
  <c r="V553" i="13"/>
  <c r="BB552" i="13"/>
  <c r="BA552" i="13"/>
  <c r="AZ552" i="13"/>
  <c r="AY552" i="13"/>
  <c r="AX552" i="13"/>
  <c r="AW552" i="13"/>
  <c r="AT552" i="13"/>
  <c r="AP552" i="13"/>
  <c r="AO552" i="13"/>
  <c r="AN552" i="13"/>
  <c r="BC552" i="13" s="1"/>
  <c r="AM552" i="13"/>
  <c r="AF552" i="13"/>
  <c r="AS552" i="13" s="1"/>
  <c r="AD552" i="13"/>
  <c r="AH552" i="13" s="1"/>
  <c r="X552" i="13"/>
  <c r="W552" i="13"/>
  <c r="V552" i="13"/>
  <c r="BB551" i="13"/>
  <c r="BA551" i="13"/>
  <c r="AZ551" i="13"/>
  <c r="AY551" i="13"/>
  <c r="AX551" i="13"/>
  <c r="AW551" i="13"/>
  <c r="AT551" i="13"/>
  <c r="AP551" i="13"/>
  <c r="AO551" i="13"/>
  <c r="AN551" i="13"/>
  <c r="BC551" i="13" s="1"/>
  <c r="AM551" i="13"/>
  <c r="AF551" i="13"/>
  <c r="AS551" i="13" s="1"/>
  <c r="AD551" i="13"/>
  <c r="AH551" i="13" s="1"/>
  <c r="X551" i="13"/>
  <c r="W551" i="13"/>
  <c r="V551" i="13"/>
  <c r="BB550" i="13"/>
  <c r="BA550" i="13"/>
  <c r="AZ550" i="13"/>
  <c r="AY550" i="13"/>
  <c r="AX550" i="13"/>
  <c r="AW550" i="13"/>
  <c r="AT550" i="13"/>
  <c r="AP550" i="13"/>
  <c r="AO550" i="13"/>
  <c r="AN550" i="13"/>
  <c r="AM550" i="13"/>
  <c r="AF550" i="13"/>
  <c r="Y550" i="13" s="1"/>
  <c r="AD550" i="13"/>
  <c r="AH550" i="13" s="1"/>
  <c r="X550" i="13"/>
  <c r="W550" i="13"/>
  <c r="V550" i="13"/>
  <c r="BB549" i="13"/>
  <c r="BA549" i="13"/>
  <c r="AZ549" i="13"/>
  <c r="AY549" i="13"/>
  <c r="AX549" i="13"/>
  <c r="AW549" i="13"/>
  <c r="AT549" i="13"/>
  <c r="AP549" i="13"/>
  <c r="AO549" i="13"/>
  <c r="AN549" i="13"/>
  <c r="AM549" i="13"/>
  <c r="AF549" i="13"/>
  <c r="AI549" i="13" s="1"/>
  <c r="AD549" i="13"/>
  <c r="AH549" i="13" s="1"/>
  <c r="X549" i="13"/>
  <c r="W549" i="13"/>
  <c r="V549" i="13"/>
  <c r="BB548" i="13"/>
  <c r="BA548" i="13"/>
  <c r="AZ548" i="13"/>
  <c r="AY548" i="13"/>
  <c r="AX548" i="13"/>
  <c r="AW548" i="13"/>
  <c r="AT548" i="13"/>
  <c r="AP548" i="13"/>
  <c r="AO548" i="13"/>
  <c r="AN548" i="13"/>
  <c r="BC548" i="13" s="1"/>
  <c r="AM548" i="13"/>
  <c r="AF548" i="13"/>
  <c r="AI548" i="13" s="1"/>
  <c r="AD548" i="13"/>
  <c r="X548" i="13"/>
  <c r="W548" i="13"/>
  <c r="V548" i="13"/>
  <c r="BB547" i="13"/>
  <c r="BA547" i="13"/>
  <c r="AZ547" i="13"/>
  <c r="AY547" i="13"/>
  <c r="AX547" i="13"/>
  <c r="AW547" i="13"/>
  <c r="AT547" i="13"/>
  <c r="AP547" i="13"/>
  <c r="AO547" i="13"/>
  <c r="AN547" i="13"/>
  <c r="BC547" i="13" s="1"/>
  <c r="AM547" i="13"/>
  <c r="AF547" i="13"/>
  <c r="AI547" i="13" s="1"/>
  <c r="AD547" i="13"/>
  <c r="AH547" i="13" s="1"/>
  <c r="X547" i="13"/>
  <c r="W547" i="13"/>
  <c r="V547" i="13"/>
  <c r="BB546" i="13"/>
  <c r="BA546" i="13"/>
  <c r="AZ546" i="13"/>
  <c r="AY546" i="13"/>
  <c r="AX546" i="13"/>
  <c r="AW546" i="13"/>
  <c r="AT546" i="13"/>
  <c r="AP546" i="13"/>
  <c r="AO546" i="13"/>
  <c r="AN546" i="13"/>
  <c r="BC546" i="13" s="1"/>
  <c r="AM546" i="13"/>
  <c r="AF546" i="13"/>
  <c r="AS546" i="13" s="1"/>
  <c r="AD546" i="13"/>
  <c r="AH546" i="13" s="1"/>
  <c r="X546" i="13"/>
  <c r="W546" i="13"/>
  <c r="V546" i="13"/>
  <c r="BB545" i="13"/>
  <c r="BA545" i="13"/>
  <c r="AZ545" i="13"/>
  <c r="AY545" i="13"/>
  <c r="AX545" i="13"/>
  <c r="AW545" i="13"/>
  <c r="AT545" i="13"/>
  <c r="AP545" i="13"/>
  <c r="AO545" i="13"/>
  <c r="AN545" i="13"/>
  <c r="BC545" i="13" s="1"/>
  <c r="AM545" i="13"/>
  <c r="AF545" i="13"/>
  <c r="Z545" i="13" s="1"/>
  <c r="AD545" i="13"/>
  <c r="AH545" i="13" s="1"/>
  <c r="X545" i="13"/>
  <c r="W545" i="13"/>
  <c r="V545" i="13"/>
  <c r="BB544" i="13"/>
  <c r="BA544" i="13"/>
  <c r="AZ544" i="13"/>
  <c r="AY544" i="13"/>
  <c r="AX544" i="13"/>
  <c r="AW544" i="13"/>
  <c r="AT544" i="13"/>
  <c r="AP544" i="13"/>
  <c r="AO544" i="13"/>
  <c r="AN544" i="13"/>
  <c r="BC544" i="13" s="1"/>
  <c r="AM544" i="13"/>
  <c r="AF544" i="13"/>
  <c r="AS544" i="13" s="1"/>
  <c r="AD544" i="13"/>
  <c r="AH544" i="13" s="1"/>
  <c r="X544" i="13"/>
  <c r="W544" i="13"/>
  <c r="V544" i="13"/>
  <c r="BB543" i="13"/>
  <c r="BA543" i="13"/>
  <c r="AZ543" i="13"/>
  <c r="AY543" i="13"/>
  <c r="AX543" i="13"/>
  <c r="AW543" i="13"/>
  <c r="AT543" i="13"/>
  <c r="AP543" i="13"/>
  <c r="AO543" i="13"/>
  <c r="AN543" i="13"/>
  <c r="BC543" i="13" s="1"/>
  <c r="AM543" i="13"/>
  <c r="AF543" i="13"/>
  <c r="Y543" i="13" s="1"/>
  <c r="AD543" i="13"/>
  <c r="AH543" i="13" s="1"/>
  <c r="X543" i="13"/>
  <c r="W543" i="13"/>
  <c r="V543" i="13"/>
  <c r="BB542" i="13"/>
  <c r="BA542" i="13"/>
  <c r="AZ542" i="13"/>
  <c r="AY542" i="13"/>
  <c r="AX542" i="13"/>
  <c r="AW542" i="13"/>
  <c r="AT542" i="13"/>
  <c r="AP542" i="13"/>
  <c r="AO542" i="13"/>
  <c r="AN542" i="13"/>
  <c r="AM542" i="13"/>
  <c r="AF542" i="13"/>
  <c r="AI542" i="13" s="1"/>
  <c r="AD542" i="13"/>
  <c r="AH542" i="13" s="1"/>
  <c r="X542" i="13"/>
  <c r="W542" i="13"/>
  <c r="V542" i="13"/>
  <c r="BB541" i="13"/>
  <c r="BA541" i="13"/>
  <c r="AZ541" i="13"/>
  <c r="AY541" i="13"/>
  <c r="AX541" i="13"/>
  <c r="AW541" i="13"/>
  <c r="AT541" i="13"/>
  <c r="AP541" i="13"/>
  <c r="AO541" i="13"/>
  <c r="AN541" i="13"/>
  <c r="BC541" i="13" s="1"/>
  <c r="AM541" i="13"/>
  <c r="AF541" i="13"/>
  <c r="AS541" i="13" s="1"/>
  <c r="AD541" i="13"/>
  <c r="AH541" i="13" s="1"/>
  <c r="X541" i="13"/>
  <c r="W541" i="13"/>
  <c r="V541" i="13"/>
  <c r="BB540" i="13"/>
  <c r="BA540" i="13"/>
  <c r="AZ540" i="13"/>
  <c r="AY540" i="13"/>
  <c r="AX540" i="13"/>
  <c r="AW540" i="13"/>
  <c r="AT540" i="13"/>
  <c r="AP540" i="13"/>
  <c r="AO540" i="13"/>
  <c r="AN540" i="13"/>
  <c r="BC540" i="13" s="1"/>
  <c r="AM540" i="13"/>
  <c r="AF540" i="13"/>
  <c r="Y540" i="13" s="1"/>
  <c r="AD540" i="13"/>
  <c r="AH540" i="13" s="1"/>
  <c r="X540" i="13"/>
  <c r="W540" i="13"/>
  <c r="V540" i="13"/>
  <c r="BB539" i="13"/>
  <c r="BA539" i="13"/>
  <c r="AZ539" i="13"/>
  <c r="AY539" i="13"/>
  <c r="AX539" i="13"/>
  <c r="AW539" i="13"/>
  <c r="AT539" i="13"/>
  <c r="AP539" i="13"/>
  <c r="AO539" i="13"/>
  <c r="AN539" i="13"/>
  <c r="BC539" i="13" s="1"/>
  <c r="AM539" i="13"/>
  <c r="AF539" i="13"/>
  <c r="Y539" i="13" s="1"/>
  <c r="AD539" i="13"/>
  <c r="AH539" i="13" s="1"/>
  <c r="X539" i="13"/>
  <c r="W539" i="13"/>
  <c r="V539" i="13"/>
  <c r="BB538" i="13"/>
  <c r="BA538" i="13"/>
  <c r="AZ538" i="13"/>
  <c r="AY538" i="13"/>
  <c r="AX538" i="13"/>
  <c r="AW538" i="13"/>
  <c r="AT538" i="13"/>
  <c r="AP538" i="13"/>
  <c r="AO538" i="13"/>
  <c r="AN538" i="13"/>
  <c r="BC538" i="13" s="1"/>
  <c r="AM538" i="13"/>
  <c r="AF538" i="13"/>
  <c r="Y538" i="13" s="1"/>
  <c r="AD538" i="13"/>
  <c r="AH538" i="13" s="1"/>
  <c r="X538" i="13"/>
  <c r="W538" i="13"/>
  <c r="V538" i="13"/>
  <c r="BB537" i="13"/>
  <c r="BA537" i="13"/>
  <c r="AZ537" i="13"/>
  <c r="AY537" i="13"/>
  <c r="AX537" i="13"/>
  <c r="AW537" i="13"/>
  <c r="AT537" i="13"/>
  <c r="AP537" i="13"/>
  <c r="AO537" i="13"/>
  <c r="AN537" i="13"/>
  <c r="BC537" i="13" s="1"/>
  <c r="AM537" i="13"/>
  <c r="AF537" i="13"/>
  <c r="Y537" i="13" s="1"/>
  <c r="AD537" i="13"/>
  <c r="AH537" i="13" s="1"/>
  <c r="X537" i="13"/>
  <c r="W537" i="13"/>
  <c r="V537" i="13"/>
  <c r="BB536" i="13"/>
  <c r="BA536" i="13"/>
  <c r="AZ536" i="13"/>
  <c r="AY536" i="13"/>
  <c r="AX536" i="13"/>
  <c r="AW536" i="13"/>
  <c r="AT536" i="13"/>
  <c r="AP536" i="13"/>
  <c r="AO536" i="13"/>
  <c r="AN536" i="13"/>
  <c r="BC536" i="13" s="1"/>
  <c r="AM536" i="13"/>
  <c r="AF536" i="13"/>
  <c r="Y536" i="13" s="1"/>
  <c r="AD536" i="13"/>
  <c r="AH536" i="13" s="1"/>
  <c r="X536" i="13"/>
  <c r="W536" i="13"/>
  <c r="V536" i="13"/>
  <c r="BB535" i="13"/>
  <c r="BA535" i="13"/>
  <c r="AZ535" i="13"/>
  <c r="AY535" i="13"/>
  <c r="AX535" i="13"/>
  <c r="AW535" i="13"/>
  <c r="AT535" i="13"/>
  <c r="AP535" i="13"/>
  <c r="AO535" i="13"/>
  <c r="AN535" i="13"/>
  <c r="BC535" i="13" s="1"/>
  <c r="AM535" i="13"/>
  <c r="AF535" i="13"/>
  <c r="Y535" i="13" s="1"/>
  <c r="AD535" i="13"/>
  <c r="AH535" i="13" s="1"/>
  <c r="X535" i="13"/>
  <c r="W535" i="13"/>
  <c r="V535" i="13"/>
  <c r="BB534" i="13"/>
  <c r="BA534" i="13"/>
  <c r="AZ534" i="13"/>
  <c r="AY534" i="13"/>
  <c r="AX534" i="13"/>
  <c r="AW534" i="13"/>
  <c r="AT534" i="13"/>
  <c r="AP534" i="13"/>
  <c r="AO534" i="13"/>
  <c r="AN534" i="13"/>
  <c r="BC534" i="13" s="1"/>
  <c r="AM534" i="13"/>
  <c r="AF534" i="13"/>
  <c r="Y534" i="13" s="1"/>
  <c r="AD534" i="13"/>
  <c r="AH534" i="13" s="1"/>
  <c r="X534" i="13"/>
  <c r="W534" i="13"/>
  <c r="V534" i="13"/>
  <c r="BB533" i="13"/>
  <c r="BA533" i="13"/>
  <c r="AZ533" i="13"/>
  <c r="AY533" i="13"/>
  <c r="AX533" i="13"/>
  <c r="AW533" i="13"/>
  <c r="AT533" i="13"/>
  <c r="AP533" i="13"/>
  <c r="AO533" i="13"/>
  <c r="AN533" i="13"/>
  <c r="BC533" i="13" s="1"/>
  <c r="AM533" i="13"/>
  <c r="AF533" i="13"/>
  <c r="Y533" i="13" s="1"/>
  <c r="AD533" i="13"/>
  <c r="AH533" i="13" s="1"/>
  <c r="X533" i="13"/>
  <c r="W533" i="13"/>
  <c r="V533" i="13"/>
  <c r="BB532" i="13"/>
  <c r="BA532" i="13"/>
  <c r="AZ532" i="13"/>
  <c r="AY532" i="13"/>
  <c r="AX532" i="13"/>
  <c r="AW532" i="13"/>
  <c r="AT532" i="13"/>
  <c r="AP532" i="13"/>
  <c r="AO532" i="13"/>
  <c r="AN532" i="13"/>
  <c r="BC532" i="13" s="1"/>
  <c r="AM532" i="13"/>
  <c r="AF532" i="13"/>
  <c r="Y532" i="13" s="1"/>
  <c r="AD532" i="13"/>
  <c r="AH532" i="13" s="1"/>
  <c r="X532" i="13"/>
  <c r="W532" i="13"/>
  <c r="V532" i="13"/>
  <c r="BB531" i="13"/>
  <c r="BA531" i="13"/>
  <c r="AZ531" i="13"/>
  <c r="AY531" i="13"/>
  <c r="AX531" i="13"/>
  <c r="AW531" i="13"/>
  <c r="AT531" i="13"/>
  <c r="AP531" i="13"/>
  <c r="AO531" i="13"/>
  <c r="AN531" i="13"/>
  <c r="BC531" i="13" s="1"/>
  <c r="AM531" i="13"/>
  <c r="AF531" i="13"/>
  <c r="Y531" i="13" s="1"/>
  <c r="AD531" i="13"/>
  <c r="AH531" i="13" s="1"/>
  <c r="X531" i="13"/>
  <c r="W531" i="13"/>
  <c r="V531" i="13"/>
  <c r="BB530" i="13"/>
  <c r="BA530" i="13"/>
  <c r="AZ530" i="13"/>
  <c r="AY530" i="13"/>
  <c r="AX530" i="13"/>
  <c r="AW530" i="13"/>
  <c r="AT530" i="13"/>
  <c r="AP530" i="13"/>
  <c r="AO530" i="13"/>
  <c r="AN530" i="13"/>
  <c r="BC530" i="13" s="1"/>
  <c r="AM530" i="13"/>
  <c r="AF530" i="13"/>
  <c r="Y530" i="13" s="1"/>
  <c r="AD530" i="13"/>
  <c r="AH530" i="13" s="1"/>
  <c r="X530" i="13"/>
  <c r="W530" i="13"/>
  <c r="V530" i="13"/>
  <c r="BB529" i="13"/>
  <c r="BA529" i="13"/>
  <c r="AZ529" i="13"/>
  <c r="AY529" i="13"/>
  <c r="AX529" i="13"/>
  <c r="AW529" i="13"/>
  <c r="AT529" i="13"/>
  <c r="AP529" i="13"/>
  <c r="AO529" i="13"/>
  <c r="AN529" i="13"/>
  <c r="BC529" i="13" s="1"/>
  <c r="AM529" i="13"/>
  <c r="AF529" i="13"/>
  <c r="Y529" i="13" s="1"/>
  <c r="AD529" i="13"/>
  <c r="AH529" i="13" s="1"/>
  <c r="X529" i="13"/>
  <c r="W529" i="13"/>
  <c r="V529" i="13"/>
  <c r="BB528" i="13"/>
  <c r="BA528" i="13"/>
  <c r="AZ528" i="13"/>
  <c r="AY528" i="13"/>
  <c r="AX528" i="13"/>
  <c r="AW528" i="13"/>
  <c r="AT528" i="13"/>
  <c r="AP528" i="13"/>
  <c r="AO528" i="13"/>
  <c r="AN528" i="13"/>
  <c r="BC528" i="13" s="1"/>
  <c r="AM528" i="13"/>
  <c r="AF528" i="13"/>
  <c r="Y528" i="13" s="1"/>
  <c r="AD528" i="13"/>
  <c r="AH528" i="13" s="1"/>
  <c r="X528" i="13"/>
  <c r="W528" i="13"/>
  <c r="V528" i="13"/>
  <c r="BB527" i="13"/>
  <c r="BA527" i="13"/>
  <c r="AZ527" i="13"/>
  <c r="AY527" i="13"/>
  <c r="AX527" i="13"/>
  <c r="AW527" i="13"/>
  <c r="AT527" i="13"/>
  <c r="AP527" i="13"/>
  <c r="AO527" i="13"/>
  <c r="AN527" i="13"/>
  <c r="BC527" i="13" s="1"/>
  <c r="AM527" i="13"/>
  <c r="AF527" i="13"/>
  <c r="Y527" i="13" s="1"/>
  <c r="AD527" i="13"/>
  <c r="AH527" i="13" s="1"/>
  <c r="X527" i="13"/>
  <c r="W527" i="13"/>
  <c r="V527" i="13"/>
  <c r="BB526" i="13"/>
  <c r="BA526" i="13"/>
  <c r="AZ526" i="13"/>
  <c r="AY526" i="13"/>
  <c r="AX526" i="13"/>
  <c r="AW526" i="13"/>
  <c r="AT526" i="13"/>
  <c r="AP526" i="13"/>
  <c r="AO526" i="13"/>
  <c r="AN526" i="13"/>
  <c r="BC526" i="13" s="1"/>
  <c r="AM526" i="13"/>
  <c r="AF526" i="13"/>
  <c r="Y526" i="13" s="1"/>
  <c r="AD526" i="13"/>
  <c r="AH526" i="13" s="1"/>
  <c r="X526" i="13"/>
  <c r="W526" i="13"/>
  <c r="V526" i="13"/>
  <c r="BB525" i="13"/>
  <c r="BA525" i="13"/>
  <c r="AZ525" i="13"/>
  <c r="AY525" i="13"/>
  <c r="AX525" i="13"/>
  <c r="AW525" i="13"/>
  <c r="AT525" i="13"/>
  <c r="AP525" i="13"/>
  <c r="AO525" i="13"/>
  <c r="AN525" i="13"/>
  <c r="BC525" i="13" s="1"/>
  <c r="AM525" i="13"/>
  <c r="AF525" i="13"/>
  <c r="AS525" i="13" s="1"/>
  <c r="AD525" i="13"/>
  <c r="AH525" i="13" s="1"/>
  <c r="X525" i="13"/>
  <c r="W525" i="13"/>
  <c r="V525" i="13"/>
  <c r="BB524" i="13"/>
  <c r="BA524" i="13"/>
  <c r="AZ524" i="13"/>
  <c r="AY524" i="13"/>
  <c r="AX524" i="13"/>
  <c r="AW524" i="13"/>
  <c r="AT524" i="13"/>
  <c r="AP524" i="13"/>
  <c r="AO524" i="13"/>
  <c r="AN524" i="13"/>
  <c r="BC524" i="13" s="1"/>
  <c r="AM524" i="13"/>
  <c r="AF524" i="13"/>
  <c r="AS524" i="13" s="1"/>
  <c r="AD524" i="13"/>
  <c r="AH524" i="13" s="1"/>
  <c r="X524" i="13"/>
  <c r="W524" i="13"/>
  <c r="V524" i="13"/>
  <c r="BB523" i="13"/>
  <c r="BA523" i="13"/>
  <c r="AZ523" i="13"/>
  <c r="AY523" i="13"/>
  <c r="AX523" i="13"/>
  <c r="AW523" i="13"/>
  <c r="AT523" i="13"/>
  <c r="AP523" i="13"/>
  <c r="AO523" i="13"/>
  <c r="AN523" i="13"/>
  <c r="BC523" i="13" s="1"/>
  <c r="AM523" i="13"/>
  <c r="AF523" i="13"/>
  <c r="Y523" i="13" s="1"/>
  <c r="AD523" i="13"/>
  <c r="AH523" i="13" s="1"/>
  <c r="X523" i="13"/>
  <c r="W523" i="13"/>
  <c r="V523" i="13"/>
  <c r="BB522" i="13"/>
  <c r="BA522" i="13"/>
  <c r="AZ522" i="13"/>
  <c r="AY522" i="13"/>
  <c r="AX522" i="13"/>
  <c r="AW522" i="13"/>
  <c r="AT522" i="13"/>
  <c r="AP522" i="13"/>
  <c r="AO522" i="13"/>
  <c r="AN522" i="13"/>
  <c r="BC522" i="13" s="1"/>
  <c r="AM522" i="13"/>
  <c r="AF522" i="13"/>
  <c r="Y522" i="13" s="1"/>
  <c r="AD522" i="13"/>
  <c r="AH522" i="13" s="1"/>
  <c r="X522" i="13"/>
  <c r="W522" i="13"/>
  <c r="V522" i="13"/>
  <c r="BB521" i="13"/>
  <c r="BA521" i="13"/>
  <c r="AZ521" i="13"/>
  <c r="AY521" i="13"/>
  <c r="AX521" i="13"/>
  <c r="AW521" i="13"/>
  <c r="AT521" i="13"/>
  <c r="AP521" i="13"/>
  <c r="AO521" i="13"/>
  <c r="AN521" i="13"/>
  <c r="BC521" i="13" s="1"/>
  <c r="AM521" i="13"/>
  <c r="AF521" i="13"/>
  <c r="AS521" i="13" s="1"/>
  <c r="AD521" i="13"/>
  <c r="AH521" i="13" s="1"/>
  <c r="X521" i="13"/>
  <c r="W521" i="13"/>
  <c r="V521" i="13"/>
  <c r="BB520" i="13"/>
  <c r="BA520" i="13"/>
  <c r="AZ520" i="13"/>
  <c r="AY520" i="13"/>
  <c r="AX520" i="13"/>
  <c r="AW520" i="13"/>
  <c r="AT520" i="13"/>
  <c r="AP520" i="13"/>
  <c r="AO520" i="13"/>
  <c r="AN520" i="13"/>
  <c r="BC520" i="13" s="1"/>
  <c r="AM520" i="13"/>
  <c r="AF520" i="13"/>
  <c r="AS520" i="13" s="1"/>
  <c r="AD520" i="13"/>
  <c r="AH520" i="13" s="1"/>
  <c r="X520" i="13"/>
  <c r="W520" i="13"/>
  <c r="V520" i="13"/>
  <c r="BB519" i="13"/>
  <c r="BA519" i="13"/>
  <c r="AZ519" i="13"/>
  <c r="AY519" i="13"/>
  <c r="AX519" i="13"/>
  <c r="AW519" i="13"/>
  <c r="AT519" i="13"/>
  <c r="AP519" i="13"/>
  <c r="AO519" i="13"/>
  <c r="AN519" i="13"/>
  <c r="BC519" i="13" s="1"/>
  <c r="AM519" i="13"/>
  <c r="AF519" i="13"/>
  <c r="Y519" i="13" s="1"/>
  <c r="AD519" i="13"/>
  <c r="AH519" i="13" s="1"/>
  <c r="X519" i="13"/>
  <c r="W519" i="13"/>
  <c r="V519" i="13"/>
  <c r="BB518" i="13"/>
  <c r="BA518" i="13"/>
  <c r="AZ518" i="13"/>
  <c r="AY518" i="13"/>
  <c r="AX518" i="13"/>
  <c r="AW518" i="13"/>
  <c r="AT518" i="13"/>
  <c r="AP518" i="13"/>
  <c r="AO518" i="13"/>
  <c r="AN518" i="13"/>
  <c r="BC518" i="13" s="1"/>
  <c r="AM518" i="13"/>
  <c r="AF518" i="13"/>
  <c r="Y518" i="13" s="1"/>
  <c r="AD518" i="13"/>
  <c r="AH518" i="13" s="1"/>
  <c r="X518" i="13"/>
  <c r="W518" i="13"/>
  <c r="V518" i="13"/>
  <c r="BB517" i="13"/>
  <c r="BA517" i="13"/>
  <c r="AZ517" i="13"/>
  <c r="AY517" i="13"/>
  <c r="AX517" i="13"/>
  <c r="AW517" i="13"/>
  <c r="AT517" i="13"/>
  <c r="AP517" i="13"/>
  <c r="AO517" i="13"/>
  <c r="AN517" i="13"/>
  <c r="BC517" i="13" s="1"/>
  <c r="AM517" i="13"/>
  <c r="AF517" i="13"/>
  <c r="AS517" i="13" s="1"/>
  <c r="AD517" i="13"/>
  <c r="AH517" i="13" s="1"/>
  <c r="X517" i="13"/>
  <c r="W517" i="13"/>
  <c r="V517" i="13"/>
  <c r="BB516" i="13"/>
  <c r="BA516" i="13"/>
  <c r="AZ516" i="13"/>
  <c r="AY516" i="13"/>
  <c r="AX516" i="13"/>
  <c r="AW516" i="13"/>
  <c r="AT516" i="13"/>
  <c r="AP516" i="13"/>
  <c r="AO516" i="13"/>
  <c r="AN516" i="13"/>
  <c r="BC516" i="13" s="1"/>
  <c r="AM516" i="13"/>
  <c r="AF516" i="13"/>
  <c r="AS516" i="13" s="1"/>
  <c r="AD516" i="13"/>
  <c r="AH516" i="13" s="1"/>
  <c r="X516" i="13"/>
  <c r="W516" i="13"/>
  <c r="V516" i="13"/>
  <c r="BB515" i="13"/>
  <c r="BA515" i="13"/>
  <c r="AZ515" i="13"/>
  <c r="AY515" i="13"/>
  <c r="AX515" i="13"/>
  <c r="AW515" i="13"/>
  <c r="AT515" i="13"/>
  <c r="AP515" i="13"/>
  <c r="AO515" i="13"/>
  <c r="AN515" i="13"/>
  <c r="BC515" i="13" s="1"/>
  <c r="AM515" i="13"/>
  <c r="AF515" i="13"/>
  <c r="Y515" i="13" s="1"/>
  <c r="AD515" i="13"/>
  <c r="AH515" i="13" s="1"/>
  <c r="X515" i="13"/>
  <c r="W515" i="13"/>
  <c r="V515" i="13"/>
  <c r="BB514" i="13"/>
  <c r="BA514" i="13"/>
  <c r="AZ514" i="13"/>
  <c r="AY514" i="13"/>
  <c r="AX514" i="13"/>
  <c r="AW514" i="13"/>
  <c r="AT514" i="13"/>
  <c r="AP514" i="13"/>
  <c r="AO514" i="13"/>
  <c r="AN514" i="13"/>
  <c r="BC514" i="13" s="1"/>
  <c r="AM514" i="13"/>
  <c r="AF514" i="13"/>
  <c r="Y514" i="13" s="1"/>
  <c r="AD514" i="13"/>
  <c r="AH514" i="13" s="1"/>
  <c r="X514" i="13"/>
  <c r="W514" i="13"/>
  <c r="V514" i="13"/>
  <c r="BB513" i="13"/>
  <c r="BA513" i="13"/>
  <c r="AZ513" i="13"/>
  <c r="AY513" i="13"/>
  <c r="AX513" i="13"/>
  <c r="AW513" i="13"/>
  <c r="AT513" i="13"/>
  <c r="AP513" i="13"/>
  <c r="AO513" i="13"/>
  <c r="AN513" i="13"/>
  <c r="BC513" i="13" s="1"/>
  <c r="AM513" i="13"/>
  <c r="AF513" i="13"/>
  <c r="AS513" i="13" s="1"/>
  <c r="AD513" i="13"/>
  <c r="AH513" i="13" s="1"/>
  <c r="X513" i="13"/>
  <c r="W513" i="13"/>
  <c r="V513" i="13"/>
  <c r="BB512" i="13"/>
  <c r="BA512" i="13"/>
  <c r="AZ512" i="13"/>
  <c r="AY512" i="13"/>
  <c r="AX512" i="13"/>
  <c r="AW512" i="13"/>
  <c r="AT512" i="13"/>
  <c r="AP512" i="13"/>
  <c r="AO512" i="13"/>
  <c r="AN512" i="13"/>
  <c r="BC512" i="13" s="1"/>
  <c r="AM512" i="13"/>
  <c r="AF512" i="13"/>
  <c r="AS512" i="13" s="1"/>
  <c r="AD512" i="13"/>
  <c r="AH512" i="13" s="1"/>
  <c r="X512" i="13"/>
  <c r="W512" i="13"/>
  <c r="V512" i="13"/>
  <c r="BB511" i="13"/>
  <c r="BA511" i="13"/>
  <c r="AZ511" i="13"/>
  <c r="AY511" i="13"/>
  <c r="AX511" i="13"/>
  <c r="AW511" i="13"/>
  <c r="AT511" i="13"/>
  <c r="AP511" i="13"/>
  <c r="AO511" i="13"/>
  <c r="AN511" i="13"/>
  <c r="BC511" i="13" s="1"/>
  <c r="AM511" i="13"/>
  <c r="AF511" i="13"/>
  <c r="Y511" i="13" s="1"/>
  <c r="AD511" i="13"/>
  <c r="AH511" i="13" s="1"/>
  <c r="X511" i="13"/>
  <c r="W511" i="13"/>
  <c r="V511" i="13"/>
  <c r="BB510" i="13"/>
  <c r="BA510" i="13"/>
  <c r="AZ510" i="13"/>
  <c r="AY510" i="13"/>
  <c r="AX510" i="13"/>
  <c r="AW510" i="13"/>
  <c r="AT510" i="13"/>
  <c r="AP510" i="13"/>
  <c r="AO510" i="13"/>
  <c r="AN510" i="13"/>
  <c r="BC510" i="13" s="1"/>
  <c r="AM510" i="13"/>
  <c r="AF510" i="13"/>
  <c r="AD510" i="13"/>
  <c r="AH510" i="13" s="1"/>
  <c r="X510" i="13"/>
  <c r="W510" i="13"/>
  <c r="V510" i="13"/>
  <c r="BB509" i="13"/>
  <c r="BA509" i="13"/>
  <c r="AZ509" i="13"/>
  <c r="AY509" i="13"/>
  <c r="AX509" i="13"/>
  <c r="AW509" i="13"/>
  <c r="AT509" i="13"/>
  <c r="AP509" i="13"/>
  <c r="AO509" i="13"/>
  <c r="AN509" i="13"/>
  <c r="BC509" i="13" s="1"/>
  <c r="AM509" i="13"/>
  <c r="AF509" i="13"/>
  <c r="AS509" i="13" s="1"/>
  <c r="AD509" i="13"/>
  <c r="AH509" i="13" s="1"/>
  <c r="X509" i="13"/>
  <c r="W509" i="13"/>
  <c r="V509" i="13"/>
  <c r="BB508" i="13"/>
  <c r="BA508" i="13"/>
  <c r="AZ508" i="13"/>
  <c r="AY508" i="13"/>
  <c r="AX508" i="13"/>
  <c r="AW508" i="13"/>
  <c r="AT508" i="13"/>
  <c r="AP508" i="13"/>
  <c r="AO508" i="13"/>
  <c r="AN508" i="13"/>
  <c r="BC508" i="13" s="1"/>
  <c r="AM508" i="13"/>
  <c r="AF508" i="13"/>
  <c r="AS508" i="13" s="1"/>
  <c r="AD508" i="13"/>
  <c r="AH508" i="13" s="1"/>
  <c r="X508" i="13"/>
  <c r="W508" i="13"/>
  <c r="V508" i="13"/>
  <c r="BB507" i="13"/>
  <c r="BA507" i="13"/>
  <c r="AZ507" i="13"/>
  <c r="AY507" i="13"/>
  <c r="AX507" i="13"/>
  <c r="AW507" i="13"/>
  <c r="AT507" i="13"/>
  <c r="AP507" i="13"/>
  <c r="AO507" i="13"/>
  <c r="AN507" i="13"/>
  <c r="BC507" i="13" s="1"/>
  <c r="AM507" i="13"/>
  <c r="AF507" i="13"/>
  <c r="Y507" i="13" s="1"/>
  <c r="AD507" i="13"/>
  <c r="AH507" i="13" s="1"/>
  <c r="X507" i="13"/>
  <c r="W507" i="13"/>
  <c r="V507" i="13"/>
  <c r="BB506" i="13"/>
  <c r="BA506" i="13"/>
  <c r="AZ506" i="13"/>
  <c r="AY506" i="13"/>
  <c r="AX506" i="13"/>
  <c r="AW506" i="13"/>
  <c r="AT506" i="13"/>
  <c r="AP506" i="13"/>
  <c r="AO506" i="13"/>
  <c r="AN506" i="13"/>
  <c r="AM506" i="13"/>
  <c r="AF506" i="13"/>
  <c r="AD506" i="13"/>
  <c r="AH506" i="13" s="1"/>
  <c r="X506" i="13"/>
  <c r="W506" i="13"/>
  <c r="V506" i="13"/>
  <c r="BB505" i="13"/>
  <c r="BA505" i="13"/>
  <c r="AZ505" i="13"/>
  <c r="AY505" i="13"/>
  <c r="AX505" i="13"/>
  <c r="AW505" i="13"/>
  <c r="AT505" i="13"/>
  <c r="AP505" i="13"/>
  <c r="AO505" i="13"/>
  <c r="AN505" i="13"/>
  <c r="BC505" i="13" s="1"/>
  <c r="AM505" i="13"/>
  <c r="AF505" i="13"/>
  <c r="AS505" i="13" s="1"/>
  <c r="AD505" i="13"/>
  <c r="AH505" i="13" s="1"/>
  <c r="X505" i="13"/>
  <c r="W505" i="13"/>
  <c r="V505" i="13"/>
  <c r="BB504" i="13"/>
  <c r="BA504" i="13"/>
  <c r="AZ504" i="13"/>
  <c r="AY504" i="13"/>
  <c r="AX504" i="13"/>
  <c r="AW504" i="13"/>
  <c r="AT504" i="13"/>
  <c r="AP504" i="13"/>
  <c r="AO504" i="13"/>
  <c r="AN504" i="13"/>
  <c r="BC504" i="13" s="1"/>
  <c r="AM504" i="13"/>
  <c r="AF504" i="13"/>
  <c r="AS504" i="13" s="1"/>
  <c r="AD504" i="13"/>
  <c r="AH504" i="13" s="1"/>
  <c r="X504" i="13"/>
  <c r="W504" i="13"/>
  <c r="V504" i="13"/>
  <c r="BB503" i="13"/>
  <c r="BA503" i="13"/>
  <c r="AZ503" i="13"/>
  <c r="AY503" i="13"/>
  <c r="AX503" i="13"/>
  <c r="AW503" i="13"/>
  <c r="AT503" i="13"/>
  <c r="AP503" i="13"/>
  <c r="AO503" i="13"/>
  <c r="AN503" i="13"/>
  <c r="BC503" i="13" s="1"/>
  <c r="AM503" i="13"/>
  <c r="AF503" i="13"/>
  <c r="Y503" i="13" s="1"/>
  <c r="AD503" i="13"/>
  <c r="AH503" i="13" s="1"/>
  <c r="X503" i="13"/>
  <c r="W503" i="13"/>
  <c r="V503" i="13"/>
  <c r="BB502" i="13"/>
  <c r="BA502" i="13"/>
  <c r="AZ502" i="13"/>
  <c r="AY502" i="13"/>
  <c r="AX502" i="13"/>
  <c r="AW502" i="13"/>
  <c r="AT502" i="13"/>
  <c r="AP502" i="13"/>
  <c r="AO502" i="13"/>
  <c r="AN502" i="13"/>
  <c r="AM502" i="13"/>
  <c r="AF502" i="13"/>
  <c r="Z502" i="13" s="1"/>
  <c r="AD502" i="13"/>
  <c r="AH502" i="13" s="1"/>
  <c r="X502" i="13"/>
  <c r="W502" i="13"/>
  <c r="V502" i="13"/>
  <c r="BB501" i="13"/>
  <c r="BA501" i="13"/>
  <c r="AZ501" i="13"/>
  <c r="AY501" i="13"/>
  <c r="AX501" i="13"/>
  <c r="AW501" i="13"/>
  <c r="AT501" i="13"/>
  <c r="AP501" i="13"/>
  <c r="AO501" i="13"/>
  <c r="AN501" i="13"/>
  <c r="BC501" i="13" s="1"/>
  <c r="AM501" i="13"/>
  <c r="AF501" i="13"/>
  <c r="Y501" i="13" s="1"/>
  <c r="AD501" i="13"/>
  <c r="AH501" i="13" s="1"/>
  <c r="X501" i="13"/>
  <c r="W501" i="13"/>
  <c r="V501" i="13"/>
  <c r="BB500" i="13"/>
  <c r="BA500" i="13"/>
  <c r="AZ500" i="13"/>
  <c r="AY500" i="13"/>
  <c r="AX500" i="13"/>
  <c r="AW500" i="13"/>
  <c r="AT500" i="13"/>
  <c r="AP500" i="13"/>
  <c r="AO500" i="13"/>
  <c r="AN500" i="13"/>
  <c r="BC500" i="13" s="1"/>
  <c r="AM500" i="13"/>
  <c r="AF500" i="13"/>
  <c r="Y500" i="13" s="1"/>
  <c r="AD500" i="13"/>
  <c r="AH500" i="13" s="1"/>
  <c r="X500" i="13"/>
  <c r="W500" i="13"/>
  <c r="V500" i="13"/>
  <c r="BB499" i="13"/>
  <c r="BA499" i="13"/>
  <c r="AZ499" i="13"/>
  <c r="AY499" i="13"/>
  <c r="AX499" i="13"/>
  <c r="AW499" i="13"/>
  <c r="AT499" i="13"/>
  <c r="AP499" i="13"/>
  <c r="AO499" i="13"/>
  <c r="AN499" i="13"/>
  <c r="BC499" i="13" s="1"/>
  <c r="AM499" i="13"/>
  <c r="AF499" i="13"/>
  <c r="Y499" i="13" s="1"/>
  <c r="AD499" i="13"/>
  <c r="AH499" i="13" s="1"/>
  <c r="X499" i="13"/>
  <c r="W499" i="13"/>
  <c r="V499" i="13"/>
  <c r="BB498" i="13"/>
  <c r="BA498" i="13"/>
  <c r="AZ498" i="13"/>
  <c r="AY498" i="13"/>
  <c r="AX498" i="13"/>
  <c r="AW498" i="13"/>
  <c r="AT498" i="13"/>
  <c r="AP498" i="13"/>
  <c r="AO498" i="13"/>
  <c r="AN498" i="13"/>
  <c r="BC498" i="13" s="1"/>
  <c r="AM498" i="13"/>
  <c r="AF498" i="13"/>
  <c r="AS498" i="13" s="1"/>
  <c r="AD498" i="13"/>
  <c r="AH498" i="13" s="1"/>
  <c r="X498" i="13"/>
  <c r="W498" i="13"/>
  <c r="V498" i="13"/>
  <c r="BB497" i="13"/>
  <c r="BA497" i="13"/>
  <c r="AZ497" i="13"/>
  <c r="AY497" i="13"/>
  <c r="AX497" i="13"/>
  <c r="AW497" i="13"/>
  <c r="AT497" i="13"/>
  <c r="AP497" i="13"/>
  <c r="AO497" i="13"/>
  <c r="AN497" i="13"/>
  <c r="BC497" i="13" s="1"/>
  <c r="AM497" i="13"/>
  <c r="AF497" i="13"/>
  <c r="AI497" i="13" s="1"/>
  <c r="AL497" i="13" s="1"/>
  <c r="AD497" i="13"/>
  <c r="AH497" i="13" s="1"/>
  <c r="X497" i="13"/>
  <c r="W497" i="13"/>
  <c r="V497" i="13"/>
  <c r="BB496" i="13"/>
  <c r="BA496" i="13"/>
  <c r="AZ496" i="13"/>
  <c r="AY496" i="13"/>
  <c r="AX496" i="13"/>
  <c r="AW496" i="13"/>
  <c r="AT496" i="13"/>
  <c r="AP496" i="13"/>
  <c r="AO496" i="13"/>
  <c r="AN496" i="13"/>
  <c r="BC496" i="13" s="1"/>
  <c r="AM496" i="13"/>
  <c r="AF496" i="13"/>
  <c r="AS496" i="13" s="1"/>
  <c r="AD496" i="13"/>
  <c r="AH496" i="13" s="1"/>
  <c r="X496" i="13"/>
  <c r="W496" i="13"/>
  <c r="V496" i="13"/>
  <c r="BB495" i="13"/>
  <c r="BA495" i="13"/>
  <c r="AZ495" i="13"/>
  <c r="AY495" i="13"/>
  <c r="AX495" i="13"/>
  <c r="AW495" i="13"/>
  <c r="AT495" i="13"/>
  <c r="AP495" i="13"/>
  <c r="AO495" i="13"/>
  <c r="AN495" i="13"/>
  <c r="BC495" i="13" s="1"/>
  <c r="AM495" i="13"/>
  <c r="AF495" i="13"/>
  <c r="AS495" i="13" s="1"/>
  <c r="AD495" i="13"/>
  <c r="AH495" i="13" s="1"/>
  <c r="X495" i="13"/>
  <c r="W495" i="13"/>
  <c r="V495" i="13"/>
  <c r="BB494" i="13"/>
  <c r="BA494" i="13"/>
  <c r="AZ494" i="13"/>
  <c r="AY494" i="13"/>
  <c r="AX494" i="13"/>
  <c r="AW494" i="13"/>
  <c r="AT494" i="13"/>
  <c r="AP494" i="13"/>
  <c r="AO494" i="13"/>
  <c r="AN494" i="13"/>
  <c r="BC494" i="13" s="1"/>
  <c r="AM494" i="13"/>
  <c r="AF494" i="13"/>
  <c r="Z494" i="13" s="1"/>
  <c r="AD494" i="13"/>
  <c r="AH494" i="13" s="1"/>
  <c r="X494" i="13"/>
  <c r="W494" i="13"/>
  <c r="V494" i="13"/>
  <c r="BB493" i="13"/>
  <c r="BA493" i="13"/>
  <c r="AZ493" i="13"/>
  <c r="AY493" i="13"/>
  <c r="AX493" i="13"/>
  <c r="AW493" i="13"/>
  <c r="AT493" i="13"/>
  <c r="AP493" i="13"/>
  <c r="AN493" i="13"/>
  <c r="BC493" i="13" s="1"/>
  <c r="AM493" i="13"/>
  <c r="AF493" i="13"/>
  <c r="AI493" i="13" s="1"/>
  <c r="AD493" i="13"/>
  <c r="AH493" i="13" s="1"/>
  <c r="X493" i="13"/>
  <c r="W493" i="13"/>
  <c r="V493" i="13"/>
  <c r="BB492" i="13"/>
  <c r="BA492" i="13"/>
  <c r="AZ492" i="13"/>
  <c r="AY492" i="13"/>
  <c r="AX492" i="13"/>
  <c r="AW492" i="13"/>
  <c r="AT492" i="13"/>
  <c r="AP492" i="13"/>
  <c r="AO492" i="13"/>
  <c r="AN492" i="13"/>
  <c r="BC492" i="13" s="1"/>
  <c r="AM492" i="13"/>
  <c r="AF492" i="13"/>
  <c r="AS492" i="13" s="1"/>
  <c r="AD492" i="13"/>
  <c r="AH492" i="13" s="1"/>
  <c r="X492" i="13"/>
  <c r="W492" i="13"/>
  <c r="V492" i="13"/>
  <c r="BB491" i="13"/>
  <c r="BA491" i="13"/>
  <c r="AZ491" i="13"/>
  <c r="AY491" i="13"/>
  <c r="AX491" i="13"/>
  <c r="AW491" i="13"/>
  <c r="AT491" i="13"/>
  <c r="AP491" i="13"/>
  <c r="AO491" i="13"/>
  <c r="AN491" i="13"/>
  <c r="BC491" i="13" s="1"/>
  <c r="AM491" i="13"/>
  <c r="AF491" i="13"/>
  <c r="Z491" i="13" s="1"/>
  <c r="AD491" i="13"/>
  <c r="AH491" i="13" s="1"/>
  <c r="X491" i="13"/>
  <c r="W491" i="13"/>
  <c r="V491" i="13"/>
  <c r="BB490" i="13"/>
  <c r="BA490" i="13"/>
  <c r="AZ490" i="13"/>
  <c r="AY490" i="13"/>
  <c r="AX490" i="13"/>
  <c r="AW490" i="13"/>
  <c r="AT490" i="13"/>
  <c r="AP490" i="13"/>
  <c r="AO490" i="13"/>
  <c r="AN490" i="13"/>
  <c r="BC490" i="13" s="1"/>
  <c r="AM490" i="13"/>
  <c r="AF490" i="13"/>
  <c r="Z490" i="13" s="1"/>
  <c r="AD490" i="13"/>
  <c r="AH490" i="13" s="1"/>
  <c r="X490" i="13"/>
  <c r="W490" i="13"/>
  <c r="V490" i="13"/>
  <c r="BB489" i="13"/>
  <c r="BA489" i="13"/>
  <c r="AZ489" i="13"/>
  <c r="AY489" i="13"/>
  <c r="AX489" i="13"/>
  <c r="AW489" i="13"/>
  <c r="AT489" i="13"/>
  <c r="AP489" i="13"/>
  <c r="AN489" i="13"/>
  <c r="BC489" i="13" s="1"/>
  <c r="AM489" i="13"/>
  <c r="AF489" i="13"/>
  <c r="Y489" i="13" s="1"/>
  <c r="AD489" i="13"/>
  <c r="AH489" i="13" s="1"/>
  <c r="X489" i="13"/>
  <c r="W489" i="13"/>
  <c r="V489" i="13"/>
  <c r="BB488" i="13"/>
  <c r="BA488" i="13"/>
  <c r="AZ488" i="13"/>
  <c r="AY488" i="13"/>
  <c r="AX488" i="13"/>
  <c r="AW488" i="13"/>
  <c r="AT488" i="13"/>
  <c r="AP488" i="13"/>
  <c r="AO488" i="13"/>
  <c r="AN488" i="13"/>
  <c r="BC488" i="13" s="1"/>
  <c r="AM488" i="13"/>
  <c r="AF488" i="13"/>
  <c r="AI488" i="13" s="1"/>
  <c r="AD488" i="13"/>
  <c r="AH488" i="13" s="1"/>
  <c r="X488" i="13"/>
  <c r="W488" i="13"/>
  <c r="V488" i="13"/>
  <c r="BB487" i="13"/>
  <c r="BA487" i="13"/>
  <c r="AZ487" i="13"/>
  <c r="AY487" i="13"/>
  <c r="AX487" i="13"/>
  <c r="AW487" i="13"/>
  <c r="AT487" i="13"/>
  <c r="AP487" i="13"/>
  <c r="AN487" i="13"/>
  <c r="BC487" i="13" s="1"/>
  <c r="AM487" i="13"/>
  <c r="AF487" i="13"/>
  <c r="AS487" i="13" s="1"/>
  <c r="AD487" i="13"/>
  <c r="AH487" i="13" s="1"/>
  <c r="X487" i="13"/>
  <c r="W487" i="13"/>
  <c r="V487" i="13"/>
  <c r="BB486" i="13"/>
  <c r="BA486" i="13"/>
  <c r="AZ486" i="13"/>
  <c r="AY486" i="13"/>
  <c r="AX486" i="13"/>
  <c r="AW486" i="13"/>
  <c r="AT486" i="13"/>
  <c r="AP486" i="13"/>
  <c r="AO486" i="13"/>
  <c r="AN486" i="13"/>
  <c r="BC486" i="13" s="1"/>
  <c r="AM486" i="13"/>
  <c r="AF486" i="13"/>
  <c r="Z486" i="13" s="1"/>
  <c r="AD486" i="13"/>
  <c r="AH486" i="13" s="1"/>
  <c r="X486" i="13"/>
  <c r="W486" i="13"/>
  <c r="V486" i="13"/>
  <c r="BB485" i="13"/>
  <c r="BA485" i="13"/>
  <c r="AZ485" i="13"/>
  <c r="AY485" i="13"/>
  <c r="AX485" i="13"/>
  <c r="AW485" i="13"/>
  <c r="AT485" i="13"/>
  <c r="AP485" i="13"/>
  <c r="AO485" i="13"/>
  <c r="AN485" i="13"/>
  <c r="BC485" i="13" s="1"/>
  <c r="AM485" i="13"/>
  <c r="AF485" i="13"/>
  <c r="Y485" i="13" s="1"/>
  <c r="AD485" i="13"/>
  <c r="AH485" i="13" s="1"/>
  <c r="X485" i="13"/>
  <c r="W485" i="13"/>
  <c r="V485" i="13"/>
  <c r="BB484" i="13"/>
  <c r="BA484" i="13"/>
  <c r="AZ484" i="13"/>
  <c r="AY484" i="13"/>
  <c r="AX484" i="13"/>
  <c r="AW484" i="13"/>
  <c r="AT484" i="13"/>
  <c r="AP484" i="13"/>
  <c r="AO484" i="13"/>
  <c r="AN484" i="13"/>
  <c r="BC484" i="13" s="1"/>
  <c r="AM484" i="13"/>
  <c r="AF484" i="13"/>
  <c r="AI484" i="13" s="1"/>
  <c r="AD484" i="13"/>
  <c r="AH484" i="13" s="1"/>
  <c r="X484" i="13"/>
  <c r="W484" i="13"/>
  <c r="V484" i="13"/>
  <c r="BB483" i="13"/>
  <c r="BA483" i="13"/>
  <c r="AZ483" i="13"/>
  <c r="AY483" i="13"/>
  <c r="AX483" i="13"/>
  <c r="AW483" i="13"/>
  <c r="AT483" i="13"/>
  <c r="AP483" i="13"/>
  <c r="AO483" i="13"/>
  <c r="AN483" i="13"/>
  <c r="AM483" i="13"/>
  <c r="AF483" i="13"/>
  <c r="AS483" i="13" s="1"/>
  <c r="AD483" i="13"/>
  <c r="AH483" i="13" s="1"/>
  <c r="X483" i="13"/>
  <c r="W483" i="13"/>
  <c r="V483" i="13"/>
  <c r="BB482" i="13"/>
  <c r="BA482" i="13"/>
  <c r="AZ482" i="13"/>
  <c r="AY482" i="13"/>
  <c r="AX482" i="13"/>
  <c r="AW482" i="13"/>
  <c r="AT482" i="13"/>
  <c r="AP482" i="13"/>
  <c r="AN482" i="13"/>
  <c r="BC482" i="13" s="1"/>
  <c r="AM482" i="13"/>
  <c r="AF482" i="13"/>
  <c r="Z482" i="13" s="1"/>
  <c r="AD482" i="13"/>
  <c r="AH482" i="13" s="1"/>
  <c r="X482" i="13"/>
  <c r="W482" i="13"/>
  <c r="V482" i="13"/>
  <c r="BB481" i="13"/>
  <c r="BA481" i="13"/>
  <c r="AZ481" i="13"/>
  <c r="AY481" i="13"/>
  <c r="AX481" i="13"/>
  <c r="AW481" i="13"/>
  <c r="AT481" i="13"/>
  <c r="AP481" i="13"/>
  <c r="AO481" i="13"/>
  <c r="AN481" i="13"/>
  <c r="BC481" i="13" s="1"/>
  <c r="AM481" i="13"/>
  <c r="AF481" i="13"/>
  <c r="Y481" i="13" s="1"/>
  <c r="AD481" i="13"/>
  <c r="AH481" i="13" s="1"/>
  <c r="X481" i="13"/>
  <c r="W481" i="13"/>
  <c r="V481" i="13"/>
  <c r="BB480" i="13"/>
  <c r="BA480" i="13"/>
  <c r="AZ480" i="13"/>
  <c r="AY480" i="13"/>
  <c r="AX480" i="13"/>
  <c r="AW480" i="13"/>
  <c r="AT480" i="13"/>
  <c r="AP480" i="13"/>
  <c r="AN480" i="13"/>
  <c r="BC480" i="13" s="1"/>
  <c r="AM480" i="13"/>
  <c r="AF480" i="13"/>
  <c r="AI480" i="13" s="1"/>
  <c r="AD480" i="13"/>
  <c r="AH480" i="13" s="1"/>
  <c r="X480" i="13"/>
  <c r="W480" i="13"/>
  <c r="V480" i="13"/>
  <c r="BB479" i="13"/>
  <c r="BA479" i="13"/>
  <c r="AZ479" i="13"/>
  <c r="AY479" i="13"/>
  <c r="AX479" i="13"/>
  <c r="AW479" i="13"/>
  <c r="AT479" i="13"/>
  <c r="AP479" i="13"/>
  <c r="AN479" i="13"/>
  <c r="BC479" i="13" s="1"/>
  <c r="AM479" i="13"/>
  <c r="AF479" i="13"/>
  <c r="AS479" i="13" s="1"/>
  <c r="AD479" i="13"/>
  <c r="AH479" i="13" s="1"/>
  <c r="X479" i="13"/>
  <c r="W479" i="13"/>
  <c r="V479" i="13"/>
  <c r="BB478" i="13"/>
  <c r="BA478" i="13"/>
  <c r="AZ478" i="13"/>
  <c r="AY478" i="13"/>
  <c r="AX478" i="13"/>
  <c r="AW478" i="13"/>
  <c r="AT478" i="13"/>
  <c r="AP478" i="13"/>
  <c r="AO478" i="13"/>
  <c r="AN478" i="13"/>
  <c r="BC478" i="13" s="1"/>
  <c r="AM478" i="13"/>
  <c r="AF478" i="13"/>
  <c r="Z478" i="13" s="1"/>
  <c r="AD478" i="13"/>
  <c r="AH478" i="13" s="1"/>
  <c r="X478" i="13"/>
  <c r="W478" i="13"/>
  <c r="V478" i="13"/>
  <c r="BB477" i="13"/>
  <c r="BA477" i="13"/>
  <c r="AZ477" i="13"/>
  <c r="AY477" i="13"/>
  <c r="AX477" i="13"/>
  <c r="AW477" i="13"/>
  <c r="AT477" i="13"/>
  <c r="AP477" i="13"/>
  <c r="AN477" i="13"/>
  <c r="BC477" i="13" s="1"/>
  <c r="AM477" i="13"/>
  <c r="AF477" i="13"/>
  <c r="Y477" i="13" s="1"/>
  <c r="AD477" i="13"/>
  <c r="AH477" i="13" s="1"/>
  <c r="X477" i="13"/>
  <c r="W477" i="13"/>
  <c r="V477" i="13"/>
  <c r="BB476" i="13"/>
  <c r="BA476" i="13"/>
  <c r="AZ476" i="13"/>
  <c r="AY476" i="13"/>
  <c r="AX476" i="13"/>
  <c r="AW476" i="13"/>
  <c r="AT476" i="13"/>
  <c r="AP476" i="13"/>
  <c r="AO476" i="13"/>
  <c r="AN476" i="13"/>
  <c r="BC476" i="13" s="1"/>
  <c r="AM476" i="13"/>
  <c r="AF476" i="13"/>
  <c r="AI476" i="13" s="1"/>
  <c r="AD476" i="13"/>
  <c r="AH476" i="13" s="1"/>
  <c r="X476" i="13"/>
  <c r="W476" i="13"/>
  <c r="V476" i="13"/>
  <c r="BB475" i="13"/>
  <c r="BA475" i="13"/>
  <c r="AZ475" i="13"/>
  <c r="AY475" i="13"/>
  <c r="AX475" i="13"/>
  <c r="AW475" i="13"/>
  <c r="AT475" i="13"/>
  <c r="AP475" i="13"/>
  <c r="AO475" i="13"/>
  <c r="AN475" i="13"/>
  <c r="BC475" i="13" s="1"/>
  <c r="AM475" i="13"/>
  <c r="AF475" i="13"/>
  <c r="AS475" i="13" s="1"/>
  <c r="AD475" i="13"/>
  <c r="AH475" i="13" s="1"/>
  <c r="X475" i="13"/>
  <c r="W475" i="13"/>
  <c r="V475" i="13"/>
  <c r="BB474" i="13"/>
  <c r="BA474" i="13"/>
  <c r="AZ474" i="13"/>
  <c r="AY474" i="13"/>
  <c r="AX474" i="13"/>
  <c r="AW474" i="13"/>
  <c r="AT474" i="13"/>
  <c r="AP474" i="13"/>
  <c r="AO474" i="13"/>
  <c r="AN474" i="13"/>
  <c r="BC474" i="13" s="1"/>
  <c r="AM474" i="13"/>
  <c r="AF474" i="13"/>
  <c r="Z474" i="13" s="1"/>
  <c r="AD474" i="13"/>
  <c r="AH474" i="13" s="1"/>
  <c r="X474" i="13"/>
  <c r="W474" i="13"/>
  <c r="V474" i="13"/>
  <c r="BB473" i="13"/>
  <c r="BA473" i="13"/>
  <c r="AZ473" i="13"/>
  <c r="AY473" i="13"/>
  <c r="AX473" i="13"/>
  <c r="AW473" i="13"/>
  <c r="AT473" i="13"/>
  <c r="AP473" i="13"/>
  <c r="AO473" i="13"/>
  <c r="AN473" i="13"/>
  <c r="BC473" i="13" s="1"/>
  <c r="AM473" i="13"/>
  <c r="AF473" i="13"/>
  <c r="AD473" i="13"/>
  <c r="AH473" i="13" s="1"/>
  <c r="X473" i="13"/>
  <c r="W473" i="13"/>
  <c r="V473" i="13"/>
  <c r="BB472" i="13"/>
  <c r="BA472" i="13"/>
  <c r="AZ472" i="13"/>
  <c r="AY472" i="13"/>
  <c r="AX472" i="13"/>
  <c r="AW472" i="13"/>
  <c r="AT472" i="13"/>
  <c r="AP472" i="13"/>
  <c r="AO472" i="13"/>
  <c r="AN472" i="13"/>
  <c r="BC472" i="13" s="1"/>
  <c r="AM472" i="13"/>
  <c r="AF472" i="13"/>
  <c r="AI472" i="13" s="1"/>
  <c r="AD472" i="13"/>
  <c r="AH472" i="13" s="1"/>
  <c r="X472" i="13"/>
  <c r="W472" i="13"/>
  <c r="V472" i="13"/>
  <c r="BB471" i="13"/>
  <c r="BA471" i="13"/>
  <c r="AZ471" i="13"/>
  <c r="AY471" i="13"/>
  <c r="AX471" i="13"/>
  <c r="AW471" i="13"/>
  <c r="AT471" i="13"/>
  <c r="AP471" i="13"/>
  <c r="AO471" i="13"/>
  <c r="AN471" i="13"/>
  <c r="BC471" i="13" s="1"/>
  <c r="AM471" i="13"/>
  <c r="AF471" i="13"/>
  <c r="AS471" i="13" s="1"/>
  <c r="AD471" i="13"/>
  <c r="AH471" i="13" s="1"/>
  <c r="X471" i="13"/>
  <c r="W471" i="13"/>
  <c r="V471" i="13"/>
  <c r="BB470" i="13"/>
  <c r="BA470" i="13"/>
  <c r="AZ470" i="13"/>
  <c r="AY470" i="13"/>
  <c r="AX470" i="13"/>
  <c r="AW470" i="13"/>
  <c r="AT470" i="13"/>
  <c r="AP470" i="13"/>
  <c r="AN470" i="13"/>
  <c r="BC470" i="13" s="1"/>
  <c r="AM470" i="13"/>
  <c r="AF470" i="13"/>
  <c r="Z470" i="13" s="1"/>
  <c r="AD470" i="13"/>
  <c r="AH470" i="13" s="1"/>
  <c r="X470" i="13"/>
  <c r="W470" i="13"/>
  <c r="V470" i="13"/>
  <c r="BB469" i="13"/>
  <c r="BA469" i="13"/>
  <c r="AZ469" i="13"/>
  <c r="AY469" i="13"/>
  <c r="AX469" i="13"/>
  <c r="AW469" i="13"/>
  <c r="AT469" i="13"/>
  <c r="AP469" i="13"/>
  <c r="AO469" i="13"/>
  <c r="AN469" i="13"/>
  <c r="BC469" i="13" s="1"/>
  <c r="AM469" i="13"/>
  <c r="AF469" i="13"/>
  <c r="AD469" i="13"/>
  <c r="AH469" i="13" s="1"/>
  <c r="X469" i="13"/>
  <c r="W469" i="13"/>
  <c r="V469" i="13"/>
  <c r="BB468" i="13"/>
  <c r="BA468" i="13"/>
  <c r="AZ468" i="13"/>
  <c r="AY468" i="13"/>
  <c r="AX468" i="13"/>
  <c r="AW468" i="13"/>
  <c r="AT468" i="13"/>
  <c r="AP468" i="13"/>
  <c r="AO468" i="13"/>
  <c r="AN468" i="13"/>
  <c r="BC468" i="13" s="1"/>
  <c r="AM468" i="13"/>
  <c r="AF468" i="13"/>
  <c r="Y468" i="13" s="1"/>
  <c r="AD468" i="13"/>
  <c r="AH468" i="13" s="1"/>
  <c r="X468" i="13"/>
  <c r="W468" i="13"/>
  <c r="V468" i="13"/>
  <c r="BB467" i="13"/>
  <c r="BA467" i="13"/>
  <c r="AZ467" i="13"/>
  <c r="AY467" i="13"/>
  <c r="AX467" i="13"/>
  <c r="AW467" i="13"/>
  <c r="AT467" i="13"/>
  <c r="AP467" i="13"/>
  <c r="AN467" i="13"/>
  <c r="BC467" i="13" s="1"/>
  <c r="AM467" i="13"/>
  <c r="AF467" i="13"/>
  <c r="AS467" i="13" s="1"/>
  <c r="AD467" i="13"/>
  <c r="AH467" i="13" s="1"/>
  <c r="X467" i="13"/>
  <c r="W467" i="13"/>
  <c r="V467" i="13"/>
  <c r="BB466" i="13"/>
  <c r="BA466" i="13"/>
  <c r="AZ466" i="13"/>
  <c r="AY466" i="13"/>
  <c r="AX466" i="13"/>
  <c r="AW466" i="13"/>
  <c r="AT466" i="13"/>
  <c r="AP466" i="13"/>
  <c r="AN466" i="13"/>
  <c r="BC466" i="13" s="1"/>
  <c r="AM466" i="13"/>
  <c r="AF466" i="13"/>
  <c r="AI466" i="13" s="1"/>
  <c r="AD466" i="13"/>
  <c r="AH466" i="13" s="1"/>
  <c r="X466" i="13"/>
  <c r="W466" i="13"/>
  <c r="V466" i="13"/>
  <c r="BB465" i="13"/>
  <c r="BA465" i="13"/>
  <c r="AZ465" i="13"/>
  <c r="AY465" i="13"/>
  <c r="AX465" i="13"/>
  <c r="AW465" i="13"/>
  <c r="AT465" i="13"/>
  <c r="AP465" i="13"/>
  <c r="AN465" i="13"/>
  <c r="BC465" i="13" s="1"/>
  <c r="AM465" i="13"/>
  <c r="AF465" i="13"/>
  <c r="Y465" i="13" s="1"/>
  <c r="AD465" i="13"/>
  <c r="AH465" i="13" s="1"/>
  <c r="X465" i="13"/>
  <c r="W465" i="13"/>
  <c r="V465" i="13"/>
  <c r="BB464" i="13"/>
  <c r="BA464" i="13"/>
  <c r="AZ464" i="13"/>
  <c r="AY464" i="13"/>
  <c r="AX464" i="13"/>
  <c r="AW464" i="13"/>
  <c r="AT464" i="13"/>
  <c r="AP464" i="13"/>
  <c r="AN464" i="13"/>
  <c r="BC464" i="13" s="1"/>
  <c r="AM464" i="13"/>
  <c r="AF464" i="13"/>
  <c r="AI464" i="13" s="1"/>
  <c r="AD464" i="13"/>
  <c r="AH464" i="13" s="1"/>
  <c r="X464" i="13"/>
  <c r="W464" i="13"/>
  <c r="V464" i="13"/>
  <c r="BB463" i="13"/>
  <c r="BA463" i="13"/>
  <c r="AZ463" i="13"/>
  <c r="AY463" i="13"/>
  <c r="AX463" i="13"/>
  <c r="AW463" i="13"/>
  <c r="AT463" i="13"/>
  <c r="AP463" i="13"/>
  <c r="AN463" i="13"/>
  <c r="BC463" i="13" s="1"/>
  <c r="AM463" i="13"/>
  <c r="AF463" i="13"/>
  <c r="AS463" i="13" s="1"/>
  <c r="AD463" i="13"/>
  <c r="AH463" i="13" s="1"/>
  <c r="X463" i="13"/>
  <c r="W463" i="13"/>
  <c r="V463" i="13"/>
  <c r="BB462" i="13"/>
  <c r="BA462" i="13"/>
  <c r="AZ462" i="13"/>
  <c r="AY462" i="13"/>
  <c r="AX462" i="13"/>
  <c r="AW462" i="13"/>
  <c r="AT462" i="13"/>
  <c r="AP462" i="13"/>
  <c r="AN462" i="13"/>
  <c r="BC462" i="13" s="1"/>
  <c r="AM462" i="13"/>
  <c r="AF462" i="13"/>
  <c r="AI462" i="13" s="1"/>
  <c r="AD462" i="13"/>
  <c r="AH462" i="13" s="1"/>
  <c r="X462" i="13"/>
  <c r="W462" i="13"/>
  <c r="V462" i="13"/>
  <c r="BB461" i="13"/>
  <c r="BA461" i="13"/>
  <c r="AZ461" i="13"/>
  <c r="AY461" i="13"/>
  <c r="AX461" i="13"/>
  <c r="AW461" i="13"/>
  <c r="AT461" i="13"/>
  <c r="AP461" i="13"/>
  <c r="AN461" i="13"/>
  <c r="BC461" i="13" s="1"/>
  <c r="AM461" i="13"/>
  <c r="AF461" i="13"/>
  <c r="Y461" i="13" s="1"/>
  <c r="AD461" i="13"/>
  <c r="AH461" i="13" s="1"/>
  <c r="X461" i="13"/>
  <c r="W461" i="13"/>
  <c r="V461" i="13"/>
  <c r="BB460" i="13"/>
  <c r="BA460" i="13"/>
  <c r="AZ460" i="13"/>
  <c r="AY460" i="13"/>
  <c r="AX460" i="13"/>
  <c r="AW460" i="13"/>
  <c r="AT460" i="13"/>
  <c r="AP460" i="13"/>
  <c r="AN460" i="13"/>
  <c r="BC460" i="13" s="1"/>
  <c r="AM460" i="13"/>
  <c r="AF460" i="13"/>
  <c r="AI460" i="13" s="1"/>
  <c r="AD460" i="13"/>
  <c r="AH460" i="13" s="1"/>
  <c r="X460" i="13"/>
  <c r="W460" i="13"/>
  <c r="V460" i="13"/>
  <c r="BB459" i="13"/>
  <c r="BA459" i="13"/>
  <c r="AZ459" i="13"/>
  <c r="AY459" i="13"/>
  <c r="AX459" i="13"/>
  <c r="AW459" i="13"/>
  <c r="AT459" i="13"/>
  <c r="AP459" i="13"/>
  <c r="AN459" i="13"/>
  <c r="BC459" i="13" s="1"/>
  <c r="AM459" i="13"/>
  <c r="AF459" i="13"/>
  <c r="AS459" i="13" s="1"/>
  <c r="AD459" i="13"/>
  <c r="AH459" i="13" s="1"/>
  <c r="X459" i="13"/>
  <c r="W459" i="13"/>
  <c r="V459" i="13"/>
  <c r="BB458" i="13"/>
  <c r="BA458" i="13"/>
  <c r="AZ458" i="13"/>
  <c r="AY458" i="13"/>
  <c r="AX458" i="13"/>
  <c r="AW458" i="13"/>
  <c r="AT458" i="13"/>
  <c r="AP458" i="13"/>
  <c r="AN458" i="13"/>
  <c r="BC458" i="13" s="1"/>
  <c r="AM458" i="13"/>
  <c r="AF458" i="13"/>
  <c r="AI458" i="13" s="1"/>
  <c r="AD458" i="13"/>
  <c r="AH458" i="13" s="1"/>
  <c r="X458" i="13"/>
  <c r="W458" i="13"/>
  <c r="V458" i="13"/>
  <c r="BB457" i="13"/>
  <c r="BA457" i="13"/>
  <c r="AZ457" i="13"/>
  <c r="AY457" i="13"/>
  <c r="AX457" i="13"/>
  <c r="AW457" i="13"/>
  <c r="AT457" i="13"/>
  <c r="AP457" i="13"/>
  <c r="AN457" i="13"/>
  <c r="BC457" i="13" s="1"/>
  <c r="AM457" i="13"/>
  <c r="AF457" i="13"/>
  <c r="Y457" i="13" s="1"/>
  <c r="AD457" i="13"/>
  <c r="AH457" i="13" s="1"/>
  <c r="X457" i="13"/>
  <c r="W457" i="13"/>
  <c r="V457" i="13"/>
  <c r="BB456" i="13"/>
  <c r="BA456" i="13"/>
  <c r="AZ456" i="13"/>
  <c r="AY456" i="13"/>
  <c r="AX456" i="13"/>
  <c r="AW456" i="13"/>
  <c r="AT456" i="13"/>
  <c r="AP456" i="13"/>
  <c r="AO456" i="13"/>
  <c r="AN456" i="13"/>
  <c r="BC456" i="13" s="1"/>
  <c r="AM456" i="13"/>
  <c r="AF456" i="13"/>
  <c r="AI456" i="13" s="1"/>
  <c r="AD456" i="13"/>
  <c r="AH456" i="13" s="1"/>
  <c r="X456" i="13"/>
  <c r="W456" i="13"/>
  <c r="V456" i="13"/>
  <c r="BB455" i="13"/>
  <c r="BA455" i="13"/>
  <c r="AZ455" i="13"/>
  <c r="AY455" i="13"/>
  <c r="AX455" i="13"/>
  <c r="AW455" i="13"/>
  <c r="AT455" i="13"/>
  <c r="AP455" i="13"/>
  <c r="AO455" i="13"/>
  <c r="AN455" i="13"/>
  <c r="BC455" i="13" s="1"/>
  <c r="AM455" i="13"/>
  <c r="AF455" i="13"/>
  <c r="AS455" i="13" s="1"/>
  <c r="AD455" i="13"/>
  <c r="AH455" i="13" s="1"/>
  <c r="X455" i="13"/>
  <c r="W455" i="13"/>
  <c r="V455" i="13"/>
  <c r="BB454" i="13"/>
  <c r="BA454" i="13"/>
  <c r="AZ454" i="13"/>
  <c r="AY454" i="13"/>
  <c r="AX454" i="13"/>
  <c r="AW454" i="13"/>
  <c r="AT454" i="13"/>
  <c r="AP454" i="13"/>
  <c r="AN454" i="13"/>
  <c r="BC454" i="13" s="1"/>
  <c r="AM454" i="13"/>
  <c r="AF454" i="13"/>
  <c r="AS454" i="13" s="1"/>
  <c r="AD454" i="13"/>
  <c r="AH454" i="13" s="1"/>
  <c r="X454" i="13"/>
  <c r="W454" i="13"/>
  <c r="V454" i="13"/>
  <c r="BB453" i="13"/>
  <c r="BA453" i="13"/>
  <c r="AZ453" i="13"/>
  <c r="AY453" i="13"/>
  <c r="AX453" i="13"/>
  <c r="AW453" i="13"/>
  <c r="AT453" i="13"/>
  <c r="AP453" i="13"/>
  <c r="AN453" i="13"/>
  <c r="BC453" i="13" s="1"/>
  <c r="AM453" i="13"/>
  <c r="AF453" i="13"/>
  <c r="Y453" i="13" s="1"/>
  <c r="AD453" i="13"/>
  <c r="AH453" i="13" s="1"/>
  <c r="X453" i="13"/>
  <c r="W453" i="13"/>
  <c r="V453" i="13"/>
  <c r="BB452" i="13"/>
  <c r="BA452" i="13"/>
  <c r="AZ452" i="13"/>
  <c r="AY452" i="13"/>
  <c r="AX452" i="13"/>
  <c r="AW452" i="13"/>
  <c r="AT452" i="13"/>
  <c r="AP452" i="13"/>
  <c r="AN452" i="13"/>
  <c r="BC452" i="13" s="1"/>
  <c r="AM452" i="13"/>
  <c r="AF452" i="13"/>
  <c r="AI452" i="13" s="1"/>
  <c r="AD452" i="13"/>
  <c r="AH452" i="13" s="1"/>
  <c r="X452" i="13"/>
  <c r="W452" i="13"/>
  <c r="V452" i="13"/>
  <c r="BB451" i="13"/>
  <c r="BA451" i="13"/>
  <c r="AZ451" i="13"/>
  <c r="AY451" i="13"/>
  <c r="AX451" i="13"/>
  <c r="AW451" i="13"/>
  <c r="AT451" i="13"/>
  <c r="AP451" i="13"/>
  <c r="AN451" i="13"/>
  <c r="BC451" i="13" s="1"/>
  <c r="AM451" i="13"/>
  <c r="AF451" i="13"/>
  <c r="AS451" i="13" s="1"/>
  <c r="AD451" i="13"/>
  <c r="AH451" i="13" s="1"/>
  <c r="X451" i="13"/>
  <c r="W451" i="13"/>
  <c r="V451" i="13"/>
  <c r="BB450" i="13"/>
  <c r="BA450" i="13"/>
  <c r="AZ450" i="13"/>
  <c r="AY450" i="13"/>
  <c r="AX450" i="13"/>
  <c r="AW450" i="13"/>
  <c r="AT450" i="13"/>
  <c r="AP450" i="13"/>
  <c r="AN450" i="13"/>
  <c r="BC450" i="13" s="1"/>
  <c r="AM450" i="13"/>
  <c r="AF450" i="13"/>
  <c r="AS450" i="13" s="1"/>
  <c r="AD450" i="13"/>
  <c r="AH450" i="13" s="1"/>
  <c r="X450" i="13"/>
  <c r="W450" i="13"/>
  <c r="V450" i="13"/>
  <c r="BB449" i="13"/>
  <c r="BA449" i="13"/>
  <c r="AZ449" i="13"/>
  <c r="AY449" i="13"/>
  <c r="AX449" i="13"/>
  <c r="AW449" i="13"/>
  <c r="AT449" i="13"/>
  <c r="AP449" i="13"/>
  <c r="AN449" i="13"/>
  <c r="BC449" i="13" s="1"/>
  <c r="AM449" i="13"/>
  <c r="AF449" i="13"/>
  <c r="Y449" i="13" s="1"/>
  <c r="AD449" i="13"/>
  <c r="AH449" i="13" s="1"/>
  <c r="X449" i="13"/>
  <c r="W449" i="13"/>
  <c r="V449" i="13"/>
  <c r="BB448" i="13"/>
  <c r="BA448" i="13"/>
  <c r="AZ448" i="13"/>
  <c r="AY448" i="13"/>
  <c r="AX448" i="13"/>
  <c r="AW448" i="13"/>
  <c r="AT448" i="13"/>
  <c r="AP448" i="13"/>
  <c r="AN448" i="13"/>
  <c r="BC448" i="13" s="1"/>
  <c r="AM448" i="13"/>
  <c r="AF448" i="13"/>
  <c r="AI448" i="13" s="1"/>
  <c r="AD448" i="13"/>
  <c r="AH448" i="13" s="1"/>
  <c r="X448" i="13"/>
  <c r="W448" i="13"/>
  <c r="V448" i="13"/>
  <c r="BB447" i="13"/>
  <c r="BA447" i="13"/>
  <c r="AZ447" i="13"/>
  <c r="AY447" i="13"/>
  <c r="AX447" i="13"/>
  <c r="AW447" i="13"/>
  <c r="AT447" i="13"/>
  <c r="AP447" i="13"/>
  <c r="AN447" i="13"/>
  <c r="BC447" i="13" s="1"/>
  <c r="AM447" i="13"/>
  <c r="AF447" i="13"/>
  <c r="AS447" i="13" s="1"/>
  <c r="AD447" i="13"/>
  <c r="AH447" i="13" s="1"/>
  <c r="X447" i="13"/>
  <c r="W447" i="13"/>
  <c r="V447" i="13"/>
  <c r="BB446" i="13"/>
  <c r="BA446" i="13"/>
  <c r="AZ446" i="13"/>
  <c r="AY446" i="13"/>
  <c r="AX446" i="13"/>
  <c r="AW446" i="13"/>
  <c r="AT446" i="13"/>
  <c r="AP446" i="13"/>
  <c r="AN446" i="13"/>
  <c r="BC446" i="13" s="1"/>
  <c r="AM446" i="13"/>
  <c r="AF446" i="13"/>
  <c r="AS446" i="13" s="1"/>
  <c r="AD446" i="13"/>
  <c r="AH446" i="13" s="1"/>
  <c r="X446" i="13"/>
  <c r="W446" i="13"/>
  <c r="V446" i="13"/>
  <c r="BB445" i="13"/>
  <c r="BA445" i="13"/>
  <c r="AZ445" i="13"/>
  <c r="AY445" i="13"/>
  <c r="AX445" i="13"/>
  <c r="AW445" i="13"/>
  <c r="AT445" i="13"/>
  <c r="AP445" i="13"/>
  <c r="AN445" i="13"/>
  <c r="BC445" i="13" s="1"/>
  <c r="AM445" i="13"/>
  <c r="AF445" i="13"/>
  <c r="AD445" i="13"/>
  <c r="AH445" i="13" s="1"/>
  <c r="X445" i="13"/>
  <c r="W445" i="13"/>
  <c r="V445" i="13"/>
  <c r="BB444" i="13"/>
  <c r="BA444" i="13"/>
  <c r="AZ444" i="13"/>
  <c r="AY444" i="13"/>
  <c r="AX444" i="13"/>
  <c r="AW444" i="13"/>
  <c r="AT444" i="13"/>
  <c r="AP444" i="13"/>
  <c r="AO444" i="13"/>
  <c r="AN444" i="13"/>
  <c r="BC444" i="13" s="1"/>
  <c r="AM444" i="13"/>
  <c r="AF444" i="13"/>
  <c r="Z444" i="13" s="1"/>
  <c r="AD444" i="13"/>
  <c r="AH444" i="13" s="1"/>
  <c r="X444" i="13"/>
  <c r="W444" i="13"/>
  <c r="V444" i="13"/>
  <c r="BB443" i="13"/>
  <c r="BA443" i="13"/>
  <c r="AZ443" i="13"/>
  <c r="AY443" i="13"/>
  <c r="AX443" i="13"/>
  <c r="AW443" i="13"/>
  <c r="AT443" i="13"/>
  <c r="AP443" i="13"/>
  <c r="AN443" i="13"/>
  <c r="BC443" i="13" s="1"/>
  <c r="AM443" i="13"/>
  <c r="AF443" i="13"/>
  <c r="AI443" i="13" s="1"/>
  <c r="AD443" i="13"/>
  <c r="AH443" i="13" s="1"/>
  <c r="X443" i="13"/>
  <c r="W443" i="13"/>
  <c r="V443" i="13"/>
  <c r="BB442" i="13"/>
  <c r="BA442" i="13"/>
  <c r="AZ442" i="13"/>
  <c r="AY442" i="13"/>
  <c r="AX442" i="13"/>
  <c r="AW442" i="13"/>
  <c r="AT442" i="13"/>
  <c r="AP442" i="13"/>
  <c r="AO442" i="13"/>
  <c r="AN442" i="13"/>
  <c r="BC442" i="13" s="1"/>
  <c r="AM442" i="13"/>
  <c r="AF442" i="13"/>
  <c r="AI442" i="13" s="1"/>
  <c r="AD442" i="13"/>
  <c r="AH442" i="13" s="1"/>
  <c r="X442" i="13"/>
  <c r="W442" i="13"/>
  <c r="V442" i="13"/>
  <c r="BB441" i="13"/>
  <c r="BA441" i="13"/>
  <c r="AZ441" i="13"/>
  <c r="AY441" i="13"/>
  <c r="AX441" i="13"/>
  <c r="AW441" i="13"/>
  <c r="AT441" i="13"/>
  <c r="AP441" i="13"/>
  <c r="AO441" i="13"/>
  <c r="AN441" i="13"/>
  <c r="BC441" i="13" s="1"/>
  <c r="AM441" i="13"/>
  <c r="AF441" i="13"/>
  <c r="AS441" i="13" s="1"/>
  <c r="AD441" i="13"/>
  <c r="AH441" i="13" s="1"/>
  <c r="X441" i="13"/>
  <c r="W441" i="13"/>
  <c r="V441" i="13"/>
  <c r="BB440" i="13"/>
  <c r="BA440" i="13"/>
  <c r="AZ440" i="13"/>
  <c r="AY440" i="13"/>
  <c r="AX440" i="13"/>
  <c r="AW440" i="13"/>
  <c r="AT440" i="13"/>
  <c r="AP440" i="13"/>
  <c r="AN440" i="13"/>
  <c r="BC440" i="13" s="1"/>
  <c r="AM440" i="13"/>
  <c r="AF440" i="13"/>
  <c r="Z440" i="13" s="1"/>
  <c r="AD440" i="13"/>
  <c r="AH440" i="13" s="1"/>
  <c r="X440" i="13"/>
  <c r="W440" i="13"/>
  <c r="V440" i="13"/>
  <c r="BB439" i="13"/>
  <c r="BA439" i="13"/>
  <c r="AZ439" i="13"/>
  <c r="AY439" i="13"/>
  <c r="AX439" i="13"/>
  <c r="AW439" i="13"/>
  <c r="AT439" i="13"/>
  <c r="AP439" i="13"/>
  <c r="AN439" i="13"/>
  <c r="BC439" i="13" s="1"/>
  <c r="AM439" i="13"/>
  <c r="AF439" i="13"/>
  <c r="AI439" i="13" s="1"/>
  <c r="AD439" i="13"/>
  <c r="AH439" i="13" s="1"/>
  <c r="X439" i="13"/>
  <c r="W439" i="13"/>
  <c r="V439" i="13"/>
  <c r="BB438" i="13"/>
  <c r="BA438" i="13"/>
  <c r="AZ438" i="13"/>
  <c r="AY438" i="13"/>
  <c r="AX438" i="13"/>
  <c r="AW438" i="13"/>
  <c r="AT438" i="13"/>
  <c r="AP438" i="13"/>
  <c r="AN438" i="13"/>
  <c r="BC438" i="13" s="1"/>
  <c r="AM438" i="13"/>
  <c r="AF438" i="13"/>
  <c r="AI438" i="13" s="1"/>
  <c r="AD438" i="13"/>
  <c r="AH438" i="13" s="1"/>
  <c r="X438" i="13"/>
  <c r="W438" i="13"/>
  <c r="V438" i="13"/>
  <c r="BB437" i="13"/>
  <c r="BA437" i="13"/>
  <c r="AZ437" i="13"/>
  <c r="AY437" i="13"/>
  <c r="AX437" i="13"/>
  <c r="AW437" i="13"/>
  <c r="AT437" i="13"/>
  <c r="AP437" i="13"/>
  <c r="AN437" i="13"/>
  <c r="BC437" i="13" s="1"/>
  <c r="AM437" i="13"/>
  <c r="AF437" i="13"/>
  <c r="AS437" i="13" s="1"/>
  <c r="AD437" i="13"/>
  <c r="AH437" i="13" s="1"/>
  <c r="X437" i="13"/>
  <c r="W437" i="13"/>
  <c r="V437" i="13"/>
  <c r="BB436" i="13"/>
  <c r="BA436" i="13"/>
  <c r="AZ436" i="13"/>
  <c r="AY436" i="13"/>
  <c r="AX436" i="13"/>
  <c r="AW436" i="13"/>
  <c r="AT436" i="13"/>
  <c r="AP436" i="13"/>
  <c r="AN436" i="13"/>
  <c r="BC436" i="13" s="1"/>
  <c r="AM436" i="13"/>
  <c r="AF436" i="13"/>
  <c r="Z436" i="13" s="1"/>
  <c r="AD436" i="13"/>
  <c r="AH436" i="13" s="1"/>
  <c r="X436" i="13"/>
  <c r="W436" i="13"/>
  <c r="V436" i="13"/>
  <c r="BB435" i="13"/>
  <c r="BA435" i="13"/>
  <c r="AZ435" i="13"/>
  <c r="AY435" i="13"/>
  <c r="AX435" i="13"/>
  <c r="AW435" i="13"/>
  <c r="AT435" i="13"/>
  <c r="AP435" i="13"/>
  <c r="AN435" i="13"/>
  <c r="BC435" i="13" s="1"/>
  <c r="AM435" i="13"/>
  <c r="AF435" i="13"/>
  <c r="AI435" i="13" s="1"/>
  <c r="AD435" i="13"/>
  <c r="AH435" i="13" s="1"/>
  <c r="X435" i="13"/>
  <c r="W435" i="13"/>
  <c r="V435" i="13"/>
  <c r="BB434" i="13"/>
  <c r="BA434" i="13"/>
  <c r="AZ434" i="13"/>
  <c r="AY434" i="13"/>
  <c r="AX434" i="13"/>
  <c r="AW434" i="13"/>
  <c r="AT434" i="13"/>
  <c r="AP434" i="13"/>
  <c r="AN434" i="13"/>
  <c r="BC434" i="13" s="1"/>
  <c r="AM434" i="13"/>
  <c r="AF434" i="13"/>
  <c r="AD434" i="13"/>
  <c r="AH434" i="13" s="1"/>
  <c r="X434" i="13"/>
  <c r="W434" i="13"/>
  <c r="V434" i="13"/>
  <c r="BB433" i="13"/>
  <c r="BA433" i="13"/>
  <c r="AZ433" i="13"/>
  <c r="AY433" i="13"/>
  <c r="AX433" i="13"/>
  <c r="AW433" i="13"/>
  <c r="AT433" i="13"/>
  <c r="AP433" i="13"/>
  <c r="AN433" i="13"/>
  <c r="BC433" i="13" s="1"/>
  <c r="AM433" i="13"/>
  <c r="AF433" i="13"/>
  <c r="AD433" i="13"/>
  <c r="AH433" i="13" s="1"/>
  <c r="X433" i="13"/>
  <c r="W433" i="13"/>
  <c r="V433" i="13"/>
  <c r="BB432" i="13"/>
  <c r="BA432" i="13"/>
  <c r="AZ432" i="13"/>
  <c r="AY432" i="13"/>
  <c r="AX432" i="13"/>
  <c r="AW432" i="13"/>
  <c r="AT432" i="13"/>
  <c r="AP432" i="13"/>
  <c r="AN432" i="13"/>
  <c r="BC432" i="13" s="1"/>
  <c r="AM432" i="13"/>
  <c r="AF432" i="13"/>
  <c r="AI432" i="13" s="1"/>
  <c r="AD432" i="13"/>
  <c r="AH432" i="13" s="1"/>
  <c r="X432" i="13"/>
  <c r="W432" i="13"/>
  <c r="V432" i="13"/>
  <c r="BB431" i="13"/>
  <c r="BA431" i="13"/>
  <c r="AZ431" i="13"/>
  <c r="AY431" i="13"/>
  <c r="AX431" i="13"/>
  <c r="AW431" i="13"/>
  <c r="AT431" i="13"/>
  <c r="AP431" i="13"/>
  <c r="AN431" i="13"/>
  <c r="BC431" i="13" s="1"/>
  <c r="AM431" i="13"/>
  <c r="AF431" i="13"/>
  <c r="AS431" i="13" s="1"/>
  <c r="AD431" i="13"/>
  <c r="AH431" i="13" s="1"/>
  <c r="X431" i="13"/>
  <c r="W431" i="13"/>
  <c r="V431" i="13"/>
  <c r="BB430" i="13"/>
  <c r="BA430" i="13"/>
  <c r="AZ430" i="13"/>
  <c r="AY430" i="13"/>
  <c r="AX430" i="13"/>
  <c r="AW430" i="13"/>
  <c r="AT430" i="13"/>
  <c r="AP430" i="13"/>
  <c r="AN430" i="13"/>
  <c r="BC430" i="13" s="1"/>
  <c r="AM430" i="13"/>
  <c r="AF430" i="13"/>
  <c r="Z430" i="13" s="1"/>
  <c r="AD430" i="13"/>
  <c r="AH430" i="13" s="1"/>
  <c r="X430" i="13"/>
  <c r="W430" i="13"/>
  <c r="V430" i="13"/>
  <c r="BB429" i="13"/>
  <c r="BA429" i="13"/>
  <c r="AZ429" i="13"/>
  <c r="AY429" i="13"/>
  <c r="AX429" i="13"/>
  <c r="AW429" i="13"/>
  <c r="AT429" i="13"/>
  <c r="AP429" i="13"/>
  <c r="AN429" i="13"/>
  <c r="BC429" i="13" s="1"/>
  <c r="AM429" i="13"/>
  <c r="AF429" i="13"/>
  <c r="Z429" i="13" s="1"/>
  <c r="AD429" i="13"/>
  <c r="AH429" i="13" s="1"/>
  <c r="X429" i="13"/>
  <c r="W429" i="13"/>
  <c r="V429" i="13"/>
  <c r="BB428" i="13"/>
  <c r="BA428" i="13"/>
  <c r="AZ428" i="13"/>
  <c r="AY428" i="13"/>
  <c r="AX428" i="13"/>
  <c r="AW428" i="13"/>
  <c r="AT428" i="13"/>
  <c r="AP428" i="13"/>
  <c r="AN428" i="13"/>
  <c r="BC428" i="13" s="1"/>
  <c r="AM428" i="13"/>
  <c r="AF428" i="13"/>
  <c r="Y428" i="13" s="1"/>
  <c r="AD428" i="13"/>
  <c r="AH428" i="13" s="1"/>
  <c r="X428" i="13"/>
  <c r="W428" i="13"/>
  <c r="V428" i="13"/>
  <c r="BB427" i="13"/>
  <c r="BA427" i="13"/>
  <c r="AZ427" i="13"/>
  <c r="AY427" i="13"/>
  <c r="AX427" i="13"/>
  <c r="AW427" i="13"/>
  <c r="AT427" i="13"/>
  <c r="AP427" i="13"/>
  <c r="AN427" i="13"/>
  <c r="BC427" i="13" s="1"/>
  <c r="AM427" i="13"/>
  <c r="AF427" i="13"/>
  <c r="AD427" i="13"/>
  <c r="AH427" i="13" s="1"/>
  <c r="X427" i="13"/>
  <c r="W427" i="13"/>
  <c r="V427" i="13"/>
  <c r="BB426" i="13"/>
  <c r="BA426" i="13"/>
  <c r="AZ426" i="13"/>
  <c r="AY426" i="13"/>
  <c r="AX426" i="13"/>
  <c r="AW426" i="13"/>
  <c r="AT426" i="13"/>
  <c r="AP426" i="13"/>
  <c r="AN426" i="13"/>
  <c r="BC426" i="13" s="1"/>
  <c r="AM426" i="13"/>
  <c r="AF426" i="13"/>
  <c r="Z426" i="13" s="1"/>
  <c r="AD426" i="13"/>
  <c r="AH426" i="13" s="1"/>
  <c r="X426" i="13"/>
  <c r="W426" i="13"/>
  <c r="V426" i="13"/>
  <c r="BB425" i="13"/>
  <c r="BA425" i="13"/>
  <c r="AZ425" i="13"/>
  <c r="AY425" i="13"/>
  <c r="AX425" i="13"/>
  <c r="AW425" i="13"/>
  <c r="AT425" i="13"/>
  <c r="AP425" i="13"/>
  <c r="AN425" i="13"/>
  <c r="BC425" i="13" s="1"/>
  <c r="AM425" i="13"/>
  <c r="AF425" i="13"/>
  <c r="AS425" i="13" s="1"/>
  <c r="AD425" i="13"/>
  <c r="AH425" i="13" s="1"/>
  <c r="X425" i="13"/>
  <c r="W425" i="13"/>
  <c r="V425" i="13"/>
  <c r="BB424" i="13"/>
  <c r="BA424" i="13"/>
  <c r="AZ424" i="13"/>
  <c r="AY424" i="13"/>
  <c r="AX424" i="13"/>
  <c r="AW424" i="13"/>
  <c r="AT424" i="13"/>
  <c r="AP424" i="13"/>
  <c r="AN424" i="13"/>
  <c r="BC424" i="13" s="1"/>
  <c r="AM424" i="13"/>
  <c r="AF424" i="13"/>
  <c r="AS424" i="13" s="1"/>
  <c r="AD424" i="13"/>
  <c r="AH424" i="13" s="1"/>
  <c r="X424" i="13"/>
  <c r="W424" i="13"/>
  <c r="V424" i="13"/>
  <c r="BB423" i="13"/>
  <c r="BA423" i="13"/>
  <c r="AZ423" i="13"/>
  <c r="AY423" i="13"/>
  <c r="AX423" i="13"/>
  <c r="AW423" i="13"/>
  <c r="AT423" i="13"/>
  <c r="AP423" i="13"/>
  <c r="AN423" i="13"/>
  <c r="BC423" i="13" s="1"/>
  <c r="AM423" i="13"/>
  <c r="AF423" i="13"/>
  <c r="AS423" i="13" s="1"/>
  <c r="AD423" i="13"/>
  <c r="AH423" i="13" s="1"/>
  <c r="X423" i="13"/>
  <c r="W423" i="13"/>
  <c r="V423" i="13"/>
  <c r="BB422" i="13"/>
  <c r="BA422" i="13"/>
  <c r="AZ422" i="13"/>
  <c r="AY422" i="13"/>
  <c r="AX422" i="13"/>
  <c r="AW422" i="13"/>
  <c r="AT422" i="13"/>
  <c r="AP422" i="13"/>
  <c r="AN422" i="13"/>
  <c r="BC422" i="13" s="1"/>
  <c r="AM422" i="13"/>
  <c r="AF422" i="13"/>
  <c r="AI422" i="13" s="1"/>
  <c r="AD422" i="13"/>
  <c r="AH422" i="13" s="1"/>
  <c r="X422" i="13"/>
  <c r="W422" i="13"/>
  <c r="V422" i="13"/>
  <c r="BB421" i="13"/>
  <c r="BA421" i="13"/>
  <c r="AZ421" i="13"/>
  <c r="AY421" i="13"/>
  <c r="AX421" i="13"/>
  <c r="AW421" i="13"/>
  <c r="AT421" i="13"/>
  <c r="AP421" i="13"/>
  <c r="AN421" i="13"/>
  <c r="BC421" i="13" s="1"/>
  <c r="AM421" i="13"/>
  <c r="AF421" i="13"/>
  <c r="AS421" i="13" s="1"/>
  <c r="AD421" i="13"/>
  <c r="AH421" i="13" s="1"/>
  <c r="X421" i="13"/>
  <c r="W421" i="13"/>
  <c r="V421" i="13"/>
  <c r="BB420" i="13"/>
  <c r="BA420" i="13"/>
  <c r="AZ420" i="13"/>
  <c r="AY420" i="13"/>
  <c r="AX420" i="13"/>
  <c r="AW420" i="13"/>
  <c r="AT420" i="13"/>
  <c r="AP420" i="13"/>
  <c r="AN420" i="13"/>
  <c r="BC420" i="13" s="1"/>
  <c r="AM420" i="13"/>
  <c r="AF420" i="13"/>
  <c r="AS420" i="13" s="1"/>
  <c r="AD420" i="13"/>
  <c r="AH420" i="13" s="1"/>
  <c r="X420" i="13"/>
  <c r="W420" i="13"/>
  <c r="V420" i="13"/>
  <c r="BB419" i="13"/>
  <c r="BA419" i="13"/>
  <c r="AZ419" i="13"/>
  <c r="AY419" i="13"/>
  <c r="AX419" i="13"/>
  <c r="AW419" i="13"/>
  <c r="AT419" i="13"/>
  <c r="AP419" i="13"/>
  <c r="AN419" i="13"/>
  <c r="BC419" i="13" s="1"/>
  <c r="AM419" i="13"/>
  <c r="AF419" i="13"/>
  <c r="AS419" i="13" s="1"/>
  <c r="AD419" i="13"/>
  <c r="AH419" i="13" s="1"/>
  <c r="X419" i="13"/>
  <c r="W419" i="13"/>
  <c r="V419" i="13"/>
  <c r="BB418" i="13"/>
  <c r="BA418" i="13"/>
  <c r="AZ418" i="13"/>
  <c r="AY418" i="13"/>
  <c r="AX418" i="13"/>
  <c r="AW418" i="13"/>
  <c r="AT418" i="13"/>
  <c r="AP418" i="13"/>
  <c r="AN418" i="13"/>
  <c r="BC418" i="13" s="1"/>
  <c r="AM418" i="13"/>
  <c r="AF418" i="13"/>
  <c r="AI418" i="13" s="1"/>
  <c r="AD418" i="13"/>
  <c r="AH418" i="13" s="1"/>
  <c r="X418" i="13"/>
  <c r="W418" i="13"/>
  <c r="V418" i="13"/>
  <c r="BB417" i="13"/>
  <c r="BA417" i="13"/>
  <c r="AZ417" i="13"/>
  <c r="AY417" i="13"/>
  <c r="AX417" i="13"/>
  <c r="AW417" i="13"/>
  <c r="AT417" i="13"/>
  <c r="AP417" i="13"/>
  <c r="AN417" i="13"/>
  <c r="BC417" i="13" s="1"/>
  <c r="AM417" i="13"/>
  <c r="AF417" i="13"/>
  <c r="AS417" i="13" s="1"/>
  <c r="AD417" i="13"/>
  <c r="AH417" i="13" s="1"/>
  <c r="X417" i="13"/>
  <c r="W417" i="13"/>
  <c r="V417" i="13"/>
  <c r="BB416" i="13"/>
  <c r="BA416" i="13"/>
  <c r="AZ416" i="13"/>
  <c r="AY416" i="13"/>
  <c r="AX416" i="13"/>
  <c r="AW416" i="13"/>
  <c r="AT416" i="13"/>
  <c r="AP416" i="13"/>
  <c r="AN416" i="13"/>
  <c r="AM416" i="13"/>
  <c r="AF416" i="13"/>
  <c r="AD416" i="13"/>
  <c r="AH416" i="13" s="1"/>
  <c r="X416" i="13"/>
  <c r="W416" i="13"/>
  <c r="V416" i="13"/>
  <c r="BB415" i="13"/>
  <c r="BA415" i="13"/>
  <c r="AZ415" i="13"/>
  <c r="AY415" i="13"/>
  <c r="AX415" i="13"/>
  <c r="AW415" i="13"/>
  <c r="AT415" i="13"/>
  <c r="AP415" i="13"/>
  <c r="AO415" i="13"/>
  <c r="AN415" i="13"/>
  <c r="BC415" i="13" s="1"/>
  <c r="AM415" i="13"/>
  <c r="AF415" i="13"/>
  <c r="AS415" i="13" s="1"/>
  <c r="AD415" i="13"/>
  <c r="AH415" i="13" s="1"/>
  <c r="X415" i="13"/>
  <c r="W415" i="13"/>
  <c r="V415" i="13"/>
  <c r="BB414" i="13"/>
  <c r="BA414" i="13"/>
  <c r="AZ414" i="13"/>
  <c r="AY414" i="13"/>
  <c r="AX414" i="13"/>
  <c r="AW414" i="13"/>
  <c r="AT414" i="13"/>
  <c r="AP414" i="13"/>
  <c r="AN414" i="13"/>
  <c r="BC414" i="13" s="1"/>
  <c r="AM414" i="13"/>
  <c r="AF414" i="13"/>
  <c r="AD414" i="13"/>
  <c r="AH414" i="13" s="1"/>
  <c r="X414" i="13"/>
  <c r="W414" i="13"/>
  <c r="V414" i="13"/>
  <c r="BB413" i="13"/>
  <c r="BA413" i="13"/>
  <c r="AZ413" i="13"/>
  <c r="AY413" i="13"/>
  <c r="AX413" i="13"/>
  <c r="AW413" i="13"/>
  <c r="AT413" i="13"/>
  <c r="AP413" i="13"/>
  <c r="AN413" i="13"/>
  <c r="BC413" i="13" s="1"/>
  <c r="AM413" i="13"/>
  <c r="AF413" i="13"/>
  <c r="AD413" i="13"/>
  <c r="AH413" i="13" s="1"/>
  <c r="X413" i="13"/>
  <c r="W413" i="13"/>
  <c r="V413" i="13"/>
  <c r="BB412" i="13"/>
  <c r="BA412" i="13"/>
  <c r="AZ412" i="13"/>
  <c r="AY412" i="13"/>
  <c r="AX412" i="13"/>
  <c r="AW412" i="13"/>
  <c r="AT412" i="13"/>
  <c r="AP412" i="13"/>
  <c r="AN412" i="13"/>
  <c r="AM412" i="13"/>
  <c r="AF412" i="13"/>
  <c r="AS412" i="13" s="1"/>
  <c r="AD412" i="13"/>
  <c r="AH412" i="13" s="1"/>
  <c r="X412" i="13"/>
  <c r="W412" i="13"/>
  <c r="V412" i="13"/>
  <c r="BB411" i="13"/>
  <c r="BA411" i="13"/>
  <c r="AZ411" i="13"/>
  <c r="AY411" i="13"/>
  <c r="AX411" i="13"/>
  <c r="AW411" i="13"/>
  <c r="AT411" i="13"/>
  <c r="AP411" i="13"/>
  <c r="AN411" i="13"/>
  <c r="BC411" i="13" s="1"/>
  <c r="AM411" i="13"/>
  <c r="AF411" i="13"/>
  <c r="AS411" i="13" s="1"/>
  <c r="AD411" i="13"/>
  <c r="AH411" i="13" s="1"/>
  <c r="X411" i="13"/>
  <c r="W411" i="13"/>
  <c r="V411" i="13"/>
  <c r="BB410" i="13"/>
  <c r="BA410" i="13"/>
  <c r="AZ410" i="13"/>
  <c r="AY410" i="13"/>
  <c r="AX410" i="13"/>
  <c r="AW410" i="13"/>
  <c r="AT410" i="13"/>
  <c r="AP410" i="13"/>
  <c r="AN410" i="13"/>
  <c r="BC410" i="13" s="1"/>
  <c r="AM410" i="13"/>
  <c r="AF410" i="13"/>
  <c r="AD410" i="13"/>
  <c r="AH410" i="13" s="1"/>
  <c r="X410" i="13"/>
  <c r="W410" i="13"/>
  <c r="V410" i="13"/>
  <c r="BB409" i="13"/>
  <c r="BA409" i="13"/>
  <c r="AZ409" i="13"/>
  <c r="AY409" i="13"/>
  <c r="AX409" i="13"/>
  <c r="AW409" i="13"/>
  <c r="AT409" i="13"/>
  <c r="AP409" i="13"/>
  <c r="AN409" i="13"/>
  <c r="BC409" i="13" s="1"/>
  <c r="AM409" i="13"/>
  <c r="AF409" i="13"/>
  <c r="AS409" i="13" s="1"/>
  <c r="AD409" i="13"/>
  <c r="AH409" i="13" s="1"/>
  <c r="X409" i="13"/>
  <c r="W409" i="13"/>
  <c r="V409" i="13"/>
  <c r="BB408" i="13"/>
  <c r="BA408" i="13"/>
  <c r="AZ408" i="13"/>
  <c r="AY408" i="13"/>
  <c r="AX408" i="13"/>
  <c r="AW408" i="13"/>
  <c r="AT408" i="13"/>
  <c r="AP408" i="13"/>
  <c r="AN408" i="13"/>
  <c r="AM408" i="13"/>
  <c r="AF408" i="13"/>
  <c r="AS408" i="13" s="1"/>
  <c r="AD408" i="13"/>
  <c r="AH408" i="13" s="1"/>
  <c r="X408" i="13"/>
  <c r="W408" i="13"/>
  <c r="V408" i="13"/>
  <c r="BB407" i="13"/>
  <c r="BA407" i="13"/>
  <c r="AZ407" i="13"/>
  <c r="AY407" i="13"/>
  <c r="AX407" i="13"/>
  <c r="AW407" i="13"/>
  <c r="AT407" i="13"/>
  <c r="AP407" i="13"/>
  <c r="AN407" i="13"/>
  <c r="BC407" i="13" s="1"/>
  <c r="AM407" i="13"/>
  <c r="AF407" i="13"/>
  <c r="AD407" i="13"/>
  <c r="AH407" i="13" s="1"/>
  <c r="X407" i="13"/>
  <c r="W407" i="13"/>
  <c r="V407" i="13"/>
  <c r="BB406" i="13"/>
  <c r="BA406" i="13"/>
  <c r="AZ406" i="13"/>
  <c r="AY406" i="13"/>
  <c r="AX406" i="13"/>
  <c r="AW406" i="13"/>
  <c r="AT406" i="13"/>
  <c r="AP406" i="13"/>
  <c r="AN406" i="13"/>
  <c r="BC406" i="13" s="1"/>
  <c r="AM406" i="13"/>
  <c r="AF406" i="13"/>
  <c r="AD406" i="13"/>
  <c r="AH406" i="13" s="1"/>
  <c r="X406" i="13"/>
  <c r="W406" i="13"/>
  <c r="V406" i="13"/>
  <c r="BB405" i="13"/>
  <c r="BA405" i="13"/>
  <c r="AZ405" i="13"/>
  <c r="AY405" i="13"/>
  <c r="AX405" i="13"/>
  <c r="AW405" i="13"/>
  <c r="AT405" i="13"/>
  <c r="AP405" i="13"/>
  <c r="AN405" i="13"/>
  <c r="BC405" i="13" s="1"/>
  <c r="AM405" i="13"/>
  <c r="AF405" i="13"/>
  <c r="AD405" i="13"/>
  <c r="AH405" i="13" s="1"/>
  <c r="X405" i="13"/>
  <c r="W405" i="13"/>
  <c r="V405" i="13"/>
  <c r="BB404" i="13"/>
  <c r="BA404" i="13"/>
  <c r="AZ404" i="13"/>
  <c r="AY404" i="13"/>
  <c r="AX404" i="13"/>
  <c r="AW404" i="13"/>
  <c r="AT404" i="13"/>
  <c r="AP404" i="13"/>
  <c r="AN404" i="13"/>
  <c r="AM404" i="13"/>
  <c r="AF404" i="13"/>
  <c r="AD404" i="13"/>
  <c r="AH404" i="13" s="1"/>
  <c r="X404" i="13"/>
  <c r="W404" i="13"/>
  <c r="V404" i="13"/>
  <c r="BB403" i="13"/>
  <c r="BA403" i="13"/>
  <c r="AZ403" i="13"/>
  <c r="AY403" i="13"/>
  <c r="AX403" i="13"/>
  <c r="AW403" i="13"/>
  <c r="AT403" i="13"/>
  <c r="AP403" i="13"/>
  <c r="AN403" i="13"/>
  <c r="BC403" i="13" s="1"/>
  <c r="AM403" i="13"/>
  <c r="AF403" i="13"/>
  <c r="AS403" i="13" s="1"/>
  <c r="AD403" i="13"/>
  <c r="AH403" i="13" s="1"/>
  <c r="X403" i="13"/>
  <c r="W403" i="13"/>
  <c r="V403" i="13"/>
  <c r="BB402" i="13"/>
  <c r="BA402" i="13"/>
  <c r="AZ402" i="13"/>
  <c r="AY402" i="13"/>
  <c r="AX402" i="13"/>
  <c r="AW402" i="13"/>
  <c r="AT402" i="13"/>
  <c r="AP402" i="13"/>
  <c r="AN402" i="13"/>
  <c r="BC402" i="13" s="1"/>
  <c r="AM402" i="13"/>
  <c r="AF402" i="13"/>
  <c r="AD402" i="13"/>
  <c r="AH402" i="13" s="1"/>
  <c r="X402" i="13"/>
  <c r="W402" i="13"/>
  <c r="V402" i="13"/>
  <c r="BB401" i="13"/>
  <c r="BA401" i="13"/>
  <c r="AZ401" i="13"/>
  <c r="AY401" i="13"/>
  <c r="AX401" i="13"/>
  <c r="AW401" i="13"/>
  <c r="AT401" i="13"/>
  <c r="AP401" i="13"/>
  <c r="AN401" i="13"/>
  <c r="BC401" i="13" s="1"/>
  <c r="AM401" i="13"/>
  <c r="AF401" i="13"/>
  <c r="AD401" i="13"/>
  <c r="AH401" i="13" s="1"/>
  <c r="X401" i="13"/>
  <c r="W401" i="13"/>
  <c r="V401" i="13"/>
  <c r="BB400" i="13"/>
  <c r="BA400" i="13"/>
  <c r="AZ400" i="13"/>
  <c r="AY400" i="13"/>
  <c r="AX400" i="13"/>
  <c r="AW400" i="13"/>
  <c r="AT400" i="13"/>
  <c r="AP400" i="13"/>
  <c r="AN400" i="13"/>
  <c r="BC400" i="13" s="1"/>
  <c r="AM400" i="13"/>
  <c r="AF400" i="13"/>
  <c r="AD400" i="13"/>
  <c r="AH400" i="13" s="1"/>
  <c r="X400" i="13"/>
  <c r="W400" i="13"/>
  <c r="V400" i="13"/>
  <c r="BB399" i="13"/>
  <c r="BA399" i="13"/>
  <c r="AZ399" i="13"/>
  <c r="AY399" i="13"/>
  <c r="AX399" i="13"/>
  <c r="AW399" i="13"/>
  <c r="AT399" i="13"/>
  <c r="AP399" i="13"/>
  <c r="AN399" i="13"/>
  <c r="BC399" i="13" s="1"/>
  <c r="AM399" i="13"/>
  <c r="AF399" i="13"/>
  <c r="AS399" i="13" s="1"/>
  <c r="AD399" i="13"/>
  <c r="AH399" i="13" s="1"/>
  <c r="X399" i="13"/>
  <c r="W399" i="13"/>
  <c r="V399" i="13"/>
  <c r="BB398" i="13"/>
  <c r="BA398" i="13"/>
  <c r="AZ398" i="13"/>
  <c r="AY398" i="13"/>
  <c r="AX398" i="13"/>
  <c r="AW398" i="13"/>
  <c r="AT398" i="13"/>
  <c r="AP398" i="13"/>
  <c r="AN398" i="13"/>
  <c r="BC398" i="13" s="1"/>
  <c r="AM398" i="13"/>
  <c r="AF398" i="13"/>
  <c r="AS398" i="13" s="1"/>
  <c r="AD398" i="13"/>
  <c r="AH398" i="13" s="1"/>
  <c r="X398" i="13"/>
  <c r="W398" i="13"/>
  <c r="V398" i="13"/>
  <c r="BB397" i="13"/>
  <c r="BA397" i="13"/>
  <c r="AZ397" i="13"/>
  <c r="AY397" i="13"/>
  <c r="AX397" i="13"/>
  <c r="AW397" i="13"/>
  <c r="AT397" i="13"/>
  <c r="AP397" i="13"/>
  <c r="AN397" i="13"/>
  <c r="BC397" i="13" s="1"/>
  <c r="AM397" i="13"/>
  <c r="AF397" i="13"/>
  <c r="AD397" i="13"/>
  <c r="AH397" i="13" s="1"/>
  <c r="X397" i="13"/>
  <c r="W397" i="13"/>
  <c r="V397" i="13"/>
  <c r="BB396" i="13"/>
  <c r="BA396" i="13"/>
  <c r="AZ396" i="13"/>
  <c r="AY396" i="13"/>
  <c r="AX396" i="13"/>
  <c r="AW396" i="13"/>
  <c r="AT396" i="13"/>
  <c r="AP396" i="13"/>
  <c r="AN396" i="13"/>
  <c r="BC396" i="13" s="1"/>
  <c r="AM396" i="13"/>
  <c r="AF396" i="13"/>
  <c r="AI396" i="13" s="1"/>
  <c r="AD396" i="13"/>
  <c r="AH396" i="13" s="1"/>
  <c r="X396" i="13"/>
  <c r="W396" i="13"/>
  <c r="V396" i="13"/>
  <c r="BB395" i="13"/>
  <c r="BA395" i="13"/>
  <c r="AZ395" i="13"/>
  <c r="AY395" i="13"/>
  <c r="AX395" i="13"/>
  <c r="AW395" i="13"/>
  <c r="AT395" i="13"/>
  <c r="AP395" i="13"/>
  <c r="AN395" i="13"/>
  <c r="BC395" i="13" s="1"/>
  <c r="AM395" i="13"/>
  <c r="AF395" i="13"/>
  <c r="AS395" i="13" s="1"/>
  <c r="AD395" i="13"/>
  <c r="AH395" i="13" s="1"/>
  <c r="X395" i="13"/>
  <c r="W395" i="13"/>
  <c r="V395" i="13"/>
  <c r="BB394" i="13"/>
  <c r="BA394" i="13"/>
  <c r="AZ394" i="13"/>
  <c r="AY394" i="13"/>
  <c r="AX394" i="13"/>
  <c r="AW394" i="13"/>
  <c r="AT394" i="13"/>
  <c r="AP394" i="13"/>
  <c r="AN394" i="13"/>
  <c r="BC394" i="13" s="1"/>
  <c r="AM394" i="13"/>
  <c r="AF394" i="13"/>
  <c r="AI394" i="13" s="1"/>
  <c r="AD394" i="13"/>
  <c r="AH394" i="13" s="1"/>
  <c r="X394" i="13"/>
  <c r="W394" i="13"/>
  <c r="V394" i="13"/>
  <c r="BB393" i="13"/>
  <c r="BA393" i="13"/>
  <c r="AZ393" i="13"/>
  <c r="AY393" i="13"/>
  <c r="AX393" i="13"/>
  <c r="AW393" i="13"/>
  <c r="AT393" i="13"/>
  <c r="AP393" i="13"/>
  <c r="AN393" i="13"/>
  <c r="BC393" i="13" s="1"/>
  <c r="AM393" i="13"/>
  <c r="AF393" i="13"/>
  <c r="AS393" i="13" s="1"/>
  <c r="AD393" i="13"/>
  <c r="AH393" i="13" s="1"/>
  <c r="X393" i="13"/>
  <c r="W393" i="13"/>
  <c r="V393" i="13"/>
  <c r="BB392" i="13"/>
  <c r="BA392" i="13"/>
  <c r="AZ392" i="13"/>
  <c r="AY392" i="13"/>
  <c r="AX392" i="13"/>
  <c r="AW392" i="13"/>
  <c r="AT392" i="13"/>
  <c r="AP392" i="13"/>
  <c r="AN392" i="13"/>
  <c r="BC392" i="13" s="1"/>
  <c r="AM392" i="13"/>
  <c r="AF392" i="13"/>
  <c r="Z392" i="13" s="1"/>
  <c r="AD392" i="13"/>
  <c r="AH392" i="13" s="1"/>
  <c r="X392" i="13"/>
  <c r="W392" i="13"/>
  <c r="V392" i="13"/>
  <c r="BB391" i="13"/>
  <c r="BA391" i="13"/>
  <c r="AZ391" i="13"/>
  <c r="AY391" i="13"/>
  <c r="AX391" i="13"/>
  <c r="AW391" i="13"/>
  <c r="AT391" i="13"/>
  <c r="AP391" i="13"/>
  <c r="AN391" i="13"/>
  <c r="BC391" i="13" s="1"/>
  <c r="AM391" i="13"/>
  <c r="AF391" i="13"/>
  <c r="AS391" i="13" s="1"/>
  <c r="AD391" i="13"/>
  <c r="AH391" i="13" s="1"/>
  <c r="X391" i="13"/>
  <c r="W391" i="13"/>
  <c r="V391" i="13"/>
  <c r="BB390" i="13"/>
  <c r="BA390" i="13"/>
  <c r="AZ390" i="13"/>
  <c r="AY390" i="13"/>
  <c r="AX390" i="13"/>
  <c r="AW390" i="13"/>
  <c r="AT390" i="13"/>
  <c r="AP390" i="13"/>
  <c r="AN390" i="13"/>
  <c r="BC390" i="13" s="1"/>
  <c r="AM390" i="13"/>
  <c r="AF390" i="13"/>
  <c r="AI390" i="13" s="1"/>
  <c r="AD390" i="13"/>
  <c r="AH390" i="13" s="1"/>
  <c r="X390" i="13"/>
  <c r="W390" i="13"/>
  <c r="V390" i="13"/>
  <c r="BB389" i="13"/>
  <c r="BA389" i="13"/>
  <c r="AZ389" i="13"/>
  <c r="AY389" i="13"/>
  <c r="AX389" i="13"/>
  <c r="AW389" i="13"/>
  <c r="AT389" i="13"/>
  <c r="AP389" i="13"/>
  <c r="AN389" i="13"/>
  <c r="BC389" i="13" s="1"/>
  <c r="AM389" i="13"/>
  <c r="AF389" i="13"/>
  <c r="Z389" i="13" s="1"/>
  <c r="AD389" i="13"/>
  <c r="AH389" i="13" s="1"/>
  <c r="X389" i="13"/>
  <c r="W389" i="13"/>
  <c r="V389" i="13"/>
  <c r="BB388" i="13"/>
  <c r="BA388" i="13"/>
  <c r="AZ388" i="13"/>
  <c r="AY388" i="13"/>
  <c r="AX388" i="13"/>
  <c r="AW388" i="13"/>
  <c r="AT388" i="13"/>
  <c r="AP388" i="13"/>
  <c r="AN388" i="13"/>
  <c r="BC388" i="13" s="1"/>
  <c r="AM388" i="13"/>
  <c r="AF388" i="13"/>
  <c r="Y388" i="13" s="1"/>
  <c r="AD388" i="13"/>
  <c r="AH388" i="13" s="1"/>
  <c r="X388" i="13"/>
  <c r="W388" i="13"/>
  <c r="V388" i="13"/>
  <c r="BB387" i="13"/>
  <c r="BA387" i="13"/>
  <c r="AZ387" i="13"/>
  <c r="AY387" i="13"/>
  <c r="AX387" i="13"/>
  <c r="AW387" i="13"/>
  <c r="AT387" i="13"/>
  <c r="AP387" i="13"/>
  <c r="AN387" i="13"/>
  <c r="BC387" i="13" s="1"/>
  <c r="AM387" i="13"/>
  <c r="AF387" i="13"/>
  <c r="AI387" i="13" s="1"/>
  <c r="AD387" i="13"/>
  <c r="AH387" i="13" s="1"/>
  <c r="X387" i="13"/>
  <c r="W387" i="13"/>
  <c r="V387" i="13"/>
  <c r="BB386" i="13"/>
  <c r="BA386" i="13"/>
  <c r="AZ386" i="13"/>
  <c r="AY386" i="13"/>
  <c r="AX386" i="13"/>
  <c r="AW386" i="13"/>
  <c r="AT386" i="13"/>
  <c r="AP386" i="13"/>
  <c r="AN386" i="13"/>
  <c r="BC386" i="13" s="1"/>
  <c r="AM386" i="13"/>
  <c r="AF386" i="13"/>
  <c r="AD386" i="13"/>
  <c r="AH386" i="13" s="1"/>
  <c r="X386" i="13"/>
  <c r="W386" i="13"/>
  <c r="V386" i="13"/>
  <c r="BB385" i="13"/>
  <c r="BA385" i="13"/>
  <c r="AZ385" i="13"/>
  <c r="AY385" i="13"/>
  <c r="AX385" i="13"/>
  <c r="AW385" i="13"/>
  <c r="AT385" i="13"/>
  <c r="AP385" i="13"/>
  <c r="AN385" i="13"/>
  <c r="BC385" i="13" s="1"/>
  <c r="AM385" i="13"/>
  <c r="AF385" i="13"/>
  <c r="Z385" i="13" s="1"/>
  <c r="AD385" i="13"/>
  <c r="AH385" i="13" s="1"/>
  <c r="X385" i="13"/>
  <c r="W385" i="13"/>
  <c r="V385" i="13"/>
  <c r="BB384" i="13"/>
  <c r="BA384" i="13"/>
  <c r="AZ384" i="13"/>
  <c r="AY384" i="13"/>
  <c r="AX384" i="13"/>
  <c r="AW384" i="13"/>
  <c r="AT384" i="13"/>
  <c r="AP384" i="13"/>
  <c r="AN384" i="13"/>
  <c r="BC384" i="13" s="1"/>
  <c r="AM384" i="13"/>
  <c r="AF384" i="13"/>
  <c r="AS384" i="13" s="1"/>
  <c r="AD384" i="13"/>
  <c r="AH384" i="13" s="1"/>
  <c r="X384" i="13"/>
  <c r="W384" i="13"/>
  <c r="V384" i="13"/>
  <c r="BB383" i="13"/>
  <c r="BA383" i="13"/>
  <c r="AZ383" i="13"/>
  <c r="AY383" i="13"/>
  <c r="AX383" i="13"/>
  <c r="AW383" i="13"/>
  <c r="AT383" i="13"/>
  <c r="AP383" i="13"/>
  <c r="AN383" i="13"/>
  <c r="BC383" i="13" s="1"/>
  <c r="AM383" i="13"/>
  <c r="AF383" i="13"/>
  <c r="AI383" i="13" s="1"/>
  <c r="AD383" i="13"/>
  <c r="AH383" i="13" s="1"/>
  <c r="X383" i="13"/>
  <c r="W383" i="13"/>
  <c r="V383" i="13"/>
  <c r="BB382" i="13"/>
  <c r="BA382" i="13"/>
  <c r="AZ382" i="13"/>
  <c r="AY382" i="13"/>
  <c r="AX382" i="13"/>
  <c r="AW382" i="13"/>
  <c r="AT382" i="13"/>
  <c r="AP382" i="13"/>
  <c r="AO382" i="13"/>
  <c r="AN382" i="13"/>
  <c r="BC382" i="13" s="1"/>
  <c r="AM382" i="13"/>
  <c r="AF382" i="13"/>
  <c r="AS382" i="13" s="1"/>
  <c r="AD382" i="13"/>
  <c r="AH382" i="13" s="1"/>
  <c r="X382" i="13"/>
  <c r="W382" i="13"/>
  <c r="V382" i="13"/>
  <c r="BB381" i="13"/>
  <c r="BA381" i="13"/>
  <c r="AZ381" i="13"/>
  <c r="AY381" i="13"/>
  <c r="AX381" i="13"/>
  <c r="AW381" i="13"/>
  <c r="AT381" i="13"/>
  <c r="AP381" i="13"/>
  <c r="AN381" i="13"/>
  <c r="BC381" i="13" s="1"/>
  <c r="AM381" i="13"/>
  <c r="AF381" i="13"/>
  <c r="Z381" i="13" s="1"/>
  <c r="AD381" i="13"/>
  <c r="AH381" i="13" s="1"/>
  <c r="X381" i="13"/>
  <c r="W381" i="13"/>
  <c r="V381" i="13"/>
  <c r="BB380" i="13"/>
  <c r="BA380" i="13"/>
  <c r="AZ380" i="13"/>
  <c r="AY380" i="13"/>
  <c r="AX380" i="13"/>
  <c r="AW380" i="13"/>
  <c r="AT380" i="13"/>
  <c r="AP380" i="13"/>
  <c r="AN380" i="13"/>
  <c r="BC380" i="13" s="1"/>
  <c r="AM380" i="13"/>
  <c r="AF380" i="13"/>
  <c r="AS380" i="13" s="1"/>
  <c r="AD380" i="13"/>
  <c r="AH380" i="13" s="1"/>
  <c r="X380" i="13"/>
  <c r="W380" i="13"/>
  <c r="V380" i="13"/>
  <c r="BB379" i="13"/>
  <c r="BA379" i="13"/>
  <c r="AZ379" i="13"/>
  <c r="AY379" i="13"/>
  <c r="AX379" i="13"/>
  <c r="AW379" i="13"/>
  <c r="AT379" i="13"/>
  <c r="AP379" i="13"/>
  <c r="AN379" i="13"/>
  <c r="BC379" i="13" s="1"/>
  <c r="AM379" i="13"/>
  <c r="AF379" i="13"/>
  <c r="AD379" i="13"/>
  <c r="AH379" i="13" s="1"/>
  <c r="X379" i="13"/>
  <c r="W379" i="13"/>
  <c r="V379" i="13"/>
  <c r="BB378" i="13"/>
  <c r="BA378" i="13"/>
  <c r="AZ378" i="13"/>
  <c r="AY378" i="13"/>
  <c r="AX378" i="13"/>
  <c r="AW378" i="13"/>
  <c r="AT378" i="13"/>
  <c r="AP378" i="13"/>
  <c r="AN378" i="13"/>
  <c r="BC378" i="13" s="1"/>
  <c r="AM378" i="13"/>
  <c r="AF378" i="13"/>
  <c r="AS378" i="13" s="1"/>
  <c r="AD378" i="13"/>
  <c r="AH378" i="13" s="1"/>
  <c r="X378" i="13"/>
  <c r="W378" i="13"/>
  <c r="V378" i="13"/>
  <c r="BB377" i="13"/>
  <c r="BA377" i="13"/>
  <c r="AZ377" i="13"/>
  <c r="AY377" i="13"/>
  <c r="AX377" i="13"/>
  <c r="AW377" i="13"/>
  <c r="AT377" i="13"/>
  <c r="AP377" i="13"/>
  <c r="AN377" i="13"/>
  <c r="BC377" i="13" s="1"/>
  <c r="AM377" i="13"/>
  <c r="AF377" i="13"/>
  <c r="Z377" i="13" s="1"/>
  <c r="AD377" i="13"/>
  <c r="AH377" i="13" s="1"/>
  <c r="X377" i="13"/>
  <c r="W377" i="13"/>
  <c r="V377" i="13"/>
  <c r="BB376" i="13"/>
  <c r="BA376" i="13"/>
  <c r="AZ376" i="13"/>
  <c r="AY376" i="13"/>
  <c r="AX376" i="13"/>
  <c r="AW376" i="13"/>
  <c r="AT376" i="13"/>
  <c r="AP376" i="13"/>
  <c r="AN376" i="13"/>
  <c r="BC376" i="13" s="1"/>
  <c r="AM376" i="13"/>
  <c r="AF376" i="13"/>
  <c r="AD376" i="13"/>
  <c r="AH376" i="13" s="1"/>
  <c r="X376" i="13"/>
  <c r="W376" i="13"/>
  <c r="V376" i="13"/>
  <c r="BB375" i="13"/>
  <c r="BA375" i="13"/>
  <c r="AZ375" i="13"/>
  <c r="AY375" i="13"/>
  <c r="AX375" i="13"/>
  <c r="AW375" i="13"/>
  <c r="AT375" i="13"/>
  <c r="AP375" i="13"/>
  <c r="AN375" i="13"/>
  <c r="BC375" i="13" s="1"/>
  <c r="AM375" i="13"/>
  <c r="AF375" i="13"/>
  <c r="AD375" i="13"/>
  <c r="AH375" i="13" s="1"/>
  <c r="X375" i="13"/>
  <c r="W375" i="13"/>
  <c r="V375" i="13"/>
  <c r="BB374" i="13"/>
  <c r="BA374" i="13"/>
  <c r="AZ374" i="13"/>
  <c r="AY374" i="13"/>
  <c r="AX374" i="13"/>
  <c r="AW374" i="13"/>
  <c r="AT374" i="13"/>
  <c r="AP374" i="13"/>
  <c r="AN374" i="13"/>
  <c r="BC374" i="13" s="1"/>
  <c r="AM374" i="13"/>
  <c r="AF374" i="13"/>
  <c r="AS374" i="13" s="1"/>
  <c r="AD374" i="13"/>
  <c r="AH374" i="13" s="1"/>
  <c r="X374" i="13"/>
  <c r="W374" i="13"/>
  <c r="V374" i="13"/>
  <c r="BB373" i="13"/>
  <c r="BA373" i="13"/>
  <c r="AZ373" i="13"/>
  <c r="AY373" i="13"/>
  <c r="AX373" i="13"/>
  <c r="AW373" i="13"/>
  <c r="AT373" i="13"/>
  <c r="AP373" i="13"/>
  <c r="AN373" i="13"/>
  <c r="BC373" i="13" s="1"/>
  <c r="AM373" i="13"/>
  <c r="AF373" i="13"/>
  <c r="Z373" i="13" s="1"/>
  <c r="AD373" i="13"/>
  <c r="AH373" i="13" s="1"/>
  <c r="X373" i="13"/>
  <c r="W373" i="13"/>
  <c r="V373" i="13"/>
  <c r="BB372" i="13"/>
  <c r="BA372" i="13"/>
  <c r="AZ372" i="13"/>
  <c r="AY372" i="13"/>
  <c r="AX372" i="13"/>
  <c r="AW372" i="13"/>
  <c r="AT372" i="13"/>
  <c r="AP372" i="13"/>
  <c r="AO372" i="13"/>
  <c r="AN372" i="13"/>
  <c r="BC372" i="13" s="1"/>
  <c r="AM372" i="13"/>
  <c r="AF372" i="13"/>
  <c r="Y372" i="13" s="1"/>
  <c r="AD372" i="13"/>
  <c r="AH372" i="13" s="1"/>
  <c r="X372" i="13"/>
  <c r="W372" i="13"/>
  <c r="V372" i="13"/>
  <c r="BB371" i="13"/>
  <c r="BA371" i="13"/>
  <c r="AZ371" i="13"/>
  <c r="AY371" i="13"/>
  <c r="AX371" i="13"/>
  <c r="AW371" i="13"/>
  <c r="AT371" i="13"/>
  <c r="AP371" i="13"/>
  <c r="AO371" i="13"/>
  <c r="AN371" i="13"/>
  <c r="BC371" i="13" s="1"/>
  <c r="AM371" i="13"/>
  <c r="AF371" i="13"/>
  <c r="AD371" i="13"/>
  <c r="AH371" i="13" s="1"/>
  <c r="X371" i="13"/>
  <c r="W371" i="13"/>
  <c r="V371" i="13"/>
  <c r="BB370" i="13"/>
  <c r="BA370" i="13"/>
  <c r="AZ370" i="13"/>
  <c r="AY370" i="13"/>
  <c r="AX370" i="13"/>
  <c r="AW370" i="13"/>
  <c r="AT370" i="13"/>
  <c r="AP370" i="13"/>
  <c r="AO370" i="13"/>
  <c r="AN370" i="13"/>
  <c r="BC370" i="13" s="1"/>
  <c r="AM370" i="13"/>
  <c r="AF370" i="13"/>
  <c r="Y370" i="13" s="1"/>
  <c r="AD370" i="13"/>
  <c r="AH370" i="13" s="1"/>
  <c r="X370" i="13"/>
  <c r="W370" i="13"/>
  <c r="V370" i="13"/>
  <c r="BB369" i="13"/>
  <c r="BA369" i="13"/>
  <c r="AZ369" i="13"/>
  <c r="AY369" i="13"/>
  <c r="AX369" i="13"/>
  <c r="AW369" i="13"/>
  <c r="AT369" i="13"/>
  <c r="AP369" i="13"/>
  <c r="AO369" i="13"/>
  <c r="AN369" i="13"/>
  <c r="BC369" i="13" s="1"/>
  <c r="AM369" i="13"/>
  <c r="AF369" i="13"/>
  <c r="AS369" i="13" s="1"/>
  <c r="AD369" i="13"/>
  <c r="AH369" i="13" s="1"/>
  <c r="X369" i="13"/>
  <c r="W369" i="13"/>
  <c r="V369" i="13"/>
  <c r="BB368" i="13"/>
  <c r="BA368" i="13"/>
  <c r="AZ368" i="13"/>
  <c r="AY368" i="13"/>
  <c r="AX368" i="13"/>
  <c r="AW368" i="13"/>
  <c r="AT368" i="13"/>
  <c r="AP368" i="13"/>
  <c r="AO368" i="13"/>
  <c r="AN368" i="13"/>
  <c r="BC368" i="13" s="1"/>
  <c r="AM368" i="13"/>
  <c r="AF368" i="13"/>
  <c r="AI368" i="13" s="1"/>
  <c r="AD368" i="13"/>
  <c r="AH368" i="13" s="1"/>
  <c r="X368" i="13"/>
  <c r="W368" i="13"/>
  <c r="V368" i="13"/>
  <c r="BB367" i="13"/>
  <c r="BA367" i="13"/>
  <c r="AZ367" i="13"/>
  <c r="AY367" i="13"/>
  <c r="AX367" i="13"/>
  <c r="AW367" i="13"/>
  <c r="AT367" i="13"/>
  <c r="AP367" i="13"/>
  <c r="AN367" i="13"/>
  <c r="BC367" i="13" s="1"/>
  <c r="AM367" i="13"/>
  <c r="AF367" i="13"/>
  <c r="AD367" i="13"/>
  <c r="AH367" i="13" s="1"/>
  <c r="X367" i="13"/>
  <c r="W367" i="13"/>
  <c r="V367" i="13"/>
  <c r="BB366" i="13"/>
  <c r="BA366" i="13"/>
  <c r="AZ366" i="13"/>
  <c r="AY366" i="13"/>
  <c r="AX366" i="13"/>
  <c r="AW366" i="13"/>
  <c r="AT366" i="13"/>
  <c r="AP366" i="13"/>
  <c r="AO366" i="13"/>
  <c r="AN366" i="13"/>
  <c r="BC366" i="13" s="1"/>
  <c r="AM366" i="13"/>
  <c r="AF366" i="13"/>
  <c r="AS366" i="13" s="1"/>
  <c r="AD366" i="13"/>
  <c r="AH366" i="13" s="1"/>
  <c r="X366" i="13"/>
  <c r="W366" i="13"/>
  <c r="V366" i="13"/>
  <c r="BB365" i="13"/>
  <c r="BA365" i="13"/>
  <c r="AZ365" i="13"/>
  <c r="AY365" i="13"/>
  <c r="AX365" i="13"/>
  <c r="AW365" i="13"/>
  <c r="AT365" i="13"/>
  <c r="AP365" i="13"/>
  <c r="AO365" i="13"/>
  <c r="AN365" i="13"/>
  <c r="BC365" i="13" s="1"/>
  <c r="AM365" i="13"/>
  <c r="AF365" i="13"/>
  <c r="AS365" i="13" s="1"/>
  <c r="AD365" i="13"/>
  <c r="AH365" i="13" s="1"/>
  <c r="X365" i="13"/>
  <c r="W365" i="13"/>
  <c r="V365" i="13"/>
  <c r="BB364" i="13"/>
  <c r="BA364" i="13"/>
  <c r="AZ364" i="13"/>
  <c r="AY364" i="13"/>
  <c r="AX364" i="13"/>
  <c r="AW364" i="13"/>
  <c r="AT364" i="13"/>
  <c r="AP364" i="13"/>
  <c r="AO364" i="13"/>
  <c r="AN364" i="13"/>
  <c r="BC364" i="13" s="1"/>
  <c r="AM364" i="13"/>
  <c r="AF364" i="13"/>
  <c r="Y364" i="13" s="1"/>
  <c r="AD364" i="13"/>
  <c r="AH364" i="13" s="1"/>
  <c r="X364" i="13"/>
  <c r="W364" i="13"/>
  <c r="V364" i="13"/>
  <c r="BB363" i="13"/>
  <c r="BA363" i="13"/>
  <c r="AZ363" i="13"/>
  <c r="AY363" i="13"/>
  <c r="AX363" i="13"/>
  <c r="AW363" i="13"/>
  <c r="AT363" i="13"/>
  <c r="AP363" i="13"/>
  <c r="AO363" i="13"/>
  <c r="AN363" i="13"/>
  <c r="BC363" i="13" s="1"/>
  <c r="AM363" i="13"/>
  <c r="AF363" i="13"/>
  <c r="AI363" i="13" s="1"/>
  <c r="AD363" i="13"/>
  <c r="X363" i="13"/>
  <c r="W363" i="13"/>
  <c r="V363" i="13"/>
  <c r="BB362" i="13"/>
  <c r="BA362" i="13"/>
  <c r="AZ362" i="13"/>
  <c r="AY362" i="13"/>
  <c r="AX362" i="13"/>
  <c r="AW362" i="13"/>
  <c r="AT362" i="13"/>
  <c r="AP362" i="13"/>
  <c r="AO362" i="13"/>
  <c r="AN362" i="13"/>
  <c r="BC362" i="13" s="1"/>
  <c r="AM362" i="13"/>
  <c r="AF362" i="13"/>
  <c r="AS362" i="13" s="1"/>
  <c r="AD362" i="13"/>
  <c r="AH362" i="13" s="1"/>
  <c r="X362" i="13"/>
  <c r="W362" i="13"/>
  <c r="V362" i="13"/>
  <c r="BB361" i="13"/>
  <c r="BA361" i="13"/>
  <c r="AZ361" i="13"/>
  <c r="AY361" i="13"/>
  <c r="AX361" i="13"/>
  <c r="AW361" i="13"/>
  <c r="AT361" i="13"/>
  <c r="AP361" i="13"/>
  <c r="AO361" i="13"/>
  <c r="AN361" i="13"/>
  <c r="BC361" i="13" s="1"/>
  <c r="AM361" i="13"/>
  <c r="AF361" i="13"/>
  <c r="AD361" i="13"/>
  <c r="AH361" i="13" s="1"/>
  <c r="X361" i="13"/>
  <c r="W361" i="13"/>
  <c r="V361" i="13"/>
  <c r="BB360" i="13"/>
  <c r="BA360" i="13"/>
  <c r="AZ360" i="13"/>
  <c r="AY360" i="13"/>
  <c r="AX360" i="13"/>
  <c r="AW360" i="13"/>
  <c r="AT360" i="13"/>
  <c r="AP360" i="13"/>
  <c r="AO360" i="13"/>
  <c r="AN360" i="13"/>
  <c r="BC360" i="13" s="1"/>
  <c r="AM360" i="13"/>
  <c r="AF360" i="13"/>
  <c r="AI360" i="13" s="1"/>
  <c r="AD360" i="13"/>
  <c r="AH360" i="13" s="1"/>
  <c r="X360" i="13"/>
  <c r="W360" i="13"/>
  <c r="V360" i="13"/>
  <c r="BB359" i="13"/>
  <c r="BA359" i="13"/>
  <c r="AZ359" i="13"/>
  <c r="AY359" i="13"/>
  <c r="AX359" i="13"/>
  <c r="AW359" i="13"/>
  <c r="AT359" i="13"/>
  <c r="AP359" i="13"/>
  <c r="AO359" i="13"/>
  <c r="AN359" i="13"/>
  <c r="BC359" i="13" s="1"/>
  <c r="AM359" i="13"/>
  <c r="AF359" i="13"/>
  <c r="AS359" i="13" s="1"/>
  <c r="AD359" i="13"/>
  <c r="AH359" i="13" s="1"/>
  <c r="X359" i="13"/>
  <c r="W359" i="13"/>
  <c r="V359" i="13"/>
  <c r="BB358" i="13"/>
  <c r="BA358" i="13"/>
  <c r="AZ358" i="13"/>
  <c r="AY358" i="13"/>
  <c r="AX358" i="13"/>
  <c r="AW358" i="13"/>
  <c r="AT358" i="13"/>
  <c r="AP358" i="13"/>
  <c r="AO358" i="13"/>
  <c r="AN358" i="13"/>
  <c r="BC358" i="13" s="1"/>
  <c r="AM358" i="13"/>
  <c r="AF358" i="13"/>
  <c r="AD358" i="13"/>
  <c r="AH358" i="13" s="1"/>
  <c r="X358" i="13"/>
  <c r="W358" i="13"/>
  <c r="V358" i="13"/>
  <c r="BB357" i="13"/>
  <c r="BA357" i="13"/>
  <c r="AZ357" i="13"/>
  <c r="AY357" i="13"/>
  <c r="AX357" i="13"/>
  <c r="AW357" i="13"/>
  <c r="AT357" i="13"/>
  <c r="AP357" i="13"/>
  <c r="AO357" i="13"/>
  <c r="AN357" i="13"/>
  <c r="BC357" i="13" s="1"/>
  <c r="AM357" i="13"/>
  <c r="AF357" i="13"/>
  <c r="AS357" i="13" s="1"/>
  <c r="AD357" i="13"/>
  <c r="AH357" i="13" s="1"/>
  <c r="X357" i="13"/>
  <c r="W357" i="13"/>
  <c r="V357" i="13"/>
  <c r="BB356" i="13"/>
  <c r="BA356" i="13"/>
  <c r="AZ356" i="13"/>
  <c r="AY356" i="13"/>
  <c r="AX356" i="13"/>
  <c r="AW356" i="13"/>
  <c r="AT356" i="13"/>
  <c r="AP356" i="13"/>
  <c r="AO356" i="13"/>
  <c r="AN356" i="13"/>
  <c r="BC356" i="13" s="1"/>
  <c r="AM356" i="13"/>
  <c r="AF356" i="13"/>
  <c r="AD356" i="13"/>
  <c r="AH356" i="13" s="1"/>
  <c r="X356" i="13"/>
  <c r="W356" i="13"/>
  <c r="V356" i="13"/>
  <c r="BB355" i="13"/>
  <c r="BA355" i="13"/>
  <c r="AZ355" i="13"/>
  <c r="AY355" i="13"/>
  <c r="AX355" i="13"/>
  <c r="AW355" i="13"/>
  <c r="AT355" i="13"/>
  <c r="AP355" i="13"/>
  <c r="AO355" i="13"/>
  <c r="AN355" i="13"/>
  <c r="BC355" i="13" s="1"/>
  <c r="AM355" i="13"/>
  <c r="AF355" i="13"/>
  <c r="Y355" i="13" s="1"/>
  <c r="AD355" i="13"/>
  <c r="AH355" i="13" s="1"/>
  <c r="X355" i="13"/>
  <c r="W355" i="13"/>
  <c r="V355" i="13"/>
  <c r="BB354" i="13"/>
  <c r="BA354" i="13"/>
  <c r="AZ354" i="13"/>
  <c r="AY354" i="13"/>
  <c r="AX354" i="13"/>
  <c r="AW354" i="13"/>
  <c r="AT354" i="13"/>
  <c r="AP354" i="13"/>
  <c r="AO354" i="13"/>
  <c r="AN354" i="13"/>
  <c r="BC354" i="13" s="1"/>
  <c r="AM354" i="13"/>
  <c r="AF354" i="13"/>
  <c r="AS354" i="13" s="1"/>
  <c r="AD354" i="13"/>
  <c r="AH354" i="13" s="1"/>
  <c r="X354" i="13"/>
  <c r="W354" i="13"/>
  <c r="V354" i="13"/>
  <c r="BB353" i="13"/>
  <c r="BA353" i="13"/>
  <c r="AZ353" i="13"/>
  <c r="AY353" i="13"/>
  <c r="AX353" i="13"/>
  <c r="AW353" i="13"/>
  <c r="AT353" i="13"/>
  <c r="AP353" i="13"/>
  <c r="AO353" i="13"/>
  <c r="AN353" i="13"/>
  <c r="BC353" i="13" s="1"/>
  <c r="AM353" i="13"/>
  <c r="AF353" i="13"/>
  <c r="Y353" i="13" s="1"/>
  <c r="AD353" i="13"/>
  <c r="AH353" i="13" s="1"/>
  <c r="X353" i="13"/>
  <c r="W353" i="13"/>
  <c r="V353" i="13"/>
  <c r="BB352" i="13"/>
  <c r="BA352" i="13"/>
  <c r="AZ352" i="13"/>
  <c r="AY352" i="13"/>
  <c r="AX352" i="13"/>
  <c r="AW352" i="13"/>
  <c r="AT352" i="13"/>
  <c r="AP352" i="13"/>
  <c r="AO352" i="13"/>
  <c r="AN352" i="13"/>
  <c r="BC352" i="13" s="1"/>
  <c r="AM352" i="13"/>
  <c r="AF352" i="13"/>
  <c r="AI352" i="13" s="1"/>
  <c r="AD352" i="13"/>
  <c r="AH352" i="13" s="1"/>
  <c r="X352" i="13"/>
  <c r="W352" i="13"/>
  <c r="V352" i="13"/>
  <c r="BB351" i="13"/>
  <c r="BA351" i="13"/>
  <c r="AZ351" i="13"/>
  <c r="AY351" i="13"/>
  <c r="AX351" i="13"/>
  <c r="AW351" i="13"/>
  <c r="AT351" i="13"/>
  <c r="AP351" i="13"/>
  <c r="AO351" i="13"/>
  <c r="AN351" i="13"/>
  <c r="BC351" i="13" s="1"/>
  <c r="AM351" i="13"/>
  <c r="AF351" i="13"/>
  <c r="AD351" i="13"/>
  <c r="AH351" i="13" s="1"/>
  <c r="X351" i="13"/>
  <c r="W351" i="13"/>
  <c r="V351" i="13"/>
  <c r="BB350" i="13"/>
  <c r="BA350" i="13"/>
  <c r="AZ350" i="13"/>
  <c r="AY350" i="13"/>
  <c r="AX350" i="13"/>
  <c r="AW350" i="13"/>
  <c r="AT350" i="13"/>
  <c r="AP350" i="13"/>
  <c r="AO350" i="13"/>
  <c r="AN350" i="13"/>
  <c r="BC350" i="13" s="1"/>
  <c r="AM350" i="13"/>
  <c r="AF350" i="13"/>
  <c r="Y350" i="13" s="1"/>
  <c r="AD350" i="13"/>
  <c r="AH350" i="13" s="1"/>
  <c r="X350" i="13"/>
  <c r="W350" i="13"/>
  <c r="V350" i="13"/>
  <c r="BB349" i="13"/>
  <c r="BA349" i="13"/>
  <c r="AZ349" i="13"/>
  <c r="AY349" i="13"/>
  <c r="AX349" i="13"/>
  <c r="AW349" i="13"/>
  <c r="AT349" i="13"/>
  <c r="AP349" i="13"/>
  <c r="AO349" i="13"/>
  <c r="AN349" i="13"/>
  <c r="BC349" i="13" s="1"/>
  <c r="AM349" i="13"/>
  <c r="AF349" i="13"/>
  <c r="AD349" i="13"/>
  <c r="AH349" i="13" s="1"/>
  <c r="X349" i="13"/>
  <c r="W349" i="13"/>
  <c r="V349" i="13"/>
  <c r="BB348" i="13"/>
  <c r="BA348" i="13"/>
  <c r="AZ348" i="13"/>
  <c r="AY348" i="13"/>
  <c r="AX348" i="13"/>
  <c r="AW348" i="13"/>
  <c r="AT348" i="13"/>
  <c r="AP348" i="13"/>
  <c r="AO348" i="13"/>
  <c r="AN348" i="13"/>
  <c r="AM348" i="13"/>
  <c r="AF348" i="13"/>
  <c r="AS348" i="13" s="1"/>
  <c r="AD348" i="13"/>
  <c r="AH348" i="13" s="1"/>
  <c r="X348" i="13"/>
  <c r="W348" i="13"/>
  <c r="V348" i="13"/>
  <c r="BB347" i="13"/>
  <c r="BA347" i="13"/>
  <c r="AZ347" i="13"/>
  <c r="AY347" i="13"/>
  <c r="AX347" i="13"/>
  <c r="AW347" i="13"/>
  <c r="AT347" i="13"/>
  <c r="AP347" i="13"/>
  <c r="AO347" i="13"/>
  <c r="AN347" i="13"/>
  <c r="BC347" i="13" s="1"/>
  <c r="AM347" i="13"/>
  <c r="AF347" i="13"/>
  <c r="AD347" i="13"/>
  <c r="AH347" i="13" s="1"/>
  <c r="X347" i="13"/>
  <c r="W347" i="13"/>
  <c r="V347" i="13"/>
  <c r="BB346" i="13"/>
  <c r="BA346" i="13"/>
  <c r="AZ346" i="13"/>
  <c r="AY346" i="13"/>
  <c r="AX346" i="13"/>
  <c r="AW346" i="13"/>
  <c r="AT346" i="13"/>
  <c r="AP346" i="13"/>
  <c r="AO346" i="13"/>
  <c r="AN346" i="13"/>
  <c r="BC346" i="13" s="1"/>
  <c r="AM346" i="13"/>
  <c r="AF346" i="13"/>
  <c r="Y346" i="13" s="1"/>
  <c r="AD346" i="13"/>
  <c r="AH346" i="13" s="1"/>
  <c r="X346" i="13"/>
  <c r="W346" i="13"/>
  <c r="V346" i="13"/>
  <c r="BB345" i="13"/>
  <c r="BA345" i="13"/>
  <c r="AZ345" i="13"/>
  <c r="AY345" i="13"/>
  <c r="AX345" i="13"/>
  <c r="AW345" i="13"/>
  <c r="AT345" i="13"/>
  <c r="AP345" i="13"/>
  <c r="AN345" i="13"/>
  <c r="BC345" i="13" s="1"/>
  <c r="AM345" i="13"/>
  <c r="AF345" i="13"/>
  <c r="AI345" i="13" s="1"/>
  <c r="AD345" i="13"/>
  <c r="AH345" i="13" s="1"/>
  <c r="X345" i="13"/>
  <c r="W345" i="13"/>
  <c r="V345" i="13"/>
  <c r="BB344" i="13"/>
  <c r="BA344" i="13"/>
  <c r="AZ344" i="13"/>
  <c r="AY344" i="13"/>
  <c r="AX344" i="13"/>
  <c r="AW344" i="13"/>
  <c r="AT344" i="13"/>
  <c r="AP344" i="13"/>
  <c r="AN344" i="13"/>
  <c r="AM344" i="13"/>
  <c r="AF344" i="13"/>
  <c r="AS344" i="13" s="1"/>
  <c r="AD344" i="13"/>
  <c r="AH344" i="13" s="1"/>
  <c r="X344" i="13"/>
  <c r="W344" i="13"/>
  <c r="V344" i="13"/>
  <c r="BB343" i="13"/>
  <c r="BA343" i="13"/>
  <c r="AZ343" i="13"/>
  <c r="AY343" i="13"/>
  <c r="AX343" i="13"/>
  <c r="AW343" i="13"/>
  <c r="AT343" i="13"/>
  <c r="AP343" i="13"/>
  <c r="AN343" i="13"/>
  <c r="BC343" i="13" s="1"/>
  <c r="AM343" i="13"/>
  <c r="AF343" i="13"/>
  <c r="Z343" i="13" s="1"/>
  <c r="AD343" i="13"/>
  <c r="AH343" i="13" s="1"/>
  <c r="X343" i="13"/>
  <c r="W343" i="13"/>
  <c r="V343" i="13"/>
  <c r="BB342" i="13"/>
  <c r="BA342" i="13"/>
  <c r="AZ342" i="13"/>
  <c r="AY342" i="13"/>
  <c r="AX342" i="13"/>
  <c r="AW342" i="13"/>
  <c r="AT342" i="13"/>
  <c r="AP342" i="13"/>
  <c r="AN342" i="13"/>
  <c r="BC342" i="13" s="1"/>
  <c r="AM342" i="13"/>
  <c r="AF342" i="13"/>
  <c r="Y342" i="13" s="1"/>
  <c r="AD342" i="13"/>
  <c r="AH342" i="13" s="1"/>
  <c r="X342" i="13"/>
  <c r="W342" i="13"/>
  <c r="V342" i="13"/>
  <c r="BB341" i="13"/>
  <c r="BA341" i="13"/>
  <c r="AZ341" i="13"/>
  <c r="AY341" i="13"/>
  <c r="AX341" i="13"/>
  <c r="AW341" i="13"/>
  <c r="AT341" i="13"/>
  <c r="AP341" i="13"/>
  <c r="AN341" i="13"/>
  <c r="BC341" i="13" s="1"/>
  <c r="AM341" i="13"/>
  <c r="AF341" i="13"/>
  <c r="AD341" i="13"/>
  <c r="AH341" i="13" s="1"/>
  <c r="X341" i="13"/>
  <c r="W341" i="13"/>
  <c r="V341" i="13"/>
  <c r="BB340" i="13"/>
  <c r="BA340" i="13"/>
  <c r="AZ340" i="13"/>
  <c r="AY340" i="13"/>
  <c r="AX340" i="13"/>
  <c r="AW340" i="13"/>
  <c r="AT340" i="13"/>
  <c r="AP340" i="13"/>
  <c r="AN340" i="13"/>
  <c r="AM340" i="13"/>
  <c r="AF340" i="13"/>
  <c r="AS340" i="13" s="1"/>
  <c r="AD340" i="13"/>
  <c r="AH340" i="13" s="1"/>
  <c r="X340" i="13"/>
  <c r="W340" i="13"/>
  <c r="V340" i="13"/>
  <c r="BB339" i="13"/>
  <c r="BA339" i="13"/>
  <c r="AZ339" i="13"/>
  <c r="AY339" i="13"/>
  <c r="AX339" i="13"/>
  <c r="AW339" i="13"/>
  <c r="AT339" i="13"/>
  <c r="AP339" i="13"/>
  <c r="AN339" i="13"/>
  <c r="BC339" i="13" s="1"/>
  <c r="AM339" i="13"/>
  <c r="AF339" i="13"/>
  <c r="AD339" i="13"/>
  <c r="AH339" i="13" s="1"/>
  <c r="X339" i="13"/>
  <c r="W339" i="13"/>
  <c r="V339" i="13"/>
  <c r="BB338" i="13"/>
  <c r="BA338" i="13"/>
  <c r="AZ338" i="13"/>
  <c r="AY338" i="13"/>
  <c r="AX338" i="13"/>
  <c r="AW338" i="13"/>
  <c r="AT338" i="13"/>
  <c r="AP338" i="13"/>
  <c r="AN338" i="13"/>
  <c r="BC338" i="13" s="1"/>
  <c r="AM338" i="13"/>
  <c r="AF338" i="13"/>
  <c r="Y338" i="13" s="1"/>
  <c r="AD338" i="13"/>
  <c r="AH338" i="13" s="1"/>
  <c r="X338" i="13"/>
  <c r="W338" i="13"/>
  <c r="V338" i="13"/>
  <c r="BB337" i="13"/>
  <c r="BA337" i="13"/>
  <c r="AZ337" i="13"/>
  <c r="AY337" i="13"/>
  <c r="AX337" i="13"/>
  <c r="AW337" i="13"/>
  <c r="AT337" i="13"/>
  <c r="AP337" i="13"/>
  <c r="AN337" i="13"/>
  <c r="BC337" i="13" s="1"/>
  <c r="AM337" i="13"/>
  <c r="AF337" i="13"/>
  <c r="AI337" i="13" s="1"/>
  <c r="AD337" i="13"/>
  <c r="AH337" i="13" s="1"/>
  <c r="X337" i="13"/>
  <c r="W337" i="13"/>
  <c r="V337" i="13"/>
  <c r="BB336" i="13"/>
  <c r="BA336" i="13"/>
  <c r="AZ336" i="13"/>
  <c r="AY336" i="13"/>
  <c r="AX336" i="13"/>
  <c r="AW336" i="13"/>
  <c r="AT336" i="13"/>
  <c r="AP336" i="13"/>
  <c r="AN336" i="13"/>
  <c r="AM336" i="13"/>
  <c r="AF336" i="13"/>
  <c r="AS336" i="13" s="1"/>
  <c r="AD336" i="13"/>
  <c r="AH336" i="13" s="1"/>
  <c r="X336" i="13"/>
  <c r="W336" i="13"/>
  <c r="V336" i="13"/>
  <c r="BB335" i="13"/>
  <c r="BA335" i="13"/>
  <c r="AZ335" i="13"/>
  <c r="AY335" i="13"/>
  <c r="AX335" i="13"/>
  <c r="AW335" i="13"/>
  <c r="AT335" i="13"/>
  <c r="AP335" i="13"/>
  <c r="AN335" i="13"/>
  <c r="BC335" i="13" s="1"/>
  <c r="AM335" i="13"/>
  <c r="AF335" i="13"/>
  <c r="Z335" i="13" s="1"/>
  <c r="AD335" i="13"/>
  <c r="AH335" i="13" s="1"/>
  <c r="X335" i="13"/>
  <c r="W335" i="13"/>
  <c r="V335" i="13"/>
  <c r="BB334" i="13"/>
  <c r="BA334" i="13"/>
  <c r="AZ334" i="13"/>
  <c r="AY334" i="13"/>
  <c r="AX334" i="13"/>
  <c r="AW334" i="13"/>
  <c r="AT334" i="13"/>
  <c r="AP334" i="13"/>
  <c r="AN334" i="13"/>
  <c r="BC334" i="13" s="1"/>
  <c r="AM334" i="13"/>
  <c r="AF334" i="13"/>
  <c r="Y334" i="13" s="1"/>
  <c r="AD334" i="13"/>
  <c r="AH334" i="13" s="1"/>
  <c r="X334" i="13"/>
  <c r="W334" i="13"/>
  <c r="V334" i="13"/>
  <c r="BB333" i="13"/>
  <c r="BA333" i="13"/>
  <c r="AZ333" i="13"/>
  <c r="AY333" i="13"/>
  <c r="AX333" i="13"/>
  <c r="AW333" i="13"/>
  <c r="AT333" i="13"/>
  <c r="AP333" i="13"/>
  <c r="AN333" i="13"/>
  <c r="BC333" i="13" s="1"/>
  <c r="AM333" i="13"/>
  <c r="AF333" i="13"/>
  <c r="AI333" i="13" s="1"/>
  <c r="AD333" i="13"/>
  <c r="AH333" i="13" s="1"/>
  <c r="X333" i="13"/>
  <c r="W333" i="13"/>
  <c r="V333" i="13"/>
  <c r="BB332" i="13"/>
  <c r="BA332" i="13"/>
  <c r="AZ332" i="13"/>
  <c r="AY332" i="13"/>
  <c r="AX332" i="13"/>
  <c r="AW332" i="13"/>
  <c r="AT332" i="13"/>
  <c r="AP332" i="13"/>
  <c r="AN332" i="13"/>
  <c r="AM332" i="13"/>
  <c r="AF332" i="13"/>
  <c r="AS332" i="13" s="1"/>
  <c r="AD332" i="13"/>
  <c r="AH332" i="13" s="1"/>
  <c r="X332" i="13"/>
  <c r="W332" i="13"/>
  <c r="V332" i="13"/>
  <c r="BB331" i="13"/>
  <c r="BA331" i="13"/>
  <c r="AZ331" i="13"/>
  <c r="AY331" i="13"/>
  <c r="AX331" i="13"/>
  <c r="AW331" i="13"/>
  <c r="AT331" i="13"/>
  <c r="AP331" i="13"/>
  <c r="AN331" i="13"/>
  <c r="BC331" i="13" s="1"/>
  <c r="AM331" i="13"/>
  <c r="AF331" i="13"/>
  <c r="AD331" i="13"/>
  <c r="AH331" i="13" s="1"/>
  <c r="X331" i="13"/>
  <c r="W331" i="13"/>
  <c r="V331" i="13"/>
  <c r="BB330" i="13"/>
  <c r="BA330" i="13"/>
  <c r="AZ330" i="13"/>
  <c r="AY330" i="13"/>
  <c r="AX330" i="13"/>
  <c r="AW330" i="13"/>
  <c r="AT330" i="13"/>
  <c r="AP330" i="13"/>
  <c r="AN330" i="13"/>
  <c r="BC330" i="13" s="1"/>
  <c r="AM330" i="13"/>
  <c r="AF330" i="13"/>
  <c r="Y330" i="13" s="1"/>
  <c r="AD330" i="13"/>
  <c r="AH330" i="13" s="1"/>
  <c r="X330" i="13"/>
  <c r="W330" i="13"/>
  <c r="V330" i="13"/>
  <c r="BB329" i="13"/>
  <c r="BA329" i="13"/>
  <c r="AZ329" i="13"/>
  <c r="AY329" i="13"/>
  <c r="AX329" i="13"/>
  <c r="AW329" i="13"/>
  <c r="AT329" i="13"/>
  <c r="AP329" i="13"/>
  <c r="AN329" i="13"/>
  <c r="BC329" i="13" s="1"/>
  <c r="AM329" i="13"/>
  <c r="AF329" i="13"/>
  <c r="AD329" i="13"/>
  <c r="AH329" i="13" s="1"/>
  <c r="X329" i="13"/>
  <c r="W329" i="13"/>
  <c r="V329" i="13"/>
  <c r="BB328" i="13"/>
  <c r="BA328" i="13"/>
  <c r="AZ328" i="13"/>
  <c r="AY328" i="13"/>
  <c r="AX328" i="13"/>
  <c r="AW328" i="13"/>
  <c r="AT328" i="13"/>
  <c r="AP328" i="13"/>
  <c r="AN328" i="13"/>
  <c r="AM328" i="13"/>
  <c r="AF328" i="13"/>
  <c r="AS328" i="13" s="1"/>
  <c r="AD328" i="13"/>
  <c r="AH328" i="13" s="1"/>
  <c r="X328" i="13"/>
  <c r="W328" i="13"/>
  <c r="V328" i="13"/>
  <c r="BB327" i="13"/>
  <c r="BA327" i="13"/>
  <c r="AZ327" i="13"/>
  <c r="AY327" i="13"/>
  <c r="AX327" i="13"/>
  <c r="AW327" i="13"/>
  <c r="AT327" i="13"/>
  <c r="AP327" i="13"/>
  <c r="AN327" i="13"/>
  <c r="BC327" i="13" s="1"/>
  <c r="AM327" i="13"/>
  <c r="AF327" i="13"/>
  <c r="AD327" i="13"/>
  <c r="AH327" i="13" s="1"/>
  <c r="X327" i="13"/>
  <c r="W327" i="13"/>
  <c r="V327" i="13"/>
  <c r="BB326" i="13"/>
  <c r="BA326" i="13"/>
  <c r="AZ326" i="13"/>
  <c r="AY326" i="13"/>
  <c r="AX326" i="13"/>
  <c r="AW326" i="13"/>
  <c r="AT326" i="13"/>
  <c r="AP326" i="13"/>
  <c r="AN326" i="13"/>
  <c r="BC326" i="13" s="1"/>
  <c r="AM326" i="13"/>
  <c r="AF326" i="13"/>
  <c r="Y326" i="13" s="1"/>
  <c r="AD326" i="13"/>
  <c r="AH326" i="13" s="1"/>
  <c r="X326" i="13"/>
  <c r="W326" i="13"/>
  <c r="V326" i="13"/>
  <c r="BB325" i="13"/>
  <c r="BA325" i="13"/>
  <c r="AZ325" i="13"/>
  <c r="AY325" i="13"/>
  <c r="AX325" i="13"/>
  <c r="AW325" i="13"/>
  <c r="AT325" i="13"/>
  <c r="AP325" i="13"/>
  <c r="AN325" i="13"/>
  <c r="BC325" i="13" s="1"/>
  <c r="AM325" i="13"/>
  <c r="AF325" i="13"/>
  <c r="AD325" i="13"/>
  <c r="AH325" i="13" s="1"/>
  <c r="X325" i="13"/>
  <c r="W325" i="13"/>
  <c r="V325" i="13"/>
  <c r="BB324" i="13"/>
  <c r="BA324" i="13"/>
  <c r="AZ324" i="13"/>
  <c r="AY324" i="13"/>
  <c r="AX324" i="13"/>
  <c r="AW324" i="13"/>
  <c r="AT324" i="13"/>
  <c r="AP324" i="13"/>
  <c r="AN324" i="13"/>
  <c r="AM324" i="13"/>
  <c r="AF324" i="13"/>
  <c r="AS324" i="13" s="1"/>
  <c r="AD324" i="13"/>
  <c r="AH324" i="13" s="1"/>
  <c r="X324" i="13"/>
  <c r="W324" i="13"/>
  <c r="V324" i="13"/>
  <c r="BB323" i="13"/>
  <c r="BA323" i="13"/>
  <c r="AZ323" i="13"/>
  <c r="AY323" i="13"/>
  <c r="AX323" i="13"/>
  <c r="AW323" i="13"/>
  <c r="AT323" i="13"/>
  <c r="AP323" i="13"/>
  <c r="AN323" i="13"/>
  <c r="BC323" i="13" s="1"/>
  <c r="AM323" i="13"/>
  <c r="AF323" i="13"/>
  <c r="Z323" i="13" s="1"/>
  <c r="AD323" i="13"/>
  <c r="AH323" i="13" s="1"/>
  <c r="X323" i="13"/>
  <c r="W323" i="13"/>
  <c r="V323" i="13"/>
  <c r="BB322" i="13"/>
  <c r="BA322" i="13"/>
  <c r="AZ322" i="13"/>
  <c r="AY322" i="13"/>
  <c r="AX322" i="13"/>
  <c r="AW322" i="13"/>
  <c r="AT322" i="13"/>
  <c r="AP322" i="13"/>
  <c r="AN322" i="13"/>
  <c r="BC322" i="13" s="1"/>
  <c r="AM322" i="13"/>
  <c r="AF322" i="13"/>
  <c r="Y322" i="13" s="1"/>
  <c r="AD322" i="13"/>
  <c r="AH322" i="13" s="1"/>
  <c r="X322" i="13"/>
  <c r="W322" i="13"/>
  <c r="V322" i="13"/>
  <c r="BB321" i="13"/>
  <c r="BA321" i="13"/>
  <c r="AZ321" i="13"/>
  <c r="AY321" i="13"/>
  <c r="AX321" i="13"/>
  <c r="AW321" i="13"/>
  <c r="AT321" i="13"/>
  <c r="AP321" i="13"/>
  <c r="AO321" i="13"/>
  <c r="AN321" i="13"/>
  <c r="BC321" i="13" s="1"/>
  <c r="AM321" i="13"/>
  <c r="AF321" i="13"/>
  <c r="AD321" i="13"/>
  <c r="AH321" i="13" s="1"/>
  <c r="X321" i="13"/>
  <c r="W321" i="13"/>
  <c r="V321" i="13"/>
  <c r="BB320" i="13"/>
  <c r="BA320" i="13"/>
  <c r="AZ320" i="13"/>
  <c r="AY320" i="13"/>
  <c r="AX320" i="13"/>
  <c r="AW320" i="13"/>
  <c r="AT320" i="13"/>
  <c r="AP320" i="13"/>
  <c r="AO320" i="13"/>
  <c r="AN320" i="13"/>
  <c r="BC320" i="13" s="1"/>
  <c r="AM320" i="13"/>
  <c r="AF320" i="13"/>
  <c r="AS320" i="13" s="1"/>
  <c r="AD320" i="13"/>
  <c r="AH320" i="13" s="1"/>
  <c r="X320" i="13"/>
  <c r="W320" i="13"/>
  <c r="V320" i="13"/>
  <c r="BB319" i="13"/>
  <c r="BA319" i="13"/>
  <c r="AZ319" i="13"/>
  <c r="AY319" i="13"/>
  <c r="AX319" i="13"/>
  <c r="AW319" i="13"/>
  <c r="AT319" i="13"/>
  <c r="AP319" i="13"/>
  <c r="AO319" i="13"/>
  <c r="AN319" i="13"/>
  <c r="BC319" i="13" s="1"/>
  <c r="AM319" i="13"/>
  <c r="AF319" i="13"/>
  <c r="AI319" i="13" s="1"/>
  <c r="AD319" i="13"/>
  <c r="AH319" i="13" s="1"/>
  <c r="X319" i="13"/>
  <c r="W319" i="13"/>
  <c r="V319" i="13"/>
  <c r="BB318" i="13"/>
  <c r="BA318" i="13"/>
  <c r="AZ318" i="13"/>
  <c r="AY318" i="13"/>
  <c r="AX318" i="13"/>
  <c r="AW318" i="13"/>
  <c r="AT318" i="13"/>
  <c r="AP318" i="13"/>
  <c r="AN318" i="13"/>
  <c r="BC318" i="13" s="1"/>
  <c r="AM318" i="13"/>
  <c r="AF318" i="13"/>
  <c r="AD318" i="13"/>
  <c r="AH318" i="13" s="1"/>
  <c r="X318" i="13"/>
  <c r="W318" i="13"/>
  <c r="V318" i="13"/>
  <c r="BB317" i="13"/>
  <c r="BA317" i="13"/>
  <c r="AZ317" i="13"/>
  <c r="AY317" i="13"/>
  <c r="AX317" i="13"/>
  <c r="AW317" i="13"/>
  <c r="AT317" i="13"/>
  <c r="AP317" i="13"/>
  <c r="AO317" i="13"/>
  <c r="AN317" i="13"/>
  <c r="BC317" i="13" s="1"/>
  <c r="AM317" i="13"/>
  <c r="AF317" i="13"/>
  <c r="Z317" i="13" s="1"/>
  <c r="AD317" i="13"/>
  <c r="AH317" i="13" s="1"/>
  <c r="X317" i="13"/>
  <c r="W317" i="13"/>
  <c r="V317" i="13"/>
  <c r="BB316" i="13"/>
  <c r="BA316" i="13"/>
  <c r="AZ316" i="13"/>
  <c r="AY316" i="13"/>
  <c r="AX316" i="13"/>
  <c r="AW316" i="13"/>
  <c r="AT316" i="13"/>
  <c r="AP316" i="13"/>
  <c r="AO316" i="13"/>
  <c r="AN316" i="13"/>
  <c r="AM316" i="13"/>
  <c r="AF316" i="13"/>
  <c r="AD316" i="13"/>
  <c r="AH316" i="13" s="1"/>
  <c r="X316" i="13"/>
  <c r="W316" i="13"/>
  <c r="V316" i="13"/>
  <c r="BB315" i="13"/>
  <c r="BA315" i="13"/>
  <c r="AZ315" i="13"/>
  <c r="AY315" i="13"/>
  <c r="AX315" i="13"/>
  <c r="AW315" i="13"/>
  <c r="AT315" i="13"/>
  <c r="AP315" i="13"/>
  <c r="AN315" i="13"/>
  <c r="BC315" i="13" s="1"/>
  <c r="AM315" i="13"/>
  <c r="AF315" i="13"/>
  <c r="AD315" i="13"/>
  <c r="AH315" i="13" s="1"/>
  <c r="X315" i="13"/>
  <c r="W315" i="13"/>
  <c r="V315" i="13"/>
  <c r="BB314" i="13"/>
  <c r="BA314" i="13"/>
  <c r="AZ314" i="13"/>
  <c r="AY314" i="13"/>
  <c r="AX314" i="13"/>
  <c r="AW314" i="13"/>
  <c r="AT314" i="13"/>
  <c r="AP314" i="13"/>
  <c r="AN314" i="13"/>
  <c r="BC314" i="13" s="1"/>
  <c r="AM314" i="13"/>
  <c r="AF314" i="13"/>
  <c r="AS314" i="13" s="1"/>
  <c r="AD314" i="13"/>
  <c r="AH314" i="13" s="1"/>
  <c r="X314" i="13"/>
  <c r="W314" i="13"/>
  <c r="V314" i="13"/>
  <c r="BB313" i="13"/>
  <c r="BA313" i="13"/>
  <c r="AZ313" i="13"/>
  <c r="AY313" i="13"/>
  <c r="AX313" i="13"/>
  <c r="AW313" i="13"/>
  <c r="AT313" i="13"/>
  <c r="AP313" i="13"/>
  <c r="AN313" i="13"/>
  <c r="BC313" i="13" s="1"/>
  <c r="AM313" i="13"/>
  <c r="AF313" i="13"/>
  <c r="AD313" i="13"/>
  <c r="AH313" i="13" s="1"/>
  <c r="X313" i="13"/>
  <c r="W313" i="13"/>
  <c r="V313" i="13"/>
  <c r="BB312" i="13"/>
  <c r="BA312" i="13"/>
  <c r="AZ312" i="13"/>
  <c r="AY312" i="13"/>
  <c r="AX312" i="13"/>
  <c r="AW312" i="13"/>
  <c r="AT312" i="13"/>
  <c r="AP312" i="13"/>
  <c r="AN312" i="13"/>
  <c r="BC312" i="13" s="1"/>
  <c r="AM312" i="13"/>
  <c r="AF312" i="13"/>
  <c r="AS312" i="13" s="1"/>
  <c r="AD312" i="13"/>
  <c r="AH312" i="13" s="1"/>
  <c r="X312" i="13"/>
  <c r="W312" i="13"/>
  <c r="V312" i="13"/>
  <c r="BB311" i="13"/>
  <c r="BA311" i="13"/>
  <c r="AZ311" i="13"/>
  <c r="AY311" i="13"/>
  <c r="AX311" i="13"/>
  <c r="AW311" i="13"/>
  <c r="AT311" i="13"/>
  <c r="AP311" i="13"/>
  <c r="AN311" i="13"/>
  <c r="BC311" i="13" s="1"/>
  <c r="AM311" i="13"/>
  <c r="AF311" i="13"/>
  <c r="AS311" i="13" s="1"/>
  <c r="AD311" i="13"/>
  <c r="AH311" i="13" s="1"/>
  <c r="X311" i="13"/>
  <c r="W311" i="13"/>
  <c r="V311" i="13"/>
  <c r="BB310" i="13"/>
  <c r="BA310" i="13"/>
  <c r="AZ310" i="13"/>
  <c r="AY310" i="13"/>
  <c r="AX310" i="13"/>
  <c r="AW310" i="13"/>
  <c r="AT310" i="13"/>
  <c r="AP310" i="13"/>
  <c r="AN310" i="13"/>
  <c r="BC310" i="13" s="1"/>
  <c r="AM310" i="13"/>
  <c r="AF310" i="13"/>
  <c r="AD310" i="13"/>
  <c r="AH310" i="13" s="1"/>
  <c r="X310" i="13"/>
  <c r="W310" i="13"/>
  <c r="V310" i="13"/>
  <c r="BB309" i="13"/>
  <c r="BA309" i="13"/>
  <c r="AZ309" i="13"/>
  <c r="AY309" i="13"/>
  <c r="AX309" i="13"/>
  <c r="AW309" i="13"/>
  <c r="AT309" i="13"/>
  <c r="AP309" i="13"/>
  <c r="AN309" i="13"/>
  <c r="BC309" i="13" s="1"/>
  <c r="AM309" i="13"/>
  <c r="AF309" i="13"/>
  <c r="Z309" i="13" s="1"/>
  <c r="AD309" i="13"/>
  <c r="AH309" i="13" s="1"/>
  <c r="X309" i="13"/>
  <c r="W309" i="13"/>
  <c r="V309" i="13"/>
  <c r="BB308" i="13"/>
  <c r="BA308" i="13"/>
  <c r="AZ308" i="13"/>
  <c r="AY308" i="13"/>
  <c r="AX308" i="13"/>
  <c r="AW308" i="13"/>
  <c r="AT308" i="13"/>
  <c r="AP308" i="13"/>
  <c r="AN308" i="13"/>
  <c r="BC308" i="13" s="1"/>
  <c r="AM308" i="13"/>
  <c r="AF308" i="13"/>
  <c r="Z308" i="13" s="1"/>
  <c r="AD308" i="13"/>
  <c r="AH308" i="13" s="1"/>
  <c r="X308" i="13"/>
  <c r="W308" i="13"/>
  <c r="V308" i="13"/>
  <c r="BB307" i="13"/>
  <c r="BA307" i="13"/>
  <c r="AZ307" i="13"/>
  <c r="AY307" i="13"/>
  <c r="AX307" i="13"/>
  <c r="AW307" i="13"/>
  <c r="AT307" i="13"/>
  <c r="AP307" i="13"/>
  <c r="AO307" i="13"/>
  <c r="AN307" i="13"/>
  <c r="BC307" i="13" s="1"/>
  <c r="AM307" i="13"/>
  <c r="AF307" i="13"/>
  <c r="AI307" i="13" s="1"/>
  <c r="AD307" i="13"/>
  <c r="AH307" i="13" s="1"/>
  <c r="X307" i="13"/>
  <c r="W307" i="13"/>
  <c r="V307" i="13"/>
  <c r="BB306" i="13"/>
  <c r="BA306" i="13"/>
  <c r="AZ306" i="13"/>
  <c r="AY306" i="13"/>
  <c r="AX306" i="13"/>
  <c r="AW306" i="13"/>
  <c r="AT306" i="13"/>
  <c r="AP306" i="13"/>
  <c r="AN306" i="13"/>
  <c r="BC306" i="13" s="1"/>
  <c r="AM306" i="13"/>
  <c r="AF306" i="13"/>
  <c r="Z306" i="13" s="1"/>
  <c r="AD306" i="13"/>
  <c r="AH306" i="13" s="1"/>
  <c r="X306" i="13"/>
  <c r="W306" i="13"/>
  <c r="V306" i="13"/>
  <c r="BB305" i="13"/>
  <c r="BA305" i="13"/>
  <c r="AZ305" i="13"/>
  <c r="AY305" i="13"/>
  <c r="AX305" i="13"/>
  <c r="AW305" i="13"/>
  <c r="AT305" i="13"/>
  <c r="AP305" i="13"/>
  <c r="AN305" i="13"/>
  <c r="BC305" i="13" s="1"/>
  <c r="AM305" i="13"/>
  <c r="AF305" i="13"/>
  <c r="AI305" i="13" s="1"/>
  <c r="AD305" i="13"/>
  <c r="AH305" i="13" s="1"/>
  <c r="X305" i="13"/>
  <c r="W305" i="13"/>
  <c r="V305" i="13"/>
  <c r="BB304" i="13"/>
  <c r="BA304" i="13"/>
  <c r="AZ304" i="13"/>
  <c r="AY304" i="13"/>
  <c r="AX304" i="13"/>
  <c r="AW304" i="13"/>
  <c r="AT304" i="13"/>
  <c r="AP304" i="13"/>
  <c r="AO304" i="13"/>
  <c r="AN304" i="13"/>
  <c r="AM304" i="13"/>
  <c r="AF304" i="13"/>
  <c r="Y304" i="13" s="1"/>
  <c r="AD304" i="13"/>
  <c r="AH304" i="13" s="1"/>
  <c r="X304" i="13"/>
  <c r="W304" i="13"/>
  <c r="V304" i="13"/>
  <c r="BB303" i="13"/>
  <c r="BA303" i="13"/>
  <c r="AZ303" i="13"/>
  <c r="AY303" i="13"/>
  <c r="AX303" i="13"/>
  <c r="AW303" i="13"/>
  <c r="AT303" i="13"/>
  <c r="AP303" i="13"/>
  <c r="AO303" i="13"/>
  <c r="AN303" i="13"/>
  <c r="BC303" i="13" s="1"/>
  <c r="AM303" i="13"/>
  <c r="AF303" i="13"/>
  <c r="Z303" i="13" s="1"/>
  <c r="AD303" i="13"/>
  <c r="AH303" i="13" s="1"/>
  <c r="X303" i="13"/>
  <c r="W303" i="13"/>
  <c r="V303" i="13"/>
  <c r="BB302" i="13"/>
  <c r="BA302" i="13"/>
  <c r="AZ302" i="13"/>
  <c r="AY302" i="13"/>
  <c r="AX302" i="13"/>
  <c r="AW302" i="13"/>
  <c r="AT302" i="13"/>
  <c r="AP302" i="13"/>
  <c r="AO302" i="13"/>
  <c r="AN302" i="13"/>
  <c r="BC302" i="13" s="1"/>
  <c r="AM302" i="13"/>
  <c r="AF302" i="13"/>
  <c r="Y302" i="13" s="1"/>
  <c r="AD302" i="13"/>
  <c r="AH302" i="13" s="1"/>
  <c r="X302" i="13"/>
  <c r="W302" i="13"/>
  <c r="V302" i="13"/>
  <c r="BB301" i="13"/>
  <c r="BA301" i="13"/>
  <c r="AZ301" i="13"/>
  <c r="AY301" i="13"/>
  <c r="AX301" i="13"/>
  <c r="AW301" i="13"/>
  <c r="AT301" i="13"/>
  <c r="AP301" i="13"/>
  <c r="AN301" i="13"/>
  <c r="BC301" i="13" s="1"/>
  <c r="AM301" i="13"/>
  <c r="AF301" i="13"/>
  <c r="AI301" i="13" s="1"/>
  <c r="AD301" i="13"/>
  <c r="AH301" i="13" s="1"/>
  <c r="X301" i="13"/>
  <c r="W301" i="13"/>
  <c r="V301" i="13"/>
  <c r="BB300" i="13"/>
  <c r="BA300" i="13"/>
  <c r="AZ300" i="13"/>
  <c r="AY300" i="13"/>
  <c r="AX300" i="13"/>
  <c r="AW300" i="13"/>
  <c r="AT300" i="13"/>
  <c r="AP300" i="13"/>
  <c r="AN300" i="13"/>
  <c r="BC300" i="13" s="1"/>
  <c r="AM300" i="13"/>
  <c r="AF300" i="13"/>
  <c r="AI300" i="13" s="1"/>
  <c r="AD300" i="13"/>
  <c r="AH300" i="13" s="1"/>
  <c r="X300" i="13"/>
  <c r="W300" i="13"/>
  <c r="V300" i="13"/>
  <c r="BB299" i="13"/>
  <c r="BA299" i="13"/>
  <c r="AZ299" i="13"/>
  <c r="AY299" i="13"/>
  <c r="AX299" i="13"/>
  <c r="AW299" i="13"/>
  <c r="AT299" i="13"/>
  <c r="AP299" i="13"/>
  <c r="AO299" i="13"/>
  <c r="AN299" i="13"/>
  <c r="BC299" i="13" s="1"/>
  <c r="AM299" i="13"/>
  <c r="AF299" i="13"/>
  <c r="Z299" i="13" s="1"/>
  <c r="AD299" i="13"/>
  <c r="AH299" i="13" s="1"/>
  <c r="X299" i="13"/>
  <c r="W299" i="13"/>
  <c r="V299" i="13"/>
  <c r="BB298" i="13"/>
  <c r="BA298" i="13"/>
  <c r="AZ298" i="13"/>
  <c r="AY298" i="13"/>
  <c r="AX298" i="13"/>
  <c r="AW298" i="13"/>
  <c r="AT298" i="13"/>
  <c r="AP298" i="13"/>
  <c r="AO298" i="13"/>
  <c r="AN298" i="13"/>
  <c r="BC298" i="13" s="1"/>
  <c r="AM298" i="13"/>
  <c r="AF298" i="13"/>
  <c r="AS298" i="13" s="1"/>
  <c r="AD298" i="13"/>
  <c r="AH298" i="13" s="1"/>
  <c r="X298" i="13"/>
  <c r="W298" i="13"/>
  <c r="V298" i="13"/>
  <c r="BB297" i="13"/>
  <c r="BA297" i="13"/>
  <c r="AZ297" i="13"/>
  <c r="AY297" i="13"/>
  <c r="AX297" i="13"/>
  <c r="AW297" i="13"/>
  <c r="AT297" i="13"/>
  <c r="AP297" i="13"/>
  <c r="AO297" i="13"/>
  <c r="AN297" i="13"/>
  <c r="BC297" i="13" s="1"/>
  <c r="AM297" i="13"/>
  <c r="AF297" i="13"/>
  <c r="AI297" i="13" s="1"/>
  <c r="AD297" i="13"/>
  <c r="AH297" i="13" s="1"/>
  <c r="X297" i="13"/>
  <c r="W297" i="13"/>
  <c r="V297" i="13"/>
  <c r="BB296" i="13"/>
  <c r="BA296" i="13"/>
  <c r="AZ296" i="13"/>
  <c r="AY296" i="13"/>
  <c r="AX296" i="13"/>
  <c r="AW296" i="13"/>
  <c r="AT296" i="13"/>
  <c r="AP296" i="13"/>
  <c r="AO296" i="13"/>
  <c r="AN296" i="13"/>
  <c r="BC296" i="13" s="1"/>
  <c r="AM296" i="13"/>
  <c r="AF296" i="13"/>
  <c r="Z296" i="13" s="1"/>
  <c r="AD296" i="13"/>
  <c r="AH296" i="13" s="1"/>
  <c r="X296" i="13"/>
  <c r="W296" i="13"/>
  <c r="V296" i="13"/>
  <c r="BB295" i="13"/>
  <c r="BA295" i="13"/>
  <c r="AZ295" i="13"/>
  <c r="AY295" i="13"/>
  <c r="AX295" i="13"/>
  <c r="AW295" i="13"/>
  <c r="AT295" i="13"/>
  <c r="AP295" i="13"/>
  <c r="AO295" i="13"/>
  <c r="AN295" i="13"/>
  <c r="BC295" i="13" s="1"/>
  <c r="AM295" i="13"/>
  <c r="AF295" i="13"/>
  <c r="Z295" i="13" s="1"/>
  <c r="AD295" i="13"/>
  <c r="AH295" i="13" s="1"/>
  <c r="X295" i="13"/>
  <c r="W295" i="13"/>
  <c r="V295" i="13"/>
  <c r="BB294" i="13"/>
  <c r="BA294" i="13"/>
  <c r="AZ294" i="13"/>
  <c r="AY294" i="13"/>
  <c r="AX294" i="13"/>
  <c r="AW294" i="13"/>
  <c r="AT294" i="13"/>
  <c r="AP294" i="13"/>
  <c r="AO294" i="13"/>
  <c r="AN294" i="13"/>
  <c r="BC294" i="13" s="1"/>
  <c r="AM294" i="13"/>
  <c r="AF294" i="13"/>
  <c r="AD294" i="13"/>
  <c r="AH294" i="13" s="1"/>
  <c r="X294" i="13"/>
  <c r="W294" i="13"/>
  <c r="V294" i="13"/>
  <c r="BB293" i="13"/>
  <c r="BA293" i="13"/>
  <c r="AZ293" i="13"/>
  <c r="AY293" i="13"/>
  <c r="AX293" i="13"/>
  <c r="AW293" i="13"/>
  <c r="AT293" i="13"/>
  <c r="AP293" i="13"/>
  <c r="AO293" i="13"/>
  <c r="AN293" i="13"/>
  <c r="BC293" i="13" s="1"/>
  <c r="AM293" i="13"/>
  <c r="AF293" i="13"/>
  <c r="AI293" i="13" s="1"/>
  <c r="AD293" i="13"/>
  <c r="AH293" i="13" s="1"/>
  <c r="X293" i="13"/>
  <c r="W293" i="13"/>
  <c r="V293" i="13"/>
  <c r="BB292" i="13"/>
  <c r="BA292" i="13"/>
  <c r="AZ292" i="13"/>
  <c r="AY292" i="13"/>
  <c r="AX292" i="13"/>
  <c r="AW292" i="13"/>
  <c r="AT292" i="13"/>
  <c r="AP292" i="13"/>
  <c r="AO292" i="13"/>
  <c r="AN292" i="13"/>
  <c r="BC292" i="13" s="1"/>
  <c r="AM292" i="13"/>
  <c r="AF292" i="13"/>
  <c r="Y292" i="13" s="1"/>
  <c r="AD292" i="13"/>
  <c r="AH292" i="13" s="1"/>
  <c r="X292" i="13"/>
  <c r="W292" i="13"/>
  <c r="V292" i="13"/>
  <c r="BB291" i="13"/>
  <c r="BA291" i="13"/>
  <c r="AZ291" i="13"/>
  <c r="AY291" i="13"/>
  <c r="AX291" i="13"/>
  <c r="AW291" i="13"/>
  <c r="AT291" i="13"/>
  <c r="AP291" i="13"/>
  <c r="AO291" i="13"/>
  <c r="AN291" i="13"/>
  <c r="BC291" i="13" s="1"/>
  <c r="AM291" i="13"/>
  <c r="AF291" i="13"/>
  <c r="Z291" i="13" s="1"/>
  <c r="AD291" i="13"/>
  <c r="AH291" i="13" s="1"/>
  <c r="X291" i="13"/>
  <c r="W291" i="13"/>
  <c r="V291" i="13"/>
  <c r="BB290" i="13"/>
  <c r="BA290" i="13"/>
  <c r="AZ290" i="13"/>
  <c r="AY290" i="13"/>
  <c r="AX290" i="13"/>
  <c r="AW290" i="13"/>
  <c r="AT290" i="13"/>
  <c r="AP290" i="13"/>
  <c r="AN290" i="13"/>
  <c r="BC290" i="13" s="1"/>
  <c r="AM290" i="13"/>
  <c r="AF290" i="13"/>
  <c r="AS290" i="13" s="1"/>
  <c r="AD290" i="13"/>
  <c r="AH290" i="13" s="1"/>
  <c r="X290" i="13"/>
  <c r="W290" i="13"/>
  <c r="V290" i="13"/>
  <c r="BB289" i="13"/>
  <c r="BA289" i="13"/>
  <c r="AZ289" i="13"/>
  <c r="AY289" i="13"/>
  <c r="AX289" i="13"/>
  <c r="AW289" i="13"/>
  <c r="AT289" i="13"/>
  <c r="AP289" i="13"/>
  <c r="AN289" i="13"/>
  <c r="BC289" i="13" s="1"/>
  <c r="AM289" i="13"/>
  <c r="AF289" i="13"/>
  <c r="AI289" i="13" s="1"/>
  <c r="AD289" i="13"/>
  <c r="AH289" i="13" s="1"/>
  <c r="X289" i="13"/>
  <c r="W289" i="13"/>
  <c r="V289" i="13"/>
  <c r="BB288" i="13"/>
  <c r="BA288" i="13"/>
  <c r="AZ288" i="13"/>
  <c r="AY288" i="13"/>
  <c r="AX288" i="13"/>
  <c r="AW288" i="13"/>
  <c r="AT288" i="13"/>
  <c r="AP288" i="13"/>
  <c r="AN288" i="13"/>
  <c r="BC288" i="13" s="1"/>
  <c r="AM288" i="13"/>
  <c r="AF288" i="13"/>
  <c r="AS288" i="13" s="1"/>
  <c r="AD288" i="13"/>
  <c r="AH288" i="13" s="1"/>
  <c r="X288" i="13"/>
  <c r="W288" i="13"/>
  <c r="V288" i="13"/>
  <c r="BB287" i="13"/>
  <c r="BA287" i="13"/>
  <c r="AZ287" i="13"/>
  <c r="AY287" i="13"/>
  <c r="AX287" i="13"/>
  <c r="AW287" i="13"/>
  <c r="AT287" i="13"/>
  <c r="AP287" i="13"/>
  <c r="AO287" i="13"/>
  <c r="AN287" i="13"/>
  <c r="BC287" i="13" s="1"/>
  <c r="AM287" i="13"/>
  <c r="AF287" i="13"/>
  <c r="Z287" i="13" s="1"/>
  <c r="AD287" i="13"/>
  <c r="AH287" i="13" s="1"/>
  <c r="X287" i="13"/>
  <c r="W287" i="13"/>
  <c r="V287" i="13"/>
  <c r="BB286" i="13"/>
  <c r="BA286" i="13"/>
  <c r="AZ286" i="13"/>
  <c r="AY286" i="13"/>
  <c r="AX286" i="13"/>
  <c r="AW286" i="13"/>
  <c r="AT286" i="13"/>
  <c r="AP286" i="13"/>
  <c r="AN286" i="13"/>
  <c r="BC286" i="13" s="1"/>
  <c r="AM286" i="13"/>
  <c r="AF286" i="13"/>
  <c r="AD286" i="13"/>
  <c r="AH286" i="13" s="1"/>
  <c r="X286" i="13"/>
  <c r="W286" i="13"/>
  <c r="V286" i="13"/>
  <c r="BB285" i="13"/>
  <c r="BA285" i="13"/>
  <c r="AZ285" i="13"/>
  <c r="AY285" i="13"/>
  <c r="AX285" i="13"/>
  <c r="AW285" i="13"/>
  <c r="AT285" i="13"/>
  <c r="AP285" i="13"/>
  <c r="AO285" i="13"/>
  <c r="AN285" i="13"/>
  <c r="BC285" i="13" s="1"/>
  <c r="AM285" i="13"/>
  <c r="AF285" i="13"/>
  <c r="AI285" i="13" s="1"/>
  <c r="AD285" i="13"/>
  <c r="AH285" i="13" s="1"/>
  <c r="X285" i="13"/>
  <c r="W285" i="13"/>
  <c r="V285" i="13"/>
  <c r="BB284" i="13"/>
  <c r="BA284" i="13"/>
  <c r="AZ284" i="13"/>
  <c r="AY284" i="13"/>
  <c r="AX284" i="13"/>
  <c r="AW284" i="13"/>
  <c r="AT284" i="13"/>
  <c r="AP284" i="13"/>
  <c r="AN284" i="13"/>
  <c r="BC284" i="13" s="1"/>
  <c r="AM284" i="13"/>
  <c r="AF284" i="13"/>
  <c r="Z284" i="13" s="1"/>
  <c r="AD284" i="13"/>
  <c r="AH284" i="13" s="1"/>
  <c r="X284" i="13"/>
  <c r="W284" i="13"/>
  <c r="V284" i="13"/>
  <c r="BB283" i="13"/>
  <c r="BA283" i="13"/>
  <c r="AZ283" i="13"/>
  <c r="AY283" i="13"/>
  <c r="AX283" i="13"/>
  <c r="AW283" i="13"/>
  <c r="AT283" i="13"/>
  <c r="AP283" i="13"/>
  <c r="AO283" i="13"/>
  <c r="AN283" i="13"/>
  <c r="BC283" i="13" s="1"/>
  <c r="AM283" i="13"/>
  <c r="AF283" i="13"/>
  <c r="Z283" i="13" s="1"/>
  <c r="AD283" i="13"/>
  <c r="AH283" i="13" s="1"/>
  <c r="X283" i="13"/>
  <c r="W283" i="13"/>
  <c r="V283" i="13"/>
  <c r="BB282" i="13"/>
  <c r="BA282" i="13"/>
  <c r="AZ282" i="13"/>
  <c r="AY282" i="13"/>
  <c r="AX282" i="13"/>
  <c r="AW282" i="13"/>
  <c r="AT282" i="13"/>
  <c r="AP282" i="13"/>
  <c r="AO282" i="13"/>
  <c r="AN282" i="13"/>
  <c r="BC282" i="13" s="1"/>
  <c r="AM282" i="13"/>
  <c r="AF282" i="13"/>
  <c r="AD282" i="13"/>
  <c r="AH282" i="13" s="1"/>
  <c r="X282" i="13"/>
  <c r="W282" i="13"/>
  <c r="V282" i="13"/>
  <c r="BB281" i="13"/>
  <c r="BA281" i="13"/>
  <c r="AZ281" i="13"/>
  <c r="AY281" i="13"/>
  <c r="AX281" i="13"/>
  <c r="AW281" i="13"/>
  <c r="AT281" i="13"/>
  <c r="AP281" i="13"/>
  <c r="AO281" i="13"/>
  <c r="AN281" i="13"/>
  <c r="BC281" i="13" s="1"/>
  <c r="AM281" i="13"/>
  <c r="AF281" i="13"/>
  <c r="AI281" i="13" s="1"/>
  <c r="AD281" i="13"/>
  <c r="AH281" i="13" s="1"/>
  <c r="X281" i="13"/>
  <c r="W281" i="13"/>
  <c r="V281" i="13"/>
  <c r="BB280" i="13"/>
  <c r="BA280" i="13"/>
  <c r="AZ280" i="13"/>
  <c r="AY280" i="13"/>
  <c r="AX280" i="13"/>
  <c r="AW280" i="13"/>
  <c r="AT280" i="13"/>
  <c r="AP280" i="13"/>
  <c r="AO280" i="13"/>
  <c r="AN280" i="13"/>
  <c r="BC280" i="13" s="1"/>
  <c r="AM280" i="13"/>
  <c r="AF280" i="13"/>
  <c r="AD280" i="13"/>
  <c r="AH280" i="13" s="1"/>
  <c r="X280" i="13"/>
  <c r="W280" i="13"/>
  <c r="V280" i="13"/>
  <c r="BB279" i="13"/>
  <c r="BA279" i="13"/>
  <c r="AZ279" i="13"/>
  <c r="AY279" i="13"/>
  <c r="AX279" i="13"/>
  <c r="AW279" i="13"/>
  <c r="AT279" i="13"/>
  <c r="AP279" i="13"/>
  <c r="AO279" i="13"/>
  <c r="AN279" i="13"/>
  <c r="BC279" i="13" s="1"/>
  <c r="AM279" i="13"/>
  <c r="AF279" i="13"/>
  <c r="Z279" i="13" s="1"/>
  <c r="AD279" i="13"/>
  <c r="AH279" i="13" s="1"/>
  <c r="X279" i="13"/>
  <c r="W279" i="13"/>
  <c r="V279" i="13"/>
  <c r="BB278" i="13"/>
  <c r="BA278" i="13"/>
  <c r="AZ278" i="13"/>
  <c r="AY278" i="13"/>
  <c r="AX278" i="13"/>
  <c r="AW278" i="13"/>
  <c r="AT278" i="13"/>
  <c r="AP278" i="13"/>
  <c r="AO278" i="13"/>
  <c r="AN278" i="13"/>
  <c r="BC278" i="13" s="1"/>
  <c r="AM278" i="13"/>
  <c r="AF278" i="13"/>
  <c r="AS278" i="13" s="1"/>
  <c r="AD278" i="13"/>
  <c r="AH278" i="13" s="1"/>
  <c r="X278" i="13"/>
  <c r="W278" i="13"/>
  <c r="V278" i="13"/>
  <c r="BB277" i="13"/>
  <c r="BA277" i="13"/>
  <c r="AZ277" i="13"/>
  <c r="AY277" i="13"/>
  <c r="AX277" i="13"/>
  <c r="AW277" i="13"/>
  <c r="AT277" i="13"/>
  <c r="AP277" i="13"/>
  <c r="AO277" i="13"/>
  <c r="AN277" i="13"/>
  <c r="BC277" i="13" s="1"/>
  <c r="AM277" i="13"/>
  <c r="AF277" i="13"/>
  <c r="AI277" i="13" s="1"/>
  <c r="AD277" i="13"/>
  <c r="AH277" i="13" s="1"/>
  <c r="X277" i="13"/>
  <c r="W277" i="13"/>
  <c r="V277" i="13"/>
  <c r="BB276" i="13"/>
  <c r="BA276" i="13"/>
  <c r="AZ276" i="13"/>
  <c r="AY276" i="13"/>
  <c r="AX276" i="13"/>
  <c r="AW276" i="13"/>
  <c r="AT276" i="13"/>
  <c r="AP276" i="13"/>
  <c r="AO276" i="13"/>
  <c r="AN276" i="13"/>
  <c r="BC276" i="13" s="1"/>
  <c r="AM276" i="13"/>
  <c r="AF276" i="13"/>
  <c r="AI276" i="13" s="1"/>
  <c r="AD276" i="13"/>
  <c r="AH276" i="13" s="1"/>
  <c r="X276" i="13"/>
  <c r="W276" i="13"/>
  <c r="V276" i="13"/>
  <c r="BB275" i="13"/>
  <c r="BA275" i="13"/>
  <c r="AZ275" i="13"/>
  <c r="AY275" i="13"/>
  <c r="AX275" i="13"/>
  <c r="AW275" i="13"/>
  <c r="AT275" i="13"/>
  <c r="AP275" i="13"/>
  <c r="AO275" i="13"/>
  <c r="AN275" i="13"/>
  <c r="BC275" i="13" s="1"/>
  <c r="AM275" i="13"/>
  <c r="AF275" i="13"/>
  <c r="Z275" i="13" s="1"/>
  <c r="AD275" i="13"/>
  <c r="AH275" i="13" s="1"/>
  <c r="X275" i="13"/>
  <c r="W275" i="13"/>
  <c r="V275" i="13"/>
  <c r="BB274" i="13"/>
  <c r="BA274" i="13"/>
  <c r="AZ274" i="13"/>
  <c r="AY274" i="13"/>
  <c r="AX274" i="13"/>
  <c r="AW274" i="13"/>
  <c r="AT274" i="13"/>
  <c r="AP274" i="13"/>
  <c r="AO274" i="13"/>
  <c r="AN274" i="13"/>
  <c r="BC274" i="13" s="1"/>
  <c r="AM274" i="13"/>
  <c r="AF274" i="13"/>
  <c r="AS274" i="13" s="1"/>
  <c r="AD274" i="13"/>
  <c r="AH274" i="13" s="1"/>
  <c r="X274" i="13"/>
  <c r="W274" i="13"/>
  <c r="V274" i="13"/>
  <c r="BB273" i="13"/>
  <c r="BA273" i="13"/>
  <c r="AZ273" i="13"/>
  <c r="AY273" i="13"/>
  <c r="AX273" i="13"/>
  <c r="AW273" i="13"/>
  <c r="AT273" i="13"/>
  <c r="AP273" i="13"/>
  <c r="AO273" i="13"/>
  <c r="AN273" i="13"/>
  <c r="AM273" i="13"/>
  <c r="AF273" i="13"/>
  <c r="AI273" i="13" s="1"/>
  <c r="AD273" i="13"/>
  <c r="AH273" i="13" s="1"/>
  <c r="X273" i="13"/>
  <c r="W273" i="13"/>
  <c r="V273" i="13"/>
  <c r="BB272" i="13"/>
  <c r="BA272" i="13"/>
  <c r="AZ272" i="13"/>
  <c r="AY272" i="13"/>
  <c r="AX272" i="13"/>
  <c r="AW272" i="13"/>
  <c r="AT272" i="13"/>
  <c r="AP272" i="13"/>
  <c r="AN272" i="13"/>
  <c r="BC272" i="13" s="1"/>
  <c r="AM272" i="13"/>
  <c r="AF272" i="13"/>
  <c r="AD272" i="13"/>
  <c r="AH272" i="13" s="1"/>
  <c r="X272" i="13"/>
  <c r="W272" i="13"/>
  <c r="V272" i="13"/>
  <c r="BB271" i="13"/>
  <c r="BA271" i="13"/>
  <c r="AZ271" i="13"/>
  <c r="AY271" i="13"/>
  <c r="AX271" i="13"/>
  <c r="AW271" i="13"/>
  <c r="AT271" i="13"/>
  <c r="AP271" i="13"/>
  <c r="AN271" i="13"/>
  <c r="BC271" i="13" s="1"/>
  <c r="AM271" i="13"/>
  <c r="AF271" i="13"/>
  <c r="AS271" i="13" s="1"/>
  <c r="AD271" i="13"/>
  <c r="AH271" i="13" s="1"/>
  <c r="X271" i="13"/>
  <c r="W271" i="13"/>
  <c r="V271" i="13"/>
  <c r="BB270" i="13"/>
  <c r="BA270" i="13"/>
  <c r="AZ270" i="13"/>
  <c r="AY270" i="13"/>
  <c r="AX270" i="13"/>
  <c r="AW270" i="13"/>
  <c r="AT270" i="13"/>
  <c r="AP270" i="13"/>
  <c r="AO270" i="13"/>
  <c r="AN270" i="13"/>
  <c r="BC270" i="13" s="1"/>
  <c r="AM270" i="13"/>
  <c r="AF270" i="13"/>
  <c r="AD270" i="13"/>
  <c r="AH270" i="13" s="1"/>
  <c r="X270" i="13"/>
  <c r="W270" i="13"/>
  <c r="V270" i="13"/>
  <c r="BB269" i="13"/>
  <c r="BA269" i="13"/>
  <c r="AZ269" i="13"/>
  <c r="AY269" i="13"/>
  <c r="AX269" i="13"/>
  <c r="AW269" i="13"/>
  <c r="AT269" i="13"/>
  <c r="AP269" i="13"/>
  <c r="AO269" i="13"/>
  <c r="AN269" i="13"/>
  <c r="BC269" i="13" s="1"/>
  <c r="AM269" i="13"/>
  <c r="AF269" i="13"/>
  <c r="AS269" i="13" s="1"/>
  <c r="AD269" i="13"/>
  <c r="AH269" i="13" s="1"/>
  <c r="X269" i="13"/>
  <c r="W269" i="13"/>
  <c r="V269" i="13"/>
  <c r="BB268" i="13"/>
  <c r="BA268" i="13"/>
  <c r="AZ268" i="13"/>
  <c r="AY268" i="13"/>
  <c r="AX268" i="13"/>
  <c r="AW268" i="13"/>
  <c r="AT268" i="13"/>
  <c r="AP268" i="13"/>
  <c r="AO268" i="13"/>
  <c r="AN268" i="13"/>
  <c r="AM268" i="13"/>
  <c r="AF268" i="13"/>
  <c r="AI268" i="13" s="1"/>
  <c r="AD268" i="13"/>
  <c r="AH268" i="13" s="1"/>
  <c r="X268" i="13"/>
  <c r="W268" i="13"/>
  <c r="V268" i="13"/>
  <c r="BB267" i="13"/>
  <c r="BA267" i="13"/>
  <c r="AZ267" i="13"/>
  <c r="AY267" i="13"/>
  <c r="AX267" i="13"/>
  <c r="AW267" i="13"/>
  <c r="AT267" i="13"/>
  <c r="AP267" i="13"/>
  <c r="AN267" i="13"/>
  <c r="AM267" i="13"/>
  <c r="AF267" i="13"/>
  <c r="AS267" i="13" s="1"/>
  <c r="AD267" i="13"/>
  <c r="AH267" i="13" s="1"/>
  <c r="X267" i="13"/>
  <c r="W267" i="13"/>
  <c r="V267" i="13"/>
  <c r="BB266" i="13"/>
  <c r="BA266" i="13"/>
  <c r="AZ266" i="13"/>
  <c r="AY266" i="13"/>
  <c r="AX266" i="13"/>
  <c r="AW266" i="13"/>
  <c r="AT266" i="13"/>
  <c r="AP266" i="13"/>
  <c r="AO266" i="13"/>
  <c r="AN266" i="13"/>
  <c r="BC266" i="13" s="1"/>
  <c r="AM266" i="13"/>
  <c r="AF266" i="13"/>
  <c r="AD266" i="13"/>
  <c r="AH266" i="13" s="1"/>
  <c r="X266" i="13"/>
  <c r="W266" i="13"/>
  <c r="V266" i="13"/>
  <c r="BB265" i="13"/>
  <c r="BA265" i="13"/>
  <c r="AZ265" i="13"/>
  <c r="AY265" i="13"/>
  <c r="AX265" i="13"/>
  <c r="AW265" i="13"/>
  <c r="AT265" i="13"/>
  <c r="AP265" i="13"/>
  <c r="AO265" i="13"/>
  <c r="AN265" i="13"/>
  <c r="BC265" i="13" s="1"/>
  <c r="AM265" i="13"/>
  <c r="AF265" i="13"/>
  <c r="AS265" i="13" s="1"/>
  <c r="AD265" i="13"/>
  <c r="AH265" i="13" s="1"/>
  <c r="X265" i="13"/>
  <c r="W265" i="13"/>
  <c r="V265" i="13"/>
  <c r="BB264" i="13"/>
  <c r="BA264" i="13"/>
  <c r="AZ264" i="13"/>
  <c r="AY264" i="13"/>
  <c r="AX264" i="13"/>
  <c r="AW264" i="13"/>
  <c r="AT264" i="13"/>
  <c r="AP264" i="13"/>
  <c r="AO264" i="13"/>
  <c r="AN264" i="13"/>
  <c r="BC264" i="13" s="1"/>
  <c r="AM264" i="13"/>
  <c r="AF264" i="13"/>
  <c r="AI264" i="13" s="1"/>
  <c r="AD264" i="13"/>
  <c r="AH264" i="13" s="1"/>
  <c r="X264" i="13"/>
  <c r="W264" i="13"/>
  <c r="V264" i="13"/>
  <c r="BB263" i="13"/>
  <c r="BA263" i="13"/>
  <c r="AZ263" i="13"/>
  <c r="AY263" i="13"/>
  <c r="AX263" i="13"/>
  <c r="AW263" i="13"/>
  <c r="AT263" i="13"/>
  <c r="AP263" i="13"/>
  <c r="AO263" i="13"/>
  <c r="AN263" i="13"/>
  <c r="AM263" i="13"/>
  <c r="AF263" i="13"/>
  <c r="AD263" i="13"/>
  <c r="AH263" i="13" s="1"/>
  <c r="X263" i="13"/>
  <c r="W263" i="13"/>
  <c r="V263" i="13"/>
  <c r="BB262" i="13"/>
  <c r="BA262" i="13"/>
  <c r="AZ262" i="13"/>
  <c r="AY262" i="13"/>
  <c r="AX262" i="13"/>
  <c r="AW262" i="13"/>
  <c r="AT262" i="13"/>
  <c r="AP262" i="13"/>
  <c r="AO262" i="13"/>
  <c r="AN262" i="13"/>
  <c r="BC262" i="13" s="1"/>
  <c r="AM262" i="13"/>
  <c r="AF262" i="13"/>
  <c r="AS262" i="13" s="1"/>
  <c r="AD262" i="13"/>
  <c r="AH262" i="13" s="1"/>
  <c r="X262" i="13"/>
  <c r="W262" i="13"/>
  <c r="V262" i="13"/>
  <c r="BB261" i="13"/>
  <c r="BA261" i="13"/>
  <c r="AZ261" i="13"/>
  <c r="AY261" i="13"/>
  <c r="AX261" i="13"/>
  <c r="AW261" i="13"/>
  <c r="AT261" i="13"/>
  <c r="AP261" i="13"/>
  <c r="AN261" i="13"/>
  <c r="BC261" i="13" s="1"/>
  <c r="AM261" i="13"/>
  <c r="AF261" i="13"/>
  <c r="Y261" i="13" s="1"/>
  <c r="AD261" i="13"/>
  <c r="AH261" i="13" s="1"/>
  <c r="X261" i="13"/>
  <c r="W261" i="13"/>
  <c r="V261" i="13"/>
  <c r="BB260" i="13"/>
  <c r="BA260" i="13"/>
  <c r="AZ260" i="13"/>
  <c r="AY260" i="13"/>
  <c r="AX260" i="13"/>
  <c r="AW260" i="13"/>
  <c r="AT260" i="13"/>
  <c r="AP260" i="13"/>
  <c r="AO260" i="13"/>
  <c r="AN260" i="13"/>
  <c r="AM260" i="13"/>
  <c r="AF260" i="13"/>
  <c r="Y260" i="13" s="1"/>
  <c r="AD260" i="13"/>
  <c r="AH260" i="13" s="1"/>
  <c r="X260" i="13"/>
  <c r="W260" i="13"/>
  <c r="V260" i="13"/>
  <c r="BB259" i="13"/>
  <c r="BA259" i="13"/>
  <c r="AZ259" i="13"/>
  <c r="AY259" i="13"/>
  <c r="AX259" i="13"/>
  <c r="AW259" i="13"/>
  <c r="AT259" i="13"/>
  <c r="AP259" i="13"/>
  <c r="AO259" i="13"/>
  <c r="AN259" i="13"/>
  <c r="BC259" i="13" s="1"/>
  <c r="AM259" i="13"/>
  <c r="AF259" i="13"/>
  <c r="AS259" i="13" s="1"/>
  <c r="AD259" i="13"/>
  <c r="AH259" i="13" s="1"/>
  <c r="X259" i="13"/>
  <c r="W259" i="13"/>
  <c r="V259" i="13"/>
  <c r="BB258" i="13"/>
  <c r="BA258" i="13"/>
  <c r="AZ258" i="13"/>
  <c r="AY258" i="13"/>
  <c r="AX258" i="13"/>
  <c r="AW258" i="13"/>
  <c r="AT258" i="13"/>
  <c r="AP258" i="13"/>
  <c r="AN258" i="13"/>
  <c r="BC258" i="13" s="1"/>
  <c r="AM258" i="13"/>
  <c r="AF258" i="13"/>
  <c r="AD258" i="13"/>
  <c r="AH258" i="13" s="1"/>
  <c r="X258" i="13"/>
  <c r="W258" i="13"/>
  <c r="V258" i="13"/>
  <c r="BB257" i="13"/>
  <c r="BA257" i="13"/>
  <c r="AZ257" i="13"/>
  <c r="AY257" i="13"/>
  <c r="AX257" i="13"/>
  <c r="AW257" i="13"/>
  <c r="AT257" i="13"/>
  <c r="AP257" i="13"/>
  <c r="AN257" i="13"/>
  <c r="BC257" i="13" s="1"/>
  <c r="AM257" i="13"/>
  <c r="AF257" i="13"/>
  <c r="AD257" i="13"/>
  <c r="AH257" i="13" s="1"/>
  <c r="X257" i="13"/>
  <c r="W257" i="13"/>
  <c r="V257" i="13"/>
  <c r="BB256" i="13"/>
  <c r="BA256" i="13"/>
  <c r="AZ256" i="13"/>
  <c r="AY256" i="13"/>
  <c r="AX256" i="13"/>
  <c r="AW256" i="13"/>
  <c r="AT256" i="13"/>
  <c r="AP256" i="13"/>
  <c r="AN256" i="13"/>
  <c r="BC256" i="13" s="1"/>
  <c r="AM256" i="13"/>
  <c r="AF256" i="13"/>
  <c r="AI256" i="13" s="1"/>
  <c r="AD256" i="13"/>
  <c r="AH256" i="13" s="1"/>
  <c r="X256" i="13"/>
  <c r="W256" i="13"/>
  <c r="V256" i="13"/>
  <c r="BB255" i="13"/>
  <c r="BA255" i="13"/>
  <c r="AZ255" i="13"/>
  <c r="AY255" i="13"/>
  <c r="AX255" i="13"/>
  <c r="AW255" i="13"/>
  <c r="AT255" i="13"/>
  <c r="AP255" i="13"/>
  <c r="AN255" i="13"/>
  <c r="AM255" i="13"/>
  <c r="AF255" i="13"/>
  <c r="AS255" i="13" s="1"/>
  <c r="AD255" i="13"/>
  <c r="AH255" i="13" s="1"/>
  <c r="X255" i="13"/>
  <c r="W255" i="13"/>
  <c r="V255" i="13"/>
  <c r="BB254" i="13"/>
  <c r="BA254" i="13"/>
  <c r="AZ254" i="13"/>
  <c r="AY254" i="13"/>
  <c r="AX254" i="13"/>
  <c r="AW254" i="13"/>
  <c r="AT254" i="13"/>
  <c r="AP254" i="13"/>
  <c r="AN254" i="13"/>
  <c r="BC254" i="13" s="1"/>
  <c r="AM254" i="13"/>
  <c r="AF254" i="13"/>
  <c r="Y254" i="13" s="1"/>
  <c r="AD254" i="13"/>
  <c r="AH254" i="13" s="1"/>
  <c r="X254" i="13"/>
  <c r="W254" i="13"/>
  <c r="V254" i="13"/>
  <c r="BB253" i="13"/>
  <c r="BA253" i="13"/>
  <c r="AZ253" i="13"/>
  <c r="AY253" i="13"/>
  <c r="AX253" i="13"/>
  <c r="AW253" i="13"/>
  <c r="AT253" i="13"/>
  <c r="AP253" i="13"/>
  <c r="AN253" i="13"/>
  <c r="BC253" i="13" s="1"/>
  <c r="AM253" i="13"/>
  <c r="AF253" i="13"/>
  <c r="AD253" i="13"/>
  <c r="AH253" i="13" s="1"/>
  <c r="X253" i="13"/>
  <c r="W253" i="13"/>
  <c r="V253" i="13"/>
  <c r="BB252" i="13"/>
  <c r="BA252" i="13"/>
  <c r="AZ252" i="13"/>
  <c r="AY252" i="13"/>
  <c r="AX252" i="13"/>
  <c r="AW252" i="13"/>
  <c r="AT252" i="13"/>
  <c r="AP252" i="13"/>
  <c r="AN252" i="13"/>
  <c r="BC252" i="13" s="1"/>
  <c r="AM252" i="13"/>
  <c r="AF252" i="13"/>
  <c r="AI252" i="13" s="1"/>
  <c r="AD252" i="13"/>
  <c r="AH252" i="13" s="1"/>
  <c r="X252" i="13"/>
  <c r="W252" i="13"/>
  <c r="V252" i="13"/>
  <c r="BB251" i="13"/>
  <c r="BA251" i="13"/>
  <c r="AZ251" i="13"/>
  <c r="AY251" i="13"/>
  <c r="AX251" i="13"/>
  <c r="AW251" i="13"/>
  <c r="AT251" i="13"/>
  <c r="AP251" i="13"/>
  <c r="AN251" i="13"/>
  <c r="AM251" i="13"/>
  <c r="AF251" i="13"/>
  <c r="AS251" i="13" s="1"/>
  <c r="AD251" i="13"/>
  <c r="AH251" i="13" s="1"/>
  <c r="X251" i="13"/>
  <c r="W251" i="13"/>
  <c r="V251" i="13"/>
  <c r="BB250" i="13"/>
  <c r="BA250" i="13"/>
  <c r="AZ250" i="13"/>
  <c r="AY250" i="13"/>
  <c r="AX250" i="13"/>
  <c r="AW250" i="13"/>
  <c r="AT250" i="13"/>
  <c r="AP250" i="13"/>
  <c r="AN250" i="13"/>
  <c r="BC250" i="13" s="1"/>
  <c r="AM250" i="13"/>
  <c r="AF250" i="13"/>
  <c r="Y250" i="13" s="1"/>
  <c r="AD250" i="13"/>
  <c r="AH250" i="13" s="1"/>
  <c r="X250" i="13"/>
  <c r="W250" i="13"/>
  <c r="V250" i="13"/>
  <c r="BB249" i="13"/>
  <c r="BA249" i="13"/>
  <c r="AZ249" i="13"/>
  <c r="AY249" i="13"/>
  <c r="AX249" i="13"/>
  <c r="AW249" i="13"/>
  <c r="AT249" i="13"/>
  <c r="AP249" i="13"/>
  <c r="AN249" i="13"/>
  <c r="BC249" i="13" s="1"/>
  <c r="AM249" i="13"/>
  <c r="AF249" i="13"/>
  <c r="Y249" i="13" s="1"/>
  <c r="AD249" i="13"/>
  <c r="AH249" i="13" s="1"/>
  <c r="X249" i="13"/>
  <c r="W249" i="13"/>
  <c r="V249" i="13"/>
  <c r="BB248" i="13"/>
  <c r="BA248" i="13"/>
  <c r="AZ248" i="13"/>
  <c r="AY248" i="13"/>
  <c r="AX248" i="13"/>
  <c r="AW248" i="13"/>
  <c r="AT248" i="13"/>
  <c r="AP248" i="13"/>
  <c r="AN248" i="13"/>
  <c r="BC248" i="13" s="1"/>
  <c r="AM248" i="13"/>
  <c r="AF248" i="13"/>
  <c r="AI248" i="13" s="1"/>
  <c r="AD248" i="13"/>
  <c r="AH248" i="13" s="1"/>
  <c r="X248" i="13"/>
  <c r="W248" i="13"/>
  <c r="V248" i="13"/>
  <c r="BB247" i="13"/>
  <c r="BA247" i="13"/>
  <c r="AZ247" i="13"/>
  <c r="AY247" i="13"/>
  <c r="AX247" i="13"/>
  <c r="AW247" i="13"/>
  <c r="AT247" i="13"/>
  <c r="AP247" i="13"/>
  <c r="AN247" i="13"/>
  <c r="AM247" i="13"/>
  <c r="AF247" i="13"/>
  <c r="AD247" i="13"/>
  <c r="AH247" i="13" s="1"/>
  <c r="X247" i="13"/>
  <c r="W247" i="13"/>
  <c r="V247" i="13"/>
  <c r="BB246" i="13"/>
  <c r="BA246" i="13"/>
  <c r="AZ246" i="13"/>
  <c r="AY246" i="13"/>
  <c r="AX246" i="13"/>
  <c r="AW246" i="13"/>
  <c r="AT246" i="13"/>
  <c r="AP246" i="13"/>
  <c r="AN246" i="13"/>
  <c r="BC246" i="13" s="1"/>
  <c r="AM246" i="13"/>
  <c r="AF246" i="13"/>
  <c r="AD246" i="13"/>
  <c r="AH246" i="13" s="1"/>
  <c r="X246" i="13"/>
  <c r="W246" i="13"/>
  <c r="V246" i="13"/>
  <c r="BB245" i="13"/>
  <c r="BA245" i="13"/>
  <c r="AZ245" i="13"/>
  <c r="AY245" i="13"/>
  <c r="AX245" i="13"/>
  <c r="AW245" i="13"/>
  <c r="AT245" i="13"/>
  <c r="AP245" i="13"/>
  <c r="AN245" i="13"/>
  <c r="BC245" i="13" s="1"/>
  <c r="AM245" i="13"/>
  <c r="AF245" i="13"/>
  <c r="Y245" i="13" s="1"/>
  <c r="AD245" i="13"/>
  <c r="AH245" i="13" s="1"/>
  <c r="X245" i="13"/>
  <c r="W245" i="13"/>
  <c r="V245" i="13"/>
  <c r="BB244" i="13"/>
  <c r="BA244" i="13"/>
  <c r="AZ244" i="13"/>
  <c r="AY244" i="13"/>
  <c r="AX244" i="13"/>
  <c r="AW244" i="13"/>
  <c r="AT244" i="13"/>
  <c r="AP244" i="13"/>
  <c r="AN244" i="13"/>
  <c r="BC244" i="13" s="1"/>
  <c r="AM244" i="13"/>
  <c r="AF244" i="13"/>
  <c r="AI244" i="13" s="1"/>
  <c r="AD244" i="13"/>
  <c r="AH244" i="13" s="1"/>
  <c r="X244" i="13"/>
  <c r="W244" i="13"/>
  <c r="V244" i="13"/>
  <c r="BB243" i="13"/>
  <c r="BA243" i="13"/>
  <c r="AZ243" i="13"/>
  <c r="AY243" i="13"/>
  <c r="AX243" i="13"/>
  <c r="AW243" i="13"/>
  <c r="AT243" i="13"/>
  <c r="AP243" i="13"/>
  <c r="AN243" i="13"/>
  <c r="AM243" i="13"/>
  <c r="AF243" i="13"/>
  <c r="AS243" i="13" s="1"/>
  <c r="AD243" i="13"/>
  <c r="AH243" i="13" s="1"/>
  <c r="X243" i="13"/>
  <c r="W243" i="13"/>
  <c r="V243" i="13"/>
  <c r="BB242" i="13"/>
  <c r="BA242" i="13"/>
  <c r="AZ242" i="13"/>
  <c r="AY242" i="13"/>
  <c r="AX242" i="13"/>
  <c r="AW242" i="13"/>
  <c r="AT242" i="13"/>
  <c r="AP242" i="13"/>
  <c r="AN242" i="13"/>
  <c r="BC242" i="13" s="1"/>
  <c r="AM242" i="13"/>
  <c r="AF242" i="13"/>
  <c r="AD242" i="13"/>
  <c r="AH242" i="13" s="1"/>
  <c r="X242" i="13"/>
  <c r="W242" i="13"/>
  <c r="V242" i="13"/>
  <c r="BB241" i="13"/>
  <c r="BA241" i="13"/>
  <c r="AZ241" i="13"/>
  <c r="AY241" i="13"/>
  <c r="AX241" i="13"/>
  <c r="AW241" i="13"/>
  <c r="AT241" i="13"/>
  <c r="AP241" i="13"/>
  <c r="AO241" i="13"/>
  <c r="AN241" i="13"/>
  <c r="BC241" i="13" s="1"/>
  <c r="AM241" i="13"/>
  <c r="AF241" i="13"/>
  <c r="Y241" i="13" s="1"/>
  <c r="AD241" i="13"/>
  <c r="AH241" i="13" s="1"/>
  <c r="X241" i="13"/>
  <c r="W241" i="13"/>
  <c r="V241" i="13"/>
  <c r="BB240" i="13"/>
  <c r="BA240" i="13"/>
  <c r="AZ240" i="13"/>
  <c r="AY240" i="13"/>
  <c r="AX240" i="13"/>
  <c r="AW240" i="13"/>
  <c r="AT240" i="13"/>
  <c r="AP240" i="13"/>
  <c r="AO240" i="13"/>
  <c r="AN240" i="13"/>
  <c r="AM240" i="13"/>
  <c r="AF240" i="13"/>
  <c r="AI240" i="13" s="1"/>
  <c r="AD240" i="13"/>
  <c r="AH240" i="13" s="1"/>
  <c r="X240" i="13"/>
  <c r="W240" i="13"/>
  <c r="V240" i="13"/>
  <c r="BB239" i="13"/>
  <c r="BA239" i="13"/>
  <c r="AZ239" i="13"/>
  <c r="AY239" i="13"/>
  <c r="AX239" i="13"/>
  <c r="AW239" i="13"/>
  <c r="AT239" i="13"/>
  <c r="AP239" i="13"/>
  <c r="AO239" i="13"/>
  <c r="AN239" i="13"/>
  <c r="AM239" i="13"/>
  <c r="AF239" i="13"/>
  <c r="AS239" i="13" s="1"/>
  <c r="AD239" i="13"/>
  <c r="AH239" i="13" s="1"/>
  <c r="X239" i="13"/>
  <c r="W239" i="13"/>
  <c r="V239" i="13"/>
  <c r="BB238" i="13"/>
  <c r="BA238" i="13"/>
  <c r="AZ238" i="13"/>
  <c r="AY238" i="13"/>
  <c r="AX238" i="13"/>
  <c r="AW238" i="13"/>
  <c r="AT238" i="13"/>
  <c r="AP238" i="13"/>
  <c r="AO238" i="13"/>
  <c r="AN238" i="13"/>
  <c r="BC238" i="13" s="1"/>
  <c r="AM238" i="13"/>
  <c r="AF238" i="13"/>
  <c r="AD238" i="13"/>
  <c r="AH238" i="13" s="1"/>
  <c r="X238" i="13"/>
  <c r="W238" i="13"/>
  <c r="V238" i="13"/>
  <c r="BB237" i="13"/>
  <c r="BA237" i="13"/>
  <c r="AZ237" i="13"/>
  <c r="AY237" i="13"/>
  <c r="AX237" i="13"/>
  <c r="AW237" i="13"/>
  <c r="AT237" i="13"/>
  <c r="AP237" i="13"/>
  <c r="AN237" i="13"/>
  <c r="BC237" i="13" s="1"/>
  <c r="AM237" i="13"/>
  <c r="AF237" i="13"/>
  <c r="Y237" i="13" s="1"/>
  <c r="AD237" i="13"/>
  <c r="AH237" i="13" s="1"/>
  <c r="X237" i="13"/>
  <c r="W237" i="13"/>
  <c r="V237" i="13"/>
  <c r="BB236" i="13"/>
  <c r="BA236" i="13"/>
  <c r="AZ236" i="13"/>
  <c r="AY236" i="13"/>
  <c r="AX236" i="13"/>
  <c r="AW236" i="13"/>
  <c r="AT236" i="13"/>
  <c r="AP236" i="13"/>
  <c r="AO236" i="13"/>
  <c r="AN236" i="13"/>
  <c r="AM236" i="13"/>
  <c r="AF236" i="13"/>
  <c r="AI236" i="13" s="1"/>
  <c r="AD236" i="13"/>
  <c r="AH236" i="13" s="1"/>
  <c r="X236" i="13"/>
  <c r="W236" i="13"/>
  <c r="V236" i="13"/>
  <c r="BB235" i="13"/>
  <c r="BA235" i="13"/>
  <c r="AZ235" i="13"/>
  <c r="AY235" i="13"/>
  <c r="AX235" i="13"/>
  <c r="AW235" i="13"/>
  <c r="AT235" i="13"/>
  <c r="AP235" i="13"/>
  <c r="AN235" i="13"/>
  <c r="AM235" i="13"/>
  <c r="AF235" i="13"/>
  <c r="AS235" i="13" s="1"/>
  <c r="AD235" i="13"/>
  <c r="AH235" i="13" s="1"/>
  <c r="X235" i="13"/>
  <c r="W235" i="13"/>
  <c r="V235" i="13"/>
  <c r="BB234" i="13"/>
  <c r="BA234" i="13"/>
  <c r="AZ234" i="13"/>
  <c r="AY234" i="13"/>
  <c r="AX234" i="13"/>
  <c r="AW234" i="13"/>
  <c r="AT234" i="13"/>
  <c r="AP234" i="13"/>
  <c r="AO234" i="13"/>
  <c r="AN234" i="13"/>
  <c r="BC234" i="13" s="1"/>
  <c r="AM234" i="13"/>
  <c r="AF234" i="13"/>
  <c r="Y234" i="13" s="1"/>
  <c r="AD234" i="13"/>
  <c r="AH234" i="13" s="1"/>
  <c r="X234" i="13"/>
  <c r="W234" i="13"/>
  <c r="V234" i="13"/>
  <c r="BB233" i="13"/>
  <c r="BA233" i="13"/>
  <c r="AZ233" i="13"/>
  <c r="AY233" i="13"/>
  <c r="AX233" i="13"/>
  <c r="AW233" i="13"/>
  <c r="AT233" i="13"/>
  <c r="AP233" i="13"/>
  <c r="AO233" i="13"/>
  <c r="AN233" i="13"/>
  <c r="BC233" i="13" s="1"/>
  <c r="AM233" i="13"/>
  <c r="AF233" i="13"/>
  <c r="Y233" i="13" s="1"/>
  <c r="AD233" i="13"/>
  <c r="AH233" i="13" s="1"/>
  <c r="X233" i="13"/>
  <c r="W233" i="13"/>
  <c r="V233" i="13"/>
  <c r="BB232" i="13"/>
  <c r="BA232" i="13"/>
  <c r="AZ232" i="13"/>
  <c r="AY232" i="13"/>
  <c r="AX232" i="13"/>
  <c r="AW232" i="13"/>
  <c r="AT232" i="13"/>
  <c r="AP232" i="13"/>
  <c r="AO232" i="13"/>
  <c r="AN232" i="13"/>
  <c r="BC232" i="13" s="1"/>
  <c r="AM232" i="13"/>
  <c r="AF232" i="13"/>
  <c r="AI232" i="13" s="1"/>
  <c r="AD232" i="13"/>
  <c r="AH232" i="13" s="1"/>
  <c r="X232" i="13"/>
  <c r="W232" i="13"/>
  <c r="V232" i="13"/>
  <c r="BB231" i="13"/>
  <c r="BA231" i="13"/>
  <c r="AZ231" i="13"/>
  <c r="AY231" i="13"/>
  <c r="AX231" i="13"/>
  <c r="AW231" i="13"/>
  <c r="AT231" i="13"/>
  <c r="AP231" i="13"/>
  <c r="AO231" i="13"/>
  <c r="AN231" i="13"/>
  <c r="AM231" i="13"/>
  <c r="AF231" i="13"/>
  <c r="AD231" i="13"/>
  <c r="AH231" i="13" s="1"/>
  <c r="X231" i="13"/>
  <c r="W231" i="13"/>
  <c r="V231" i="13"/>
  <c r="BB230" i="13"/>
  <c r="BA230" i="13"/>
  <c r="AZ230" i="13"/>
  <c r="AY230" i="13"/>
  <c r="AX230" i="13"/>
  <c r="AW230" i="13"/>
  <c r="AT230" i="13"/>
  <c r="AP230" i="13"/>
  <c r="AO230" i="13"/>
  <c r="AN230" i="13"/>
  <c r="BC230" i="13" s="1"/>
  <c r="AM230" i="13"/>
  <c r="AF230" i="13"/>
  <c r="AD230" i="13"/>
  <c r="AH230" i="13" s="1"/>
  <c r="X230" i="13"/>
  <c r="W230" i="13"/>
  <c r="V230" i="13"/>
  <c r="BB229" i="13"/>
  <c r="BA229" i="13"/>
  <c r="AZ229" i="13"/>
  <c r="AY229" i="13"/>
  <c r="AX229" i="13"/>
  <c r="AW229" i="13"/>
  <c r="AT229" i="13"/>
  <c r="AP229" i="13"/>
  <c r="AO229" i="13"/>
  <c r="AN229" i="13"/>
  <c r="BC229" i="13" s="1"/>
  <c r="AM229" i="13"/>
  <c r="AF229" i="13"/>
  <c r="Y229" i="13" s="1"/>
  <c r="AD229" i="13"/>
  <c r="AH229" i="13" s="1"/>
  <c r="X229" i="13"/>
  <c r="W229" i="13"/>
  <c r="V229" i="13"/>
  <c r="BB228" i="13"/>
  <c r="BA228" i="13"/>
  <c r="AZ228" i="13"/>
  <c r="AY228" i="13"/>
  <c r="AX228" i="13"/>
  <c r="AW228" i="13"/>
  <c r="AT228" i="13"/>
  <c r="AP228" i="13"/>
  <c r="AO228" i="13"/>
  <c r="AN228" i="13"/>
  <c r="BC228" i="13" s="1"/>
  <c r="AM228" i="13"/>
  <c r="AF228" i="13"/>
  <c r="AI228" i="13" s="1"/>
  <c r="AD228" i="13"/>
  <c r="AH228" i="13" s="1"/>
  <c r="X228" i="13"/>
  <c r="W228" i="13"/>
  <c r="V228" i="13"/>
  <c r="BB227" i="13"/>
  <c r="BA227" i="13"/>
  <c r="AZ227" i="13"/>
  <c r="AY227" i="13"/>
  <c r="AX227" i="13"/>
  <c r="AW227" i="13"/>
  <c r="AT227" i="13"/>
  <c r="AP227" i="13"/>
  <c r="AO227" i="13"/>
  <c r="AN227" i="13"/>
  <c r="BC227" i="13" s="1"/>
  <c r="AM227" i="13"/>
  <c r="AF227" i="13"/>
  <c r="AD227" i="13"/>
  <c r="AH227" i="13" s="1"/>
  <c r="X227" i="13"/>
  <c r="W227" i="13"/>
  <c r="V227" i="13"/>
  <c r="BB226" i="13"/>
  <c r="BA226" i="13"/>
  <c r="AZ226" i="13"/>
  <c r="AY226" i="13"/>
  <c r="AX226" i="13"/>
  <c r="AW226" i="13"/>
  <c r="AT226" i="13"/>
  <c r="AP226" i="13"/>
  <c r="AO226" i="13"/>
  <c r="AN226" i="13"/>
  <c r="BC226" i="13" s="1"/>
  <c r="AM226" i="13"/>
  <c r="AF226" i="13"/>
  <c r="Y226" i="13" s="1"/>
  <c r="AD226" i="13"/>
  <c r="AH226" i="13" s="1"/>
  <c r="X226" i="13"/>
  <c r="W226" i="13"/>
  <c r="V226" i="13"/>
  <c r="BB225" i="13"/>
  <c r="BA225" i="13"/>
  <c r="AZ225" i="13"/>
  <c r="AY225" i="13"/>
  <c r="AX225" i="13"/>
  <c r="AW225" i="13"/>
  <c r="AT225" i="13"/>
  <c r="AP225" i="13"/>
  <c r="AO225" i="13"/>
  <c r="AN225" i="13"/>
  <c r="BC225" i="13" s="1"/>
  <c r="AM225" i="13"/>
  <c r="AF225" i="13"/>
  <c r="Y225" i="13" s="1"/>
  <c r="AD225" i="13"/>
  <c r="AH225" i="13" s="1"/>
  <c r="X225" i="13"/>
  <c r="W225" i="13"/>
  <c r="V225" i="13"/>
  <c r="BB224" i="13"/>
  <c r="BA224" i="13"/>
  <c r="AZ224" i="13"/>
  <c r="AY224" i="13"/>
  <c r="AX224" i="13"/>
  <c r="AW224" i="13"/>
  <c r="AT224" i="13"/>
  <c r="AP224" i="13"/>
  <c r="AO224" i="13"/>
  <c r="AN224" i="13"/>
  <c r="AM224" i="13"/>
  <c r="AF224" i="13"/>
  <c r="AI224" i="13" s="1"/>
  <c r="AD224" i="13"/>
  <c r="AH224" i="13" s="1"/>
  <c r="X224" i="13"/>
  <c r="W224" i="13"/>
  <c r="V224" i="13"/>
  <c r="BB223" i="13"/>
  <c r="BA223" i="13"/>
  <c r="AZ223" i="13"/>
  <c r="AY223" i="13"/>
  <c r="AX223" i="13"/>
  <c r="AW223" i="13"/>
  <c r="AT223" i="13"/>
  <c r="AP223" i="13"/>
  <c r="AO223" i="13"/>
  <c r="AN223" i="13"/>
  <c r="BC223" i="13" s="1"/>
  <c r="AM223" i="13"/>
  <c r="AF223" i="13"/>
  <c r="AS223" i="13" s="1"/>
  <c r="AD223" i="13"/>
  <c r="AH223" i="13" s="1"/>
  <c r="X223" i="13"/>
  <c r="W223" i="13"/>
  <c r="V223" i="13"/>
  <c r="BB222" i="13"/>
  <c r="BA222" i="13"/>
  <c r="AZ222" i="13"/>
  <c r="AY222" i="13"/>
  <c r="AX222" i="13"/>
  <c r="AW222" i="13"/>
  <c r="AT222" i="13"/>
  <c r="AP222" i="13"/>
  <c r="AO222" i="13"/>
  <c r="AN222" i="13"/>
  <c r="BC222" i="13" s="1"/>
  <c r="AM222" i="13"/>
  <c r="AF222" i="13"/>
  <c r="AI222" i="13" s="1"/>
  <c r="AD222" i="13"/>
  <c r="AH222" i="13" s="1"/>
  <c r="X222" i="13"/>
  <c r="W222" i="13"/>
  <c r="V222" i="13"/>
  <c r="BB221" i="13"/>
  <c r="BA221" i="13"/>
  <c r="AZ221" i="13"/>
  <c r="AY221" i="13"/>
  <c r="AX221" i="13"/>
  <c r="AW221" i="13"/>
  <c r="AT221" i="13"/>
  <c r="AP221" i="13"/>
  <c r="AO221" i="13"/>
  <c r="AN221" i="13"/>
  <c r="BC221" i="13" s="1"/>
  <c r="AM221" i="13"/>
  <c r="AF221" i="13"/>
  <c r="AS221" i="13" s="1"/>
  <c r="AD221" i="13"/>
  <c r="AH221" i="13" s="1"/>
  <c r="X221" i="13"/>
  <c r="W221" i="13"/>
  <c r="V221" i="13"/>
  <c r="BB220" i="13"/>
  <c r="BA220" i="13"/>
  <c r="AZ220" i="13"/>
  <c r="AY220" i="13"/>
  <c r="AX220" i="13"/>
  <c r="AW220" i="13"/>
  <c r="AT220" i="13"/>
  <c r="AP220" i="13"/>
  <c r="AO220" i="13"/>
  <c r="AN220" i="13"/>
  <c r="BC220" i="13" s="1"/>
  <c r="AM220" i="13"/>
  <c r="AF220" i="13"/>
  <c r="Z220" i="13" s="1"/>
  <c r="AD220" i="13"/>
  <c r="AH220" i="13" s="1"/>
  <c r="X220" i="13"/>
  <c r="W220" i="13"/>
  <c r="V220" i="13"/>
  <c r="BB219" i="13"/>
  <c r="BA219" i="13"/>
  <c r="AZ219" i="13"/>
  <c r="AY219" i="13"/>
  <c r="AX219" i="13"/>
  <c r="AW219" i="13"/>
  <c r="AT219" i="13"/>
  <c r="AP219" i="13"/>
  <c r="AN219" i="13"/>
  <c r="BC219" i="13" s="1"/>
  <c r="AM219" i="13"/>
  <c r="AF219" i="13"/>
  <c r="AI219" i="13" s="1"/>
  <c r="AD219" i="13"/>
  <c r="AH219" i="13" s="1"/>
  <c r="X219" i="13"/>
  <c r="W219" i="13"/>
  <c r="V219" i="13"/>
  <c r="BB218" i="13"/>
  <c r="BA218" i="13"/>
  <c r="AZ218" i="13"/>
  <c r="AY218" i="13"/>
  <c r="AX218" i="13"/>
  <c r="AW218" i="13"/>
  <c r="AT218" i="13"/>
  <c r="AP218" i="13"/>
  <c r="AN218" i="13"/>
  <c r="BC218" i="13" s="1"/>
  <c r="AM218" i="13"/>
  <c r="AF218" i="13"/>
  <c r="AI218" i="13" s="1"/>
  <c r="AD218" i="13"/>
  <c r="AH218" i="13" s="1"/>
  <c r="X218" i="13"/>
  <c r="W218" i="13"/>
  <c r="V218" i="13"/>
  <c r="BB217" i="13"/>
  <c r="BA217" i="13"/>
  <c r="AZ217" i="13"/>
  <c r="AY217" i="13"/>
  <c r="AX217" i="13"/>
  <c r="AW217" i="13"/>
  <c r="AT217" i="13"/>
  <c r="AP217" i="13"/>
  <c r="AN217" i="13"/>
  <c r="BC217" i="13" s="1"/>
  <c r="AM217" i="13"/>
  <c r="AF217" i="13"/>
  <c r="AS217" i="13" s="1"/>
  <c r="AD217" i="13"/>
  <c r="AH217" i="13" s="1"/>
  <c r="X217" i="13"/>
  <c r="W217" i="13"/>
  <c r="V217" i="13"/>
  <c r="BB216" i="13"/>
  <c r="BA216" i="13"/>
  <c r="AZ216" i="13"/>
  <c r="AY216" i="13"/>
  <c r="AX216" i="13"/>
  <c r="AW216" i="13"/>
  <c r="AT216" i="13"/>
  <c r="AP216" i="13"/>
  <c r="AN216" i="13"/>
  <c r="BC216" i="13" s="1"/>
  <c r="AM216" i="13"/>
  <c r="AF216" i="13"/>
  <c r="AS216" i="13" s="1"/>
  <c r="AD216" i="13"/>
  <c r="AH216" i="13" s="1"/>
  <c r="X216" i="13"/>
  <c r="W216" i="13"/>
  <c r="V216" i="13"/>
  <c r="BB215" i="13"/>
  <c r="BA215" i="13"/>
  <c r="AZ215" i="13"/>
  <c r="AY215" i="13"/>
  <c r="AX215" i="13"/>
  <c r="AW215" i="13"/>
  <c r="AT215" i="13"/>
  <c r="AP215" i="13"/>
  <c r="AN215" i="13"/>
  <c r="BC215" i="13" s="1"/>
  <c r="AM215" i="13"/>
  <c r="AF215" i="13"/>
  <c r="AD215" i="13"/>
  <c r="AH215" i="13" s="1"/>
  <c r="X215" i="13"/>
  <c r="W215" i="13"/>
  <c r="V215" i="13"/>
  <c r="BB214" i="13"/>
  <c r="BA214" i="13"/>
  <c r="AZ214" i="13"/>
  <c r="AY214" i="13"/>
  <c r="AX214" i="13"/>
  <c r="AW214" i="13"/>
  <c r="AT214" i="13"/>
  <c r="AP214" i="13"/>
  <c r="AN214" i="13"/>
  <c r="BC214" i="13" s="1"/>
  <c r="AM214" i="13"/>
  <c r="AF214" i="13"/>
  <c r="Y214" i="13" s="1"/>
  <c r="AD214" i="13"/>
  <c r="AH214" i="13" s="1"/>
  <c r="X214" i="13"/>
  <c r="W214" i="13"/>
  <c r="V214" i="13"/>
  <c r="BB213" i="13"/>
  <c r="BA213" i="13"/>
  <c r="AZ213" i="13"/>
  <c r="AY213" i="13"/>
  <c r="AX213" i="13"/>
  <c r="AW213" i="13"/>
  <c r="AT213" i="13"/>
  <c r="AP213" i="13"/>
  <c r="AN213" i="13"/>
  <c r="BC213" i="13" s="1"/>
  <c r="AM213" i="13"/>
  <c r="AF213" i="13"/>
  <c r="AS213" i="13" s="1"/>
  <c r="AD213" i="13"/>
  <c r="AH213" i="13" s="1"/>
  <c r="X213" i="13"/>
  <c r="W213" i="13"/>
  <c r="V213" i="13"/>
  <c r="BB212" i="13"/>
  <c r="BA212" i="13"/>
  <c r="AZ212" i="13"/>
  <c r="AY212" i="13"/>
  <c r="AX212" i="13"/>
  <c r="AW212" i="13"/>
  <c r="AT212" i="13"/>
  <c r="AP212" i="13"/>
  <c r="AN212" i="13"/>
  <c r="BC212" i="13" s="1"/>
  <c r="AM212" i="13"/>
  <c r="AF212" i="13"/>
  <c r="AS212" i="13" s="1"/>
  <c r="AD212" i="13"/>
  <c r="AH212" i="13" s="1"/>
  <c r="X212" i="13"/>
  <c r="W212" i="13"/>
  <c r="V212" i="13"/>
  <c r="BB211" i="13"/>
  <c r="BA211" i="13"/>
  <c r="AZ211" i="13"/>
  <c r="AY211" i="13"/>
  <c r="AX211" i="13"/>
  <c r="AW211" i="13"/>
  <c r="AT211" i="13"/>
  <c r="AP211" i="13"/>
  <c r="AN211" i="13"/>
  <c r="BC211" i="13" s="1"/>
  <c r="AM211" i="13"/>
  <c r="AF211" i="13"/>
  <c r="AI211" i="13" s="1"/>
  <c r="AD211" i="13"/>
  <c r="AH211" i="13" s="1"/>
  <c r="X211" i="13"/>
  <c r="W211" i="13"/>
  <c r="V211" i="13"/>
  <c r="BB210" i="13"/>
  <c r="BA210" i="13"/>
  <c r="AZ210" i="13"/>
  <c r="AY210" i="13"/>
  <c r="AX210" i="13"/>
  <c r="AW210" i="13"/>
  <c r="AT210" i="13"/>
  <c r="AP210" i="13"/>
  <c r="AN210" i="13"/>
  <c r="BC210" i="13" s="1"/>
  <c r="AM210" i="13"/>
  <c r="AF210" i="13"/>
  <c r="AI210" i="13" s="1"/>
  <c r="AD210" i="13"/>
  <c r="AH210" i="13" s="1"/>
  <c r="X210" i="13"/>
  <c r="W210" i="13"/>
  <c r="V210" i="13"/>
  <c r="BB209" i="13"/>
  <c r="BA209" i="13"/>
  <c r="AZ209" i="13"/>
  <c r="AY209" i="13"/>
  <c r="AX209" i="13"/>
  <c r="AW209" i="13"/>
  <c r="AT209" i="13"/>
  <c r="AP209" i="13"/>
  <c r="AO209" i="13"/>
  <c r="AN209" i="13"/>
  <c r="BC209" i="13" s="1"/>
  <c r="AM209" i="13"/>
  <c r="AF209" i="13"/>
  <c r="AS209" i="13" s="1"/>
  <c r="AD209" i="13"/>
  <c r="AH209" i="13" s="1"/>
  <c r="X209" i="13"/>
  <c r="W209" i="13"/>
  <c r="V209" i="13"/>
  <c r="BB208" i="13"/>
  <c r="BA208" i="13"/>
  <c r="AZ208" i="13"/>
  <c r="AY208" i="13"/>
  <c r="AX208" i="13"/>
  <c r="AW208" i="13"/>
  <c r="AT208" i="13"/>
  <c r="AP208" i="13"/>
  <c r="AN208" i="13"/>
  <c r="BC208" i="13" s="1"/>
  <c r="AM208" i="13"/>
  <c r="AF208" i="13"/>
  <c r="AS208" i="13" s="1"/>
  <c r="AD208" i="13"/>
  <c r="AH208" i="13" s="1"/>
  <c r="X208" i="13"/>
  <c r="W208" i="13"/>
  <c r="V208" i="13"/>
  <c r="BB207" i="13"/>
  <c r="BA207" i="13"/>
  <c r="AZ207" i="13"/>
  <c r="AY207" i="13"/>
  <c r="AX207" i="13"/>
  <c r="AW207" i="13"/>
  <c r="AT207" i="13"/>
  <c r="AP207" i="13"/>
  <c r="AN207" i="13"/>
  <c r="BC207" i="13" s="1"/>
  <c r="AM207" i="13"/>
  <c r="AF207" i="13"/>
  <c r="AI207" i="13" s="1"/>
  <c r="AD207" i="13"/>
  <c r="AH207" i="13" s="1"/>
  <c r="X207" i="13"/>
  <c r="W207" i="13"/>
  <c r="V207" i="13"/>
  <c r="BB206" i="13"/>
  <c r="BA206" i="13"/>
  <c r="AZ206" i="13"/>
  <c r="AY206" i="13"/>
  <c r="AX206" i="13"/>
  <c r="AW206" i="13"/>
  <c r="AT206" i="13"/>
  <c r="AP206" i="13"/>
  <c r="AN206" i="13"/>
  <c r="BC206" i="13" s="1"/>
  <c r="AM206" i="13"/>
  <c r="AF206" i="13"/>
  <c r="AD206" i="13"/>
  <c r="AH206" i="13" s="1"/>
  <c r="X206" i="13"/>
  <c r="W206" i="13"/>
  <c r="V206" i="13"/>
  <c r="BB205" i="13"/>
  <c r="BA205" i="13"/>
  <c r="AZ205" i="13"/>
  <c r="AY205" i="13"/>
  <c r="AX205" i="13"/>
  <c r="AW205" i="13"/>
  <c r="AT205" i="13"/>
  <c r="AP205" i="13"/>
  <c r="AN205" i="13"/>
  <c r="BC205" i="13" s="1"/>
  <c r="AM205" i="13"/>
  <c r="AF205" i="13"/>
  <c r="Y205" i="13" s="1"/>
  <c r="AD205" i="13"/>
  <c r="AH205" i="13" s="1"/>
  <c r="X205" i="13"/>
  <c r="W205" i="13"/>
  <c r="V205" i="13"/>
  <c r="BB204" i="13"/>
  <c r="BA204" i="13"/>
  <c r="AZ204" i="13"/>
  <c r="AY204" i="13"/>
  <c r="AX204" i="13"/>
  <c r="AW204" i="13"/>
  <c r="AT204" i="13"/>
  <c r="AP204" i="13"/>
  <c r="AN204" i="13"/>
  <c r="BC204" i="13" s="1"/>
  <c r="AM204" i="13"/>
  <c r="AF204" i="13"/>
  <c r="AD204" i="13"/>
  <c r="AH204" i="13" s="1"/>
  <c r="X204" i="13"/>
  <c r="W204" i="13"/>
  <c r="V204" i="13"/>
  <c r="BB203" i="13"/>
  <c r="BA203" i="13"/>
  <c r="AZ203" i="13"/>
  <c r="AY203" i="13"/>
  <c r="AX203" i="13"/>
  <c r="AW203" i="13"/>
  <c r="AT203" i="13"/>
  <c r="AP203" i="13"/>
  <c r="AN203" i="13"/>
  <c r="BC203" i="13" s="1"/>
  <c r="AM203" i="13"/>
  <c r="AF203" i="13"/>
  <c r="AI203" i="13" s="1"/>
  <c r="AD203" i="13"/>
  <c r="AH203" i="13" s="1"/>
  <c r="X203" i="13"/>
  <c r="W203" i="13"/>
  <c r="V203" i="13"/>
  <c r="BB202" i="13"/>
  <c r="BA202" i="13"/>
  <c r="AZ202" i="13"/>
  <c r="AY202" i="13"/>
  <c r="AX202" i="13"/>
  <c r="AW202" i="13"/>
  <c r="AT202" i="13"/>
  <c r="AP202" i="13"/>
  <c r="AO202" i="13"/>
  <c r="AN202" i="13"/>
  <c r="BC202" i="13" s="1"/>
  <c r="AM202" i="13"/>
  <c r="AF202" i="13"/>
  <c r="AI202" i="13" s="1"/>
  <c r="AD202" i="13"/>
  <c r="AH202" i="13" s="1"/>
  <c r="X202" i="13"/>
  <c r="W202" i="13"/>
  <c r="V202" i="13"/>
  <c r="BB201" i="13"/>
  <c r="BA201" i="13"/>
  <c r="AZ201" i="13"/>
  <c r="AY201" i="13"/>
  <c r="AX201" i="13"/>
  <c r="AW201" i="13"/>
  <c r="AT201" i="13"/>
  <c r="AP201" i="13"/>
  <c r="AN201" i="13"/>
  <c r="BC201" i="13" s="1"/>
  <c r="AM201" i="13"/>
  <c r="AF201" i="13"/>
  <c r="AS201" i="13" s="1"/>
  <c r="AD201" i="13"/>
  <c r="AH201" i="13" s="1"/>
  <c r="X201" i="13"/>
  <c r="W201" i="13"/>
  <c r="V201" i="13"/>
  <c r="BB200" i="13"/>
  <c r="BA200" i="13"/>
  <c r="AZ200" i="13"/>
  <c r="AY200" i="13"/>
  <c r="AX200" i="13"/>
  <c r="AW200" i="13"/>
  <c r="AT200" i="13"/>
  <c r="AP200" i="13"/>
  <c r="AN200" i="13"/>
  <c r="BC200" i="13" s="1"/>
  <c r="AM200" i="13"/>
  <c r="AF200" i="13"/>
  <c r="AS200" i="13" s="1"/>
  <c r="AD200" i="13"/>
  <c r="AH200" i="13" s="1"/>
  <c r="X200" i="13"/>
  <c r="W200" i="13"/>
  <c r="V200" i="13"/>
  <c r="BB199" i="13"/>
  <c r="BA199" i="13"/>
  <c r="AZ199" i="13"/>
  <c r="AY199" i="13"/>
  <c r="AX199" i="13"/>
  <c r="AW199" i="13"/>
  <c r="AT199" i="13"/>
  <c r="AP199" i="13"/>
  <c r="AN199" i="13"/>
  <c r="BC199" i="13" s="1"/>
  <c r="AM199" i="13"/>
  <c r="AF199" i="13"/>
  <c r="AI199" i="13" s="1"/>
  <c r="AD199" i="13"/>
  <c r="AH199" i="13" s="1"/>
  <c r="X199" i="13"/>
  <c r="W199" i="13"/>
  <c r="V199" i="13"/>
  <c r="BB198" i="13"/>
  <c r="BA198" i="13"/>
  <c r="AZ198" i="13"/>
  <c r="AY198" i="13"/>
  <c r="AX198" i="13"/>
  <c r="AW198" i="13"/>
  <c r="AT198" i="13"/>
  <c r="AP198" i="13"/>
  <c r="AN198" i="13"/>
  <c r="BC198" i="13" s="1"/>
  <c r="AM198" i="13"/>
  <c r="AF198" i="13"/>
  <c r="AI198" i="13" s="1"/>
  <c r="AD198" i="13"/>
  <c r="AH198" i="13" s="1"/>
  <c r="X198" i="13"/>
  <c r="W198" i="13"/>
  <c r="V198" i="13"/>
  <c r="BB197" i="13"/>
  <c r="BA197" i="13"/>
  <c r="AZ197" i="13"/>
  <c r="AY197" i="13"/>
  <c r="AX197" i="13"/>
  <c r="AW197" i="13"/>
  <c r="AT197" i="13"/>
  <c r="AP197" i="13"/>
  <c r="AN197" i="13"/>
  <c r="BC197" i="13" s="1"/>
  <c r="AM197" i="13"/>
  <c r="AF197" i="13"/>
  <c r="AS197" i="13" s="1"/>
  <c r="AD197" i="13"/>
  <c r="AH197" i="13" s="1"/>
  <c r="X197" i="13"/>
  <c r="W197" i="13"/>
  <c r="V197" i="13"/>
  <c r="BB196" i="13"/>
  <c r="BA196" i="13"/>
  <c r="AZ196" i="13"/>
  <c r="AY196" i="13"/>
  <c r="AX196" i="13"/>
  <c r="AW196" i="13"/>
  <c r="AT196" i="13"/>
  <c r="AP196" i="13"/>
  <c r="AO196" i="13"/>
  <c r="AN196" i="13"/>
  <c r="BC196" i="13" s="1"/>
  <c r="AM196" i="13"/>
  <c r="AF196" i="13"/>
  <c r="AS196" i="13" s="1"/>
  <c r="AD196" i="13"/>
  <c r="AH196" i="13" s="1"/>
  <c r="X196" i="13"/>
  <c r="W196" i="13"/>
  <c r="V196" i="13"/>
  <c r="BB195" i="13"/>
  <c r="BA195" i="13"/>
  <c r="AZ195" i="13"/>
  <c r="AY195" i="13"/>
  <c r="AX195" i="13"/>
  <c r="AW195" i="13"/>
  <c r="AT195" i="13"/>
  <c r="AP195" i="13"/>
  <c r="AN195" i="13"/>
  <c r="BC195" i="13" s="1"/>
  <c r="AM195" i="13"/>
  <c r="AF195" i="13"/>
  <c r="AI195" i="13" s="1"/>
  <c r="AD195" i="13"/>
  <c r="AH195" i="13" s="1"/>
  <c r="X195" i="13"/>
  <c r="W195" i="13"/>
  <c r="V195" i="13"/>
  <c r="BB194" i="13"/>
  <c r="BA194" i="13"/>
  <c r="AZ194" i="13"/>
  <c r="AY194" i="13"/>
  <c r="AX194" i="13"/>
  <c r="AW194" i="13"/>
  <c r="AT194" i="13"/>
  <c r="AP194" i="13"/>
  <c r="AO194" i="13"/>
  <c r="AN194" i="13"/>
  <c r="BC194" i="13" s="1"/>
  <c r="AM194" i="13"/>
  <c r="AF194" i="13"/>
  <c r="AI194" i="13" s="1"/>
  <c r="AD194" i="13"/>
  <c r="AH194" i="13" s="1"/>
  <c r="X194" i="13"/>
  <c r="W194" i="13"/>
  <c r="V194" i="13"/>
  <c r="BB193" i="13"/>
  <c r="BA193" i="13"/>
  <c r="AZ193" i="13"/>
  <c r="AY193" i="13"/>
  <c r="AX193" i="13"/>
  <c r="AW193" i="13"/>
  <c r="AT193" i="13"/>
  <c r="AP193" i="13"/>
  <c r="AN193" i="13"/>
  <c r="BC193" i="13" s="1"/>
  <c r="AM193" i="13"/>
  <c r="AF193" i="13"/>
  <c r="AS193" i="13" s="1"/>
  <c r="AD193" i="13"/>
  <c r="AH193" i="13" s="1"/>
  <c r="X193" i="13"/>
  <c r="W193" i="13"/>
  <c r="V193" i="13"/>
  <c r="BB192" i="13"/>
  <c r="BA192" i="13"/>
  <c r="AZ192" i="13"/>
  <c r="AY192" i="13"/>
  <c r="AX192" i="13"/>
  <c r="AW192" i="13"/>
  <c r="AT192" i="13"/>
  <c r="AP192" i="13"/>
  <c r="AN192" i="13"/>
  <c r="BC192" i="13" s="1"/>
  <c r="AM192" i="13"/>
  <c r="AF192" i="13"/>
  <c r="AD192" i="13"/>
  <c r="AH192" i="13" s="1"/>
  <c r="X192" i="13"/>
  <c r="W192" i="13"/>
  <c r="V192" i="13"/>
  <c r="BB191" i="13"/>
  <c r="BA191" i="13"/>
  <c r="AZ191" i="13"/>
  <c r="AY191" i="13"/>
  <c r="AX191" i="13"/>
  <c r="AW191" i="13"/>
  <c r="AT191" i="13"/>
  <c r="AP191" i="13"/>
  <c r="AN191" i="13"/>
  <c r="BC191" i="13" s="1"/>
  <c r="AM191" i="13"/>
  <c r="AF191" i="13"/>
  <c r="AI191" i="13" s="1"/>
  <c r="AD191" i="13"/>
  <c r="AH191" i="13" s="1"/>
  <c r="X191" i="13"/>
  <c r="W191" i="13"/>
  <c r="V191" i="13"/>
  <c r="BB190" i="13"/>
  <c r="BA190" i="13"/>
  <c r="AZ190" i="13"/>
  <c r="AY190" i="13"/>
  <c r="AX190" i="13"/>
  <c r="AW190" i="13"/>
  <c r="AT190" i="13"/>
  <c r="AP190" i="13"/>
  <c r="AN190" i="13"/>
  <c r="BC190" i="13" s="1"/>
  <c r="AM190" i="13"/>
  <c r="AF190" i="13"/>
  <c r="AI190" i="13" s="1"/>
  <c r="AD190" i="13"/>
  <c r="AH190" i="13" s="1"/>
  <c r="X190" i="13"/>
  <c r="W190" i="13"/>
  <c r="V190" i="13"/>
  <c r="BB189" i="13"/>
  <c r="BA189" i="13"/>
  <c r="AZ189" i="13"/>
  <c r="AY189" i="13"/>
  <c r="AX189" i="13"/>
  <c r="AW189" i="13"/>
  <c r="AT189" i="13"/>
  <c r="AP189" i="13"/>
  <c r="AN189" i="13"/>
  <c r="BC189" i="13" s="1"/>
  <c r="AM189" i="13"/>
  <c r="AF189" i="13"/>
  <c r="AD189" i="13"/>
  <c r="AH189" i="13" s="1"/>
  <c r="X189" i="13"/>
  <c r="W189" i="13"/>
  <c r="V189" i="13"/>
  <c r="BB188" i="13"/>
  <c r="BA188" i="13"/>
  <c r="AZ188" i="13"/>
  <c r="AY188" i="13"/>
  <c r="AX188" i="13"/>
  <c r="AW188" i="13"/>
  <c r="AT188" i="13"/>
  <c r="AP188" i="13"/>
  <c r="AO188" i="13"/>
  <c r="AN188" i="13"/>
  <c r="AM188" i="13"/>
  <c r="AF188" i="13"/>
  <c r="AD188" i="13"/>
  <c r="AH188" i="13" s="1"/>
  <c r="X188" i="13"/>
  <c r="W188" i="13"/>
  <c r="V188" i="13"/>
  <c r="BB187" i="13"/>
  <c r="BA187" i="13"/>
  <c r="AZ187" i="13"/>
  <c r="AY187" i="13"/>
  <c r="AX187" i="13"/>
  <c r="AW187" i="13"/>
  <c r="AT187" i="13"/>
  <c r="AP187" i="13"/>
  <c r="AO187" i="13"/>
  <c r="AN187" i="13"/>
  <c r="BC187" i="13" s="1"/>
  <c r="AM187" i="13"/>
  <c r="AF187" i="13"/>
  <c r="AI187" i="13" s="1"/>
  <c r="AD187" i="13"/>
  <c r="AH187" i="13" s="1"/>
  <c r="X187" i="13"/>
  <c r="W187" i="13"/>
  <c r="V187" i="13"/>
  <c r="BB186" i="13"/>
  <c r="BA186" i="13"/>
  <c r="AZ186" i="13"/>
  <c r="AY186" i="13"/>
  <c r="AX186" i="13"/>
  <c r="AW186" i="13"/>
  <c r="AT186" i="13"/>
  <c r="AP186" i="13"/>
  <c r="AO186" i="13"/>
  <c r="AN186" i="13"/>
  <c r="AM186" i="13"/>
  <c r="AF186" i="13"/>
  <c r="AS186" i="13" s="1"/>
  <c r="AD186" i="13"/>
  <c r="AH186" i="13" s="1"/>
  <c r="X186" i="13"/>
  <c r="W186" i="13"/>
  <c r="V186" i="13"/>
  <c r="BB185" i="13"/>
  <c r="BA185" i="13"/>
  <c r="AZ185" i="13"/>
  <c r="AY185" i="13"/>
  <c r="AX185" i="13"/>
  <c r="AW185" i="13"/>
  <c r="AT185" i="13"/>
  <c r="AP185" i="13"/>
  <c r="AO185" i="13"/>
  <c r="AN185" i="13"/>
  <c r="BC185" i="13" s="1"/>
  <c r="AM185" i="13"/>
  <c r="AF185" i="13"/>
  <c r="AS185" i="13" s="1"/>
  <c r="AD185" i="13"/>
  <c r="AH185" i="13" s="1"/>
  <c r="X185" i="13"/>
  <c r="W185" i="13"/>
  <c r="V185" i="13"/>
  <c r="BB184" i="13"/>
  <c r="BA184" i="13"/>
  <c r="AZ184" i="13"/>
  <c r="AY184" i="13"/>
  <c r="AX184" i="13"/>
  <c r="AW184" i="13"/>
  <c r="AT184" i="13"/>
  <c r="AP184" i="13"/>
  <c r="AO184" i="13"/>
  <c r="AN184" i="13"/>
  <c r="BC184" i="13" s="1"/>
  <c r="AM184" i="13"/>
  <c r="AF184" i="13"/>
  <c r="AI184" i="13" s="1"/>
  <c r="AD184" i="13"/>
  <c r="AH184" i="13" s="1"/>
  <c r="X184" i="13"/>
  <c r="W184" i="13"/>
  <c r="V184" i="13"/>
  <c r="BB183" i="13"/>
  <c r="BA183" i="13"/>
  <c r="AZ183" i="13"/>
  <c r="AY183" i="13"/>
  <c r="AX183" i="13"/>
  <c r="AW183" i="13"/>
  <c r="AT183" i="13"/>
  <c r="AP183" i="13"/>
  <c r="AO183" i="13"/>
  <c r="AN183" i="13"/>
  <c r="BC183" i="13" s="1"/>
  <c r="AM183" i="13"/>
  <c r="AF183" i="13"/>
  <c r="AI183" i="13" s="1"/>
  <c r="AD183" i="13"/>
  <c r="AH183" i="13" s="1"/>
  <c r="X183" i="13"/>
  <c r="W183" i="13"/>
  <c r="V183" i="13"/>
  <c r="BB182" i="13"/>
  <c r="BA182" i="13"/>
  <c r="AZ182" i="13"/>
  <c r="AY182" i="13"/>
  <c r="AX182" i="13"/>
  <c r="AW182" i="13"/>
  <c r="AT182" i="13"/>
  <c r="AP182" i="13"/>
  <c r="AO182" i="13"/>
  <c r="AN182" i="13"/>
  <c r="AM182" i="13"/>
  <c r="AF182" i="13"/>
  <c r="AS182" i="13" s="1"/>
  <c r="AD182" i="13"/>
  <c r="AH182" i="13" s="1"/>
  <c r="X182" i="13"/>
  <c r="W182" i="13"/>
  <c r="V182" i="13"/>
  <c r="BB181" i="13"/>
  <c r="BA181" i="13"/>
  <c r="AZ181" i="13"/>
  <c r="AY181" i="13"/>
  <c r="AX181" i="13"/>
  <c r="AW181" i="13"/>
  <c r="AT181" i="13"/>
  <c r="AP181" i="13"/>
  <c r="AO181" i="13"/>
  <c r="AN181" i="13"/>
  <c r="BC181" i="13" s="1"/>
  <c r="AM181" i="13"/>
  <c r="AF181" i="13"/>
  <c r="AS181" i="13" s="1"/>
  <c r="AD181" i="13"/>
  <c r="AH181" i="13" s="1"/>
  <c r="X181" i="13"/>
  <c r="W181" i="13"/>
  <c r="V181" i="13"/>
  <c r="BB180" i="13"/>
  <c r="BA180" i="13"/>
  <c r="AZ180" i="13"/>
  <c r="AY180" i="13"/>
  <c r="AX180" i="13"/>
  <c r="AW180" i="13"/>
  <c r="AT180" i="13"/>
  <c r="AP180" i="13"/>
  <c r="AO180" i="13"/>
  <c r="AN180" i="13"/>
  <c r="BC180" i="13" s="1"/>
  <c r="AM180" i="13"/>
  <c r="AF180" i="13"/>
  <c r="AS180" i="13" s="1"/>
  <c r="AD180" i="13"/>
  <c r="AH180" i="13" s="1"/>
  <c r="X180" i="13"/>
  <c r="W180" i="13"/>
  <c r="V180" i="13"/>
  <c r="BB179" i="13"/>
  <c r="BA179" i="13"/>
  <c r="AZ179" i="13"/>
  <c r="AY179" i="13"/>
  <c r="AX179" i="13"/>
  <c r="AW179" i="13"/>
  <c r="AT179" i="13"/>
  <c r="AP179" i="13"/>
  <c r="AO179" i="13"/>
  <c r="AN179" i="13"/>
  <c r="BC179" i="13" s="1"/>
  <c r="AM179" i="13"/>
  <c r="AF179" i="13"/>
  <c r="AI179" i="13" s="1"/>
  <c r="AD179" i="13"/>
  <c r="AH179" i="13" s="1"/>
  <c r="X179" i="13"/>
  <c r="W179" i="13"/>
  <c r="V179" i="13"/>
  <c r="BB178" i="13"/>
  <c r="BA178" i="13"/>
  <c r="AZ178" i="13"/>
  <c r="AY178" i="13"/>
  <c r="AX178" i="13"/>
  <c r="AW178" i="13"/>
  <c r="AT178" i="13"/>
  <c r="AP178" i="13"/>
  <c r="AO178" i="13"/>
  <c r="AN178" i="13"/>
  <c r="BC178" i="13" s="1"/>
  <c r="AM178" i="13"/>
  <c r="AF178" i="13"/>
  <c r="AD178" i="13"/>
  <c r="AH178" i="13" s="1"/>
  <c r="X178" i="13"/>
  <c r="W178" i="13"/>
  <c r="V178" i="13"/>
  <c r="BB177" i="13"/>
  <c r="BA177" i="13"/>
  <c r="AZ177" i="13"/>
  <c r="AY177" i="13"/>
  <c r="AX177" i="13"/>
  <c r="AW177" i="13"/>
  <c r="AT177" i="13"/>
  <c r="AP177" i="13"/>
  <c r="AO177" i="13"/>
  <c r="AN177" i="13"/>
  <c r="BC177" i="13" s="1"/>
  <c r="AM177" i="13"/>
  <c r="AF177" i="13"/>
  <c r="AS177" i="13" s="1"/>
  <c r="AD177" i="13"/>
  <c r="AH177" i="13" s="1"/>
  <c r="X177" i="13"/>
  <c r="W177" i="13"/>
  <c r="V177" i="13"/>
  <c r="BB176" i="13"/>
  <c r="BA176" i="13"/>
  <c r="AZ176" i="13"/>
  <c r="AY176" i="13"/>
  <c r="AX176" i="13"/>
  <c r="AW176" i="13"/>
  <c r="AT176" i="13"/>
  <c r="AP176" i="13"/>
  <c r="AO176" i="13"/>
  <c r="AN176" i="13"/>
  <c r="BC176" i="13" s="1"/>
  <c r="AM176" i="13"/>
  <c r="AF176" i="13"/>
  <c r="AI176" i="13" s="1"/>
  <c r="AD176" i="13"/>
  <c r="AH176" i="13" s="1"/>
  <c r="X176" i="13"/>
  <c r="W176" i="13"/>
  <c r="V176" i="13"/>
  <c r="BB175" i="13"/>
  <c r="BA175" i="13"/>
  <c r="AZ175" i="13"/>
  <c r="AY175" i="13"/>
  <c r="AX175" i="13"/>
  <c r="AW175" i="13"/>
  <c r="AT175" i="13"/>
  <c r="AP175" i="13"/>
  <c r="AO175" i="13"/>
  <c r="AN175" i="13"/>
  <c r="BC175" i="13" s="1"/>
  <c r="AM175" i="13"/>
  <c r="AF175" i="13"/>
  <c r="Y175" i="13" s="1"/>
  <c r="AD175" i="13"/>
  <c r="AH175" i="13" s="1"/>
  <c r="X175" i="13"/>
  <c r="W175" i="13"/>
  <c r="V175" i="13"/>
  <c r="BB174" i="13"/>
  <c r="BA174" i="13"/>
  <c r="AZ174" i="13"/>
  <c r="AY174" i="13"/>
  <c r="AX174" i="13"/>
  <c r="AW174" i="13"/>
  <c r="AT174" i="13"/>
  <c r="AP174" i="13"/>
  <c r="AO174" i="13"/>
  <c r="AN174" i="13"/>
  <c r="BC174" i="13" s="1"/>
  <c r="AM174" i="13"/>
  <c r="AF174" i="13"/>
  <c r="AS174" i="13" s="1"/>
  <c r="AD174" i="13"/>
  <c r="AH174" i="13" s="1"/>
  <c r="X174" i="13"/>
  <c r="W174" i="13"/>
  <c r="V174" i="13"/>
  <c r="BB173" i="13"/>
  <c r="BA173" i="13"/>
  <c r="AZ173" i="13"/>
  <c r="AY173" i="13"/>
  <c r="AX173" i="13"/>
  <c r="AW173" i="13"/>
  <c r="AT173" i="13"/>
  <c r="AP173" i="13"/>
  <c r="AO173" i="13"/>
  <c r="AN173" i="13"/>
  <c r="BC173" i="13" s="1"/>
  <c r="AM173" i="13"/>
  <c r="AF173" i="13"/>
  <c r="Y173" i="13" s="1"/>
  <c r="AD173" i="13"/>
  <c r="AH173" i="13" s="1"/>
  <c r="X173" i="13"/>
  <c r="W173" i="13"/>
  <c r="V173" i="13"/>
  <c r="BB172" i="13"/>
  <c r="BA172" i="13"/>
  <c r="AZ172" i="13"/>
  <c r="AY172" i="13"/>
  <c r="AX172" i="13"/>
  <c r="AW172" i="13"/>
  <c r="AT172" i="13"/>
  <c r="AP172" i="13"/>
  <c r="AO172" i="13"/>
  <c r="AN172" i="13"/>
  <c r="BC172" i="13" s="1"/>
  <c r="AM172" i="13"/>
  <c r="AF172" i="13"/>
  <c r="Y172" i="13" s="1"/>
  <c r="AD172" i="13"/>
  <c r="AH172" i="13" s="1"/>
  <c r="X172" i="13"/>
  <c r="W172" i="13"/>
  <c r="V172" i="13"/>
  <c r="BB171" i="13"/>
  <c r="BA171" i="13"/>
  <c r="AZ171" i="13"/>
  <c r="AY171" i="13"/>
  <c r="AX171" i="13"/>
  <c r="AW171" i="13"/>
  <c r="AT171" i="13"/>
  <c r="AP171" i="13"/>
  <c r="AO171" i="13"/>
  <c r="AN171" i="13"/>
  <c r="BC171" i="13" s="1"/>
  <c r="AM171" i="13"/>
  <c r="AF171" i="13"/>
  <c r="AD171" i="13"/>
  <c r="AH171" i="13" s="1"/>
  <c r="X171" i="13"/>
  <c r="W171" i="13"/>
  <c r="V171" i="13"/>
  <c r="BB170" i="13"/>
  <c r="BA170" i="13"/>
  <c r="AZ170" i="13"/>
  <c r="AY170" i="13"/>
  <c r="AX170" i="13"/>
  <c r="AW170" i="13"/>
  <c r="AT170" i="13"/>
  <c r="AP170" i="13"/>
  <c r="AO170" i="13"/>
  <c r="AN170" i="13"/>
  <c r="BC170" i="13" s="1"/>
  <c r="AM170" i="13"/>
  <c r="AF170" i="13"/>
  <c r="AS170" i="13" s="1"/>
  <c r="AD170" i="13"/>
  <c r="AH170" i="13" s="1"/>
  <c r="X170" i="13"/>
  <c r="W170" i="13"/>
  <c r="V170" i="13"/>
  <c r="BB169" i="13"/>
  <c r="BA169" i="13"/>
  <c r="AZ169" i="13"/>
  <c r="AY169" i="13"/>
  <c r="AX169" i="13"/>
  <c r="AW169" i="13"/>
  <c r="AT169" i="13"/>
  <c r="AP169" i="13"/>
  <c r="AO169" i="13"/>
  <c r="AN169" i="13"/>
  <c r="BC169" i="13" s="1"/>
  <c r="AM169" i="13"/>
  <c r="AF169" i="13"/>
  <c r="AD169" i="13"/>
  <c r="AH169" i="13" s="1"/>
  <c r="X169" i="13"/>
  <c r="W169" i="13"/>
  <c r="V169" i="13"/>
  <c r="BB168" i="13"/>
  <c r="BA168" i="13"/>
  <c r="AZ168" i="13"/>
  <c r="AY168" i="13"/>
  <c r="AX168" i="13"/>
  <c r="AW168" i="13"/>
  <c r="AT168" i="13"/>
  <c r="AP168" i="13"/>
  <c r="AO168" i="13"/>
  <c r="AN168" i="13"/>
  <c r="BC168" i="13" s="1"/>
  <c r="AM168" i="13"/>
  <c r="AF168" i="13"/>
  <c r="Y168" i="13" s="1"/>
  <c r="AD168" i="13"/>
  <c r="AH168" i="13" s="1"/>
  <c r="X168" i="13"/>
  <c r="W168" i="13"/>
  <c r="V168" i="13"/>
  <c r="BB167" i="13"/>
  <c r="BA167" i="13"/>
  <c r="AZ167" i="13"/>
  <c r="AY167" i="13"/>
  <c r="AX167" i="13"/>
  <c r="AW167" i="13"/>
  <c r="AT167" i="13"/>
  <c r="AP167" i="13"/>
  <c r="AO167" i="13"/>
  <c r="AN167" i="13"/>
  <c r="BC167" i="13" s="1"/>
  <c r="AM167" i="13"/>
  <c r="AF167" i="13"/>
  <c r="AS167" i="13" s="1"/>
  <c r="AD167" i="13"/>
  <c r="AH167" i="13" s="1"/>
  <c r="X167" i="13"/>
  <c r="W167" i="13"/>
  <c r="V167" i="13"/>
  <c r="BB166" i="13"/>
  <c r="BA166" i="13"/>
  <c r="AZ166" i="13"/>
  <c r="AY166" i="13"/>
  <c r="AX166" i="13"/>
  <c r="AW166" i="13"/>
  <c r="AT166" i="13"/>
  <c r="AP166" i="13"/>
  <c r="AO166" i="13"/>
  <c r="AN166" i="13"/>
  <c r="AM166" i="13"/>
  <c r="AF166" i="13"/>
  <c r="AS166" i="13" s="1"/>
  <c r="AD166" i="13"/>
  <c r="AH166" i="13" s="1"/>
  <c r="X166" i="13"/>
  <c r="W166" i="13"/>
  <c r="V166" i="13"/>
  <c r="BB165" i="13"/>
  <c r="BA165" i="13"/>
  <c r="AZ165" i="13"/>
  <c r="AY165" i="13"/>
  <c r="AX165" i="13"/>
  <c r="AW165" i="13"/>
  <c r="AT165" i="13"/>
  <c r="AP165" i="13"/>
  <c r="AO165" i="13"/>
  <c r="AN165" i="13"/>
  <c r="BC165" i="13" s="1"/>
  <c r="AM165" i="13"/>
  <c r="AF165" i="13"/>
  <c r="AS165" i="13" s="1"/>
  <c r="AD165" i="13"/>
  <c r="AH165" i="13" s="1"/>
  <c r="X165" i="13"/>
  <c r="W165" i="13"/>
  <c r="V165" i="13"/>
  <c r="BB164" i="13"/>
  <c r="BA164" i="13"/>
  <c r="AZ164" i="13"/>
  <c r="AY164" i="13"/>
  <c r="AX164" i="13"/>
  <c r="AW164" i="13"/>
  <c r="AT164" i="13"/>
  <c r="AP164" i="13"/>
  <c r="AO164" i="13"/>
  <c r="AN164" i="13"/>
  <c r="BC164" i="13" s="1"/>
  <c r="AM164" i="13"/>
  <c r="AF164" i="13"/>
  <c r="AD164" i="13"/>
  <c r="AH164" i="13" s="1"/>
  <c r="X164" i="13"/>
  <c r="W164" i="13"/>
  <c r="V164" i="13"/>
  <c r="BB163" i="13"/>
  <c r="BA163" i="13"/>
  <c r="AZ163" i="13"/>
  <c r="AY163" i="13"/>
  <c r="AX163" i="13"/>
  <c r="AW163" i="13"/>
  <c r="AT163" i="13"/>
  <c r="AP163" i="13"/>
  <c r="AO163" i="13"/>
  <c r="AN163" i="13"/>
  <c r="BC163" i="13" s="1"/>
  <c r="AM163" i="13"/>
  <c r="AF163" i="13"/>
  <c r="AS163" i="13" s="1"/>
  <c r="AD163" i="13"/>
  <c r="AH163" i="13" s="1"/>
  <c r="X163" i="13"/>
  <c r="W163" i="13"/>
  <c r="V163" i="13"/>
  <c r="BB162" i="13"/>
  <c r="BA162" i="13"/>
  <c r="AZ162" i="13"/>
  <c r="AY162" i="13"/>
  <c r="AX162" i="13"/>
  <c r="AW162" i="13"/>
  <c r="AT162" i="13"/>
  <c r="AP162" i="13"/>
  <c r="AO162" i="13"/>
  <c r="AN162" i="13"/>
  <c r="AM162" i="13"/>
  <c r="AF162" i="13"/>
  <c r="AS162" i="13" s="1"/>
  <c r="AD162" i="13"/>
  <c r="AH162" i="13" s="1"/>
  <c r="X162" i="13"/>
  <c r="W162" i="13"/>
  <c r="V162" i="13"/>
  <c r="BB161" i="13"/>
  <c r="BA161" i="13"/>
  <c r="AZ161" i="13"/>
  <c r="AY161" i="13"/>
  <c r="AX161" i="13"/>
  <c r="AW161" i="13"/>
  <c r="AT161" i="13"/>
  <c r="AP161" i="13"/>
  <c r="AO161" i="13"/>
  <c r="AN161" i="13"/>
  <c r="BC161" i="13" s="1"/>
  <c r="AM161" i="13"/>
  <c r="AF161" i="13"/>
  <c r="AS161" i="13" s="1"/>
  <c r="AD161" i="13"/>
  <c r="AH161" i="13" s="1"/>
  <c r="X161" i="13"/>
  <c r="W161" i="13"/>
  <c r="V161" i="13"/>
  <c r="BB160" i="13"/>
  <c r="BA160" i="13"/>
  <c r="AZ160" i="13"/>
  <c r="AY160" i="13"/>
  <c r="AX160" i="13"/>
  <c r="AW160" i="13"/>
  <c r="AT160" i="13"/>
  <c r="AP160" i="13"/>
  <c r="AO160" i="13"/>
  <c r="AN160" i="13"/>
  <c r="BC160" i="13" s="1"/>
  <c r="AM160" i="13"/>
  <c r="AF160" i="13"/>
  <c r="Y160" i="13" s="1"/>
  <c r="AD160" i="13"/>
  <c r="AH160" i="13" s="1"/>
  <c r="X160" i="13"/>
  <c r="W160" i="13"/>
  <c r="V160" i="13"/>
  <c r="BB159" i="13"/>
  <c r="BA159" i="13"/>
  <c r="AZ159" i="13"/>
  <c r="AY159" i="13"/>
  <c r="AX159" i="13"/>
  <c r="AW159" i="13"/>
  <c r="AT159" i="13"/>
  <c r="AP159" i="13"/>
  <c r="AO159" i="13"/>
  <c r="AN159" i="13"/>
  <c r="BC159" i="13" s="1"/>
  <c r="AM159" i="13"/>
  <c r="AF159" i="13"/>
  <c r="AS159" i="13" s="1"/>
  <c r="AD159" i="13"/>
  <c r="AH159" i="13" s="1"/>
  <c r="X159" i="13"/>
  <c r="W159" i="13"/>
  <c r="V159" i="13"/>
  <c r="BB158" i="13"/>
  <c r="BA158" i="13"/>
  <c r="AZ158" i="13"/>
  <c r="AY158" i="13"/>
  <c r="AX158" i="13"/>
  <c r="AW158" i="13"/>
  <c r="AT158" i="13"/>
  <c r="AP158" i="13"/>
  <c r="AN158" i="13"/>
  <c r="AM158" i="13"/>
  <c r="AF158" i="13"/>
  <c r="AS158" i="13" s="1"/>
  <c r="AD158" i="13"/>
  <c r="AH158" i="13" s="1"/>
  <c r="X158" i="13"/>
  <c r="W158" i="13"/>
  <c r="V158" i="13"/>
  <c r="BB157" i="13"/>
  <c r="BA157" i="13"/>
  <c r="AZ157" i="13"/>
  <c r="AY157" i="13"/>
  <c r="AX157" i="13"/>
  <c r="AW157" i="13"/>
  <c r="AT157" i="13"/>
  <c r="AP157" i="13"/>
  <c r="AN157" i="13"/>
  <c r="BC157" i="13" s="1"/>
  <c r="AM157" i="13"/>
  <c r="AF157" i="13"/>
  <c r="AS157" i="13" s="1"/>
  <c r="AD157" i="13"/>
  <c r="AH157" i="13" s="1"/>
  <c r="X157" i="13"/>
  <c r="W157" i="13"/>
  <c r="V157" i="13"/>
  <c r="BB156" i="13"/>
  <c r="BA156" i="13"/>
  <c r="AZ156" i="13"/>
  <c r="AY156" i="13"/>
  <c r="AX156" i="13"/>
  <c r="AW156" i="13"/>
  <c r="AT156" i="13"/>
  <c r="AP156" i="13"/>
  <c r="AN156" i="13"/>
  <c r="BC156" i="13" s="1"/>
  <c r="AM156" i="13"/>
  <c r="AF156" i="13"/>
  <c r="Y156" i="13" s="1"/>
  <c r="AD156" i="13"/>
  <c r="AH156" i="13" s="1"/>
  <c r="X156" i="13"/>
  <c r="W156" i="13"/>
  <c r="V156" i="13"/>
  <c r="BB155" i="13"/>
  <c r="BA155" i="13"/>
  <c r="AZ155" i="13"/>
  <c r="AY155" i="13"/>
  <c r="AX155" i="13"/>
  <c r="AW155" i="13"/>
  <c r="AT155" i="13"/>
  <c r="AP155" i="13"/>
  <c r="AN155" i="13"/>
  <c r="BC155" i="13" s="1"/>
  <c r="AM155" i="13"/>
  <c r="AF155" i="13"/>
  <c r="AS155" i="13" s="1"/>
  <c r="AD155" i="13"/>
  <c r="AH155" i="13" s="1"/>
  <c r="X155" i="13"/>
  <c r="W155" i="13"/>
  <c r="V155" i="13"/>
  <c r="BB154" i="13"/>
  <c r="BA154" i="13"/>
  <c r="AZ154" i="13"/>
  <c r="AY154" i="13"/>
  <c r="AX154" i="13"/>
  <c r="AW154" i="13"/>
  <c r="AT154" i="13"/>
  <c r="AP154" i="13"/>
  <c r="AN154" i="13"/>
  <c r="AM154" i="13"/>
  <c r="AF154" i="13"/>
  <c r="AS154" i="13" s="1"/>
  <c r="AD154" i="13"/>
  <c r="AH154" i="13" s="1"/>
  <c r="X154" i="13"/>
  <c r="W154" i="13"/>
  <c r="V154" i="13"/>
  <c r="BB153" i="13"/>
  <c r="BA153" i="13"/>
  <c r="AZ153" i="13"/>
  <c r="AY153" i="13"/>
  <c r="AX153" i="13"/>
  <c r="AW153" i="13"/>
  <c r="AT153" i="13"/>
  <c r="AP153" i="13"/>
  <c r="AN153" i="13"/>
  <c r="BC153" i="13" s="1"/>
  <c r="AM153" i="13"/>
  <c r="AF153" i="13"/>
  <c r="AI153" i="13" s="1"/>
  <c r="AD153" i="13"/>
  <c r="AH153" i="13" s="1"/>
  <c r="X153" i="13"/>
  <c r="W153" i="13"/>
  <c r="V153" i="13"/>
  <c r="BB152" i="13"/>
  <c r="BA152" i="13"/>
  <c r="AZ152" i="13"/>
  <c r="AY152" i="13"/>
  <c r="AX152" i="13"/>
  <c r="AW152" i="13"/>
  <c r="AT152" i="13"/>
  <c r="AP152" i="13"/>
  <c r="AO152" i="13"/>
  <c r="AN152" i="13"/>
  <c r="BC152" i="13" s="1"/>
  <c r="AM152" i="13"/>
  <c r="AF152" i="13"/>
  <c r="AS152" i="13" s="1"/>
  <c r="AD152" i="13"/>
  <c r="AH152" i="13" s="1"/>
  <c r="X152" i="13"/>
  <c r="W152" i="13"/>
  <c r="V152" i="13"/>
  <c r="BB151" i="13"/>
  <c r="BA151" i="13"/>
  <c r="AZ151" i="13"/>
  <c r="AY151" i="13"/>
  <c r="AX151" i="13"/>
  <c r="AW151" i="13"/>
  <c r="AT151" i="13"/>
  <c r="AP151" i="13"/>
  <c r="AO151" i="13"/>
  <c r="AN151" i="13"/>
  <c r="BC151" i="13" s="1"/>
  <c r="AM151" i="13"/>
  <c r="AF151" i="13"/>
  <c r="Z151" i="13" s="1"/>
  <c r="AD151" i="13"/>
  <c r="AH151" i="13" s="1"/>
  <c r="X151" i="13"/>
  <c r="W151" i="13"/>
  <c r="V151" i="13"/>
  <c r="BB150" i="13"/>
  <c r="BA150" i="13"/>
  <c r="AZ150" i="13"/>
  <c r="AY150" i="13"/>
  <c r="AX150" i="13"/>
  <c r="AW150" i="13"/>
  <c r="AT150" i="13"/>
  <c r="AP150" i="13"/>
  <c r="AO150" i="13"/>
  <c r="AN150" i="13"/>
  <c r="BC150" i="13" s="1"/>
  <c r="AM150" i="13"/>
  <c r="AF150" i="13"/>
  <c r="AS150" i="13" s="1"/>
  <c r="AD150" i="13"/>
  <c r="AH150" i="13" s="1"/>
  <c r="X150" i="13"/>
  <c r="W150" i="13"/>
  <c r="V150" i="13"/>
  <c r="BB149" i="13"/>
  <c r="BA149" i="13"/>
  <c r="AZ149" i="13"/>
  <c r="AY149" i="13"/>
  <c r="AX149" i="13"/>
  <c r="AW149" i="13"/>
  <c r="AT149" i="13"/>
  <c r="AP149" i="13"/>
  <c r="AO149" i="13"/>
  <c r="AN149" i="13"/>
  <c r="BC149" i="13" s="1"/>
  <c r="AM149" i="13"/>
  <c r="AF149" i="13"/>
  <c r="AI149" i="13" s="1"/>
  <c r="AD149" i="13"/>
  <c r="AH149" i="13" s="1"/>
  <c r="X149" i="13"/>
  <c r="W149" i="13"/>
  <c r="V149" i="13"/>
  <c r="BB148" i="13"/>
  <c r="BA148" i="13"/>
  <c r="AZ148" i="13"/>
  <c r="AY148" i="13"/>
  <c r="AX148" i="13"/>
  <c r="AW148" i="13"/>
  <c r="AT148" i="13"/>
  <c r="AP148" i="13"/>
  <c r="AO148" i="13"/>
  <c r="AN148" i="13"/>
  <c r="BC148" i="13" s="1"/>
  <c r="AM148" i="13"/>
  <c r="AF148" i="13"/>
  <c r="AD148" i="13"/>
  <c r="AH148" i="13" s="1"/>
  <c r="X148" i="13"/>
  <c r="W148" i="13"/>
  <c r="V148" i="13"/>
  <c r="BB147" i="13"/>
  <c r="BA147" i="13"/>
  <c r="AZ147" i="13"/>
  <c r="AY147" i="13"/>
  <c r="AX147" i="13"/>
  <c r="AW147" i="13"/>
  <c r="AT147" i="13"/>
  <c r="AP147" i="13"/>
  <c r="AO147" i="13"/>
  <c r="AN147" i="13"/>
  <c r="BC147" i="13" s="1"/>
  <c r="AM147" i="13"/>
  <c r="AF147" i="13"/>
  <c r="AS147" i="13" s="1"/>
  <c r="AD147" i="13"/>
  <c r="AH147" i="13" s="1"/>
  <c r="X147" i="13"/>
  <c r="W147" i="13"/>
  <c r="V147" i="13"/>
  <c r="BB146" i="13"/>
  <c r="BA146" i="13"/>
  <c r="AZ146" i="13"/>
  <c r="AY146" i="13"/>
  <c r="AX146" i="13"/>
  <c r="AW146" i="13"/>
  <c r="AT146" i="13"/>
  <c r="AP146" i="13"/>
  <c r="AO146" i="13"/>
  <c r="AN146" i="13"/>
  <c r="BC146" i="13" s="1"/>
  <c r="AM146" i="13"/>
  <c r="AF146" i="13"/>
  <c r="AS146" i="13" s="1"/>
  <c r="AD146" i="13"/>
  <c r="AH146" i="13" s="1"/>
  <c r="X146" i="13"/>
  <c r="W146" i="13"/>
  <c r="V146" i="13"/>
  <c r="BB145" i="13"/>
  <c r="BA145" i="13"/>
  <c r="AZ145" i="13"/>
  <c r="AY145" i="13"/>
  <c r="AX145" i="13"/>
  <c r="AW145" i="13"/>
  <c r="AT145" i="13"/>
  <c r="AP145" i="13"/>
  <c r="AO145" i="13"/>
  <c r="AN145" i="13"/>
  <c r="BC145" i="13" s="1"/>
  <c r="AM145" i="13"/>
  <c r="AF145" i="13"/>
  <c r="AI145" i="13" s="1"/>
  <c r="AD145" i="13"/>
  <c r="AH145" i="13" s="1"/>
  <c r="X145" i="13"/>
  <c r="W145" i="13"/>
  <c r="V145" i="13"/>
  <c r="BB144" i="13"/>
  <c r="BA144" i="13"/>
  <c r="AZ144" i="13"/>
  <c r="AY144" i="13"/>
  <c r="AX144" i="13"/>
  <c r="AW144" i="13"/>
  <c r="AT144" i="13"/>
  <c r="AP144" i="13"/>
  <c r="AO144" i="13"/>
  <c r="AN144" i="13"/>
  <c r="BC144" i="13" s="1"/>
  <c r="AM144" i="13"/>
  <c r="AF144" i="13"/>
  <c r="AS144" i="13" s="1"/>
  <c r="AD144" i="13"/>
  <c r="AH144" i="13" s="1"/>
  <c r="X144" i="13"/>
  <c r="W144" i="13"/>
  <c r="V144" i="13"/>
  <c r="BB143" i="13"/>
  <c r="BA143" i="13"/>
  <c r="AZ143" i="13"/>
  <c r="AY143" i="13"/>
  <c r="AX143" i="13"/>
  <c r="AW143" i="13"/>
  <c r="AT143" i="13"/>
  <c r="AP143" i="13"/>
  <c r="AO143" i="13"/>
  <c r="AN143" i="13"/>
  <c r="BC143" i="13" s="1"/>
  <c r="AM143" i="13"/>
  <c r="AF143" i="13"/>
  <c r="AI143" i="13" s="1"/>
  <c r="AD143" i="13"/>
  <c r="AH143" i="13" s="1"/>
  <c r="X143" i="13"/>
  <c r="W143" i="13"/>
  <c r="V143" i="13"/>
  <c r="BB142" i="13"/>
  <c r="BA142" i="13"/>
  <c r="AZ142" i="13"/>
  <c r="AY142" i="13"/>
  <c r="AX142" i="13"/>
  <c r="AW142" i="13"/>
  <c r="AT142" i="13"/>
  <c r="AP142" i="13"/>
  <c r="AO142" i="13"/>
  <c r="AN142" i="13"/>
  <c r="BC142" i="13" s="1"/>
  <c r="AM142" i="13"/>
  <c r="AF142" i="13"/>
  <c r="AD142" i="13"/>
  <c r="AH142" i="13" s="1"/>
  <c r="X142" i="13"/>
  <c r="W142" i="13"/>
  <c r="V142" i="13"/>
  <c r="BB141" i="13"/>
  <c r="BA141" i="13"/>
  <c r="AZ141" i="13"/>
  <c r="AY141" i="13"/>
  <c r="AX141" i="13"/>
  <c r="AW141" i="13"/>
  <c r="AT141" i="13"/>
  <c r="AP141" i="13"/>
  <c r="AO141" i="13"/>
  <c r="AN141" i="13"/>
  <c r="BC141" i="13" s="1"/>
  <c r="AM141" i="13"/>
  <c r="AF141" i="13"/>
  <c r="AI141" i="13" s="1"/>
  <c r="AD141" i="13"/>
  <c r="AH141" i="13" s="1"/>
  <c r="X141" i="13"/>
  <c r="W141" i="13"/>
  <c r="V141" i="13"/>
  <c r="BB140" i="13"/>
  <c r="BA140" i="13"/>
  <c r="AZ140" i="13"/>
  <c r="AY140" i="13"/>
  <c r="AX140" i="13"/>
  <c r="AW140" i="13"/>
  <c r="AT140" i="13"/>
  <c r="AP140" i="13"/>
  <c r="AO140" i="13"/>
  <c r="AN140" i="13"/>
  <c r="BC140" i="13" s="1"/>
  <c r="AM140" i="13"/>
  <c r="AF140" i="13"/>
  <c r="AS140" i="13" s="1"/>
  <c r="AD140" i="13"/>
  <c r="X140" i="13"/>
  <c r="W140" i="13"/>
  <c r="V140" i="13"/>
  <c r="BB139" i="13"/>
  <c r="BA139" i="13"/>
  <c r="AZ139" i="13"/>
  <c r="AY139" i="13"/>
  <c r="AX139" i="13"/>
  <c r="AW139" i="13"/>
  <c r="AT139" i="13"/>
  <c r="AP139" i="13"/>
  <c r="AO139" i="13"/>
  <c r="AN139" i="13"/>
  <c r="BC139" i="13" s="1"/>
  <c r="AM139" i="13"/>
  <c r="AF139" i="13"/>
  <c r="Z139" i="13" s="1"/>
  <c r="AD139" i="13"/>
  <c r="AH139" i="13" s="1"/>
  <c r="X139" i="13"/>
  <c r="W139" i="13"/>
  <c r="V139" i="13"/>
  <c r="BB138" i="13"/>
  <c r="BA138" i="13"/>
  <c r="AZ138" i="13"/>
  <c r="AY138" i="13"/>
  <c r="AX138" i="13"/>
  <c r="AW138" i="13"/>
  <c r="AT138" i="13"/>
  <c r="AP138" i="13"/>
  <c r="AO138" i="13"/>
  <c r="AN138" i="13"/>
  <c r="BC138" i="13" s="1"/>
  <c r="AM138" i="13"/>
  <c r="AF138" i="13"/>
  <c r="AS138" i="13" s="1"/>
  <c r="AD138" i="13"/>
  <c r="AH138" i="13" s="1"/>
  <c r="X138" i="13"/>
  <c r="W138" i="13"/>
  <c r="V138" i="13"/>
  <c r="BB137" i="13"/>
  <c r="BA137" i="13"/>
  <c r="AZ137" i="13"/>
  <c r="AY137" i="13"/>
  <c r="AX137" i="13"/>
  <c r="AW137" i="13"/>
  <c r="AT137" i="13"/>
  <c r="AP137" i="13"/>
  <c r="AO137" i="13"/>
  <c r="AN137" i="13"/>
  <c r="BC137" i="13" s="1"/>
  <c r="AM137" i="13"/>
  <c r="AF137" i="13"/>
  <c r="Y137" i="13" s="1"/>
  <c r="AD137" i="13"/>
  <c r="AH137" i="13" s="1"/>
  <c r="X137" i="13"/>
  <c r="W137" i="13"/>
  <c r="V137" i="13"/>
  <c r="BB136" i="13"/>
  <c r="BA136" i="13"/>
  <c r="AZ136" i="13"/>
  <c r="AY136" i="13"/>
  <c r="AX136" i="13"/>
  <c r="AW136" i="13"/>
  <c r="AT136" i="13"/>
  <c r="AP136" i="13"/>
  <c r="AN136" i="13"/>
  <c r="BC136" i="13" s="1"/>
  <c r="AM136" i="13"/>
  <c r="AF136" i="13"/>
  <c r="AD136" i="13"/>
  <c r="AH136" i="13" s="1"/>
  <c r="X136" i="13"/>
  <c r="W136" i="13"/>
  <c r="V136" i="13"/>
  <c r="BB135" i="13"/>
  <c r="BA135" i="13"/>
  <c r="AZ135" i="13"/>
  <c r="AY135" i="13"/>
  <c r="AX135" i="13"/>
  <c r="AW135" i="13"/>
  <c r="AT135" i="13"/>
  <c r="AP135" i="13"/>
  <c r="AN135" i="13"/>
  <c r="BC135" i="13" s="1"/>
  <c r="AM135" i="13"/>
  <c r="AF135" i="13"/>
  <c r="AS135" i="13" s="1"/>
  <c r="AD135" i="13"/>
  <c r="AH135" i="13" s="1"/>
  <c r="X135" i="13"/>
  <c r="W135" i="13"/>
  <c r="V135" i="13"/>
  <c r="BB134" i="13"/>
  <c r="BA134" i="13"/>
  <c r="AZ134" i="13"/>
  <c r="AY134" i="13"/>
  <c r="AX134" i="13"/>
  <c r="AW134" i="13"/>
  <c r="AT134" i="13"/>
  <c r="AP134" i="13"/>
  <c r="AN134" i="13"/>
  <c r="BC134" i="13" s="1"/>
  <c r="AM134" i="13"/>
  <c r="AF134" i="13"/>
  <c r="AS134" i="13" s="1"/>
  <c r="AD134" i="13"/>
  <c r="AH134" i="13" s="1"/>
  <c r="X134" i="13"/>
  <c r="W134" i="13"/>
  <c r="V134" i="13"/>
  <c r="BB133" i="13"/>
  <c r="BA133" i="13"/>
  <c r="AZ133" i="13"/>
  <c r="AY133" i="13"/>
  <c r="AX133" i="13"/>
  <c r="AW133" i="13"/>
  <c r="AT133" i="13"/>
  <c r="AP133" i="13"/>
  <c r="AN133" i="13"/>
  <c r="BC133" i="13" s="1"/>
  <c r="AM133" i="13"/>
  <c r="AF133" i="13"/>
  <c r="AD133" i="13"/>
  <c r="AH133" i="13" s="1"/>
  <c r="X133" i="13"/>
  <c r="W133" i="13"/>
  <c r="V133" i="13"/>
  <c r="BB132" i="13"/>
  <c r="BA132" i="13"/>
  <c r="AZ132" i="13"/>
  <c r="AY132" i="13"/>
  <c r="AX132" i="13"/>
  <c r="AW132" i="13"/>
  <c r="AT132" i="13"/>
  <c r="AP132" i="13"/>
  <c r="AN132" i="13"/>
  <c r="BC132" i="13" s="1"/>
  <c r="AM132" i="13"/>
  <c r="AF132" i="13"/>
  <c r="AS132" i="13" s="1"/>
  <c r="AD132" i="13"/>
  <c r="AH132" i="13" s="1"/>
  <c r="X132" i="13"/>
  <c r="W132" i="13"/>
  <c r="V132" i="13"/>
  <c r="BB131" i="13"/>
  <c r="BA131" i="13"/>
  <c r="AZ131" i="13"/>
  <c r="AY131" i="13"/>
  <c r="AX131" i="13"/>
  <c r="AW131" i="13"/>
  <c r="AT131" i="13"/>
  <c r="AP131" i="13"/>
  <c r="AN131" i="13"/>
  <c r="BC131" i="13" s="1"/>
  <c r="AM131" i="13"/>
  <c r="AF131" i="13"/>
  <c r="AS131" i="13" s="1"/>
  <c r="AD131" i="13"/>
  <c r="AH131" i="13" s="1"/>
  <c r="X131" i="13"/>
  <c r="W131" i="13"/>
  <c r="V131" i="13"/>
  <c r="BB130" i="13"/>
  <c r="BA130" i="13"/>
  <c r="AZ130" i="13"/>
  <c r="AY130" i="13"/>
  <c r="AX130" i="13"/>
  <c r="AW130" i="13"/>
  <c r="AT130" i="13"/>
  <c r="AP130" i="13"/>
  <c r="AN130" i="13"/>
  <c r="BC130" i="13" s="1"/>
  <c r="AM130" i="13"/>
  <c r="AF130" i="13"/>
  <c r="Y130" i="13" s="1"/>
  <c r="AD130" i="13"/>
  <c r="AH130" i="13" s="1"/>
  <c r="X130" i="13"/>
  <c r="W130" i="13"/>
  <c r="V130" i="13"/>
  <c r="BB129" i="13"/>
  <c r="BA129" i="13"/>
  <c r="AZ129" i="13"/>
  <c r="AY129" i="13"/>
  <c r="AX129" i="13"/>
  <c r="AW129" i="13"/>
  <c r="AT129" i="13"/>
  <c r="AP129" i="13"/>
  <c r="AN129" i="13"/>
  <c r="BC129" i="13" s="1"/>
  <c r="AM129" i="13"/>
  <c r="AF129" i="13"/>
  <c r="Y129" i="13" s="1"/>
  <c r="AD129" i="13"/>
  <c r="AH129" i="13" s="1"/>
  <c r="X129" i="13"/>
  <c r="W129" i="13"/>
  <c r="V129" i="13"/>
  <c r="BB128" i="13"/>
  <c r="BA128" i="13"/>
  <c r="AZ128" i="13"/>
  <c r="AY128" i="13"/>
  <c r="AX128" i="13"/>
  <c r="AW128" i="13"/>
  <c r="AT128" i="13"/>
  <c r="AP128" i="13"/>
  <c r="AO128" i="13"/>
  <c r="AN128" i="13"/>
  <c r="BC128" i="13" s="1"/>
  <c r="AM128" i="13"/>
  <c r="AF128" i="13"/>
  <c r="AS128" i="13" s="1"/>
  <c r="AD128" i="13"/>
  <c r="AH128" i="13" s="1"/>
  <c r="X128" i="13"/>
  <c r="W128" i="13"/>
  <c r="V128" i="13"/>
  <c r="BB127" i="13"/>
  <c r="BA127" i="13"/>
  <c r="AZ127" i="13"/>
  <c r="AY127" i="13"/>
  <c r="AX127" i="13"/>
  <c r="AW127" i="13"/>
  <c r="AT127" i="13"/>
  <c r="AP127" i="13"/>
  <c r="AN127" i="13"/>
  <c r="BC127" i="13" s="1"/>
  <c r="AM127" i="13"/>
  <c r="AF127" i="13"/>
  <c r="AS127" i="13" s="1"/>
  <c r="AD127" i="13"/>
  <c r="AH127" i="13" s="1"/>
  <c r="X127" i="13"/>
  <c r="W127" i="13"/>
  <c r="V127" i="13"/>
  <c r="BB126" i="13"/>
  <c r="BA126" i="13"/>
  <c r="AZ126" i="13"/>
  <c r="AY126" i="13"/>
  <c r="AX126" i="13"/>
  <c r="AW126" i="13"/>
  <c r="AT126" i="13"/>
  <c r="AP126" i="13"/>
  <c r="AN126" i="13"/>
  <c r="BC126" i="13" s="1"/>
  <c r="AM126" i="13"/>
  <c r="AF126" i="13"/>
  <c r="AD126" i="13"/>
  <c r="AH126" i="13" s="1"/>
  <c r="X126" i="13"/>
  <c r="W126" i="13"/>
  <c r="V126" i="13"/>
  <c r="BB125" i="13"/>
  <c r="BA125" i="13"/>
  <c r="AZ125" i="13"/>
  <c r="AY125" i="13"/>
  <c r="AX125" i="13"/>
  <c r="AW125" i="13"/>
  <c r="AT125" i="13"/>
  <c r="AP125" i="13"/>
  <c r="AN125" i="13"/>
  <c r="BC125" i="13" s="1"/>
  <c r="AM125" i="13"/>
  <c r="AF125" i="13"/>
  <c r="Y125" i="13" s="1"/>
  <c r="AD125" i="13"/>
  <c r="AH125" i="13" s="1"/>
  <c r="X125" i="13"/>
  <c r="W125" i="13"/>
  <c r="V125" i="13"/>
  <c r="BB124" i="13"/>
  <c r="BA124" i="13"/>
  <c r="AZ124" i="13"/>
  <c r="AY124" i="13"/>
  <c r="AX124" i="13"/>
  <c r="AW124" i="13"/>
  <c r="AT124" i="13"/>
  <c r="AP124" i="13"/>
  <c r="AN124" i="13"/>
  <c r="BC124" i="13" s="1"/>
  <c r="AM124" i="13"/>
  <c r="AF124" i="13"/>
  <c r="AS124" i="13" s="1"/>
  <c r="AD124" i="13"/>
  <c r="AH124" i="13" s="1"/>
  <c r="X124" i="13"/>
  <c r="W124" i="13"/>
  <c r="V124" i="13"/>
  <c r="BB123" i="13"/>
  <c r="BA123" i="13"/>
  <c r="AZ123" i="13"/>
  <c r="AY123" i="13"/>
  <c r="AX123" i="13"/>
  <c r="AW123" i="13"/>
  <c r="AT123" i="13"/>
  <c r="AP123" i="13"/>
  <c r="AN123" i="13"/>
  <c r="BC123" i="13" s="1"/>
  <c r="AM123" i="13"/>
  <c r="AF123" i="13"/>
  <c r="AS123" i="13" s="1"/>
  <c r="AD123" i="13"/>
  <c r="AH123" i="13" s="1"/>
  <c r="X123" i="13"/>
  <c r="W123" i="13"/>
  <c r="V123" i="13"/>
  <c r="BB122" i="13"/>
  <c r="BA122" i="13"/>
  <c r="AZ122" i="13"/>
  <c r="AY122" i="13"/>
  <c r="AX122" i="13"/>
  <c r="AW122" i="13"/>
  <c r="AT122" i="13"/>
  <c r="AP122" i="13"/>
  <c r="AN122" i="13"/>
  <c r="BC122" i="13" s="1"/>
  <c r="AM122" i="13"/>
  <c r="AF122" i="13"/>
  <c r="AS122" i="13" s="1"/>
  <c r="AD122" i="13"/>
  <c r="AH122" i="13" s="1"/>
  <c r="X122" i="13"/>
  <c r="W122" i="13"/>
  <c r="V122" i="13"/>
  <c r="BB121" i="13"/>
  <c r="BA121" i="13"/>
  <c r="AZ121" i="13"/>
  <c r="AY121" i="13"/>
  <c r="AX121" i="13"/>
  <c r="AW121" i="13"/>
  <c r="AT121" i="13"/>
  <c r="AP121" i="13"/>
  <c r="AN121" i="13"/>
  <c r="BC121" i="13" s="1"/>
  <c r="AM121" i="13"/>
  <c r="AF121" i="13"/>
  <c r="Y121" i="13" s="1"/>
  <c r="AD121" i="13"/>
  <c r="AH121" i="13" s="1"/>
  <c r="X121" i="13"/>
  <c r="W121" i="13"/>
  <c r="V121" i="13"/>
  <c r="BB120" i="13"/>
  <c r="BA120" i="13"/>
  <c r="AZ120" i="13"/>
  <c r="AY120" i="13"/>
  <c r="AX120" i="13"/>
  <c r="AW120" i="13"/>
  <c r="AT120" i="13"/>
  <c r="AP120" i="13"/>
  <c r="AN120" i="13"/>
  <c r="BC120" i="13" s="1"/>
  <c r="AM120" i="13"/>
  <c r="AF120" i="13"/>
  <c r="AS120" i="13" s="1"/>
  <c r="AD120" i="13"/>
  <c r="AH120" i="13" s="1"/>
  <c r="X120" i="13"/>
  <c r="W120" i="13"/>
  <c r="V120" i="13"/>
  <c r="BB119" i="13"/>
  <c r="BA119" i="13"/>
  <c r="AZ119" i="13"/>
  <c r="AY119" i="13"/>
  <c r="AX119" i="13"/>
  <c r="AW119" i="13"/>
  <c r="AT119" i="13"/>
  <c r="AP119" i="13"/>
  <c r="AN119" i="13"/>
  <c r="BC119" i="13" s="1"/>
  <c r="AM119" i="13"/>
  <c r="AF119" i="13"/>
  <c r="AS119" i="13" s="1"/>
  <c r="AD119" i="13"/>
  <c r="AH119" i="13" s="1"/>
  <c r="X119" i="13"/>
  <c r="W119" i="13"/>
  <c r="V119" i="13"/>
  <c r="BB118" i="13"/>
  <c r="BA118" i="13"/>
  <c r="AZ118" i="13"/>
  <c r="AY118" i="13"/>
  <c r="AX118" i="13"/>
  <c r="AW118" i="13"/>
  <c r="AT118" i="13"/>
  <c r="AP118" i="13"/>
  <c r="AN118" i="13"/>
  <c r="BC118" i="13" s="1"/>
  <c r="AM118" i="13"/>
  <c r="AF118" i="13"/>
  <c r="AS118" i="13" s="1"/>
  <c r="AD118" i="13"/>
  <c r="AH118" i="13" s="1"/>
  <c r="X118" i="13"/>
  <c r="W118" i="13"/>
  <c r="V118" i="13"/>
  <c r="BB117" i="13"/>
  <c r="BA117" i="13"/>
  <c r="AZ117" i="13"/>
  <c r="AY117" i="13"/>
  <c r="AX117" i="13"/>
  <c r="AW117" i="13"/>
  <c r="AT117" i="13"/>
  <c r="AP117" i="13"/>
  <c r="AN117" i="13"/>
  <c r="BC117" i="13" s="1"/>
  <c r="AM117" i="13"/>
  <c r="AF117" i="13"/>
  <c r="Y117" i="13" s="1"/>
  <c r="AD117" i="13"/>
  <c r="AH117" i="13" s="1"/>
  <c r="X117" i="13"/>
  <c r="W117" i="13"/>
  <c r="V117" i="13"/>
  <c r="BB116" i="13"/>
  <c r="BA116" i="13"/>
  <c r="AZ116" i="13"/>
  <c r="AY116" i="13"/>
  <c r="AX116" i="13"/>
  <c r="AW116" i="13"/>
  <c r="AT116" i="13"/>
  <c r="AP116" i="13"/>
  <c r="AN116" i="13"/>
  <c r="BC116" i="13" s="1"/>
  <c r="AM116" i="13"/>
  <c r="AF116" i="13"/>
  <c r="AS116" i="13" s="1"/>
  <c r="AD116" i="13"/>
  <c r="AH116" i="13" s="1"/>
  <c r="X116" i="13"/>
  <c r="W116" i="13"/>
  <c r="V116" i="13"/>
  <c r="BB115" i="13"/>
  <c r="BA115" i="13"/>
  <c r="AZ115" i="13"/>
  <c r="AY115" i="13"/>
  <c r="AX115" i="13"/>
  <c r="AW115" i="13"/>
  <c r="AT115" i="13"/>
  <c r="AP115" i="13"/>
  <c r="AN115" i="13"/>
  <c r="BC115" i="13" s="1"/>
  <c r="AM115" i="13"/>
  <c r="AF115" i="13"/>
  <c r="AS115" i="13" s="1"/>
  <c r="AD115" i="13"/>
  <c r="AH115" i="13" s="1"/>
  <c r="X115" i="13"/>
  <c r="W115" i="13"/>
  <c r="V115" i="13"/>
  <c r="BB114" i="13"/>
  <c r="BA114" i="13"/>
  <c r="AZ114" i="13"/>
  <c r="AY114" i="13"/>
  <c r="AX114" i="13"/>
  <c r="AW114" i="13"/>
  <c r="AT114" i="13"/>
  <c r="AP114" i="13"/>
  <c r="AN114" i="13"/>
  <c r="BC114" i="13" s="1"/>
  <c r="AM114" i="13"/>
  <c r="AF114" i="13"/>
  <c r="AS114" i="13" s="1"/>
  <c r="AD114" i="13"/>
  <c r="AH114" i="13" s="1"/>
  <c r="X114" i="13"/>
  <c r="W114" i="13"/>
  <c r="V114" i="13"/>
  <c r="BB113" i="13"/>
  <c r="BA113" i="13"/>
  <c r="AZ113" i="13"/>
  <c r="AY113" i="13"/>
  <c r="AX113" i="13"/>
  <c r="AW113" i="13"/>
  <c r="AT113" i="13"/>
  <c r="AP113" i="13"/>
  <c r="AN113" i="13"/>
  <c r="BC113" i="13" s="1"/>
  <c r="AM113" i="13"/>
  <c r="AF113" i="13"/>
  <c r="Y113" i="13" s="1"/>
  <c r="AD113" i="13"/>
  <c r="AH113" i="13" s="1"/>
  <c r="X113" i="13"/>
  <c r="W113" i="13"/>
  <c r="V113" i="13"/>
  <c r="BB112" i="13"/>
  <c r="BA112" i="13"/>
  <c r="AZ112" i="13"/>
  <c r="AY112" i="13"/>
  <c r="AX112" i="13"/>
  <c r="AW112" i="13"/>
  <c r="AT112" i="13"/>
  <c r="AP112" i="13"/>
  <c r="AN112" i="13"/>
  <c r="BC112" i="13" s="1"/>
  <c r="AM112" i="13"/>
  <c r="AF112" i="13"/>
  <c r="AS112" i="13" s="1"/>
  <c r="AD112" i="13"/>
  <c r="AH112" i="13" s="1"/>
  <c r="X112" i="13"/>
  <c r="W112" i="13"/>
  <c r="V112" i="13"/>
  <c r="BB111" i="13"/>
  <c r="BA111" i="13"/>
  <c r="AZ111" i="13"/>
  <c r="AY111" i="13"/>
  <c r="AX111" i="13"/>
  <c r="AW111" i="13"/>
  <c r="AT111" i="13"/>
  <c r="AP111" i="13"/>
  <c r="AN111" i="13"/>
  <c r="BC111" i="13" s="1"/>
  <c r="AM111" i="13"/>
  <c r="AF111" i="13"/>
  <c r="AS111" i="13" s="1"/>
  <c r="AD111" i="13"/>
  <c r="AH111" i="13" s="1"/>
  <c r="X111" i="13"/>
  <c r="W111" i="13"/>
  <c r="V111" i="13"/>
  <c r="BB110" i="13"/>
  <c r="BA110" i="13"/>
  <c r="AZ110" i="13"/>
  <c r="AY110" i="13"/>
  <c r="AX110" i="13"/>
  <c r="AW110" i="13"/>
  <c r="AT110" i="13"/>
  <c r="AP110" i="13"/>
  <c r="AN110" i="13"/>
  <c r="BC110" i="13" s="1"/>
  <c r="AM110" i="13"/>
  <c r="AF110" i="13"/>
  <c r="AS110" i="13" s="1"/>
  <c r="AD110" i="13"/>
  <c r="AH110" i="13" s="1"/>
  <c r="X110" i="13"/>
  <c r="W110" i="13"/>
  <c r="V110" i="13"/>
  <c r="BB109" i="13"/>
  <c r="BA109" i="13"/>
  <c r="AZ109" i="13"/>
  <c r="AY109" i="13"/>
  <c r="AX109" i="13"/>
  <c r="AW109" i="13"/>
  <c r="AT109" i="13"/>
  <c r="AP109" i="13"/>
  <c r="AN109" i="13"/>
  <c r="BC109" i="13" s="1"/>
  <c r="AM109" i="13"/>
  <c r="AF109" i="13"/>
  <c r="Y109" i="13" s="1"/>
  <c r="AD109" i="13"/>
  <c r="AH109" i="13" s="1"/>
  <c r="X109" i="13"/>
  <c r="W109" i="13"/>
  <c r="V109" i="13"/>
  <c r="BB108" i="13"/>
  <c r="BA108" i="13"/>
  <c r="AZ108" i="13"/>
  <c r="AY108" i="13"/>
  <c r="AX108" i="13"/>
  <c r="AW108" i="13"/>
  <c r="AT108" i="13"/>
  <c r="AP108" i="13"/>
  <c r="AN108" i="13"/>
  <c r="BC108" i="13" s="1"/>
  <c r="AM108" i="13"/>
  <c r="AF108" i="13"/>
  <c r="AS108" i="13" s="1"/>
  <c r="AD108" i="13"/>
  <c r="AH108" i="13" s="1"/>
  <c r="X108" i="13"/>
  <c r="W108" i="13"/>
  <c r="V108" i="13"/>
  <c r="BB107" i="13"/>
  <c r="BA107" i="13"/>
  <c r="AZ107" i="13"/>
  <c r="AY107" i="13"/>
  <c r="AX107" i="13"/>
  <c r="AW107" i="13"/>
  <c r="AT107" i="13"/>
  <c r="AP107" i="13"/>
  <c r="AN107" i="13"/>
  <c r="BC107" i="13" s="1"/>
  <c r="AM107" i="13"/>
  <c r="AF107" i="13"/>
  <c r="AS107" i="13" s="1"/>
  <c r="AD107" i="13"/>
  <c r="AH107" i="13" s="1"/>
  <c r="X107" i="13"/>
  <c r="W107" i="13"/>
  <c r="V107" i="13"/>
  <c r="BB106" i="13"/>
  <c r="BA106" i="13"/>
  <c r="AZ106" i="13"/>
  <c r="AY106" i="13"/>
  <c r="AX106" i="13"/>
  <c r="AW106" i="13"/>
  <c r="AT106" i="13"/>
  <c r="AP106" i="13"/>
  <c r="AN106" i="13"/>
  <c r="BC106" i="13" s="1"/>
  <c r="AM106" i="13"/>
  <c r="AF106" i="13"/>
  <c r="AS106" i="13" s="1"/>
  <c r="AD106" i="13"/>
  <c r="AH106" i="13" s="1"/>
  <c r="X106" i="13"/>
  <c r="W106" i="13"/>
  <c r="V106" i="13"/>
  <c r="BB105" i="13"/>
  <c r="BA105" i="13"/>
  <c r="AZ105" i="13"/>
  <c r="AY105" i="13"/>
  <c r="AX105" i="13"/>
  <c r="AW105" i="13"/>
  <c r="AT105" i="13"/>
  <c r="AP105" i="13"/>
  <c r="AO105" i="13"/>
  <c r="AN105" i="13"/>
  <c r="BC105" i="13" s="1"/>
  <c r="AM105" i="13"/>
  <c r="AF105" i="13"/>
  <c r="Y105" i="13" s="1"/>
  <c r="AD105" i="13"/>
  <c r="AH105" i="13" s="1"/>
  <c r="X105" i="13"/>
  <c r="W105" i="13"/>
  <c r="V105" i="13"/>
  <c r="BB104" i="13"/>
  <c r="BA104" i="13"/>
  <c r="AZ104" i="13"/>
  <c r="AY104" i="13"/>
  <c r="AX104" i="13"/>
  <c r="AW104" i="13"/>
  <c r="AT104" i="13"/>
  <c r="AP104" i="13"/>
  <c r="AN104" i="13"/>
  <c r="BC104" i="13" s="1"/>
  <c r="AM104" i="13"/>
  <c r="AF104" i="13"/>
  <c r="AS104" i="13" s="1"/>
  <c r="AD104" i="13"/>
  <c r="AH104" i="13" s="1"/>
  <c r="X104" i="13"/>
  <c r="W104" i="13"/>
  <c r="V104" i="13"/>
  <c r="BB103" i="13"/>
  <c r="BA103" i="13"/>
  <c r="AZ103" i="13"/>
  <c r="AY103" i="13"/>
  <c r="AX103" i="13"/>
  <c r="AW103" i="13"/>
  <c r="AT103" i="13"/>
  <c r="AP103" i="13"/>
  <c r="AN103" i="13"/>
  <c r="BC103" i="13" s="1"/>
  <c r="AM103" i="13"/>
  <c r="AF103" i="13"/>
  <c r="AS103" i="13" s="1"/>
  <c r="AD103" i="13"/>
  <c r="AH103" i="13" s="1"/>
  <c r="X103" i="13"/>
  <c r="W103" i="13"/>
  <c r="V103" i="13"/>
  <c r="BB102" i="13"/>
  <c r="BA102" i="13"/>
  <c r="AZ102" i="13"/>
  <c r="AY102" i="13"/>
  <c r="AX102" i="13"/>
  <c r="AW102" i="13"/>
  <c r="AT102" i="13"/>
  <c r="AP102" i="13"/>
  <c r="AN102" i="13"/>
  <c r="BC102" i="13" s="1"/>
  <c r="AM102" i="13"/>
  <c r="AF102" i="13"/>
  <c r="AS102" i="13" s="1"/>
  <c r="AD102" i="13"/>
  <c r="AH102" i="13" s="1"/>
  <c r="X102" i="13"/>
  <c r="W102" i="13"/>
  <c r="V102" i="13"/>
  <c r="BB101" i="13"/>
  <c r="BA101" i="13"/>
  <c r="AZ101" i="13"/>
  <c r="AY101" i="13"/>
  <c r="AX101" i="13"/>
  <c r="AW101" i="13"/>
  <c r="AT101" i="13"/>
  <c r="AP101" i="13"/>
  <c r="AN101" i="13"/>
  <c r="BC101" i="13" s="1"/>
  <c r="AM101" i="13"/>
  <c r="AF101" i="13"/>
  <c r="Y101" i="13" s="1"/>
  <c r="AD101" i="13"/>
  <c r="AH101" i="13" s="1"/>
  <c r="X101" i="13"/>
  <c r="W101" i="13"/>
  <c r="V101" i="13"/>
  <c r="BB100" i="13"/>
  <c r="BA100" i="13"/>
  <c r="AZ100" i="13"/>
  <c r="AY100" i="13"/>
  <c r="AX100" i="13"/>
  <c r="AW100" i="13"/>
  <c r="AT100" i="13"/>
  <c r="AP100" i="13"/>
  <c r="AN100" i="13"/>
  <c r="BC100" i="13" s="1"/>
  <c r="AM100" i="13"/>
  <c r="AF100" i="13"/>
  <c r="AS100" i="13" s="1"/>
  <c r="AD100" i="13"/>
  <c r="AH100" i="13" s="1"/>
  <c r="X100" i="13"/>
  <c r="W100" i="13"/>
  <c r="V100" i="13"/>
  <c r="BB99" i="13"/>
  <c r="BA99" i="13"/>
  <c r="AZ99" i="13"/>
  <c r="AY99" i="13"/>
  <c r="AX99" i="13"/>
  <c r="AW99" i="13"/>
  <c r="AT99" i="13"/>
  <c r="AP99" i="13"/>
  <c r="AN99" i="13"/>
  <c r="BC99" i="13" s="1"/>
  <c r="AM99" i="13"/>
  <c r="AF99" i="13"/>
  <c r="AS99" i="13" s="1"/>
  <c r="AD99" i="13"/>
  <c r="AH99" i="13" s="1"/>
  <c r="X99" i="13"/>
  <c r="W99" i="13"/>
  <c r="V99" i="13"/>
  <c r="BB98" i="13"/>
  <c r="BA98" i="13"/>
  <c r="AZ98" i="13"/>
  <c r="AY98" i="13"/>
  <c r="AX98" i="13"/>
  <c r="AW98" i="13"/>
  <c r="AT98" i="13"/>
  <c r="AP98" i="13"/>
  <c r="AN98" i="13"/>
  <c r="BC98" i="13" s="1"/>
  <c r="AM98" i="13"/>
  <c r="AF98" i="13"/>
  <c r="AS98" i="13" s="1"/>
  <c r="AD98" i="13"/>
  <c r="AH98" i="13" s="1"/>
  <c r="X98" i="13"/>
  <c r="W98" i="13"/>
  <c r="V98" i="13"/>
  <c r="BB97" i="13"/>
  <c r="BA97" i="13"/>
  <c r="AZ97" i="13"/>
  <c r="AY97" i="13"/>
  <c r="AX97" i="13"/>
  <c r="AW97" i="13"/>
  <c r="AT97" i="13"/>
  <c r="AP97" i="13"/>
  <c r="AN97" i="13"/>
  <c r="BC97" i="13" s="1"/>
  <c r="AM97" i="13"/>
  <c r="AF97" i="13"/>
  <c r="AS97" i="13" s="1"/>
  <c r="AD97" i="13"/>
  <c r="AH97" i="13" s="1"/>
  <c r="X97" i="13"/>
  <c r="W97" i="13"/>
  <c r="V97" i="13"/>
  <c r="BB96" i="13"/>
  <c r="BA96" i="13"/>
  <c r="AZ96" i="13"/>
  <c r="AY96" i="13"/>
  <c r="AX96" i="13"/>
  <c r="AW96" i="13"/>
  <c r="AT96" i="13"/>
  <c r="AP96" i="13"/>
  <c r="AN96" i="13"/>
  <c r="BC96" i="13" s="1"/>
  <c r="AM96" i="13"/>
  <c r="AF96" i="13"/>
  <c r="Y96" i="13" s="1"/>
  <c r="AD96" i="13"/>
  <c r="AH96" i="13" s="1"/>
  <c r="X96" i="13"/>
  <c r="W96" i="13"/>
  <c r="V96" i="13"/>
  <c r="BB95" i="13"/>
  <c r="BA95" i="13"/>
  <c r="AZ95" i="13"/>
  <c r="AY95" i="13"/>
  <c r="AX95" i="13"/>
  <c r="AW95" i="13"/>
  <c r="AT95" i="13"/>
  <c r="AP95" i="13"/>
  <c r="AN95" i="13"/>
  <c r="BC95" i="13" s="1"/>
  <c r="AM95" i="13"/>
  <c r="AF95" i="13"/>
  <c r="AI95" i="13" s="1"/>
  <c r="AD95" i="13"/>
  <c r="AH95" i="13" s="1"/>
  <c r="X95" i="13"/>
  <c r="W95" i="13"/>
  <c r="V95" i="13"/>
  <c r="BB94" i="13"/>
  <c r="BA94" i="13"/>
  <c r="AZ94" i="13"/>
  <c r="AY94" i="13"/>
  <c r="AX94" i="13"/>
  <c r="AW94" i="13"/>
  <c r="AT94" i="13"/>
  <c r="AP94" i="13"/>
  <c r="AN94" i="13"/>
  <c r="BC94" i="13" s="1"/>
  <c r="AM94" i="13"/>
  <c r="AF94" i="13"/>
  <c r="AS94" i="13" s="1"/>
  <c r="AD94" i="13"/>
  <c r="AH94" i="13" s="1"/>
  <c r="X94" i="13"/>
  <c r="W94" i="13"/>
  <c r="V94" i="13"/>
  <c r="BB93" i="13"/>
  <c r="BA93" i="13"/>
  <c r="AZ93" i="13"/>
  <c r="AY93" i="13"/>
  <c r="AX93" i="13"/>
  <c r="AW93" i="13"/>
  <c r="AT93" i="13"/>
  <c r="AP93" i="13"/>
  <c r="AN93" i="13"/>
  <c r="BC93" i="13" s="1"/>
  <c r="AM93" i="13"/>
  <c r="AF93" i="13"/>
  <c r="Z93" i="13" s="1"/>
  <c r="AD93" i="13"/>
  <c r="AH93" i="13" s="1"/>
  <c r="X93" i="13"/>
  <c r="W93" i="13"/>
  <c r="V93" i="13"/>
  <c r="BB92" i="13"/>
  <c r="BA92" i="13"/>
  <c r="AZ92" i="13"/>
  <c r="AY92" i="13"/>
  <c r="AX92" i="13"/>
  <c r="AW92" i="13"/>
  <c r="AT92" i="13"/>
  <c r="AP92" i="13"/>
  <c r="AN92" i="13"/>
  <c r="BC92" i="13" s="1"/>
  <c r="AM92" i="13"/>
  <c r="AF92" i="13"/>
  <c r="Y92" i="13" s="1"/>
  <c r="AD92" i="13"/>
  <c r="AH92" i="13" s="1"/>
  <c r="X92" i="13"/>
  <c r="W92" i="13"/>
  <c r="V92" i="13"/>
  <c r="BB91" i="13"/>
  <c r="BA91" i="13"/>
  <c r="AZ91" i="13"/>
  <c r="AY91" i="13"/>
  <c r="AX91" i="13"/>
  <c r="AW91" i="13"/>
  <c r="AT91" i="13"/>
  <c r="AP91" i="13"/>
  <c r="AN91" i="13"/>
  <c r="BC91" i="13" s="1"/>
  <c r="AM91" i="13"/>
  <c r="AF91" i="13"/>
  <c r="AI91" i="13" s="1"/>
  <c r="AD91" i="13"/>
  <c r="AH91" i="13" s="1"/>
  <c r="X91" i="13"/>
  <c r="W91" i="13"/>
  <c r="V91" i="13"/>
  <c r="BB90" i="13"/>
  <c r="BA90" i="13"/>
  <c r="AZ90" i="13"/>
  <c r="AY90" i="13"/>
  <c r="AX90" i="13"/>
  <c r="AW90" i="13"/>
  <c r="AT90" i="13"/>
  <c r="AP90" i="13"/>
  <c r="AN90" i="13"/>
  <c r="BC90" i="13" s="1"/>
  <c r="AM90" i="13"/>
  <c r="AF90" i="13"/>
  <c r="AS90" i="13" s="1"/>
  <c r="AD90" i="13"/>
  <c r="AH90" i="13" s="1"/>
  <c r="X90" i="13"/>
  <c r="W90" i="13"/>
  <c r="V90" i="13"/>
  <c r="BB89" i="13"/>
  <c r="BA89" i="13"/>
  <c r="AZ89" i="13"/>
  <c r="AY89" i="13"/>
  <c r="AX89" i="13"/>
  <c r="AW89" i="13"/>
  <c r="AT89" i="13"/>
  <c r="AP89" i="13"/>
  <c r="AN89" i="13"/>
  <c r="BC89" i="13" s="1"/>
  <c r="AM89" i="13"/>
  <c r="AF89" i="13"/>
  <c r="Z89" i="13" s="1"/>
  <c r="AD89" i="13"/>
  <c r="AH89" i="13" s="1"/>
  <c r="X89" i="13"/>
  <c r="W89" i="13"/>
  <c r="V89" i="13"/>
  <c r="BB88" i="13"/>
  <c r="BA88" i="13"/>
  <c r="AZ88" i="13"/>
  <c r="AY88" i="13"/>
  <c r="AX88" i="13"/>
  <c r="AW88" i="13"/>
  <c r="AT88" i="13"/>
  <c r="AP88" i="13"/>
  <c r="AN88" i="13"/>
  <c r="BC88" i="13" s="1"/>
  <c r="AM88" i="13"/>
  <c r="AF88" i="13"/>
  <c r="Y88" i="13" s="1"/>
  <c r="AD88" i="13"/>
  <c r="AH88" i="13" s="1"/>
  <c r="X88" i="13"/>
  <c r="W88" i="13"/>
  <c r="V88" i="13"/>
  <c r="BB87" i="13"/>
  <c r="BA87" i="13"/>
  <c r="AZ87" i="13"/>
  <c r="AY87" i="13"/>
  <c r="AX87" i="13"/>
  <c r="AW87" i="13"/>
  <c r="AT87" i="13"/>
  <c r="AP87" i="13"/>
  <c r="AN87" i="13"/>
  <c r="BC87" i="13" s="1"/>
  <c r="AM87" i="13"/>
  <c r="AF87" i="13"/>
  <c r="AI87" i="13" s="1"/>
  <c r="AD87" i="13"/>
  <c r="AH87" i="13" s="1"/>
  <c r="X87" i="13"/>
  <c r="W87" i="13"/>
  <c r="V87" i="13"/>
  <c r="BB86" i="13"/>
  <c r="BA86" i="13"/>
  <c r="AZ86" i="13"/>
  <c r="AY86" i="13"/>
  <c r="AX86" i="13"/>
  <c r="AW86" i="13"/>
  <c r="AT86" i="13"/>
  <c r="AP86" i="13"/>
  <c r="AN86" i="13"/>
  <c r="BC86" i="13" s="1"/>
  <c r="AM86" i="13"/>
  <c r="AF86" i="13"/>
  <c r="AS86" i="13" s="1"/>
  <c r="AD86" i="13"/>
  <c r="AH86" i="13" s="1"/>
  <c r="X86" i="13"/>
  <c r="W86" i="13"/>
  <c r="V86" i="13"/>
  <c r="BB85" i="13"/>
  <c r="BA85" i="13"/>
  <c r="AZ85" i="13"/>
  <c r="AY85" i="13"/>
  <c r="AX85" i="13"/>
  <c r="AW85" i="13"/>
  <c r="AT85" i="13"/>
  <c r="AP85" i="13"/>
  <c r="AN85" i="13"/>
  <c r="BC85" i="13" s="1"/>
  <c r="AM85" i="13"/>
  <c r="AF85" i="13"/>
  <c r="Z85" i="13" s="1"/>
  <c r="AD85" i="13"/>
  <c r="AH85" i="13" s="1"/>
  <c r="X85" i="13"/>
  <c r="W85" i="13"/>
  <c r="V85" i="13"/>
  <c r="BB84" i="13"/>
  <c r="BA84" i="13"/>
  <c r="AZ84" i="13"/>
  <c r="AY84" i="13"/>
  <c r="AX84" i="13"/>
  <c r="AW84" i="13"/>
  <c r="AT84" i="13"/>
  <c r="AP84" i="13"/>
  <c r="AO84" i="13"/>
  <c r="AN84" i="13"/>
  <c r="AM84" i="13"/>
  <c r="AF84" i="13"/>
  <c r="AS84" i="13" s="1"/>
  <c r="AD84" i="13"/>
  <c r="AH84" i="13" s="1"/>
  <c r="X84" i="13"/>
  <c r="W84" i="13"/>
  <c r="V84" i="13"/>
  <c r="BB83" i="13"/>
  <c r="BA83" i="13"/>
  <c r="AZ83" i="13"/>
  <c r="AY83" i="13"/>
  <c r="AX83" i="13"/>
  <c r="AW83" i="13"/>
  <c r="AT83" i="13"/>
  <c r="AP83" i="13"/>
  <c r="AN83" i="13"/>
  <c r="BC83" i="13" s="1"/>
  <c r="AM83" i="13"/>
  <c r="AF83" i="13"/>
  <c r="AS83" i="13" s="1"/>
  <c r="AD83" i="13"/>
  <c r="AH83" i="13" s="1"/>
  <c r="X83" i="13"/>
  <c r="W83" i="13"/>
  <c r="V83" i="13"/>
  <c r="BB82" i="13"/>
  <c r="BA82" i="13"/>
  <c r="AZ82" i="13"/>
  <c r="AY82" i="13"/>
  <c r="AX82" i="13"/>
  <c r="AW82" i="13"/>
  <c r="AT82" i="13"/>
  <c r="AP82" i="13"/>
  <c r="AN82" i="13"/>
  <c r="BC82" i="13" s="1"/>
  <c r="AM82" i="13"/>
  <c r="AF82" i="13"/>
  <c r="Y82" i="13" s="1"/>
  <c r="AD82" i="13"/>
  <c r="AH82" i="13" s="1"/>
  <c r="X82" i="13"/>
  <c r="W82" i="13"/>
  <c r="V82" i="13"/>
  <c r="BB81" i="13"/>
  <c r="BA81" i="13"/>
  <c r="AZ81" i="13"/>
  <c r="AY81" i="13"/>
  <c r="AX81" i="13"/>
  <c r="AW81" i="13"/>
  <c r="AT81" i="13"/>
  <c r="AP81" i="13"/>
  <c r="AN81" i="13"/>
  <c r="BC81" i="13" s="1"/>
  <c r="AM81" i="13"/>
  <c r="AF81" i="13"/>
  <c r="AS81" i="13" s="1"/>
  <c r="AD81" i="13"/>
  <c r="AH81" i="13" s="1"/>
  <c r="X81" i="13"/>
  <c r="W81" i="13"/>
  <c r="V81" i="13"/>
  <c r="BB80" i="13"/>
  <c r="BA80" i="13"/>
  <c r="AZ80" i="13"/>
  <c r="AY80" i="13"/>
  <c r="AX80" i="13"/>
  <c r="AW80" i="13"/>
  <c r="AT80" i="13"/>
  <c r="AP80" i="13"/>
  <c r="AN80" i="13"/>
  <c r="AM80" i="13"/>
  <c r="AF80" i="13"/>
  <c r="AS80" i="13" s="1"/>
  <c r="AD80" i="13"/>
  <c r="AH80" i="13" s="1"/>
  <c r="X80" i="13"/>
  <c r="W80" i="13"/>
  <c r="V80" i="13"/>
  <c r="BB79" i="13"/>
  <c r="BA79" i="13"/>
  <c r="AZ79" i="13"/>
  <c r="AY79" i="13"/>
  <c r="AX79" i="13"/>
  <c r="AW79" i="13"/>
  <c r="AT79" i="13"/>
  <c r="AP79" i="13"/>
  <c r="AN79" i="13"/>
  <c r="BC79" i="13" s="1"/>
  <c r="AM79" i="13"/>
  <c r="AF79" i="13"/>
  <c r="AS79" i="13" s="1"/>
  <c r="AD79" i="13"/>
  <c r="AH79" i="13" s="1"/>
  <c r="X79" i="13"/>
  <c r="W79" i="13"/>
  <c r="V79" i="13"/>
  <c r="BB78" i="13"/>
  <c r="BA78" i="13"/>
  <c r="AZ78" i="13"/>
  <c r="AY78" i="13"/>
  <c r="AX78" i="13"/>
  <c r="AW78" i="13"/>
  <c r="AT78" i="13"/>
  <c r="AP78" i="13"/>
  <c r="AN78" i="13"/>
  <c r="BC78" i="13" s="1"/>
  <c r="AM78" i="13"/>
  <c r="AF78" i="13"/>
  <c r="Y78" i="13" s="1"/>
  <c r="AD78" i="13"/>
  <c r="AH78" i="13" s="1"/>
  <c r="X78" i="13"/>
  <c r="W78" i="13"/>
  <c r="V78" i="13"/>
  <c r="BB77" i="13"/>
  <c r="BA77" i="13"/>
  <c r="AZ77" i="13"/>
  <c r="AY77" i="13"/>
  <c r="AX77" i="13"/>
  <c r="AW77" i="13"/>
  <c r="AT77" i="13"/>
  <c r="AP77" i="13"/>
  <c r="AN77" i="13"/>
  <c r="BC77" i="13" s="1"/>
  <c r="AM77" i="13"/>
  <c r="AF77" i="13"/>
  <c r="AS77" i="13" s="1"/>
  <c r="AD77" i="13"/>
  <c r="AH77" i="13" s="1"/>
  <c r="X77" i="13"/>
  <c r="W77" i="13"/>
  <c r="V77" i="13"/>
  <c r="BB76" i="13"/>
  <c r="BA76" i="13"/>
  <c r="AZ76" i="13"/>
  <c r="AY76" i="13"/>
  <c r="AX76" i="13"/>
  <c r="AW76" i="13"/>
  <c r="AT76" i="13"/>
  <c r="AP76" i="13"/>
  <c r="AN76" i="13"/>
  <c r="AM76" i="13"/>
  <c r="AF76" i="13"/>
  <c r="AS76" i="13" s="1"/>
  <c r="AD76" i="13"/>
  <c r="AH76" i="13" s="1"/>
  <c r="X76" i="13"/>
  <c r="W76" i="13"/>
  <c r="V76" i="13"/>
  <c r="BB75" i="13"/>
  <c r="BA75" i="13"/>
  <c r="AZ75" i="13"/>
  <c r="AY75" i="13"/>
  <c r="AX75" i="13"/>
  <c r="AW75" i="13"/>
  <c r="AT75" i="13"/>
  <c r="AP75" i="13"/>
  <c r="AN75" i="13"/>
  <c r="BC75" i="13" s="1"/>
  <c r="AM75" i="13"/>
  <c r="AF75" i="13"/>
  <c r="AS75" i="13" s="1"/>
  <c r="AD75" i="13"/>
  <c r="AH75" i="13" s="1"/>
  <c r="X75" i="13"/>
  <c r="W75" i="13"/>
  <c r="V75" i="13"/>
  <c r="BB74" i="13"/>
  <c r="BA74" i="13"/>
  <c r="AZ74" i="13"/>
  <c r="AY74" i="13"/>
  <c r="AX74" i="13"/>
  <c r="AW74" i="13"/>
  <c r="AT74" i="13"/>
  <c r="AP74" i="13"/>
  <c r="AN74" i="13"/>
  <c r="BC74" i="13" s="1"/>
  <c r="AM74" i="13"/>
  <c r="AF74" i="13"/>
  <c r="Y74" i="13" s="1"/>
  <c r="AD74" i="13"/>
  <c r="AH74" i="13" s="1"/>
  <c r="X74" i="13"/>
  <c r="W74" i="13"/>
  <c r="V74" i="13"/>
  <c r="BB73" i="13"/>
  <c r="BA73" i="13"/>
  <c r="AZ73" i="13"/>
  <c r="AY73" i="13"/>
  <c r="AX73" i="13"/>
  <c r="AW73" i="13"/>
  <c r="AT73" i="13"/>
  <c r="AP73" i="13"/>
  <c r="AN73" i="13"/>
  <c r="BC73" i="13" s="1"/>
  <c r="AM73" i="13"/>
  <c r="AF73" i="13"/>
  <c r="AS73" i="13" s="1"/>
  <c r="AD73" i="13"/>
  <c r="AH73" i="13" s="1"/>
  <c r="X73" i="13"/>
  <c r="W73" i="13"/>
  <c r="V73" i="13"/>
  <c r="BB72" i="13"/>
  <c r="BA72" i="13"/>
  <c r="AZ72" i="13"/>
  <c r="AY72" i="13"/>
  <c r="AX72" i="13"/>
  <c r="AW72" i="13"/>
  <c r="AT72" i="13"/>
  <c r="AP72" i="13"/>
  <c r="AN72" i="13"/>
  <c r="AM72" i="13"/>
  <c r="AF72" i="13"/>
  <c r="AS72" i="13" s="1"/>
  <c r="AD72" i="13"/>
  <c r="AH72" i="13" s="1"/>
  <c r="X72" i="13"/>
  <c r="W72" i="13"/>
  <c r="V72" i="13"/>
  <c r="BB71" i="13"/>
  <c r="BA71" i="13"/>
  <c r="AZ71" i="13"/>
  <c r="AY71" i="13"/>
  <c r="AX71" i="13"/>
  <c r="AW71" i="13"/>
  <c r="AT71" i="13"/>
  <c r="AP71" i="13"/>
  <c r="AN71" i="13"/>
  <c r="BC71" i="13" s="1"/>
  <c r="AM71" i="13"/>
  <c r="AF71" i="13"/>
  <c r="AI71" i="13" s="1"/>
  <c r="AD71" i="13"/>
  <c r="AH71" i="13" s="1"/>
  <c r="X71" i="13"/>
  <c r="W71" i="13"/>
  <c r="V71" i="13"/>
  <c r="BB70" i="13"/>
  <c r="BA70" i="13"/>
  <c r="AZ70" i="13"/>
  <c r="AY70" i="13"/>
  <c r="AX70" i="13"/>
  <c r="AW70" i="13"/>
  <c r="AT70" i="13"/>
  <c r="AP70" i="13"/>
  <c r="AO70" i="13"/>
  <c r="AN70" i="13"/>
  <c r="BC70" i="13" s="1"/>
  <c r="AM70" i="13"/>
  <c r="AF70" i="13"/>
  <c r="AS70" i="13" s="1"/>
  <c r="AD70" i="13"/>
  <c r="AH70" i="13" s="1"/>
  <c r="X70" i="13"/>
  <c r="W70" i="13"/>
  <c r="V70" i="13"/>
  <c r="BB69" i="13"/>
  <c r="BA69" i="13"/>
  <c r="AZ69" i="13"/>
  <c r="AY69" i="13"/>
  <c r="AX69" i="13"/>
  <c r="AW69" i="13"/>
  <c r="AT69" i="13"/>
  <c r="AP69" i="13"/>
  <c r="AO69" i="13"/>
  <c r="AN69" i="13"/>
  <c r="BC69" i="13" s="1"/>
  <c r="AM69" i="13"/>
  <c r="AF69" i="13"/>
  <c r="AS69" i="13" s="1"/>
  <c r="AD69" i="13"/>
  <c r="AH69" i="13" s="1"/>
  <c r="X69" i="13"/>
  <c r="W69" i="13"/>
  <c r="V69" i="13"/>
  <c r="BB68" i="13"/>
  <c r="BA68" i="13"/>
  <c r="AZ68" i="13"/>
  <c r="AY68" i="13"/>
  <c r="AX68" i="13"/>
  <c r="AW68" i="13"/>
  <c r="AT68" i="13"/>
  <c r="AP68" i="13"/>
  <c r="AO68" i="13"/>
  <c r="AN68" i="13"/>
  <c r="BC68" i="13" s="1"/>
  <c r="AM68" i="13"/>
  <c r="AF68" i="13"/>
  <c r="AS68" i="13" s="1"/>
  <c r="AD68" i="13"/>
  <c r="AH68" i="13" s="1"/>
  <c r="X68" i="13"/>
  <c r="W68" i="13"/>
  <c r="V68" i="13"/>
  <c r="BB67" i="13"/>
  <c r="BA67" i="13"/>
  <c r="AZ67" i="13"/>
  <c r="AY67" i="13"/>
  <c r="AX67" i="13"/>
  <c r="AW67" i="13"/>
  <c r="AT67" i="13"/>
  <c r="AP67" i="13"/>
  <c r="AO67" i="13"/>
  <c r="AN67" i="13"/>
  <c r="BC67" i="13" s="1"/>
  <c r="AM67" i="13"/>
  <c r="AF67" i="13"/>
  <c r="AI67" i="13" s="1"/>
  <c r="AD67" i="13"/>
  <c r="AH67" i="13" s="1"/>
  <c r="X67" i="13"/>
  <c r="W67" i="13"/>
  <c r="V67" i="13"/>
  <c r="BB66" i="13"/>
  <c r="BA66" i="13"/>
  <c r="AZ66" i="13"/>
  <c r="AY66" i="13"/>
  <c r="AX66" i="13"/>
  <c r="AW66" i="13"/>
  <c r="AT66" i="13"/>
  <c r="AP66" i="13"/>
  <c r="AO66" i="13"/>
  <c r="AN66" i="13"/>
  <c r="BC66" i="13" s="1"/>
  <c r="AM66" i="13"/>
  <c r="AF66" i="13"/>
  <c r="AS66" i="13" s="1"/>
  <c r="AD66" i="13"/>
  <c r="AH66" i="13" s="1"/>
  <c r="X66" i="13"/>
  <c r="W66" i="13"/>
  <c r="V66" i="13"/>
  <c r="BB65" i="13"/>
  <c r="BA65" i="13"/>
  <c r="AZ65" i="13"/>
  <c r="AY65" i="13"/>
  <c r="AX65" i="13"/>
  <c r="AW65" i="13"/>
  <c r="AT65" i="13"/>
  <c r="AP65" i="13"/>
  <c r="AO65" i="13"/>
  <c r="AN65" i="13"/>
  <c r="BC65" i="13" s="1"/>
  <c r="AM65" i="13"/>
  <c r="AF65" i="13"/>
  <c r="AS65" i="13" s="1"/>
  <c r="AD65" i="13"/>
  <c r="AH65" i="13" s="1"/>
  <c r="X65" i="13"/>
  <c r="W65" i="13"/>
  <c r="V65" i="13"/>
  <c r="BB64" i="13"/>
  <c r="BA64" i="13"/>
  <c r="AZ64" i="13"/>
  <c r="AY64" i="13"/>
  <c r="AX64" i="13"/>
  <c r="AW64" i="13"/>
  <c r="AT64" i="13"/>
  <c r="AP64" i="13"/>
  <c r="AO64" i="13"/>
  <c r="AN64" i="13"/>
  <c r="BC64" i="13" s="1"/>
  <c r="AM64" i="13"/>
  <c r="AF64" i="13"/>
  <c r="AS64" i="13" s="1"/>
  <c r="AD64" i="13"/>
  <c r="AH64" i="13" s="1"/>
  <c r="X64" i="13"/>
  <c r="W64" i="13"/>
  <c r="V64" i="13"/>
  <c r="BB63" i="13"/>
  <c r="BA63" i="13"/>
  <c r="AZ63" i="13"/>
  <c r="AY63" i="13"/>
  <c r="AX63" i="13"/>
  <c r="AW63" i="13"/>
  <c r="AT63" i="13"/>
  <c r="AP63" i="13"/>
  <c r="AO63" i="13"/>
  <c r="AN63" i="13"/>
  <c r="BC63" i="13" s="1"/>
  <c r="AM63" i="13"/>
  <c r="AF63" i="13"/>
  <c r="AI63" i="13" s="1"/>
  <c r="AD63" i="13"/>
  <c r="AH63" i="13" s="1"/>
  <c r="X63" i="13"/>
  <c r="W63" i="13"/>
  <c r="V63" i="13"/>
  <c r="BB62" i="13"/>
  <c r="BA62" i="13"/>
  <c r="AZ62" i="13"/>
  <c r="AY62" i="13"/>
  <c r="AX62" i="13"/>
  <c r="AW62" i="13"/>
  <c r="AT62" i="13"/>
  <c r="AP62" i="13"/>
  <c r="AO62" i="13"/>
  <c r="AN62" i="13"/>
  <c r="BC62" i="13" s="1"/>
  <c r="AM62" i="13"/>
  <c r="AF62" i="13"/>
  <c r="AS62" i="13" s="1"/>
  <c r="AD62" i="13"/>
  <c r="AH62" i="13" s="1"/>
  <c r="X62" i="13"/>
  <c r="W62" i="13"/>
  <c r="V62" i="13"/>
  <c r="BB61" i="13"/>
  <c r="BA61" i="13"/>
  <c r="AZ61" i="13"/>
  <c r="AY61" i="13"/>
  <c r="AX61" i="13"/>
  <c r="AW61" i="13"/>
  <c r="AT61" i="13"/>
  <c r="AP61" i="13"/>
  <c r="AO61" i="13"/>
  <c r="AN61" i="13"/>
  <c r="BC61" i="13" s="1"/>
  <c r="AM61" i="13"/>
  <c r="AF61" i="13"/>
  <c r="Z61" i="13" s="1"/>
  <c r="AD61" i="13"/>
  <c r="AH61" i="13" s="1"/>
  <c r="X61" i="13"/>
  <c r="W61" i="13"/>
  <c r="V61" i="13"/>
  <c r="BB60" i="13"/>
  <c r="BA60" i="13"/>
  <c r="AZ60" i="13"/>
  <c r="AY60" i="13"/>
  <c r="AX60" i="13"/>
  <c r="AW60" i="13"/>
  <c r="AT60" i="13"/>
  <c r="AP60" i="13"/>
  <c r="AO60" i="13"/>
  <c r="AN60" i="13"/>
  <c r="BC60" i="13" s="1"/>
  <c r="AM60" i="13"/>
  <c r="AF60" i="13"/>
  <c r="AS60" i="13" s="1"/>
  <c r="AD60" i="13"/>
  <c r="AH60" i="13" s="1"/>
  <c r="X60" i="13"/>
  <c r="W60" i="13"/>
  <c r="V60" i="13"/>
  <c r="BB59" i="13"/>
  <c r="BA59" i="13"/>
  <c r="AZ59" i="13"/>
  <c r="AY59" i="13"/>
  <c r="AX59" i="13"/>
  <c r="AW59" i="13"/>
  <c r="AT59" i="13"/>
  <c r="AP59" i="13"/>
  <c r="AN59" i="13"/>
  <c r="BC59" i="13" s="1"/>
  <c r="AM59" i="13"/>
  <c r="AF59" i="13"/>
  <c r="AI59" i="13" s="1"/>
  <c r="AD59" i="13"/>
  <c r="AH59" i="13" s="1"/>
  <c r="X59" i="13"/>
  <c r="W59" i="13"/>
  <c r="V59" i="13"/>
  <c r="BB58" i="13"/>
  <c r="BA58" i="13"/>
  <c r="AZ58" i="13"/>
  <c r="AY58" i="13"/>
  <c r="AX58" i="13"/>
  <c r="AW58" i="13"/>
  <c r="AT58" i="13"/>
  <c r="AP58" i="13"/>
  <c r="AO58" i="13"/>
  <c r="AN58" i="13"/>
  <c r="BC58" i="13" s="1"/>
  <c r="AM58" i="13"/>
  <c r="AF58" i="13"/>
  <c r="AS58" i="13" s="1"/>
  <c r="AD58" i="13"/>
  <c r="AH58" i="13" s="1"/>
  <c r="X58" i="13"/>
  <c r="W58" i="13"/>
  <c r="V58" i="13"/>
  <c r="BB57" i="13"/>
  <c r="BA57" i="13"/>
  <c r="AZ57" i="13"/>
  <c r="AY57" i="13"/>
  <c r="AX57" i="13"/>
  <c r="AW57" i="13"/>
  <c r="AT57" i="13"/>
  <c r="AP57" i="13"/>
  <c r="AN57" i="13"/>
  <c r="BC57" i="13" s="1"/>
  <c r="AM57" i="13"/>
  <c r="AF57" i="13"/>
  <c r="Z57" i="13" s="1"/>
  <c r="AD57" i="13"/>
  <c r="AH57" i="13" s="1"/>
  <c r="X57" i="13"/>
  <c r="W57" i="13"/>
  <c r="V57" i="13"/>
  <c r="BB56" i="13"/>
  <c r="BA56" i="13"/>
  <c r="AZ56" i="13"/>
  <c r="AY56" i="13"/>
  <c r="AX56" i="13"/>
  <c r="AW56" i="13"/>
  <c r="AT56" i="13"/>
  <c r="AP56" i="13"/>
  <c r="AN56" i="13"/>
  <c r="BC56" i="13" s="1"/>
  <c r="AM56" i="13"/>
  <c r="AF56" i="13"/>
  <c r="AS56" i="13" s="1"/>
  <c r="AD56" i="13"/>
  <c r="AH56" i="13" s="1"/>
  <c r="X56" i="13"/>
  <c r="W56" i="13"/>
  <c r="V56" i="13"/>
  <c r="BB55" i="13"/>
  <c r="BA55" i="13"/>
  <c r="AZ55" i="13"/>
  <c r="AY55" i="13"/>
  <c r="AX55" i="13"/>
  <c r="AW55" i="13"/>
  <c r="AT55" i="13"/>
  <c r="AP55" i="13"/>
  <c r="AN55" i="13"/>
  <c r="BC55" i="13" s="1"/>
  <c r="AM55" i="13"/>
  <c r="AF55" i="13"/>
  <c r="AI55" i="13" s="1"/>
  <c r="AD55" i="13"/>
  <c r="AH55" i="13" s="1"/>
  <c r="X55" i="13"/>
  <c r="W55" i="13"/>
  <c r="V55" i="13"/>
  <c r="BB54" i="13"/>
  <c r="BA54" i="13"/>
  <c r="AZ54" i="13"/>
  <c r="AY54" i="13"/>
  <c r="AX54" i="13"/>
  <c r="AW54" i="13"/>
  <c r="AT54" i="13"/>
  <c r="AP54" i="13"/>
  <c r="AN54" i="13"/>
  <c r="BC54" i="13" s="1"/>
  <c r="AM54" i="13"/>
  <c r="AF54" i="13"/>
  <c r="AS54" i="13" s="1"/>
  <c r="AD54" i="13"/>
  <c r="AH54" i="13" s="1"/>
  <c r="X54" i="13"/>
  <c r="W54" i="13"/>
  <c r="V54" i="13"/>
  <c r="BB53" i="13"/>
  <c r="BA53" i="13"/>
  <c r="AZ53" i="13"/>
  <c r="AY53" i="13"/>
  <c r="AX53" i="13"/>
  <c r="AW53" i="13"/>
  <c r="AT53" i="13"/>
  <c r="AP53" i="13"/>
  <c r="AN53" i="13"/>
  <c r="BC53" i="13" s="1"/>
  <c r="AM53" i="13"/>
  <c r="AF53" i="13"/>
  <c r="Z53" i="13" s="1"/>
  <c r="AD53" i="13"/>
  <c r="AH53" i="13" s="1"/>
  <c r="X53" i="13"/>
  <c r="W53" i="13"/>
  <c r="V53" i="13"/>
  <c r="BB52" i="13"/>
  <c r="BA52" i="13"/>
  <c r="AZ52" i="13"/>
  <c r="AY52" i="13"/>
  <c r="AX52" i="13"/>
  <c r="AW52" i="13"/>
  <c r="AT52" i="13"/>
  <c r="AP52" i="13"/>
  <c r="AO52" i="13"/>
  <c r="AN52" i="13"/>
  <c r="BC52" i="13" s="1"/>
  <c r="AM52" i="13"/>
  <c r="AF52" i="13"/>
  <c r="AS52" i="13" s="1"/>
  <c r="AD52" i="13"/>
  <c r="AH52" i="13" s="1"/>
  <c r="X52" i="13"/>
  <c r="W52" i="13"/>
  <c r="V52" i="13"/>
  <c r="BB51" i="13"/>
  <c r="BA51" i="13"/>
  <c r="AZ51" i="13"/>
  <c r="AY51" i="13"/>
  <c r="AX51" i="13"/>
  <c r="AW51" i="13"/>
  <c r="AT51" i="13"/>
  <c r="AP51" i="13"/>
  <c r="AO51" i="13"/>
  <c r="AN51" i="13"/>
  <c r="BC51" i="13" s="1"/>
  <c r="AM51" i="13"/>
  <c r="AF51" i="13"/>
  <c r="AI51" i="13" s="1"/>
  <c r="AD51" i="13"/>
  <c r="AH51" i="13" s="1"/>
  <c r="X51" i="13"/>
  <c r="W51" i="13"/>
  <c r="V51" i="13"/>
  <c r="BB50" i="13"/>
  <c r="BA50" i="13"/>
  <c r="AZ50" i="13"/>
  <c r="AY50" i="13"/>
  <c r="AX50" i="13"/>
  <c r="AW50" i="13"/>
  <c r="AT50" i="13"/>
  <c r="AP50" i="13"/>
  <c r="AO50" i="13"/>
  <c r="AN50" i="13"/>
  <c r="BC50" i="13" s="1"/>
  <c r="AM50" i="13"/>
  <c r="AF50" i="13"/>
  <c r="AS50" i="13" s="1"/>
  <c r="AD50" i="13"/>
  <c r="AH50" i="13" s="1"/>
  <c r="X50" i="13"/>
  <c r="W50" i="13"/>
  <c r="V50" i="13"/>
  <c r="BB49" i="13"/>
  <c r="BA49" i="13"/>
  <c r="AZ49" i="13"/>
  <c r="AY49" i="13"/>
  <c r="AX49" i="13"/>
  <c r="AW49" i="13"/>
  <c r="AT49" i="13"/>
  <c r="AP49" i="13"/>
  <c r="AO49" i="13"/>
  <c r="AN49" i="13"/>
  <c r="BC49" i="13" s="1"/>
  <c r="AM49" i="13"/>
  <c r="AF49" i="13"/>
  <c r="Z49" i="13" s="1"/>
  <c r="AD49" i="13"/>
  <c r="AH49" i="13" s="1"/>
  <c r="X49" i="13"/>
  <c r="W49" i="13"/>
  <c r="V49" i="13"/>
  <c r="BB48" i="13"/>
  <c r="BA48" i="13"/>
  <c r="AZ48" i="13"/>
  <c r="AY48" i="13"/>
  <c r="AX48" i="13"/>
  <c r="AW48" i="13"/>
  <c r="AT48" i="13"/>
  <c r="AP48" i="13"/>
  <c r="AO48" i="13"/>
  <c r="AN48" i="13"/>
  <c r="BC48" i="13" s="1"/>
  <c r="AM48" i="13"/>
  <c r="AF48" i="13"/>
  <c r="AS48" i="13" s="1"/>
  <c r="AD48" i="13"/>
  <c r="AH48" i="13" s="1"/>
  <c r="X48" i="13"/>
  <c r="W48" i="13"/>
  <c r="V48" i="13"/>
  <c r="BB47" i="13"/>
  <c r="BA47" i="13"/>
  <c r="AZ47" i="13"/>
  <c r="AY47" i="13"/>
  <c r="AX47" i="13"/>
  <c r="AW47" i="13"/>
  <c r="AT47" i="13"/>
  <c r="AP47" i="13"/>
  <c r="AO47" i="13"/>
  <c r="AN47" i="13"/>
  <c r="BC47" i="13" s="1"/>
  <c r="AM47" i="13"/>
  <c r="AF47" i="13"/>
  <c r="AI47" i="13" s="1"/>
  <c r="AD47" i="13"/>
  <c r="AH47" i="13" s="1"/>
  <c r="X47" i="13"/>
  <c r="W47" i="13"/>
  <c r="V47" i="13"/>
  <c r="BB46" i="13"/>
  <c r="BA46" i="13"/>
  <c r="AZ46" i="13"/>
  <c r="AY46" i="13"/>
  <c r="AX46" i="13"/>
  <c r="AW46" i="13"/>
  <c r="AT46" i="13"/>
  <c r="AP46" i="13"/>
  <c r="AO46" i="13"/>
  <c r="AN46" i="13"/>
  <c r="BC46" i="13" s="1"/>
  <c r="AM46" i="13"/>
  <c r="AF46" i="13"/>
  <c r="AS46" i="13" s="1"/>
  <c r="AD46" i="13"/>
  <c r="AH46" i="13" s="1"/>
  <c r="X46" i="13"/>
  <c r="W46" i="13"/>
  <c r="V46" i="13"/>
  <c r="BB45" i="13"/>
  <c r="BA45" i="13"/>
  <c r="AZ45" i="13"/>
  <c r="AY45" i="13"/>
  <c r="AX45" i="13"/>
  <c r="AW45" i="13"/>
  <c r="AT45" i="13"/>
  <c r="AP45" i="13"/>
  <c r="AO45" i="13"/>
  <c r="AN45" i="13"/>
  <c r="BC45" i="13" s="1"/>
  <c r="AM45" i="13"/>
  <c r="AF45" i="13"/>
  <c r="Z45" i="13" s="1"/>
  <c r="AD45" i="13"/>
  <c r="AH45" i="13" s="1"/>
  <c r="X45" i="13"/>
  <c r="W45" i="13"/>
  <c r="V45" i="13"/>
  <c r="BB44" i="13"/>
  <c r="BA44" i="13"/>
  <c r="AZ44" i="13"/>
  <c r="AY44" i="13"/>
  <c r="AX44" i="13"/>
  <c r="AW44" i="13"/>
  <c r="AT44" i="13"/>
  <c r="AP44" i="13"/>
  <c r="AO44" i="13"/>
  <c r="AN44" i="13"/>
  <c r="BC44" i="13" s="1"/>
  <c r="AM44" i="13"/>
  <c r="AF44" i="13"/>
  <c r="AS44" i="13" s="1"/>
  <c r="AD44" i="13"/>
  <c r="AH44" i="13" s="1"/>
  <c r="X44" i="13"/>
  <c r="W44" i="13"/>
  <c r="V44" i="13"/>
  <c r="BB43" i="13"/>
  <c r="BA43" i="13"/>
  <c r="AZ43" i="13"/>
  <c r="AY43" i="13"/>
  <c r="AX43" i="13"/>
  <c r="AW43" i="13"/>
  <c r="AT43" i="13"/>
  <c r="AP43" i="13"/>
  <c r="AO43" i="13"/>
  <c r="AN43" i="13"/>
  <c r="BC43" i="13" s="1"/>
  <c r="AM43" i="13"/>
  <c r="AF43" i="13"/>
  <c r="AI43" i="13" s="1"/>
  <c r="AD43" i="13"/>
  <c r="AH43" i="13" s="1"/>
  <c r="X43" i="13"/>
  <c r="W43" i="13"/>
  <c r="V43" i="13"/>
  <c r="BB42" i="13"/>
  <c r="BA42" i="13"/>
  <c r="AZ42" i="13"/>
  <c r="AY42" i="13"/>
  <c r="AX42" i="13"/>
  <c r="AW42" i="13"/>
  <c r="AT42" i="13"/>
  <c r="AP42" i="13"/>
  <c r="AN42" i="13"/>
  <c r="BC42" i="13" s="1"/>
  <c r="AM42" i="13"/>
  <c r="AF42" i="13"/>
  <c r="AS42" i="13" s="1"/>
  <c r="AD42" i="13"/>
  <c r="AH42" i="13" s="1"/>
  <c r="X42" i="13"/>
  <c r="W42" i="13"/>
  <c r="V42" i="13"/>
  <c r="BB41" i="13"/>
  <c r="BA41" i="13"/>
  <c r="AZ41" i="13"/>
  <c r="AY41" i="13"/>
  <c r="AX41" i="13"/>
  <c r="AW41" i="13"/>
  <c r="AT41" i="13"/>
  <c r="AP41" i="13"/>
  <c r="AO41" i="13"/>
  <c r="AN41" i="13"/>
  <c r="BC41" i="13" s="1"/>
  <c r="AM41" i="13"/>
  <c r="AF41" i="13"/>
  <c r="Z41" i="13" s="1"/>
  <c r="AD41" i="13"/>
  <c r="AH41" i="13" s="1"/>
  <c r="X41" i="13"/>
  <c r="W41" i="13"/>
  <c r="V41" i="13"/>
  <c r="BB40" i="13"/>
  <c r="BA40" i="13"/>
  <c r="AZ40" i="13"/>
  <c r="AY40" i="13"/>
  <c r="AX40" i="13"/>
  <c r="AW40" i="13"/>
  <c r="AT40" i="13"/>
  <c r="AP40" i="13"/>
  <c r="AN40" i="13"/>
  <c r="BC40" i="13" s="1"/>
  <c r="AM40" i="13"/>
  <c r="AF40" i="13"/>
  <c r="AS40" i="13" s="1"/>
  <c r="AD40" i="13"/>
  <c r="AH40" i="13" s="1"/>
  <c r="X40" i="13"/>
  <c r="W40" i="13"/>
  <c r="V40" i="13"/>
  <c r="BB39" i="13"/>
  <c r="BA39" i="13"/>
  <c r="AZ39" i="13"/>
  <c r="AY39" i="13"/>
  <c r="AX39" i="13"/>
  <c r="AW39" i="13"/>
  <c r="AT39" i="13"/>
  <c r="AP39" i="13"/>
  <c r="AN39" i="13"/>
  <c r="BC39" i="13" s="1"/>
  <c r="AM39" i="13"/>
  <c r="AF39" i="13"/>
  <c r="AI39" i="13" s="1"/>
  <c r="AD39" i="13"/>
  <c r="AH39" i="13" s="1"/>
  <c r="X39" i="13"/>
  <c r="W39" i="13"/>
  <c r="V39" i="13"/>
  <c r="BB38" i="13"/>
  <c r="BA38" i="13"/>
  <c r="AZ38" i="13"/>
  <c r="AY38" i="13"/>
  <c r="AX38" i="13"/>
  <c r="AW38" i="13"/>
  <c r="AT38" i="13"/>
  <c r="AP38" i="13"/>
  <c r="AN38" i="13"/>
  <c r="BC38" i="13" s="1"/>
  <c r="AM38" i="13"/>
  <c r="AF38" i="13"/>
  <c r="AS38" i="13" s="1"/>
  <c r="AD38" i="13"/>
  <c r="AH38" i="13" s="1"/>
  <c r="X38" i="13"/>
  <c r="W38" i="13"/>
  <c r="V38" i="13"/>
  <c r="BB37" i="13"/>
  <c r="BA37" i="13"/>
  <c r="AZ37" i="13"/>
  <c r="AY37" i="13"/>
  <c r="AX37" i="13"/>
  <c r="AW37" i="13"/>
  <c r="AT37" i="13"/>
  <c r="AP37" i="13"/>
  <c r="AN37" i="13"/>
  <c r="BC37" i="13" s="1"/>
  <c r="AM37" i="13"/>
  <c r="AF37" i="13"/>
  <c r="Z37" i="13" s="1"/>
  <c r="AD37" i="13"/>
  <c r="AH37" i="13" s="1"/>
  <c r="X37" i="13"/>
  <c r="W37" i="13"/>
  <c r="V37" i="13"/>
  <c r="BB36" i="13"/>
  <c r="BA36" i="13"/>
  <c r="AZ36" i="13"/>
  <c r="AY36" i="13"/>
  <c r="AX36" i="13"/>
  <c r="AW36" i="13"/>
  <c r="AT36" i="13"/>
  <c r="AP36" i="13"/>
  <c r="AN36" i="13"/>
  <c r="BC36" i="13" s="1"/>
  <c r="AM36" i="13"/>
  <c r="AF36" i="13"/>
  <c r="AS36" i="13" s="1"/>
  <c r="AD36" i="13"/>
  <c r="AH36" i="13" s="1"/>
  <c r="X36" i="13"/>
  <c r="W36" i="13"/>
  <c r="V36" i="13"/>
  <c r="BB35" i="13"/>
  <c r="BA35" i="13"/>
  <c r="AZ35" i="13"/>
  <c r="AY35" i="13"/>
  <c r="AX35" i="13"/>
  <c r="AW35" i="13"/>
  <c r="AT35" i="13"/>
  <c r="AP35" i="13"/>
  <c r="AN35" i="13"/>
  <c r="BC35" i="13" s="1"/>
  <c r="AM35" i="13"/>
  <c r="AF35" i="13"/>
  <c r="AI35" i="13" s="1"/>
  <c r="AD35" i="13"/>
  <c r="AH35" i="13" s="1"/>
  <c r="X35" i="13"/>
  <c r="W35" i="13"/>
  <c r="V35" i="13"/>
  <c r="BB34" i="13"/>
  <c r="BA34" i="13"/>
  <c r="AZ34" i="13"/>
  <c r="AY34" i="13"/>
  <c r="AX34" i="13"/>
  <c r="AW34" i="13"/>
  <c r="AT34" i="13"/>
  <c r="AP34" i="13"/>
  <c r="AN34" i="13"/>
  <c r="BC34" i="13" s="1"/>
  <c r="AM34" i="13"/>
  <c r="AF34" i="13"/>
  <c r="AS34" i="13" s="1"/>
  <c r="AD34" i="13"/>
  <c r="AH34" i="13" s="1"/>
  <c r="X34" i="13"/>
  <c r="W34" i="13"/>
  <c r="V34" i="13"/>
  <c r="BB33" i="13"/>
  <c r="BA33" i="13"/>
  <c r="AZ33" i="13"/>
  <c r="AY33" i="13"/>
  <c r="AX33" i="13"/>
  <c r="AW33" i="13"/>
  <c r="AT33" i="13"/>
  <c r="AP33" i="13"/>
  <c r="AN33" i="13"/>
  <c r="BC33" i="13" s="1"/>
  <c r="AM33" i="13"/>
  <c r="AF33" i="13"/>
  <c r="Z33" i="13" s="1"/>
  <c r="AD33" i="13"/>
  <c r="AH33" i="13" s="1"/>
  <c r="X33" i="13"/>
  <c r="W33" i="13"/>
  <c r="V33" i="13"/>
  <c r="BB32" i="13"/>
  <c r="BA32" i="13"/>
  <c r="AZ32" i="13"/>
  <c r="AY32" i="13"/>
  <c r="AX32" i="13"/>
  <c r="AW32" i="13"/>
  <c r="AT32" i="13"/>
  <c r="AP32" i="13"/>
  <c r="AN32" i="13"/>
  <c r="BC32" i="13" s="1"/>
  <c r="AM32" i="13"/>
  <c r="AF32" i="13"/>
  <c r="AS32" i="13" s="1"/>
  <c r="AD32" i="13"/>
  <c r="X32" i="13"/>
  <c r="W32" i="13"/>
  <c r="V32" i="13"/>
  <c r="BB31" i="13"/>
  <c r="BA31" i="13"/>
  <c r="AZ31" i="13"/>
  <c r="AY31" i="13"/>
  <c r="AX31" i="13"/>
  <c r="AW31" i="13"/>
  <c r="AT31" i="13"/>
  <c r="AP31" i="13"/>
  <c r="AN31" i="13"/>
  <c r="BC31" i="13" s="1"/>
  <c r="AM31" i="13"/>
  <c r="AF31" i="13"/>
  <c r="AI31" i="13" s="1"/>
  <c r="AD31" i="13"/>
  <c r="AH31" i="13" s="1"/>
  <c r="X31" i="13"/>
  <c r="W31" i="13"/>
  <c r="V31" i="13"/>
  <c r="BB30" i="13"/>
  <c r="BA30" i="13"/>
  <c r="AZ30" i="13"/>
  <c r="AY30" i="13"/>
  <c r="AX30" i="13"/>
  <c r="AW30" i="13"/>
  <c r="AT30" i="13"/>
  <c r="AP30" i="13"/>
  <c r="AN30" i="13"/>
  <c r="BC30" i="13" s="1"/>
  <c r="AM30" i="13"/>
  <c r="AF30" i="13"/>
  <c r="Z30" i="13" s="1"/>
  <c r="AD30" i="13"/>
  <c r="AH30" i="13" s="1"/>
  <c r="X30" i="13"/>
  <c r="W30" i="13"/>
  <c r="V30" i="13"/>
  <c r="BB29" i="13"/>
  <c r="BA29" i="13"/>
  <c r="AZ29" i="13"/>
  <c r="AY29" i="13"/>
  <c r="AX29" i="13"/>
  <c r="AW29" i="13"/>
  <c r="AT29" i="13"/>
  <c r="AP29" i="13"/>
  <c r="AO29" i="13"/>
  <c r="AN29" i="13"/>
  <c r="AM29" i="13"/>
  <c r="AF29" i="13"/>
  <c r="AS29" i="13" s="1"/>
  <c r="AD29" i="13"/>
  <c r="AH29" i="13" s="1"/>
  <c r="X29" i="13"/>
  <c r="W29" i="13"/>
  <c r="V29" i="13"/>
  <c r="BB28" i="13"/>
  <c r="BA28" i="13"/>
  <c r="AZ28" i="13"/>
  <c r="AY28" i="13"/>
  <c r="AX28" i="13"/>
  <c r="AW28" i="13"/>
  <c r="AT28" i="13"/>
  <c r="AP28" i="13"/>
  <c r="AO28" i="13"/>
  <c r="AN28" i="13"/>
  <c r="BC28" i="13" s="1"/>
  <c r="AM28" i="13"/>
  <c r="AF28" i="13"/>
  <c r="AS28" i="13" s="1"/>
  <c r="AD28" i="13"/>
  <c r="AH28" i="13" s="1"/>
  <c r="X28" i="13"/>
  <c r="W28" i="13"/>
  <c r="V28" i="13"/>
  <c r="BB27" i="13"/>
  <c r="BA27" i="13"/>
  <c r="AZ27" i="13"/>
  <c r="AY27" i="13"/>
  <c r="AX27" i="13"/>
  <c r="AW27" i="13"/>
  <c r="AT27" i="13"/>
  <c r="AP27" i="13"/>
  <c r="AO27" i="13"/>
  <c r="AN27" i="13"/>
  <c r="BC27" i="13" s="1"/>
  <c r="AM27" i="13"/>
  <c r="AF27" i="13"/>
  <c r="Y27" i="13" s="1"/>
  <c r="AD27" i="13"/>
  <c r="AH27" i="13" s="1"/>
  <c r="X27" i="13"/>
  <c r="W27" i="13"/>
  <c r="V27" i="13"/>
  <c r="BB26" i="13"/>
  <c r="BA26" i="13"/>
  <c r="AZ26" i="13"/>
  <c r="AY26" i="13"/>
  <c r="AX26" i="13"/>
  <c r="AW26" i="13"/>
  <c r="AT26" i="13"/>
  <c r="AP26" i="13"/>
  <c r="AN26" i="13"/>
  <c r="BC26" i="13" s="1"/>
  <c r="AM26" i="13"/>
  <c r="AF26" i="13"/>
  <c r="AS26" i="13" s="1"/>
  <c r="AD26" i="13"/>
  <c r="AH26" i="13" s="1"/>
  <c r="X26" i="13"/>
  <c r="W26" i="13"/>
  <c r="V26" i="13"/>
  <c r="BB25" i="13"/>
  <c r="BA25" i="13"/>
  <c r="AZ25" i="13"/>
  <c r="AY25" i="13"/>
  <c r="AX25" i="13"/>
  <c r="AW25" i="13"/>
  <c r="AT25" i="13"/>
  <c r="AP25" i="13"/>
  <c r="AN25" i="13"/>
  <c r="AM25" i="13"/>
  <c r="AF25" i="13"/>
  <c r="AS25" i="13" s="1"/>
  <c r="AD25" i="13"/>
  <c r="AH25" i="13" s="1"/>
  <c r="X25" i="13"/>
  <c r="W25" i="13"/>
  <c r="V25" i="13"/>
  <c r="BB24" i="13"/>
  <c r="BA24" i="13"/>
  <c r="AZ24" i="13"/>
  <c r="AY24" i="13"/>
  <c r="AX24" i="13"/>
  <c r="AW24" i="13"/>
  <c r="AT24" i="13"/>
  <c r="AP24" i="13"/>
  <c r="AO24" i="13"/>
  <c r="AN24" i="13"/>
  <c r="BC24" i="13" s="1"/>
  <c r="AM24" i="13"/>
  <c r="AF24" i="13"/>
  <c r="AS24" i="13" s="1"/>
  <c r="AD24" i="13"/>
  <c r="AH24" i="13" s="1"/>
  <c r="X24" i="13"/>
  <c r="W24" i="13"/>
  <c r="V24" i="13"/>
  <c r="BB23" i="13"/>
  <c r="BA23" i="13"/>
  <c r="AZ23" i="13"/>
  <c r="AY23" i="13"/>
  <c r="AX23" i="13"/>
  <c r="AW23" i="13"/>
  <c r="AT23" i="13"/>
  <c r="AP23" i="13"/>
  <c r="AN23" i="13"/>
  <c r="BC23" i="13" s="1"/>
  <c r="AM23" i="13"/>
  <c r="AF23" i="13"/>
  <c r="Y23" i="13" s="1"/>
  <c r="AD23" i="13"/>
  <c r="AH23" i="13" s="1"/>
  <c r="X23" i="13"/>
  <c r="W23" i="13"/>
  <c r="V23" i="13"/>
  <c r="BB22" i="13"/>
  <c r="BA22" i="13"/>
  <c r="AZ22" i="13"/>
  <c r="AY22" i="13"/>
  <c r="AX22" i="13"/>
  <c r="AW22" i="13"/>
  <c r="AT22" i="13"/>
  <c r="AP22" i="13"/>
  <c r="AO22" i="13"/>
  <c r="AN22" i="13"/>
  <c r="BC22" i="13" s="1"/>
  <c r="AM22" i="13"/>
  <c r="AF22" i="13"/>
  <c r="Z22" i="13" s="1"/>
  <c r="AD22" i="13"/>
  <c r="AH22" i="13" s="1"/>
  <c r="X22" i="13"/>
  <c r="W22" i="13"/>
  <c r="V22" i="13"/>
  <c r="BB21" i="13"/>
  <c r="BA21" i="13"/>
  <c r="AZ21" i="13"/>
  <c r="AY21" i="13"/>
  <c r="AX21" i="13"/>
  <c r="AW21" i="13"/>
  <c r="AT21" i="13"/>
  <c r="AP21" i="13"/>
  <c r="AO21" i="13"/>
  <c r="AN21" i="13"/>
  <c r="BC21" i="13" s="1"/>
  <c r="AM21" i="13"/>
  <c r="AF21" i="13"/>
  <c r="AS21" i="13" s="1"/>
  <c r="AD21" i="13"/>
  <c r="AH21" i="13" s="1"/>
  <c r="X21" i="13"/>
  <c r="W21" i="13"/>
  <c r="V21" i="13"/>
  <c r="BB20" i="13"/>
  <c r="BA20" i="13"/>
  <c r="AZ20" i="13"/>
  <c r="AY20" i="13"/>
  <c r="AX20" i="13"/>
  <c r="AW20" i="13"/>
  <c r="AT20" i="13"/>
  <c r="AP20" i="13"/>
  <c r="AO20" i="13"/>
  <c r="AN20" i="13"/>
  <c r="BC20" i="13" s="1"/>
  <c r="AM20" i="13"/>
  <c r="AF20" i="13"/>
  <c r="Y20" i="13" s="1"/>
  <c r="AD20" i="13"/>
  <c r="X20" i="13"/>
  <c r="W20" i="13"/>
  <c r="V20" i="13"/>
  <c r="AQ18" i="13"/>
  <c r="AG18" i="13"/>
  <c r="AB18" i="13"/>
  <c r="R15" i="13"/>
  <c r="Q15" i="13"/>
  <c r="AO410" i="13" s="1"/>
  <c r="R14" i="13"/>
  <c r="R13" i="13"/>
  <c r="R12" i="13"/>
  <c r="R11" i="13"/>
  <c r="R10" i="13"/>
  <c r="Q9" i="13"/>
  <c r="R8" i="13"/>
  <c r="Q8" i="13"/>
  <c r="R7" i="13"/>
  <c r="R6" i="13"/>
  <c r="R5" i="13"/>
  <c r="R4" i="13"/>
  <c r="R3" i="13"/>
  <c r="AI523" i="13" l="1"/>
  <c r="AI220" i="13"/>
  <c r="AU163" i="13"/>
  <c r="AU167" i="13"/>
  <c r="AU171" i="13"/>
  <c r="AU179" i="13"/>
  <c r="AU185" i="13"/>
  <c r="AU314" i="13"/>
  <c r="AU245" i="13"/>
  <c r="AU271" i="13"/>
  <c r="Z187" i="13"/>
  <c r="AU379" i="13"/>
  <c r="Y412" i="13"/>
  <c r="AV415" i="13"/>
  <c r="Y496" i="13"/>
  <c r="AV346" i="13"/>
  <c r="BD346" i="13" s="1"/>
  <c r="AV347" i="13"/>
  <c r="BD347" i="13" s="1"/>
  <c r="AU80" i="13"/>
  <c r="AU97" i="13"/>
  <c r="AU105" i="13"/>
  <c r="AU114" i="13"/>
  <c r="AU71" i="13"/>
  <c r="AU70" i="13"/>
  <c r="AU128" i="13"/>
  <c r="AU141" i="13"/>
  <c r="AU143" i="13"/>
  <c r="AU266" i="13"/>
  <c r="AU267" i="13"/>
  <c r="Y201" i="13"/>
  <c r="Z202" i="13"/>
  <c r="AU204" i="13"/>
  <c r="AU535" i="13"/>
  <c r="AU539" i="13"/>
  <c r="AU550" i="13"/>
  <c r="AU551" i="13"/>
  <c r="AU554" i="13"/>
  <c r="AU555" i="13"/>
  <c r="AU556" i="13"/>
  <c r="AU69" i="13"/>
  <c r="AU190" i="13"/>
  <c r="AU375" i="13"/>
  <c r="AI332" i="13"/>
  <c r="AV541" i="13"/>
  <c r="AV545" i="13"/>
  <c r="BD545" i="13" s="1"/>
  <c r="AV561" i="13"/>
  <c r="Y41" i="13"/>
  <c r="AU498" i="13"/>
  <c r="AU45" i="13"/>
  <c r="AU31" i="13"/>
  <c r="AU144" i="13"/>
  <c r="AU145" i="13"/>
  <c r="AU146" i="13"/>
  <c r="Y147" i="13"/>
  <c r="AU341" i="13"/>
  <c r="AS533" i="13"/>
  <c r="AU39" i="13"/>
  <c r="AU74" i="13"/>
  <c r="AU108" i="13"/>
  <c r="AU124" i="13"/>
  <c r="Z147" i="13"/>
  <c r="Y309" i="13"/>
  <c r="AU394" i="13"/>
  <c r="AU420" i="13"/>
  <c r="AU520" i="13"/>
  <c r="AU521" i="13"/>
  <c r="AV220" i="13"/>
  <c r="BD220" i="13" s="1"/>
  <c r="Y352" i="13"/>
  <c r="AU462" i="13"/>
  <c r="AU126" i="13"/>
  <c r="AR149" i="13"/>
  <c r="BF149" i="13" s="1"/>
  <c r="AU257" i="13"/>
  <c r="AI290" i="13"/>
  <c r="AU24" i="13"/>
  <c r="AM18" i="13"/>
  <c r="AU81" i="13"/>
  <c r="Z90" i="13"/>
  <c r="AU125" i="13"/>
  <c r="AU138" i="13"/>
  <c r="AU172" i="13"/>
  <c r="Z173" i="13"/>
  <c r="AU253" i="13"/>
  <c r="Z290" i="13"/>
  <c r="AI378" i="13"/>
  <c r="AV483" i="13"/>
  <c r="AV484" i="13"/>
  <c r="BD484" i="13" s="1"/>
  <c r="AV485" i="13"/>
  <c r="AI511" i="13"/>
  <c r="AV160" i="13"/>
  <c r="BD160" i="13" s="1"/>
  <c r="AV167" i="13"/>
  <c r="BD167" i="13" s="1"/>
  <c r="BH167" i="13" s="1"/>
  <c r="AV170" i="13"/>
  <c r="BD170" i="13" s="1"/>
  <c r="AU225" i="13"/>
  <c r="Z226" i="13"/>
  <c r="AV481" i="13"/>
  <c r="BD481" i="13" s="1"/>
  <c r="AV511" i="13"/>
  <c r="AV514" i="13"/>
  <c r="BD514" i="13" s="1"/>
  <c r="AV515" i="13"/>
  <c r="BD515" i="13" s="1"/>
  <c r="AV517" i="13"/>
  <c r="BD517" i="13" s="1"/>
  <c r="AI320" i="13"/>
  <c r="AU329" i="13"/>
  <c r="AU385" i="13"/>
  <c r="AU393" i="13"/>
  <c r="AU86" i="13"/>
  <c r="AU104" i="13"/>
  <c r="AU188" i="13"/>
  <c r="AU200" i="13"/>
  <c r="AU216" i="13"/>
  <c r="AI226" i="13"/>
  <c r="AI237" i="13"/>
  <c r="AI298" i="13"/>
  <c r="AU490" i="13"/>
  <c r="AU491" i="13"/>
  <c r="AU492" i="13"/>
  <c r="AU493" i="13"/>
  <c r="Y497" i="13"/>
  <c r="AU48" i="13"/>
  <c r="AI132" i="13"/>
  <c r="Z213" i="13"/>
  <c r="AV283" i="13"/>
  <c r="AV298" i="13"/>
  <c r="BD298" i="13" s="1"/>
  <c r="AU434" i="13"/>
  <c r="AU446" i="13"/>
  <c r="AD18" i="13"/>
  <c r="AI42" i="13"/>
  <c r="Z441" i="13"/>
  <c r="AU465" i="13"/>
  <c r="Y22" i="13"/>
  <c r="Z32" i="13"/>
  <c r="AI56" i="13"/>
  <c r="AU61" i="13"/>
  <c r="AU85" i="13"/>
  <c r="AI109" i="13"/>
  <c r="AV141" i="13"/>
  <c r="BD141" i="13" s="1"/>
  <c r="AU219" i="13"/>
  <c r="Z221" i="13"/>
  <c r="AU265" i="13"/>
  <c r="AU397" i="13"/>
  <c r="AI399" i="13"/>
  <c r="AU418" i="13"/>
  <c r="AU437" i="13"/>
  <c r="AS462" i="13"/>
  <c r="AU494" i="13"/>
  <c r="Y495" i="13"/>
  <c r="AV534" i="13"/>
  <c r="BD534" i="13" s="1"/>
  <c r="AI451" i="13"/>
  <c r="AI165" i="13"/>
  <c r="AR84" i="13"/>
  <c r="BF84" i="13" s="1"/>
  <c r="AR141" i="13"/>
  <c r="BF141" i="13" s="1"/>
  <c r="AU237" i="13"/>
  <c r="AU238" i="13"/>
  <c r="AU239" i="13"/>
  <c r="AU240" i="13"/>
  <c r="AU241" i="13"/>
  <c r="AI245" i="13"/>
  <c r="AS261" i="13"/>
  <c r="AU351" i="13"/>
  <c r="AI495" i="13"/>
  <c r="AU525" i="13"/>
  <c r="AU526" i="13"/>
  <c r="AI32" i="13"/>
  <c r="Y56" i="13"/>
  <c r="AU89" i="13"/>
  <c r="AU113" i="13"/>
  <c r="AU149" i="13"/>
  <c r="AU215" i="13"/>
  <c r="AU230" i="13"/>
  <c r="AU233" i="13"/>
  <c r="AU327" i="13"/>
  <c r="AU364" i="13"/>
  <c r="AU370" i="13"/>
  <c r="AU372" i="13"/>
  <c r="AU384" i="13"/>
  <c r="AU424" i="13"/>
  <c r="AU444" i="13"/>
  <c r="AU445" i="13"/>
  <c r="AU482" i="13"/>
  <c r="AU496" i="13"/>
  <c r="AI83" i="13"/>
  <c r="AU55" i="13"/>
  <c r="AU88" i="13"/>
  <c r="AS95" i="13"/>
  <c r="AU122" i="13"/>
  <c r="AU139" i="13"/>
  <c r="AU173" i="13"/>
  <c r="AU174" i="13"/>
  <c r="AU175" i="13"/>
  <c r="Z196" i="13"/>
  <c r="AU212" i="13"/>
  <c r="AU250" i="13"/>
  <c r="AU383" i="13"/>
  <c r="AU391" i="13"/>
  <c r="AU423" i="13"/>
  <c r="AU431" i="13"/>
  <c r="AU443" i="13"/>
  <c r="AI28" i="13"/>
  <c r="AP18" i="13"/>
  <c r="AU41" i="13"/>
  <c r="Z56" i="13"/>
  <c r="AU46" i="13"/>
  <c r="AU75" i="13"/>
  <c r="AI90" i="13"/>
  <c r="AU98" i="13"/>
  <c r="AU109" i="13"/>
  <c r="AI112" i="13"/>
  <c r="AU120" i="13"/>
  <c r="AU151" i="13"/>
  <c r="AU153" i="13"/>
  <c r="AR171" i="13"/>
  <c r="BF171" i="13" s="1"/>
  <c r="Z179" i="13"/>
  <c r="AU193" i="13"/>
  <c r="AU211" i="13"/>
  <c r="AU275" i="13"/>
  <c r="AU296" i="13"/>
  <c r="AU297" i="13"/>
  <c r="Z298" i="13"/>
  <c r="AU302" i="13"/>
  <c r="AU303" i="13"/>
  <c r="AU305" i="13"/>
  <c r="AU334" i="13"/>
  <c r="AI344" i="13"/>
  <c r="AV352" i="13"/>
  <c r="BD352" i="13" s="1"/>
  <c r="AV365" i="13"/>
  <c r="BD365" i="13" s="1"/>
  <c r="AV366" i="13"/>
  <c r="BD366" i="13" s="1"/>
  <c r="Z409" i="13"/>
  <c r="AU410" i="13"/>
  <c r="AU439" i="13"/>
  <c r="AU472" i="13"/>
  <c r="AU474" i="13"/>
  <c r="AU501" i="13"/>
  <c r="AU505" i="13"/>
  <c r="Z507" i="13"/>
  <c r="AS535" i="13"/>
  <c r="Y143" i="13"/>
  <c r="AV174" i="13"/>
  <c r="BD174" i="13" s="1"/>
  <c r="AV175" i="13"/>
  <c r="BD175" i="13" s="1"/>
  <c r="AU398" i="13"/>
  <c r="AU429" i="13"/>
  <c r="AU470" i="13"/>
  <c r="AV498" i="13"/>
  <c r="AU507" i="13"/>
  <c r="AV533" i="13"/>
  <c r="BD533" i="13" s="1"/>
  <c r="Z535" i="13"/>
  <c r="Y69" i="13"/>
  <c r="AU100" i="13"/>
  <c r="AU116" i="13"/>
  <c r="Y152" i="13"/>
  <c r="AR361" i="13"/>
  <c r="BF361" i="13" s="1"/>
  <c r="AV24" i="13"/>
  <c r="BD24" i="13" s="1"/>
  <c r="AI30" i="13"/>
  <c r="AL30" i="13" s="1"/>
  <c r="Z69" i="13"/>
  <c r="AI94" i="13"/>
  <c r="AI96" i="13"/>
  <c r="Y110" i="13"/>
  <c r="AI134" i="13"/>
  <c r="Z140" i="13"/>
  <c r="AV143" i="13"/>
  <c r="BD143" i="13" s="1"/>
  <c r="Z152" i="13"/>
  <c r="AV172" i="13"/>
  <c r="BD172" i="13" s="1"/>
  <c r="AU176" i="13"/>
  <c r="AR179" i="13"/>
  <c r="BF179" i="13" s="1"/>
  <c r="Y218" i="13"/>
  <c r="AI229" i="13"/>
  <c r="AI302" i="13"/>
  <c r="AI323" i="13"/>
  <c r="Z333" i="13"/>
  <c r="Z344" i="13"/>
  <c r="Y348" i="13"/>
  <c r="AR351" i="13"/>
  <c r="BF351" i="13" s="1"/>
  <c r="Y366" i="13"/>
  <c r="Y395" i="13"/>
  <c r="AS429" i="13"/>
  <c r="Y435" i="13"/>
  <c r="Z438" i="13"/>
  <c r="Y439" i="13"/>
  <c r="AI471" i="13"/>
  <c r="AT18" i="13"/>
  <c r="AI38" i="13"/>
  <c r="AU43" i="13"/>
  <c r="Y73" i="13"/>
  <c r="Z110" i="13"/>
  <c r="AV144" i="13"/>
  <c r="BD144" i="13" s="1"/>
  <c r="AV151" i="13"/>
  <c r="BD151" i="13" s="1"/>
  <c r="AU152" i="13"/>
  <c r="AI163" i="13"/>
  <c r="Z177" i="13"/>
  <c r="AV184" i="13"/>
  <c r="BD184" i="13" s="1"/>
  <c r="AR202" i="13"/>
  <c r="BF202" i="13" s="1"/>
  <c r="Z210" i="13"/>
  <c r="Y211" i="13"/>
  <c r="Z218" i="13"/>
  <c r="Y219" i="13"/>
  <c r="AU220" i="13"/>
  <c r="AI278" i="13"/>
  <c r="AU279" i="13"/>
  <c r="AU280" i="13"/>
  <c r="AU281" i="13"/>
  <c r="AU282" i="13"/>
  <c r="AU290" i="13"/>
  <c r="AI314" i="13"/>
  <c r="AI335" i="13"/>
  <c r="AU344" i="13"/>
  <c r="Z348" i="13"/>
  <c r="AV364" i="13"/>
  <c r="BD364" i="13" s="1"/>
  <c r="AU369" i="13"/>
  <c r="AV382" i="13"/>
  <c r="BD382" i="13" s="1"/>
  <c r="AI384" i="13"/>
  <c r="Y392" i="13"/>
  <c r="AU415" i="13"/>
  <c r="Z417" i="13"/>
  <c r="Y418" i="13"/>
  <c r="Z435" i="13"/>
  <c r="AV473" i="13"/>
  <c r="BD473" i="13" s="1"/>
  <c r="AI474" i="13"/>
  <c r="Z480" i="13"/>
  <c r="AU488" i="13"/>
  <c r="AV502" i="13"/>
  <c r="AV503" i="13"/>
  <c r="BD503" i="13" s="1"/>
  <c r="AU512" i="13"/>
  <c r="AU513" i="13"/>
  <c r="AU514" i="13"/>
  <c r="AU515" i="13"/>
  <c r="AU516" i="13"/>
  <c r="Z517" i="13"/>
  <c r="AV527" i="13"/>
  <c r="Z528" i="13"/>
  <c r="AU559" i="13"/>
  <c r="Z560" i="13"/>
  <c r="AR187" i="13"/>
  <c r="BF187" i="13" s="1"/>
  <c r="AU390" i="13"/>
  <c r="AU414" i="13"/>
  <c r="AU416" i="13"/>
  <c r="AI441" i="13"/>
  <c r="AI478" i="13"/>
  <c r="AU487" i="13"/>
  <c r="AU517" i="13"/>
  <c r="AU528" i="13"/>
  <c r="AI535" i="13"/>
  <c r="AU537" i="13"/>
  <c r="AU538" i="13"/>
  <c r="AU558" i="13"/>
  <c r="AU560" i="13"/>
  <c r="AU540" i="13"/>
  <c r="AU49" i="13"/>
  <c r="AU51" i="13"/>
  <c r="AI73" i="13"/>
  <c r="AU76" i="13"/>
  <c r="AS96" i="13"/>
  <c r="AU103" i="13"/>
  <c r="AU118" i="13"/>
  <c r="AU119" i="13"/>
  <c r="AR169" i="13"/>
  <c r="BF169" i="13" s="1"/>
  <c r="AU181" i="13"/>
  <c r="AU202" i="13"/>
  <c r="Y314" i="13"/>
  <c r="AI348" i="13"/>
  <c r="AI408" i="13"/>
  <c r="AI411" i="13"/>
  <c r="AI431" i="13"/>
  <c r="AU458" i="13"/>
  <c r="AU467" i="13"/>
  <c r="AU480" i="13"/>
  <c r="AV492" i="13"/>
  <c r="BD492" i="13" s="1"/>
  <c r="AU522" i="13"/>
  <c r="Z523" i="13"/>
  <c r="Z533" i="13"/>
  <c r="Z541" i="13"/>
  <c r="AR560" i="13"/>
  <c r="BF560" i="13" s="1"/>
  <c r="AI21" i="13"/>
  <c r="AU53" i="13"/>
  <c r="AU56" i="13"/>
  <c r="AI75" i="13"/>
  <c r="Y94" i="13"/>
  <c r="AU117" i="13"/>
  <c r="AU132" i="13"/>
  <c r="Z134" i="13"/>
  <c r="AU136" i="13"/>
  <c r="AR140" i="13"/>
  <c r="BF140" i="13" s="1"/>
  <c r="AR144" i="13"/>
  <c r="BF144" i="13" s="1"/>
  <c r="Y157" i="13"/>
  <c r="AU160" i="13"/>
  <c r="Y161" i="13"/>
  <c r="AV179" i="13"/>
  <c r="BD179" i="13" s="1"/>
  <c r="Z182" i="13"/>
  <c r="AU192" i="13"/>
  <c r="Y197" i="13"/>
  <c r="AV224" i="13"/>
  <c r="AV225" i="13"/>
  <c r="BD225" i="13" s="1"/>
  <c r="AI250" i="13"/>
  <c r="Z259" i="13"/>
  <c r="AV295" i="13"/>
  <c r="BD295" i="13" s="1"/>
  <c r="AV296" i="13"/>
  <c r="BD296" i="13" s="1"/>
  <c r="Z302" i="13"/>
  <c r="AU307" i="13"/>
  <c r="Y308" i="13"/>
  <c r="AU313" i="13"/>
  <c r="Z314" i="13"/>
  <c r="Y319" i="13"/>
  <c r="AV348" i="13"/>
  <c r="AU352" i="13"/>
  <c r="Y362" i="13"/>
  <c r="AU373" i="13"/>
  <c r="AU402" i="13"/>
  <c r="AV442" i="13"/>
  <c r="BD442" i="13" s="1"/>
  <c r="AU451" i="13"/>
  <c r="Z453" i="13"/>
  <c r="AU456" i="13"/>
  <c r="AU457" i="13"/>
  <c r="AR483" i="13"/>
  <c r="BF483" i="13" s="1"/>
  <c r="AU497" i="13"/>
  <c r="AR520" i="13"/>
  <c r="BF520" i="13" s="1"/>
  <c r="AU523" i="13"/>
  <c r="AR527" i="13"/>
  <c r="BF527" i="13" s="1"/>
  <c r="AV539" i="13"/>
  <c r="BD539" i="13" s="1"/>
  <c r="AU541" i="13"/>
  <c r="Z26" i="13"/>
  <c r="AU28" i="13"/>
  <c r="AI48" i="13"/>
  <c r="AU25" i="13"/>
  <c r="AU30" i="13"/>
  <c r="Y32" i="13"/>
  <c r="AR51" i="13"/>
  <c r="BF51" i="13" s="1"/>
  <c r="AU59" i="13"/>
  <c r="AU62" i="13"/>
  <c r="AU65" i="13"/>
  <c r="AU67" i="13"/>
  <c r="Y87" i="13"/>
  <c r="Y90" i="13"/>
  <c r="AU93" i="13"/>
  <c r="AU99" i="13"/>
  <c r="AI118" i="13"/>
  <c r="AU134" i="13"/>
  <c r="Y144" i="13"/>
  <c r="AU156" i="13"/>
  <c r="Z157" i="13"/>
  <c r="Z161" i="13"/>
  <c r="AI181" i="13"/>
  <c r="AU191" i="13"/>
  <c r="AI196" i="13"/>
  <c r="Z197" i="13"/>
  <c r="AU229" i="13"/>
  <c r="AU258" i="13"/>
  <c r="AU262" i="13"/>
  <c r="AU263" i="13"/>
  <c r="AU268" i="13"/>
  <c r="AU299" i="13"/>
  <c r="Z300" i="13"/>
  <c r="AU306" i="13"/>
  <c r="AU318" i="13"/>
  <c r="AU323" i="13"/>
  <c r="AU337" i="13"/>
  <c r="AU362" i="13"/>
  <c r="Z364" i="13"/>
  <c r="AI374" i="13"/>
  <c r="Y399" i="13"/>
  <c r="AU401" i="13"/>
  <c r="AI403" i="13"/>
  <c r="AU425" i="13"/>
  <c r="AU468" i="13"/>
  <c r="AR496" i="13"/>
  <c r="BF496" i="13" s="1"/>
  <c r="AV521" i="13"/>
  <c r="AU534" i="13"/>
  <c r="AU543" i="13"/>
  <c r="AU547" i="13"/>
  <c r="Z549" i="13"/>
  <c r="AS266" i="13"/>
  <c r="Z266" i="13"/>
  <c r="AI266" i="13"/>
  <c r="Y26" i="13"/>
  <c r="AR43" i="13"/>
  <c r="BF43" i="13" s="1"/>
  <c r="AU54" i="13"/>
  <c r="AR60" i="13"/>
  <c r="BE60" i="13" s="1"/>
  <c r="AR62" i="13"/>
  <c r="BE62" i="13" s="1"/>
  <c r="AU63" i="13"/>
  <c r="AU64" i="13"/>
  <c r="AI108" i="13"/>
  <c r="AU115" i="13"/>
  <c r="AU127" i="13"/>
  <c r="Y140" i="13"/>
  <c r="Y177" i="13"/>
  <c r="AU186" i="13"/>
  <c r="AU199" i="13"/>
  <c r="Y213" i="13"/>
  <c r="Y221" i="13"/>
  <c r="AS231" i="13"/>
  <c r="Z231" i="13"/>
  <c r="AI24" i="13"/>
  <c r="AU26" i="13"/>
  <c r="AU34" i="13"/>
  <c r="AU36" i="13"/>
  <c r="Y37" i="13"/>
  <c r="AI46" i="13"/>
  <c r="Y47" i="13"/>
  <c r="Z66" i="13"/>
  <c r="AI69" i="13"/>
  <c r="AU72" i="13"/>
  <c r="Z73" i="13"/>
  <c r="Z94" i="13"/>
  <c r="AU121" i="13"/>
  <c r="AI124" i="13"/>
  <c r="AI125" i="13"/>
  <c r="AU130" i="13"/>
  <c r="AU131" i="13"/>
  <c r="Y134" i="13"/>
  <c r="AV139" i="13"/>
  <c r="BD139" i="13" s="1"/>
  <c r="Z144" i="13"/>
  <c r="AV149" i="13"/>
  <c r="BD149" i="13" s="1"/>
  <c r="AU150" i="13"/>
  <c r="AU164" i="13"/>
  <c r="Z165" i="13"/>
  <c r="AV171" i="13"/>
  <c r="BD171" i="13" s="1"/>
  <c r="AV176" i="13"/>
  <c r="BD176" i="13" s="1"/>
  <c r="AU183" i="13"/>
  <c r="AV186" i="13"/>
  <c r="AU194" i="13"/>
  <c r="AU195" i="13"/>
  <c r="Y196" i="13"/>
  <c r="Z201" i="13"/>
  <c r="Y202" i="13"/>
  <c r="AI215" i="13"/>
  <c r="Y215" i="13"/>
  <c r="AU223" i="13"/>
  <c r="AU224" i="13"/>
  <c r="Y238" i="13"/>
  <c r="Z238" i="13"/>
  <c r="Y242" i="13"/>
  <c r="AI242" i="13"/>
  <c r="Z242" i="13"/>
  <c r="AR44" i="13"/>
  <c r="BE44" i="13" s="1"/>
  <c r="AR46" i="13"/>
  <c r="BF46" i="13" s="1"/>
  <c r="AU47" i="13"/>
  <c r="AU60" i="13"/>
  <c r="AU73" i="13"/>
  <c r="AU83" i="13"/>
  <c r="AU84" i="13"/>
  <c r="AI93" i="13"/>
  <c r="AU94" i="13"/>
  <c r="AU95" i="13"/>
  <c r="AI113" i="13"/>
  <c r="AI117" i="13"/>
  <c r="AI120" i="13"/>
  <c r="AR174" i="13"/>
  <c r="BF174" i="13" s="1"/>
  <c r="Y185" i="13"/>
  <c r="AI200" i="13"/>
  <c r="Y209" i="13"/>
  <c r="AI214" i="13"/>
  <c r="Z214" i="13"/>
  <c r="Y217" i="13"/>
  <c r="AU27" i="13"/>
  <c r="AU21" i="13"/>
  <c r="AI26" i="13"/>
  <c r="AI34" i="13"/>
  <c r="AU35" i="13"/>
  <c r="AU40" i="13"/>
  <c r="Z50" i="13"/>
  <c r="AR52" i="13"/>
  <c r="BE52" i="13" s="1"/>
  <c r="AI58" i="13"/>
  <c r="AU77" i="13"/>
  <c r="AU79" i="13"/>
  <c r="AU129" i="13"/>
  <c r="AI130" i="13"/>
  <c r="AU133" i="13"/>
  <c r="AU135" i="13"/>
  <c r="AV150" i="13"/>
  <c r="BD150" i="13" s="1"/>
  <c r="BG150" i="13" s="1"/>
  <c r="AV164" i="13"/>
  <c r="BD164" i="13" s="1"/>
  <c r="AI177" i="13"/>
  <c r="AU184" i="13"/>
  <c r="Z185" i="13"/>
  <c r="AU189" i="13"/>
  <c r="AU196" i="13"/>
  <c r="AU203" i="13"/>
  <c r="AI206" i="13"/>
  <c r="Z206" i="13"/>
  <c r="AU208" i="13"/>
  <c r="Z209" i="13"/>
  <c r="Z217" i="13"/>
  <c r="AR64" i="13"/>
  <c r="BE64" i="13" s="1"/>
  <c r="AU68" i="13"/>
  <c r="AU101" i="13"/>
  <c r="AU102" i="13"/>
  <c r="AU142" i="13"/>
  <c r="AU155" i="13"/>
  <c r="AU159" i="13"/>
  <c r="AI172" i="13"/>
  <c r="AR178" i="13"/>
  <c r="BF178" i="13" s="1"/>
  <c r="AU180" i="13"/>
  <c r="AS205" i="13"/>
  <c r="Z205" i="13"/>
  <c r="AI208" i="13"/>
  <c r="AU226" i="13"/>
  <c r="AR20" i="13"/>
  <c r="BF20" i="13" s="1"/>
  <c r="AR48" i="13"/>
  <c r="BE48" i="13" s="1"/>
  <c r="Y186" i="13"/>
  <c r="Y198" i="13"/>
  <c r="AY18" i="13"/>
  <c r="AV21" i="13"/>
  <c r="BD21" i="13" s="1"/>
  <c r="AU22" i="13"/>
  <c r="AI62" i="13"/>
  <c r="Y63" i="13"/>
  <c r="AV68" i="13"/>
  <c r="BD68" i="13" s="1"/>
  <c r="AI88" i="13"/>
  <c r="AU90" i="13"/>
  <c r="AI101" i="13"/>
  <c r="AI102" i="13"/>
  <c r="AI104" i="13"/>
  <c r="AU106" i="13"/>
  <c r="AU112" i="13"/>
  <c r="AV142" i="13"/>
  <c r="BD142" i="13" s="1"/>
  <c r="AV146" i="13"/>
  <c r="AU147" i="13"/>
  <c r="AU148" i="13"/>
  <c r="AI155" i="13"/>
  <c r="AI167" i="13"/>
  <c r="AU168" i="13"/>
  <c r="AU169" i="13"/>
  <c r="AU170" i="13"/>
  <c r="AI185" i="13"/>
  <c r="Z186" i="13"/>
  <c r="AR188" i="13"/>
  <c r="BF188" i="13" s="1"/>
  <c r="AU197" i="13"/>
  <c r="Z198" i="13"/>
  <c r="AS247" i="13"/>
  <c r="Z247" i="13"/>
  <c r="AV239" i="13"/>
  <c r="AV240" i="13"/>
  <c r="Z254" i="13"/>
  <c r="Z260" i="13"/>
  <c r="AV303" i="13"/>
  <c r="BD303" i="13" s="1"/>
  <c r="Y312" i="13"/>
  <c r="AI328" i="13"/>
  <c r="AI336" i="13"/>
  <c r="AU339" i="13"/>
  <c r="AI340" i="13"/>
  <c r="AI343" i="13"/>
  <c r="Z345" i="13"/>
  <c r="Z352" i="13"/>
  <c r="AS352" i="13"/>
  <c r="Z362" i="13"/>
  <c r="Z366" i="13"/>
  <c r="AI380" i="13"/>
  <c r="Z395" i="13"/>
  <c r="Z412" i="13"/>
  <c r="Y415" i="13"/>
  <c r="AR415" i="13"/>
  <c r="BF415" i="13" s="1"/>
  <c r="AU422" i="13"/>
  <c r="Y447" i="13"/>
  <c r="AI455" i="13"/>
  <c r="AI467" i="13"/>
  <c r="Y488" i="13"/>
  <c r="AV495" i="13"/>
  <c r="BD495" i="13" s="1"/>
  <c r="Z496" i="13"/>
  <c r="AV499" i="13"/>
  <c r="BD499" i="13" s="1"/>
  <c r="AI509" i="13"/>
  <c r="AU511" i="13"/>
  <c r="Z521" i="13"/>
  <c r="AR524" i="13"/>
  <c r="BF524" i="13" s="1"/>
  <c r="Z527" i="13"/>
  <c r="AU533" i="13"/>
  <c r="AS534" i="13"/>
  <c r="AR541" i="13"/>
  <c r="BF541" i="13" s="1"/>
  <c r="Y546" i="13"/>
  <c r="AV554" i="13"/>
  <c r="BD554" i="13" s="1"/>
  <c r="BH554" i="13" s="1"/>
  <c r="AR239" i="13"/>
  <c r="BE239" i="13" s="1"/>
  <c r="AV241" i="13"/>
  <c r="BD241" i="13" s="1"/>
  <c r="AU246" i="13"/>
  <c r="Z251" i="13"/>
  <c r="AU252" i="13"/>
  <c r="AU261" i="13"/>
  <c r="AU270" i="13"/>
  <c r="AU273" i="13"/>
  <c r="AU274" i="13"/>
  <c r="AR276" i="13"/>
  <c r="BF276" i="13" s="1"/>
  <c r="AV279" i="13"/>
  <c r="AU284" i="13"/>
  <c r="AU287" i="13"/>
  <c r="AU288" i="13"/>
  <c r="AU311" i="13"/>
  <c r="AU312" i="13"/>
  <c r="AI324" i="13"/>
  <c r="AU347" i="13"/>
  <c r="AU366" i="13"/>
  <c r="AI393" i="13"/>
  <c r="AU395" i="13"/>
  <c r="AU412" i="13"/>
  <c r="AJ445" i="13"/>
  <c r="Z451" i="13"/>
  <c r="Z472" i="13"/>
  <c r="AU484" i="13"/>
  <c r="AU485" i="13"/>
  <c r="AU486" i="13"/>
  <c r="Z488" i="13"/>
  <c r="AV501" i="13"/>
  <c r="AU504" i="13"/>
  <c r="Z505" i="13"/>
  <c r="AV519" i="13"/>
  <c r="BD519" i="13" s="1"/>
  <c r="AV525" i="13"/>
  <c r="BD525" i="13" s="1"/>
  <c r="AU527" i="13"/>
  <c r="Z534" i="13"/>
  <c r="AV537" i="13"/>
  <c r="BD537" i="13" s="1"/>
  <c r="AV542" i="13"/>
  <c r="Z547" i="13"/>
  <c r="Z556" i="13"/>
  <c r="Z561" i="13"/>
  <c r="AU251" i="13"/>
  <c r="AU255" i="13"/>
  <c r="AU269" i="13"/>
  <c r="AU289" i="13"/>
  <c r="AU310" i="13"/>
  <c r="AR364" i="13"/>
  <c r="BF364" i="13" s="1"/>
  <c r="AU469" i="13"/>
  <c r="AU254" i="13"/>
  <c r="AI261" i="13"/>
  <c r="AU264" i="13"/>
  <c r="AI274" i="13"/>
  <c r="AU276" i="13"/>
  <c r="AR285" i="13"/>
  <c r="BE285" i="13" s="1"/>
  <c r="AI288" i="13"/>
  <c r="AI308" i="13"/>
  <c r="AI312" i="13"/>
  <c r="AU354" i="13"/>
  <c r="AU356" i="13"/>
  <c r="AU357" i="13"/>
  <c r="AU358" i="13"/>
  <c r="AI366" i="13"/>
  <c r="AI395" i="13"/>
  <c r="AI412" i="13"/>
  <c r="AU413" i="13"/>
  <c r="AI415" i="13"/>
  <c r="AI447" i="13"/>
  <c r="AU449" i="13"/>
  <c r="AU450" i="13"/>
  <c r="AS466" i="13"/>
  <c r="AI496" i="13"/>
  <c r="Z234" i="13"/>
  <c r="AI254" i="13"/>
  <c r="AV262" i="13"/>
  <c r="AV274" i="13"/>
  <c r="BD274" i="13" s="1"/>
  <c r="AU316" i="13"/>
  <c r="AU332" i="13"/>
  <c r="AV361" i="13"/>
  <c r="BD361" i="13" s="1"/>
  <c r="AI362" i="13"/>
  <c r="AR368" i="13"/>
  <c r="BF368" i="13" s="1"/>
  <c r="AI391" i="13"/>
  <c r="Y393" i="13"/>
  <c r="AR444" i="13"/>
  <c r="BE444" i="13" s="1"/>
  <c r="Y455" i="13"/>
  <c r="AU552" i="13"/>
  <c r="Z553" i="13"/>
  <c r="AI556" i="13"/>
  <c r="Z558" i="13"/>
  <c r="AU207" i="13"/>
  <c r="AU227" i="13"/>
  <c r="AI233" i="13"/>
  <c r="AU234" i="13"/>
  <c r="AV275" i="13"/>
  <c r="BD275" i="13" s="1"/>
  <c r="AU277" i="13"/>
  <c r="AU278" i="13"/>
  <c r="AU292" i="13"/>
  <c r="AU293" i="13"/>
  <c r="AU294" i="13"/>
  <c r="AU315" i="13"/>
  <c r="AU321" i="13"/>
  <c r="AU322" i="13"/>
  <c r="AU330" i="13"/>
  <c r="AU331" i="13"/>
  <c r="AU333" i="13"/>
  <c r="Z336" i="13"/>
  <c r="AU342" i="13"/>
  <c r="Y343" i="13"/>
  <c r="AU349" i="13"/>
  <c r="AU350" i="13"/>
  <c r="AV353" i="13"/>
  <c r="BD353" i="13" s="1"/>
  <c r="AV355" i="13"/>
  <c r="BD355" i="13" s="1"/>
  <c r="AI359" i="13"/>
  <c r="AU360" i="13"/>
  <c r="AU361" i="13"/>
  <c r="AR363" i="13"/>
  <c r="BF363" i="13" s="1"/>
  <c r="Z380" i="13"/>
  <c r="Y384" i="13"/>
  <c r="AU387" i="13"/>
  <c r="AU392" i="13"/>
  <c r="Z393" i="13"/>
  <c r="Y408" i="13"/>
  <c r="AU417" i="13"/>
  <c r="Y419" i="13"/>
  <c r="Z421" i="13"/>
  <c r="Y422" i="13"/>
  <c r="AU427" i="13"/>
  <c r="AU428" i="13"/>
  <c r="AU433" i="13"/>
  <c r="AU454" i="13"/>
  <c r="Z455" i="13"/>
  <c r="Z460" i="13"/>
  <c r="AU461" i="13"/>
  <c r="AU464" i="13"/>
  <c r="Y466" i="13"/>
  <c r="Z476" i="13"/>
  <c r="AU478" i="13"/>
  <c r="AV491" i="13"/>
  <c r="BD491" i="13" s="1"/>
  <c r="AR494" i="13"/>
  <c r="AU495" i="13"/>
  <c r="AV505" i="13"/>
  <c r="BD505" i="13" s="1"/>
  <c r="AU508" i="13"/>
  <c r="Z509" i="13"/>
  <c r="AV549" i="13"/>
  <c r="AV550" i="13"/>
  <c r="Z554" i="13"/>
  <c r="AV233" i="13"/>
  <c r="BD233" i="13" s="1"/>
  <c r="AV264" i="13"/>
  <c r="BD264" i="13" s="1"/>
  <c r="AV317" i="13"/>
  <c r="BD317" i="13" s="1"/>
  <c r="AV319" i="13"/>
  <c r="BD319" i="13" s="1"/>
  <c r="Z324" i="13"/>
  <c r="AU336" i="13"/>
  <c r="Z337" i="13"/>
  <c r="AU343" i="13"/>
  <c r="AU365" i="13"/>
  <c r="AU371" i="13"/>
  <c r="Z384" i="13"/>
  <c r="AU386" i="13"/>
  <c r="Y403" i="13"/>
  <c r="Z408" i="13"/>
  <c r="AU419" i="13"/>
  <c r="AU421" i="13"/>
  <c r="Y423" i="13"/>
  <c r="AU426" i="13"/>
  <c r="AI429" i="13"/>
  <c r="AU432" i="13"/>
  <c r="AU442" i="13"/>
  <c r="Y443" i="13"/>
  <c r="AI453" i="13"/>
  <c r="AU459" i="13"/>
  <c r="AU466" i="13"/>
  <c r="AI475" i="13"/>
  <c r="AU476" i="13"/>
  <c r="Y480" i="13"/>
  <c r="AU499" i="13"/>
  <c r="AU500" i="13"/>
  <c r="AI507" i="13"/>
  <c r="AU509" i="13"/>
  <c r="AR511" i="13"/>
  <c r="AI517" i="13"/>
  <c r="Z519" i="13"/>
  <c r="Y525" i="13"/>
  <c r="AU530" i="13"/>
  <c r="AU531" i="13"/>
  <c r="AU532" i="13"/>
  <c r="AI541" i="13"/>
  <c r="Z542" i="13"/>
  <c r="AR550" i="13"/>
  <c r="BF550" i="13" s="1"/>
  <c r="AR552" i="13"/>
  <c r="BF552" i="13" s="1"/>
  <c r="AV557" i="13"/>
  <c r="AR224" i="13"/>
  <c r="BE224" i="13" s="1"/>
  <c r="BC224" i="13"/>
  <c r="AS263" i="13"/>
  <c r="Y263" i="13"/>
  <c r="AI263" i="13"/>
  <c r="AS270" i="13"/>
  <c r="Z270" i="13"/>
  <c r="AI270" i="13"/>
  <c r="AI325" i="13"/>
  <c r="Z325" i="13"/>
  <c r="AU44" i="13"/>
  <c r="AZ18" i="13"/>
  <c r="AJ30" i="13"/>
  <c r="AI40" i="13"/>
  <c r="AI86" i="13"/>
  <c r="AU96" i="13"/>
  <c r="AI98" i="13"/>
  <c r="AS126" i="13"/>
  <c r="Y126" i="13"/>
  <c r="AS136" i="13"/>
  <c r="AI136" i="13"/>
  <c r="AJ137" i="13"/>
  <c r="AS204" i="13"/>
  <c r="Z204" i="13"/>
  <c r="Y204" i="13"/>
  <c r="AI204" i="13"/>
  <c r="AS397" i="13"/>
  <c r="AI397" i="13"/>
  <c r="Z397" i="13"/>
  <c r="Y397" i="13"/>
  <c r="AS401" i="13"/>
  <c r="Z401" i="13"/>
  <c r="Y401" i="13"/>
  <c r="AI401" i="13"/>
  <c r="Y24" i="13"/>
  <c r="AR24" i="13"/>
  <c r="AV28" i="13"/>
  <c r="BD28" i="13" s="1"/>
  <c r="AU29" i="13"/>
  <c r="Y30" i="13"/>
  <c r="Y33" i="13"/>
  <c r="AI36" i="13"/>
  <c r="Z38" i="13"/>
  <c r="Z42" i="13"/>
  <c r="AI44" i="13"/>
  <c r="Y48" i="13"/>
  <c r="AU50" i="13"/>
  <c r="AI52" i="13"/>
  <c r="Y57" i="13"/>
  <c r="AI60" i="13"/>
  <c r="AI65" i="13"/>
  <c r="AU66" i="13"/>
  <c r="Y67" i="13"/>
  <c r="AI81" i="13"/>
  <c r="Y83" i="13"/>
  <c r="Z87" i="13"/>
  <c r="AI100" i="13"/>
  <c r="AI105" i="13"/>
  <c r="Y106" i="13"/>
  <c r="AU110" i="13"/>
  <c r="AU111" i="13"/>
  <c r="AI114" i="13"/>
  <c r="AI116" i="13"/>
  <c r="Y122" i="13"/>
  <c r="AI126" i="13"/>
  <c r="AI128" i="13"/>
  <c r="AU137" i="13"/>
  <c r="AS143" i="13"/>
  <c r="Z143" i="13"/>
  <c r="AS151" i="13"/>
  <c r="Y151" i="13"/>
  <c r="AI151" i="13"/>
  <c r="AR152" i="13"/>
  <c r="BF152" i="13" s="1"/>
  <c r="AI160" i="13"/>
  <c r="AW18" i="13"/>
  <c r="AU23" i="13"/>
  <c r="Z24" i="13"/>
  <c r="Z34" i="13"/>
  <c r="AU38" i="13"/>
  <c r="AU42" i="13"/>
  <c r="AV44" i="13"/>
  <c r="BD44" i="13" s="1"/>
  <c r="Y45" i="13"/>
  <c r="Z48" i="13"/>
  <c r="AV49" i="13"/>
  <c r="BD49" i="13" s="1"/>
  <c r="AV52" i="13"/>
  <c r="BD52" i="13" s="1"/>
  <c r="Y53" i="13"/>
  <c r="Z58" i="13"/>
  <c r="AV60" i="13"/>
  <c r="BD60" i="13" s="1"/>
  <c r="Y61" i="13"/>
  <c r="AV65" i="13"/>
  <c r="BD65" i="13" s="1"/>
  <c r="AI77" i="13"/>
  <c r="Y79" i="13"/>
  <c r="Z83" i="13"/>
  <c r="Z88" i="13"/>
  <c r="Y93" i="13"/>
  <c r="AS93" i="13"/>
  <c r="Y102" i="13"/>
  <c r="AV105" i="13"/>
  <c r="BD105" i="13" s="1"/>
  <c r="Z106" i="13"/>
  <c r="AI121" i="13"/>
  <c r="Z122" i="13"/>
  <c r="AV128" i="13"/>
  <c r="BD128" i="13" s="1"/>
  <c r="AI137" i="13"/>
  <c r="AL137" i="13" s="1"/>
  <c r="AI146" i="13"/>
  <c r="AR159" i="13"/>
  <c r="BF159" i="13" s="1"/>
  <c r="AR165" i="13"/>
  <c r="BE165" i="13" s="1"/>
  <c r="AV166" i="13"/>
  <c r="AR175" i="13"/>
  <c r="BE175" i="13" s="1"/>
  <c r="AS227" i="13"/>
  <c r="Z227" i="13"/>
  <c r="AU52" i="13"/>
  <c r="AX18" i="13"/>
  <c r="Y21" i="13"/>
  <c r="AV22" i="13"/>
  <c r="BD22" i="13" s="1"/>
  <c r="Y28" i="13"/>
  <c r="AR28" i="13"/>
  <c r="BF28" i="13" s="1"/>
  <c r="AV29" i="13"/>
  <c r="AU37" i="13"/>
  <c r="Y39" i="13"/>
  <c r="AV41" i="13"/>
  <c r="BD41" i="13" s="1"/>
  <c r="Y43" i="13"/>
  <c r="AR47" i="13"/>
  <c r="BF47" i="13" s="1"/>
  <c r="AI50" i="13"/>
  <c r="Y51" i="13"/>
  <c r="Z54" i="13"/>
  <c r="AU58" i="13"/>
  <c r="AV63" i="13"/>
  <c r="BD63" i="13" s="1"/>
  <c r="AI64" i="13"/>
  <c r="AR66" i="13"/>
  <c r="BF66" i="13" s="1"/>
  <c r="AR68" i="13"/>
  <c r="BE68" i="13" s="1"/>
  <c r="Z70" i="13"/>
  <c r="Y75" i="13"/>
  <c r="Z79" i="13"/>
  <c r="AU82" i="13"/>
  <c r="AS89" i="13"/>
  <c r="AU92" i="13"/>
  <c r="Z102" i="13"/>
  <c r="AU107" i="13"/>
  <c r="AI110" i="13"/>
  <c r="Y118" i="13"/>
  <c r="AU123" i="13"/>
  <c r="AV137" i="13"/>
  <c r="BD137" i="13" s="1"/>
  <c r="AR137" i="13"/>
  <c r="BF137" i="13" s="1"/>
  <c r="AR145" i="13"/>
  <c r="BF145" i="13" s="1"/>
  <c r="BD146" i="13"/>
  <c r="BH146" i="13" s="1"/>
  <c r="AR166" i="13"/>
  <c r="BF166" i="13" s="1"/>
  <c r="BB18" i="13"/>
  <c r="Z21" i="13"/>
  <c r="Z28" i="13"/>
  <c r="AR29" i="13"/>
  <c r="BE29" i="13" s="1"/>
  <c r="AU33" i="13"/>
  <c r="Y35" i="13"/>
  <c r="Y40" i="13"/>
  <c r="Z46" i="13"/>
  <c r="AR50" i="13"/>
  <c r="BF50" i="13" s="1"/>
  <c r="AU57" i="13"/>
  <c r="Z62" i="13"/>
  <c r="AV64" i="13"/>
  <c r="BD64" i="13" s="1"/>
  <c r="Y65" i="13"/>
  <c r="Y71" i="13"/>
  <c r="Z75" i="13"/>
  <c r="AU78" i="13"/>
  <c r="Y81" i="13"/>
  <c r="Y86" i="13"/>
  <c r="AU87" i="13"/>
  <c r="Y98" i="13"/>
  <c r="Z118" i="13"/>
  <c r="AS148" i="13"/>
  <c r="Z148" i="13"/>
  <c r="Y148" i="13"/>
  <c r="AS178" i="13"/>
  <c r="Z178" i="13"/>
  <c r="Y178" i="13"/>
  <c r="AR183" i="13"/>
  <c r="BF183" i="13" s="1"/>
  <c r="AS192" i="13"/>
  <c r="Z192" i="13"/>
  <c r="Y192" i="13"/>
  <c r="AI192" i="13"/>
  <c r="Y230" i="13"/>
  <c r="Z230" i="13"/>
  <c r="AI230" i="13"/>
  <c r="AU249" i="13"/>
  <c r="AJ302" i="13"/>
  <c r="AV27" i="13"/>
  <c r="BD27" i="13" s="1"/>
  <c r="Y31" i="13"/>
  <c r="Y36" i="13"/>
  <c r="Z40" i="13"/>
  <c r="Y44" i="13"/>
  <c r="Y52" i="13"/>
  <c r="Y55" i="13"/>
  <c r="Y59" i="13"/>
  <c r="Z65" i="13"/>
  <c r="AV67" i="13"/>
  <c r="BD67" i="13" s="1"/>
  <c r="AV69" i="13"/>
  <c r="BD69" i="13" s="1"/>
  <c r="Y77" i="13"/>
  <c r="Z81" i="13"/>
  <c r="Z86" i="13"/>
  <c r="Z98" i="13"/>
  <c r="AI106" i="13"/>
  <c r="Y114" i="13"/>
  <c r="AI122" i="13"/>
  <c r="AS130" i="13"/>
  <c r="Z130" i="13"/>
  <c r="AS142" i="13"/>
  <c r="AI142" i="13"/>
  <c r="AV147" i="13"/>
  <c r="BD147" i="13" s="1"/>
  <c r="AV148" i="13"/>
  <c r="BD148" i="13" s="1"/>
  <c r="AR148" i="13"/>
  <c r="BF148" i="13" s="1"/>
  <c r="Y164" i="13"/>
  <c r="AI164" i="13"/>
  <c r="AS169" i="13"/>
  <c r="Z169" i="13"/>
  <c r="Y169" i="13"/>
  <c r="AV194" i="13"/>
  <c r="BD194" i="13" s="1"/>
  <c r="AR194" i="13"/>
  <c r="BF194" i="13" s="1"/>
  <c r="AR240" i="13"/>
  <c r="BF240" i="13" s="1"/>
  <c r="BC240" i="13"/>
  <c r="BD240" i="13" s="1"/>
  <c r="Y253" i="13"/>
  <c r="AI253" i="13"/>
  <c r="Y258" i="13"/>
  <c r="Z258" i="13"/>
  <c r="AI258" i="13"/>
  <c r="AS280" i="13"/>
  <c r="Z280" i="13"/>
  <c r="AI280" i="13"/>
  <c r="AI349" i="13"/>
  <c r="Z349" i="13"/>
  <c r="Z351" i="13"/>
  <c r="AI351" i="13"/>
  <c r="Y351" i="13"/>
  <c r="AV359" i="13"/>
  <c r="BD359" i="13" s="1"/>
  <c r="AR359" i="13"/>
  <c r="BF359" i="13" s="1"/>
  <c r="Z361" i="13"/>
  <c r="Y361" i="13"/>
  <c r="AI361" i="13"/>
  <c r="AL361" i="13" s="1"/>
  <c r="BA18" i="13"/>
  <c r="Z36" i="13"/>
  <c r="Z44" i="13"/>
  <c r="AV45" i="13"/>
  <c r="BD45" i="13" s="1"/>
  <c r="AV48" i="13"/>
  <c r="BD48" i="13" s="1"/>
  <c r="BH48" i="13" s="1"/>
  <c r="Y49" i="13"/>
  <c r="Z52" i="13"/>
  <c r="AI54" i="13"/>
  <c r="AR58" i="13"/>
  <c r="BE58" i="13" s="1"/>
  <c r="Z60" i="13"/>
  <c r="AV61" i="13"/>
  <c r="BD61" i="13" s="1"/>
  <c r="AR67" i="13"/>
  <c r="BF67" i="13" s="1"/>
  <c r="AI68" i="13"/>
  <c r="AR70" i="13"/>
  <c r="BE70" i="13" s="1"/>
  <c r="Z77" i="13"/>
  <c r="AI79" i="13"/>
  <c r="AV84" i="13"/>
  <c r="Z114" i="13"/>
  <c r="Z126" i="13"/>
  <c r="Y133" i="13"/>
  <c r="AI133" i="13"/>
  <c r="AS139" i="13"/>
  <c r="Y139" i="13"/>
  <c r="AI139" i="13"/>
  <c r="AI156" i="13"/>
  <c r="AR162" i="13"/>
  <c r="BF162" i="13" s="1"/>
  <c r="AV163" i="13"/>
  <c r="BD163" i="13" s="1"/>
  <c r="BH163" i="13" s="1"/>
  <c r="AI169" i="13"/>
  <c r="AS171" i="13"/>
  <c r="AI171" i="13"/>
  <c r="AS173" i="13"/>
  <c r="AI173" i="13"/>
  <c r="Y246" i="13"/>
  <c r="Z246" i="13"/>
  <c r="AI246" i="13"/>
  <c r="AR223" i="13"/>
  <c r="BE223" i="13" s="1"/>
  <c r="AR226" i="13"/>
  <c r="BE226" i="13" s="1"/>
  <c r="AR236" i="13"/>
  <c r="BF236" i="13" s="1"/>
  <c r="AR268" i="13"/>
  <c r="BF268" i="13" s="1"/>
  <c r="Z327" i="13"/>
  <c r="AI327" i="13"/>
  <c r="AI329" i="13"/>
  <c r="Z329" i="13"/>
  <c r="Z339" i="13"/>
  <c r="AI339" i="13"/>
  <c r="Y339" i="13"/>
  <c r="AI341" i="13"/>
  <c r="Z341" i="13"/>
  <c r="AI367" i="13"/>
  <c r="Z367" i="13"/>
  <c r="AI404" i="13"/>
  <c r="AL404" i="13" s="1"/>
  <c r="Y404" i="13"/>
  <c r="AU157" i="13"/>
  <c r="AU158" i="13"/>
  <c r="AU161" i="13"/>
  <c r="AR163" i="13"/>
  <c r="BF163" i="13" s="1"/>
  <c r="Y165" i="13"/>
  <c r="AR181" i="13"/>
  <c r="BF181" i="13" s="1"/>
  <c r="Y182" i="13"/>
  <c r="AU187" i="13"/>
  <c r="AU198" i="13"/>
  <c r="AU201" i="13"/>
  <c r="Y206" i="13"/>
  <c r="AU209" i="13"/>
  <c r="Y210" i="13"/>
  <c r="AI212" i="13"/>
  <c r="AI216" i="13"/>
  <c r="AI225" i="13"/>
  <c r="AU228" i="13"/>
  <c r="BC236" i="13"/>
  <c r="AI241" i="13"/>
  <c r="AU248" i="13"/>
  <c r="BC268" i="13"/>
  <c r="AS276" i="13"/>
  <c r="Z276" i="13"/>
  <c r="AU291" i="13"/>
  <c r="AS303" i="13"/>
  <c r="Y303" i="13"/>
  <c r="AU308" i="13"/>
  <c r="AS370" i="13"/>
  <c r="AI370" i="13"/>
  <c r="Z370" i="13"/>
  <c r="AI400" i="13"/>
  <c r="Y400" i="13"/>
  <c r="AU162" i="13"/>
  <c r="AR173" i="13"/>
  <c r="BF173" i="13" s="1"/>
  <c r="AU177" i="13"/>
  <c r="Y193" i="13"/>
  <c r="Y200" i="13"/>
  <c r="AU205" i="13"/>
  <c r="AU213" i="13"/>
  <c r="AU217" i="13"/>
  <c r="AU221" i="13"/>
  <c r="Y222" i="13"/>
  <c r="AR227" i="13"/>
  <c r="BE227" i="13" s="1"/>
  <c r="AU247" i="13"/>
  <c r="AU259" i="13"/>
  <c r="AU272" i="13"/>
  <c r="AS282" i="13"/>
  <c r="Z282" i="13"/>
  <c r="AI282" i="13"/>
  <c r="AS292" i="13"/>
  <c r="AI292" i="13"/>
  <c r="Z292" i="13"/>
  <c r="AI303" i="13"/>
  <c r="AU309" i="13"/>
  <c r="AS310" i="13"/>
  <c r="Z310" i="13"/>
  <c r="Y310" i="13"/>
  <c r="AI310" i="13"/>
  <c r="Z313" i="13"/>
  <c r="AI313" i="13"/>
  <c r="Y313" i="13"/>
  <c r="AI371" i="13"/>
  <c r="Z371" i="13"/>
  <c r="Y371" i="13"/>
  <c r="AR128" i="13"/>
  <c r="BF128" i="13" s="1"/>
  <c r="AI129" i="13"/>
  <c r="AI138" i="13"/>
  <c r="AU154" i="13"/>
  <c r="AI157" i="13"/>
  <c r="AI159" i="13"/>
  <c r="AI161" i="13"/>
  <c r="AU165" i="13"/>
  <c r="AR167" i="13"/>
  <c r="BE167" i="13" s="1"/>
  <c r="AI168" i="13"/>
  <c r="AR170" i="13"/>
  <c r="BE170" i="13" s="1"/>
  <c r="Y181" i="13"/>
  <c r="AU182" i="13"/>
  <c r="Z183" i="13"/>
  <c r="AR186" i="13"/>
  <c r="BF186" i="13" s="1"/>
  <c r="AV187" i="13"/>
  <c r="BD187" i="13" s="1"/>
  <c r="Z190" i="13"/>
  <c r="Z193" i="13"/>
  <c r="Y194" i="13"/>
  <c r="Z200" i="13"/>
  <c r="AU206" i="13"/>
  <c r="Y208" i="13"/>
  <c r="AV209" i="13"/>
  <c r="BD209" i="13" s="1"/>
  <c r="AU210" i="13"/>
  <c r="AU214" i="13"/>
  <c r="AU218" i="13"/>
  <c r="Z222" i="13"/>
  <c r="AR225" i="13"/>
  <c r="BF225" i="13" s="1"/>
  <c r="AV228" i="13"/>
  <c r="BD228" i="13" s="1"/>
  <c r="AR230" i="13"/>
  <c r="BF230" i="13" s="1"/>
  <c r="AU231" i="13"/>
  <c r="AU232" i="13"/>
  <c r="AU242" i="13"/>
  <c r="Z243" i="13"/>
  <c r="AU244" i="13"/>
  <c r="AU260" i="13"/>
  <c r="Z261" i="13"/>
  <c r="AS272" i="13"/>
  <c r="Z272" i="13"/>
  <c r="AV276" i="13"/>
  <c r="BD276" i="13" s="1"/>
  <c r="Z278" i="13"/>
  <c r="AR281" i="13"/>
  <c r="BF281" i="13" s="1"/>
  <c r="AV292" i="13"/>
  <c r="BD292" i="13" s="1"/>
  <c r="AR292" i="13"/>
  <c r="BF292" i="13" s="1"/>
  <c r="AS294" i="13"/>
  <c r="Z294" i="13"/>
  <c r="AI294" i="13"/>
  <c r="AR296" i="13"/>
  <c r="BF296" i="13" s="1"/>
  <c r="AU304" i="13"/>
  <c r="AS307" i="13"/>
  <c r="AU317" i="13"/>
  <c r="AU320" i="13"/>
  <c r="Z347" i="13"/>
  <c r="Y347" i="13"/>
  <c r="AI347" i="13"/>
  <c r="AI372" i="13"/>
  <c r="Z372" i="13"/>
  <c r="AS379" i="13"/>
  <c r="AI379" i="13"/>
  <c r="AS388" i="13"/>
  <c r="AI388" i="13"/>
  <c r="Z388" i="13"/>
  <c r="AV138" i="13"/>
  <c r="BD138" i="13" s="1"/>
  <c r="BH138" i="13" s="1"/>
  <c r="AV140" i="13"/>
  <c r="AV145" i="13"/>
  <c r="BD145" i="13" s="1"/>
  <c r="BG145" i="13" s="1"/>
  <c r="AI147" i="13"/>
  <c r="AI150" i="13"/>
  <c r="AV152" i="13"/>
  <c r="BD152" i="13" s="1"/>
  <c r="AV159" i="13"/>
  <c r="BD159" i="13" s="1"/>
  <c r="BH159" i="13" s="1"/>
  <c r="AR161" i="13"/>
  <c r="BF161" i="13" s="1"/>
  <c r="AV162" i="13"/>
  <c r="AU166" i="13"/>
  <c r="AV168" i="13"/>
  <c r="BD168" i="13" s="1"/>
  <c r="AI175" i="13"/>
  <c r="AR180" i="13"/>
  <c r="BE180" i="13" s="1"/>
  <c r="Z181" i="13"/>
  <c r="Z194" i="13"/>
  <c r="AV202" i="13"/>
  <c r="Z208" i="13"/>
  <c r="Y212" i="13"/>
  <c r="Y216" i="13"/>
  <c r="Y220" i="13"/>
  <c r="AV221" i="13"/>
  <c r="BD221" i="13" s="1"/>
  <c r="AU222" i="13"/>
  <c r="Z223" i="13"/>
  <c r="AR228" i="13"/>
  <c r="BE228" i="13" s="1"/>
  <c r="AI234" i="13"/>
  <c r="Z235" i="13"/>
  <c r="AU236" i="13"/>
  <c r="AI238" i="13"/>
  <c r="Z239" i="13"/>
  <c r="AU243" i="13"/>
  <c r="AI249" i="13"/>
  <c r="Z250" i="13"/>
  <c r="AS268" i="13"/>
  <c r="Z268" i="13"/>
  <c r="AI272" i="13"/>
  <c r="Z274" i="13"/>
  <c r="AU283" i="13"/>
  <c r="AU286" i="13"/>
  <c r="AR293" i="13"/>
  <c r="BF293" i="13" s="1"/>
  <c r="AS316" i="13"/>
  <c r="Y316" i="13"/>
  <c r="AI316" i="13"/>
  <c r="AS318" i="13"/>
  <c r="Z318" i="13"/>
  <c r="Y318" i="13"/>
  <c r="AI318" i="13"/>
  <c r="AU335" i="13"/>
  <c r="AS386" i="13"/>
  <c r="AI386" i="13"/>
  <c r="AR209" i="13"/>
  <c r="BF209" i="13" s="1"/>
  <c r="Z212" i="13"/>
  <c r="Z216" i="13"/>
  <c r="AV231" i="13"/>
  <c r="AV232" i="13"/>
  <c r="BD232" i="13" s="1"/>
  <c r="AR234" i="13"/>
  <c r="BF234" i="13" s="1"/>
  <c r="AU235" i="13"/>
  <c r="AR238" i="13"/>
  <c r="BF238" i="13" s="1"/>
  <c r="Z255" i="13"/>
  <c r="AU256" i="13"/>
  <c r="AV260" i="13"/>
  <c r="AS264" i="13"/>
  <c r="Z264" i="13"/>
  <c r="AR277" i="13"/>
  <c r="BF277" i="13" s="1"/>
  <c r="BD283" i="13"/>
  <c r="AS284" i="13"/>
  <c r="AI284" i="13"/>
  <c r="AU285" i="13"/>
  <c r="AS286" i="13"/>
  <c r="Z286" i="13"/>
  <c r="AI286" i="13"/>
  <c r="AU295" i="13"/>
  <c r="AS300" i="13"/>
  <c r="Y300" i="13"/>
  <c r="AU301" i="13"/>
  <c r="AI315" i="13"/>
  <c r="Y315" i="13"/>
  <c r="Z321" i="13"/>
  <c r="Y321" i="13"/>
  <c r="AI321" i="13"/>
  <c r="AL321" i="13" s="1"/>
  <c r="AU359" i="13"/>
  <c r="Y367" i="13"/>
  <c r="AU368" i="13"/>
  <c r="AR372" i="13"/>
  <c r="BF372" i="13" s="1"/>
  <c r="AS376" i="13"/>
  <c r="AI376" i="13"/>
  <c r="Z376" i="13"/>
  <c r="AV177" i="13"/>
  <c r="BD177" i="13" s="1"/>
  <c r="AU178" i="13"/>
  <c r="AV183" i="13"/>
  <c r="BD183" i="13" s="1"/>
  <c r="BH183" i="13" s="1"/>
  <c r="AV185" i="13"/>
  <c r="BD185" i="13" s="1"/>
  <c r="BG185" i="13" s="1"/>
  <c r="AV188" i="13"/>
  <c r="AV196" i="13"/>
  <c r="BD196" i="13" s="1"/>
  <c r="AR221" i="13"/>
  <c r="AR222" i="13"/>
  <c r="BF222" i="13" s="1"/>
  <c r="AV229" i="13"/>
  <c r="BD229" i="13" s="1"/>
  <c r="BH229" i="13" s="1"/>
  <c r="AR231" i="13"/>
  <c r="BF231" i="13" s="1"/>
  <c r="AR232" i="13"/>
  <c r="BF232" i="13" s="1"/>
  <c r="AV236" i="13"/>
  <c r="Y257" i="13"/>
  <c r="AI257" i="13"/>
  <c r="Y262" i="13"/>
  <c r="Z262" i="13"/>
  <c r="AV268" i="13"/>
  <c r="AV273" i="13"/>
  <c r="AV287" i="13"/>
  <c r="AS296" i="13"/>
  <c r="AI296" i="13"/>
  <c r="Y296" i="13"/>
  <c r="BC304" i="13"/>
  <c r="AR304" i="13"/>
  <c r="BF304" i="13" s="1"/>
  <c r="AS306" i="13"/>
  <c r="Y306" i="13"/>
  <c r="AI306" i="13"/>
  <c r="BC316" i="13"/>
  <c r="AR316" i="13"/>
  <c r="BE316" i="13" s="1"/>
  <c r="AR320" i="13"/>
  <c r="BE320" i="13" s="1"/>
  <c r="AJ321" i="13"/>
  <c r="Z331" i="13"/>
  <c r="AI331" i="13"/>
  <c r="Y356" i="13"/>
  <c r="Z356" i="13"/>
  <c r="AI358" i="13"/>
  <c r="Z358" i="13"/>
  <c r="AS358" i="13"/>
  <c r="Y358" i="13"/>
  <c r="AJ373" i="13"/>
  <c r="AS375" i="13"/>
  <c r="AI375" i="13"/>
  <c r="AS405" i="13"/>
  <c r="Z405" i="13"/>
  <c r="AI406" i="13"/>
  <c r="Y406" i="13"/>
  <c r="Y407" i="13"/>
  <c r="AI407" i="13"/>
  <c r="AR260" i="13"/>
  <c r="BF260" i="13" s="1"/>
  <c r="AR263" i="13"/>
  <c r="AV266" i="13"/>
  <c r="BD266" i="13" s="1"/>
  <c r="AV270" i="13"/>
  <c r="BD270" i="13" s="1"/>
  <c r="AV278" i="13"/>
  <c r="BD278" i="13" s="1"/>
  <c r="AR280" i="13"/>
  <c r="BE280" i="13" s="1"/>
  <c r="AV291" i="13"/>
  <c r="BD291" i="13" s="1"/>
  <c r="AU298" i="13"/>
  <c r="AR303" i="13"/>
  <c r="BF303" i="13" s="1"/>
  <c r="Y305" i="13"/>
  <c r="AV307" i="13"/>
  <c r="BD307" i="13" s="1"/>
  <c r="AU319" i="13"/>
  <c r="AU324" i="13"/>
  <c r="AU338" i="13"/>
  <c r="AR348" i="13"/>
  <c r="BE348" i="13" s="1"/>
  <c r="Y357" i="13"/>
  <c r="Y363" i="13"/>
  <c r="Y368" i="13"/>
  <c r="AR369" i="13"/>
  <c r="BF369" i="13" s="1"/>
  <c r="AV371" i="13"/>
  <c r="BD371" i="13" s="1"/>
  <c r="AU378" i="13"/>
  <c r="AU396" i="13"/>
  <c r="AU403" i="13"/>
  <c r="AS413" i="13"/>
  <c r="Z413" i="13"/>
  <c r="AI414" i="13"/>
  <c r="Y414" i="13"/>
  <c r="AV282" i="13"/>
  <c r="BD282" i="13" s="1"/>
  <c r="Z288" i="13"/>
  <c r="AV294" i="13"/>
  <c r="BD294" i="13" s="1"/>
  <c r="AR297" i="13"/>
  <c r="BF297" i="13" s="1"/>
  <c r="AV304" i="13"/>
  <c r="Z305" i="13"/>
  <c r="AV316" i="13"/>
  <c r="Y317" i="13"/>
  <c r="Y320" i="13"/>
  <c r="AU326" i="13"/>
  <c r="Z332" i="13"/>
  <c r="AV349" i="13"/>
  <c r="BD349" i="13" s="1"/>
  <c r="AV350" i="13"/>
  <c r="BD350" i="13" s="1"/>
  <c r="AU353" i="13"/>
  <c r="Z354" i="13"/>
  <c r="AV356" i="13"/>
  <c r="BD356" i="13" s="1"/>
  <c r="Z357" i="13"/>
  <c r="Z363" i="13"/>
  <c r="AR365" i="13"/>
  <c r="BF365" i="13" s="1"/>
  <c r="AU367" i="13"/>
  <c r="Z368" i="13"/>
  <c r="AU376" i="13"/>
  <c r="AU377" i="13"/>
  <c r="AR382" i="13"/>
  <c r="BF382" i="13" s="1"/>
  <c r="AU388" i="13"/>
  <c r="AU389" i="13"/>
  <c r="AU404" i="13"/>
  <c r="AU406" i="13"/>
  <c r="AR302" i="13"/>
  <c r="BF302" i="13" s="1"/>
  <c r="AU325" i="13"/>
  <c r="AR347" i="13"/>
  <c r="AU382" i="13"/>
  <c r="AU405" i="13"/>
  <c r="AS416" i="13"/>
  <c r="AI416" i="13"/>
  <c r="Z416" i="13"/>
  <c r="Y416" i="13"/>
  <c r="AR319" i="13"/>
  <c r="AV321" i="13"/>
  <c r="Z328" i="13"/>
  <c r="Z340" i="13"/>
  <c r="AU346" i="13"/>
  <c r="AU348" i="13"/>
  <c r="AU355" i="13"/>
  <c r="AI357" i="13"/>
  <c r="AV363" i="13"/>
  <c r="BD363" i="13" s="1"/>
  <c r="AR371" i="13"/>
  <c r="BF371" i="13" s="1"/>
  <c r="AV372" i="13"/>
  <c r="BD372" i="13" s="1"/>
  <c r="AU380" i="13"/>
  <c r="AU381" i="13"/>
  <c r="AU399" i="13"/>
  <c r="Y411" i="13"/>
  <c r="AS427" i="13"/>
  <c r="Z427" i="13"/>
  <c r="Y427" i="13"/>
  <c r="AS433" i="13"/>
  <c r="Z433" i="13"/>
  <c r="Y433" i="13"/>
  <c r="AI433" i="13"/>
  <c r="AU453" i="13"/>
  <c r="AV280" i="13"/>
  <c r="BD280" i="13" s="1"/>
  <c r="AV299" i="13"/>
  <c r="BD299" i="13" s="1"/>
  <c r="AU300" i="13"/>
  <c r="AI317" i="13"/>
  <c r="AV320" i="13"/>
  <c r="BD320" i="13" s="1"/>
  <c r="BH320" i="13" s="1"/>
  <c r="AU328" i="13"/>
  <c r="AU340" i="13"/>
  <c r="AV351" i="13"/>
  <c r="BD351" i="13" s="1"/>
  <c r="BH351" i="13" s="1"/>
  <c r="AV354" i="13"/>
  <c r="BD354" i="13" s="1"/>
  <c r="AV368" i="13"/>
  <c r="BD368" i="13" s="1"/>
  <c r="AV370" i="13"/>
  <c r="BD370" i="13" s="1"/>
  <c r="AU374" i="13"/>
  <c r="AI382" i="13"/>
  <c r="AI410" i="13"/>
  <c r="Y410" i="13"/>
  <c r="AU463" i="13"/>
  <c r="AI309" i="13"/>
  <c r="AU345" i="13"/>
  <c r="AR354" i="13"/>
  <c r="AU400" i="13"/>
  <c r="AU409" i="13"/>
  <c r="BD415" i="13"/>
  <c r="BH415" i="13" s="1"/>
  <c r="Y420" i="13"/>
  <c r="Y424" i="13"/>
  <c r="Y431" i="13"/>
  <c r="AV444" i="13"/>
  <c r="BD444" i="13" s="1"/>
  <c r="Y445" i="13"/>
  <c r="Z447" i="13"/>
  <c r="AU452" i="13"/>
  <c r="AV455" i="13"/>
  <c r="BD455" i="13" s="1"/>
  <c r="AU460" i="13"/>
  <c r="Y462" i="13"/>
  <c r="AR475" i="13"/>
  <c r="BF475" i="13" s="1"/>
  <c r="AU477" i="13"/>
  <c r="AI482" i="13"/>
  <c r="AU483" i="13"/>
  <c r="AV488" i="13"/>
  <c r="BD488" i="13" s="1"/>
  <c r="BH488" i="13" s="1"/>
  <c r="AR491" i="13"/>
  <c r="BF491" i="13" s="1"/>
  <c r="AV496" i="13"/>
  <c r="BD496" i="13" s="1"/>
  <c r="Z497" i="13"/>
  <c r="AS501" i="13"/>
  <c r="AR503" i="13"/>
  <c r="BF503" i="13" s="1"/>
  <c r="AV506" i="13"/>
  <c r="AV509" i="13"/>
  <c r="BD509" i="13" s="1"/>
  <c r="BH509" i="13" s="1"/>
  <c r="AU510" i="13"/>
  <c r="Z511" i="13"/>
  <c r="AR516" i="13"/>
  <c r="BF516" i="13" s="1"/>
  <c r="AV523" i="13"/>
  <c r="BD523" i="13" s="1"/>
  <c r="AU529" i="13"/>
  <c r="AV535" i="13"/>
  <c r="BD535" i="13" s="1"/>
  <c r="AS536" i="13"/>
  <c r="AU544" i="13"/>
  <c r="Y547" i="13"/>
  <c r="AR554" i="13"/>
  <c r="BF554" i="13" s="1"/>
  <c r="AR556" i="13"/>
  <c r="BE556" i="13" s="1"/>
  <c r="Z557" i="13"/>
  <c r="AU561" i="13"/>
  <c r="AI419" i="13"/>
  <c r="Z420" i="13"/>
  <c r="AI423" i="13"/>
  <c r="Z424" i="13"/>
  <c r="AU430" i="13"/>
  <c r="AS432" i="13"/>
  <c r="AU436" i="13"/>
  <c r="Y437" i="13"/>
  <c r="Z445" i="13"/>
  <c r="AU447" i="13"/>
  <c r="Z449" i="13"/>
  <c r="AV456" i="13"/>
  <c r="BD456" i="13" s="1"/>
  <c r="AV468" i="13"/>
  <c r="BD468" i="13" s="1"/>
  <c r="AU473" i="13"/>
  <c r="Y484" i="13"/>
  <c r="AI486" i="13"/>
  <c r="AI490" i="13"/>
  <c r="Y491" i="13"/>
  <c r="AI492" i="13"/>
  <c r="Y493" i="13"/>
  <c r="AS493" i="13"/>
  <c r="AR499" i="13"/>
  <c r="BE499" i="13" s="1"/>
  <c r="AR500" i="13"/>
  <c r="AI513" i="13"/>
  <c r="AR515" i="13"/>
  <c r="BF515" i="13" s="1"/>
  <c r="AV526" i="13"/>
  <c r="BD526" i="13" s="1"/>
  <c r="BG526" i="13" s="1"/>
  <c r="AI529" i="13"/>
  <c r="Z536" i="13"/>
  <c r="AV538" i="13"/>
  <c r="BD538" i="13" s="1"/>
  <c r="AV543" i="13"/>
  <c r="BD543" i="13" s="1"/>
  <c r="AI552" i="13"/>
  <c r="AU557" i="13"/>
  <c r="AR559" i="13"/>
  <c r="BE559" i="13" s="1"/>
  <c r="Y560" i="13"/>
  <c r="Z437" i="13"/>
  <c r="Z442" i="13"/>
  <c r="AU448" i="13"/>
  <c r="AR455" i="13"/>
  <c r="BF455" i="13" s="1"/>
  <c r="Z464" i="13"/>
  <c r="AR468" i="13"/>
  <c r="AV472" i="13"/>
  <c r="BD472" i="13" s="1"/>
  <c r="AV476" i="13"/>
  <c r="BD476" i="13" s="1"/>
  <c r="AR481" i="13"/>
  <c r="BF481" i="13" s="1"/>
  <c r="AI483" i="13"/>
  <c r="Z484" i="13"/>
  <c r="AR485" i="13"/>
  <c r="BF485" i="13" s="1"/>
  <c r="AR486" i="13"/>
  <c r="Y487" i="13"/>
  <c r="AR488" i="13"/>
  <c r="BF488" i="13" s="1"/>
  <c r="AR490" i="13"/>
  <c r="BE490" i="13" s="1"/>
  <c r="Z493" i="13"/>
  <c r="AV507" i="13"/>
  <c r="BD507" i="13" s="1"/>
  <c r="AV510" i="13"/>
  <c r="BD510" i="13" s="1"/>
  <c r="AV513" i="13"/>
  <c r="BD513" i="13" s="1"/>
  <c r="Z515" i="13"/>
  <c r="AR519" i="13"/>
  <c r="BF519" i="13" s="1"/>
  <c r="AU524" i="13"/>
  <c r="Z525" i="13"/>
  <c r="AI527" i="13"/>
  <c r="Z530" i="13"/>
  <c r="AR530" i="13"/>
  <c r="BF530" i="13" s="1"/>
  <c r="AV531" i="13"/>
  <c r="BD531" i="13" s="1"/>
  <c r="AI534" i="13"/>
  <c r="AU536" i="13"/>
  <c r="AR538" i="13"/>
  <c r="BF538" i="13" s="1"/>
  <c r="AR544" i="13"/>
  <c r="BE544" i="13" s="1"/>
  <c r="AR545" i="13"/>
  <c r="BF545" i="13" s="1"/>
  <c r="AR546" i="13"/>
  <c r="BF546" i="13" s="1"/>
  <c r="Y548" i="13"/>
  <c r="AR478" i="13"/>
  <c r="BF478" i="13" s="1"/>
  <c r="AU479" i="13"/>
  <c r="AR495" i="13"/>
  <c r="BE495" i="13" s="1"/>
  <c r="AU518" i="13"/>
  <c r="AI521" i="13"/>
  <c r="BD527" i="13"/>
  <c r="AU545" i="13"/>
  <c r="AJ548" i="13"/>
  <c r="AU553" i="13"/>
  <c r="AR555" i="13"/>
  <c r="BF555" i="13" s="1"/>
  <c r="AR441" i="13"/>
  <c r="BF441" i="13" s="1"/>
  <c r="AR469" i="13"/>
  <c r="BF469" i="13" s="1"/>
  <c r="Y492" i="13"/>
  <c r="AR497" i="13"/>
  <c r="BF497" i="13" s="1"/>
  <c r="BD501" i="13"/>
  <c r="AR508" i="13"/>
  <c r="BF508" i="13" s="1"/>
  <c r="BD511" i="13"/>
  <c r="AU519" i="13"/>
  <c r="BD521" i="13"/>
  <c r="AR523" i="13"/>
  <c r="BF523" i="13" s="1"/>
  <c r="AR536" i="13"/>
  <c r="BF536" i="13" s="1"/>
  <c r="AI540" i="13"/>
  <c r="AR547" i="13"/>
  <c r="BF547" i="13" s="1"/>
  <c r="AU407" i="13"/>
  <c r="AU411" i="13"/>
  <c r="AI420" i="13"/>
  <c r="AI424" i="13"/>
  <c r="AU438" i="13"/>
  <c r="AR442" i="13"/>
  <c r="BF442" i="13" s="1"/>
  <c r="AI445" i="13"/>
  <c r="AI449" i="13"/>
  <c r="Y451" i="13"/>
  <c r="AU455" i="13"/>
  <c r="AU471" i="13"/>
  <c r="AR474" i="13"/>
  <c r="BF474" i="13" s="1"/>
  <c r="AU475" i="13"/>
  <c r="AI479" i="13"/>
  <c r="AU481" i="13"/>
  <c r="Y486" i="13"/>
  <c r="AI487" i="13"/>
  <c r="Y490" i="13"/>
  <c r="AI491" i="13"/>
  <c r="Z492" i="13"/>
  <c r="AU502" i="13"/>
  <c r="AU503" i="13"/>
  <c r="AI505" i="13"/>
  <c r="AR507" i="13"/>
  <c r="BF507" i="13" s="1"/>
  <c r="Z513" i="13"/>
  <c r="AI515" i="13"/>
  <c r="AV518" i="13"/>
  <c r="BD518" i="13" s="1"/>
  <c r="Z529" i="13"/>
  <c r="AI530" i="13"/>
  <c r="AR540" i="13"/>
  <c r="AU542" i="13"/>
  <c r="Z543" i="13"/>
  <c r="AI545" i="13"/>
  <c r="AL545" i="13" s="1"/>
  <c r="AR548" i="13"/>
  <c r="BE548" i="13" s="1"/>
  <c r="AU549" i="13"/>
  <c r="Z550" i="13"/>
  <c r="BC550" i="13"/>
  <c r="BD550" i="13" s="1"/>
  <c r="AR551" i="13"/>
  <c r="BE551" i="13" s="1"/>
  <c r="Z552" i="13"/>
  <c r="AV553" i="13"/>
  <c r="AV558" i="13"/>
  <c r="BD558" i="13" s="1"/>
  <c r="AI425" i="13"/>
  <c r="AI437" i="13"/>
  <c r="AU440" i="13"/>
  <c r="Y441" i="13"/>
  <c r="AU489" i="13"/>
  <c r="AU506" i="13"/>
  <c r="AR512" i="13"/>
  <c r="BF512" i="13" s="1"/>
  <c r="AI519" i="13"/>
  <c r="AV522" i="13"/>
  <c r="BD522" i="13" s="1"/>
  <c r="AI525" i="13"/>
  <c r="AV528" i="13"/>
  <c r="BD528" i="13" s="1"/>
  <c r="AS529" i="13"/>
  <c r="AV530" i="13"/>
  <c r="AR558" i="13"/>
  <c r="BF558" i="13" s="1"/>
  <c r="AI560" i="13"/>
  <c r="AL71" i="13"/>
  <c r="BF29" i="13"/>
  <c r="BF24" i="13"/>
  <c r="BE24" i="13"/>
  <c r="AO489" i="13"/>
  <c r="AR489" i="13" s="1"/>
  <c r="AO477" i="13"/>
  <c r="AR477" i="13" s="1"/>
  <c r="AO465" i="13"/>
  <c r="AV465" i="13" s="1"/>
  <c r="BD465" i="13" s="1"/>
  <c r="AO461" i="13"/>
  <c r="AR461" i="13" s="1"/>
  <c r="AO457" i="13"/>
  <c r="AV457" i="13" s="1"/>
  <c r="BD457" i="13" s="1"/>
  <c r="AO482" i="13"/>
  <c r="AV482" i="13" s="1"/>
  <c r="BD482" i="13" s="1"/>
  <c r="AO487" i="13"/>
  <c r="AO479" i="13"/>
  <c r="AO480" i="13"/>
  <c r="AV480" i="13" s="1"/>
  <c r="BD480" i="13" s="1"/>
  <c r="AO493" i="13"/>
  <c r="AO453" i="13"/>
  <c r="AR453" i="13" s="1"/>
  <c r="AO449" i="13"/>
  <c r="AV449" i="13" s="1"/>
  <c r="BD449" i="13" s="1"/>
  <c r="AO445" i="13"/>
  <c r="AR445" i="13" s="1"/>
  <c r="AO440" i="13"/>
  <c r="AR440" i="13" s="1"/>
  <c r="AO436" i="13"/>
  <c r="AO432" i="13"/>
  <c r="AV432" i="13" s="1"/>
  <c r="BD432" i="13" s="1"/>
  <c r="AO428" i="13"/>
  <c r="AR428" i="13" s="1"/>
  <c r="AO470" i="13"/>
  <c r="AR470" i="13" s="1"/>
  <c r="AO454" i="13"/>
  <c r="AR454" i="13" s="1"/>
  <c r="AO450" i="13"/>
  <c r="AR450" i="13" s="1"/>
  <c r="AO446" i="13"/>
  <c r="AR446" i="13" s="1"/>
  <c r="AO467" i="13"/>
  <c r="AV467" i="13" s="1"/>
  <c r="BD467" i="13" s="1"/>
  <c r="AO463" i="13"/>
  <c r="AO459" i="13"/>
  <c r="AO451" i="13"/>
  <c r="AR451" i="13" s="1"/>
  <c r="AO447" i="13"/>
  <c r="AR447" i="13" s="1"/>
  <c r="AO464" i="13"/>
  <c r="AV464" i="13" s="1"/>
  <c r="BD464" i="13" s="1"/>
  <c r="AO460" i="13"/>
  <c r="AR460" i="13" s="1"/>
  <c r="AO438" i="13"/>
  <c r="AV438" i="13" s="1"/>
  <c r="BD438" i="13" s="1"/>
  <c r="AO434" i="13"/>
  <c r="AV434" i="13" s="1"/>
  <c r="BD434" i="13" s="1"/>
  <c r="AO430" i="13"/>
  <c r="AV430" i="13" s="1"/>
  <c r="BD430" i="13" s="1"/>
  <c r="AO466" i="13"/>
  <c r="AO462" i="13"/>
  <c r="AV462" i="13" s="1"/>
  <c r="BD462" i="13" s="1"/>
  <c r="AO458" i="13"/>
  <c r="AR458" i="13" s="1"/>
  <c r="AO452" i="13"/>
  <c r="AR452" i="13" s="1"/>
  <c r="AO448" i="13"/>
  <c r="AR448" i="13" s="1"/>
  <c r="AO423" i="13"/>
  <c r="AR423" i="13" s="1"/>
  <c r="AO419" i="13"/>
  <c r="AR419" i="13" s="1"/>
  <c r="AO411" i="13"/>
  <c r="AR411" i="13" s="1"/>
  <c r="AO407" i="13"/>
  <c r="AR407" i="13" s="1"/>
  <c r="AO402" i="13"/>
  <c r="AR402" i="13" s="1"/>
  <c r="AO398" i="13"/>
  <c r="AV398" i="13" s="1"/>
  <c r="BD398" i="13" s="1"/>
  <c r="AO437" i="13"/>
  <c r="AV437" i="13" s="1"/>
  <c r="BD437" i="13" s="1"/>
  <c r="AO433" i="13"/>
  <c r="AR433" i="13" s="1"/>
  <c r="AO426" i="13"/>
  <c r="AR426" i="13" s="1"/>
  <c r="AO424" i="13"/>
  <c r="AR424" i="13" s="1"/>
  <c r="AO420" i="13"/>
  <c r="AR420" i="13" s="1"/>
  <c r="AO416" i="13"/>
  <c r="AO412" i="13"/>
  <c r="AR412" i="13" s="1"/>
  <c r="AO408" i="13"/>
  <c r="AV408" i="13" s="1"/>
  <c r="AO404" i="13"/>
  <c r="AV404" i="13" s="1"/>
  <c r="AO431" i="13"/>
  <c r="AR431" i="13" s="1"/>
  <c r="AO403" i="13"/>
  <c r="AR403" i="13" s="1"/>
  <c r="AO439" i="13"/>
  <c r="AR439" i="13" s="1"/>
  <c r="AO435" i="13"/>
  <c r="AR435" i="13" s="1"/>
  <c r="AO427" i="13"/>
  <c r="AR427" i="13" s="1"/>
  <c r="AO421" i="13"/>
  <c r="AV421" i="13" s="1"/>
  <c r="BD421" i="13" s="1"/>
  <c r="AO417" i="13"/>
  <c r="AV417" i="13" s="1"/>
  <c r="BD417" i="13" s="1"/>
  <c r="AO413" i="13"/>
  <c r="AR413" i="13" s="1"/>
  <c r="AO409" i="13"/>
  <c r="AV409" i="13" s="1"/>
  <c r="BD409" i="13" s="1"/>
  <c r="AO405" i="13"/>
  <c r="AV405" i="13" s="1"/>
  <c r="BD405" i="13" s="1"/>
  <c r="AO429" i="13"/>
  <c r="AV429" i="13" s="1"/>
  <c r="BD429" i="13" s="1"/>
  <c r="AO425" i="13"/>
  <c r="AV425" i="13" s="1"/>
  <c r="BD425" i="13" s="1"/>
  <c r="AO400" i="13"/>
  <c r="AR400" i="13" s="1"/>
  <c r="AO396" i="13"/>
  <c r="AR396" i="13" s="1"/>
  <c r="AO422" i="13"/>
  <c r="AR422" i="13" s="1"/>
  <c r="AO418" i="13"/>
  <c r="AR418" i="13" s="1"/>
  <c r="AO414" i="13"/>
  <c r="AR414" i="13" s="1"/>
  <c r="AO401" i="13"/>
  <c r="AR401" i="13" s="1"/>
  <c r="AO397" i="13"/>
  <c r="AV397" i="13" s="1"/>
  <c r="BD397" i="13" s="1"/>
  <c r="AO393" i="13"/>
  <c r="AO392" i="13"/>
  <c r="AR392" i="13" s="1"/>
  <c r="AO389" i="13"/>
  <c r="AR389" i="13" s="1"/>
  <c r="AO385" i="13"/>
  <c r="AR385" i="13" s="1"/>
  <c r="AO381" i="13"/>
  <c r="AV381" i="13" s="1"/>
  <c r="BD381" i="13" s="1"/>
  <c r="AO377" i="13"/>
  <c r="AR377" i="13" s="1"/>
  <c r="AO373" i="13"/>
  <c r="AR373" i="13" s="1"/>
  <c r="AO406" i="13"/>
  <c r="AV406" i="13" s="1"/>
  <c r="BD406" i="13" s="1"/>
  <c r="AO395" i="13"/>
  <c r="AR395" i="13" s="1"/>
  <c r="AO386" i="13"/>
  <c r="AR386" i="13" s="1"/>
  <c r="AO378" i="13"/>
  <c r="AR378" i="13" s="1"/>
  <c r="AO374" i="13"/>
  <c r="AV374" i="13" s="1"/>
  <c r="BD374" i="13" s="1"/>
  <c r="AO391" i="13"/>
  <c r="AV391" i="13" s="1"/>
  <c r="BD391" i="13" s="1"/>
  <c r="AO399" i="13"/>
  <c r="AR399" i="13" s="1"/>
  <c r="AO390" i="13"/>
  <c r="AR390" i="13" s="1"/>
  <c r="AO387" i="13"/>
  <c r="AV387" i="13" s="1"/>
  <c r="BD387" i="13" s="1"/>
  <c r="AO383" i="13"/>
  <c r="AO379" i="13"/>
  <c r="AO375" i="13"/>
  <c r="AR375" i="13" s="1"/>
  <c r="AO388" i="13"/>
  <c r="AR388" i="13" s="1"/>
  <c r="AO384" i="13"/>
  <c r="AV384" i="13" s="1"/>
  <c r="BD384" i="13" s="1"/>
  <c r="AO380" i="13"/>
  <c r="AR380" i="13" s="1"/>
  <c r="AO376" i="13"/>
  <c r="AR376" i="13" s="1"/>
  <c r="AO342" i="13"/>
  <c r="AV342" i="13" s="1"/>
  <c r="BD342" i="13" s="1"/>
  <c r="AO338" i="13"/>
  <c r="AO334" i="13"/>
  <c r="AO330" i="13"/>
  <c r="AR330" i="13" s="1"/>
  <c r="AO326" i="13"/>
  <c r="AR326" i="13" s="1"/>
  <c r="AO322" i="13"/>
  <c r="AV322" i="13" s="1"/>
  <c r="BD322" i="13" s="1"/>
  <c r="AO313" i="13"/>
  <c r="AV313" i="13" s="1"/>
  <c r="BD313" i="13" s="1"/>
  <c r="AO309" i="13"/>
  <c r="AV309" i="13" s="1"/>
  <c r="BD309" i="13" s="1"/>
  <c r="AO343" i="13"/>
  <c r="AV343" i="13" s="1"/>
  <c r="BD343" i="13" s="1"/>
  <c r="AO339" i="13"/>
  <c r="AO335" i="13"/>
  <c r="AO331" i="13"/>
  <c r="AR331" i="13" s="1"/>
  <c r="AO327" i="13"/>
  <c r="AV327" i="13" s="1"/>
  <c r="BD327" i="13" s="1"/>
  <c r="AO323" i="13"/>
  <c r="AR323" i="13" s="1"/>
  <c r="AO318" i="13"/>
  <c r="AV318" i="13" s="1"/>
  <c r="BD318" i="13" s="1"/>
  <c r="AO314" i="13"/>
  <c r="AR314" i="13" s="1"/>
  <c r="AO344" i="13"/>
  <c r="AV344" i="13" s="1"/>
  <c r="AO340" i="13"/>
  <c r="AO336" i="13"/>
  <c r="AO332" i="13"/>
  <c r="AV332" i="13" s="1"/>
  <c r="AO328" i="13"/>
  <c r="AR328" i="13" s="1"/>
  <c r="AO324" i="13"/>
  <c r="AV324" i="13" s="1"/>
  <c r="AO345" i="13"/>
  <c r="AV345" i="13" s="1"/>
  <c r="BD345" i="13" s="1"/>
  <c r="AO341" i="13"/>
  <c r="AV341" i="13" s="1"/>
  <c r="BD341" i="13" s="1"/>
  <c r="AO337" i="13"/>
  <c r="AR337" i="13" s="1"/>
  <c r="AO333" i="13"/>
  <c r="AO329" i="13"/>
  <c r="AO325" i="13"/>
  <c r="AR325" i="13" s="1"/>
  <c r="AO311" i="13"/>
  <c r="AR311" i="13" s="1"/>
  <c r="AO271" i="13"/>
  <c r="AR271" i="13" s="1"/>
  <c r="AO267" i="13"/>
  <c r="AR267" i="13" s="1"/>
  <c r="AO315" i="13"/>
  <c r="AR315" i="13" s="1"/>
  <c r="AO305" i="13"/>
  <c r="AR305" i="13" s="1"/>
  <c r="AO300" i="13"/>
  <c r="AR300" i="13" s="1"/>
  <c r="AO288" i="13"/>
  <c r="AR288" i="13" s="1"/>
  <c r="AO284" i="13"/>
  <c r="AR284" i="13" s="1"/>
  <c r="AO272" i="13"/>
  <c r="AR272" i="13" s="1"/>
  <c r="AO306" i="13"/>
  <c r="AR306" i="13" s="1"/>
  <c r="AO301" i="13"/>
  <c r="AR301" i="13" s="1"/>
  <c r="AO289" i="13"/>
  <c r="AR289" i="13" s="1"/>
  <c r="AO261" i="13"/>
  <c r="AR261" i="13" s="1"/>
  <c r="AO312" i="13"/>
  <c r="AR312" i="13" s="1"/>
  <c r="AO308" i="13"/>
  <c r="AR308" i="13" s="1"/>
  <c r="AO290" i="13"/>
  <c r="AV290" i="13" s="1"/>
  <c r="BD290" i="13" s="1"/>
  <c r="AO286" i="13"/>
  <c r="AV286" i="13" s="1"/>
  <c r="BD286" i="13" s="1"/>
  <c r="AO257" i="13"/>
  <c r="AR257" i="13" s="1"/>
  <c r="AO253" i="13"/>
  <c r="AR253" i="13" s="1"/>
  <c r="AO249" i="13"/>
  <c r="AV249" i="13" s="1"/>
  <c r="BD249" i="13" s="1"/>
  <c r="AO245" i="13"/>
  <c r="AR245" i="13" s="1"/>
  <c r="AO237" i="13"/>
  <c r="AV237" i="13" s="1"/>
  <c r="BD237" i="13" s="1"/>
  <c r="AO216" i="13"/>
  <c r="AV216" i="13" s="1"/>
  <c r="BD216" i="13" s="1"/>
  <c r="AO212" i="13"/>
  <c r="AR212" i="13" s="1"/>
  <c r="AO208" i="13"/>
  <c r="AR208" i="13" s="1"/>
  <c r="AO204" i="13"/>
  <c r="AV204" i="13" s="1"/>
  <c r="BD204" i="13" s="1"/>
  <c r="AO200" i="13"/>
  <c r="AV200" i="13" s="1"/>
  <c r="BD200" i="13" s="1"/>
  <c r="AO192" i="13"/>
  <c r="AV192" i="13" s="1"/>
  <c r="BD192" i="13" s="1"/>
  <c r="AO258" i="13"/>
  <c r="AR258" i="13" s="1"/>
  <c r="AO254" i="13"/>
  <c r="AR254" i="13" s="1"/>
  <c r="AO250" i="13"/>
  <c r="AR250" i="13" s="1"/>
  <c r="AO246" i="13"/>
  <c r="AV246" i="13" s="1"/>
  <c r="BD246" i="13" s="1"/>
  <c r="AO242" i="13"/>
  <c r="AR242" i="13" s="1"/>
  <c r="AO217" i="13"/>
  <c r="AR217" i="13" s="1"/>
  <c r="AO213" i="13"/>
  <c r="AR213" i="13" s="1"/>
  <c r="AO205" i="13"/>
  <c r="AR205" i="13" s="1"/>
  <c r="AO201" i="13"/>
  <c r="AR201" i="13" s="1"/>
  <c r="AO197" i="13"/>
  <c r="AR197" i="13" s="1"/>
  <c r="AO193" i="13"/>
  <c r="AR193" i="13" s="1"/>
  <c r="AO189" i="13"/>
  <c r="AR189" i="13" s="1"/>
  <c r="AO255" i="13"/>
  <c r="AV255" i="13" s="1"/>
  <c r="AO251" i="13"/>
  <c r="AV251" i="13" s="1"/>
  <c r="AO247" i="13"/>
  <c r="AR247" i="13" s="1"/>
  <c r="AO243" i="13"/>
  <c r="AV243" i="13" s="1"/>
  <c r="AO235" i="13"/>
  <c r="AV235" i="13" s="1"/>
  <c r="AO218" i="13"/>
  <c r="AR218" i="13" s="1"/>
  <c r="AO214" i="13"/>
  <c r="AR214" i="13" s="1"/>
  <c r="AO210" i="13"/>
  <c r="AR210" i="13" s="1"/>
  <c r="AO206" i="13"/>
  <c r="AR206" i="13" s="1"/>
  <c r="AO198" i="13"/>
  <c r="AR198" i="13" s="1"/>
  <c r="AO190" i="13"/>
  <c r="AR190" i="13" s="1"/>
  <c r="AO256" i="13"/>
  <c r="AR256" i="13" s="1"/>
  <c r="AO252" i="13"/>
  <c r="AR252" i="13" s="1"/>
  <c r="AO248" i="13"/>
  <c r="AR248" i="13" s="1"/>
  <c r="AO244" i="13"/>
  <c r="AR244" i="13" s="1"/>
  <c r="AO219" i="13"/>
  <c r="AV219" i="13" s="1"/>
  <c r="BD219" i="13" s="1"/>
  <c r="AO215" i="13"/>
  <c r="AV215" i="13" s="1"/>
  <c r="BD215" i="13" s="1"/>
  <c r="AO211" i="13"/>
  <c r="AV211" i="13" s="1"/>
  <c r="BD211" i="13" s="1"/>
  <c r="AO207" i="13"/>
  <c r="AR207" i="13" s="1"/>
  <c r="AO203" i="13"/>
  <c r="AV203" i="13" s="1"/>
  <c r="BD203" i="13" s="1"/>
  <c r="AO199" i="13"/>
  <c r="AR199" i="13" s="1"/>
  <c r="AO195" i="13"/>
  <c r="AV195" i="13" s="1"/>
  <c r="BD195" i="13" s="1"/>
  <c r="AO191" i="13"/>
  <c r="AR191" i="13" s="1"/>
  <c r="AO156" i="13"/>
  <c r="AV156" i="13" s="1"/>
  <c r="BD156" i="13" s="1"/>
  <c r="AO133" i="13"/>
  <c r="AR133" i="13" s="1"/>
  <c r="AO129" i="13"/>
  <c r="AR129" i="13" s="1"/>
  <c r="AO125" i="13"/>
  <c r="AR125" i="13" s="1"/>
  <c r="AO121" i="13"/>
  <c r="AV121" i="13" s="1"/>
  <c r="BD121" i="13" s="1"/>
  <c r="AO117" i="13"/>
  <c r="AV117" i="13" s="1"/>
  <c r="BD117" i="13" s="1"/>
  <c r="AO113" i="13"/>
  <c r="AV113" i="13" s="1"/>
  <c r="BD113" i="13" s="1"/>
  <c r="AO109" i="13"/>
  <c r="AV109" i="13" s="1"/>
  <c r="BD109" i="13" s="1"/>
  <c r="AO101" i="13"/>
  <c r="AV101" i="13" s="1"/>
  <c r="BD101" i="13" s="1"/>
  <c r="AO97" i="13"/>
  <c r="AR97" i="13" s="1"/>
  <c r="AO153" i="13"/>
  <c r="AV153" i="13" s="1"/>
  <c r="BD153" i="13" s="1"/>
  <c r="AO134" i="13"/>
  <c r="AR134" i="13" s="1"/>
  <c r="AO130" i="13"/>
  <c r="AR130" i="13" s="1"/>
  <c r="AO126" i="13"/>
  <c r="AV126" i="13" s="1"/>
  <c r="BD126" i="13" s="1"/>
  <c r="AO122" i="13"/>
  <c r="AV122" i="13" s="1"/>
  <c r="BD122" i="13" s="1"/>
  <c r="AO118" i="13"/>
  <c r="AR118" i="13" s="1"/>
  <c r="AO114" i="13"/>
  <c r="AV114" i="13" s="1"/>
  <c r="BD114" i="13" s="1"/>
  <c r="AO110" i="13"/>
  <c r="AR110" i="13" s="1"/>
  <c r="AO106" i="13"/>
  <c r="AV106" i="13" s="1"/>
  <c r="BD106" i="13" s="1"/>
  <c r="AO102" i="13"/>
  <c r="AV102" i="13" s="1"/>
  <c r="BD102" i="13" s="1"/>
  <c r="AO154" i="13"/>
  <c r="AV154" i="13" s="1"/>
  <c r="AO135" i="13"/>
  <c r="AR135" i="13" s="1"/>
  <c r="AO131" i="13"/>
  <c r="AR131" i="13" s="1"/>
  <c r="AO127" i="13"/>
  <c r="AR127" i="13" s="1"/>
  <c r="AO123" i="13"/>
  <c r="AR123" i="13" s="1"/>
  <c r="AO119" i="13"/>
  <c r="AR119" i="13" s="1"/>
  <c r="AO115" i="13"/>
  <c r="AR115" i="13" s="1"/>
  <c r="AO111" i="13"/>
  <c r="AR111" i="13" s="1"/>
  <c r="AO107" i="13"/>
  <c r="AR107" i="13" s="1"/>
  <c r="AO103" i="13"/>
  <c r="AR103" i="13" s="1"/>
  <c r="AO99" i="13"/>
  <c r="AR99" i="13" s="1"/>
  <c r="AO155" i="13"/>
  <c r="AR155" i="13" s="1"/>
  <c r="AO136" i="13"/>
  <c r="AR136" i="13" s="1"/>
  <c r="AO132" i="13"/>
  <c r="AR132" i="13" s="1"/>
  <c r="AO124" i="13"/>
  <c r="AR124" i="13" s="1"/>
  <c r="AO120" i="13"/>
  <c r="AR120" i="13" s="1"/>
  <c r="AO116" i="13"/>
  <c r="AR116" i="13" s="1"/>
  <c r="AO112" i="13"/>
  <c r="AR112" i="13" s="1"/>
  <c r="AO108" i="13"/>
  <c r="AR108" i="13" s="1"/>
  <c r="AO104" i="13"/>
  <c r="AR104" i="13" s="1"/>
  <c r="AO100" i="13"/>
  <c r="AR100" i="13" s="1"/>
  <c r="AO96" i="13"/>
  <c r="AR96" i="13" s="1"/>
  <c r="AO92" i="13"/>
  <c r="AV92" i="13" s="1"/>
  <c r="BD92" i="13" s="1"/>
  <c r="AO88" i="13"/>
  <c r="Z20" i="13"/>
  <c r="AV20" i="13"/>
  <c r="Z23" i="13"/>
  <c r="AI25" i="13"/>
  <c r="BC25" i="13"/>
  <c r="Z27" i="13"/>
  <c r="AI29" i="13"/>
  <c r="BC29" i="13"/>
  <c r="BD29" i="13" s="1"/>
  <c r="AO32" i="13"/>
  <c r="AR32" i="13" s="1"/>
  <c r="AO36" i="13"/>
  <c r="AR36" i="13" s="1"/>
  <c r="AO40" i="13"/>
  <c r="AR40" i="13" s="1"/>
  <c r="AR41" i="13"/>
  <c r="AV43" i="13"/>
  <c r="BD43" i="13" s="1"/>
  <c r="BF44" i="13"/>
  <c r="AR45" i="13"/>
  <c r="AV47" i="13"/>
  <c r="BD47" i="13" s="1"/>
  <c r="AR49" i="13"/>
  <c r="AV51" i="13"/>
  <c r="BD51" i="13" s="1"/>
  <c r="AO56" i="13"/>
  <c r="AR56" i="13" s="1"/>
  <c r="Y60" i="13"/>
  <c r="AR61" i="13"/>
  <c r="Y64" i="13"/>
  <c r="BF64" i="13"/>
  <c r="AR65" i="13"/>
  <c r="Y68" i="13"/>
  <c r="AR69" i="13"/>
  <c r="AJ71" i="13"/>
  <c r="AK71" i="13" s="1"/>
  <c r="AI72" i="13"/>
  <c r="BC72" i="13"/>
  <c r="Z74" i="13"/>
  <c r="AI76" i="13"/>
  <c r="BC76" i="13"/>
  <c r="Z78" i="13"/>
  <c r="AI80" i="13"/>
  <c r="BC80" i="13"/>
  <c r="Z82" i="13"/>
  <c r="AI84" i="13"/>
  <c r="BC84" i="13"/>
  <c r="Y85" i="13"/>
  <c r="AS87" i="13"/>
  <c r="AS88" i="13"/>
  <c r="AO89" i="13"/>
  <c r="AV89" i="13" s="1"/>
  <c r="BD89" i="13" s="1"/>
  <c r="Z91" i="13"/>
  <c r="Z92" i="13"/>
  <c r="Y95" i="13"/>
  <c r="AO26" i="13"/>
  <c r="AV26" i="13" s="1"/>
  <c r="BD26" i="13" s="1"/>
  <c r="AR27" i="13"/>
  <c r="AS33" i="13"/>
  <c r="AS37" i="13"/>
  <c r="AS41" i="13"/>
  <c r="AS45" i="13"/>
  <c r="AS49" i="13"/>
  <c r="AS53" i="13"/>
  <c r="AS57" i="13"/>
  <c r="AS61" i="13"/>
  <c r="Z64" i="13"/>
  <c r="AI66" i="13"/>
  <c r="Z68" i="13"/>
  <c r="AI70" i="13"/>
  <c r="AO73" i="13"/>
  <c r="AV73" i="13" s="1"/>
  <c r="BD73" i="13" s="1"/>
  <c r="AO77" i="13"/>
  <c r="AV77" i="13" s="1"/>
  <c r="BD77" i="13" s="1"/>
  <c r="AO81" i="13"/>
  <c r="AV81" i="13" s="1"/>
  <c r="BD81" i="13" s="1"/>
  <c r="AS85" i="13"/>
  <c r="AO86" i="13"/>
  <c r="Y89" i="13"/>
  <c r="AS91" i="13"/>
  <c r="AS92" i="13"/>
  <c r="AO93" i="13"/>
  <c r="AV93" i="13" s="1"/>
  <c r="BD93" i="13" s="1"/>
  <c r="Z95" i="13"/>
  <c r="Z96" i="13"/>
  <c r="Y99" i="13"/>
  <c r="AI99" i="13"/>
  <c r="AO443" i="13"/>
  <c r="AR443" i="13" s="1"/>
  <c r="AO367" i="13"/>
  <c r="AR367" i="13" s="1"/>
  <c r="AO394" i="13"/>
  <c r="AV394" i="13" s="1"/>
  <c r="BD394" i="13" s="1"/>
  <c r="AO310" i="13"/>
  <c r="AV310" i="13" s="1"/>
  <c r="BD310" i="13" s="1"/>
  <c r="AO157" i="13"/>
  <c r="AV157" i="13" s="1"/>
  <c r="BD157" i="13" s="1"/>
  <c r="AO158" i="13"/>
  <c r="AR158" i="13" s="1"/>
  <c r="AR21" i="13"/>
  <c r="AS23" i="13"/>
  <c r="AS27" i="13"/>
  <c r="AO31" i="13"/>
  <c r="AR31" i="13" s="1"/>
  <c r="AO35" i="13"/>
  <c r="AR35" i="13" s="1"/>
  <c r="AO39" i="13"/>
  <c r="AV39" i="13" s="1"/>
  <c r="BD39" i="13" s="1"/>
  <c r="AV46" i="13"/>
  <c r="BD46" i="13" s="1"/>
  <c r="AV50" i="13"/>
  <c r="BD50" i="13" s="1"/>
  <c r="AO55" i="13"/>
  <c r="AR55" i="13" s="1"/>
  <c r="AV58" i="13"/>
  <c r="BD58" i="13" s="1"/>
  <c r="AO59" i="13"/>
  <c r="AV59" i="13" s="1"/>
  <c r="BD59" i="13" s="1"/>
  <c r="AV62" i="13"/>
  <c r="BD62" i="13" s="1"/>
  <c r="AV66" i="13"/>
  <c r="BD66" i="13" s="1"/>
  <c r="AV70" i="13"/>
  <c r="BD70" i="13" s="1"/>
  <c r="AS74" i="13"/>
  <c r="AS78" i="13"/>
  <c r="AS82" i="13"/>
  <c r="AO90" i="13"/>
  <c r="AV90" i="13" s="1"/>
  <c r="BD90" i="13" s="1"/>
  <c r="Y97" i="13"/>
  <c r="Z97" i="13"/>
  <c r="BG139" i="13"/>
  <c r="BH139" i="13"/>
  <c r="R9" i="13"/>
  <c r="AN18" i="13"/>
  <c r="AH20" i="13"/>
  <c r="AI22" i="13"/>
  <c r="AR22" i="13"/>
  <c r="Y25" i="13"/>
  <c r="AO25" i="13"/>
  <c r="AR25" i="13" s="1"/>
  <c r="Y29" i="13"/>
  <c r="Z31" i="13"/>
  <c r="AI33" i="13"/>
  <c r="Z35" i="13"/>
  <c r="AI37" i="13"/>
  <c r="Z39" i="13"/>
  <c r="AI41" i="13"/>
  <c r="Z43" i="13"/>
  <c r="AI45" i="13"/>
  <c r="Z47" i="13"/>
  <c r="AI49" i="13"/>
  <c r="Z51" i="13"/>
  <c r="AI53" i="13"/>
  <c r="Z55" i="13"/>
  <c r="AI57" i="13"/>
  <c r="Z59" i="13"/>
  <c r="AI61" i="13"/>
  <c r="Z63" i="13"/>
  <c r="Z67" i="13"/>
  <c r="Z71" i="13"/>
  <c r="Y72" i="13"/>
  <c r="AO72" i="13"/>
  <c r="AR72" i="13" s="1"/>
  <c r="Y76" i="13"/>
  <c r="AO76" i="13"/>
  <c r="AV76" i="13" s="1"/>
  <c r="Y80" i="13"/>
  <c r="AO80" i="13"/>
  <c r="AR80" i="13" s="1"/>
  <c r="Y84" i="13"/>
  <c r="AU91" i="13"/>
  <c r="AO94" i="13"/>
  <c r="AV94" i="13" s="1"/>
  <c r="BD94" i="13" s="1"/>
  <c r="BF167" i="13"/>
  <c r="AI20" i="13"/>
  <c r="AJ22" i="13"/>
  <c r="AI23" i="13"/>
  <c r="Z25" i="13"/>
  <c r="AI27" i="13"/>
  <c r="Z29" i="13"/>
  <c r="AO30" i="13"/>
  <c r="AR30" i="13" s="1"/>
  <c r="AH32" i="13"/>
  <c r="AU32" i="13" s="1"/>
  <c r="Y34" i="13"/>
  <c r="AO34" i="13"/>
  <c r="AR34" i="13" s="1"/>
  <c r="Y38" i="13"/>
  <c r="AO38" i="13"/>
  <c r="AV38" i="13" s="1"/>
  <c r="BD38" i="13" s="1"/>
  <c r="Y42" i="13"/>
  <c r="AO42" i="13"/>
  <c r="AV42" i="13" s="1"/>
  <c r="BD42" i="13" s="1"/>
  <c r="Y46" i="13"/>
  <c r="Y50" i="13"/>
  <c r="Y54" i="13"/>
  <c r="AO54" i="13"/>
  <c r="AR54" i="13" s="1"/>
  <c r="Y58" i="13"/>
  <c r="Y62" i="13"/>
  <c r="AR63" i="13"/>
  <c r="Y66" i="13"/>
  <c r="Y70" i="13"/>
  <c r="Z72" i="13"/>
  <c r="AI74" i="13"/>
  <c r="Z76" i="13"/>
  <c r="AI78" i="13"/>
  <c r="Z80" i="13"/>
  <c r="AI82" i="13"/>
  <c r="Z84" i="13"/>
  <c r="AI85" i="13"/>
  <c r="AI92" i="13"/>
  <c r="AI97" i="13"/>
  <c r="BG138" i="13"/>
  <c r="BD140" i="13"/>
  <c r="AL153" i="13"/>
  <c r="AJ20" i="13"/>
  <c r="AS31" i="13"/>
  <c r="AS35" i="13"/>
  <c r="AS39" i="13"/>
  <c r="AS43" i="13"/>
  <c r="AS47" i="13"/>
  <c r="AS51" i="13"/>
  <c r="AS55" i="13"/>
  <c r="AS59" i="13"/>
  <c r="AS63" i="13"/>
  <c r="AS67" i="13"/>
  <c r="AO71" i="13"/>
  <c r="AR71" i="13" s="1"/>
  <c r="AO75" i="13"/>
  <c r="AR75" i="13" s="1"/>
  <c r="AO79" i="13"/>
  <c r="AR79" i="13" s="1"/>
  <c r="AO83" i="13"/>
  <c r="AR83" i="13" s="1"/>
  <c r="AO87" i="13"/>
  <c r="AR87" i="13" s="1"/>
  <c r="AI89" i="13"/>
  <c r="Z103" i="13"/>
  <c r="Y103" i="13"/>
  <c r="AI103" i="13"/>
  <c r="AO33" i="13"/>
  <c r="AV33" i="13" s="1"/>
  <c r="BD33" i="13" s="1"/>
  <c r="AO37" i="13"/>
  <c r="AR37" i="13" s="1"/>
  <c r="AO53" i="13"/>
  <c r="AV53" i="13" s="1"/>
  <c r="BD53" i="13" s="1"/>
  <c r="AO57" i="13"/>
  <c r="AV57" i="13" s="1"/>
  <c r="BD57" i="13" s="1"/>
  <c r="AO91" i="13"/>
  <c r="AR91" i="13" s="1"/>
  <c r="AO23" i="13"/>
  <c r="AR23" i="13" s="1"/>
  <c r="AO74" i="13"/>
  <c r="AV74" i="13" s="1"/>
  <c r="BD74" i="13" s="1"/>
  <c r="AO78" i="13"/>
  <c r="AV78" i="13" s="1"/>
  <c r="BD78" i="13" s="1"/>
  <c r="AO82" i="13"/>
  <c r="AV82" i="13" s="1"/>
  <c r="BD82" i="13" s="1"/>
  <c r="AO85" i="13"/>
  <c r="AV85" i="13" s="1"/>
  <c r="BD85" i="13" s="1"/>
  <c r="Y91" i="13"/>
  <c r="AO95" i="13"/>
  <c r="AR95" i="13" s="1"/>
  <c r="AO98" i="13"/>
  <c r="AR98" i="13" s="1"/>
  <c r="Z99" i="13"/>
  <c r="Z107" i="13"/>
  <c r="Y107" i="13"/>
  <c r="AI107" i="13"/>
  <c r="AV127" i="13"/>
  <c r="BD127" i="13" s="1"/>
  <c r="Z101" i="13"/>
  <c r="Z105" i="13"/>
  <c r="Z109" i="13"/>
  <c r="AI111" i="13"/>
  <c r="Z113" i="13"/>
  <c r="AI115" i="13"/>
  <c r="Z117" i="13"/>
  <c r="AI119" i="13"/>
  <c r="Z121" i="13"/>
  <c r="AI123" i="13"/>
  <c r="Z125" i="13"/>
  <c r="AI127" i="13"/>
  <c r="Z129" i="13"/>
  <c r="AI131" i="13"/>
  <c r="Z133" i="13"/>
  <c r="AI135" i="13"/>
  <c r="Z137" i="13"/>
  <c r="Y138" i="13"/>
  <c r="AR139" i="13"/>
  <c r="AH140" i="13"/>
  <c r="AU140" i="13" s="1"/>
  <c r="Y142" i="13"/>
  <c r="AR143" i="13"/>
  <c r="Y146" i="13"/>
  <c r="AR147" i="13"/>
  <c r="Y150" i="13"/>
  <c r="AR151" i="13"/>
  <c r="AJ153" i="13"/>
  <c r="AK153" i="13" s="1"/>
  <c r="AI154" i="13"/>
  <c r="BC154" i="13"/>
  <c r="Z156" i="13"/>
  <c r="AI158" i="13"/>
  <c r="BC158" i="13"/>
  <c r="Z160" i="13"/>
  <c r="AI162" i="13"/>
  <c r="BC162" i="13"/>
  <c r="Z164" i="13"/>
  <c r="AI166" i="13"/>
  <c r="BC166" i="13"/>
  <c r="Z168" i="13"/>
  <c r="AI170" i="13"/>
  <c r="Z172" i="13"/>
  <c r="AI174" i="13"/>
  <c r="Z175" i="13"/>
  <c r="Y100" i="13"/>
  <c r="Y104" i="13"/>
  <c r="AR105" i="13"/>
  <c r="Y108" i="13"/>
  <c r="AR109" i="13"/>
  <c r="Y112" i="13"/>
  <c r="Y116" i="13"/>
  <c r="Y120" i="13"/>
  <c r="Y124" i="13"/>
  <c r="Y128" i="13"/>
  <c r="Y132" i="13"/>
  <c r="Y136" i="13"/>
  <c r="Z138" i="13"/>
  <c r="AI140" i="13"/>
  <c r="BE141" i="13"/>
  <c r="Z142" i="13"/>
  <c r="AI144" i="13"/>
  <c r="Z146" i="13"/>
  <c r="AI148" i="13"/>
  <c r="Z150" i="13"/>
  <c r="AI152" i="13"/>
  <c r="Y155" i="13"/>
  <c r="Y159" i="13"/>
  <c r="AR160" i="13"/>
  <c r="Y163" i="13"/>
  <c r="AR164" i="13"/>
  <c r="Y167" i="13"/>
  <c r="AR168" i="13"/>
  <c r="Y171" i="13"/>
  <c r="AR172" i="13"/>
  <c r="Z100" i="13"/>
  <c r="AS101" i="13"/>
  <c r="Z104" i="13"/>
  <c r="AS105" i="13"/>
  <c r="Z108" i="13"/>
  <c r="AS109" i="13"/>
  <c r="Z112" i="13"/>
  <c r="AS113" i="13"/>
  <c r="Z116" i="13"/>
  <c r="AS117" i="13"/>
  <c r="Z120" i="13"/>
  <c r="AS121" i="13"/>
  <c r="Z124" i="13"/>
  <c r="AS125" i="13"/>
  <c r="Z128" i="13"/>
  <c r="AS129" i="13"/>
  <c r="Z132" i="13"/>
  <c r="AS133" i="13"/>
  <c r="Z136" i="13"/>
  <c r="AR138" i="13"/>
  <c r="Y141" i="13"/>
  <c r="AR142" i="13"/>
  <c r="Y145" i="13"/>
  <c r="AR146" i="13"/>
  <c r="Y149" i="13"/>
  <c r="AR150" i="13"/>
  <c r="Y153" i="13"/>
  <c r="Z155" i="13"/>
  <c r="AS156" i="13"/>
  <c r="Z159" i="13"/>
  <c r="AS160" i="13"/>
  <c r="Z163" i="13"/>
  <c r="AS164" i="13"/>
  <c r="Z167" i="13"/>
  <c r="AS168" i="13"/>
  <c r="Z171" i="13"/>
  <c r="AS172" i="13"/>
  <c r="AS175" i="13"/>
  <c r="AR176" i="13"/>
  <c r="AR177" i="13"/>
  <c r="AV178" i="13"/>
  <c r="BD178" i="13" s="1"/>
  <c r="Y111" i="13"/>
  <c r="Y115" i="13"/>
  <c r="AV118" i="13"/>
  <c r="BD118" i="13" s="1"/>
  <c r="Y119" i="13"/>
  <c r="Y123" i="13"/>
  <c r="Y127" i="13"/>
  <c r="Y131" i="13"/>
  <c r="Y135" i="13"/>
  <c r="Z141" i="13"/>
  <c r="Z145" i="13"/>
  <c r="Z149" i="13"/>
  <c r="Z153" i="13"/>
  <c r="Y154" i="13"/>
  <c r="Y158" i="13"/>
  <c r="AV161" i="13"/>
  <c r="BD161" i="13" s="1"/>
  <c r="Y162" i="13"/>
  <c r="AV165" i="13"/>
  <c r="BD165" i="13" s="1"/>
  <c r="Y166" i="13"/>
  <c r="AV169" i="13"/>
  <c r="BD169" i="13" s="1"/>
  <c r="Y170" i="13"/>
  <c r="AV173" i="13"/>
  <c r="BD173" i="13" s="1"/>
  <c r="Y174" i="13"/>
  <c r="Z176" i="13"/>
  <c r="Y176" i="13"/>
  <c r="AS176" i="13"/>
  <c r="BD262" i="13"/>
  <c r="Z111" i="13"/>
  <c r="Z115" i="13"/>
  <c r="Z119" i="13"/>
  <c r="Z123" i="13"/>
  <c r="Z127" i="13"/>
  <c r="Z131" i="13"/>
  <c r="Z135" i="13"/>
  <c r="Z154" i="13"/>
  <c r="Z158" i="13"/>
  <c r="Z162" i="13"/>
  <c r="Z166" i="13"/>
  <c r="Z170" i="13"/>
  <c r="Z174" i="13"/>
  <c r="AI180" i="13"/>
  <c r="Z180" i="13"/>
  <c r="Y180" i="13"/>
  <c r="AV180" i="13"/>
  <c r="BD180" i="13" s="1"/>
  <c r="AV181" i="13"/>
  <c r="BD181" i="13" s="1"/>
  <c r="AV182" i="13"/>
  <c r="BD202" i="13"/>
  <c r="AS141" i="13"/>
  <c r="AS145" i="13"/>
  <c r="AS149" i="13"/>
  <c r="AR182" i="13"/>
  <c r="BC182" i="13"/>
  <c r="AL222" i="13"/>
  <c r="BE178" i="13"/>
  <c r="AV193" i="13"/>
  <c r="BD193" i="13" s="1"/>
  <c r="BF221" i="13"/>
  <c r="BE221" i="13"/>
  <c r="AV191" i="13"/>
  <c r="BD191" i="13" s="1"/>
  <c r="BF223" i="13"/>
  <c r="Y184" i="13"/>
  <c r="AR185" i="13"/>
  <c r="Y188" i="13"/>
  <c r="BC188" i="13"/>
  <c r="Y191" i="13"/>
  <c r="Y195" i="13"/>
  <c r="AR196" i="13"/>
  <c r="Y199" i="13"/>
  <c r="Y203" i="13"/>
  <c r="Y207" i="13"/>
  <c r="AR216" i="13"/>
  <c r="AR220" i="13"/>
  <c r="AJ222" i="13"/>
  <c r="AK222" i="13" s="1"/>
  <c r="AI223" i="13"/>
  <c r="Z225" i="13"/>
  <c r="AS226" i="13"/>
  <c r="AI227" i="13"/>
  <c r="Z229" i="13"/>
  <c r="AS230" i="13"/>
  <c r="AI231" i="13"/>
  <c r="BC231" i="13"/>
  <c r="Z233" i="13"/>
  <c r="AS234" i="13"/>
  <c r="AI235" i="13"/>
  <c r="BC235" i="13"/>
  <c r="Z237" i="13"/>
  <c r="AS238" i="13"/>
  <c r="AI239" i="13"/>
  <c r="BC239" i="13"/>
  <c r="Z241" i="13"/>
  <c r="AS242" i="13"/>
  <c r="AI243" i="13"/>
  <c r="BC243" i="13"/>
  <c r="Z245" i="13"/>
  <c r="AS246" i="13"/>
  <c r="AI247" i="13"/>
  <c r="BC247" i="13"/>
  <c r="Z249" i="13"/>
  <c r="AS250" i="13"/>
  <c r="AI251" i="13"/>
  <c r="BC251" i="13"/>
  <c r="Z253" i="13"/>
  <c r="AS254" i="13"/>
  <c r="AI255" i="13"/>
  <c r="BC255" i="13"/>
  <c r="Z257" i="13"/>
  <c r="AS258" i="13"/>
  <c r="AI259" i="13"/>
  <c r="BC260" i="13"/>
  <c r="Z263" i="13"/>
  <c r="BF280" i="13"/>
  <c r="AV300" i="13"/>
  <c r="BD300" i="13" s="1"/>
  <c r="AI178" i="13"/>
  <c r="AI182" i="13"/>
  <c r="Z184" i="13"/>
  <c r="AI186" i="13"/>
  <c r="BC186" i="13"/>
  <c r="Z188" i="13"/>
  <c r="Y189" i="13"/>
  <c r="Z191" i="13"/>
  <c r="AI193" i="13"/>
  <c r="Z195" i="13"/>
  <c r="AI197" i="13"/>
  <c r="Z199" i="13"/>
  <c r="AI201" i="13"/>
  <c r="Z203" i="13"/>
  <c r="AI205" i="13"/>
  <c r="Z207" i="13"/>
  <c r="AI209" i="13"/>
  <c r="Z211" i="13"/>
  <c r="AI213" i="13"/>
  <c r="Z215" i="13"/>
  <c r="AI217" i="13"/>
  <c r="Z219" i="13"/>
  <c r="AS220" i="13"/>
  <c r="AI221" i="13"/>
  <c r="AV223" i="13"/>
  <c r="BD223" i="13" s="1"/>
  <c r="Y224" i="13"/>
  <c r="AV227" i="13"/>
  <c r="BD227" i="13" s="1"/>
  <c r="Y228" i="13"/>
  <c r="AR229" i="13"/>
  <c r="Y232" i="13"/>
  <c r="AR233" i="13"/>
  <c r="Y236" i="13"/>
  <c r="AR237" i="13"/>
  <c r="Y240" i="13"/>
  <c r="AR241" i="13"/>
  <c r="Y244" i="13"/>
  <c r="Y248" i="13"/>
  <c r="Y252" i="13"/>
  <c r="Y256" i="13"/>
  <c r="AV259" i="13"/>
  <c r="BD259" i="13" s="1"/>
  <c r="AI260" i="13"/>
  <c r="AI262" i="13"/>
  <c r="AR264" i="13"/>
  <c r="Z265" i="13"/>
  <c r="Y179" i="13"/>
  <c r="Y183" i="13"/>
  <c r="AR184" i="13"/>
  <c r="Y187" i="13"/>
  <c r="Z189" i="13"/>
  <c r="Y190" i="13"/>
  <c r="Z224" i="13"/>
  <c r="AS225" i="13"/>
  <c r="Z228" i="13"/>
  <c r="AS229" i="13"/>
  <c r="Z232" i="13"/>
  <c r="AS233" i="13"/>
  <c r="Z236" i="13"/>
  <c r="AS237" i="13"/>
  <c r="Z240" i="13"/>
  <c r="AS241" i="13"/>
  <c r="Z244" i="13"/>
  <c r="AS245" i="13"/>
  <c r="Z248" i="13"/>
  <c r="AS249" i="13"/>
  <c r="Z252" i="13"/>
  <c r="AS253" i="13"/>
  <c r="Z256" i="13"/>
  <c r="AS257" i="13"/>
  <c r="AR262" i="13"/>
  <c r="BC263" i="13"/>
  <c r="BD279" i="13"/>
  <c r="BD287" i="13"/>
  <c r="AS184" i="13"/>
  <c r="AS191" i="13"/>
  <c r="AS195" i="13"/>
  <c r="AS199" i="13"/>
  <c r="AS203" i="13"/>
  <c r="AS207" i="13"/>
  <c r="AS211" i="13"/>
  <c r="AS215" i="13"/>
  <c r="AS219" i="13"/>
  <c r="AV222" i="13"/>
  <c r="BD222" i="13" s="1"/>
  <c r="Y223" i="13"/>
  <c r="AV226" i="13"/>
  <c r="BD226" i="13" s="1"/>
  <c r="Y227" i="13"/>
  <c r="AV230" i="13"/>
  <c r="BD230" i="13" s="1"/>
  <c r="Y231" i="13"/>
  <c r="AV234" i="13"/>
  <c r="BD234" i="13" s="1"/>
  <c r="Y235" i="13"/>
  <c r="AV238" i="13"/>
  <c r="BD238" i="13" s="1"/>
  <c r="Y239" i="13"/>
  <c r="Y243" i="13"/>
  <c r="Y247" i="13"/>
  <c r="AV250" i="13"/>
  <c r="BD250" i="13" s="1"/>
  <c r="Y251" i="13"/>
  <c r="AV254" i="13"/>
  <c r="BD254" i="13" s="1"/>
  <c r="Y255" i="13"/>
  <c r="Y259" i="13"/>
  <c r="AI265" i="13"/>
  <c r="Y265" i="13"/>
  <c r="AS224" i="13"/>
  <c r="AS228" i="13"/>
  <c r="AS232" i="13"/>
  <c r="AS236" i="13"/>
  <c r="AS240" i="13"/>
  <c r="AS244" i="13"/>
  <c r="AS248" i="13"/>
  <c r="AS252" i="13"/>
  <c r="AS256" i="13"/>
  <c r="Z267" i="13"/>
  <c r="Y267" i="13"/>
  <c r="AI267" i="13"/>
  <c r="AI269" i="13"/>
  <c r="Z269" i="13"/>
  <c r="Y269" i="13"/>
  <c r="Z271" i="13"/>
  <c r="Y271" i="13"/>
  <c r="AI271" i="13"/>
  <c r="BC273" i="13"/>
  <c r="AR273" i="13"/>
  <c r="AV308" i="13"/>
  <c r="BD308" i="13" s="1"/>
  <c r="AS179" i="13"/>
  <c r="AS183" i="13"/>
  <c r="AS187" i="13"/>
  <c r="AI188" i="13"/>
  <c r="AS190" i="13"/>
  <c r="AS194" i="13"/>
  <c r="AS198" i="13"/>
  <c r="AS202" i="13"/>
  <c r="AS206" i="13"/>
  <c r="AS210" i="13"/>
  <c r="AS214" i="13"/>
  <c r="AS218" i="13"/>
  <c r="AR259" i="13"/>
  <c r="AV263" i="13"/>
  <c r="AR265" i="13"/>
  <c r="AV288" i="13"/>
  <c r="BD288" i="13" s="1"/>
  <c r="AJ188" i="13"/>
  <c r="AI189" i="13"/>
  <c r="AR269" i="13"/>
  <c r="AJ189" i="13"/>
  <c r="AS260" i="13"/>
  <c r="BC267" i="13"/>
  <c r="AV265" i="13"/>
  <c r="BD265" i="13" s="1"/>
  <c r="Y266" i="13"/>
  <c r="AV269" i="13"/>
  <c r="BD269" i="13" s="1"/>
  <c r="Y270" i="13"/>
  <c r="Y274" i="13"/>
  <c r="AR275" i="13"/>
  <c r="AV277" i="13"/>
  <c r="BD277" i="13" s="1"/>
  <c r="Y278" i="13"/>
  <c r="AR279" i="13"/>
  <c r="AV281" i="13"/>
  <c r="BD281" i="13" s="1"/>
  <c r="Y282" i="13"/>
  <c r="AR283" i="13"/>
  <c r="AV285" i="13"/>
  <c r="BD285" i="13" s="1"/>
  <c r="Y286" i="13"/>
  <c r="AR287" i="13"/>
  <c r="Y290" i="13"/>
  <c r="AR291" i="13"/>
  <c r="AV293" i="13"/>
  <c r="BD293" i="13" s="1"/>
  <c r="Y294" i="13"/>
  <c r="AR295" i="13"/>
  <c r="AV297" i="13"/>
  <c r="BD297" i="13" s="1"/>
  <c r="Y298" i="13"/>
  <c r="AR299" i="13"/>
  <c r="AL302" i="13"/>
  <c r="Z304" i="13"/>
  <c r="AS305" i="13"/>
  <c r="Z307" i="13"/>
  <c r="AR307" i="13"/>
  <c r="AR335" i="13"/>
  <c r="AV340" i="13"/>
  <c r="AS275" i="13"/>
  <c r="AS279" i="13"/>
  <c r="AS283" i="13"/>
  <c r="AS287" i="13"/>
  <c r="AS291" i="13"/>
  <c r="AS295" i="13"/>
  <c r="AS299" i="13"/>
  <c r="AV302" i="13"/>
  <c r="BD302" i="13" s="1"/>
  <c r="AV329" i="13"/>
  <c r="BD329" i="13" s="1"/>
  <c r="AR340" i="13"/>
  <c r="AR266" i="13"/>
  <c r="AR270" i="13"/>
  <c r="Y273" i="13"/>
  <c r="AR274" i="13"/>
  <c r="Y277" i="13"/>
  <c r="AR278" i="13"/>
  <c r="Y281" i="13"/>
  <c r="AR282" i="13"/>
  <c r="Y285" i="13"/>
  <c r="Y289" i="13"/>
  <c r="Y293" i="13"/>
  <c r="AR294" i="13"/>
  <c r="Y297" i="13"/>
  <c r="AR298" i="13"/>
  <c r="Y301" i="13"/>
  <c r="AS304" i="13"/>
  <c r="Y311" i="13"/>
  <c r="AV336" i="13"/>
  <c r="AV338" i="13"/>
  <c r="BD338" i="13" s="1"/>
  <c r="Z273" i="13"/>
  <c r="AI275" i="13"/>
  <c r="Z277" i="13"/>
  <c r="AI279" i="13"/>
  <c r="Z281" i="13"/>
  <c r="AI283" i="13"/>
  <c r="Z285" i="13"/>
  <c r="AI287" i="13"/>
  <c r="Z289" i="13"/>
  <c r="AI291" i="13"/>
  <c r="Z293" i="13"/>
  <c r="AI295" i="13"/>
  <c r="Z297" i="13"/>
  <c r="AI299" i="13"/>
  <c r="Z301" i="13"/>
  <c r="AS308" i="13"/>
  <c r="AR336" i="13"/>
  <c r="BF347" i="13"/>
  <c r="BE347" i="13"/>
  <c r="Y264" i="13"/>
  <c r="Y268" i="13"/>
  <c r="Y272" i="13"/>
  <c r="Y276" i="13"/>
  <c r="Y280" i="13"/>
  <c r="Y284" i="13"/>
  <c r="Y288" i="13"/>
  <c r="AI304" i="13"/>
  <c r="AI311" i="13"/>
  <c r="Z311" i="13"/>
  <c r="BD321" i="13"/>
  <c r="AS273" i="13"/>
  <c r="AS277" i="13"/>
  <c r="AS281" i="13"/>
  <c r="AS285" i="13"/>
  <c r="AS289" i="13"/>
  <c r="AS293" i="13"/>
  <c r="AS297" i="13"/>
  <c r="AS301" i="13"/>
  <c r="AV334" i="13"/>
  <c r="BD334" i="13" s="1"/>
  <c r="AV339" i="13"/>
  <c r="BD339" i="13" s="1"/>
  <c r="Y275" i="13"/>
  <c r="Y279" i="13"/>
  <c r="Y283" i="13"/>
  <c r="Y287" i="13"/>
  <c r="Y291" i="13"/>
  <c r="Y295" i="13"/>
  <c r="Y299" i="13"/>
  <c r="AV312" i="13"/>
  <c r="BD312" i="13" s="1"/>
  <c r="AV333" i="13"/>
  <c r="BD333" i="13" s="1"/>
  <c r="AR339" i="13"/>
  <c r="BF354" i="13"/>
  <c r="BE354" i="13"/>
  <c r="Y307" i="13"/>
  <c r="AV335" i="13"/>
  <c r="BD335" i="13" s="1"/>
  <c r="BE351" i="13"/>
  <c r="AR317" i="13"/>
  <c r="Z322" i="13"/>
  <c r="AS323" i="13"/>
  <c r="BC324" i="13"/>
  <c r="Z326" i="13"/>
  <c r="AS327" i="13"/>
  <c r="BC328" i="13"/>
  <c r="Z330" i="13"/>
  <c r="AS331" i="13"/>
  <c r="BC332" i="13"/>
  <c r="Z334" i="13"/>
  <c r="AS335" i="13"/>
  <c r="BC336" i="13"/>
  <c r="Z338" i="13"/>
  <c r="AS339" i="13"/>
  <c r="BC340" i="13"/>
  <c r="Z342" i="13"/>
  <c r="AS343" i="13"/>
  <c r="BC344" i="13"/>
  <c r="Z346" i="13"/>
  <c r="AS347" i="13"/>
  <c r="BC348" i="13"/>
  <c r="Z350" i="13"/>
  <c r="AS351" i="13"/>
  <c r="Z353" i="13"/>
  <c r="AR353" i="13"/>
  <c r="Z355" i="13"/>
  <c r="AR357" i="13"/>
  <c r="AV358" i="13"/>
  <c r="BD358" i="13" s="1"/>
  <c r="AR383" i="13"/>
  <c r="AV393" i="13"/>
  <c r="BD393" i="13" s="1"/>
  <c r="AS309" i="13"/>
  <c r="Z312" i="13"/>
  <c r="AS313" i="13"/>
  <c r="Z316" i="13"/>
  <c r="AS317" i="13"/>
  <c r="Z320" i="13"/>
  <c r="Y325" i="13"/>
  <c r="Y329" i="13"/>
  <c r="Y333" i="13"/>
  <c r="AR334" i="13"/>
  <c r="Y337" i="13"/>
  <c r="AR338" i="13"/>
  <c r="Y341" i="13"/>
  <c r="Y345" i="13"/>
  <c r="AR346" i="13"/>
  <c r="Y349" i="13"/>
  <c r="AR350" i="13"/>
  <c r="AR352" i="13"/>
  <c r="AS353" i="13"/>
  <c r="AI354" i="13"/>
  <c r="AR355" i="13"/>
  <c r="BE382" i="13"/>
  <c r="AV386" i="13"/>
  <c r="BD386" i="13" s="1"/>
  <c r="AS322" i="13"/>
  <c r="AS326" i="13"/>
  <c r="AS330" i="13"/>
  <c r="AS334" i="13"/>
  <c r="AS338" i="13"/>
  <c r="AS342" i="13"/>
  <c r="AS346" i="13"/>
  <c r="AS350" i="13"/>
  <c r="AS355" i="13"/>
  <c r="Z315" i="13"/>
  <c r="Z319" i="13"/>
  <c r="AR321" i="13"/>
  <c r="Y324" i="13"/>
  <c r="Y328" i="13"/>
  <c r="AR329" i="13"/>
  <c r="Y332" i="13"/>
  <c r="AR333" i="13"/>
  <c r="Y336" i="13"/>
  <c r="Y340" i="13"/>
  <c r="Y344" i="13"/>
  <c r="AR349" i="13"/>
  <c r="AI353" i="13"/>
  <c r="AS356" i="13"/>
  <c r="AV362" i="13"/>
  <c r="BD362" i="13" s="1"/>
  <c r="AR391" i="13"/>
  <c r="AI322" i="13"/>
  <c r="AS325" i="13"/>
  <c r="AI326" i="13"/>
  <c r="AS329" i="13"/>
  <c r="AI330" i="13"/>
  <c r="AS333" i="13"/>
  <c r="AI334" i="13"/>
  <c r="AS337" i="13"/>
  <c r="AI338" i="13"/>
  <c r="AS341" i="13"/>
  <c r="AI342" i="13"/>
  <c r="AS345" i="13"/>
  <c r="AI346" i="13"/>
  <c r="AS349" i="13"/>
  <c r="AI350" i="13"/>
  <c r="Y354" i="13"/>
  <c r="AI355" i="13"/>
  <c r="AS315" i="13"/>
  <c r="AS319" i="13"/>
  <c r="Y323" i="13"/>
  <c r="Y327" i="13"/>
  <c r="Y331" i="13"/>
  <c r="Y335" i="13"/>
  <c r="AR379" i="13"/>
  <c r="AI356" i="13"/>
  <c r="AV357" i="13"/>
  <c r="BD357" i="13" s="1"/>
  <c r="AJ361" i="13"/>
  <c r="AK361" i="13" s="1"/>
  <c r="AH363" i="13"/>
  <c r="AU363" i="13" s="1"/>
  <c r="AR356" i="13"/>
  <c r="AR360" i="13"/>
  <c r="AR358" i="13"/>
  <c r="AV360" i="13"/>
  <c r="BD360" i="13" s="1"/>
  <c r="AS364" i="13"/>
  <c r="AI365" i="13"/>
  <c r="AS368" i="13"/>
  <c r="AI369" i="13"/>
  <c r="AS372" i="13"/>
  <c r="AI373" i="13"/>
  <c r="Y376" i="13"/>
  <c r="AV379" i="13"/>
  <c r="BD379" i="13" s="1"/>
  <c r="Y380" i="13"/>
  <c r="AV383" i="13"/>
  <c r="BD383" i="13" s="1"/>
  <c r="Z402" i="13"/>
  <c r="Y402" i="13"/>
  <c r="AI402" i="13"/>
  <c r="AR416" i="13"/>
  <c r="AV369" i="13"/>
  <c r="BD369" i="13" s="1"/>
  <c r="AS377" i="13"/>
  <c r="AS381" i="13"/>
  <c r="AS385" i="13"/>
  <c r="AS389" i="13"/>
  <c r="AV411" i="13"/>
  <c r="BD411" i="13" s="1"/>
  <c r="Y360" i="13"/>
  <c r="AS363" i="13"/>
  <c r="AI364" i="13"/>
  <c r="AS367" i="13"/>
  <c r="AS371" i="13"/>
  <c r="Y375" i="13"/>
  <c r="Y379" i="13"/>
  <c r="Y383" i="13"/>
  <c r="Y387" i="13"/>
  <c r="AS392" i="13"/>
  <c r="AV395" i="13"/>
  <c r="BD395" i="13" s="1"/>
  <c r="Z398" i="13"/>
  <c r="Y398" i="13"/>
  <c r="AI398" i="13"/>
  <c r="Z360" i="13"/>
  <c r="AR362" i="13"/>
  <c r="Y365" i="13"/>
  <c r="AR366" i="13"/>
  <c r="Y369" i="13"/>
  <c r="AR370" i="13"/>
  <c r="Y373" i="13"/>
  <c r="Z375" i="13"/>
  <c r="AI377" i="13"/>
  <c r="Z379" i="13"/>
  <c r="AI381" i="13"/>
  <c r="Z383" i="13"/>
  <c r="AI385" i="13"/>
  <c r="Z387" i="13"/>
  <c r="AI389" i="13"/>
  <c r="Y390" i="13"/>
  <c r="AR393" i="13"/>
  <c r="AU408" i="13"/>
  <c r="Y359" i="13"/>
  <c r="Z365" i="13"/>
  <c r="Z369" i="13"/>
  <c r="Y374" i="13"/>
  <c r="Y378" i="13"/>
  <c r="Y382" i="13"/>
  <c r="Y386" i="13"/>
  <c r="Z390" i="13"/>
  <c r="AS390" i="13"/>
  <c r="Y391" i="13"/>
  <c r="AI392" i="13"/>
  <c r="AV400" i="13"/>
  <c r="BD400" i="13" s="1"/>
  <c r="AR436" i="13"/>
  <c r="Z359" i="13"/>
  <c r="AS360" i="13"/>
  <c r="Z374" i="13"/>
  <c r="Z378" i="13"/>
  <c r="Z382" i="13"/>
  <c r="AS383" i="13"/>
  <c r="Z386" i="13"/>
  <c r="AS387" i="13"/>
  <c r="Z391" i="13"/>
  <c r="AV392" i="13"/>
  <c r="BD392" i="13" s="1"/>
  <c r="Y394" i="13"/>
  <c r="AS402" i="13"/>
  <c r="BE371" i="13"/>
  <c r="Y377" i="13"/>
  <c r="Y381" i="13"/>
  <c r="Y385" i="13"/>
  <c r="Y389" i="13"/>
  <c r="Z394" i="13"/>
  <c r="AS394" i="13"/>
  <c r="AV407" i="13"/>
  <c r="BD407" i="13" s="1"/>
  <c r="AV410" i="13"/>
  <c r="BD410" i="13" s="1"/>
  <c r="AV416" i="13"/>
  <c r="AV420" i="13"/>
  <c r="BD420" i="13" s="1"/>
  <c r="AJ404" i="13"/>
  <c r="AI405" i="13"/>
  <c r="Z407" i="13"/>
  <c r="AI409" i="13"/>
  <c r="Z411" i="13"/>
  <c r="AI413" i="13"/>
  <c r="Z415" i="13"/>
  <c r="AI417" i="13"/>
  <c r="Z419" i="13"/>
  <c r="AI421" i="13"/>
  <c r="Z423" i="13"/>
  <c r="AR425" i="13"/>
  <c r="AS426" i="13"/>
  <c r="AI427" i="13"/>
  <c r="AS428" i="13"/>
  <c r="AI434" i="13"/>
  <c r="AS434" i="13"/>
  <c r="Y434" i="13"/>
  <c r="AU435" i="13"/>
  <c r="AV436" i="13"/>
  <c r="BD436" i="13" s="1"/>
  <c r="AV466" i="13"/>
  <c r="BD466" i="13" s="1"/>
  <c r="AV427" i="13"/>
  <c r="BD427" i="13" s="1"/>
  <c r="AV435" i="13"/>
  <c r="BD435" i="13" s="1"/>
  <c r="Y396" i="13"/>
  <c r="BC404" i="13"/>
  <c r="Z406" i="13"/>
  <c r="AS407" i="13"/>
  <c r="BC408" i="13"/>
  <c r="Z410" i="13"/>
  <c r="BC412" i="13"/>
  <c r="Z414" i="13"/>
  <c r="BC416" i="13"/>
  <c r="Z418" i="13"/>
  <c r="Z422" i="13"/>
  <c r="Y425" i="13"/>
  <c r="AI426" i="13"/>
  <c r="Y429" i="13"/>
  <c r="AR459" i="13"/>
  <c r="Z396" i="13"/>
  <c r="Z400" i="13"/>
  <c r="Z404" i="13"/>
  <c r="Y405" i="13"/>
  <c r="Y409" i="13"/>
  <c r="AR410" i="13"/>
  <c r="Y413" i="13"/>
  <c r="Y417" i="13"/>
  <c r="Y421" i="13"/>
  <c r="Z425" i="13"/>
  <c r="AI428" i="13"/>
  <c r="AR430" i="13"/>
  <c r="AR432" i="13"/>
  <c r="AR437" i="13"/>
  <c r="AS406" i="13"/>
  <c r="AS410" i="13"/>
  <c r="AS414" i="13"/>
  <c r="AS418" i="13"/>
  <c r="AS422" i="13"/>
  <c r="AS430" i="13"/>
  <c r="BF444" i="13"/>
  <c r="AS396" i="13"/>
  <c r="Z399" i="13"/>
  <c r="AS400" i="13"/>
  <c r="Z403" i="13"/>
  <c r="Z431" i="13"/>
  <c r="AV453" i="13"/>
  <c r="BD453" i="13" s="1"/>
  <c r="AR463" i="13"/>
  <c r="Y426" i="13"/>
  <c r="Z432" i="13"/>
  <c r="Y432" i="13"/>
  <c r="Z434" i="13"/>
  <c r="Z428" i="13"/>
  <c r="AI430" i="13"/>
  <c r="Y430" i="13"/>
  <c r="AU441" i="13"/>
  <c r="AS436" i="13"/>
  <c r="Z439" i="13"/>
  <c r="AS440" i="13"/>
  <c r="Z443" i="13"/>
  <c r="AS444" i="13"/>
  <c r="Y448" i="13"/>
  <c r="Y452" i="13"/>
  <c r="Y456" i="13"/>
  <c r="Y458" i="13"/>
  <c r="AI459" i="13"/>
  <c r="AI463" i="13"/>
  <c r="Y469" i="13"/>
  <c r="AI469" i="13"/>
  <c r="BE494" i="13"/>
  <c r="BF494" i="13"/>
  <c r="Y438" i="13"/>
  <c r="AV441" i="13"/>
  <c r="BD441" i="13" s="1"/>
  <c r="Y442" i="13"/>
  <c r="AI446" i="13"/>
  <c r="Z448" i="13"/>
  <c r="AS449" i="13"/>
  <c r="AI450" i="13"/>
  <c r="Z452" i="13"/>
  <c r="AS453" i="13"/>
  <c r="AI454" i="13"/>
  <c r="Z456" i="13"/>
  <c r="AI457" i="13"/>
  <c r="Z458" i="13"/>
  <c r="AV459" i="13"/>
  <c r="BD459" i="13" s="1"/>
  <c r="Y460" i="13"/>
  <c r="AI461" i="13"/>
  <c r="Z462" i="13"/>
  <c r="AV463" i="13"/>
  <c r="BD463" i="13" s="1"/>
  <c r="Y464" i="13"/>
  <c r="AI465" i="13"/>
  <c r="Z466" i="13"/>
  <c r="AV469" i="13"/>
  <c r="BD469" i="13" s="1"/>
  <c r="AI470" i="13"/>
  <c r="AS435" i="13"/>
  <c r="AI436" i="13"/>
  <c r="AS439" i="13"/>
  <c r="AI440" i="13"/>
  <c r="AS443" i="13"/>
  <c r="AI444" i="13"/>
  <c r="AR456" i="13"/>
  <c r="AS458" i="13"/>
  <c r="AI468" i="13"/>
  <c r="Y473" i="13"/>
  <c r="AI473" i="13"/>
  <c r="Z473" i="13"/>
  <c r="AS448" i="13"/>
  <c r="AS452" i="13"/>
  <c r="AS456" i="13"/>
  <c r="AR464" i="13"/>
  <c r="AV477" i="13"/>
  <c r="BD477" i="13" s="1"/>
  <c r="BF486" i="13"/>
  <c r="BE486" i="13"/>
  <c r="AS438" i="13"/>
  <c r="AS442" i="13"/>
  <c r="Y446" i="13"/>
  <c r="Y450" i="13"/>
  <c r="Y454" i="13"/>
  <c r="Y459" i="13"/>
  <c r="AS460" i="13"/>
  <c r="Y463" i="13"/>
  <c r="AS464" i="13"/>
  <c r="Y467" i="13"/>
  <c r="Y436" i="13"/>
  <c r="Y440" i="13"/>
  <c r="Y444" i="13"/>
  <c r="Z446" i="13"/>
  <c r="Z450" i="13"/>
  <c r="Z454" i="13"/>
  <c r="Z457" i="13"/>
  <c r="Z459" i="13"/>
  <c r="Z461" i="13"/>
  <c r="Z463" i="13"/>
  <c r="Z465" i="13"/>
  <c r="Z467" i="13"/>
  <c r="Y470" i="13"/>
  <c r="AS457" i="13"/>
  <c r="AS461" i="13"/>
  <c r="AS465" i="13"/>
  <c r="AR466" i="13"/>
  <c r="Z468" i="13"/>
  <c r="Z469" i="13"/>
  <c r="AS469" i="13"/>
  <c r="AS470" i="13"/>
  <c r="AR471" i="13"/>
  <c r="AS468" i="13"/>
  <c r="AS473" i="13"/>
  <c r="AR479" i="13"/>
  <c r="BD485" i="13"/>
  <c r="AR487" i="13"/>
  <c r="AS474" i="13"/>
  <c r="Z477" i="13"/>
  <c r="AS478" i="13"/>
  <c r="Z481" i="13"/>
  <c r="AS482" i="13"/>
  <c r="BC483" i="13"/>
  <c r="Z485" i="13"/>
  <c r="AS486" i="13"/>
  <c r="Z489" i="13"/>
  <c r="AS490" i="13"/>
  <c r="AR492" i="13"/>
  <c r="AV494" i="13"/>
  <c r="BD494" i="13" s="1"/>
  <c r="AV497" i="13"/>
  <c r="BD497" i="13" s="1"/>
  <c r="AS499" i="13"/>
  <c r="Z500" i="13"/>
  <c r="Z501" i="13"/>
  <c r="BF511" i="13"/>
  <c r="BE511" i="13"/>
  <c r="AV471" i="13"/>
  <c r="BD471" i="13" s="1"/>
  <c r="Y472" i="13"/>
  <c r="AR473" i="13"/>
  <c r="AV475" i="13"/>
  <c r="BD475" i="13" s="1"/>
  <c r="Y476" i="13"/>
  <c r="AV479" i="13"/>
  <c r="BD479" i="13" s="1"/>
  <c r="AV487" i="13"/>
  <c r="BD487" i="13" s="1"/>
  <c r="BE497" i="13"/>
  <c r="AS500" i="13"/>
  <c r="Y506" i="13"/>
  <c r="AI506" i="13"/>
  <c r="Y510" i="13"/>
  <c r="AI510" i="13"/>
  <c r="Z510" i="13"/>
  <c r="AS477" i="13"/>
  <c r="AS481" i="13"/>
  <c r="AS485" i="13"/>
  <c r="AS489" i="13"/>
  <c r="AI498" i="13"/>
  <c r="AI499" i="13"/>
  <c r="Y502" i="13"/>
  <c r="AI502" i="13"/>
  <c r="Y471" i="13"/>
  <c r="AR472" i="13"/>
  <c r="AV474" i="13"/>
  <c r="BD474" i="13" s="1"/>
  <c r="Y475" i="13"/>
  <c r="AR476" i="13"/>
  <c r="AV478" i="13"/>
  <c r="BD478" i="13" s="1"/>
  <c r="Y479" i="13"/>
  <c r="Y483" i="13"/>
  <c r="AR484" i="13"/>
  <c r="AV486" i="13"/>
  <c r="BD486" i="13" s="1"/>
  <c r="AV490" i="13"/>
  <c r="BD490" i="13" s="1"/>
  <c r="Y494" i="13"/>
  <c r="BD498" i="13"/>
  <c r="Z504" i="13"/>
  <c r="Y504" i="13"/>
  <c r="BC506" i="13"/>
  <c r="AR506" i="13"/>
  <c r="Z471" i="13"/>
  <c r="AS472" i="13"/>
  <c r="Z475" i="13"/>
  <c r="AS476" i="13"/>
  <c r="AI477" i="13"/>
  <c r="Z479" i="13"/>
  <c r="AS480" i="13"/>
  <c r="AI481" i="13"/>
  <c r="Z483" i="13"/>
  <c r="AS484" i="13"/>
  <c r="AI485" i="13"/>
  <c r="Z487" i="13"/>
  <c r="AS488" i="13"/>
  <c r="AI489" i="13"/>
  <c r="AS491" i="13"/>
  <c r="BE496" i="13"/>
  <c r="AR498" i="13"/>
  <c r="AI500" i="13"/>
  <c r="AI501" i="13"/>
  <c r="BC502" i="13"/>
  <c r="BD502" i="13" s="1"/>
  <c r="AR502" i="13"/>
  <c r="Z503" i="13"/>
  <c r="AS503" i="13"/>
  <c r="BH527" i="13"/>
  <c r="BG527" i="13"/>
  <c r="Y474" i="13"/>
  <c r="Y478" i="13"/>
  <c r="Y482" i="13"/>
  <c r="AS494" i="13"/>
  <c r="AI504" i="13"/>
  <c r="Y498" i="13"/>
  <c r="AR504" i="13"/>
  <c r="AS506" i="13"/>
  <c r="AS510" i="13"/>
  <c r="AI494" i="13"/>
  <c r="AJ497" i="13"/>
  <c r="AK497" i="13" s="1"/>
  <c r="Z498" i="13"/>
  <c r="Z499" i="13"/>
  <c r="AS502" i="13"/>
  <c r="AI503" i="13"/>
  <c r="Z506" i="13"/>
  <c r="AS507" i="13"/>
  <c r="AI508" i="13"/>
  <c r="AS511" i="13"/>
  <c r="AI512" i="13"/>
  <c r="Z514" i="13"/>
  <c r="AS515" i="13"/>
  <c r="AI516" i="13"/>
  <c r="Z518" i="13"/>
  <c r="AS519" i="13"/>
  <c r="AI520" i="13"/>
  <c r="Z522" i="13"/>
  <c r="AS523" i="13"/>
  <c r="AI524" i="13"/>
  <c r="Z526" i="13"/>
  <c r="AS527" i="13"/>
  <c r="AS530" i="13"/>
  <c r="Z531" i="13"/>
  <c r="Z532" i="13"/>
  <c r="AS532" i="13"/>
  <c r="AI538" i="13"/>
  <c r="AI539" i="13"/>
  <c r="BD541" i="13"/>
  <c r="AK548" i="13"/>
  <c r="AV500" i="13"/>
  <c r="BD500" i="13" s="1"/>
  <c r="AV504" i="13"/>
  <c r="BD504" i="13" s="1"/>
  <c r="Y505" i="13"/>
  <c r="AV508" i="13"/>
  <c r="BD508" i="13" s="1"/>
  <c r="Y509" i="13"/>
  <c r="AR510" i="13"/>
  <c r="AV512" i="13"/>
  <c r="BD512" i="13" s="1"/>
  <c r="Y513" i="13"/>
  <c r="AR514" i="13"/>
  <c r="AV516" i="13"/>
  <c r="BD516" i="13" s="1"/>
  <c r="Y517" i="13"/>
  <c r="AR518" i="13"/>
  <c r="AV520" i="13"/>
  <c r="BD520" i="13" s="1"/>
  <c r="Y521" i="13"/>
  <c r="AR522" i="13"/>
  <c r="AV524" i="13"/>
  <c r="BD524" i="13" s="1"/>
  <c r="AR526" i="13"/>
  <c r="AS531" i="13"/>
  <c r="AI536" i="13"/>
  <c r="AI537" i="13"/>
  <c r="AL548" i="13"/>
  <c r="AS514" i="13"/>
  <c r="AS518" i="13"/>
  <c r="AS522" i="13"/>
  <c r="AS526" i="13"/>
  <c r="AR528" i="13"/>
  <c r="Z544" i="13"/>
  <c r="Y544" i="13"/>
  <c r="AI544" i="13"/>
  <c r="Z551" i="13"/>
  <c r="Y551" i="13"/>
  <c r="AI551" i="13"/>
  <c r="Z555" i="13"/>
  <c r="Y555" i="13"/>
  <c r="AI555" i="13"/>
  <c r="Z559" i="13"/>
  <c r="Y559" i="13"/>
  <c r="AI559" i="13"/>
  <c r="Z495" i="13"/>
  <c r="AR501" i="13"/>
  <c r="AR505" i="13"/>
  <c r="Y508" i="13"/>
  <c r="AR509" i="13"/>
  <c r="Y512" i="13"/>
  <c r="AR513" i="13"/>
  <c r="Y516" i="13"/>
  <c r="AR517" i="13"/>
  <c r="Y520" i="13"/>
  <c r="AR521" i="13"/>
  <c r="Y524" i="13"/>
  <c r="AR525" i="13"/>
  <c r="AS528" i="13"/>
  <c r="AV529" i="13"/>
  <c r="BD529" i="13" s="1"/>
  <c r="BD530" i="13"/>
  <c r="AI532" i="13"/>
  <c r="AI533" i="13"/>
  <c r="AR537" i="13"/>
  <c r="AU546" i="13"/>
  <c r="AV547" i="13"/>
  <c r="BD547" i="13" s="1"/>
  <c r="Z508" i="13"/>
  <c r="Z512" i="13"/>
  <c r="AI514" i="13"/>
  <c r="Z516" i="13"/>
  <c r="AI518" i="13"/>
  <c r="Z520" i="13"/>
  <c r="AI522" i="13"/>
  <c r="Z524" i="13"/>
  <c r="AI526" i="13"/>
  <c r="AR529" i="13"/>
  <c r="AI531" i="13"/>
  <c r="AR532" i="13"/>
  <c r="AR534" i="13"/>
  <c r="Z539" i="13"/>
  <c r="Z540" i="13"/>
  <c r="AS540" i="13"/>
  <c r="BE546" i="13"/>
  <c r="AI528" i="13"/>
  <c r="AR533" i="13"/>
  <c r="Z537" i="13"/>
  <c r="Z538" i="13"/>
  <c r="AS538" i="13"/>
  <c r="AS539" i="13"/>
  <c r="AS537" i="13"/>
  <c r="BC542" i="13"/>
  <c r="AR542" i="13"/>
  <c r="BC549" i="13"/>
  <c r="AR549" i="13"/>
  <c r="BC553" i="13"/>
  <c r="AR553" i="13"/>
  <c r="BC557" i="13"/>
  <c r="AR557" i="13"/>
  <c r="BC561" i="13"/>
  <c r="AR561" i="13"/>
  <c r="AR531" i="13"/>
  <c r="AR535" i="13"/>
  <c r="AR539" i="13"/>
  <c r="Y542" i="13"/>
  <c r="AR543" i="13"/>
  <c r="AJ545" i="13"/>
  <c r="AI546" i="13"/>
  <c r="Z548" i="13"/>
  <c r="AV548" i="13"/>
  <c r="BD548" i="13" s="1"/>
  <c r="Y549" i="13"/>
  <c r="AV552" i="13"/>
  <c r="BD552" i="13" s="1"/>
  <c r="Y553" i="13"/>
  <c r="AV556" i="13"/>
  <c r="BD556" i="13" s="1"/>
  <c r="Y557" i="13"/>
  <c r="AV560" i="13"/>
  <c r="BD560" i="13" s="1"/>
  <c r="Y561" i="13"/>
  <c r="AS543" i="13"/>
  <c r="AV546" i="13"/>
  <c r="BD546" i="13" s="1"/>
  <c r="AS550" i="13"/>
  <c r="AS554" i="13"/>
  <c r="AS558" i="13"/>
  <c r="AV532" i="13"/>
  <c r="BD532" i="13" s="1"/>
  <c r="AV536" i="13"/>
  <c r="BD536" i="13" s="1"/>
  <c r="AV540" i="13"/>
  <c r="BD540" i="13" s="1"/>
  <c r="Y541" i="13"/>
  <c r="AV544" i="13"/>
  <c r="BD544" i="13" s="1"/>
  <c r="Y545" i="13"/>
  <c r="AV551" i="13"/>
  <c r="BD551" i="13" s="1"/>
  <c r="Y552" i="13"/>
  <c r="AV555" i="13"/>
  <c r="BD555" i="13" s="1"/>
  <c r="Y556" i="13"/>
  <c r="AV559" i="13"/>
  <c r="BD559" i="13" s="1"/>
  <c r="AS542" i="13"/>
  <c r="AI543" i="13"/>
  <c r="AH548" i="13"/>
  <c r="AU548" i="13" s="1"/>
  <c r="AS549" i="13"/>
  <c r="AI550" i="13"/>
  <c r="AS553" i="13"/>
  <c r="AI554" i="13"/>
  <c r="AS557" i="13"/>
  <c r="AI558" i="13"/>
  <c r="AS561" i="13"/>
  <c r="Z546" i="13"/>
  <c r="AS547" i="13"/>
  <c r="AR195" i="13" l="1"/>
  <c r="BH276" i="13"/>
  <c r="BH372" i="13"/>
  <c r="BH220" i="13"/>
  <c r="BG225" i="13"/>
  <c r="BH225" i="13"/>
  <c r="BE128" i="13"/>
  <c r="BG372" i="13"/>
  <c r="BH144" i="13"/>
  <c r="BD553" i="13"/>
  <c r="BH553" i="13" s="1"/>
  <c r="BH145" i="13"/>
  <c r="BE84" i="13"/>
  <c r="BH150" i="13"/>
  <c r="BH523" i="13"/>
  <c r="BE507" i="13"/>
  <c r="AV396" i="13"/>
  <c r="BD396" i="13" s="1"/>
  <c r="BD542" i="13"/>
  <c r="BE173" i="13"/>
  <c r="BG366" i="13"/>
  <c r="AV244" i="13"/>
  <c r="BD244" i="13" s="1"/>
  <c r="BH244" i="13" s="1"/>
  <c r="AV155" i="13"/>
  <c r="BD155" i="13" s="1"/>
  <c r="AV214" i="13"/>
  <c r="BD214" i="13" s="1"/>
  <c r="BD236" i="13"/>
  <c r="BH236" i="13" s="1"/>
  <c r="AR204" i="13"/>
  <c r="BF204" i="13" s="1"/>
  <c r="BH280" i="13"/>
  <c r="AK302" i="13"/>
  <c r="BH513" i="13"/>
  <c r="BG294" i="13"/>
  <c r="AV289" i="13"/>
  <c r="BD289" i="13" s="1"/>
  <c r="BH60" i="13"/>
  <c r="BG148" i="13"/>
  <c r="BE188" i="13"/>
  <c r="AS188" i="13"/>
  <c r="BE503" i="13"/>
  <c r="AV401" i="13"/>
  <c r="BD401" i="13" s="1"/>
  <c r="AV426" i="13"/>
  <c r="BD426" i="13" s="1"/>
  <c r="BH426" i="13" s="1"/>
  <c r="BE519" i="13"/>
  <c r="AV448" i="13"/>
  <c r="BD448" i="13" s="1"/>
  <c r="AR409" i="13"/>
  <c r="BF228" i="13"/>
  <c r="BE441" i="13"/>
  <c r="BD162" i="13"/>
  <c r="BH162" i="13" s="1"/>
  <c r="BE475" i="13"/>
  <c r="AV461" i="13"/>
  <c r="BD461" i="13" s="1"/>
  <c r="BH461" i="13" s="1"/>
  <c r="BD273" i="13"/>
  <c r="BF226" i="13"/>
  <c r="AR449" i="13"/>
  <c r="AV125" i="13"/>
  <c r="BD125" i="13" s="1"/>
  <c r="BH125" i="13" s="1"/>
  <c r="AV190" i="13"/>
  <c r="BD190" i="13" s="1"/>
  <c r="BH496" i="13"/>
  <c r="AR318" i="13"/>
  <c r="AV247" i="13"/>
  <c r="BD247" i="13" s="1"/>
  <c r="AR313" i="13"/>
  <c r="AV134" i="13"/>
  <c r="BD134" i="13" s="1"/>
  <c r="BH134" i="13" s="1"/>
  <c r="BF548" i="13"/>
  <c r="BG382" i="13"/>
  <c r="BH515" i="13"/>
  <c r="BE145" i="13"/>
  <c r="BG496" i="13"/>
  <c r="BH67" i="13"/>
  <c r="BH492" i="13"/>
  <c r="BE491" i="13"/>
  <c r="BG415" i="13"/>
  <c r="BE148" i="13"/>
  <c r="BE240" i="13"/>
  <c r="BH232" i="13"/>
  <c r="BH274" i="13"/>
  <c r="AR421" i="13"/>
  <c r="BF421" i="13" s="1"/>
  <c r="BG60" i="13"/>
  <c r="BH128" i="13"/>
  <c r="BG364" i="13"/>
  <c r="BG282" i="13"/>
  <c r="BG196" i="13"/>
  <c r="BE359" i="13"/>
  <c r="BE140" i="13"/>
  <c r="AK30" i="13"/>
  <c r="BG48" i="13"/>
  <c r="AK545" i="13"/>
  <c r="BH307" i="13"/>
  <c r="AV378" i="13"/>
  <c r="BD378" i="13" s="1"/>
  <c r="BH378" i="13" s="1"/>
  <c r="AV367" i="13"/>
  <c r="BD367" i="13" s="1"/>
  <c r="BE46" i="13"/>
  <c r="BG495" i="13"/>
  <c r="AR153" i="13"/>
  <c r="BE153" i="13" s="1"/>
  <c r="BD224" i="13"/>
  <c r="BG224" i="13" s="1"/>
  <c r="BH370" i="13"/>
  <c r="BH174" i="13"/>
  <c r="BG174" i="13"/>
  <c r="BG517" i="13"/>
  <c r="BH517" i="13"/>
  <c r="AR106" i="13"/>
  <c r="AV452" i="13"/>
  <c r="BD452" i="13" s="1"/>
  <c r="BH452" i="13" s="1"/>
  <c r="AR404" i="13"/>
  <c r="BE404" i="13" s="1"/>
  <c r="AV323" i="13"/>
  <c r="BD323" i="13" s="1"/>
  <c r="BH323" i="13" s="1"/>
  <c r="AR322" i="13"/>
  <c r="AV271" i="13"/>
  <c r="BD271" i="13" s="1"/>
  <c r="BG271" i="13" s="1"/>
  <c r="AV257" i="13"/>
  <c r="BD257" i="13" s="1"/>
  <c r="BH148" i="13"/>
  <c r="AV413" i="13"/>
  <c r="BD413" i="13" s="1"/>
  <c r="AR384" i="13"/>
  <c r="BE384" i="13" s="1"/>
  <c r="AR324" i="13"/>
  <c r="BE324" i="13" s="1"/>
  <c r="AR251" i="13"/>
  <c r="BF251" i="13" s="1"/>
  <c r="AV129" i="13"/>
  <c r="BD129" i="13" s="1"/>
  <c r="BH521" i="13"/>
  <c r="BH356" i="13"/>
  <c r="BH64" i="13"/>
  <c r="BE520" i="13"/>
  <c r="AV418" i="13"/>
  <c r="BD418" i="13" s="1"/>
  <c r="BH418" i="13" s="1"/>
  <c r="BE194" i="13"/>
  <c r="AV454" i="13"/>
  <c r="BD454" i="13" s="1"/>
  <c r="BG454" i="13" s="1"/>
  <c r="AR465" i="13"/>
  <c r="BH495" i="13"/>
  <c r="BG370" i="13"/>
  <c r="AR211" i="13"/>
  <c r="BE211" i="13" s="1"/>
  <c r="AV217" i="13"/>
  <c r="BD217" i="13" s="1"/>
  <c r="BH217" i="13" s="1"/>
  <c r="AV198" i="13"/>
  <c r="BD198" i="13" s="1"/>
  <c r="BH198" i="13" s="1"/>
  <c r="BF227" i="13"/>
  <c r="BF170" i="13"/>
  <c r="BE550" i="13"/>
  <c r="AR381" i="13"/>
  <c r="BF381" i="13" s="1"/>
  <c r="AV306" i="13"/>
  <c r="BD306" i="13" s="1"/>
  <c r="BH196" i="13"/>
  <c r="BG492" i="13"/>
  <c r="BE363" i="13"/>
  <c r="BH282" i="13"/>
  <c r="BG163" i="13"/>
  <c r="BD76" i="13"/>
  <c r="BH545" i="13"/>
  <c r="BE67" i="13"/>
  <c r="BE304" i="13"/>
  <c r="BG276" i="13"/>
  <c r="BE527" i="13"/>
  <c r="BG146" i="13"/>
  <c r="BE541" i="13"/>
  <c r="BE179" i="13"/>
  <c r="BH366" i="13"/>
  <c r="BG232" i="13"/>
  <c r="BE415" i="13"/>
  <c r="BG220" i="13"/>
  <c r="BF52" i="13"/>
  <c r="BF556" i="13"/>
  <c r="BF239" i="13"/>
  <c r="BG456" i="13"/>
  <c r="BH346" i="13"/>
  <c r="BE455" i="13"/>
  <c r="BE554" i="13"/>
  <c r="BG523" i="13"/>
  <c r="BF499" i="13"/>
  <c r="BH364" i="13"/>
  <c r="BH294" i="13"/>
  <c r="BE238" i="13"/>
  <c r="BE186" i="13"/>
  <c r="BE169" i="13"/>
  <c r="BF60" i="13"/>
  <c r="BG499" i="13"/>
  <c r="BE303" i="13"/>
  <c r="BE260" i="13"/>
  <c r="BG187" i="13"/>
  <c r="BE530" i="13"/>
  <c r="BE202" i="13"/>
  <c r="BE236" i="13"/>
  <c r="BE232" i="13"/>
  <c r="BG167" i="13"/>
  <c r="BE547" i="13"/>
  <c r="BE485" i="13"/>
  <c r="BE516" i="13"/>
  <c r="BE560" i="13"/>
  <c r="BE512" i="13"/>
  <c r="BG513" i="13"/>
  <c r="BE478" i="13"/>
  <c r="BE361" i="13"/>
  <c r="BE149" i="13"/>
  <c r="BE20" i="13"/>
  <c r="BE231" i="13"/>
  <c r="BG183" i="13"/>
  <c r="BH519" i="13"/>
  <c r="BE296" i="13"/>
  <c r="BE508" i="13"/>
  <c r="AS20" i="13"/>
  <c r="BH481" i="13"/>
  <c r="BG481" i="13"/>
  <c r="AV376" i="13"/>
  <c r="BD376" i="13" s="1"/>
  <c r="BH376" i="13" s="1"/>
  <c r="BF348" i="13"/>
  <c r="BH187" i="13"/>
  <c r="BF165" i="13"/>
  <c r="BH499" i="13"/>
  <c r="AR429" i="13"/>
  <c r="BF429" i="13" s="1"/>
  <c r="AV419" i="13"/>
  <c r="BD419" i="13" s="1"/>
  <c r="BH419" i="13" s="1"/>
  <c r="BF285" i="13"/>
  <c r="AR249" i="13"/>
  <c r="BF249" i="13" s="1"/>
  <c r="BE222" i="13"/>
  <c r="BF224" i="13"/>
  <c r="BF70" i="13"/>
  <c r="BD483" i="13"/>
  <c r="BH483" i="13" s="1"/>
  <c r="AR457" i="13"/>
  <c r="BF457" i="13" s="1"/>
  <c r="BG159" i="13"/>
  <c r="AV337" i="13"/>
  <c r="BD337" i="13" s="1"/>
  <c r="BH337" i="13" s="1"/>
  <c r="AV245" i="13"/>
  <c r="BD245" i="13" s="1"/>
  <c r="BH245" i="13" s="1"/>
  <c r="AV124" i="13"/>
  <c r="BD124" i="13" s="1"/>
  <c r="BH455" i="13"/>
  <c r="BH442" i="13"/>
  <c r="BG137" i="13"/>
  <c r="BD561" i="13"/>
  <c r="BH561" i="13" s="1"/>
  <c r="BH368" i="13"/>
  <c r="BF551" i="13"/>
  <c r="BE166" i="13"/>
  <c r="BH347" i="13"/>
  <c r="BG176" i="13"/>
  <c r="BG28" i="13"/>
  <c r="BH296" i="13"/>
  <c r="BG296" i="13"/>
  <c r="BG171" i="13"/>
  <c r="BH171" i="13"/>
  <c r="AV451" i="13"/>
  <c r="BD451" i="13" s="1"/>
  <c r="BH451" i="13" s="1"/>
  <c r="AV428" i="13"/>
  <c r="BD428" i="13" s="1"/>
  <c r="AV325" i="13"/>
  <c r="BD325" i="13" s="1"/>
  <c r="BH325" i="13" s="1"/>
  <c r="AV331" i="13"/>
  <c r="BD331" i="13" s="1"/>
  <c r="BH331" i="13" s="1"/>
  <c r="AR219" i="13"/>
  <c r="BE219" i="13" s="1"/>
  <c r="AV210" i="13"/>
  <c r="BD210" i="13" s="1"/>
  <c r="BG210" i="13" s="1"/>
  <c r="BH298" i="13"/>
  <c r="AR332" i="13"/>
  <c r="BF332" i="13" s="1"/>
  <c r="AR290" i="13"/>
  <c r="BE290" i="13" s="1"/>
  <c r="AR246" i="13"/>
  <c r="BG144" i="13"/>
  <c r="BE28" i="13"/>
  <c r="BE234" i="13"/>
  <c r="BE230" i="13"/>
  <c r="BF58" i="13"/>
  <c r="BH292" i="13"/>
  <c r="BE365" i="13"/>
  <c r="AV330" i="13"/>
  <c r="BD330" i="13" s="1"/>
  <c r="BH526" i="13"/>
  <c r="AR462" i="13"/>
  <c r="BF462" i="13" s="1"/>
  <c r="AV375" i="13"/>
  <c r="BD375" i="13" s="1"/>
  <c r="BH375" i="13" s="1"/>
  <c r="BE293" i="13"/>
  <c r="AV284" i="13"/>
  <c r="BD284" i="13" s="1"/>
  <c r="BH284" i="13" s="1"/>
  <c r="BE268" i="13"/>
  <c r="BE297" i="13"/>
  <c r="AV189" i="13"/>
  <c r="BD189" i="13" s="1"/>
  <c r="BF175" i="13"/>
  <c r="AR114" i="13"/>
  <c r="BF114" i="13" s="1"/>
  <c r="AV104" i="13"/>
  <c r="BD104" i="13" s="1"/>
  <c r="BG104" i="13" s="1"/>
  <c r="BD84" i="13"/>
  <c r="BH84" i="13" s="1"/>
  <c r="BG270" i="13"/>
  <c r="BH177" i="13"/>
  <c r="BD268" i="13"/>
  <c r="BH268" i="13" s="1"/>
  <c r="BE277" i="13"/>
  <c r="BE161" i="13"/>
  <c r="BG353" i="13"/>
  <c r="AV402" i="13"/>
  <c r="BD402" i="13" s="1"/>
  <c r="BG402" i="13" s="1"/>
  <c r="AV412" i="13"/>
  <c r="BD412" i="13" s="1"/>
  <c r="BG346" i="13"/>
  <c r="AV212" i="13"/>
  <c r="BD212" i="13" s="1"/>
  <c r="BG212" i="13" s="1"/>
  <c r="AR156" i="13"/>
  <c r="BF156" i="13" s="1"/>
  <c r="AR59" i="13"/>
  <c r="BG229" i="13"/>
  <c r="AR480" i="13"/>
  <c r="BF480" i="13" s="1"/>
  <c r="BG509" i="13"/>
  <c r="AV489" i="13"/>
  <c r="BD489" i="13" s="1"/>
  <c r="BH489" i="13" s="1"/>
  <c r="AV443" i="13"/>
  <c r="BD443" i="13" s="1"/>
  <c r="BH443" i="13" s="1"/>
  <c r="AV389" i="13"/>
  <c r="BD389" i="13" s="1"/>
  <c r="BH389" i="13" s="1"/>
  <c r="AR101" i="13"/>
  <c r="BE101" i="13" s="1"/>
  <c r="AV115" i="13"/>
  <c r="BD115" i="13" s="1"/>
  <c r="BG115" i="13" s="1"/>
  <c r="BE50" i="13"/>
  <c r="BG514" i="13"/>
  <c r="BH514" i="13"/>
  <c r="BH303" i="13"/>
  <c r="BG303" i="13"/>
  <c r="BH24" i="13"/>
  <c r="BG24" i="13"/>
  <c r="BE536" i="13"/>
  <c r="BE481" i="13"/>
  <c r="BG488" i="13"/>
  <c r="AK404" i="13"/>
  <c r="BG177" i="13"/>
  <c r="AR102" i="13"/>
  <c r="BF102" i="13" s="1"/>
  <c r="BF62" i="13"/>
  <c r="BD549" i="13"/>
  <c r="BH549" i="13" s="1"/>
  <c r="BE483" i="13"/>
  <c r="AR398" i="13"/>
  <c r="BF398" i="13" s="1"/>
  <c r="BE281" i="13"/>
  <c r="AR215" i="13"/>
  <c r="BF215" i="13" s="1"/>
  <c r="BG236" i="13"/>
  <c r="AV208" i="13"/>
  <c r="BD208" i="13" s="1"/>
  <c r="BG208" i="13" s="1"/>
  <c r="BE171" i="13"/>
  <c r="AR89" i="13"/>
  <c r="BF89" i="13" s="1"/>
  <c r="BG355" i="13"/>
  <c r="BE545" i="13"/>
  <c r="BG307" i="13"/>
  <c r="BE209" i="13"/>
  <c r="BE66" i="13"/>
  <c r="BH382" i="13"/>
  <c r="BH52" i="13"/>
  <c r="BD557" i="13"/>
  <c r="BH557" i="13" s="1"/>
  <c r="BH319" i="13"/>
  <c r="BH350" i="13"/>
  <c r="BH361" i="13"/>
  <c r="BH511" i="13"/>
  <c r="BH456" i="13"/>
  <c r="BH525" i="13"/>
  <c r="AS545" i="13"/>
  <c r="BE368" i="13"/>
  <c r="BE276" i="13"/>
  <c r="BH224" i="13"/>
  <c r="BH194" i="13"/>
  <c r="BH28" i="13"/>
  <c r="BH349" i="13"/>
  <c r="BH142" i="13"/>
  <c r="BG299" i="13"/>
  <c r="BH501" i="13"/>
  <c r="BE442" i="13"/>
  <c r="BG347" i="13"/>
  <c r="BE187" i="13"/>
  <c r="BE152" i="13"/>
  <c r="BF48" i="13"/>
  <c r="BH228" i="13"/>
  <c r="BE524" i="13"/>
  <c r="BE181" i="13"/>
  <c r="BE159" i="13"/>
  <c r="BD239" i="13"/>
  <c r="BH239" i="13" s="1"/>
  <c r="BH278" i="13"/>
  <c r="BH172" i="13"/>
  <c r="BG275" i="13"/>
  <c r="BH275" i="13"/>
  <c r="BG295" i="13"/>
  <c r="BH295" i="13"/>
  <c r="BH184" i="13"/>
  <c r="BG184" i="13"/>
  <c r="BH365" i="13"/>
  <c r="BG365" i="13"/>
  <c r="BG164" i="13"/>
  <c r="BH164" i="13"/>
  <c r="BH141" i="13"/>
  <c r="BG141" i="13"/>
  <c r="AV373" i="13"/>
  <c r="BD373" i="13" s="1"/>
  <c r="BH373" i="13" s="1"/>
  <c r="AR192" i="13"/>
  <c r="BF192" i="13" s="1"/>
  <c r="BF180" i="13"/>
  <c r="BE552" i="13"/>
  <c r="BG511" i="13"/>
  <c r="AV460" i="13"/>
  <c r="BD460" i="13" s="1"/>
  <c r="BH460" i="13" s="1"/>
  <c r="BE488" i="13"/>
  <c r="AV450" i="13"/>
  <c r="BD450" i="13" s="1"/>
  <c r="BG450" i="13" s="1"/>
  <c r="AV445" i="13"/>
  <c r="BD445" i="13" s="1"/>
  <c r="BG445" i="13" s="1"/>
  <c r="AV403" i="13"/>
  <c r="BD403" i="13" s="1"/>
  <c r="BH403" i="13" s="1"/>
  <c r="BG442" i="13"/>
  <c r="AR405" i="13"/>
  <c r="BF405" i="13" s="1"/>
  <c r="AV380" i="13"/>
  <c r="BD380" i="13" s="1"/>
  <c r="BH380" i="13" s="1"/>
  <c r="BG350" i="13"/>
  <c r="AV267" i="13"/>
  <c r="BD267" i="13" s="1"/>
  <c r="BH267" i="13" s="1"/>
  <c r="BG292" i="13"/>
  <c r="BE302" i="13"/>
  <c r="BH270" i="13"/>
  <c r="BD260" i="13"/>
  <c r="BH260" i="13" s="1"/>
  <c r="AR243" i="13"/>
  <c r="BF243" i="13" s="1"/>
  <c r="BG194" i="13"/>
  <c r="AV207" i="13"/>
  <c r="BD207" i="13" s="1"/>
  <c r="BH207" i="13" s="1"/>
  <c r="BE225" i="13"/>
  <c r="BE162" i="13"/>
  <c r="AV135" i="13"/>
  <c r="BD135" i="13" s="1"/>
  <c r="BG135" i="13" s="1"/>
  <c r="BE51" i="13"/>
  <c r="AR438" i="13"/>
  <c r="BF438" i="13" s="1"/>
  <c r="BE558" i="13"/>
  <c r="BG515" i="13"/>
  <c r="BE515" i="13"/>
  <c r="AV433" i="13"/>
  <c r="BD433" i="13" s="1"/>
  <c r="BG433" i="13" s="1"/>
  <c r="AV414" i="13"/>
  <c r="BD414" i="13" s="1"/>
  <c r="BH414" i="13" s="1"/>
  <c r="BE364" i="13"/>
  <c r="AR345" i="13"/>
  <c r="BF345" i="13" s="1"/>
  <c r="BE369" i="13"/>
  <c r="BG361" i="13"/>
  <c r="AV314" i="13"/>
  <c r="BD314" i="13" s="1"/>
  <c r="BG314" i="13" s="1"/>
  <c r="BD188" i="13"/>
  <c r="BG188" i="13" s="1"/>
  <c r="BH185" i="13"/>
  <c r="AV130" i="13"/>
  <c r="BD130" i="13" s="1"/>
  <c r="BH130" i="13" s="1"/>
  <c r="AR154" i="13"/>
  <c r="BE154" i="13" s="1"/>
  <c r="AR26" i="13"/>
  <c r="AS22" i="13" s="1"/>
  <c r="BG128" i="13"/>
  <c r="BG554" i="13"/>
  <c r="BE174" i="13"/>
  <c r="BF495" i="13"/>
  <c r="BG351" i="13"/>
  <c r="BH353" i="13"/>
  <c r="AV315" i="13"/>
  <c r="BD315" i="13" s="1"/>
  <c r="BH315" i="13" s="1"/>
  <c r="BE292" i="13"/>
  <c r="BG349" i="13"/>
  <c r="BG298" i="13"/>
  <c r="AV253" i="13"/>
  <c r="BD253" i="13" s="1"/>
  <c r="BH253" i="13" s="1"/>
  <c r="BE163" i="13"/>
  <c r="BE43" i="13"/>
  <c r="BG501" i="13"/>
  <c r="BH137" i="13"/>
  <c r="BH21" i="13"/>
  <c r="BH44" i="13"/>
  <c r="BG147" i="13"/>
  <c r="BG64" i="13"/>
  <c r="AR310" i="13"/>
  <c r="BE310" i="13" s="1"/>
  <c r="BG525" i="13"/>
  <c r="AV446" i="13"/>
  <c r="BD446" i="13" s="1"/>
  <c r="BH446" i="13" s="1"/>
  <c r="AV390" i="13"/>
  <c r="BD390" i="13" s="1"/>
  <c r="BH390" i="13" s="1"/>
  <c r="BF559" i="13"/>
  <c r="AV431" i="13"/>
  <c r="BD431" i="13" s="1"/>
  <c r="BH431" i="13" s="1"/>
  <c r="BG455" i="13"/>
  <c r="BE372" i="13"/>
  <c r="AV423" i="13"/>
  <c r="BD423" i="13" s="1"/>
  <c r="BH423" i="13" s="1"/>
  <c r="BG368" i="13"/>
  <c r="AV377" i="13"/>
  <c r="BD377" i="13" s="1"/>
  <c r="BG377" i="13" s="1"/>
  <c r="AR341" i="13"/>
  <c r="BD348" i="13"/>
  <c r="BH348" i="13" s="1"/>
  <c r="BF316" i="13"/>
  <c r="AR203" i="13"/>
  <c r="BE203" i="13" s="1"/>
  <c r="AR200" i="13"/>
  <c r="BF200" i="13" s="1"/>
  <c r="AV213" i="13"/>
  <c r="BD213" i="13" s="1"/>
  <c r="BG213" i="13" s="1"/>
  <c r="AV98" i="13"/>
  <c r="BD98" i="13" s="1"/>
  <c r="BH98" i="13" s="1"/>
  <c r="AR121" i="13"/>
  <c r="BF121" i="13" s="1"/>
  <c r="BG142" i="13"/>
  <c r="AV107" i="13"/>
  <c r="BD107" i="13" s="1"/>
  <c r="BH107" i="13" s="1"/>
  <c r="BH22" i="13"/>
  <c r="BG521" i="13"/>
  <c r="BD506" i="13"/>
  <c r="BG506" i="13" s="1"/>
  <c r="BG519" i="13"/>
  <c r="AR394" i="13"/>
  <c r="BF394" i="13" s="1"/>
  <c r="BH299" i="13"/>
  <c r="AV205" i="13"/>
  <c r="BD205" i="13" s="1"/>
  <c r="BG205" i="13" s="1"/>
  <c r="BE183" i="13"/>
  <c r="BE137" i="13"/>
  <c r="BG52" i="13"/>
  <c r="AR309" i="13"/>
  <c r="BE309" i="13" s="1"/>
  <c r="BE555" i="13"/>
  <c r="BE538" i="13"/>
  <c r="AV399" i="13"/>
  <c r="BD399" i="13" s="1"/>
  <c r="BH399" i="13" s="1"/>
  <c r="AV301" i="13"/>
  <c r="BD301" i="13" s="1"/>
  <c r="BH301" i="13" s="1"/>
  <c r="AV256" i="13"/>
  <c r="BD256" i="13" s="1"/>
  <c r="BH256" i="13" s="1"/>
  <c r="AV111" i="13"/>
  <c r="BD111" i="13" s="1"/>
  <c r="BH111" i="13" s="1"/>
  <c r="AV116" i="13"/>
  <c r="BD116" i="13" s="1"/>
  <c r="BH116" i="13" s="1"/>
  <c r="BG283" i="13"/>
  <c r="BG320" i="13"/>
  <c r="BG228" i="13"/>
  <c r="BG151" i="13"/>
  <c r="BH151" i="13"/>
  <c r="BH233" i="13"/>
  <c r="BG233" i="13"/>
  <c r="BH149" i="13"/>
  <c r="BG149" i="13"/>
  <c r="AV261" i="13"/>
  <c r="BD261" i="13" s="1"/>
  <c r="BH261" i="13" s="1"/>
  <c r="BD186" i="13"/>
  <c r="BH186" i="13" s="1"/>
  <c r="AR235" i="13"/>
  <c r="BF235" i="13" s="1"/>
  <c r="BE47" i="13"/>
  <c r="AR406" i="13"/>
  <c r="BE406" i="13" s="1"/>
  <c r="AR387" i="13"/>
  <c r="BF387" i="13" s="1"/>
  <c r="BF544" i="13"/>
  <c r="AV439" i="13"/>
  <c r="BD439" i="13" s="1"/>
  <c r="BH439" i="13" s="1"/>
  <c r="AV424" i="13"/>
  <c r="BD424" i="13" s="1"/>
  <c r="BH424" i="13" s="1"/>
  <c r="AR342" i="13"/>
  <c r="BF342" i="13" s="1"/>
  <c r="AR343" i="13"/>
  <c r="BF343" i="13" s="1"/>
  <c r="AR117" i="13"/>
  <c r="BF117" i="13" s="1"/>
  <c r="BH147" i="13"/>
  <c r="AV133" i="13"/>
  <c r="BD133" i="13" s="1"/>
  <c r="BH133" i="13" s="1"/>
  <c r="BG21" i="13"/>
  <c r="BG67" i="13"/>
  <c r="AR482" i="13"/>
  <c r="BF482" i="13" s="1"/>
  <c r="BE523" i="13"/>
  <c r="AR467" i="13"/>
  <c r="BF467" i="13" s="1"/>
  <c r="AV440" i="13"/>
  <c r="BD440" i="13" s="1"/>
  <c r="BG440" i="13" s="1"/>
  <c r="AR397" i="13"/>
  <c r="BE397" i="13" s="1"/>
  <c r="AR344" i="13"/>
  <c r="BF344" i="13" s="1"/>
  <c r="BG280" i="13"/>
  <c r="AV248" i="13"/>
  <c r="BD248" i="13" s="1"/>
  <c r="BG248" i="13" s="1"/>
  <c r="AV103" i="13"/>
  <c r="BD103" i="13" s="1"/>
  <c r="BH103" i="13" s="1"/>
  <c r="AR73" i="13"/>
  <c r="BF73" i="13" s="1"/>
  <c r="BD304" i="13"/>
  <c r="AV199" i="13"/>
  <c r="BD199" i="13" s="1"/>
  <c r="BG199" i="13" s="1"/>
  <c r="AV201" i="13"/>
  <c r="BD201" i="13" s="1"/>
  <c r="BH201" i="13" s="1"/>
  <c r="AV252" i="13"/>
  <c r="BD252" i="13" s="1"/>
  <c r="BH252" i="13" s="1"/>
  <c r="AR126" i="13"/>
  <c r="BF126" i="13" s="1"/>
  <c r="BF68" i="13"/>
  <c r="BE474" i="13"/>
  <c r="BE469" i="13"/>
  <c r="AR434" i="13"/>
  <c r="BE434" i="13" s="1"/>
  <c r="BG356" i="13"/>
  <c r="BH283" i="13"/>
  <c r="AV258" i="13"/>
  <c r="BD258" i="13" s="1"/>
  <c r="BH258" i="13" s="1"/>
  <c r="BD231" i="13"/>
  <c r="BG231" i="13" s="1"/>
  <c r="BF490" i="13"/>
  <c r="AV305" i="13"/>
  <c r="BD305" i="13" s="1"/>
  <c r="BG305" i="13" s="1"/>
  <c r="BG319" i="13"/>
  <c r="BF320" i="13"/>
  <c r="BG278" i="13"/>
  <c r="BE144" i="13"/>
  <c r="BD166" i="13"/>
  <c r="BG166" i="13" s="1"/>
  <c r="BG172" i="13"/>
  <c r="BH176" i="13"/>
  <c r="BG22" i="13"/>
  <c r="BG44" i="13"/>
  <c r="BH241" i="13"/>
  <c r="BG241" i="13"/>
  <c r="BG68" i="13"/>
  <c r="BH68" i="13"/>
  <c r="BH240" i="13"/>
  <c r="BG240" i="13"/>
  <c r="AV108" i="13"/>
  <c r="BD108" i="13" s="1"/>
  <c r="BG108" i="13" s="1"/>
  <c r="AV218" i="13"/>
  <c r="BD218" i="13" s="1"/>
  <c r="BH218" i="13" s="1"/>
  <c r="AV100" i="13"/>
  <c r="BD100" i="13" s="1"/>
  <c r="BH100" i="13" s="1"/>
  <c r="AV136" i="13"/>
  <c r="BD136" i="13" s="1"/>
  <c r="BG136" i="13" s="1"/>
  <c r="AV95" i="13"/>
  <c r="BD95" i="13" s="1"/>
  <c r="BH95" i="13" s="1"/>
  <c r="AR81" i="13"/>
  <c r="BF81" i="13" s="1"/>
  <c r="AK137" i="13"/>
  <c r="AR94" i="13"/>
  <c r="BE94" i="13" s="1"/>
  <c r="AV158" i="13"/>
  <c r="BD158" i="13" s="1"/>
  <c r="BH158" i="13" s="1"/>
  <c r="AV197" i="13"/>
  <c r="BD197" i="13" s="1"/>
  <c r="BH197" i="13" s="1"/>
  <c r="AV123" i="13"/>
  <c r="BD123" i="13" s="1"/>
  <c r="BH123" i="13" s="1"/>
  <c r="AR77" i="13"/>
  <c r="BF77" i="13" s="1"/>
  <c r="BG274" i="13"/>
  <c r="BG545" i="13"/>
  <c r="BH550" i="13"/>
  <c r="BG550" i="13"/>
  <c r="BD182" i="13"/>
  <c r="BH182" i="13" s="1"/>
  <c r="AV30" i="13"/>
  <c r="BD30" i="13" s="1"/>
  <c r="BH30" i="13" s="1"/>
  <c r="AR53" i="13"/>
  <c r="BF53" i="13" s="1"/>
  <c r="BD255" i="13"/>
  <c r="BH255" i="13" s="1"/>
  <c r="BD408" i="13"/>
  <c r="BG408" i="13" s="1"/>
  <c r="AV72" i="13"/>
  <c r="BD72" i="13" s="1"/>
  <c r="BF468" i="13"/>
  <c r="BE468" i="13"/>
  <c r="BD316" i="13"/>
  <c r="BC18" i="13"/>
  <c r="BD344" i="13"/>
  <c r="BH344" i="13" s="1"/>
  <c r="AV91" i="13"/>
  <c r="BD91" i="13" s="1"/>
  <c r="BH91" i="13" s="1"/>
  <c r="AR92" i="13"/>
  <c r="BF92" i="13" s="1"/>
  <c r="BE263" i="13"/>
  <c r="BF263" i="13"/>
  <c r="AS548" i="13"/>
  <c r="BD332" i="13"/>
  <c r="BH332" i="13" s="1"/>
  <c r="BH558" i="13"/>
  <c r="BG558" i="13"/>
  <c r="BH355" i="13"/>
  <c r="BF500" i="13"/>
  <c r="BE500" i="13"/>
  <c r="AV112" i="13"/>
  <c r="BD112" i="13" s="1"/>
  <c r="BH112" i="13" s="1"/>
  <c r="AV56" i="13"/>
  <c r="BD56" i="13" s="1"/>
  <c r="BH56" i="13" s="1"/>
  <c r="AL445" i="13"/>
  <c r="AK445" i="13"/>
  <c r="BD404" i="13"/>
  <c r="BH404" i="13" s="1"/>
  <c r="BD263" i="13"/>
  <c r="BG263" i="13" s="1"/>
  <c r="BD235" i="13"/>
  <c r="BG235" i="13" s="1"/>
  <c r="AR78" i="13"/>
  <c r="BF78" i="13" s="1"/>
  <c r="AR57" i="13"/>
  <c r="BE57" i="13" s="1"/>
  <c r="BF540" i="13"/>
  <c r="BE540" i="13"/>
  <c r="BE319" i="13"/>
  <c r="BF319" i="13"/>
  <c r="AK321" i="13"/>
  <c r="BH157" i="13"/>
  <c r="BG157" i="13"/>
  <c r="BF95" i="13"/>
  <c r="BE95" i="13"/>
  <c r="BG57" i="13"/>
  <c r="BH57" i="13"/>
  <c r="BF35" i="13"/>
  <c r="BE35" i="13"/>
  <c r="BH29" i="13"/>
  <c r="BG29" i="13"/>
  <c r="BH502" i="13"/>
  <c r="BG502" i="13"/>
  <c r="BH542" i="13"/>
  <c r="BG542" i="13"/>
  <c r="BH42" i="13"/>
  <c r="BG42" i="13"/>
  <c r="BF72" i="13"/>
  <c r="BE72" i="13"/>
  <c r="BH39" i="13"/>
  <c r="BG39" i="13"/>
  <c r="BH38" i="13"/>
  <c r="BG38" i="13"/>
  <c r="BF80" i="13"/>
  <c r="BE80" i="13"/>
  <c r="BF31" i="13"/>
  <c r="BE31" i="13"/>
  <c r="BH77" i="13"/>
  <c r="BG77" i="13"/>
  <c r="BH85" i="13"/>
  <c r="BG85" i="13"/>
  <c r="BF37" i="13"/>
  <c r="BE37" i="13"/>
  <c r="BH59" i="13"/>
  <c r="BG59" i="13"/>
  <c r="BH73" i="13"/>
  <c r="BG73" i="13"/>
  <c r="BF110" i="13"/>
  <c r="BE110" i="13"/>
  <c r="BF97" i="13"/>
  <c r="BE97" i="13"/>
  <c r="BF133" i="13"/>
  <c r="BE133" i="13"/>
  <c r="BH215" i="13"/>
  <c r="BG215" i="13"/>
  <c r="BF242" i="13"/>
  <c r="BE242" i="13"/>
  <c r="BF208" i="13"/>
  <c r="BE208" i="13"/>
  <c r="BH286" i="13"/>
  <c r="BG286" i="13"/>
  <c r="BF328" i="13"/>
  <c r="BE328" i="13"/>
  <c r="BH327" i="13"/>
  <c r="BG327" i="13"/>
  <c r="BF326" i="13"/>
  <c r="BE326" i="13"/>
  <c r="BE388" i="13"/>
  <c r="BF388" i="13"/>
  <c r="BH374" i="13"/>
  <c r="BG374" i="13"/>
  <c r="BF422" i="13"/>
  <c r="BE422" i="13"/>
  <c r="BH417" i="13"/>
  <c r="BG417" i="13"/>
  <c r="BF458" i="13"/>
  <c r="BE458" i="13"/>
  <c r="BF470" i="13"/>
  <c r="BE470" i="13"/>
  <c r="BH82" i="13"/>
  <c r="BG82" i="13"/>
  <c r="BG33" i="13"/>
  <c r="BH33" i="13"/>
  <c r="BF54" i="13"/>
  <c r="BE54" i="13"/>
  <c r="BF34" i="13"/>
  <c r="BE34" i="13"/>
  <c r="BH78" i="13"/>
  <c r="BG78" i="13"/>
  <c r="BH76" i="13"/>
  <c r="BG76" i="13"/>
  <c r="BF55" i="13"/>
  <c r="BE55" i="13"/>
  <c r="BH94" i="13"/>
  <c r="BG94" i="13"/>
  <c r="BH113" i="13"/>
  <c r="BG113" i="13"/>
  <c r="BH195" i="13"/>
  <c r="BG195" i="13"/>
  <c r="BH237" i="13"/>
  <c r="BG237" i="13"/>
  <c r="BH74" i="13"/>
  <c r="BG74" i="13"/>
  <c r="BH122" i="13"/>
  <c r="BG122" i="13"/>
  <c r="BF23" i="13"/>
  <c r="BE23" i="13"/>
  <c r="BF91" i="13"/>
  <c r="BE91" i="13"/>
  <c r="BF30" i="13"/>
  <c r="BE30" i="13"/>
  <c r="BF25" i="13"/>
  <c r="BE25" i="13"/>
  <c r="BH508" i="13"/>
  <c r="BG508" i="13"/>
  <c r="BH507" i="13"/>
  <c r="BG507" i="13"/>
  <c r="BH437" i="13"/>
  <c r="BG437" i="13"/>
  <c r="BF449" i="13"/>
  <c r="BE449" i="13"/>
  <c r="BF454" i="13"/>
  <c r="BE454" i="13"/>
  <c r="BH428" i="13"/>
  <c r="BG428" i="13"/>
  <c r="BH339" i="13"/>
  <c r="BG339" i="13"/>
  <c r="BH259" i="13"/>
  <c r="BG259" i="13"/>
  <c r="BH58" i="13"/>
  <c r="BG58" i="13"/>
  <c r="BF119" i="13"/>
  <c r="BE119" i="13"/>
  <c r="BG53" i="13"/>
  <c r="BH53" i="13"/>
  <c r="BH555" i="13"/>
  <c r="BG555" i="13"/>
  <c r="BH546" i="13"/>
  <c r="BG546" i="13"/>
  <c r="BF532" i="13"/>
  <c r="BE532" i="13"/>
  <c r="BH522" i="13"/>
  <c r="BG522" i="13"/>
  <c r="BH480" i="13"/>
  <c r="BG480" i="13"/>
  <c r="BH465" i="13"/>
  <c r="BG465" i="13"/>
  <c r="BH459" i="13"/>
  <c r="BG459" i="13"/>
  <c r="BG449" i="13"/>
  <c r="BH449" i="13"/>
  <c r="AV447" i="13"/>
  <c r="BD447" i="13" s="1"/>
  <c r="AV458" i="13"/>
  <c r="BD458" i="13" s="1"/>
  <c r="BE437" i="13"/>
  <c r="BF437" i="13"/>
  <c r="BF418" i="13"/>
  <c r="BE418" i="13"/>
  <c r="BH435" i="13"/>
  <c r="BG435" i="13"/>
  <c r="BF413" i="13"/>
  <c r="BE413" i="13"/>
  <c r="BF370" i="13"/>
  <c r="BE370" i="13"/>
  <c r="BH401" i="13"/>
  <c r="BG401" i="13"/>
  <c r="BF377" i="13"/>
  <c r="BE377" i="13"/>
  <c r="BH384" i="13"/>
  <c r="BG384" i="13"/>
  <c r="BF346" i="13"/>
  <c r="BE346" i="13"/>
  <c r="BF330" i="13"/>
  <c r="BE330" i="13"/>
  <c r="BF339" i="13"/>
  <c r="BE339" i="13"/>
  <c r="BH334" i="13"/>
  <c r="BG334" i="13"/>
  <c r="AV326" i="13"/>
  <c r="BD326" i="13" s="1"/>
  <c r="AV328" i="13"/>
  <c r="BD328" i="13" s="1"/>
  <c r="BF291" i="13"/>
  <c r="BE291" i="13"/>
  <c r="BH281" i="13"/>
  <c r="BG281" i="13"/>
  <c r="BH269" i="13"/>
  <c r="BG269" i="13"/>
  <c r="BF267" i="13"/>
  <c r="BE267" i="13"/>
  <c r="BG313" i="13"/>
  <c r="BH313" i="13"/>
  <c r="BH264" i="13"/>
  <c r="BG264" i="13"/>
  <c r="AV242" i="13"/>
  <c r="BD242" i="13" s="1"/>
  <c r="BH226" i="13"/>
  <c r="BG226" i="13"/>
  <c r="BH266" i="13"/>
  <c r="BG266" i="13"/>
  <c r="BF301" i="13"/>
  <c r="BE301" i="13"/>
  <c r="BF257" i="13"/>
  <c r="BE257" i="13"/>
  <c r="BF241" i="13"/>
  <c r="BE241" i="13"/>
  <c r="BH227" i="13"/>
  <c r="BG227" i="13"/>
  <c r="BF212" i="13"/>
  <c r="BE212" i="13"/>
  <c r="BF254" i="13"/>
  <c r="BE254" i="13"/>
  <c r="BF247" i="13"/>
  <c r="BE247" i="13"/>
  <c r="BH202" i="13"/>
  <c r="BG202" i="13"/>
  <c r="BH209" i="13"/>
  <c r="BG209" i="13"/>
  <c r="BH165" i="13"/>
  <c r="BG165" i="13"/>
  <c r="BH118" i="13"/>
  <c r="BG118" i="13"/>
  <c r="BD251" i="13"/>
  <c r="BF177" i="13"/>
  <c r="BE177" i="13"/>
  <c r="BE146" i="13"/>
  <c r="BF146" i="13"/>
  <c r="BH257" i="13"/>
  <c r="BG257" i="13"/>
  <c r="BF105" i="13"/>
  <c r="BE105" i="13"/>
  <c r="BG200" i="13"/>
  <c r="BH200" i="13"/>
  <c r="AV131" i="13"/>
  <c r="BD131" i="13" s="1"/>
  <c r="BD154" i="13"/>
  <c r="BH115" i="13"/>
  <c r="AV87" i="13"/>
  <c r="BD87" i="13" s="1"/>
  <c r="BH124" i="13"/>
  <c r="BG124" i="13"/>
  <c r="AV34" i="13"/>
  <c r="BD34" i="13" s="1"/>
  <c r="BH310" i="13"/>
  <c r="BG310" i="13"/>
  <c r="BH156" i="13"/>
  <c r="BG156" i="13"/>
  <c r="AR82" i="13"/>
  <c r="BE56" i="13"/>
  <c r="BF56" i="13"/>
  <c r="BF45" i="13"/>
  <c r="BE45" i="13"/>
  <c r="AV35" i="13"/>
  <c r="BD35" i="13" s="1"/>
  <c r="BF100" i="13"/>
  <c r="BE100" i="13"/>
  <c r="BF136" i="13"/>
  <c r="BE136" i="13"/>
  <c r="BF123" i="13"/>
  <c r="BE123" i="13"/>
  <c r="BF210" i="13"/>
  <c r="BE210" i="13"/>
  <c r="BF189" i="13"/>
  <c r="BE189" i="13"/>
  <c r="BF284" i="13"/>
  <c r="BE284" i="13"/>
  <c r="BF378" i="13"/>
  <c r="BE378" i="13"/>
  <c r="BF389" i="13"/>
  <c r="BE389" i="13"/>
  <c r="BF451" i="13"/>
  <c r="BE451" i="13"/>
  <c r="BF428" i="13"/>
  <c r="BE428" i="13"/>
  <c r="BF489" i="13"/>
  <c r="BE489" i="13"/>
  <c r="AV37" i="13"/>
  <c r="BD37" i="13" s="1"/>
  <c r="BF518" i="13"/>
  <c r="BE518" i="13"/>
  <c r="BF402" i="13"/>
  <c r="BE402" i="13"/>
  <c r="BF329" i="13"/>
  <c r="BE329" i="13"/>
  <c r="BF317" i="13"/>
  <c r="BE317" i="13"/>
  <c r="BF306" i="13"/>
  <c r="BE306" i="13"/>
  <c r="BH352" i="13"/>
  <c r="BG352" i="13"/>
  <c r="BE294" i="13"/>
  <c r="BF294" i="13"/>
  <c r="BE278" i="13"/>
  <c r="BF278" i="13"/>
  <c r="BH90" i="13"/>
  <c r="BG90" i="13"/>
  <c r="BF132" i="13"/>
  <c r="BE132" i="13"/>
  <c r="BG69" i="13"/>
  <c r="BH69" i="13"/>
  <c r="BH532" i="13"/>
  <c r="BG532" i="13"/>
  <c r="BH548" i="13"/>
  <c r="BG548" i="13"/>
  <c r="BF535" i="13"/>
  <c r="BE535" i="13"/>
  <c r="BH541" i="13"/>
  <c r="BG541" i="13"/>
  <c r="BH486" i="13"/>
  <c r="BG486" i="13"/>
  <c r="BF473" i="13"/>
  <c r="BE473" i="13"/>
  <c r="BH476" i="13"/>
  <c r="BG476" i="13"/>
  <c r="BF531" i="13"/>
  <c r="BE531" i="13"/>
  <c r="BF537" i="13"/>
  <c r="BE537" i="13"/>
  <c r="BF525" i="13"/>
  <c r="BE525" i="13"/>
  <c r="BF509" i="13"/>
  <c r="BE509" i="13"/>
  <c r="BH516" i="13"/>
  <c r="BG516" i="13"/>
  <c r="BH504" i="13"/>
  <c r="BG504" i="13"/>
  <c r="BF504" i="13"/>
  <c r="BE504" i="13"/>
  <c r="BF484" i="13"/>
  <c r="BE484" i="13"/>
  <c r="BH474" i="13"/>
  <c r="BG474" i="13"/>
  <c r="BH503" i="13"/>
  <c r="BG503" i="13"/>
  <c r="BH464" i="13"/>
  <c r="BG464" i="13"/>
  <c r="BH473" i="13"/>
  <c r="BG473" i="13"/>
  <c r="BF445" i="13"/>
  <c r="BE445" i="13"/>
  <c r="BF433" i="13"/>
  <c r="BE433" i="13"/>
  <c r="BH427" i="13"/>
  <c r="BG427" i="13"/>
  <c r="BG436" i="13"/>
  <c r="BH436" i="13"/>
  <c r="BF412" i="13"/>
  <c r="BE412" i="13"/>
  <c r="BG392" i="13"/>
  <c r="BH392" i="13"/>
  <c r="BH391" i="13"/>
  <c r="BG391" i="13"/>
  <c r="AR417" i="13"/>
  <c r="BF396" i="13"/>
  <c r="BE396" i="13"/>
  <c r="BF325" i="13"/>
  <c r="BE325" i="13"/>
  <c r="BF375" i="13"/>
  <c r="BE375" i="13"/>
  <c r="AR374" i="13"/>
  <c r="BH333" i="13"/>
  <c r="BG333" i="13"/>
  <c r="BD324" i="13"/>
  <c r="BE274" i="13"/>
  <c r="BF274" i="13"/>
  <c r="BF314" i="13"/>
  <c r="BE314" i="13"/>
  <c r="BF323" i="13"/>
  <c r="BE323" i="13"/>
  <c r="BF279" i="13"/>
  <c r="BE279" i="13"/>
  <c r="BH290" i="13"/>
  <c r="BG290" i="13"/>
  <c r="BF305" i="13"/>
  <c r="BE305" i="13"/>
  <c r="BE207" i="13"/>
  <c r="BF207" i="13"/>
  <c r="BE184" i="13"/>
  <c r="BF184" i="13"/>
  <c r="BH191" i="13"/>
  <c r="BG191" i="13"/>
  <c r="BH193" i="13"/>
  <c r="BG193" i="13"/>
  <c r="AV206" i="13"/>
  <c r="BD206" i="13" s="1"/>
  <c r="BF246" i="13"/>
  <c r="BE246" i="13"/>
  <c r="BG204" i="13"/>
  <c r="BH204" i="13"/>
  <c r="BF176" i="13"/>
  <c r="BE176" i="13"/>
  <c r="AR255" i="13"/>
  <c r="BF160" i="13"/>
  <c r="BE160" i="13"/>
  <c r="BF143" i="13"/>
  <c r="BE143" i="13"/>
  <c r="AV132" i="13"/>
  <c r="BD132" i="13" s="1"/>
  <c r="BH109" i="13"/>
  <c r="BG109" i="13"/>
  <c r="BH140" i="13"/>
  <c r="BG140" i="13"/>
  <c r="AR122" i="13"/>
  <c r="AV54" i="13"/>
  <c r="BD54" i="13" s="1"/>
  <c r="BH394" i="13"/>
  <c r="BG394" i="13"/>
  <c r="BF65" i="13"/>
  <c r="BE65" i="13"/>
  <c r="AV55" i="13"/>
  <c r="BD55" i="13" s="1"/>
  <c r="AR33" i="13"/>
  <c r="BF104" i="13"/>
  <c r="BE104" i="13"/>
  <c r="BF155" i="13"/>
  <c r="BE155" i="13"/>
  <c r="BF127" i="13"/>
  <c r="BE127" i="13"/>
  <c r="BF244" i="13"/>
  <c r="BE244" i="13"/>
  <c r="BF214" i="13"/>
  <c r="BE214" i="13"/>
  <c r="BF193" i="13"/>
  <c r="BE193" i="13"/>
  <c r="BF288" i="13"/>
  <c r="BE288" i="13"/>
  <c r="BF386" i="13"/>
  <c r="BE386" i="13"/>
  <c r="BF392" i="13"/>
  <c r="BE392" i="13"/>
  <c r="BF400" i="13"/>
  <c r="BE400" i="13"/>
  <c r="BF427" i="13"/>
  <c r="BE427" i="13"/>
  <c r="BF407" i="13"/>
  <c r="BE407" i="13"/>
  <c r="BG432" i="13"/>
  <c r="BH432" i="13"/>
  <c r="AV23" i="13"/>
  <c r="BD23" i="13" s="1"/>
  <c r="BG49" i="13"/>
  <c r="BH49" i="13"/>
  <c r="AR76" i="13"/>
  <c r="AV25" i="13"/>
  <c r="BD25" i="13" s="1"/>
  <c r="BF539" i="13"/>
  <c r="BE539" i="13"/>
  <c r="BH475" i="13"/>
  <c r="BG475" i="13"/>
  <c r="BF492" i="13"/>
  <c r="BE492" i="13"/>
  <c r="BH438" i="13"/>
  <c r="BG438" i="13"/>
  <c r="BF360" i="13"/>
  <c r="BE360" i="13"/>
  <c r="BH371" i="13"/>
  <c r="BG371" i="13"/>
  <c r="BF265" i="13"/>
  <c r="BE265" i="13"/>
  <c r="BF216" i="13"/>
  <c r="BE216" i="13"/>
  <c r="BH178" i="13"/>
  <c r="BG178" i="13"/>
  <c r="BF164" i="13"/>
  <c r="BE164" i="13"/>
  <c r="BH47" i="13"/>
  <c r="BG47" i="13"/>
  <c r="BG398" i="13"/>
  <c r="BH398" i="13"/>
  <c r="AO18" i="13"/>
  <c r="BH560" i="13"/>
  <c r="BG560" i="13"/>
  <c r="BF533" i="13"/>
  <c r="BE533" i="13"/>
  <c r="BF526" i="13"/>
  <c r="BE526" i="13"/>
  <c r="BF498" i="13"/>
  <c r="BE498" i="13"/>
  <c r="BH457" i="13"/>
  <c r="BG457" i="13"/>
  <c r="BF432" i="13"/>
  <c r="BE432" i="13"/>
  <c r="BF356" i="13"/>
  <c r="BE356" i="13"/>
  <c r="BH338" i="13"/>
  <c r="BG338" i="13"/>
  <c r="BE308" i="13"/>
  <c r="BF308" i="13"/>
  <c r="BH302" i="13"/>
  <c r="BG302" i="13"/>
  <c r="BF318" i="13"/>
  <c r="BE318" i="13"/>
  <c r="BF299" i="13"/>
  <c r="BE299" i="13"/>
  <c r="BH289" i="13"/>
  <c r="BG289" i="13"/>
  <c r="BH265" i="13"/>
  <c r="BG265" i="13"/>
  <c r="BF259" i="13"/>
  <c r="BE259" i="13"/>
  <c r="BH273" i="13"/>
  <c r="BG273" i="13"/>
  <c r="BH254" i="13"/>
  <c r="BG254" i="13"/>
  <c r="BH238" i="13"/>
  <c r="BG238" i="13"/>
  <c r="BH222" i="13"/>
  <c r="BG222" i="13"/>
  <c r="BF262" i="13"/>
  <c r="BE262" i="13"/>
  <c r="AV272" i="13"/>
  <c r="BD272" i="13" s="1"/>
  <c r="BF253" i="13"/>
  <c r="BE253" i="13"/>
  <c r="BF237" i="13"/>
  <c r="BE237" i="13"/>
  <c r="BH223" i="13"/>
  <c r="BG223" i="13"/>
  <c r="BH300" i="13"/>
  <c r="BG300" i="13"/>
  <c r="BH190" i="13"/>
  <c r="BG190" i="13"/>
  <c r="BH161" i="13"/>
  <c r="BG161" i="13"/>
  <c r="BH114" i="13"/>
  <c r="BG114" i="13"/>
  <c r="BE142" i="13"/>
  <c r="BF142" i="13"/>
  <c r="BH179" i="13"/>
  <c r="BG179" i="13"/>
  <c r="BF130" i="13"/>
  <c r="BE130" i="13"/>
  <c r="BF87" i="13"/>
  <c r="BE87" i="13"/>
  <c r="BF158" i="13"/>
  <c r="BE158" i="13"/>
  <c r="BF22" i="13"/>
  <c r="BE22" i="13"/>
  <c r="BH50" i="13"/>
  <c r="BG50" i="13"/>
  <c r="BF367" i="13"/>
  <c r="BE367" i="13"/>
  <c r="BH93" i="13"/>
  <c r="BG93" i="13"/>
  <c r="BF27" i="13"/>
  <c r="BE27" i="13"/>
  <c r="BH160" i="13"/>
  <c r="BG160" i="13"/>
  <c r="BH43" i="13"/>
  <c r="BG43" i="13"/>
  <c r="BE32" i="13"/>
  <c r="BF32" i="13"/>
  <c r="BF108" i="13"/>
  <c r="BE108" i="13"/>
  <c r="BF99" i="13"/>
  <c r="BE99" i="13"/>
  <c r="BF131" i="13"/>
  <c r="BE131" i="13"/>
  <c r="BF248" i="13"/>
  <c r="BE248" i="13"/>
  <c r="BF218" i="13"/>
  <c r="BE218" i="13"/>
  <c r="BF197" i="13"/>
  <c r="BE197" i="13"/>
  <c r="BE312" i="13"/>
  <c r="BF312" i="13"/>
  <c r="BF300" i="13"/>
  <c r="BE300" i="13"/>
  <c r="BE395" i="13"/>
  <c r="BF395" i="13"/>
  <c r="BH425" i="13"/>
  <c r="BG425" i="13"/>
  <c r="BE435" i="13"/>
  <c r="BF435" i="13"/>
  <c r="BF420" i="13"/>
  <c r="BE420" i="13"/>
  <c r="BF411" i="13"/>
  <c r="BE411" i="13"/>
  <c r="BG430" i="13"/>
  <c r="BH430" i="13"/>
  <c r="AR90" i="13"/>
  <c r="BG41" i="13"/>
  <c r="BH41" i="13"/>
  <c r="BH81" i="13"/>
  <c r="BG81" i="13"/>
  <c r="AV80" i="13"/>
  <c r="BD80" i="13" s="1"/>
  <c r="BH26" i="13"/>
  <c r="BG26" i="13"/>
  <c r="BG45" i="13"/>
  <c r="BH45" i="13"/>
  <c r="BH92" i="13"/>
  <c r="BG92" i="13"/>
  <c r="BH536" i="13"/>
  <c r="BG536" i="13"/>
  <c r="BF513" i="13"/>
  <c r="BE513" i="13"/>
  <c r="BH490" i="13"/>
  <c r="BG490" i="13"/>
  <c r="BE36" i="13"/>
  <c r="BF36" i="13"/>
  <c r="BF477" i="13"/>
  <c r="BE477" i="13"/>
  <c r="BH551" i="13"/>
  <c r="BG551" i="13"/>
  <c r="BF557" i="13"/>
  <c r="BE557" i="13"/>
  <c r="BF529" i="13"/>
  <c r="BE529" i="13"/>
  <c r="BH535" i="13"/>
  <c r="BG535" i="13"/>
  <c r="BF514" i="13"/>
  <c r="BE514" i="13"/>
  <c r="BF414" i="13"/>
  <c r="BE414" i="13"/>
  <c r="BF416" i="13"/>
  <c r="BE416" i="13"/>
  <c r="BH367" i="13"/>
  <c r="BG367" i="13"/>
  <c r="BH547" i="13"/>
  <c r="BG547" i="13"/>
  <c r="BH534" i="13"/>
  <c r="BG534" i="13"/>
  <c r="BF521" i="13"/>
  <c r="BE521" i="13"/>
  <c r="BF505" i="13"/>
  <c r="BE505" i="13"/>
  <c r="BH524" i="13"/>
  <c r="BG524" i="13"/>
  <c r="BH482" i="13"/>
  <c r="BG482" i="13"/>
  <c r="BH510" i="13"/>
  <c r="BG510" i="13"/>
  <c r="BF487" i="13"/>
  <c r="BE487" i="13"/>
  <c r="BF464" i="13"/>
  <c r="BE464" i="13"/>
  <c r="BF456" i="13"/>
  <c r="BE456" i="13"/>
  <c r="BH472" i="13"/>
  <c r="BG472" i="13"/>
  <c r="BH463" i="13"/>
  <c r="BG463" i="13"/>
  <c r="BF430" i="13"/>
  <c r="BE430" i="13"/>
  <c r="BF459" i="13"/>
  <c r="BE459" i="13"/>
  <c r="BD416" i="13"/>
  <c r="AR408" i="13"/>
  <c r="BF436" i="13"/>
  <c r="BE436" i="13"/>
  <c r="BH406" i="13"/>
  <c r="BG406" i="13"/>
  <c r="BH395" i="13"/>
  <c r="BG395" i="13"/>
  <c r="AV422" i="13"/>
  <c r="BD422" i="13" s="1"/>
  <c r="BH387" i="13"/>
  <c r="BG387" i="13"/>
  <c r="BF373" i="13"/>
  <c r="BE373" i="13"/>
  <c r="BE358" i="13"/>
  <c r="BF358" i="13"/>
  <c r="BH359" i="13"/>
  <c r="BG359" i="13"/>
  <c r="BF337" i="13"/>
  <c r="BE337" i="13"/>
  <c r="BH393" i="13"/>
  <c r="BG393" i="13"/>
  <c r="BG358" i="13"/>
  <c r="BH358" i="13"/>
  <c r="AR327" i="13"/>
  <c r="BH322" i="13"/>
  <c r="BG322" i="13"/>
  <c r="BG317" i="13"/>
  <c r="BH317" i="13"/>
  <c r="BD336" i="13"/>
  <c r="AR286" i="13"/>
  <c r="BE270" i="13"/>
  <c r="BF270" i="13"/>
  <c r="BH341" i="13"/>
  <c r="BG341" i="13"/>
  <c r="BF287" i="13"/>
  <c r="BE287" i="13"/>
  <c r="BH277" i="13"/>
  <c r="BG277" i="13"/>
  <c r="AK188" i="13"/>
  <c r="AL188" i="13"/>
  <c r="BE199" i="13"/>
  <c r="BF199" i="13"/>
  <c r="BG291" i="13"/>
  <c r="BH291" i="13"/>
  <c r="BE204" i="13"/>
  <c r="BH219" i="13"/>
  <c r="BG219" i="13"/>
  <c r="BH189" i="13"/>
  <c r="BG189" i="13"/>
  <c r="BG181" i="13"/>
  <c r="BH181" i="13"/>
  <c r="BG192" i="13"/>
  <c r="BH192" i="13"/>
  <c r="BF250" i="13"/>
  <c r="BE250" i="13"/>
  <c r="BF172" i="13"/>
  <c r="BE172" i="13"/>
  <c r="BH127" i="13"/>
  <c r="BG127" i="13"/>
  <c r="BH155" i="13"/>
  <c r="BG155" i="13"/>
  <c r="AR85" i="13"/>
  <c r="AJ18" i="13"/>
  <c r="AR157" i="13"/>
  <c r="AL20" i="13"/>
  <c r="AI18" i="13"/>
  <c r="AK20" i="13"/>
  <c r="AV119" i="13"/>
  <c r="BD119" i="13" s="1"/>
  <c r="AL22" i="13"/>
  <c r="AK22" i="13"/>
  <c r="BH101" i="13"/>
  <c r="BG101" i="13"/>
  <c r="BH70" i="13"/>
  <c r="BG70" i="13"/>
  <c r="BH46" i="13"/>
  <c r="BG46" i="13"/>
  <c r="BE443" i="13"/>
  <c r="BF443" i="13"/>
  <c r="BF41" i="13"/>
  <c r="BE41" i="13"/>
  <c r="AV31" i="13"/>
  <c r="BD31" i="13" s="1"/>
  <c r="BD20" i="13"/>
  <c r="BF112" i="13"/>
  <c r="BE112" i="13"/>
  <c r="BF103" i="13"/>
  <c r="BE103" i="13"/>
  <c r="BF135" i="13"/>
  <c r="BE135" i="13"/>
  <c r="BF252" i="13"/>
  <c r="BE252" i="13"/>
  <c r="BF201" i="13"/>
  <c r="BE201" i="13"/>
  <c r="BH429" i="13"/>
  <c r="BG429" i="13"/>
  <c r="BE439" i="13"/>
  <c r="BF439" i="13"/>
  <c r="BF424" i="13"/>
  <c r="BE424" i="13"/>
  <c r="BF419" i="13"/>
  <c r="BE419" i="13"/>
  <c r="BF440" i="13"/>
  <c r="BE440" i="13"/>
  <c r="AV32" i="13"/>
  <c r="BD32" i="13" s="1"/>
  <c r="AV79" i="13"/>
  <c r="BD79" i="13" s="1"/>
  <c r="AR39" i="13"/>
  <c r="AR42" i="13"/>
  <c r="BH533" i="13"/>
  <c r="BG533" i="13"/>
  <c r="AS497" i="13"/>
  <c r="BE401" i="13"/>
  <c r="BF401" i="13"/>
  <c r="BG444" i="13"/>
  <c r="BH444" i="13"/>
  <c r="BH411" i="13"/>
  <c r="BG411" i="13"/>
  <c r="BH330" i="13"/>
  <c r="BG330" i="13"/>
  <c r="BF196" i="13"/>
  <c r="BE196" i="13"/>
  <c r="BG216" i="13"/>
  <c r="BH216" i="13"/>
  <c r="BF147" i="13"/>
  <c r="BE147" i="13"/>
  <c r="BF206" i="13"/>
  <c r="BE206" i="13"/>
  <c r="BE311" i="13"/>
  <c r="BF311" i="13"/>
  <c r="BF385" i="13"/>
  <c r="BE385" i="13"/>
  <c r="BF447" i="13"/>
  <c r="BE447" i="13"/>
  <c r="AV71" i="13"/>
  <c r="BD71" i="13" s="1"/>
  <c r="BH471" i="13"/>
  <c r="BG471" i="13"/>
  <c r="BH420" i="13"/>
  <c r="BG420" i="13"/>
  <c r="BE366" i="13"/>
  <c r="BF366" i="13"/>
  <c r="BE380" i="13"/>
  <c r="BF380" i="13"/>
  <c r="BF390" i="13"/>
  <c r="BE390" i="13"/>
  <c r="BH362" i="13"/>
  <c r="BG362" i="13"/>
  <c r="BG363" i="13"/>
  <c r="BH363" i="13"/>
  <c r="BH321" i="13"/>
  <c r="BG321" i="13"/>
  <c r="BH556" i="13"/>
  <c r="BG556" i="13"/>
  <c r="BF553" i="13"/>
  <c r="BE553" i="13"/>
  <c r="BF542" i="13"/>
  <c r="BE542" i="13"/>
  <c r="BF501" i="13"/>
  <c r="BE501" i="13"/>
  <c r="BH537" i="13"/>
  <c r="BG537" i="13"/>
  <c r="BH543" i="13"/>
  <c r="BG543" i="13"/>
  <c r="BF522" i="13"/>
  <c r="BE522" i="13"/>
  <c r="BH512" i="13"/>
  <c r="BG512" i="13"/>
  <c r="BH518" i="13"/>
  <c r="BG518" i="13"/>
  <c r="BH505" i="13"/>
  <c r="BG505" i="13"/>
  <c r="AV470" i="13"/>
  <c r="BD470" i="13" s="1"/>
  <c r="BH487" i="13"/>
  <c r="BG487" i="13"/>
  <c r="BH485" i="13"/>
  <c r="BG485" i="13"/>
  <c r="BF460" i="13"/>
  <c r="BE460" i="13"/>
  <c r="BF463" i="13"/>
  <c r="BE463" i="13"/>
  <c r="BF410" i="13"/>
  <c r="BE410" i="13"/>
  <c r="BF450" i="13"/>
  <c r="BE450" i="13"/>
  <c r="BH413" i="13"/>
  <c r="BG413" i="13"/>
  <c r="BH405" i="13"/>
  <c r="BG405" i="13"/>
  <c r="BH397" i="13"/>
  <c r="BG397" i="13"/>
  <c r="BE362" i="13"/>
  <c r="BF362" i="13"/>
  <c r="BE376" i="13"/>
  <c r="BF376" i="13"/>
  <c r="BF404" i="13"/>
  <c r="BH383" i="13"/>
  <c r="BG383" i="13"/>
  <c r="AL373" i="13"/>
  <c r="AK373" i="13"/>
  <c r="BF379" i="13"/>
  <c r="BE379" i="13"/>
  <c r="AS361" i="13"/>
  <c r="BF321" i="13"/>
  <c r="BE321" i="13"/>
  <c r="BH354" i="13"/>
  <c r="BG354" i="13"/>
  <c r="BF338" i="13"/>
  <c r="BE338" i="13"/>
  <c r="BF322" i="13"/>
  <c r="BE322" i="13"/>
  <c r="BF383" i="13"/>
  <c r="BE383" i="13"/>
  <c r="BF357" i="13"/>
  <c r="BE357" i="13"/>
  <c r="BG312" i="13"/>
  <c r="BH312" i="13"/>
  <c r="BF313" i="13"/>
  <c r="BE313" i="13"/>
  <c r="BH343" i="13"/>
  <c r="BG343" i="13"/>
  <c r="BE266" i="13"/>
  <c r="BF266" i="13"/>
  <c r="BF340" i="13"/>
  <c r="BE340" i="13"/>
  <c r="BH342" i="13"/>
  <c r="BG342" i="13"/>
  <c r="BE307" i="13"/>
  <c r="BF307" i="13"/>
  <c r="BH297" i="13"/>
  <c r="BG297" i="13"/>
  <c r="BF275" i="13"/>
  <c r="BE275" i="13"/>
  <c r="BF269" i="13"/>
  <c r="BE269" i="13"/>
  <c r="BH288" i="13"/>
  <c r="BG288" i="13"/>
  <c r="BF273" i="13"/>
  <c r="BE273" i="13"/>
  <c r="BH250" i="13"/>
  <c r="BG250" i="13"/>
  <c r="BH234" i="13"/>
  <c r="BG234" i="13"/>
  <c r="BG287" i="13"/>
  <c r="BH287" i="13"/>
  <c r="BE195" i="13"/>
  <c r="BF195" i="13"/>
  <c r="AV311" i="13"/>
  <c r="BD311" i="13" s="1"/>
  <c r="BF264" i="13"/>
  <c r="BE264" i="13"/>
  <c r="BF233" i="13"/>
  <c r="BE233" i="13"/>
  <c r="BD243" i="13"/>
  <c r="BH214" i="13"/>
  <c r="BG214" i="13"/>
  <c r="BE182" i="13"/>
  <c r="BF182" i="13"/>
  <c r="BH221" i="13"/>
  <c r="BG221" i="13"/>
  <c r="BH180" i="13"/>
  <c r="BG180" i="13"/>
  <c r="BH173" i="13"/>
  <c r="BG173" i="13"/>
  <c r="BH126" i="13"/>
  <c r="BG126" i="13"/>
  <c r="AV110" i="13"/>
  <c r="BD110" i="13" s="1"/>
  <c r="BE138" i="13"/>
  <c r="AS137" i="13"/>
  <c r="BF138" i="13"/>
  <c r="BF129" i="13"/>
  <c r="BE129" i="13"/>
  <c r="AR113" i="13"/>
  <c r="BF139" i="13"/>
  <c r="BE139" i="13"/>
  <c r="BH121" i="13"/>
  <c r="BG121" i="13"/>
  <c r="BF83" i="13"/>
  <c r="BE83" i="13"/>
  <c r="BH168" i="13"/>
  <c r="BG168" i="13"/>
  <c r="AU20" i="13"/>
  <c r="AU18" i="13" s="1"/>
  <c r="AH18" i="13"/>
  <c r="AV99" i="13"/>
  <c r="BD99" i="13" s="1"/>
  <c r="BH66" i="13"/>
  <c r="BG66" i="13"/>
  <c r="BH117" i="13"/>
  <c r="BG117" i="13"/>
  <c r="AR74" i="13"/>
  <c r="BF61" i="13"/>
  <c r="BE61" i="13"/>
  <c r="BH51" i="13"/>
  <c r="BG51" i="13"/>
  <c r="BE40" i="13"/>
  <c r="BF40" i="13"/>
  <c r="BF116" i="13"/>
  <c r="BE116" i="13"/>
  <c r="BF107" i="13"/>
  <c r="BE107" i="13"/>
  <c r="BF256" i="13"/>
  <c r="BE256" i="13"/>
  <c r="BF205" i="13"/>
  <c r="BE205" i="13"/>
  <c r="BE315" i="13"/>
  <c r="BF315" i="13"/>
  <c r="BG309" i="13"/>
  <c r="BH309" i="13"/>
  <c r="BF403" i="13"/>
  <c r="BE403" i="13"/>
  <c r="BF426" i="13"/>
  <c r="BE426" i="13"/>
  <c r="BF423" i="13"/>
  <c r="BE423" i="13"/>
  <c r="BG65" i="13"/>
  <c r="BH65" i="13"/>
  <c r="AV36" i="13"/>
  <c r="BD36" i="13" s="1"/>
  <c r="AV83" i="13"/>
  <c r="BD83" i="13" s="1"/>
  <c r="BG61" i="13"/>
  <c r="BH61" i="13"/>
  <c r="AR38" i="13"/>
  <c r="BF506" i="13"/>
  <c r="BE506" i="13"/>
  <c r="BF476" i="13"/>
  <c r="BE476" i="13"/>
  <c r="BH448" i="13"/>
  <c r="BG448" i="13"/>
  <c r="BF461" i="13"/>
  <c r="BE461" i="13"/>
  <c r="BH335" i="13"/>
  <c r="BG335" i="13"/>
  <c r="BF331" i="13"/>
  <c r="BE331" i="13"/>
  <c r="BG308" i="13"/>
  <c r="BH308" i="13"/>
  <c r="BF261" i="13"/>
  <c r="BE261" i="13"/>
  <c r="BH249" i="13"/>
  <c r="BG249" i="13"/>
  <c r="BF118" i="13"/>
  <c r="BE118" i="13"/>
  <c r="BF96" i="13"/>
  <c r="BE96" i="13"/>
  <c r="BF272" i="13"/>
  <c r="BE272" i="13"/>
  <c r="AV493" i="13"/>
  <c r="BD493" i="13" s="1"/>
  <c r="AR493" i="13"/>
  <c r="BH421" i="13"/>
  <c r="BG421" i="13"/>
  <c r="BF425" i="13"/>
  <c r="BE425" i="13"/>
  <c r="BF409" i="13"/>
  <c r="BE409" i="13"/>
  <c r="BH357" i="13"/>
  <c r="BG357" i="13"/>
  <c r="BH531" i="13"/>
  <c r="BG531" i="13"/>
  <c r="BF517" i="13"/>
  <c r="BE517" i="13"/>
  <c r="BH539" i="13"/>
  <c r="BG539" i="13"/>
  <c r="BH479" i="13"/>
  <c r="BG479" i="13"/>
  <c r="BF471" i="13"/>
  <c r="BE471" i="13"/>
  <c r="BE452" i="13"/>
  <c r="BF452" i="13"/>
  <c r="BH469" i="13"/>
  <c r="BG469" i="13"/>
  <c r="BH441" i="13"/>
  <c r="BG441" i="13"/>
  <c r="BF453" i="13"/>
  <c r="BE453" i="13"/>
  <c r="BF465" i="13"/>
  <c r="BE465" i="13"/>
  <c r="BG381" i="13"/>
  <c r="BH381" i="13"/>
  <c r="BF333" i="13"/>
  <c r="BE333" i="13"/>
  <c r="BH386" i="13"/>
  <c r="BG386" i="13"/>
  <c r="BF352" i="13"/>
  <c r="BE352" i="13"/>
  <c r="BH345" i="13"/>
  <c r="BG345" i="13"/>
  <c r="BE298" i="13"/>
  <c r="BF298" i="13"/>
  <c r="BE282" i="13"/>
  <c r="BF282" i="13"/>
  <c r="BH329" i="13"/>
  <c r="BG329" i="13"/>
  <c r="BD340" i="13"/>
  <c r="BF295" i="13"/>
  <c r="BE295" i="13"/>
  <c r="BH285" i="13"/>
  <c r="BG285" i="13"/>
  <c r="BG279" i="13"/>
  <c r="BH279" i="13"/>
  <c r="BE191" i="13"/>
  <c r="BF191" i="13"/>
  <c r="BH306" i="13"/>
  <c r="BG306" i="13"/>
  <c r="BF185" i="13"/>
  <c r="BE185" i="13"/>
  <c r="BH211" i="13"/>
  <c r="BG211" i="13"/>
  <c r="BH210" i="13"/>
  <c r="BH175" i="13"/>
  <c r="BG175" i="13"/>
  <c r="BH262" i="13"/>
  <c r="BG262" i="13"/>
  <c r="BH106" i="13"/>
  <c r="BG106" i="13"/>
  <c r="BF168" i="13"/>
  <c r="BE168" i="13"/>
  <c r="BF151" i="13"/>
  <c r="BE151" i="13"/>
  <c r="AR93" i="13"/>
  <c r="BF153" i="13"/>
  <c r="AV96" i="13"/>
  <c r="BD96" i="13" s="1"/>
  <c r="BF98" i="13"/>
  <c r="BE98" i="13"/>
  <c r="BF79" i="13"/>
  <c r="BE79" i="13"/>
  <c r="BH129" i="13"/>
  <c r="BG129" i="13"/>
  <c r="BF63" i="13"/>
  <c r="BE63" i="13"/>
  <c r="BH105" i="13"/>
  <c r="BG105" i="13"/>
  <c r="BH62" i="13"/>
  <c r="BG62" i="13"/>
  <c r="BE21" i="13"/>
  <c r="BF21" i="13"/>
  <c r="BH170" i="13"/>
  <c r="BG170" i="13"/>
  <c r="BG143" i="13"/>
  <c r="BH143" i="13"/>
  <c r="BH89" i="13"/>
  <c r="BG89" i="13"/>
  <c r="BF49" i="13"/>
  <c r="BE49" i="13"/>
  <c r="AR88" i="13"/>
  <c r="AV88" i="13"/>
  <c r="BD88" i="13" s="1"/>
  <c r="BF120" i="13"/>
  <c r="BE120" i="13"/>
  <c r="BF111" i="13"/>
  <c r="BE111" i="13"/>
  <c r="BF190" i="13"/>
  <c r="BE190" i="13"/>
  <c r="BF213" i="13"/>
  <c r="BE213" i="13"/>
  <c r="BH318" i="13"/>
  <c r="BG318" i="13"/>
  <c r="BE399" i="13"/>
  <c r="BF399" i="13"/>
  <c r="BE431" i="13"/>
  <c r="BF431" i="13"/>
  <c r="AV40" i="13"/>
  <c r="BD40" i="13" s="1"/>
  <c r="AV97" i="13"/>
  <c r="BD97" i="13" s="1"/>
  <c r="BH529" i="13"/>
  <c r="BG529" i="13"/>
  <c r="BH528" i="13"/>
  <c r="BG528" i="13"/>
  <c r="BH477" i="13"/>
  <c r="BG477" i="13"/>
  <c r="BE448" i="13"/>
  <c r="BF448" i="13"/>
  <c r="BG396" i="13"/>
  <c r="BH396" i="13"/>
  <c r="BH379" i="13"/>
  <c r="BG379" i="13"/>
  <c r="BH293" i="13"/>
  <c r="BG293" i="13"/>
  <c r="BE215" i="13"/>
  <c r="BH205" i="13"/>
  <c r="BE251" i="13"/>
  <c r="BF71" i="13"/>
  <c r="BE71" i="13"/>
  <c r="BF59" i="13"/>
  <c r="BE59" i="13"/>
  <c r="BH104" i="13"/>
  <c r="BH500" i="13"/>
  <c r="BG500" i="13"/>
  <c r="BF472" i="13"/>
  <c r="BE472" i="13"/>
  <c r="BG491" i="13"/>
  <c r="BH491" i="13"/>
  <c r="BF466" i="13"/>
  <c r="BE466" i="13"/>
  <c r="BH468" i="13"/>
  <c r="BG468" i="13"/>
  <c r="BH360" i="13"/>
  <c r="BG360" i="13"/>
  <c r="AV388" i="13"/>
  <c r="BD388" i="13" s="1"/>
  <c r="BF355" i="13"/>
  <c r="BE355" i="13"/>
  <c r="BH544" i="13"/>
  <c r="BG544" i="13"/>
  <c r="BF543" i="13"/>
  <c r="BE543" i="13"/>
  <c r="BF510" i="13"/>
  <c r="BE510" i="13"/>
  <c r="BH498" i="13"/>
  <c r="BG498" i="13"/>
  <c r="BH497" i="13"/>
  <c r="BG497" i="13"/>
  <c r="BH484" i="13"/>
  <c r="BG484" i="13"/>
  <c r="BG489" i="13"/>
  <c r="BH462" i="13"/>
  <c r="BG462" i="13"/>
  <c r="BH409" i="13"/>
  <c r="BG409" i="13"/>
  <c r="BH410" i="13"/>
  <c r="BG410" i="13"/>
  <c r="BF393" i="13"/>
  <c r="BE393" i="13"/>
  <c r="BH559" i="13"/>
  <c r="BG559" i="13"/>
  <c r="BH540" i="13"/>
  <c r="BG540" i="13"/>
  <c r="BH552" i="13"/>
  <c r="BG552" i="13"/>
  <c r="BF561" i="13"/>
  <c r="BE561" i="13"/>
  <c r="BF549" i="13"/>
  <c r="BE549" i="13"/>
  <c r="BF534" i="13"/>
  <c r="BE534" i="13"/>
  <c r="BH530" i="13"/>
  <c r="BG530" i="13"/>
  <c r="BF528" i="13"/>
  <c r="BE528" i="13"/>
  <c r="BH538" i="13"/>
  <c r="BG538" i="13"/>
  <c r="BH520" i="13"/>
  <c r="BG520" i="13"/>
  <c r="BF502" i="13"/>
  <c r="BE502" i="13"/>
  <c r="BH478" i="13"/>
  <c r="BG478" i="13"/>
  <c r="BG494" i="13"/>
  <c r="BH494" i="13"/>
  <c r="BF479" i="13"/>
  <c r="BE479" i="13"/>
  <c r="BH467" i="13"/>
  <c r="BG467" i="13"/>
  <c r="BG453" i="13"/>
  <c r="BH453" i="13"/>
  <c r="BF446" i="13"/>
  <c r="BE446" i="13"/>
  <c r="BH445" i="13"/>
  <c r="BH466" i="13"/>
  <c r="BG466" i="13"/>
  <c r="BE429" i="13"/>
  <c r="BG407" i="13"/>
  <c r="BH407" i="13"/>
  <c r="BG390" i="13"/>
  <c r="BH400" i="13"/>
  <c r="BG400" i="13"/>
  <c r="BG434" i="13"/>
  <c r="BH434" i="13"/>
  <c r="BH369" i="13"/>
  <c r="BG369" i="13"/>
  <c r="BE391" i="13"/>
  <c r="BF391" i="13"/>
  <c r="BF349" i="13"/>
  <c r="BE349" i="13"/>
  <c r="AV385" i="13"/>
  <c r="BD385" i="13" s="1"/>
  <c r="BF350" i="13"/>
  <c r="BE350" i="13"/>
  <c r="BF334" i="13"/>
  <c r="BE334" i="13"/>
  <c r="BF353" i="13"/>
  <c r="BE353" i="13"/>
  <c r="BH314" i="13"/>
  <c r="BF336" i="13"/>
  <c r="BE336" i="13"/>
  <c r="BF335" i="13"/>
  <c r="BE335" i="13"/>
  <c r="BF283" i="13"/>
  <c r="BE283" i="13"/>
  <c r="BF271" i="13"/>
  <c r="BE271" i="13"/>
  <c r="BF289" i="13"/>
  <c r="BE289" i="13"/>
  <c r="AL189" i="13"/>
  <c r="AK189" i="13"/>
  <c r="BH246" i="13"/>
  <c r="BG246" i="13"/>
  <c r="BH230" i="13"/>
  <c r="BG230" i="13"/>
  <c r="BF219" i="13"/>
  <c r="BF245" i="13"/>
  <c r="BE245" i="13"/>
  <c r="BF229" i="13"/>
  <c r="BE229" i="13"/>
  <c r="BF220" i="13"/>
  <c r="BE220" i="13"/>
  <c r="BH203" i="13"/>
  <c r="BG203" i="13"/>
  <c r="BF258" i="13"/>
  <c r="BE258" i="13"/>
  <c r="BH169" i="13"/>
  <c r="BG169" i="13"/>
  <c r="BH153" i="13"/>
  <c r="BG153" i="13"/>
  <c r="BH102" i="13"/>
  <c r="BG102" i="13"/>
  <c r="BE150" i="13"/>
  <c r="BF150" i="13"/>
  <c r="BF125" i="13"/>
  <c r="BE125" i="13"/>
  <c r="BF109" i="13"/>
  <c r="BE109" i="13"/>
  <c r="BF134" i="13"/>
  <c r="BE134" i="13"/>
  <c r="BF75" i="13"/>
  <c r="BE75" i="13"/>
  <c r="BH152" i="13"/>
  <c r="BG152" i="13"/>
  <c r="AV120" i="13"/>
  <c r="BD120" i="13" s="1"/>
  <c r="AV86" i="13"/>
  <c r="BD86" i="13" s="1"/>
  <c r="AR86" i="13"/>
  <c r="BF106" i="13"/>
  <c r="BE106" i="13"/>
  <c r="BF69" i="13"/>
  <c r="BE69" i="13"/>
  <c r="BF124" i="13"/>
  <c r="BE124" i="13"/>
  <c r="BF115" i="13"/>
  <c r="BE115" i="13"/>
  <c r="BF198" i="13"/>
  <c r="BE198" i="13"/>
  <c r="BF217" i="13"/>
  <c r="BE217" i="13"/>
  <c r="BH63" i="13"/>
  <c r="BG63" i="13"/>
  <c r="AV75" i="13"/>
  <c r="BD75" i="13" s="1"/>
  <c r="BH27" i="13"/>
  <c r="BG27" i="13"/>
  <c r="BG378" i="13" l="1"/>
  <c r="BG217" i="13"/>
  <c r="BH271" i="13"/>
  <c r="BE381" i="13"/>
  <c r="BG375" i="13"/>
  <c r="BF406" i="13"/>
  <c r="BH402" i="13"/>
  <c r="BG483" i="13"/>
  <c r="BG553" i="13"/>
  <c r="BE243" i="13"/>
  <c r="BG116" i="13"/>
  <c r="BF211" i="13"/>
  <c r="BG162" i="13"/>
  <c r="BH231" i="13"/>
  <c r="BF57" i="13"/>
  <c r="BE126" i="13"/>
  <c r="BF26" i="13"/>
  <c r="BG125" i="13"/>
  <c r="BG403" i="13"/>
  <c r="BG244" i="13"/>
  <c r="BG426" i="13"/>
  <c r="BG198" i="13"/>
  <c r="BG461" i="13"/>
  <c r="BE421" i="13"/>
  <c r="BG418" i="13"/>
  <c r="BG323" i="13"/>
  <c r="BH454" i="13"/>
  <c r="BG376" i="13"/>
  <c r="BG134" i="13"/>
  <c r="BF94" i="13"/>
  <c r="BF101" i="13"/>
  <c r="BG549" i="13"/>
  <c r="BG268" i="13"/>
  <c r="BE332" i="13"/>
  <c r="BH213" i="13"/>
  <c r="BF324" i="13"/>
  <c r="BE342" i="13"/>
  <c r="BG30" i="13"/>
  <c r="BG389" i="13"/>
  <c r="BG197" i="13"/>
  <c r="BH212" i="13"/>
  <c r="BG452" i="13"/>
  <c r="BH305" i="13"/>
  <c r="BG218" i="13"/>
  <c r="BG419" i="13"/>
  <c r="BG337" i="13"/>
  <c r="BE394" i="13"/>
  <c r="BH108" i="13"/>
  <c r="BG98" i="13"/>
  <c r="BF384" i="13"/>
  <c r="BE89" i="13"/>
  <c r="BG260" i="13"/>
  <c r="BH433" i="13"/>
  <c r="BE156" i="13"/>
  <c r="BG245" i="13"/>
  <c r="BE249" i="13"/>
  <c r="BH450" i="13"/>
  <c r="BG451" i="13"/>
  <c r="BF290" i="13"/>
  <c r="AS222" i="13"/>
  <c r="BG100" i="13"/>
  <c r="AS302" i="13"/>
  <c r="BG443" i="13"/>
  <c r="BF310" i="13"/>
  <c r="BG207" i="13"/>
  <c r="BH188" i="13"/>
  <c r="BG103" i="13"/>
  <c r="BE482" i="13"/>
  <c r="BE73" i="13"/>
  <c r="BE102" i="13"/>
  <c r="BG261" i="13"/>
  <c r="BG460" i="13"/>
  <c r="BH208" i="13"/>
  <c r="BG284" i="13"/>
  <c r="BG424" i="13"/>
  <c r="BE344" i="13"/>
  <c r="BE462" i="13"/>
  <c r="BG331" i="13"/>
  <c r="BE26" i="13"/>
  <c r="BH166" i="13"/>
  <c r="BG111" i="13"/>
  <c r="BG348" i="13"/>
  <c r="BE480" i="13"/>
  <c r="BH235" i="13"/>
  <c r="BG186" i="13"/>
  <c r="BE200" i="13"/>
  <c r="BF309" i="13"/>
  <c r="BG423" i="13"/>
  <c r="BG561" i="13"/>
  <c r="BH440" i="13"/>
  <c r="BG112" i="13"/>
  <c r="BG56" i="13"/>
  <c r="BG439" i="13"/>
  <c r="BH248" i="13"/>
  <c r="BG380" i="13"/>
  <c r="BG182" i="13"/>
  <c r="BG158" i="13"/>
  <c r="BH506" i="13"/>
  <c r="BG253" i="13"/>
  <c r="BE457" i="13"/>
  <c r="BG84" i="13"/>
  <c r="BH263" i="13"/>
  <c r="BE192" i="13"/>
  <c r="BE438" i="13"/>
  <c r="BG107" i="13"/>
  <c r="BG256" i="13"/>
  <c r="BE81" i="13"/>
  <c r="BE114" i="13"/>
  <c r="BG252" i="13"/>
  <c r="BG201" i="13"/>
  <c r="BG431" i="13"/>
  <c r="BE398" i="13"/>
  <c r="BG258" i="13"/>
  <c r="BG325" i="13"/>
  <c r="BG91" i="13"/>
  <c r="BE92" i="13"/>
  <c r="AS373" i="13"/>
  <c r="BE387" i="13"/>
  <c r="BH408" i="13"/>
  <c r="BG239" i="13"/>
  <c r="BG133" i="13"/>
  <c r="BE345" i="13"/>
  <c r="BF397" i="13"/>
  <c r="BG95" i="13"/>
  <c r="AS189" i="13"/>
  <c r="BH199" i="13"/>
  <c r="BG301" i="13"/>
  <c r="BF434" i="13"/>
  <c r="AS321" i="13"/>
  <c r="BE53" i="13"/>
  <c r="BE343" i="13"/>
  <c r="BG123" i="13"/>
  <c r="BG344" i="13"/>
  <c r="BG557" i="13"/>
  <c r="BE121" i="13"/>
  <c r="BG399" i="13"/>
  <c r="BG446" i="13"/>
  <c r="BE235" i="13"/>
  <c r="BG404" i="13"/>
  <c r="BG414" i="13"/>
  <c r="BE467" i="13"/>
  <c r="BG130" i="13"/>
  <c r="BG332" i="13"/>
  <c r="BH377" i="13"/>
  <c r="BG267" i="13"/>
  <c r="BE77" i="13"/>
  <c r="BE78" i="13"/>
  <c r="BE341" i="13"/>
  <c r="BG373" i="13"/>
  <c r="BF341" i="13"/>
  <c r="BG315" i="13"/>
  <c r="BE405" i="13"/>
  <c r="BE117" i="13"/>
  <c r="BH136" i="13"/>
  <c r="BH135" i="13"/>
  <c r="BF154" i="13"/>
  <c r="AS153" i="13"/>
  <c r="BF203" i="13"/>
  <c r="BG255" i="13"/>
  <c r="BG304" i="13"/>
  <c r="BH304" i="13"/>
  <c r="AS71" i="13"/>
  <c r="BG316" i="13"/>
  <c r="BH316" i="13"/>
  <c r="BH71" i="13"/>
  <c r="BG71" i="13"/>
  <c r="BF42" i="13"/>
  <c r="BE42" i="13"/>
  <c r="BH20" i="13"/>
  <c r="BG20" i="13"/>
  <c r="BD18" i="13"/>
  <c r="BF408" i="13"/>
  <c r="BE408" i="13"/>
  <c r="AS404" i="13"/>
  <c r="BF255" i="13"/>
  <c r="BE255" i="13"/>
  <c r="BH35" i="13"/>
  <c r="BG35" i="13"/>
  <c r="BH97" i="13"/>
  <c r="BG97" i="13"/>
  <c r="BH88" i="13"/>
  <c r="BG88" i="13"/>
  <c r="BH83" i="13"/>
  <c r="BG83" i="13"/>
  <c r="BH110" i="13"/>
  <c r="BG110" i="13"/>
  <c r="BF39" i="13"/>
  <c r="BE39" i="13"/>
  <c r="AV18" i="13"/>
  <c r="BF85" i="13"/>
  <c r="BE85" i="13"/>
  <c r="BH422" i="13"/>
  <c r="BG422" i="13"/>
  <c r="BH416" i="13"/>
  <c r="BG416" i="13"/>
  <c r="BF33" i="13"/>
  <c r="BE33" i="13"/>
  <c r="BH54" i="13"/>
  <c r="BG54" i="13"/>
  <c r="BG37" i="13"/>
  <c r="BH37" i="13"/>
  <c r="BH447" i="13"/>
  <c r="BG447" i="13"/>
  <c r="BH40" i="13"/>
  <c r="BG40" i="13"/>
  <c r="BF88" i="13"/>
  <c r="BE88" i="13"/>
  <c r="BE93" i="13"/>
  <c r="BF93" i="13"/>
  <c r="BE493" i="13"/>
  <c r="BF493" i="13"/>
  <c r="BH36" i="13"/>
  <c r="BG36" i="13"/>
  <c r="BH99" i="13"/>
  <c r="BG99" i="13"/>
  <c r="BH79" i="13"/>
  <c r="BG79" i="13"/>
  <c r="BH31" i="13"/>
  <c r="BG31" i="13"/>
  <c r="BH272" i="13"/>
  <c r="BG272" i="13"/>
  <c r="BH25" i="13"/>
  <c r="BG25" i="13"/>
  <c r="BH55" i="13"/>
  <c r="BG55" i="13"/>
  <c r="BF122" i="13"/>
  <c r="BE122" i="13"/>
  <c r="BH34" i="13"/>
  <c r="BG34" i="13"/>
  <c r="BH328" i="13"/>
  <c r="BG328" i="13"/>
  <c r="BE86" i="13"/>
  <c r="BF86" i="13"/>
  <c r="BH493" i="13"/>
  <c r="BG493" i="13"/>
  <c r="BF113" i="13"/>
  <c r="BE113" i="13"/>
  <c r="BH32" i="13"/>
  <c r="BG32" i="13"/>
  <c r="BH119" i="13"/>
  <c r="BG119" i="13"/>
  <c r="BE286" i="13"/>
  <c r="BF286" i="13"/>
  <c r="BF327" i="13"/>
  <c r="BE327" i="13"/>
  <c r="BF76" i="13"/>
  <c r="BE76" i="13"/>
  <c r="BH132" i="13"/>
  <c r="BG132" i="13"/>
  <c r="BH247" i="13"/>
  <c r="BG247" i="13"/>
  <c r="BH242" i="13"/>
  <c r="BG242" i="13"/>
  <c r="BH326" i="13"/>
  <c r="BG326" i="13"/>
  <c r="BH75" i="13"/>
  <c r="BG75" i="13"/>
  <c r="BH86" i="13"/>
  <c r="BG86" i="13"/>
  <c r="AK18" i="13"/>
  <c r="BH336" i="13"/>
  <c r="BG336" i="13"/>
  <c r="BF90" i="13"/>
  <c r="BE90" i="13"/>
  <c r="BH206" i="13"/>
  <c r="BG206" i="13"/>
  <c r="BF374" i="13"/>
  <c r="BE374" i="13"/>
  <c r="AS445" i="13"/>
  <c r="AS30" i="13"/>
  <c r="BH120" i="13"/>
  <c r="BG120" i="13"/>
  <c r="BG385" i="13"/>
  <c r="BH385" i="13"/>
  <c r="BH340" i="13"/>
  <c r="BG340" i="13"/>
  <c r="BF74" i="13"/>
  <c r="BE74" i="13"/>
  <c r="BG311" i="13"/>
  <c r="BH311" i="13"/>
  <c r="BH470" i="13"/>
  <c r="BG470" i="13"/>
  <c r="BH324" i="13"/>
  <c r="BG324" i="13"/>
  <c r="BF82" i="13"/>
  <c r="BE82" i="13"/>
  <c r="AR18" i="13"/>
  <c r="BH388" i="13"/>
  <c r="BG388" i="13"/>
  <c r="BF38" i="13"/>
  <c r="BE38" i="13"/>
  <c r="BH243" i="13"/>
  <c r="BG243" i="13"/>
  <c r="BH412" i="13"/>
  <c r="BG412" i="13"/>
  <c r="BH80" i="13"/>
  <c r="BG80" i="13"/>
  <c r="BH23" i="13"/>
  <c r="BG23" i="13"/>
  <c r="BH154" i="13"/>
  <c r="BG154" i="13"/>
  <c r="BH251" i="13"/>
  <c r="BG251" i="13"/>
  <c r="BH458" i="13"/>
  <c r="BG458" i="13"/>
  <c r="BH96" i="13"/>
  <c r="BG96" i="13"/>
  <c r="BF157" i="13"/>
  <c r="BE157" i="13"/>
  <c r="BH72" i="13"/>
  <c r="BG72" i="13"/>
  <c r="BF417" i="13"/>
  <c r="BE417" i="13"/>
  <c r="BH87" i="13"/>
  <c r="BG87" i="13"/>
  <c r="BH131" i="13"/>
  <c r="BG131" i="13"/>
  <c r="AS18" i="13" l="1"/>
  <c r="L18" i="1" l="1"/>
  <c r="BC18" i="1" l="1"/>
  <c r="AF1312" i="1" l="1"/>
  <c r="AI1312" i="1" l="1"/>
  <c r="AS1312" i="1"/>
  <c r="Z1312" i="1"/>
  <c r="Y1312" i="1"/>
  <c r="AU18" i="1"/>
  <c r="AW18" i="1"/>
  <c r="AY18" i="1"/>
  <c r="AV18" i="1"/>
  <c r="AX18" i="1"/>
  <c r="AZ18" i="1"/>
  <c r="R14" i="1"/>
  <c r="R13" i="1"/>
  <c r="R12" i="1"/>
  <c r="R11" i="1"/>
  <c r="R10" i="1"/>
  <c r="Q9" i="1"/>
  <c r="Q8" i="1"/>
  <c r="R6" i="1"/>
  <c r="R7" i="1"/>
  <c r="R4" i="1"/>
  <c r="R5" i="1"/>
  <c r="R3" i="1"/>
  <c r="BA18" i="1" l="1"/>
  <c r="R8" i="1"/>
  <c r="R9" i="1"/>
  <c r="AT18" i="1" l="1"/>
  <c r="BB18" i="1"/>
  <c r="AF20" i="1" l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29" i="1"/>
  <c r="AF430" i="1"/>
  <c r="AF431" i="1"/>
  <c r="AF432" i="1"/>
  <c r="AF433" i="1"/>
  <c r="AF434" i="1"/>
  <c r="AF435" i="1"/>
  <c r="AF436" i="1"/>
  <c r="AF437" i="1"/>
  <c r="AF438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3" i="1"/>
  <c r="AF454" i="1"/>
  <c r="AF455" i="1"/>
  <c r="AF456" i="1"/>
  <c r="AF457" i="1"/>
  <c r="AF458" i="1"/>
  <c r="AF459" i="1"/>
  <c r="AF460" i="1"/>
  <c r="AF461" i="1"/>
  <c r="AF462" i="1"/>
  <c r="AF463" i="1"/>
  <c r="AF464" i="1"/>
  <c r="AF465" i="1"/>
  <c r="AF466" i="1"/>
  <c r="AF467" i="1"/>
  <c r="AF468" i="1"/>
  <c r="AF469" i="1"/>
  <c r="AF470" i="1"/>
  <c r="AF471" i="1"/>
  <c r="AF472" i="1"/>
  <c r="AF473" i="1"/>
  <c r="AF474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F501" i="1"/>
  <c r="AF502" i="1"/>
  <c r="AF503" i="1"/>
  <c r="AF504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5" i="1"/>
  <c r="AF526" i="1"/>
  <c r="AF527" i="1"/>
  <c r="AF528" i="1"/>
  <c r="AF529" i="1"/>
  <c r="AF530" i="1"/>
  <c r="AF531" i="1"/>
  <c r="AF532" i="1"/>
  <c r="AF533" i="1"/>
  <c r="AF534" i="1"/>
  <c r="AF535" i="1"/>
  <c r="AF536" i="1"/>
  <c r="AF537" i="1"/>
  <c r="AF538" i="1"/>
  <c r="AF539" i="1"/>
  <c r="AF540" i="1"/>
  <c r="AF541" i="1"/>
  <c r="AF542" i="1"/>
  <c r="AF543" i="1"/>
  <c r="AF544" i="1"/>
  <c r="AF545" i="1"/>
  <c r="AF546" i="1"/>
  <c r="AF547" i="1"/>
  <c r="AF548" i="1"/>
  <c r="AF549" i="1"/>
  <c r="AF550" i="1"/>
  <c r="AF551" i="1"/>
  <c r="AF552" i="1"/>
  <c r="AF553" i="1"/>
  <c r="AF554" i="1"/>
  <c r="AF555" i="1"/>
  <c r="AF556" i="1"/>
  <c r="AF557" i="1"/>
  <c r="AF558" i="1"/>
  <c r="AF559" i="1"/>
  <c r="AF560" i="1"/>
  <c r="AF561" i="1"/>
  <c r="AF562" i="1"/>
  <c r="AF563" i="1"/>
  <c r="AF564" i="1"/>
  <c r="AF565" i="1"/>
  <c r="AF566" i="1"/>
  <c r="AF567" i="1"/>
  <c r="AF568" i="1"/>
  <c r="AF569" i="1"/>
  <c r="AF570" i="1"/>
  <c r="AF571" i="1"/>
  <c r="AF572" i="1"/>
  <c r="AF573" i="1"/>
  <c r="AF574" i="1"/>
  <c r="AF575" i="1"/>
  <c r="AF576" i="1"/>
  <c r="AF577" i="1"/>
  <c r="AF578" i="1"/>
  <c r="AF579" i="1"/>
  <c r="AF580" i="1"/>
  <c r="AF581" i="1"/>
  <c r="AF582" i="1"/>
  <c r="AF583" i="1"/>
  <c r="AF584" i="1"/>
  <c r="AF585" i="1"/>
  <c r="AF586" i="1"/>
  <c r="AF587" i="1"/>
  <c r="AF588" i="1"/>
  <c r="AF589" i="1"/>
  <c r="AF590" i="1"/>
  <c r="AF591" i="1"/>
  <c r="AF592" i="1"/>
  <c r="AF593" i="1"/>
  <c r="AF594" i="1"/>
  <c r="AF595" i="1"/>
  <c r="AF596" i="1"/>
  <c r="AF597" i="1"/>
  <c r="AF598" i="1"/>
  <c r="AF599" i="1"/>
  <c r="AF600" i="1"/>
  <c r="AF601" i="1"/>
  <c r="AF602" i="1"/>
  <c r="AF603" i="1"/>
  <c r="AF604" i="1"/>
  <c r="AF605" i="1"/>
  <c r="AF606" i="1"/>
  <c r="AF607" i="1"/>
  <c r="AF608" i="1"/>
  <c r="AF609" i="1"/>
  <c r="AF610" i="1"/>
  <c r="AF611" i="1"/>
  <c r="AF612" i="1"/>
  <c r="AF613" i="1"/>
  <c r="AF614" i="1"/>
  <c r="AF615" i="1"/>
  <c r="AF616" i="1"/>
  <c r="AF617" i="1"/>
  <c r="AF618" i="1"/>
  <c r="AF619" i="1"/>
  <c r="AF620" i="1"/>
  <c r="AF621" i="1"/>
  <c r="AF622" i="1"/>
  <c r="AF623" i="1"/>
  <c r="AF624" i="1"/>
  <c r="AF625" i="1"/>
  <c r="AF626" i="1"/>
  <c r="AF627" i="1"/>
  <c r="AF628" i="1"/>
  <c r="AF629" i="1"/>
  <c r="AF630" i="1"/>
  <c r="AF631" i="1"/>
  <c r="AF632" i="1"/>
  <c r="AF633" i="1"/>
  <c r="AF634" i="1"/>
  <c r="AF635" i="1"/>
  <c r="AF636" i="1"/>
  <c r="AF637" i="1"/>
  <c r="AF638" i="1"/>
  <c r="AF639" i="1"/>
  <c r="AF640" i="1"/>
  <c r="AF641" i="1"/>
  <c r="AF642" i="1"/>
  <c r="AF643" i="1"/>
  <c r="AF644" i="1"/>
  <c r="AF645" i="1"/>
  <c r="AF646" i="1"/>
  <c r="AF647" i="1"/>
  <c r="AF648" i="1"/>
  <c r="AF649" i="1"/>
  <c r="AF650" i="1"/>
  <c r="AF651" i="1"/>
  <c r="AF652" i="1"/>
  <c r="AF653" i="1"/>
  <c r="AF654" i="1"/>
  <c r="AF655" i="1"/>
  <c r="AF656" i="1"/>
  <c r="AF657" i="1"/>
  <c r="AF658" i="1"/>
  <c r="AF659" i="1"/>
  <c r="AF660" i="1"/>
  <c r="AF661" i="1"/>
  <c r="AF662" i="1"/>
  <c r="AF663" i="1"/>
  <c r="AF664" i="1"/>
  <c r="AF665" i="1"/>
  <c r="AF666" i="1"/>
  <c r="AF667" i="1"/>
  <c r="AF668" i="1"/>
  <c r="AF669" i="1"/>
  <c r="AF670" i="1"/>
  <c r="AF671" i="1"/>
  <c r="AF672" i="1"/>
  <c r="AF673" i="1"/>
  <c r="AF674" i="1"/>
  <c r="AF675" i="1"/>
  <c r="AF676" i="1"/>
  <c r="AF677" i="1"/>
  <c r="AF678" i="1"/>
  <c r="AF679" i="1"/>
  <c r="AF680" i="1"/>
  <c r="AF681" i="1"/>
  <c r="AF682" i="1"/>
  <c r="AF683" i="1"/>
  <c r="AF684" i="1"/>
  <c r="AF685" i="1"/>
  <c r="AF686" i="1"/>
  <c r="AF687" i="1"/>
  <c r="AF688" i="1"/>
  <c r="AF689" i="1"/>
  <c r="AF690" i="1"/>
  <c r="AF691" i="1"/>
  <c r="AF692" i="1"/>
  <c r="AF693" i="1"/>
  <c r="AF694" i="1"/>
  <c r="AF695" i="1"/>
  <c r="AF696" i="1"/>
  <c r="AF697" i="1"/>
  <c r="AF698" i="1"/>
  <c r="AF699" i="1"/>
  <c r="AF700" i="1"/>
  <c r="AF701" i="1"/>
  <c r="AF702" i="1"/>
  <c r="AF703" i="1"/>
  <c r="AF704" i="1"/>
  <c r="AF705" i="1"/>
  <c r="AF706" i="1"/>
  <c r="AF707" i="1"/>
  <c r="AF708" i="1"/>
  <c r="AF709" i="1"/>
  <c r="AF710" i="1"/>
  <c r="AF711" i="1"/>
  <c r="AF712" i="1"/>
  <c r="AF713" i="1"/>
  <c r="AF714" i="1"/>
  <c r="AF715" i="1"/>
  <c r="AF716" i="1"/>
  <c r="AF717" i="1"/>
  <c r="AF718" i="1"/>
  <c r="AF719" i="1"/>
  <c r="AF720" i="1"/>
  <c r="AF721" i="1"/>
  <c r="AF722" i="1"/>
  <c r="AF723" i="1"/>
  <c r="AF724" i="1"/>
  <c r="AF725" i="1"/>
  <c r="AF726" i="1"/>
  <c r="AF727" i="1"/>
  <c r="AF728" i="1"/>
  <c r="AF729" i="1"/>
  <c r="AF730" i="1"/>
  <c r="AF731" i="1"/>
  <c r="AF732" i="1"/>
  <c r="AF733" i="1"/>
  <c r="AF734" i="1"/>
  <c r="AF735" i="1"/>
  <c r="AF736" i="1"/>
  <c r="AF737" i="1"/>
  <c r="AF738" i="1"/>
  <c r="AF739" i="1"/>
  <c r="AF740" i="1"/>
  <c r="AF741" i="1"/>
  <c r="AF742" i="1"/>
  <c r="AF743" i="1"/>
  <c r="AF744" i="1"/>
  <c r="AF745" i="1"/>
  <c r="AF746" i="1"/>
  <c r="AF747" i="1"/>
  <c r="AF748" i="1"/>
  <c r="AF749" i="1"/>
  <c r="AF750" i="1"/>
  <c r="AF751" i="1"/>
  <c r="AF752" i="1"/>
  <c r="AF753" i="1"/>
  <c r="AF754" i="1"/>
  <c r="AF755" i="1"/>
  <c r="AF756" i="1"/>
  <c r="AF757" i="1"/>
  <c r="AF758" i="1"/>
  <c r="AF759" i="1"/>
  <c r="AF760" i="1"/>
  <c r="AF761" i="1"/>
  <c r="AF762" i="1"/>
  <c r="AF763" i="1"/>
  <c r="AF764" i="1"/>
  <c r="AF765" i="1"/>
  <c r="AF766" i="1"/>
  <c r="AF767" i="1"/>
  <c r="AF768" i="1"/>
  <c r="AF769" i="1"/>
  <c r="AF770" i="1"/>
  <c r="AF771" i="1"/>
  <c r="AF772" i="1"/>
  <c r="AF773" i="1"/>
  <c r="AF774" i="1"/>
  <c r="AF775" i="1"/>
  <c r="AF776" i="1"/>
  <c r="AF777" i="1"/>
  <c r="AF778" i="1"/>
  <c r="AF779" i="1"/>
  <c r="AF780" i="1"/>
  <c r="AF781" i="1"/>
  <c r="AF782" i="1"/>
  <c r="AF783" i="1"/>
  <c r="AF784" i="1"/>
  <c r="AF785" i="1"/>
  <c r="AF786" i="1"/>
  <c r="AF787" i="1"/>
  <c r="AF788" i="1"/>
  <c r="AF789" i="1"/>
  <c r="AF790" i="1"/>
  <c r="AF791" i="1"/>
  <c r="AF792" i="1"/>
  <c r="AF793" i="1"/>
  <c r="AF794" i="1"/>
  <c r="AF795" i="1"/>
  <c r="AF796" i="1"/>
  <c r="AF797" i="1"/>
  <c r="AF798" i="1"/>
  <c r="AF799" i="1"/>
  <c r="AF800" i="1"/>
  <c r="AF801" i="1"/>
  <c r="AF802" i="1"/>
  <c r="AF803" i="1"/>
  <c r="AF804" i="1"/>
  <c r="AF805" i="1"/>
  <c r="AF806" i="1"/>
  <c r="AF807" i="1"/>
  <c r="AF808" i="1"/>
  <c r="AF809" i="1"/>
  <c r="AF810" i="1"/>
  <c r="AF811" i="1"/>
  <c r="AF812" i="1"/>
  <c r="AF813" i="1"/>
  <c r="AF814" i="1"/>
  <c r="AF815" i="1"/>
  <c r="AF816" i="1"/>
  <c r="AF817" i="1"/>
  <c r="AF818" i="1"/>
  <c r="AF819" i="1"/>
  <c r="AF820" i="1"/>
  <c r="AF821" i="1"/>
  <c r="AF822" i="1"/>
  <c r="AF823" i="1"/>
  <c r="AF824" i="1"/>
  <c r="AF825" i="1"/>
  <c r="AF826" i="1"/>
  <c r="AF827" i="1"/>
  <c r="AF828" i="1"/>
  <c r="AF829" i="1"/>
  <c r="AF830" i="1"/>
  <c r="AF831" i="1"/>
  <c r="AF832" i="1"/>
  <c r="AF833" i="1"/>
  <c r="AF834" i="1"/>
  <c r="AF835" i="1"/>
  <c r="AF836" i="1"/>
  <c r="AF837" i="1"/>
  <c r="AF838" i="1"/>
  <c r="AF839" i="1"/>
  <c r="AF840" i="1"/>
  <c r="AF841" i="1"/>
  <c r="AF842" i="1"/>
  <c r="AF843" i="1"/>
  <c r="AF844" i="1"/>
  <c r="AF845" i="1"/>
  <c r="AF846" i="1"/>
  <c r="AF847" i="1"/>
  <c r="AF848" i="1"/>
  <c r="AF849" i="1"/>
  <c r="AF850" i="1"/>
  <c r="AF851" i="1"/>
  <c r="AF852" i="1"/>
  <c r="AF853" i="1"/>
  <c r="AF854" i="1"/>
  <c r="AF855" i="1"/>
  <c r="AF856" i="1"/>
  <c r="AF857" i="1"/>
  <c r="AF858" i="1"/>
  <c r="AF859" i="1"/>
  <c r="AF860" i="1"/>
  <c r="AF861" i="1"/>
  <c r="AF862" i="1"/>
  <c r="AF863" i="1"/>
  <c r="AF864" i="1"/>
  <c r="AF865" i="1"/>
  <c r="AF866" i="1"/>
  <c r="AF867" i="1"/>
  <c r="AF868" i="1"/>
  <c r="AF869" i="1"/>
  <c r="AF870" i="1"/>
  <c r="AF871" i="1"/>
  <c r="AF872" i="1"/>
  <c r="AF873" i="1"/>
  <c r="AF874" i="1"/>
  <c r="AF875" i="1"/>
  <c r="AF876" i="1"/>
  <c r="AF877" i="1"/>
  <c r="AF878" i="1"/>
  <c r="AF879" i="1"/>
  <c r="AF880" i="1"/>
  <c r="AF881" i="1"/>
  <c r="AF882" i="1"/>
  <c r="AF883" i="1"/>
  <c r="AF884" i="1"/>
  <c r="AF885" i="1"/>
  <c r="AF886" i="1"/>
  <c r="AF887" i="1"/>
  <c r="AF888" i="1"/>
  <c r="AF889" i="1"/>
  <c r="AF890" i="1"/>
  <c r="AF891" i="1"/>
  <c r="AF892" i="1"/>
  <c r="AF893" i="1"/>
  <c r="AF894" i="1"/>
  <c r="AF895" i="1"/>
  <c r="AF896" i="1"/>
  <c r="AF897" i="1"/>
  <c r="AF898" i="1"/>
  <c r="AF899" i="1"/>
  <c r="AF900" i="1"/>
  <c r="AF901" i="1"/>
  <c r="AF902" i="1"/>
  <c r="AF903" i="1"/>
  <c r="AF904" i="1"/>
  <c r="AF905" i="1"/>
  <c r="AF906" i="1"/>
  <c r="AF907" i="1"/>
  <c r="AF908" i="1"/>
  <c r="AF909" i="1"/>
  <c r="AF910" i="1"/>
  <c r="AF911" i="1"/>
  <c r="AF912" i="1"/>
  <c r="AF913" i="1"/>
  <c r="AF914" i="1"/>
  <c r="AF915" i="1"/>
  <c r="AF916" i="1"/>
  <c r="AF917" i="1"/>
  <c r="AF918" i="1"/>
  <c r="AF919" i="1"/>
  <c r="AF920" i="1"/>
  <c r="AF921" i="1"/>
  <c r="AF922" i="1"/>
  <c r="AF923" i="1"/>
  <c r="AF924" i="1"/>
  <c r="AF925" i="1"/>
  <c r="AF926" i="1"/>
  <c r="AF927" i="1"/>
  <c r="AF928" i="1"/>
  <c r="AF929" i="1"/>
  <c r="AF930" i="1"/>
  <c r="AF931" i="1"/>
  <c r="AF932" i="1"/>
  <c r="AF933" i="1"/>
  <c r="AF934" i="1"/>
  <c r="AF935" i="1"/>
  <c r="AF936" i="1"/>
  <c r="AF937" i="1"/>
  <c r="AF938" i="1"/>
  <c r="AF939" i="1"/>
  <c r="AF940" i="1"/>
  <c r="AF941" i="1"/>
  <c r="AF942" i="1"/>
  <c r="AF943" i="1"/>
  <c r="AF944" i="1"/>
  <c r="AF945" i="1"/>
  <c r="AF946" i="1"/>
  <c r="AF947" i="1"/>
  <c r="AF948" i="1"/>
  <c r="AF949" i="1"/>
  <c r="AF950" i="1"/>
  <c r="AF951" i="1"/>
  <c r="AF952" i="1"/>
  <c r="AF953" i="1"/>
  <c r="AF954" i="1"/>
  <c r="AF955" i="1"/>
  <c r="AF956" i="1"/>
  <c r="AF957" i="1"/>
  <c r="AF958" i="1"/>
  <c r="AF959" i="1"/>
  <c r="AF960" i="1"/>
  <c r="AF961" i="1"/>
  <c r="AF962" i="1"/>
  <c r="AF963" i="1"/>
  <c r="AF964" i="1"/>
  <c r="AF965" i="1"/>
  <c r="AF966" i="1"/>
  <c r="AF967" i="1"/>
  <c r="AF968" i="1"/>
  <c r="AF969" i="1"/>
  <c r="AF970" i="1"/>
  <c r="AF971" i="1"/>
  <c r="AF972" i="1"/>
  <c r="AF973" i="1"/>
  <c r="AF974" i="1"/>
  <c r="AF975" i="1"/>
  <c r="AF976" i="1"/>
  <c r="AF977" i="1"/>
  <c r="AF978" i="1"/>
  <c r="AF979" i="1"/>
  <c r="AF980" i="1"/>
  <c r="AF981" i="1"/>
  <c r="AF982" i="1"/>
  <c r="AF983" i="1"/>
  <c r="AF984" i="1"/>
  <c r="AF985" i="1"/>
  <c r="AF986" i="1"/>
  <c r="AF987" i="1"/>
  <c r="AF988" i="1"/>
  <c r="AF989" i="1"/>
  <c r="AF990" i="1"/>
  <c r="AF991" i="1"/>
  <c r="AF992" i="1"/>
  <c r="AF993" i="1"/>
  <c r="AF994" i="1"/>
  <c r="AF995" i="1"/>
  <c r="AF996" i="1"/>
  <c r="AF997" i="1"/>
  <c r="AF998" i="1"/>
  <c r="AF999" i="1"/>
  <c r="AF1000" i="1"/>
  <c r="AF1001" i="1"/>
  <c r="AF1002" i="1"/>
  <c r="AF1003" i="1"/>
  <c r="AF1004" i="1"/>
  <c r="AF1005" i="1"/>
  <c r="AF1006" i="1"/>
  <c r="AF1007" i="1"/>
  <c r="AF1008" i="1"/>
  <c r="AF1009" i="1"/>
  <c r="AF1010" i="1"/>
  <c r="AF1011" i="1"/>
  <c r="AF1012" i="1"/>
  <c r="AF1013" i="1"/>
  <c r="AF1014" i="1"/>
  <c r="AF1015" i="1"/>
  <c r="AF1016" i="1"/>
  <c r="AF1017" i="1"/>
  <c r="AF1018" i="1"/>
  <c r="AF1019" i="1"/>
  <c r="AF1020" i="1"/>
  <c r="AF1021" i="1"/>
  <c r="AF1022" i="1"/>
  <c r="AF1023" i="1"/>
  <c r="AF1024" i="1"/>
  <c r="AF1025" i="1"/>
  <c r="AF1026" i="1"/>
  <c r="AF1027" i="1"/>
  <c r="AF1028" i="1"/>
  <c r="AF1029" i="1"/>
  <c r="AF1030" i="1"/>
  <c r="AF1031" i="1"/>
  <c r="AF1032" i="1"/>
  <c r="AF1033" i="1"/>
  <c r="AF1034" i="1"/>
  <c r="AF1035" i="1"/>
  <c r="AF1036" i="1"/>
  <c r="AF1037" i="1"/>
  <c r="AF1038" i="1"/>
  <c r="AF1039" i="1"/>
  <c r="AF1040" i="1"/>
  <c r="AF1041" i="1"/>
  <c r="AF1042" i="1"/>
  <c r="AF1043" i="1"/>
  <c r="AF1044" i="1"/>
  <c r="AF1045" i="1"/>
  <c r="AF1046" i="1"/>
  <c r="AF1047" i="1"/>
  <c r="AF1048" i="1"/>
  <c r="AF1049" i="1"/>
  <c r="AF1050" i="1"/>
  <c r="AF1051" i="1"/>
  <c r="AF1052" i="1"/>
  <c r="AF1053" i="1"/>
  <c r="AF1054" i="1"/>
  <c r="AF1055" i="1"/>
  <c r="AF1056" i="1"/>
  <c r="AF1057" i="1"/>
  <c r="AF1058" i="1"/>
  <c r="AF1059" i="1"/>
  <c r="AF1060" i="1"/>
  <c r="AF1061" i="1"/>
  <c r="AF1062" i="1"/>
  <c r="AF1063" i="1"/>
  <c r="AF1064" i="1"/>
  <c r="AF1065" i="1"/>
  <c r="AF1066" i="1"/>
  <c r="AF1067" i="1"/>
  <c r="AF1068" i="1"/>
  <c r="AF1069" i="1"/>
  <c r="AF1070" i="1"/>
  <c r="AF1071" i="1"/>
  <c r="AF1072" i="1"/>
  <c r="AF1073" i="1"/>
  <c r="AF1074" i="1"/>
  <c r="AF1075" i="1"/>
  <c r="AF1076" i="1"/>
  <c r="AF1077" i="1"/>
  <c r="AF1078" i="1"/>
  <c r="AF1079" i="1"/>
  <c r="AF1080" i="1"/>
  <c r="AF1081" i="1"/>
  <c r="AF1082" i="1"/>
  <c r="AF1083" i="1"/>
  <c r="AF1084" i="1"/>
  <c r="AF1085" i="1"/>
  <c r="AF1086" i="1"/>
  <c r="AF1087" i="1"/>
  <c r="AF1088" i="1"/>
  <c r="AF1089" i="1"/>
  <c r="AF1090" i="1"/>
  <c r="AF1091" i="1"/>
  <c r="AF1092" i="1"/>
  <c r="AF1093" i="1"/>
  <c r="AF1094" i="1"/>
  <c r="AF1095" i="1"/>
  <c r="AF1096" i="1"/>
  <c r="AF1097" i="1"/>
  <c r="AF1098" i="1"/>
  <c r="AF1099" i="1"/>
  <c r="AF1100" i="1"/>
  <c r="AF1101" i="1"/>
  <c r="AF1102" i="1"/>
  <c r="AF1103" i="1"/>
  <c r="AF1104" i="1"/>
  <c r="AF1105" i="1"/>
  <c r="AF1106" i="1"/>
  <c r="AF1107" i="1"/>
  <c r="AF1108" i="1"/>
  <c r="AF1109" i="1"/>
  <c r="AF1110" i="1"/>
  <c r="AF1111" i="1"/>
  <c r="AF1112" i="1"/>
  <c r="AF1113" i="1"/>
  <c r="AF1114" i="1"/>
  <c r="AF1115" i="1"/>
  <c r="AF1116" i="1"/>
  <c r="AF1117" i="1"/>
  <c r="AF1118" i="1"/>
  <c r="AF1119" i="1"/>
  <c r="AF1120" i="1"/>
  <c r="AF1121" i="1"/>
  <c r="AF1122" i="1"/>
  <c r="AF1123" i="1"/>
  <c r="AF1124" i="1"/>
  <c r="AF1125" i="1"/>
  <c r="AF1126" i="1"/>
  <c r="AF1127" i="1"/>
  <c r="AF1128" i="1"/>
  <c r="AF1129" i="1"/>
  <c r="AF1130" i="1"/>
  <c r="AF1131" i="1"/>
  <c r="AF1132" i="1"/>
  <c r="AF1133" i="1"/>
  <c r="AF1134" i="1"/>
  <c r="AF1135" i="1"/>
  <c r="AF1136" i="1"/>
  <c r="AF1137" i="1"/>
  <c r="AF1138" i="1"/>
  <c r="AF1139" i="1"/>
  <c r="AF1140" i="1"/>
  <c r="AF1141" i="1"/>
  <c r="AF1142" i="1"/>
  <c r="AF1143" i="1"/>
  <c r="AF1144" i="1"/>
  <c r="AF1145" i="1"/>
  <c r="AF1146" i="1"/>
  <c r="AF1147" i="1"/>
  <c r="AF1148" i="1"/>
  <c r="AF1149" i="1"/>
  <c r="AF1150" i="1"/>
  <c r="AF1151" i="1"/>
  <c r="AF1152" i="1"/>
  <c r="AF1153" i="1"/>
  <c r="AF1154" i="1"/>
  <c r="AF1155" i="1"/>
  <c r="AF1156" i="1"/>
  <c r="AF1157" i="1"/>
  <c r="AF1158" i="1"/>
  <c r="AF1159" i="1"/>
  <c r="AF1160" i="1"/>
  <c r="AF1161" i="1"/>
  <c r="AF1162" i="1"/>
  <c r="AF1163" i="1"/>
  <c r="AF1164" i="1"/>
  <c r="AF1165" i="1"/>
  <c r="AF1166" i="1"/>
  <c r="AF1167" i="1"/>
  <c r="AF1168" i="1"/>
  <c r="AF1169" i="1"/>
  <c r="AF1170" i="1"/>
  <c r="AF1171" i="1"/>
  <c r="AF1172" i="1"/>
  <c r="AF1173" i="1"/>
  <c r="AF1174" i="1"/>
  <c r="AF1175" i="1"/>
  <c r="AF1176" i="1"/>
  <c r="AF1177" i="1"/>
  <c r="AF1178" i="1"/>
  <c r="AF1179" i="1"/>
  <c r="AF1180" i="1"/>
  <c r="AF1181" i="1"/>
  <c r="AF1182" i="1"/>
  <c r="AF1183" i="1"/>
  <c r="AF1184" i="1"/>
  <c r="AF1185" i="1"/>
  <c r="AF1186" i="1"/>
  <c r="AF1187" i="1"/>
  <c r="AF1188" i="1"/>
  <c r="AF1189" i="1"/>
  <c r="AF1190" i="1"/>
  <c r="AF1191" i="1"/>
  <c r="AF1192" i="1"/>
  <c r="AF1193" i="1"/>
  <c r="AF1194" i="1"/>
  <c r="AF1195" i="1"/>
  <c r="AF1196" i="1"/>
  <c r="AF1197" i="1"/>
  <c r="AF1198" i="1"/>
  <c r="AF1199" i="1"/>
  <c r="AF1200" i="1"/>
  <c r="AF1201" i="1"/>
  <c r="AF1202" i="1"/>
  <c r="AF1203" i="1"/>
  <c r="AF1204" i="1"/>
  <c r="AF1205" i="1"/>
  <c r="AF1206" i="1"/>
  <c r="AF1207" i="1"/>
  <c r="AF1208" i="1"/>
  <c r="AF1209" i="1"/>
  <c r="AF1210" i="1"/>
  <c r="AF1211" i="1"/>
  <c r="AF1212" i="1"/>
  <c r="AF1213" i="1"/>
  <c r="AF1214" i="1"/>
  <c r="AF1215" i="1"/>
  <c r="AF1216" i="1"/>
  <c r="AF1217" i="1"/>
  <c r="AF1218" i="1"/>
  <c r="AF1219" i="1"/>
  <c r="AF1220" i="1"/>
  <c r="AF1221" i="1"/>
  <c r="AF1222" i="1"/>
  <c r="AF1223" i="1"/>
  <c r="AF1224" i="1"/>
  <c r="AF1225" i="1"/>
  <c r="AF1226" i="1"/>
  <c r="AF1227" i="1"/>
  <c r="AF1228" i="1"/>
  <c r="AF1229" i="1"/>
  <c r="AF1230" i="1"/>
  <c r="AF1231" i="1"/>
  <c r="AF1232" i="1"/>
  <c r="AF1233" i="1"/>
  <c r="AF1234" i="1"/>
  <c r="AF1235" i="1"/>
  <c r="AF1236" i="1"/>
  <c r="AF1237" i="1"/>
  <c r="AF1238" i="1"/>
  <c r="AF1239" i="1"/>
  <c r="AF1240" i="1"/>
  <c r="AF1241" i="1"/>
  <c r="AF1242" i="1"/>
  <c r="AF1243" i="1"/>
  <c r="AF1244" i="1"/>
  <c r="AF1245" i="1"/>
  <c r="AF1246" i="1"/>
  <c r="AF1247" i="1"/>
  <c r="AF1248" i="1"/>
  <c r="AF1249" i="1"/>
  <c r="AF1250" i="1"/>
  <c r="AF1251" i="1"/>
  <c r="AF1252" i="1"/>
  <c r="AF1253" i="1"/>
  <c r="AF1254" i="1"/>
  <c r="AF1255" i="1"/>
  <c r="AF1256" i="1"/>
  <c r="AF1257" i="1"/>
  <c r="AF1258" i="1"/>
  <c r="AF1259" i="1"/>
  <c r="AF1260" i="1"/>
  <c r="AF1261" i="1"/>
  <c r="AF1262" i="1"/>
  <c r="AF1263" i="1"/>
  <c r="AF1264" i="1"/>
  <c r="AF1265" i="1"/>
  <c r="AF1266" i="1"/>
  <c r="AF1267" i="1"/>
  <c r="AF1268" i="1"/>
  <c r="AF1269" i="1"/>
  <c r="AF1270" i="1"/>
  <c r="AF1271" i="1"/>
  <c r="AF1272" i="1"/>
  <c r="AF1273" i="1"/>
  <c r="AF1274" i="1"/>
  <c r="AF1275" i="1"/>
  <c r="AF1276" i="1"/>
  <c r="AF1277" i="1"/>
  <c r="AF1278" i="1"/>
  <c r="AF1279" i="1"/>
  <c r="AF1280" i="1"/>
  <c r="AF1281" i="1"/>
  <c r="AF1282" i="1"/>
  <c r="AF1283" i="1"/>
  <c r="AF1284" i="1"/>
  <c r="AF1285" i="1"/>
  <c r="AF1286" i="1"/>
  <c r="AF1287" i="1"/>
  <c r="AF1288" i="1"/>
  <c r="AF1289" i="1"/>
  <c r="AF1290" i="1"/>
  <c r="AF1291" i="1"/>
  <c r="AF1292" i="1"/>
  <c r="AF1293" i="1"/>
  <c r="AF1294" i="1"/>
  <c r="AF1295" i="1"/>
  <c r="AF1296" i="1"/>
  <c r="AF1297" i="1"/>
  <c r="AF1298" i="1"/>
  <c r="AF1299" i="1"/>
  <c r="AF1300" i="1"/>
  <c r="AF1301" i="1"/>
  <c r="AF1302" i="1"/>
  <c r="AF1303" i="1"/>
  <c r="AF1304" i="1"/>
  <c r="AF1305" i="1"/>
  <c r="AF1306" i="1"/>
  <c r="AF1307" i="1"/>
  <c r="AF1308" i="1"/>
  <c r="AF1309" i="1"/>
  <c r="AF1310" i="1"/>
  <c r="AF1311" i="1"/>
  <c r="AS1311" i="1" l="1"/>
  <c r="Z1311" i="1"/>
  <c r="Y1311" i="1"/>
  <c r="AS1255" i="1"/>
  <c r="Z1255" i="1"/>
  <c r="Y1255" i="1"/>
  <c r="AI1215" i="1"/>
  <c r="AS1215" i="1"/>
  <c r="Z1215" i="1"/>
  <c r="Y1215" i="1"/>
  <c r="AS1191" i="1"/>
  <c r="Z1191" i="1"/>
  <c r="Y1191" i="1"/>
  <c r="AS1183" i="1"/>
  <c r="Z1183" i="1"/>
  <c r="Y1183" i="1"/>
  <c r="AS1175" i="1"/>
  <c r="Z1175" i="1"/>
  <c r="Y1175" i="1"/>
  <c r="AS1167" i="1"/>
  <c r="Z1167" i="1"/>
  <c r="Y1167" i="1"/>
  <c r="AS1159" i="1"/>
  <c r="Z1159" i="1"/>
  <c r="Y1159" i="1"/>
  <c r="AS1151" i="1"/>
  <c r="Z1151" i="1"/>
  <c r="Y1151" i="1"/>
  <c r="AS1143" i="1"/>
  <c r="Z1143" i="1"/>
  <c r="Y1143" i="1"/>
  <c r="AS1135" i="1"/>
  <c r="Z1135" i="1"/>
  <c r="Y1135" i="1"/>
  <c r="AS1127" i="1"/>
  <c r="Z1127" i="1"/>
  <c r="Y1127" i="1"/>
  <c r="AS1119" i="1"/>
  <c r="Z1119" i="1"/>
  <c r="Y1119" i="1"/>
  <c r="AS1111" i="1"/>
  <c r="Z1111" i="1"/>
  <c r="Y1111" i="1"/>
  <c r="AS1103" i="1"/>
  <c r="Z1103" i="1"/>
  <c r="Y1103" i="1"/>
  <c r="AS1095" i="1"/>
  <c r="Z1095" i="1"/>
  <c r="Y1095" i="1"/>
  <c r="AS1087" i="1"/>
  <c r="Z1087" i="1"/>
  <c r="Y1087" i="1"/>
  <c r="AS1079" i="1"/>
  <c r="Z1079" i="1"/>
  <c r="Y1079" i="1"/>
  <c r="AI1071" i="1"/>
  <c r="AS1071" i="1"/>
  <c r="Z1071" i="1"/>
  <c r="Y1071" i="1"/>
  <c r="AS1063" i="1"/>
  <c r="Z1063" i="1"/>
  <c r="Y1063" i="1"/>
  <c r="AS1055" i="1"/>
  <c r="Z1055" i="1"/>
  <c r="Y1055" i="1"/>
  <c r="AS1047" i="1"/>
  <c r="Z1047" i="1"/>
  <c r="Y1047" i="1"/>
  <c r="AS1039" i="1"/>
  <c r="Z1039" i="1"/>
  <c r="Y1039" i="1"/>
  <c r="AS1031" i="1"/>
  <c r="Z1031" i="1"/>
  <c r="Y1031" i="1"/>
  <c r="AS1023" i="1"/>
  <c r="Z1023" i="1"/>
  <c r="Y1023" i="1"/>
  <c r="AS1015" i="1"/>
  <c r="Z1015" i="1"/>
  <c r="Y1015" i="1"/>
  <c r="AS1007" i="1"/>
  <c r="Z1007" i="1"/>
  <c r="Y1007" i="1"/>
  <c r="AS999" i="1"/>
  <c r="Z999" i="1"/>
  <c r="Y999" i="1"/>
  <c r="AS991" i="1"/>
  <c r="Z991" i="1"/>
  <c r="Y991" i="1"/>
  <c r="AS983" i="1"/>
  <c r="Z983" i="1"/>
  <c r="Y983" i="1"/>
  <c r="AS975" i="1"/>
  <c r="Z975" i="1"/>
  <c r="Y975" i="1"/>
  <c r="AI967" i="1"/>
  <c r="AS967" i="1"/>
  <c r="Z967" i="1"/>
  <c r="Y967" i="1"/>
  <c r="AS959" i="1"/>
  <c r="Z959" i="1"/>
  <c r="Y959" i="1"/>
  <c r="AI951" i="1"/>
  <c r="AS951" i="1"/>
  <c r="Z951" i="1"/>
  <c r="Y951" i="1"/>
  <c r="AS943" i="1"/>
  <c r="Z943" i="1"/>
  <c r="Y943" i="1"/>
  <c r="AS935" i="1"/>
  <c r="Z935" i="1"/>
  <c r="Y935" i="1"/>
  <c r="AS927" i="1"/>
  <c r="Z927" i="1"/>
  <c r="Y927" i="1"/>
  <c r="AI919" i="1"/>
  <c r="AS919" i="1"/>
  <c r="Z919" i="1"/>
  <c r="Y919" i="1"/>
  <c r="AS911" i="1"/>
  <c r="Z911" i="1"/>
  <c r="Y911" i="1"/>
  <c r="AS903" i="1"/>
  <c r="Z903" i="1"/>
  <c r="Y903" i="1"/>
  <c r="AS895" i="1"/>
  <c r="Z895" i="1"/>
  <c r="Y895" i="1"/>
  <c r="AS887" i="1"/>
  <c r="Z887" i="1"/>
  <c r="Y887" i="1"/>
  <c r="AS879" i="1"/>
  <c r="Z879" i="1"/>
  <c r="Y879" i="1"/>
  <c r="AS871" i="1"/>
  <c r="Z871" i="1"/>
  <c r="Y871" i="1"/>
  <c r="AS863" i="1"/>
  <c r="Z863" i="1"/>
  <c r="Y863" i="1"/>
  <c r="AS855" i="1"/>
  <c r="Z855" i="1"/>
  <c r="Y855" i="1"/>
  <c r="AS847" i="1"/>
  <c r="Z847" i="1"/>
  <c r="Y847" i="1"/>
  <c r="AS839" i="1"/>
  <c r="Z839" i="1"/>
  <c r="Y839" i="1"/>
  <c r="AI831" i="1"/>
  <c r="AS831" i="1"/>
  <c r="Z831" i="1"/>
  <c r="Y831" i="1"/>
  <c r="AS823" i="1"/>
  <c r="Z823" i="1"/>
  <c r="Y823" i="1"/>
  <c r="AS815" i="1"/>
  <c r="Z815" i="1"/>
  <c r="Y815" i="1"/>
  <c r="AS807" i="1"/>
  <c r="Z807" i="1"/>
  <c r="Y807" i="1"/>
  <c r="AS799" i="1"/>
  <c r="Z799" i="1"/>
  <c r="Y799" i="1"/>
  <c r="AS791" i="1"/>
  <c r="Z791" i="1"/>
  <c r="Y791" i="1"/>
  <c r="AS783" i="1"/>
  <c r="Z783" i="1"/>
  <c r="Y783" i="1"/>
  <c r="AS775" i="1"/>
  <c r="Z775" i="1"/>
  <c r="Y775" i="1"/>
  <c r="AS767" i="1"/>
  <c r="Z767" i="1"/>
  <c r="Y767" i="1"/>
  <c r="AI759" i="1"/>
  <c r="AS759" i="1"/>
  <c r="Z759" i="1"/>
  <c r="Y759" i="1"/>
  <c r="AS751" i="1"/>
  <c r="Z751" i="1"/>
  <c r="Y751" i="1"/>
  <c r="AS743" i="1"/>
  <c r="Z743" i="1"/>
  <c r="Y743" i="1"/>
  <c r="AS735" i="1"/>
  <c r="Z735" i="1"/>
  <c r="Y735" i="1"/>
  <c r="AS727" i="1"/>
  <c r="Z727" i="1"/>
  <c r="Y727" i="1"/>
  <c r="AS719" i="1"/>
  <c r="Z719" i="1"/>
  <c r="Y719" i="1"/>
  <c r="AS711" i="1"/>
  <c r="Z711" i="1"/>
  <c r="Y711" i="1"/>
  <c r="AS703" i="1"/>
  <c r="Z703" i="1"/>
  <c r="Y703" i="1"/>
  <c r="AS695" i="1"/>
  <c r="Z695" i="1"/>
  <c r="Y695" i="1"/>
  <c r="AS687" i="1"/>
  <c r="Z687" i="1"/>
  <c r="Y687" i="1"/>
  <c r="AS679" i="1"/>
  <c r="Z679" i="1"/>
  <c r="Y679" i="1"/>
  <c r="AS671" i="1"/>
  <c r="Z671" i="1"/>
  <c r="Y671" i="1"/>
  <c r="AS663" i="1"/>
  <c r="Z663" i="1"/>
  <c r="Y663" i="1"/>
  <c r="AS655" i="1"/>
  <c r="Z655" i="1"/>
  <c r="Y655" i="1"/>
  <c r="AS647" i="1"/>
  <c r="Z647" i="1"/>
  <c r="Y647" i="1"/>
  <c r="AS639" i="1"/>
  <c r="Z639" i="1"/>
  <c r="Y639" i="1"/>
  <c r="AS631" i="1"/>
  <c r="Z631" i="1"/>
  <c r="Y631" i="1"/>
  <c r="AS623" i="1"/>
  <c r="Z623" i="1"/>
  <c r="Y623" i="1"/>
  <c r="AS615" i="1"/>
  <c r="Z615" i="1"/>
  <c r="Y615" i="1"/>
  <c r="AS607" i="1"/>
  <c r="Z607" i="1"/>
  <c r="Y607" i="1"/>
  <c r="AS599" i="1"/>
  <c r="Z599" i="1"/>
  <c r="Y599" i="1"/>
  <c r="AS591" i="1"/>
  <c r="Z591" i="1"/>
  <c r="Y591" i="1"/>
  <c r="AS583" i="1"/>
  <c r="Z583" i="1"/>
  <c r="Y583" i="1"/>
  <c r="AS575" i="1"/>
  <c r="Z575" i="1"/>
  <c r="Y575" i="1"/>
  <c r="AS567" i="1"/>
  <c r="Z567" i="1"/>
  <c r="Y567" i="1"/>
  <c r="AS559" i="1"/>
  <c r="Z559" i="1"/>
  <c r="Y559" i="1"/>
  <c r="AS551" i="1"/>
  <c r="Z551" i="1"/>
  <c r="Y551" i="1"/>
  <c r="AS543" i="1"/>
  <c r="Z543" i="1"/>
  <c r="Y543" i="1"/>
  <c r="AS535" i="1"/>
  <c r="Z535" i="1"/>
  <c r="Y535" i="1"/>
  <c r="AS527" i="1"/>
  <c r="Z527" i="1"/>
  <c r="Y527" i="1"/>
  <c r="AS519" i="1"/>
  <c r="Z519" i="1"/>
  <c r="Y519" i="1"/>
  <c r="AS511" i="1"/>
  <c r="Z511" i="1"/>
  <c r="Y511" i="1"/>
  <c r="AS499" i="1"/>
  <c r="Z499" i="1"/>
  <c r="Y499" i="1"/>
  <c r="AS491" i="1"/>
  <c r="Z491" i="1"/>
  <c r="Y491" i="1"/>
  <c r="AS483" i="1"/>
  <c r="Z483" i="1"/>
  <c r="Y483" i="1"/>
  <c r="AS475" i="1"/>
  <c r="Z475" i="1"/>
  <c r="Y475" i="1"/>
  <c r="AS467" i="1"/>
  <c r="Z467" i="1"/>
  <c r="Y467" i="1"/>
  <c r="AS459" i="1"/>
  <c r="Z459" i="1"/>
  <c r="Y459" i="1"/>
  <c r="AI451" i="1"/>
  <c r="AS451" i="1"/>
  <c r="Z451" i="1"/>
  <c r="Y451" i="1"/>
  <c r="AS443" i="1"/>
  <c r="Z443" i="1"/>
  <c r="Y443" i="1"/>
  <c r="AS435" i="1"/>
  <c r="Z435" i="1"/>
  <c r="Y435" i="1"/>
  <c r="AS427" i="1"/>
  <c r="Z427" i="1"/>
  <c r="Y427" i="1"/>
  <c r="AS419" i="1"/>
  <c r="Z419" i="1"/>
  <c r="Y419" i="1"/>
  <c r="AS411" i="1"/>
  <c r="Z411" i="1"/>
  <c r="Y411" i="1"/>
  <c r="AS403" i="1"/>
  <c r="Z403" i="1"/>
  <c r="Y403" i="1"/>
  <c r="AS395" i="1"/>
  <c r="Z395" i="1"/>
  <c r="Y395" i="1"/>
  <c r="AS387" i="1"/>
  <c r="Z387" i="1"/>
  <c r="Y387" i="1"/>
  <c r="AS379" i="1"/>
  <c r="Z379" i="1"/>
  <c r="Y379" i="1"/>
  <c r="AS371" i="1"/>
  <c r="Z371" i="1"/>
  <c r="Y371" i="1"/>
  <c r="AS363" i="1"/>
  <c r="Z363" i="1"/>
  <c r="Y363" i="1"/>
  <c r="AS355" i="1"/>
  <c r="Z355" i="1"/>
  <c r="Y355" i="1"/>
  <c r="AS347" i="1"/>
  <c r="Z347" i="1"/>
  <c r="Y347" i="1"/>
  <c r="AS339" i="1"/>
  <c r="Z339" i="1"/>
  <c r="Y339" i="1"/>
  <c r="AS331" i="1"/>
  <c r="Z331" i="1"/>
  <c r="Y331" i="1"/>
  <c r="AS323" i="1"/>
  <c r="Z323" i="1"/>
  <c r="Y323" i="1"/>
  <c r="AS315" i="1"/>
  <c r="Z315" i="1"/>
  <c r="Y315" i="1"/>
  <c r="AS307" i="1"/>
  <c r="Z307" i="1"/>
  <c r="Y307" i="1"/>
  <c r="AS299" i="1"/>
  <c r="Z299" i="1"/>
  <c r="Y299" i="1"/>
  <c r="AS291" i="1"/>
  <c r="Z291" i="1"/>
  <c r="Y291" i="1"/>
  <c r="AI283" i="1"/>
  <c r="AS283" i="1"/>
  <c r="Z283" i="1"/>
  <c r="Y283" i="1"/>
  <c r="AS275" i="1"/>
  <c r="Z275" i="1"/>
  <c r="Y275" i="1"/>
  <c r="AS267" i="1"/>
  <c r="Z267" i="1"/>
  <c r="Y267" i="1"/>
  <c r="AS259" i="1"/>
  <c r="Z259" i="1"/>
  <c r="Y259" i="1"/>
  <c r="AS251" i="1"/>
  <c r="Z251" i="1"/>
  <c r="Y251" i="1"/>
  <c r="AS243" i="1"/>
  <c r="Z243" i="1"/>
  <c r="Y243" i="1"/>
  <c r="AS235" i="1"/>
  <c r="Z235" i="1"/>
  <c r="Y235" i="1"/>
  <c r="AS227" i="1"/>
  <c r="Z227" i="1"/>
  <c r="Y227" i="1"/>
  <c r="AS219" i="1"/>
  <c r="Z219" i="1"/>
  <c r="Y219" i="1"/>
  <c r="AI211" i="1"/>
  <c r="AS211" i="1"/>
  <c r="Z211" i="1"/>
  <c r="Y211" i="1"/>
  <c r="AS203" i="1"/>
  <c r="Z203" i="1"/>
  <c r="Y203" i="1"/>
  <c r="AS195" i="1"/>
  <c r="Z195" i="1"/>
  <c r="Y195" i="1"/>
  <c r="AS187" i="1"/>
  <c r="Z187" i="1"/>
  <c r="Y187" i="1"/>
  <c r="AS179" i="1"/>
  <c r="Z179" i="1"/>
  <c r="Y179" i="1"/>
  <c r="AS171" i="1"/>
  <c r="Z171" i="1"/>
  <c r="Y171" i="1"/>
  <c r="AS163" i="1"/>
  <c r="Z163" i="1"/>
  <c r="Y163" i="1"/>
  <c r="AS155" i="1"/>
  <c r="Z155" i="1"/>
  <c r="Y155" i="1"/>
  <c r="AS147" i="1"/>
  <c r="Z147" i="1"/>
  <c r="Y147" i="1"/>
  <c r="AS139" i="1"/>
  <c r="Z139" i="1"/>
  <c r="Y139" i="1"/>
  <c r="AS131" i="1"/>
  <c r="Z131" i="1"/>
  <c r="Y131" i="1"/>
  <c r="AS123" i="1"/>
  <c r="Z123" i="1"/>
  <c r="Y123" i="1"/>
  <c r="AS115" i="1"/>
  <c r="Z115" i="1"/>
  <c r="Y115" i="1"/>
  <c r="AS107" i="1"/>
  <c r="Z107" i="1"/>
  <c r="Y107" i="1"/>
  <c r="AS99" i="1"/>
  <c r="Z99" i="1"/>
  <c r="Y99" i="1"/>
  <c r="AS91" i="1"/>
  <c r="Z91" i="1"/>
  <c r="Y91" i="1"/>
  <c r="AS83" i="1"/>
  <c r="Z83" i="1"/>
  <c r="Y83" i="1"/>
  <c r="AS75" i="1"/>
  <c r="Z75" i="1"/>
  <c r="Y75" i="1"/>
  <c r="AS67" i="1"/>
  <c r="Z67" i="1"/>
  <c r="Y67" i="1"/>
  <c r="AS59" i="1"/>
  <c r="Y59" i="1"/>
  <c r="Z59" i="1"/>
  <c r="AS51" i="1"/>
  <c r="Y51" i="1"/>
  <c r="Z51" i="1"/>
  <c r="AS43" i="1"/>
  <c r="Z43" i="1"/>
  <c r="Y43" i="1"/>
  <c r="AS35" i="1"/>
  <c r="Z35" i="1"/>
  <c r="Y35" i="1"/>
  <c r="AS27" i="1"/>
  <c r="Y27" i="1"/>
  <c r="Z27" i="1"/>
  <c r="AS1271" i="1"/>
  <c r="Z1271" i="1"/>
  <c r="Y1271" i="1"/>
  <c r="AS1223" i="1"/>
  <c r="Z1223" i="1"/>
  <c r="Y1223" i="1"/>
  <c r="AS1199" i="1"/>
  <c r="Z1199" i="1"/>
  <c r="Y1199" i="1"/>
  <c r="AS1310" i="1"/>
  <c r="Z1310" i="1"/>
  <c r="Y1310" i="1"/>
  <c r="AS1302" i="1"/>
  <c r="Z1302" i="1"/>
  <c r="Y1302" i="1"/>
  <c r="AS1294" i="1"/>
  <c r="Z1294" i="1"/>
  <c r="Y1294" i="1"/>
  <c r="AS1286" i="1"/>
  <c r="Z1286" i="1"/>
  <c r="Y1286" i="1"/>
  <c r="AS1278" i="1"/>
  <c r="Z1278" i="1"/>
  <c r="Y1278" i="1"/>
  <c r="AS1270" i="1"/>
  <c r="Y1270" i="1"/>
  <c r="Z1270" i="1"/>
  <c r="AS1262" i="1"/>
  <c r="Z1262" i="1"/>
  <c r="Y1262" i="1"/>
  <c r="AS1254" i="1"/>
  <c r="Z1254" i="1"/>
  <c r="Y1254" i="1"/>
  <c r="AS1246" i="1"/>
  <c r="Z1246" i="1"/>
  <c r="Y1246" i="1"/>
  <c r="AS1238" i="1"/>
  <c r="Z1238" i="1"/>
  <c r="Y1238" i="1"/>
  <c r="AS1230" i="1"/>
  <c r="Z1230" i="1"/>
  <c r="Y1230" i="1"/>
  <c r="AS1222" i="1"/>
  <c r="Z1222" i="1"/>
  <c r="Y1222" i="1"/>
  <c r="AS1214" i="1"/>
  <c r="Z1214" i="1"/>
  <c r="Y1214" i="1"/>
  <c r="AS1206" i="1"/>
  <c r="Z1206" i="1"/>
  <c r="Y1206" i="1"/>
  <c r="AS1198" i="1"/>
  <c r="Y1198" i="1"/>
  <c r="Z1198" i="1"/>
  <c r="AS1190" i="1"/>
  <c r="Z1190" i="1"/>
  <c r="Y1190" i="1"/>
  <c r="AS1182" i="1"/>
  <c r="Z1182" i="1"/>
  <c r="Y1182" i="1"/>
  <c r="AS1174" i="1"/>
  <c r="Z1174" i="1"/>
  <c r="Y1174" i="1"/>
  <c r="AS1166" i="1"/>
  <c r="Z1166" i="1"/>
  <c r="Y1166" i="1"/>
  <c r="AS1158" i="1"/>
  <c r="Z1158" i="1"/>
  <c r="Y1158" i="1"/>
  <c r="AI1150" i="1"/>
  <c r="AS1150" i="1"/>
  <c r="Y1150" i="1"/>
  <c r="Z1150" i="1"/>
  <c r="AS1142" i="1"/>
  <c r="Z1142" i="1"/>
  <c r="Y1142" i="1"/>
  <c r="AS1134" i="1"/>
  <c r="Z1134" i="1"/>
  <c r="Y1134" i="1"/>
  <c r="AS1126" i="1"/>
  <c r="Z1126" i="1"/>
  <c r="Y1126" i="1"/>
  <c r="AS1118" i="1"/>
  <c r="Z1118" i="1"/>
  <c r="Y1118" i="1"/>
  <c r="AS1110" i="1"/>
  <c r="Z1110" i="1"/>
  <c r="Y1110" i="1"/>
  <c r="AS1102" i="1"/>
  <c r="Z1102" i="1"/>
  <c r="Y1102" i="1"/>
  <c r="AI1094" i="1"/>
  <c r="AS1094" i="1"/>
  <c r="Z1094" i="1"/>
  <c r="Y1094" i="1"/>
  <c r="AS1086" i="1"/>
  <c r="Z1086" i="1"/>
  <c r="Y1086" i="1"/>
  <c r="AS1078" i="1"/>
  <c r="Z1078" i="1"/>
  <c r="Y1078" i="1"/>
  <c r="AS1070" i="1"/>
  <c r="Y1070" i="1"/>
  <c r="Z1070" i="1"/>
  <c r="AS1062" i="1"/>
  <c r="Z1062" i="1"/>
  <c r="Y1062" i="1"/>
  <c r="AI1054" i="1"/>
  <c r="AS1054" i="1"/>
  <c r="Z1054" i="1"/>
  <c r="Y1054" i="1"/>
  <c r="AS1046" i="1"/>
  <c r="Z1046" i="1"/>
  <c r="Y1046" i="1"/>
  <c r="AS1038" i="1"/>
  <c r="Z1038" i="1"/>
  <c r="Y1038" i="1"/>
  <c r="AS1030" i="1"/>
  <c r="Z1030" i="1"/>
  <c r="Y1030" i="1"/>
  <c r="AS1022" i="1"/>
  <c r="Y1022" i="1"/>
  <c r="Z1022" i="1"/>
  <c r="AS1014" i="1"/>
  <c r="Z1014" i="1"/>
  <c r="Y1014" i="1"/>
  <c r="AS1006" i="1"/>
  <c r="Z1006" i="1"/>
  <c r="Y1006" i="1"/>
  <c r="AS998" i="1"/>
  <c r="Z998" i="1"/>
  <c r="Y998" i="1"/>
  <c r="AS990" i="1"/>
  <c r="Z990" i="1"/>
  <c r="Y990" i="1"/>
  <c r="AI982" i="1"/>
  <c r="AS982" i="1"/>
  <c r="Z982" i="1"/>
  <c r="Y982" i="1"/>
  <c r="AS974" i="1"/>
  <c r="Z974" i="1"/>
  <c r="Y974" i="1"/>
  <c r="AS966" i="1"/>
  <c r="Z966" i="1"/>
  <c r="Y966" i="1"/>
  <c r="AS958" i="1"/>
  <c r="Z958" i="1"/>
  <c r="Y958" i="1"/>
  <c r="AS950" i="1"/>
  <c r="Z950" i="1"/>
  <c r="Y950" i="1"/>
  <c r="AS942" i="1"/>
  <c r="Y942" i="1"/>
  <c r="Z942" i="1"/>
  <c r="AS934" i="1"/>
  <c r="Z934" i="1"/>
  <c r="Y934" i="1"/>
  <c r="AS926" i="1"/>
  <c r="Z926" i="1"/>
  <c r="Y926" i="1"/>
  <c r="AS918" i="1"/>
  <c r="Z918" i="1"/>
  <c r="Y918" i="1"/>
  <c r="AS910" i="1"/>
  <c r="Z910" i="1"/>
  <c r="Y910" i="1"/>
  <c r="AS902" i="1"/>
  <c r="Z902" i="1"/>
  <c r="Y902" i="1"/>
  <c r="AS894" i="1"/>
  <c r="Y894" i="1"/>
  <c r="Z894" i="1"/>
  <c r="AS886" i="1"/>
  <c r="Z886" i="1"/>
  <c r="Y886" i="1"/>
  <c r="AS878" i="1"/>
  <c r="Z878" i="1"/>
  <c r="Y878" i="1"/>
  <c r="AS870" i="1"/>
  <c r="Z870" i="1"/>
  <c r="Y870" i="1"/>
  <c r="AS862" i="1"/>
  <c r="Z862" i="1"/>
  <c r="Y862" i="1"/>
  <c r="AS854" i="1"/>
  <c r="Z854" i="1"/>
  <c r="Y854" i="1"/>
  <c r="AS846" i="1"/>
  <c r="Z846" i="1"/>
  <c r="Y846" i="1"/>
  <c r="AS838" i="1"/>
  <c r="Z838" i="1"/>
  <c r="Y838" i="1"/>
  <c r="AS830" i="1"/>
  <c r="Z830" i="1"/>
  <c r="Y830" i="1"/>
  <c r="AS822" i="1"/>
  <c r="Z822" i="1"/>
  <c r="Y822" i="1"/>
  <c r="AS814" i="1"/>
  <c r="Y814" i="1"/>
  <c r="Z814" i="1"/>
  <c r="AI806" i="1"/>
  <c r="AS806" i="1"/>
  <c r="Z806" i="1"/>
  <c r="Y806" i="1"/>
  <c r="AS798" i="1"/>
  <c r="Z798" i="1"/>
  <c r="Y798" i="1"/>
  <c r="AS790" i="1"/>
  <c r="Z790" i="1"/>
  <c r="Y790" i="1"/>
  <c r="AS782" i="1"/>
  <c r="Z782" i="1"/>
  <c r="Y782" i="1"/>
  <c r="AS774" i="1"/>
  <c r="Z774" i="1"/>
  <c r="Y774" i="1"/>
  <c r="AS766" i="1"/>
  <c r="Y766" i="1"/>
  <c r="Z766" i="1"/>
  <c r="AS758" i="1"/>
  <c r="Z758" i="1"/>
  <c r="Y758" i="1"/>
  <c r="AS750" i="1"/>
  <c r="Z750" i="1"/>
  <c r="Y750" i="1"/>
  <c r="AS742" i="1"/>
  <c r="Z742" i="1"/>
  <c r="Y742" i="1"/>
  <c r="AS734" i="1"/>
  <c r="Z734" i="1"/>
  <c r="Y734" i="1"/>
  <c r="AS726" i="1"/>
  <c r="Z726" i="1"/>
  <c r="Y726" i="1"/>
  <c r="AS718" i="1"/>
  <c r="Z718" i="1"/>
  <c r="Y718" i="1"/>
  <c r="AS710" i="1"/>
  <c r="Z710" i="1"/>
  <c r="Y710" i="1"/>
  <c r="AS702" i="1"/>
  <c r="Z702" i="1"/>
  <c r="Y702" i="1"/>
  <c r="AS694" i="1"/>
  <c r="Z694" i="1"/>
  <c r="Y694" i="1"/>
  <c r="AS686" i="1"/>
  <c r="Y686" i="1"/>
  <c r="Z686" i="1"/>
  <c r="AS678" i="1"/>
  <c r="Z678" i="1"/>
  <c r="Y678" i="1"/>
  <c r="AS670" i="1"/>
  <c r="Z670" i="1"/>
  <c r="Y670" i="1"/>
  <c r="AI662" i="1"/>
  <c r="AS662" i="1"/>
  <c r="Z662" i="1"/>
  <c r="Y662" i="1"/>
  <c r="AS654" i="1"/>
  <c r="Z654" i="1"/>
  <c r="Y654" i="1"/>
  <c r="AS646" i="1"/>
  <c r="Z646" i="1"/>
  <c r="Y646" i="1"/>
  <c r="AS638" i="1"/>
  <c r="Y638" i="1"/>
  <c r="Z638" i="1"/>
  <c r="AS630" i="1"/>
  <c r="Z630" i="1"/>
  <c r="Y630" i="1"/>
  <c r="AS622" i="1"/>
  <c r="Z622" i="1"/>
  <c r="Y622" i="1"/>
  <c r="AS614" i="1"/>
  <c r="Z614" i="1"/>
  <c r="Y614" i="1"/>
  <c r="AS606" i="1"/>
  <c r="Z606" i="1"/>
  <c r="Y606" i="1"/>
  <c r="AS598" i="1"/>
  <c r="Z598" i="1"/>
  <c r="Y598" i="1"/>
  <c r="AS590" i="1"/>
  <c r="Y590" i="1"/>
  <c r="Z590" i="1"/>
  <c r="AS582" i="1"/>
  <c r="Z582" i="1"/>
  <c r="Y582" i="1"/>
  <c r="AS574" i="1"/>
  <c r="Z574" i="1"/>
  <c r="Y574" i="1"/>
  <c r="AS566" i="1"/>
  <c r="Z566" i="1"/>
  <c r="Y566" i="1"/>
  <c r="AS558" i="1"/>
  <c r="Y558" i="1"/>
  <c r="Z558" i="1"/>
  <c r="AS550" i="1"/>
  <c r="Z550" i="1"/>
  <c r="Y550" i="1"/>
  <c r="AS542" i="1"/>
  <c r="Y542" i="1"/>
  <c r="Z542" i="1"/>
  <c r="AS534" i="1"/>
  <c r="Z534" i="1"/>
  <c r="Y534" i="1"/>
  <c r="AS526" i="1"/>
  <c r="Z526" i="1"/>
  <c r="Y526" i="1"/>
  <c r="AS518" i="1"/>
  <c r="Z518" i="1"/>
  <c r="Y518" i="1"/>
  <c r="AS510" i="1"/>
  <c r="Y510" i="1"/>
  <c r="Z510" i="1"/>
  <c r="AI498" i="1"/>
  <c r="AS498" i="1"/>
  <c r="Z498" i="1"/>
  <c r="Y498" i="1"/>
  <c r="AS490" i="1"/>
  <c r="Y490" i="1"/>
  <c r="Z490" i="1"/>
  <c r="AS482" i="1"/>
  <c r="Z482" i="1"/>
  <c r="Y482" i="1"/>
  <c r="AS474" i="1"/>
  <c r="Y474" i="1"/>
  <c r="Z474" i="1"/>
  <c r="AS466" i="1"/>
  <c r="Z466" i="1"/>
  <c r="Y466" i="1"/>
  <c r="AS458" i="1"/>
  <c r="Y458" i="1"/>
  <c r="Z458" i="1"/>
  <c r="AS450" i="1"/>
  <c r="Z450" i="1"/>
  <c r="Y450" i="1"/>
  <c r="AS442" i="1"/>
  <c r="Y442" i="1"/>
  <c r="Z442" i="1"/>
  <c r="AS434" i="1"/>
  <c r="Z434" i="1"/>
  <c r="Y434" i="1"/>
  <c r="AS426" i="1"/>
  <c r="Y426" i="1"/>
  <c r="Z426" i="1"/>
  <c r="AS418" i="1"/>
  <c r="Z418" i="1"/>
  <c r="Y418" i="1"/>
  <c r="AS410" i="1"/>
  <c r="Y410" i="1"/>
  <c r="Z410" i="1"/>
  <c r="AS402" i="1"/>
  <c r="Z402" i="1"/>
  <c r="Y402" i="1"/>
  <c r="AS394" i="1"/>
  <c r="Y394" i="1"/>
  <c r="Z394" i="1"/>
  <c r="AS386" i="1"/>
  <c r="Z386" i="1"/>
  <c r="Y386" i="1"/>
  <c r="AS378" i="1"/>
  <c r="Y378" i="1"/>
  <c r="Z378" i="1"/>
  <c r="AS370" i="1"/>
  <c r="Z370" i="1"/>
  <c r="Y370" i="1"/>
  <c r="AS362" i="1"/>
  <c r="Y362" i="1"/>
  <c r="Z362" i="1"/>
  <c r="AI354" i="1"/>
  <c r="AS354" i="1"/>
  <c r="Z354" i="1"/>
  <c r="Y354" i="1"/>
  <c r="AS346" i="1"/>
  <c r="Y346" i="1"/>
  <c r="Z346" i="1"/>
  <c r="AS338" i="1"/>
  <c r="Z338" i="1"/>
  <c r="Y338" i="1"/>
  <c r="AS330" i="1"/>
  <c r="Y330" i="1"/>
  <c r="Z330" i="1"/>
  <c r="AS322" i="1"/>
  <c r="Z322" i="1"/>
  <c r="Y322" i="1"/>
  <c r="AS314" i="1"/>
  <c r="Y314" i="1"/>
  <c r="Z314" i="1"/>
  <c r="AS306" i="1"/>
  <c r="Z306" i="1"/>
  <c r="Y306" i="1"/>
  <c r="AS298" i="1"/>
  <c r="Y298" i="1"/>
  <c r="Z298" i="1"/>
  <c r="AS290" i="1"/>
  <c r="Z290" i="1"/>
  <c r="Y290" i="1"/>
  <c r="AS282" i="1"/>
  <c r="Y282" i="1"/>
  <c r="Z282" i="1"/>
  <c r="AS274" i="1"/>
  <c r="Z274" i="1"/>
  <c r="Y274" i="1"/>
  <c r="AS266" i="1"/>
  <c r="Y266" i="1"/>
  <c r="Z266" i="1"/>
  <c r="AS258" i="1"/>
  <c r="Z258" i="1"/>
  <c r="Y258" i="1"/>
  <c r="AS250" i="1"/>
  <c r="Y250" i="1"/>
  <c r="Z250" i="1"/>
  <c r="AS242" i="1"/>
  <c r="Z242" i="1"/>
  <c r="Y242" i="1"/>
  <c r="AS234" i="1"/>
  <c r="Y234" i="1"/>
  <c r="Z234" i="1"/>
  <c r="AS226" i="1"/>
  <c r="Z226" i="1"/>
  <c r="Y226" i="1"/>
  <c r="AS218" i="1"/>
  <c r="Y218" i="1"/>
  <c r="Z218" i="1"/>
  <c r="AS210" i="1"/>
  <c r="Z210" i="1"/>
  <c r="Y210" i="1"/>
  <c r="AS202" i="1"/>
  <c r="Y202" i="1"/>
  <c r="Z202" i="1"/>
  <c r="AS194" i="1"/>
  <c r="Z194" i="1"/>
  <c r="Y194" i="1"/>
  <c r="AS186" i="1"/>
  <c r="Y186" i="1"/>
  <c r="Z186" i="1"/>
  <c r="AI178" i="1"/>
  <c r="AS178" i="1"/>
  <c r="Z178" i="1"/>
  <c r="Y178" i="1"/>
  <c r="AS170" i="1"/>
  <c r="Y170" i="1"/>
  <c r="Z170" i="1"/>
  <c r="AS162" i="1"/>
  <c r="Y162" i="1"/>
  <c r="Z162" i="1"/>
  <c r="AS154" i="1"/>
  <c r="Z154" i="1"/>
  <c r="Y154" i="1"/>
  <c r="AS146" i="1"/>
  <c r="Y146" i="1"/>
  <c r="Z146" i="1"/>
  <c r="AI138" i="1"/>
  <c r="AS138" i="1"/>
  <c r="Z138" i="1"/>
  <c r="Y138" i="1"/>
  <c r="AS130" i="1"/>
  <c r="Z130" i="1"/>
  <c r="Y130" i="1"/>
  <c r="AS122" i="1"/>
  <c r="Y122" i="1"/>
  <c r="Z122" i="1"/>
  <c r="AS114" i="1"/>
  <c r="Z114" i="1"/>
  <c r="Y114" i="1"/>
  <c r="AS106" i="1"/>
  <c r="Y106" i="1"/>
  <c r="Z106" i="1"/>
  <c r="AS98" i="1"/>
  <c r="Y98" i="1"/>
  <c r="Z98" i="1"/>
  <c r="AS90" i="1"/>
  <c r="Z90" i="1"/>
  <c r="Y90" i="1"/>
  <c r="AS82" i="1"/>
  <c r="Z82" i="1"/>
  <c r="Y82" i="1"/>
  <c r="AS74" i="1"/>
  <c r="Z74" i="1"/>
  <c r="Y74" i="1"/>
  <c r="AS66" i="1"/>
  <c r="Z66" i="1"/>
  <c r="Y66" i="1"/>
  <c r="AS58" i="1"/>
  <c r="Z58" i="1"/>
  <c r="Y58" i="1"/>
  <c r="AS50" i="1"/>
  <c r="Z50" i="1"/>
  <c r="Y50" i="1"/>
  <c r="Z42" i="1"/>
  <c r="AS42" i="1"/>
  <c r="Y42" i="1"/>
  <c r="AS34" i="1"/>
  <c r="Z34" i="1"/>
  <c r="Y34" i="1"/>
  <c r="AS26" i="1"/>
  <c r="Z26" i="1"/>
  <c r="Y26" i="1"/>
  <c r="AI1287" i="1"/>
  <c r="AS1287" i="1"/>
  <c r="Z1287" i="1"/>
  <c r="Y1287" i="1"/>
  <c r="AS1239" i="1"/>
  <c r="Z1239" i="1"/>
  <c r="Y1239" i="1"/>
  <c r="AS1207" i="1"/>
  <c r="Z1207" i="1"/>
  <c r="Y1207" i="1"/>
  <c r="AS1309" i="1"/>
  <c r="Z1309" i="1"/>
  <c r="Y1309" i="1"/>
  <c r="AS1301" i="1"/>
  <c r="Z1301" i="1"/>
  <c r="Y1301" i="1"/>
  <c r="AS1293" i="1"/>
  <c r="Z1293" i="1"/>
  <c r="Y1293" i="1"/>
  <c r="AS1285" i="1"/>
  <c r="Z1285" i="1"/>
  <c r="Y1285" i="1"/>
  <c r="AS1277" i="1"/>
  <c r="Z1277" i="1"/>
  <c r="Y1277" i="1"/>
  <c r="AI1269" i="1"/>
  <c r="AS1269" i="1"/>
  <c r="Z1269" i="1"/>
  <c r="Y1269" i="1"/>
  <c r="AS1261" i="1"/>
  <c r="Y1261" i="1"/>
  <c r="Z1261" i="1"/>
  <c r="AS1253" i="1"/>
  <c r="Z1253" i="1"/>
  <c r="Y1253" i="1"/>
  <c r="AS1245" i="1"/>
  <c r="Z1245" i="1"/>
  <c r="Y1245" i="1"/>
  <c r="AI1237" i="1"/>
  <c r="AS1237" i="1"/>
  <c r="Z1237" i="1"/>
  <c r="Y1237" i="1"/>
  <c r="AS1229" i="1"/>
  <c r="Z1229" i="1"/>
  <c r="Y1229" i="1"/>
  <c r="AS1221" i="1"/>
  <c r="Z1221" i="1"/>
  <c r="Y1221" i="1"/>
  <c r="AS1213" i="1"/>
  <c r="Z1213" i="1"/>
  <c r="Y1213" i="1"/>
  <c r="AS1205" i="1"/>
  <c r="Z1205" i="1"/>
  <c r="Y1205" i="1"/>
  <c r="AS1197" i="1"/>
  <c r="Z1197" i="1"/>
  <c r="Y1197" i="1"/>
  <c r="AS1189" i="1"/>
  <c r="Z1189" i="1"/>
  <c r="Y1189" i="1"/>
  <c r="AS1181" i="1"/>
  <c r="Z1181" i="1"/>
  <c r="Y1181" i="1"/>
  <c r="AS1173" i="1"/>
  <c r="Z1173" i="1"/>
  <c r="Y1173" i="1"/>
  <c r="AS1165" i="1"/>
  <c r="Z1165" i="1"/>
  <c r="Y1165" i="1"/>
  <c r="AS1157" i="1"/>
  <c r="Z1157" i="1"/>
  <c r="Y1157" i="1"/>
  <c r="AS1149" i="1"/>
  <c r="Z1149" i="1"/>
  <c r="Y1149" i="1"/>
  <c r="AS1141" i="1"/>
  <c r="Z1141" i="1"/>
  <c r="Y1141" i="1"/>
  <c r="AS1133" i="1"/>
  <c r="Z1133" i="1"/>
  <c r="Y1133" i="1"/>
  <c r="AS1125" i="1"/>
  <c r="Z1125" i="1"/>
  <c r="Y1125" i="1"/>
  <c r="AS1117" i="1"/>
  <c r="Z1117" i="1"/>
  <c r="Y1117" i="1"/>
  <c r="AS1109" i="1"/>
  <c r="Z1109" i="1"/>
  <c r="Y1109" i="1"/>
  <c r="AS1101" i="1"/>
  <c r="Z1101" i="1"/>
  <c r="Y1101" i="1"/>
  <c r="AS1093" i="1"/>
  <c r="Z1093" i="1"/>
  <c r="Y1093" i="1"/>
  <c r="AI1085" i="1"/>
  <c r="AS1085" i="1"/>
  <c r="Z1085" i="1"/>
  <c r="Y1085" i="1"/>
  <c r="AS1077" i="1"/>
  <c r="Z1077" i="1"/>
  <c r="Y1077" i="1"/>
  <c r="AS1069" i="1"/>
  <c r="Z1069" i="1"/>
  <c r="Y1069" i="1"/>
  <c r="AS1061" i="1"/>
  <c r="Z1061" i="1"/>
  <c r="Y1061" i="1"/>
  <c r="AS1053" i="1"/>
  <c r="Z1053" i="1"/>
  <c r="Y1053" i="1"/>
  <c r="AS1045" i="1"/>
  <c r="Z1045" i="1"/>
  <c r="Y1045" i="1"/>
  <c r="AS1037" i="1"/>
  <c r="Z1037" i="1"/>
  <c r="Y1037" i="1"/>
  <c r="AS1029" i="1"/>
  <c r="Z1029" i="1"/>
  <c r="Y1029" i="1"/>
  <c r="AS1021" i="1"/>
  <c r="Z1021" i="1"/>
  <c r="Y1021" i="1"/>
  <c r="AS1013" i="1"/>
  <c r="Z1013" i="1"/>
  <c r="Y1013" i="1"/>
  <c r="AS1005" i="1"/>
  <c r="Z1005" i="1"/>
  <c r="Y1005" i="1"/>
  <c r="AS997" i="1"/>
  <c r="Z997" i="1"/>
  <c r="Y997" i="1"/>
  <c r="AS989" i="1"/>
  <c r="Z989" i="1"/>
  <c r="Y989" i="1"/>
  <c r="AS981" i="1"/>
  <c r="Z981" i="1"/>
  <c r="Y981" i="1"/>
  <c r="AS973" i="1"/>
  <c r="Z973" i="1"/>
  <c r="Y973" i="1"/>
  <c r="AI965" i="1"/>
  <c r="AS965" i="1"/>
  <c r="Z965" i="1"/>
  <c r="Y965" i="1"/>
  <c r="AS957" i="1"/>
  <c r="Z957" i="1"/>
  <c r="Y957" i="1"/>
  <c r="AS949" i="1"/>
  <c r="Z949" i="1"/>
  <c r="Y949" i="1"/>
  <c r="AS941" i="1"/>
  <c r="Z941" i="1"/>
  <c r="Y941" i="1"/>
  <c r="AS933" i="1"/>
  <c r="Z933" i="1"/>
  <c r="Y933" i="1"/>
  <c r="AS925" i="1"/>
  <c r="Z925" i="1"/>
  <c r="Y925" i="1"/>
  <c r="AS917" i="1"/>
  <c r="Z917" i="1"/>
  <c r="Y917" i="1"/>
  <c r="AS909" i="1"/>
  <c r="Z909" i="1"/>
  <c r="Y909" i="1"/>
  <c r="AS901" i="1"/>
  <c r="Z901" i="1"/>
  <c r="Y901" i="1"/>
  <c r="AS893" i="1"/>
  <c r="Z893" i="1"/>
  <c r="Y893" i="1"/>
  <c r="AS885" i="1"/>
  <c r="Z885" i="1"/>
  <c r="Y885" i="1"/>
  <c r="AS877" i="1"/>
  <c r="Z877" i="1"/>
  <c r="Y877" i="1"/>
  <c r="AS869" i="1"/>
  <c r="Z869" i="1"/>
  <c r="Y869" i="1"/>
  <c r="AS861" i="1"/>
  <c r="Z861" i="1"/>
  <c r="Y861" i="1"/>
  <c r="AS853" i="1"/>
  <c r="Z853" i="1"/>
  <c r="Y853" i="1"/>
  <c r="AS845" i="1"/>
  <c r="Z845" i="1"/>
  <c r="Y845" i="1"/>
  <c r="AI837" i="1"/>
  <c r="AS837" i="1"/>
  <c r="Z837" i="1"/>
  <c r="Y837" i="1"/>
  <c r="AS829" i="1"/>
  <c r="Z829" i="1"/>
  <c r="Y829" i="1"/>
  <c r="AS821" i="1"/>
  <c r="Z821" i="1"/>
  <c r="Y821" i="1"/>
  <c r="AS813" i="1"/>
  <c r="Z813" i="1"/>
  <c r="Y813" i="1"/>
  <c r="AS805" i="1"/>
  <c r="Z805" i="1"/>
  <c r="Y805" i="1"/>
  <c r="AS797" i="1"/>
  <c r="Z797" i="1"/>
  <c r="Y797" i="1"/>
  <c r="AS789" i="1"/>
  <c r="Z789" i="1"/>
  <c r="Y789" i="1"/>
  <c r="AI781" i="1"/>
  <c r="AS781" i="1"/>
  <c r="Z781" i="1"/>
  <c r="Y781" i="1"/>
  <c r="AS773" i="1"/>
  <c r="Z773" i="1"/>
  <c r="Y773" i="1"/>
  <c r="AS765" i="1"/>
  <c r="Z765" i="1"/>
  <c r="Y765" i="1"/>
  <c r="AS757" i="1"/>
  <c r="Z757" i="1"/>
  <c r="Y757" i="1"/>
  <c r="AS749" i="1"/>
  <c r="Z749" i="1"/>
  <c r="Y749" i="1"/>
  <c r="AS741" i="1"/>
  <c r="Z741" i="1"/>
  <c r="Y741" i="1"/>
  <c r="AS733" i="1"/>
  <c r="Z733" i="1"/>
  <c r="Y733" i="1"/>
  <c r="AI725" i="1"/>
  <c r="AS725" i="1"/>
  <c r="Z725" i="1"/>
  <c r="Y725" i="1"/>
  <c r="AI717" i="1"/>
  <c r="AS717" i="1"/>
  <c r="Z717" i="1"/>
  <c r="Y717" i="1"/>
  <c r="AS709" i="1"/>
  <c r="Z709" i="1"/>
  <c r="Y709" i="1"/>
  <c r="AS701" i="1"/>
  <c r="Z701" i="1"/>
  <c r="Y701" i="1"/>
  <c r="AI693" i="1"/>
  <c r="AS693" i="1"/>
  <c r="Z693" i="1"/>
  <c r="Y693" i="1"/>
  <c r="AS685" i="1"/>
  <c r="Z685" i="1"/>
  <c r="Y685" i="1"/>
  <c r="AS677" i="1"/>
  <c r="Z677" i="1"/>
  <c r="Y677" i="1"/>
  <c r="AS669" i="1"/>
  <c r="Z669" i="1"/>
  <c r="Y669" i="1"/>
  <c r="AS661" i="1"/>
  <c r="Z661" i="1"/>
  <c r="Y661" i="1"/>
  <c r="AI653" i="1"/>
  <c r="AS653" i="1"/>
  <c r="Z653" i="1"/>
  <c r="Y653" i="1"/>
  <c r="AS645" i="1"/>
  <c r="Z645" i="1"/>
  <c r="Y645" i="1"/>
  <c r="AS637" i="1"/>
  <c r="Z637" i="1"/>
  <c r="Y637" i="1"/>
  <c r="AS629" i="1"/>
  <c r="Z629" i="1"/>
  <c r="Y629" i="1"/>
  <c r="AS621" i="1"/>
  <c r="Z621" i="1"/>
  <c r="Y621" i="1"/>
  <c r="AS613" i="1"/>
  <c r="Z613" i="1"/>
  <c r="Y613" i="1"/>
  <c r="AS605" i="1"/>
  <c r="Z605" i="1"/>
  <c r="Y605" i="1"/>
  <c r="AS597" i="1"/>
  <c r="Z597" i="1"/>
  <c r="Y597" i="1"/>
  <c r="AS589" i="1"/>
  <c r="Z589" i="1"/>
  <c r="Y589" i="1"/>
  <c r="AS581" i="1"/>
  <c r="Z581" i="1"/>
  <c r="Y581" i="1"/>
  <c r="AS573" i="1"/>
  <c r="Z573" i="1"/>
  <c r="Y573" i="1"/>
  <c r="AS565" i="1"/>
  <c r="Z565" i="1"/>
  <c r="Y565" i="1"/>
  <c r="AS557" i="1"/>
  <c r="Z557" i="1"/>
  <c r="Y557" i="1"/>
  <c r="AS549" i="1"/>
  <c r="Z549" i="1"/>
  <c r="Y549" i="1"/>
  <c r="AS541" i="1"/>
  <c r="Z541" i="1"/>
  <c r="Y541" i="1"/>
  <c r="AS533" i="1"/>
  <c r="Z533" i="1"/>
  <c r="Y533" i="1"/>
  <c r="AS525" i="1"/>
  <c r="Z525" i="1"/>
  <c r="Y525" i="1"/>
  <c r="AS517" i="1"/>
  <c r="Z517" i="1"/>
  <c r="Y517" i="1"/>
  <c r="AS509" i="1"/>
  <c r="Z509" i="1"/>
  <c r="Y509" i="1"/>
  <c r="AS497" i="1"/>
  <c r="Y497" i="1"/>
  <c r="Z497" i="1"/>
  <c r="AS489" i="1"/>
  <c r="Z489" i="1"/>
  <c r="Y489" i="1"/>
  <c r="AS481" i="1"/>
  <c r="Z481" i="1"/>
  <c r="Y481" i="1"/>
  <c r="AS473" i="1"/>
  <c r="Z473" i="1"/>
  <c r="Y473" i="1"/>
  <c r="AS465" i="1"/>
  <c r="Y465" i="1"/>
  <c r="Z465" i="1"/>
  <c r="AS457" i="1"/>
  <c r="Z457" i="1"/>
  <c r="Y457" i="1"/>
  <c r="AS449" i="1"/>
  <c r="Z449" i="1"/>
  <c r="Y449" i="1"/>
  <c r="AS441" i="1"/>
  <c r="Z441" i="1"/>
  <c r="Y441" i="1"/>
  <c r="AS433" i="1"/>
  <c r="Z433" i="1"/>
  <c r="Y433" i="1"/>
  <c r="AS425" i="1"/>
  <c r="Z425" i="1"/>
  <c r="Y425" i="1"/>
  <c r="AS417" i="1"/>
  <c r="Y417" i="1"/>
  <c r="Z417" i="1"/>
  <c r="AS409" i="1"/>
  <c r="Z409" i="1"/>
  <c r="Y409" i="1"/>
  <c r="AS401" i="1"/>
  <c r="Y401" i="1"/>
  <c r="Z401" i="1"/>
  <c r="AS393" i="1"/>
  <c r="Y393" i="1"/>
  <c r="Z393" i="1"/>
  <c r="AS385" i="1"/>
  <c r="Y385" i="1"/>
  <c r="Z385" i="1"/>
  <c r="AS377" i="1"/>
  <c r="Y377" i="1"/>
  <c r="Z377" i="1"/>
  <c r="AS369" i="1"/>
  <c r="Y369" i="1"/>
  <c r="Z369" i="1"/>
  <c r="AS361" i="1"/>
  <c r="Y361" i="1"/>
  <c r="Z361" i="1"/>
  <c r="AS353" i="1"/>
  <c r="Y353" i="1"/>
  <c r="Z353" i="1"/>
  <c r="AS345" i="1"/>
  <c r="Y345" i="1"/>
  <c r="Z345" i="1"/>
  <c r="AS337" i="1"/>
  <c r="Y337" i="1"/>
  <c r="Z337" i="1"/>
  <c r="AS329" i="1"/>
  <c r="Y329" i="1"/>
  <c r="Z329" i="1"/>
  <c r="AS321" i="1"/>
  <c r="Y321" i="1"/>
  <c r="Z321" i="1"/>
  <c r="AS313" i="1"/>
  <c r="Y313" i="1"/>
  <c r="Z313" i="1"/>
  <c r="AS305" i="1"/>
  <c r="Y305" i="1"/>
  <c r="Z305" i="1"/>
  <c r="AS297" i="1"/>
  <c r="Y297" i="1"/>
  <c r="Z297" i="1"/>
  <c r="AS289" i="1"/>
  <c r="Y289" i="1"/>
  <c r="Z289" i="1"/>
  <c r="AS281" i="1"/>
  <c r="Y281" i="1"/>
  <c r="Z281" i="1"/>
  <c r="AS273" i="1"/>
  <c r="Y273" i="1"/>
  <c r="Z273" i="1"/>
  <c r="AS265" i="1"/>
  <c r="Y265" i="1"/>
  <c r="Z265" i="1"/>
  <c r="AS257" i="1"/>
  <c r="Y257" i="1"/>
  <c r="Z257" i="1"/>
  <c r="AS249" i="1"/>
  <c r="Y249" i="1"/>
  <c r="Z249" i="1"/>
  <c r="AS241" i="1"/>
  <c r="Y241" i="1"/>
  <c r="Z241" i="1"/>
  <c r="AS233" i="1"/>
  <c r="Y233" i="1"/>
  <c r="Z233" i="1"/>
  <c r="AI225" i="1"/>
  <c r="AS225" i="1"/>
  <c r="Y225" i="1"/>
  <c r="Z225" i="1"/>
  <c r="AS217" i="1"/>
  <c r="Y217" i="1"/>
  <c r="Z217" i="1"/>
  <c r="AS209" i="1"/>
  <c r="Y209" i="1"/>
  <c r="Z209" i="1"/>
  <c r="AI201" i="1"/>
  <c r="AS201" i="1"/>
  <c r="Y201" i="1"/>
  <c r="Z201" i="1"/>
  <c r="AS193" i="1"/>
  <c r="Y193" i="1"/>
  <c r="Z193" i="1"/>
  <c r="AS185" i="1"/>
  <c r="Y185" i="1"/>
  <c r="Z185" i="1"/>
  <c r="AS177" i="1"/>
  <c r="Z177" i="1"/>
  <c r="Y177" i="1"/>
  <c r="AS169" i="1"/>
  <c r="Y169" i="1"/>
  <c r="Z169" i="1"/>
  <c r="AS161" i="1"/>
  <c r="Y161" i="1"/>
  <c r="Z161" i="1"/>
  <c r="AS153" i="1"/>
  <c r="Z153" i="1"/>
  <c r="Y153" i="1"/>
  <c r="AS145" i="1"/>
  <c r="Y145" i="1"/>
  <c r="Z145" i="1"/>
  <c r="AS137" i="1"/>
  <c r="Z137" i="1"/>
  <c r="Y137" i="1"/>
  <c r="AS129" i="1"/>
  <c r="Y129" i="1"/>
  <c r="Z129" i="1"/>
  <c r="AS121" i="1"/>
  <c r="Y121" i="1"/>
  <c r="Z121" i="1"/>
  <c r="AS113" i="1"/>
  <c r="Z113" i="1"/>
  <c r="Y113" i="1"/>
  <c r="AS105" i="1"/>
  <c r="Y105" i="1"/>
  <c r="Z105" i="1"/>
  <c r="AS97" i="1"/>
  <c r="Y97" i="1"/>
  <c r="Z97" i="1"/>
  <c r="AS89" i="1"/>
  <c r="Z89" i="1"/>
  <c r="Y89" i="1"/>
  <c r="AS81" i="1"/>
  <c r="Z81" i="1"/>
  <c r="Y81" i="1"/>
  <c r="AS73" i="1"/>
  <c r="Z73" i="1"/>
  <c r="Y73" i="1"/>
  <c r="AS65" i="1"/>
  <c r="Z65" i="1"/>
  <c r="Y65" i="1"/>
  <c r="AI57" i="1"/>
  <c r="AS57" i="1"/>
  <c r="Z57" i="1"/>
  <c r="Y57" i="1"/>
  <c r="AS49" i="1"/>
  <c r="Z49" i="1"/>
  <c r="Y49" i="1"/>
  <c r="Z41" i="1"/>
  <c r="AS41" i="1"/>
  <c r="Y41" i="1"/>
  <c r="AS33" i="1"/>
  <c r="Z33" i="1"/>
  <c r="Y33" i="1"/>
  <c r="AS25" i="1"/>
  <c r="Z25" i="1"/>
  <c r="Y25" i="1"/>
  <c r="AS1295" i="1"/>
  <c r="Z1295" i="1"/>
  <c r="Y1295" i="1"/>
  <c r="AS1231" i="1"/>
  <c r="Z1231" i="1"/>
  <c r="Y1231" i="1"/>
  <c r="AS1300" i="1"/>
  <c r="Z1300" i="1"/>
  <c r="Y1300" i="1"/>
  <c r="AS1292" i="1"/>
  <c r="Z1292" i="1"/>
  <c r="Y1292" i="1"/>
  <c r="AS1284" i="1"/>
  <c r="Z1284" i="1"/>
  <c r="Y1284" i="1"/>
  <c r="AI1276" i="1"/>
  <c r="Z1276" i="1"/>
  <c r="AS1276" i="1"/>
  <c r="Y1276" i="1"/>
  <c r="AS1268" i="1"/>
  <c r="Z1268" i="1"/>
  <c r="Y1268" i="1"/>
  <c r="AS1260" i="1"/>
  <c r="Z1260" i="1"/>
  <c r="Y1260" i="1"/>
  <c r="AS1252" i="1"/>
  <c r="Z1252" i="1"/>
  <c r="Y1252" i="1"/>
  <c r="Z1244" i="1"/>
  <c r="AS1244" i="1"/>
  <c r="Y1244" i="1"/>
  <c r="AS1236" i="1"/>
  <c r="Z1236" i="1"/>
  <c r="Y1236" i="1"/>
  <c r="AS1228" i="1"/>
  <c r="Z1228" i="1"/>
  <c r="Y1228" i="1"/>
  <c r="AS1220" i="1"/>
  <c r="Z1220" i="1"/>
  <c r="Y1220" i="1"/>
  <c r="Z1212" i="1"/>
  <c r="AS1212" i="1"/>
  <c r="Y1212" i="1"/>
  <c r="AS1204" i="1"/>
  <c r="Z1204" i="1"/>
  <c r="Y1204" i="1"/>
  <c r="AS1196" i="1"/>
  <c r="Z1196" i="1"/>
  <c r="Y1196" i="1"/>
  <c r="AS1188" i="1"/>
  <c r="Z1188" i="1"/>
  <c r="Y1188" i="1"/>
  <c r="Z1180" i="1"/>
  <c r="AS1180" i="1"/>
  <c r="Y1180" i="1"/>
  <c r="AS1172" i="1"/>
  <c r="Z1172" i="1"/>
  <c r="Y1172" i="1"/>
  <c r="AI1164" i="1"/>
  <c r="AS1164" i="1"/>
  <c r="Z1164" i="1"/>
  <c r="Y1164" i="1"/>
  <c r="AS1156" i="1"/>
  <c r="Z1156" i="1"/>
  <c r="Y1156" i="1"/>
  <c r="Z1148" i="1"/>
  <c r="AS1148" i="1"/>
  <c r="Y1148" i="1"/>
  <c r="AS1140" i="1"/>
  <c r="Z1140" i="1"/>
  <c r="Y1140" i="1"/>
  <c r="AS1132" i="1"/>
  <c r="Z1132" i="1"/>
  <c r="Y1132" i="1"/>
  <c r="AS1124" i="1"/>
  <c r="Z1124" i="1"/>
  <c r="Y1124" i="1"/>
  <c r="Z1116" i="1"/>
  <c r="AS1116" i="1"/>
  <c r="Y1116" i="1"/>
  <c r="AI1108" i="1"/>
  <c r="AS1108" i="1"/>
  <c r="Z1108" i="1"/>
  <c r="Y1108" i="1"/>
  <c r="AS1100" i="1"/>
  <c r="Z1100" i="1"/>
  <c r="Y1100" i="1"/>
  <c r="AS1092" i="1"/>
  <c r="Z1092" i="1"/>
  <c r="Y1092" i="1"/>
  <c r="AS1084" i="1"/>
  <c r="Z1084" i="1"/>
  <c r="Y1084" i="1"/>
  <c r="AS1076" i="1"/>
  <c r="Z1076" i="1"/>
  <c r="Y1076" i="1"/>
  <c r="AS1068" i="1"/>
  <c r="Z1068" i="1"/>
  <c r="Y1068" i="1"/>
  <c r="AS1060" i="1"/>
  <c r="Z1060" i="1"/>
  <c r="Y1060" i="1"/>
  <c r="Z1052" i="1"/>
  <c r="AS1052" i="1"/>
  <c r="Y1052" i="1"/>
  <c r="AS1044" i="1"/>
  <c r="Z1044" i="1"/>
  <c r="Y1044" i="1"/>
  <c r="AS1036" i="1"/>
  <c r="Z1036" i="1"/>
  <c r="Y1036" i="1"/>
  <c r="AS1028" i="1"/>
  <c r="Z1028" i="1"/>
  <c r="Y1028" i="1"/>
  <c r="Z1020" i="1"/>
  <c r="AS1020" i="1"/>
  <c r="Y1020" i="1"/>
  <c r="AS1012" i="1"/>
  <c r="Z1012" i="1"/>
  <c r="Y1012" i="1"/>
  <c r="AS1004" i="1"/>
  <c r="Z1004" i="1"/>
  <c r="Y1004" i="1"/>
  <c r="AS996" i="1"/>
  <c r="Z996" i="1"/>
  <c r="Y996" i="1"/>
  <c r="AS988" i="1"/>
  <c r="Z988" i="1"/>
  <c r="Y988" i="1"/>
  <c r="AS980" i="1"/>
  <c r="Z980" i="1"/>
  <c r="Y980" i="1"/>
  <c r="AS972" i="1"/>
  <c r="Z972" i="1"/>
  <c r="Y972" i="1"/>
  <c r="AI964" i="1"/>
  <c r="AS964" i="1"/>
  <c r="Z964" i="1"/>
  <c r="Y964" i="1"/>
  <c r="AS956" i="1"/>
  <c r="Z956" i="1"/>
  <c r="Y956" i="1"/>
  <c r="Z948" i="1"/>
  <c r="AS948" i="1"/>
  <c r="Y948" i="1"/>
  <c r="AS940" i="1"/>
  <c r="Z940" i="1"/>
  <c r="Y940" i="1"/>
  <c r="AS932" i="1"/>
  <c r="Z932" i="1"/>
  <c r="Y932" i="1"/>
  <c r="AS924" i="1"/>
  <c r="Z924" i="1"/>
  <c r="Y924" i="1"/>
  <c r="AI916" i="1"/>
  <c r="AS916" i="1"/>
  <c r="Z916" i="1"/>
  <c r="Y916" i="1"/>
  <c r="AS908" i="1"/>
  <c r="Z908" i="1"/>
  <c r="Y908" i="1"/>
  <c r="AS900" i="1"/>
  <c r="Z900" i="1"/>
  <c r="Y900" i="1"/>
  <c r="AS892" i="1"/>
  <c r="Z892" i="1"/>
  <c r="Y892" i="1"/>
  <c r="AS884" i="1"/>
  <c r="Z884" i="1"/>
  <c r="Y884" i="1"/>
  <c r="AS876" i="1"/>
  <c r="Z876" i="1"/>
  <c r="Y876" i="1"/>
  <c r="AI868" i="1"/>
  <c r="AS868" i="1"/>
  <c r="Z868" i="1"/>
  <c r="Y868" i="1"/>
  <c r="AS860" i="1"/>
  <c r="Z860" i="1"/>
  <c r="Y860" i="1"/>
  <c r="AS852" i="1"/>
  <c r="Z852" i="1"/>
  <c r="Y852" i="1"/>
  <c r="AS844" i="1"/>
  <c r="Z844" i="1"/>
  <c r="Y844" i="1"/>
  <c r="AS836" i="1"/>
  <c r="Z836" i="1"/>
  <c r="Y836" i="1"/>
  <c r="AS828" i="1"/>
  <c r="Z828" i="1"/>
  <c r="Y828" i="1"/>
  <c r="AS820" i="1"/>
  <c r="Z820" i="1"/>
  <c r="Y820" i="1"/>
  <c r="AS812" i="1"/>
  <c r="Z812" i="1"/>
  <c r="Y812" i="1"/>
  <c r="AS804" i="1"/>
  <c r="Z804" i="1"/>
  <c r="Y804" i="1"/>
  <c r="AI796" i="1"/>
  <c r="AS796" i="1"/>
  <c r="Z796" i="1"/>
  <c r="Y796" i="1"/>
  <c r="AS788" i="1"/>
  <c r="Z788" i="1"/>
  <c r="Y788" i="1"/>
  <c r="AS780" i="1"/>
  <c r="Z780" i="1"/>
  <c r="Y780" i="1"/>
  <c r="AS772" i="1"/>
  <c r="Z772" i="1"/>
  <c r="Y772" i="1"/>
  <c r="AS764" i="1"/>
  <c r="Z764" i="1"/>
  <c r="Y764" i="1"/>
  <c r="AS756" i="1"/>
  <c r="Z756" i="1"/>
  <c r="Y756" i="1"/>
  <c r="AS748" i="1"/>
  <c r="Z748" i="1"/>
  <c r="Y748" i="1"/>
  <c r="AS740" i="1"/>
  <c r="Z740" i="1"/>
  <c r="Y740" i="1"/>
  <c r="AS732" i="1"/>
  <c r="Z732" i="1"/>
  <c r="Y732" i="1"/>
  <c r="AS724" i="1"/>
  <c r="Z724" i="1"/>
  <c r="Y724" i="1"/>
  <c r="AS716" i="1"/>
  <c r="Z716" i="1"/>
  <c r="Y716" i="1"/>
  <c r="AS708" i="1"/>
  <c r="Z708" i="1"/>
  <c r="Y708" i="1"/>
  <c r="AS700" i="1"/>
  <c r="Z700" i="1"/>
  <c r="Y700" i="1"/>
  <c r="AS692" i="1"/>
  <c r="Z692" i="1"/>
  <c r="Y692" i="1"/>
  <c r="AS684" i="1"/>
  <c r="Z684" i="1"/>
  <c r="Y684" i="1"/>
  <c r="AS676" i="1"/>
  <c r="Z676" i="1"/>
  <c r="Y676" i="1"/>
  <c r="AS668" i="1"/>
  <c r="Z668" i="1"/>
  <c r="Y668" i="1"/>
  <c r="AS660" i="1"/>
  <c r="Z660" i="1"/>
  <c r="Y660" i="1"/>
  <c r="AS652" i="1"/>
  <c r="Z652" i="1"/>
  <c r="Y652" i="1"/>
  <c r="AS644" i="1"/>
  <c r="Z644" i="1"/>
  <c r="Y644" i="1"/>
  <c r="AS636" i="1"/>
  <c r="Z636" i="1"/>
  <c r="Y636" i="1"/>
  <c r="AS628" i="1"/>
  <c r="Z628" i="1"/>
  <c r="Y628" i="1"/>
  <c r="AS620" i="1"/>
  <c r="Z620" i="1"/>
  <c r="Y620" i="1"/>
  <c r="AS612" i="1"/>
  <c r="Z612" i="1"/>
  <c r="Y612" i="1"/>
  <c r="AS604" i="1"/>
  <c r="Z604" i="1"/>
  <c r="Y604" i="1"/>
  <c r="AI596" i="1"/>
  <c r="AS596" i="1"/>
  <c r="Z596" i="1"/>
  <c r="Y596" i="1"/>
  <c r="AS588" i="1"/>
  <c r="Z588" i="1"/>
  <c r="Y588" i="1"/>
  <c r="AS580" i="1"/>
  <c r="Z580" i="1"/>
  <c r="Y580" i="1"/>
  <c r="AS572" i="1"/>
  <c r="Z572" i="1"/>
  <c r="Y572" i="1"/>
  <c r="AS564" i="1"/>
  <c r="Z564" i="1"/>
  <c r="Y564" i="1"/>
  <c r="AS556" i="1"/>
  <c r="Z556" i="1"/>
  <c r="Y556" i="1"/>
  <c r="AS548" i="1"/>
  <c r="Z548" i="1"/>
  <c r="Y548" i="1"/>
  <c r="AI540" i="1"/>
  <c r="AS540" i="1"/>
  <c r="Z540" i="1"/>
  <c r="Y540" i="1"/>
  <c r="AS532" i="1"/>
  <c r="Z532" i="1"/>
  <c r="Y532" i="1"/>
  <c r="AS524" i="1"/>
  <c r="Z524" i="1"/>
  <c r="Y524" i="1"/>
  <c r="AS516" i="1"/>
  <c r="Z516" i="1"/>
  <c r="Y516" i="1"/>
  <c r="AS504" i="1"/>
  <c r="Y504" i="1"/>
  <c r="Z504" i="1"/>
  <c r="AS496" i="1"/>
  <c r="Y496" i="1"/>
  <c r="Z496" i="1"/>
  <c r="AI488" i="1"/>
  <c r="AS488" i="1"/>
  <c r="Y488" i="1"/>
  <c r="Z488" i="1"/>
  <c r="AS480" i="1"/>
  <c r="Y480" i="1"/>
  <c r="Z480" i="1"/>
  <c r="AS472" i="1"/>
  <c r="Y472" i="1"/>
  <c r="Z472" i="1"/>
  <c r="AS464" i="1"/>
  <c r="Y464" i="1"/>
  <c r="Z464" i="1"/>
  <c r="AS456" i="1"/>
  <c r="Y456" i="1"/>
  <c r="Z456" i="1"/>
  <c r="AS448" i="1"/>
  <c r="Y448" i="1"/>
  <c r="Z448" i="1"/>
  <c r="AS440" i="1"/>
  <c r="Y440" i="1"/>
  <c r="Z440" i="1"/>
  <c r="AS432" i="1"/>
  <c r="Y432" i="1"/>
  <c r="Z432" i="1"/>
  <c r="AS424" i="1"/>
  <c r="Y424" i="1"/>
  <c r="Z424" i="1"/>
  <c r="AS416" i="1"/>
  <c r="Y416" i="1"/>
  <c r="Z416" i="1"/>
  <c r="AS408" i="1"/>
  <c r="Y408" i="1"/>
  <c r="Z408" i="1"/>
  <c r="AI400" i="1"/>
  <c r="AS400" i="1"/>
  <c r="Y400" i="1"/>
  <c r="Z400" i="1"/>
  <c r="AS392" i="1"/>
  <c r="Y392" i="1"/>
  <c r="Z392" i="1"/>
  <c r="AS384" i="1"/>
  <c r="Y384" i="1"/>
  <c r="Z384" i="1"/>
  <c r="AS376" i="1"/>
  <c r="Y376" i="1"/>
  <c r="Z376" i="1"/>
  <c r="AS368" i="1"/>
  <c r="Y368" i="1"/>
  <c r="Z368" i="1"/>
  <c r="AS360" i="1"/>
  <c r="Y360" i="1"/>
  <c r="Z360" i="1"/>
  <c r="AS352" i="1"/>
  <c r="Y352" i="1"/>
  <c r="Z352" i="1"/>
  <c r="AS344" i="1"/>
  <c r="Y344" i="1"/>
  <c r="Z344" i="1"/>
  <c r="AS336" i="1"/>
  <c r="Y336" i="1"/>
  <c r="Z336" i="1"/>
  <c r="AS328" i="1"/>
  <c r="Y328" i="1"/>
  <c r="Z328" i="1"/>
  <c r="AS320" i="1"/>
  <c r="Y320" i="1"/>
  <c r="Z320" i="1"/>
  <c r="AS312" i="1"/>
  <c r="Y312" i="1"/>
  <c r="Z312" i="1"/>
  <c r="AS304" i="1"/>
  <c r="Y304" i="1"/>
  <c r="Z304" i="1"/>
  <c r="AS296" i="1"/>
  <c r="Y296" i="1"/>
  <c r="Z296" i="1"/>
  <c r="AS288" i="1"/>
  <c r="Y288" i="1"/>
  <c r="Z288" i="1"/>
  <c r="AS280" i="1"/>
  <c r="Y280" i="1"/>
  <c r="Z280" i="1"/>
  <c r="AS272" i="1"/>
  <c r="Y272" i="1"/>
  <c r="Z272" i="1"/>
  <c r="AS264" i="1"/>
  <c r="Y264" i="1"/>
  <c r="Z264" i="1"/>
  <c r="AS256" i="1"/>
  <c r="Y256" i="1"/>
  <c r="Z256" i="1"/>
  <c r="AS248" i="1"/>
  <c r="Y248" i="1"/>
  <c r="Z248" i="1"/>
  <c r="AS240" i="1"/>
  <c r="Y240" i="1"/>
  <c r="Z240" i="1"/>
  <c r="AS232" i="1"/>
  <c r="Y232" i="1"/>
  <c r="Z232" i="1"/>
  <c r="AS224" i="1"/>
  <c r="Y224" i="1"/>
  <c r="Z224" i="1"/>
  <c r="AS216" i="1"/>
  <c r="Y216" i="1"/>
  <c r="Z216" i="1"/>
  <c r="AS208" i="1"/>
  <c r="Y208" i="1"/>
  <c r="Z208" i="1"/>
  <c r="AS200" i="1"/>
  <c r="Y200" i="1"/>
  <c r="Z200" i="1"/>
  <c r="AS192" i="1"/>
  <c r="Y192" i="1"/>
  <c r="Z192" i="1"/>
  <c r="AS184" i="1"/>
  <c r="Y184" i="1"/>
  <c r="Z184" i="1"/>
  <c r="AS176" i="1"/>
  <c r="Z176" i="1"/>
  <c r="Y176" i="1"/>
  <c r="AS168" i="1"/>
  <c r="Y168" i="1"/>
  <c r="Z168" i="1"/>
  <c r="AS160" i="1"/>
  <c r="Y160" i="1"/>
  <c r="Z160" i="1"/>
  <c r="AS152" i="1"/>
  <c r="Y152" i="1"/>
  <c r="Z152" i="1"/>
  <c r="AS144" i="1"/>
  <c r="Y144" i="1"/>
  <c r="Z144" i="1"/>
  <c r="AS136" i="1"/>
  <c r="Z136" i="1"/>
  <c r="Y136" i="1"/>
  <c r="AS128" i="1"/>
  <c r="Y128" i="1"/>
  <c r="Z128" i="1"/>
  <c r="AS120" i="1"/>
  <c r="Y120" i="1"/>
  <c r="Z120" i="1"/>
  <c r="AI112" i="1"/>
  <c r="AS112" i="1"/>
  <c r="Z112" i="1"/>
  <c r="Y112" i="1"/>
  <c r="AS104" i="1"/>
  <c r="Y104" i="1"/>
  <c r="Z104" i="1"/>
  <c r="AS96" i="1"/>
  <c r="Y96" i="1"/>
  <c r="Z96" i="1"/>
  <c r="AS88" i="1"/>
  <c r="Z88" i="1"/>
  <c r="Y88" i="1"/>
  <c r="AS80" i="1"/>
  <c r="Y80" i="1"/>
  <c r="Z80" i="1"/>
  <c r="AS72" i="1"/>
  <c r="Z72" i="1"/>
  <c r="Y72" i="1"/>
  <c r="AS64" i="1"/>
  <c r="Z64" i="1"/>
  <c r="Y64" i="1"/>
  <c r="AS56" i="1"/>
  <c r="Z56" i="1"/>
  <c r="Y56" i="1"/>
  <c r="AS48" i="1"/>
  <c r="Y48" i="1"/>
  <c r="Z48" i="1"/>
  <c r="AS40" i="1"/>
  <c r="Z40" i="1"/>
  <c r="Y40" i="1"/>
  <c r="AS32" i="1"/>
  <c r="Z32" i="1"/>
  <c r="Y32" i="1"/>
  <c r="AS24" i="1"/>
  <c r="Z24" i="1"/>
  <c r="Y24" i="1"/>
  <c r="AS1263" i="1"/>
  <c r="Z1263" i="1"/>
  <c r="Y1263" i="1"/>
  <c r="AI1307" i="1"/>
  <c r="AS1307" i="1"/>
  <c r="Y1307" i="1"/>
  <c r="Z1307" i="1"/>
  <c r="AS1291" i="1"/>
  <c r="Y1291" i="1"/>
  <c r="Z1291" i="1"/>
  <c r="AS1275" i="1"/>
  <c r="Z1275" i="1"/>
  <c r="Y1275" i="1"/>
  <c r="AS1267" i="1"/>
  <c r="Z1267" i="1"/>
  <c r="Y1267" i="1"/>
  <c r="AS1259" i="1"/>
  <c r="Z1259" i="1"/>
  <c r="Y1259" i="1"/>
  <c r="AS1251" i="1"/>
  <c r="Z1251" i="1"/>
  <c r="Y1251" i="1"/>
  <c r="AS1243" i="1"/>
  <c r="Z1243" i="1"/>
  <c r="Y1243" i="1"/>
  <c r="AI1235" i="1"/>
  <c r="AS1235" i="1"/>
  <c r="Z1235" i="1"/>
  <c r="Y1235" i="1"/>
  <c r="AS1227" i="1"/>
  <c r="Z1227" i="1"/>
  <c r="Y1227" i="1"/>
  <c r="AS1219" i="1"/>
  <c r="Z1219" i="1"/>
  <c r="Y1219" i="1"/>
  <c r="AS1211" i="1"/>
  <c r="Z1211" i="1"/>
  <c r="Y1211" i="1"/>
  <c r="AI1203" i="1"/>
  <c r="AS1203" i="1"/>
  <c r="Z1203" i="1"/>
  <c r="Y1203" i="1"/>
  <c r="AS1195" i="1"/>
  <c r="Z1195" i="1"/>
  <c r="Y1195" i="1"/>
  <c r="AS1187" i="1"/>
  <c r="Z1187" i="1"/>
  <c r="Y1187" i="1"/>
  <c r="AS1179" i="1"/>
  <c r="Z1179" i="1"/>
  <c r="Y1179" i="1"/>
  <c r="AS1171" i="1"/>
  <c r="Z1171" i="1"/>
  <c r="Y1171" i="1"/>
  <c r="AS1163" i="1"/>
  <c r="Z1163" i="1"/>
  <c r="Y1163" i="1"/>
  <c r="AS1155" i="1"/>
  <c r="Z1155" i="1"/>
  <c r="Y1155" i="1"/>
  <c r="AS1147" i="1"/>
  <c r="Z1147" i="1"/>
  <c r="Y1147" i="1"/>
  <c r="AS1139" i="1"/>
  <c r="Z1139" i="1"/>
  <c r="Y1139" i="1"/>
  <c r="AS1131" i="1"/>
  <c r="Z1131" i="1"/>
  <c r="Y1131" i="1"/>
  <c r="AS1123" i="1"/>
  <c r="Z1123" i="1"/>
  <c r="Y1123" i="1"/>
  <c r="AS1115" i="1"/>
  <c r="Z1115" i="1"/>
  <c r="Y1115" i="1"/>
  <c r="AS1107" i="1"/>
  <c r="Z1107" i="1"/>
  <c r="Y1107" i="1"/>
  <c r="AS1099" i="1"/>
  <c r="Z1099" i="1"/>
  <c r="Y1099" i="1"/>
  <c r="AS1091" i="1"/>
  <c r="Z1091" i="1"/>
  <c r="Y1091" i="1"/>
  <c r="AS1083" i="1"/>
  <c r="Z1083" i="1"/>
  <c r="Y1083" i="1"/>
  <c r="AS1075" i="1"/>
  <c r="Z1075" i="1"/>
  <c r="Y1075" i="1"/>
  <c r="AS1067" i="1"/>
  <c r="Z1067" i="1"/>
  <c r="Y1067" i="1"/>
  <c r="AS1059" i="1"/>
  <c r="Z1059" i="1"/>
  <c r="Y1059" i="1"/>
  <c r="AS1051" i="1"/>
  <c r="Z1051" i="1"/>
  <c r="Y1051" i="1"/>
  <c r="AS1043" i="1"/>
  <c r="Z1043" i="1"/>
  <c r="Y1043" i="1"/>
  <c r="AS1035" i="1"/>
  <c r="Z1035" i="1"/>
  <c r="Y1035" i="1"/>
  <c r="AS1027" i="1"/>
  <c r="Z1027" i="1"/>
  <c r="Y1027" i="1"/>
  <c r="AS1019" i="1"/>
  <c r="Z1019" i="1"/>
  <c r="Y1019" i="1"/>
  <c r="AS1011" i="1"/>
  <c r="Z1011" i="1"/>
  <c r="Y1011" i="1"/>
  <c r="AS1003" i="1"/>
  <c r="Z1003" i="1"/>
  <c r="Y1003" i="1"/>
  <c r="AS995" i="1"/>
  <c r="Z995" i="1"/>
  <c r="Y995" i="1"/>
  <c r="AS987" i="1"/>
  <c r="Z987" i="1"/>
  <c r="Y987" i="1"/>
  <c r="AS979" i="1"/>
  <c r="Z979" i="1"/>
  <c r="Y979" i="1"/>
  <c r="AS971" i="1"/>
  <c r="Z971" i="1"/>
  <c r="Y971" i="1"/>
  <c r="AS963" i="1"/>
  <c r="Z963" i="1"/>
  <c r="Y963" i="1"/>
  <c r="AS955" i="1"/>
  <c r="Z955" i="1"/>
  <c r="Y955" i="1"/>
  <c r="AS947" i="1"/>
  <c r="Z947" i="1"/>
  <c r="Y947" i="1"/>
  <c r="AS939" i="1"/>
  <c r="Z939" i="1"/>
  <c r="Y939" i="1"/>
  <c r="AS931" i="1"/>
  <c r="Z931" i="1"/>
  <c r="Y931" i="1"/>
  <c r="AS923" i="1"/>
  <c r="Z923" i="1"/>
  <c r="Y923" i="1"/>
  <c r="AS915" i="1"/>
  <c r="Z915" i="1"/>
  <c r="Y915" i="1"/>
  <c r="AS907" i="1"/>
  <c r="Z907" i="1"/>
  <c r="Y907" i="1"/>
  <c r="AS899" i="1"/>
  <c r="Z899" i="1"/>
  <c r="Y899" i="1"/>
  <c r="AS891" i="1"/>
  <c r="Z891" i="1"/>
  <c r="Y891" i="1"/>
  <c r="AI883" i="1"/>
  <c r="AS883" i="1"/>
  <c r="Z883" i="1"/>
  <c r="Y883" i="1"/>
  <c r="AS875" i="1"/>
  <c r="Z875" i="1"/>
  <c r="Y875" i="1"/>
  <c r="AS867" i="1"/>
  <c r="Z867" i="1"/>
  <c r="Y867" i="1"/>
  <c r="AS859" i="1"/>
  <c r="Z859" i="1"/>
  <c r="Y859" i="1"/>
  <c r="AS851" i="1"/>
  <c r="Z851" i="1"/>
  <c r="Y851" i="1"/>
  <c r="AS843" i="1"/>
  <c r="Z843" i="1"/>
  <c r="Y843" i="1"/>
  <c r="AS835" i="1"/>
  <c r="Z835" i="1"/>
  <c r="Y835" i="1"/>
  <c r="AS827" i="1"/>
  <c r="Z827" i="1"/>
  <c r="Y827" i="1"/>
  <c r="AS819" i="1"/>
  <c r="Z819" i="1"/>
  <c r="Y819" i="1"/>
  <c r="AS811" i="1"/>
  <c r="Z811" i="1"/>
  <c r="Y811" i="1"/>
  <c r="AS803" i="1"/>
  <c r="Z803" i="1"/>
  <c r="Y803" i="1"/>
  <c r="AS795" i="1"/>
  <c r="Z795" i="1"/>
  <c r="Y795" i="1"/>
  <c r="AI787" i="1"/>
  <c r="AS787" i="1"/>
  <c r="Z787" i="1"/>
  <c r="Y787" i="1"/>
  <c r="AS779" i="1"/>
  <c r="Z779" i="1"/>
  <c r="Y779" i="1"/>
  <c r="AS771" i="1"/>
  <c r="Z771" i="1"/>
  <c r="Y771" i="1"/>
  <c r="AS763" i="1"/>
  <c r="Z763" i="1"/>
  <c r="Y763" i="1"/>
  <c r="AS755" i="1"/>
  <c r="Z755" i="1"/>
  <c r="Y755" i="1"/>
  <c r="AS747" i="1"/>
  <c r="Z747" i="1"/>
  <c r="Y747" i="1"/>
  <c r="AS739" i="1"/>
  <c r="Z739" i="1"/>
  <c r="Y739" i="1"/>
  <c r="AS731" i="1"/>
  <c r="Z731" i="1"/>
  <c r="Y731" i="1"/>
  <c r="AS723" i="1"/>
  <c r="Z723" i="1"/>
  <c r="Y723" i="1"/>
  <c r="AI715" i="1"/>
  <c r="AS715" i="1"/>
  <c r="Z715" i="1"/>
  <c r="Y715" i="1"/>
  <c r="AS707" i="1"/>
  <c r="Z707" i="1"/>
  <c r="Y707" i="1"/>
  <c r="AS699" i="1"/>
  <c r="Z699" i="1"/>
  <c r="Y699" i="1"/>
  <c r="AS691" i="1"/>
  <c r="Z691" i="1"/>
  <c r="Y691" i="1"/>
  <c r="AS683" i="1"/>
  <c r="Z683" i="1"/>
  <c r="Y683" i="1"/>
  <c r="AS675" i="1"/>
  <c r="Z675" i="1"/>
  <c r="Y675" i="1"/>
  <c r="AS667" i="1"/>
  <c r="Z667" i="1"/>
  <c r="Y667" i="1"/>
  <c r="AS659" i="1"/>
  <c r="Z659" i="1"/>
  <c r="Y659" i="1"/>
  <c r="AS651" i="1"/>
  <c r="Z651" i="1"/>
  <c r="Y651" i="1"/>
  <c r="AS643" i="1"/>
  <c r="Z643" i="1"/>
  <c r="Y643" i="1"/>
  <c r="AS635" i="1"/>
  <c r="Z635" i="1"/>
  <c r="Y635" i="1"/>
  <c r="AI627" i="1"/>
  <c r="AS627" i="1"/>
  <c r="Z627" i="1"/>
  <c r="Y627" i="1"/>
  <c r="AS619" i="1"/>
  <c r="Z619" i="1"/>
  <c r="Y619" i="1"/>
  <c r="AS611" i="1"/>
  <c r="Z611" i="1"/>
  <c r="Y611" i="1"/>
  <c r="AS603" i="1"/>
  <c r="Z603" i="1"/>
  <c r="Y603" i="1"/>
  <c r="AS595" i="1"/>
  <c r="Z595" i="1"/>
  <c r="Y595" i="1"/>
  <c r="AS587" i="1"/>
  <c r="Z587" i="1"/>
  <c r="Y587" i="1"/>
  <c r="AS579" i="1"/>
  <c r="Z579" i="1"/>
  <c r="Y579" i="1"/>
  <c r="AS571" i="1"/>
  <c r="Z571" i="1"/>
  <c r="Y571" i="1"/>
  <c r="AI563" i="1"/>
  <c r="AS563" i="1"/>
  <c r="Z563" i="1"/>
  <c r="Y563" i="1"/>
  <c r="AI555" i="1"/>
  <c r="AS555" i="1"/>
  <c r="Z555" i="1"/>
  <c r="Y555" i="1"/>
  <c r="AS547" i="1"/>
  <c r="Z547" i="1"/>
  <c r="Y547" i="1"/>
  <c r="AS539" i="1"/>
  <c r="Z539" i="1"/>
  <c r="Y539" i="1"/>
  <c r="AS531" i="1"/>
  <c r="Z531" i="1"/>
  <c r="Y531" i="1"/>
  <c r="AS523" i="1"/>
  <c r="Z523" i="1"/>
  <c r="Y523" i="1"/>
  <c r="AS515" i="1"/>
  <c r="Z515" i="1"/>
  <c r="Y515" i="1"/>
  <c r="AS503" i="1"/>
  <c r="Z503" i="1"/>
  <c r="Y503" i="1"/>
  <c r="AS495" i="1"/>
  <c r="Z495" i="1"/>
  <c r="Y495" i="1"/>
  <c r="AS487" i="1"/>
  <c r="Z487" i="1"/>
  <c r="Y487" i="1"/>
  <c r="AS479" i="1"/>
  <c r="Z479" i="1"/>
  <c r="Y479" i="1"/>
  <c r="AS471" i="1"/>
  <c r="Z471" i="1"/>
  <c r="Y471" i="1"/>
  <c r="AS463" i="1"/>
  <c r="Z463" i="1"/>
  <c r="Y463" i="1"/>
  <c r="AS455" i="1"/>
  <c r="Z455" i="1"/>
  <c r="Y455" i="1"/>
  <c r="AI447" i="1"/>
  <c r="AS447" i="1"/>
  <c r="Z447" i="1"/>
  <c r="Y447" i="1"/>
  <c r="AS439" i="1"/>
  <c r="Z439" i="1"/>
  <c r="Y439" i="1"/>
  <c r="AS431" i="1"/>
  <c r="Z431" i="1"/>
  <c r="Y431" i="1"/>
  <c r="AS423" i="1"/>
  <c r="Z423" i="1"/>
  <c r="Y423" i="1"/>
  <c r="AS415" i="1"/>
  <c r="Z415" i="1"/>
  <c r="Y415" i="1"/>
  <c r="AS407" i="1"/>
  <c r="Z407" i="1"/>
  <c r="Y407" i="1"/>
  <c r="AS399" i="1"/>
  <c r="Z399" i="1"/>
  <c r="Y399" i="1"/>
  <c r="AS391" i="1"/>
  <c r="Z391" i="1"/>
  <c r="Y391" i="1"/>
  <c r="AS383" i="1"/>
  <c r="Z383" i="1"/>
  <c r="Y383" i="1"/>
  <c r="AS375" i="1"/>
  <c r="Z375" i="1"/>
  <c r="Y375" i="1"/>
  <c r="AS367" i="1"/>
  <c r="Z367" i="1"/>
  <c r="Y367" i="1"/>
  <c r="AI359" i="1"/>
  <c r="AS359" i="1"/>
  <c r="Z359" i="1"/>
  <c r="Y359" i="1"/>
  <c r="AS351" i="1"/>
  <c r="Z351" i="1"/>
  <c r="Y351" i="1"/>
  <c r="AS343" i="1"/>
  <c r="Z343" i="1"/>
  <c r="Y343" i="1"/>
  <c r="AS335" i="1"/>
  <c r="Z335" i="1"/>
  <c r="Y335" i="1"/>
  <c r="AS327" i="1"/>
  <c r="Z327" i="1"/>
  <c r="Y327" i="1"/>
  <c r="AS319" i="1"/>
  <c r="Z319" i="1"/>
  <c r="Y319" i="1"/>
  <c r="AI311" i="1"/>
  <c r="AS311" i="1"/>
  <c r="Z311" i="1"/>
  <c r="Y311" i="1"/>
  <c r="AS303" i="1"/>
  <c r="Z303" i="1"/>
  <c r="Y303" i="1"/>
  <c r="AS295" i="1"/>
  <c r="Z295" i="1"/>
  <c r="Y295" i="1"/>
  <c r="AS287" i="1"/>
  <c r="Z287" i="1"/>
  <c r="Y287" i="1"/>
  <c r="AS279" i="1"/>
  <c r="Z279" i="1"/>
  <c r="Y279" i="1"/>
  <c r="AS271" i="1"/>
  <c r="Z271" i="1"/>
  <c r="Y271" i="1"/>
  <c r="AS263" i="1"/>
  <c r="Z263" i="1"/>
  <c r="Y263" i="1"/>
  <c r="AS255" i="1"/>
  <c r="Z255" i="1"/>
  <c r="Y255" i="1"/>
  <c r="AS247" i="1"/>
  <c r="Z247" i="1"/>
  <c r="Y247" i="1"/>
  <c r="AS239" i="1"/>
  <c r="Z239" i="1"/>
  <c r="Y239" i="1"/>
  <c r="AS231" i="1"/>
  <c r="Z231" i="1"/>
  <c r="Y231" i="1"/>
  <c r="AS223" i="1"/>
  <c r="Z223" i="1"/>
  <c r="Y223" i="1"/>
  <c r="AS215" i="1"/>
  <c r="Z215" i="1"/>
  <c r="Y215" i="1"/>
  <c r="AS207" i="1"/>
  <c r="Z207" i="1"/>
  <c r="Y207" i="1"/>
  <c r="AS199" i="1"/>
  <c r="Z199" i="1"/>
  <c r="Y199" i="1"/>
  <c r="AS191" i="1"/>
  <c r="Z191" i="1"/>
  <c r="Y191" i="1"/>
  <c r="AS183" i="1"/>
  <c r="Z183" i="1"/>
  <c r="Y183" i="1"/>
  <c r="AI175" i="1"/>
  <c r="AS175" i="1"/>
  <c r="Z175" i="1"/>
  <c r="Y175" i="1"/>
  <c r="AS167" i="1"/>
  <c r="Z167" i="1"/>
  <c r="Y167" i="1"/>
  <c r="AS159" i="1"/>
  <c r="Z159" i="1"/>
  <c r="Y159" i="1"/>
  <c r="AS151" i="1"/>
  <c r="Z151" i="1"/>
  <c r="Y151" i="1"/>
  <c r="AS143" i="1"/>
  <c r="Z143" i="1"/>
  <c r="Y143" i="1"/>
  <c r="AS135" i="1"/>
  <c r="Z135" i="1"/>
  <c r="Y135" i="1"/>
  <c r="AS127" i="1"/>
  <c r="Z127" i="1"/>
  <c r="Y127" i="1"/>
  <c r="AS119" i="1"/>
  <c r="Z119" i="1"/>
  <c r="Y119" i="1"/>
  <c r="AS111" i="1"/>
  <c r="Z111" i="1"/>
  <c r="Y111" i="1"/>
  <c r="AS103" i="1"/>
  <c r="Z103" i="1"/>
  <c r="Y103" i="1"/>
  <c r="AS95" i="1"/>
  <c r="Z95" i="1"/>
  <c r="Y95" i="1"/>
  <c r="AS87" i="1"/>
  <c r="Y87" i="1"/>
  <c r="Z87" i="1"/>
  <c r="AS79" i="1"/>
  <c r="Y79" i="1"/>
  <c r="Z79" i="1"/>
  <c r="AS71" i="1"/>
  <c r="Y71" i="1"/>
  <c r="Z71" i="1"/>
  <c r="AS63" i="1"/>
  <c r="Z63" i="1"/>
  <c r="Y63" i="1"/>
  <c r="AS55" i="1"/>
  <c r="Z55" i="1"/>
  <c r="Y55" i="1"/>
  <c r="AS47" i="1"/>
  <c r="Y47" i="1"/>
  <c r="Z47" i="1"/>
  <c r="AS39" i="1"/>
  <c r="Y39" i="1"/>
  <c r="Z39" i="1"/>
  <c r="AS31" i="1"/>
  <c r="Z31" i="1"/>
  <c r="Y31" i="1"/>
  <c r="AS23" i="1"/>
  <c r="Z23" i="1"/>
  <c r="Y23" i="1"/>
  <c r="AS1279" i="1"/>
  <c r="Z1279" i="1"/>
  <c r="Y1279" i="1"/>
  <c r="AS1308" i="1"/>
  <c r="Z1308" i="1"/>
  <c r="Y1308" i="1"/>
  <c r="AS1299" i="1"/>
  <c r="Z1299" i="1"/>
  <c r="Y1299" i="1"/>
  <c r="AS1283" i="1"/>
  <c r="Z1283" i="1"/>
  <c r="Y1283" i="1"/>
  <c r="AS1306" i="1"/>
  <c r="Y1306" i="1"/>
  <c r="Z1306" i="1"/>
  <c r="AS1298" i="1"/>
  <c r="Z1298" i="1"/>
  <c r="Y1298" i="1"/>
  <c r="AS1290" i="1"/>
  <c r="Y1290" i="1"/>
  <c r="Z1290" i="1"/>
  <c r="AS1282" i="1"/>
  <c r="Y1282" i="1"/>
  <c r="Z1282" i="1"/>
  <c r="AS1274" i="1"/>
  <c r="Z1274" i="1"/>
  <c r="Y1274" i="1"/>
  <c r="AI1266" i="1"/>
  <c r="AS1266" i="1"/>
  <c r="Z1266" i="1"/>
  <c r="Y1266" i="1"/>
  <c r="AS1258" i="1"/>
  <c r="Y1258" i="1"/>
  <c r="Z1258" i="1"/>
  <c r="AS1250" i="1"/>
  <c r="Z1250" i="1"/>
  <c r="Y1250" i="1"/>
  <c r="AS1242" i="1"/>
  <c r="Z1242" i="1"/>
  <c r="Y1242" i="1"/>
  <c r="AS1234" i="1"/>
  <c r="Z1234" i="1"/>
  <c r="Y1234" i="1"/>
  <c r="AS1226" i="1"/>
  <c r="Z1226" i="1"/>
  <c r="Y1226" i="1"/>
  <c r="AS1218" i="1"/>
  <c r="Z1218" i="1"/>
  <c r="Y1218" i="1"/>
  <c r="AI1210" i="1"/>
  <c r="AS1210" i="1"/>
  <c r="Z1210" i="1"/>
  <c r="Y1210" i="1"/>
  <c r="AS1202" i="1"/>
  <c r="Z1202" i="1"/>
  <c r="Y1202" i="1"/>
  <c r="AS1194" i="1"/>
  <c r="Z1194" i="1"/>
  <c r="Y1194" i="1"/>
  <c r="AS1186" i="1"/>
  <c r="Z1186" i="1"/>
  <c r="Y1186" i="1"/>
  <c r="AS1178" i="1"/>
  <c r="Z1178" i="1"/>
  <c r="Y1178" i="1"/>
  <c r="AS1170" i="1"/>
  <c r="Z1170" i="1"/>
  <c r="Y1170" i="1"/>
  <c r="AS1162" i="1"/>
  <c r="Z1162" i="1"/>
  <c r="Y1162" i="1"/>
  <c r="AS1154" i="1"/>
  <c r="Z1154" i="1"/>
  <c r="Y1154" i="1"/>
  <c r="AS1146" i="1"/>
  <c r="Z1146" i="1"/>
  <c r="Y1146" i="1"/>
  <c r="AS1138" i="1"/>
  <c r="Z1138" i="1"/>
  <c r="Y1138" i="1"/>
  <c r="AS1130" i="1"/>
  <c r="Z1130" i="1"/>
  <c r="Y1130" i="1"/>
  <c r="AI1122" i="1"/>
  <c r="AS1122" i="1"/>
  <c r="Z1122" i="1"/>
  <c r="Y1122" i="1"/>
  <c r="AS1114" i="1"/>
  <c r="Z1114" i="1"/>
  <c r="Y1114" i="1"/>
  <c r="AS1106" i="1"/>
  <c r="Z1106" i="1"/>
  <c r="Y1106" i="1"/>
  <c r="AS1098" i="1"/>
  <c r="Z1098" i="1"/>
  <c r="Y1098" i="1"/>
  <c r="AS1090" i="1"/>
  <c r="Z1090" i="1"/>
  <c r="Y1090" i="1"/>
  <c r="AS1082" i="1"/>
  <c r="Z1082" i="1"/>
  <c r="Y1082" i="1"/>
  <c r="AS1074" i="1"/>
  <c r="Z1074" i="1"/>
  <c r="Y1074" i="1"/>
  <c r="AS1066" i="1"/>
  <c r="Z1066" i="1"/>
  <c r="Y1066" i="1"/>
  <c r="AS1058" i="1"/>
  <c r="Z1058" i="1"/>
  <c r="Y1058" i="1"/>
  <c r="AS1050" i="1"/>
  <c r="Z1050" i="1"/>
  <c r="Y1050" i="1"/>
  <c r="AS1042" i="1"/>
  <c r="Z1042" i="1"/>
  <c r="Y1042" i="1"/>
  <c r="AS1034" i="1"/>
  <c r="Z1034" i="1"/>
  <c r="Y1034" i="1"/>
  <c r="AS1026" i="1"/>
  <c r="Z1026" i="1"/>
  <c r="Y1026" i="1"/>
  <c r="AS1018" i="1"/>
  <c r="Z1018" i="1"/>
  <c r="Y1018" i="1"/>
  <c r="AS1010" i="1"/>
  <c r="Z1010" i="1"/>
  <c r="Y1010" i="1"/>
  <c r="AS1002" i="1"/>
  <c r="Z1002" i="1"/>
  <c r="Y1002" i="1"/>
  <c r="AS994" i="1"/>
  <c r="Z994" i="1"/>
  <c r="Y994" i="1"/>
  <c r="AS986" i="1"/>
  <c r="Z986" i="1"/>
  <c r="Y986" i="1"/>
  <c r="AS978" i="1"/>
  <c r="Z978" i="1"/>
  <c r="Y978" i="1"/>
  <c r="AS970" i="1"/>
  <c r="Z970" i="1"/>
  <c r="Y970" i="1"/>
  <c r="AS962" i="1"/>
  <c r="Z962" i="1"/>
  <c r="Y962" i="1"/>
  <c r="AI954" i="1"/>
  <c r="AS954" i="1"/>
  <c r="Z954" i="1"/>
  <c r="Y954" i="1"/>
  <c r="AS946" i="1"/>
  <c r="Z946" i="1"/>
  <c r="Y946" i="1"/>
  <c r="AS938" i="1"/>
  <c r="Z938" i="1"/>
  <c r="Y938" i="1"/>
  <c r="AS930" i="1"/>
  <c r="Z930" i="1"/>
  <c r="Y930" i="1"/>
  <c r="AS922" i="1"/>
  <c r="Z922" i="1"/>
  <c r="Y922" i="1"/>
  <c r="AS914" i="1"/>
  <c r="Z914" i="1"/>
  <c r="Y914" i="1"/>
  <c r="AS906" i="1"/>
  <c r="Z906" i="1"/>
  <c r="Y906" i="1"/>
  <c r="AS898" i="1"/>
  <c r="Z898" i="1"/>
  <c r="Y898" i="1"/>
  <c r="AS890" i="1"/>
  <c r="Z890" i="1"/>
  <c r="Y890" i="1"/>
  <c r="AS882" i="1"/>
  <c r="Z882" i="1"/>
  <c r="Y882" i="1"/>
  <c r="AS874" i="1"/>
  <c r="Z874" i="1"/>
  <c r="Y874" i="1"/>
  <c r="AS866" i="1"/>
  <c r="Z866" i="1"/>
  <c r="Y866" i="1"/>
  <c r="AS858" i="1"/>
  <c r="Z858" i="1"/>
  <c r="Y858" i="1"/>
  <c r="AS850" i="1"/>
  <c r="Z850" i="1"/>
  <c r="Y850" i="1"/>
  <c r="AS842" i="1"/>
  <c r="Z842" i="1"/>
  <c r="Y842" i="1"/>
  <c r="AS834" i="1"/>
  <c r="Z834" i="1"/>
  <c r="Y834" i="1"/>
  <c r="AS826" i="1"/>
  <c r="Z826" i="1"/>
  <c r="Y826" i="1"/>
  <c r="AS818" i="1"/>
  <c r="Z818" i="1"/>
  <c r="Y818" i="1"/>
  <c r="AS810" i="1"/>
  <c r="Z810" i="1"/>
  <c r="Y810" i="1"/>
  <c r="AS802" i="1"/>
  <c r="Z802" i="1"/>
  <c r="Y802" i="1"/>
  <c r="AS794" i="1"/>
  <c r="Z794" i="1"/>
  <c r="Y794" i="1"/>
  <c r="AS786" i="1"/>
  <c r="Z786" i="1"/>
  <c r="Y786" i="1"/>
  <c r="AS778" i="1"/>
  <c r="Z778" i="1"/>
  <c r="Y778" i="1"/>
  <c r="AS770" i="1"/>
  <c r="Z770" i="1"/>
  <c r="Y770" i="1"/>
  <c r="AS762" i="1"/>
  <c r="Z762" i="1"/>
  <c r="Y762" i="1"/>
  <c r="AS754" i="1"/>
  <c r="Z754" i="1"/>
  <c r="Y754" i="1"/>
  <c r="AS746" i="1"/>
  <c r="Z746" i="1"/>
  <c r="Y746" i="1"/>
  <c r="AS738" i="1"/>
  <c r="Z738" i="1"/>
  <c r="Y738" i="1"/>
  <c r="AS730" i="1"/>
  <c r="Z730" i="1"/>
  <c r="Y730" i="1"/>
  <c r="AS722" i="1"/>
  <c r="Z722" i="1"/>
  <c r="Y722" i="1"/>
  <c r="AS714" i="1"/>
  <c r="Y714" i="1"/>
  <c r="Z714" i="1"/>
  <c r="AS706" i="1"/>
  <c r="Z706" i="1"/>
  <c r="Y706" i="1"/>
  <c r="AS698" i="1"/>
  <c r="Y698" i="1"/>
  <c r="Z698" i="1"/>
  <c r="AS690" i="1"/>
  <c r="Z690" i="1"/>
  <c r="Y690" i="1"/>
  <c r="AS682" i="1"/>
  <c r="Y682" i="1"/>
  <c r="Z682" i="1"/>
  <c r="AS674" i="1"/>
  <c r="Z674" i="1"/>
  <c r="Y674" i="1"/>
  <c r="AS666" i="1"/>
  <c r="Y666" i="1"/>
  <c r="Z666" i="1"/>
  <c r="AS658" i="1"/>
  <c r="Z658" i="1"/>
  <c r="Y658" i="1"/>
  <c r="AS650" i="1"/>
  <c r="Y650" i="1"/>
  <c r="Z650" i="1"/>
  <c r="AS642" i="1"/>
  <c r="Z642" i="1"/>
  <c r="Y642" i="1"/>
  <c r="AS634" i="1"/>
  <c r="Y634" i="1"/>
  <c r="Z634" i="1"/>
  <c r="AS626" i="1"/>
  <c r="Z626" i="1"/>
  <c r="Y626" i="1"/>
  <c r="AS618" i="1"/>
  <c r="Y618" i="1"/>
  <c r="Z618" i="1"/>
  <c r="AS610" i="1"/>
  <c r="Z610" i="1"/>
  <c r="Y610" i="1"/>
  <c r="AS602" i="1"/>
  <c r="Y602" i="1"/>
  <c r="Z602" i="1"/>
  <c r="AS594" i="1"/>
  <c r="Z594" i="1"/>
  <c r="Y594" i="1"/>
  <c r="AS586" i="1"/>
  <c r="Y586" i="1"/>
  <c r="Z586" i="1"/>
  <c r="AS578" i="1"/>
  <c r="Z578" i="1"/>
  <c r="Y578" i="1"/>
  <c r="AI570" i="1"/>
  <c r="AS570" i="1"/>
  <c r="Y570" i="1"/>
  <c r="Z570" i="1"/>
  <c r="AS562" i="1"/>
  <c r="Z562" i="1"/>
  <c r="Y562" i="1"/>
  <c r="AS554" i="1"/>
  <c r="Y554" i="1"/>
  <c r="Z554" i="1"/>
  <c r="AS546" i="1"/>
  <c r="Z546" i="1"/>
  <c r="Y546" i="1"/>
  <c r="AS538" i="1"/>
  <c r="Y538" i="1"/>
  <c r="Z538" i="1"/>
  <c r="AS530" i="1"/>
  <c r="Z530" i="1"/>
  <c r="Y530" i="1"/>
  <c r="AS522" i="1"/>
  <c r="Y522" i="1"/>
  <c r="Z522" i="1"/>
  <c r="AS514" i="1"/>
  <c r="Z514" i="1"/>
  <c r="Y514" i="1"/>
  <c r="AS502" i="1"/>
  <c r="Z502" i="1"/>
  <c r="Y502" i="1"/>
  <c r="AI494" i="1"/>
  <c r="AS494" i="1"/>
  <c r="Z494" i="1"/>
  <c r="Y494" i="1"/>
  <c r="AS486" i="1"/>
  <c r="Z486" i="1"/>
  <c r="Y486" i="1"/>
  <c r="AS478" i="1"/>
  <c r="Z478" i="1"/>
  <c r="Y478" i="1"/>
  <c r="AS470" i="1"/>
  <c r="Z470" i="1"/>
  <c r="Y470" i="1"/>
  <c r="AS462" i="1"/>
  <c r="Y462" i="1"/>
  <c r="Z462" i="1"/>
  <c r="AS454" i="1"/>
  <c r="Z454" i="1"/>
  <c r="Y454" i="1"/>
  <c r="AS446" i="1"/>
  <c r="Z446" i="1"/>
  <c r="Y446" i="1"/>
  <c r="AS438" i="1"/>
  <c r="Z438" i="1"/>
  <c r="Y438" i="1"/>
  <c r="AS430" i="1"/>
  <c r="Y430" i="1"/>
  <c r="Z430" i="1"/>
  <c r="AS422" i="1"/>
  <c r="Z422" i="1"/>
  <c r="Y422" i="1"/>
  <c r="AS414" i="1"/>
  <c r="Y414" i="1"/>
  <c r="Z414" i="1"/>
  <c r="AS406" i="1"/>
  <c r="Z406" i="1"/>
  <c r="Y406" i="1"/>
  <c r="AS398" i="1"/>
  <c r="Z398" i="1"/>
  <c r="Y398" i="1"/>
  <c r="AI390" i="1"/>
  <c r="AS390" i="1"/>
  <c r="Z390" i="1"/>
  <c r="Y390" i="1"/>
  <c r="AS382" i="1"/>
  <c r="Z382" i="1"/>
  <c r="Y382" i="1"/>
  <c r="AS374" i="1"/>
  <c r="Z374" i="1"/>
  <c r="Y374" i="1"/>
  <c r="AS366" i="1"/>
  <c r="Y366" i="1"/>
  <c r="Z366" i="1"/>
  <c r="AS358" i="1"/>
  <c r="Z358" i="1"/>
  <c r="Y358" i="1"/>
  <c r="AS350" i="1"/>
  <c r="Z350" i="1"/>
  <c r="Y350" i="1"/>
  <c r="AS342" i="1"/>
  <c r="Z342" i="1"/>
  <c r="Y342" i="1"/>
  <c r="AI334" i="1"/>
  <c r="AS334" i="1"/>
  <c r="Y334" i="1"/>
  <c r="Z334" i="1"/>
  <c r="AS326" i="1"/>
  <c r="Z326" i="1"/>
  <c r="Y326" i="1"/>
  <c r="AS318" i="1"/>
  <c r="Z318" i="1"/>
  <c r="Y318" i="1"/>
  <c r="AI310" i="1"/>
  <c r="AS310" i="1"/>
  <c r="Z310" i="1"/>
  <c r="Y310" i="1"/>
  <c r="AS302" i="1"/>
  <c r="Y302" i="1"/>
  <c r="Z302" i="1"/>
  <c r="AS294" i="1"/>
  <c r="Z294" i="1"/>
  <c r="Y294" i="1"/>
  <c r="AS286" i="1"/>
  <c r="Y286" i="1"/>
  <c r="Z286" i="1"/>
  <c r="AS278" i="1"/>
  <c r="Z278" i="1"/>
  <c r="Y278" i="1"/>
  <c r="AI270" i="1"/>
  <c r="AS270" i="1"/>
  <c r="Z270" i="1"/>
  <c r="Y270" i="1"/>
  <c r="AS262" i="1"/>
  <c r="Z262" i="1"/>
  <c r="Y262" i="1"/>
  <c r="AS254" i="1"/>
  <c r="Z254" i="1"/>
  <c r="Y254" i="1"/>
  <c r="AS246" i="1"/>
  <c r="Z246" i="1"/>
  <c r="Y246" i="1"/>
  <c r="AS238" i="1"/>
  <c r="Y238" i="1"/>
  <c r="Z238" i="1"/>
  <c r="AS230" i="1"/>
  <c r="Z230" i="1"/>
  <c r="Y230" i="1"/>
  <c r="AS222" i="1"/>
  <c r="Z222" i="1"/>
  <c r="Y222" i="1"/>
  <c r="AS214" i="1"/>
  <c r="Z214" i="1"/>
  <c r="Y214" i="1"/>
  <c r="AS206" i="1"/>
  <c r="Y206" i="1"/>
  <c r="Z206" i="1"/>
  <c r="AS198" i="1"/>
  <c r="Z198" i="1"/>
  <c r="Y198" i="1"/>
  <c r="AS190" i="1"/>
  <c r="Z190" i="1"/>
  <c r="Y190" i="1"/>
  <c r="AS182" i="1"/>
  <c r="Z182" i="1"/>
  <c r="Y182" i="1"/>
  <c r="AS174" i="1"/>
  <c r="Z174" i="1"/>
  <c r="Y174" i="1"/>
  <c r="AS166" i="1"/>
  <c r="Z166" i="1"/>
  <c r="Y166" i="1"/>
  <c r="AS158" i="1"/>
  <c r="Z158" i="1"/>
  <c r="Y158" i="1"/>
  <c r="AS150" i="1"/>
  <c r="Z150" i="1"/>
  <c r="Y150" i="1"/>
  <c r="AS142" i="1"/>
  <c r="Z142" i="1"/>
  <c r="Y142" i="1"/>
  <c r="AI134" i="1"/>
  <c r="AS134" i="1"/>
  <c r="Z134" i="1"/>
  <c r="Y134" i="1"/>
  <c r="AS126" i="1"/>
  <c r="Z126" i="1"/>
  <c r="Y126" i="1"/>
  <c r="AS118" i="1"/>
  <c r="Z118" i="1"/>
  <c r="Y118" i="1"/>
  <c r="AS110" i="1"/>
  <c r="Z110" i="1"/>
  <c r="Y110" i="1"/>
  <c r="AS102" i="1"/>
  <c r="Z102" i="1"/>
  <c r="Y102" i="1"/>
  <c r="AS94" i="1"/>
  <c r="Z94" i="1"/>
  <c r="Y94" i="1"/>
  <c r="AS86" i="1"/>
  <c r="Z86" i="1"/>
  <c r="Y86" i="1"/>
  <c r="AS78" i="1"/>
  <c r="Z78" i="1"/>
  <c r="Y78" i="1"/>
  <c r="AS70" i="1"/>
  <c r="Z70" i="1"/>
  <c r="Y70" i="1"/>
  <c r="AS62" i="1"/>
  <c r="Z62" i="1"/>
  <c r="Y62" i="1"/>
  <c r="AS54" i="1"/>
  <c r="Z54" i="1"/>
  <c r="Y54" i="1"/>
  <c r="AS46" i="1"/>
  <c r="Z46" i="1"/>
  <c r="Y46" i="1"/>
  <c r="AI38" i="1"/>
  <c r="AS38" i="1"/>
  <c r="Z38" i="1"/>
  <c r="Y38" i="1"/>
  <c r="AS30" i="1"/>
  <c r="Z30" i="1"/>
  <c r="Y30" i="1"/>
  <c r="AS22" i="1"/>
  <c r="Z22" i="1"/>
  <c r="Y22" i="1"/>
  <c r="AS1247" i="1"/>
  <c r="Z1247" i="1"/>
  <c r="Y1247" i="1"/>
  <c r="AS1297" i="1"/>
  <c r="Y1297" i="1"/>
  <c r="Z1297" i="1"/>
  <c r="AS1281" i="1"/>
  <c r="Y1281" i="1"/>
  <c r="Z1281" i="1"/>
  <c r="AS1273" i="1"/>
  <c r="Z1273" i="1"/>
  <c r="Y1273" i="1"/>
  <c r="AS1265" i="1"/>
  <c r="Z1265" i="1"/>
  <c r="Y1265" i="1"/>
  <c r="AS1257" i="1"/>
  <c r="Y1257" i="1"/>
  <c r="Z1257" i="1"/>
  <c r="AS1249" i="1"/>
  <c r="Z1249" i="1"/>
  <c r="Y1249" i="1"/>
  <c r="AS1241" i="1"/>
  <c r="Z1241" i="1"/>
  <c r="Y1241" i="1"/>
  <c r="AS1233" i="1"/>
  <c r="Y1233" i="1"/>
  <c r="Z1233" i="1"/>
  <c r="AS1225" i="1"/>
  <c r="Z1225" i="1"/>
  <c r="Y1225" i="1"/>
  <c r="AS1217" i="1"/>
  <c r="Y1217" i="1"/>
  <c r="Z1217" i="1"/>
  <c r="AS1209" i="1"/>
  <c r="Z1209" i="1"/>
  <c r="Y1209" i="1"/>
  <c r="AS1201" i="1"/>
  <c r="Y1201" i="1"/>
  <c r="Z1201" i="1"/>
  <c r="AS1193" i="1"/>
  <c r="Z1193" i="1"/>
  <c r="Y1193" i="1"/>
  <c r="AS1185" i="1"/>
  <c r="Y1185" i="1"/>
  <c r="Z1185" i="1"/>
  <c r="AS1177" i="1"/>
  <c r="Z1177" i="1"/>
  <c r="Y1177" i="1"/>
  <c r="AS1169" i="1"/>
  <c r="Y1169" i="1"/>
  <c r="Z1169" i="1"/>
  <c r="AS1161" i="1"/>
  <c r="Z1161" i="1"/>
  <c r="Y1161" i="1"/>
  <c r="AS1153" i="1"/>
  <c r="Z1153" i="1"/>
  <c r="Y1153" i="1"/>
  <c r="AS1145" i="1"/>
  <c r="Z1145" i="1"/>
  <c r="Y1145" i="1"/>
  <c r="AS1137" i="1"/>
  <c r="Y1137" i="1"/>
  <c r="Z1137" i="1"/>
  <c r="AI1129" i="1"/>
  <c r="AS1129" i="1"/>
  <c r="Z1129" i="1"/>
  <c r="Y1129" i="1"/>
  <c r="AS1121" i="1"/>
  <c r="Y1121" i="1"/>
  <c r="Z1121" i="1"/>
  <c r="AS1113" i="1"/>
  <c r="Z1113" i="1"/>
  <c r="Y1113" i="1"/>
  <c r="AS1105" i="1"/>
  <c r="Y1105" i="1"/>
  <c r="Z1105" i="1"/>
  <c r="AS1097" i="1"/>
  <c r="Z1097" i="1"/>
  <c r="Y1097" i="1"/>
  <c r="AS1089" i="1"/>
  <c r="Y1089" i="1"/>
  <c r="Z1089" i="1"/>
  <c r="AS1081" i="1"/>
  <c r="Z1081" i="1"/>
  <c r="Y1081" i="1"/>
  <c r="AS1073" i="1"/>
  <c r="Y1073" i="1"/>
  <c r="Z1073" i="1"/>
  <c r="AS1065" i="1"/>
  <c r="Z1065" i="1"/>
  <c r="Y1065" i="1"/>
  <c r="AS1057" i="1"/>
  <c r="Y1057" i="1"/>
  <c r="Z1057" i="1"/>
  <c r="AI1049" i="1"/>
  <c r="AS1049" i="1"/>
  <c r="Z1049" i="1"/>
  <c r="Y1049" i="1"/>
  <c r="AS1041" i="1"/>
  <c r="Y1041" i="1"/>
  <c r="Z1041" i="1"/>
  <c r="AS1033" i="1"/>
  <c r="Z1033" i="1"/>
  <c r="Y1033" i="1"/>
  <c r="AS1025" i="1"/>
  <c r="Z1025" i="1"/>
  <c r="Y1025" i="1"/>
  <c r="AS1017" i="1"/>
  <c r="Z1017" i="1"/>
  <c r="Y1017" i="1"/>
  <c r="AI1009" i="1"/>
  <c r="AS1009" i="1"/>
  <c r="Y1009" i="1"/>
  <c r="Z1009" i="1"/>
  <c r="AS1001" i="1"/>
  <c r="Z1001" i="1"/>
  <c r="Y1001" i="1"/>
  <c r="AI993" i="1"/>
  <c r="AS993" i="1"/>
  <c r="Y993" i="1"/>
  <c r="Z993" i="1"/>
  <c r="AS985" i="1"/>
  <c r="Z985" i="1"/>
  <c r="Y985" i="1"/>
  <c r="AS977" i="1"/>
  <c r="Y977" i="1"/>
  <c r="Z977" i="1"/>
  <c r="AS969" i="1"/>
  <c r="Z969" i="1"/>
  <c r="Y969" i="1"/>
  <c r="AS961" i="1"/>
  <c r="Y961" i="1"/>
  <c r="Z961" i="1"/>
  <c r="AS953" i="1"/>
  <c r="Z953" i="1"/>
  <c r="Y953" i="1"/>
  <c r="AS945" i="1"/>
  <c r="Y945" i="1"/>
  <c r="Z945" i="1"/>
  <c r="AS937" i="1"/>
  <c r="Z937" i="1"/>
  <c r="Y937" i="1"/>
  <c r="AS929" i="1"/>
  <c r="Y929" i="1"/>
  <c r="Z929" i="1"/>
  <c r="AS921" i="1"/>
  <c r="Z921" i="1"/>
  <c r="Y921" i="1"/>
  <c r="AS913" i="1"/>
  <c r="Y913" i="1"/>
  <c r="Z913" i="1"/>
  <c r="AS905" i="1"/>
  <c r="Z905" i="1"/>
  <c r="Y905" i="1"/>
  <c r="AS897" i="1"/>
  <c r="Z897" i="1"/>
  <c r="Y897" i="1"/>
  <c r="AS889" i="1"/>
  <c r="Z889" i="1"/>
  <c r="Y889" i="1"/>
  <c r="AS881" i="1"/>
  <c r="Y881" i="1"/>
  <c r="Z881" i="1"/>
  <c r="AS873" i="1"/>
  <c r="Z873" i="1"/>
  <c r="Y873" i="1"/>
  <c r="AS865" i="1"/>
  <c r="Y865" i="1"/>
  <c r="Z865" i="1"/>
  <c r="AS857" i="1"/>
  <c r="Z857" i="1"/>
  <c r="Y857" i="1"/>
  <c r="AS849" i="1"/>
  <c r="Y849" i="1"/>
  <c r="Z849" i="1"/>
  <c r="AS841" i="1"/>
  <c r="Z841" i="1"/>
  <c r="Y841" i="1"/>
  <c r="AS833" i="1"/>
  <c r="Y833" i="1"/>
  <c r="Z833" i="1"/>
  <c r="AS825" i="1"/>
  <c r="Z825" i="1"/>
  <c r="Y825" i="1"/>
  <c r="AI817" i="1"/>
  <c r="AS817" i="1"/>
  <c r="Y817" i="1"/>
  <c r="Z817" i="1"/>
  <c r="AS809" i="1"/>
  <c r="Z809" i="1"/>
  <c r="Y809" i="1"/>
  <c r="AS801" i="1"/>
  <c r="Y801" i="1"/>
  <c r="Z801" i="1"/>
  <c r="AS793" i="1"/>
  <c r="Z793" i="1"/>
  <c r="Y793" i="1"/>
  <c r="AS785" i="1"/>
  <c r="Y785" i="1"/>
  <c r="Z785" i="1"/>
  <c r="AS777" i="1"/>
  <c r="Z777" i="1"/>
  <c r="Y777" i="1"/>
  <c r="AS769" i="1"/>
  <c r="Z769" i="1"/>
  <c r="Y769" i="1"/>
  <c r="AS761" i="1"/>
  <c r="Z761" i="1"/>
  <c r="Y761" i="1"/>
  <c r="AS753" i="1"/>
  <c r="Y753" i="1"/>
  <c r="Z753" i="1"/>
  <c r="AS745" i="1"/>
  <c r="Z745" i="1"/>
  <c r="Y745" i="1"/>
  <c r="AS737" i="1"/>
  <c r="Y737" i="1"/>
  <c r="Z737" i="1"/>
  <c r="AS729" i="1"/>
  <c r="Z729" i="1"/>
  <c r="Y729" i="1"/>
  <c r="AS721" i="1"/>
  <c r="Y721" i="1"/>
  <c r="Z721" i="1"/>
  <c r="AS713" i="1"/>
  <c r="Z713" i="1"/>
  <c r="Y713" i="1"/>
  <c r="AS705" i="1"/>
  <c r="Y705" i="1"/>
  <c r="Z705" i="1"/>
  <c r="AS697" i="1"/>
  <c r="Z697" i="1"/>
  <c r="Y697" i="1"/>
  <c r="AS689" i="1"/>
  <c r="Z689" i="1"/>
  <c r="Y689" i="1"/>
  <c r="AS681" i="1"/>
  <c r="Z681" i="1"/>
  <c r="Y681" i="1"/>
  <c r="AS673" i="1"/>
  <c r="Y673" i="1"/>
  <c r="Z673" i="1"/>
  <c r="AS665" i="1"/>
  <c r="Z665" i="1"/>
  <c r="Y665" i="1"/>
  <c r="AS657" i="1"/>
  <c r="Z657" i="1"/>
  <c r="Y657" i="1"/>
  <c r="AS649" i="1"/>
  <c r="Z649" i="1"/>
  <c r="Y649" i="1"/>
  <c r="AS641" i="1"/>
  <c r="Z641" i="1"/>
  <c r="Y641" i="1"/>
  <c r="AS633" i="1"/>
  <c r="Z633" i="1"/>
  <c r="Y633" i="1"/>
  <c r="AS625" i="1"/>
  <c r="Y625" i="1"/>
  <c r="Z625" i="1"/>
  <c r="AI617" i="1"/>
  <c r="AS617" i="1"/>
  <c r="Z617" i="1"/>
  <c r="Y617" i="1"/>
  <c r="AS609" i="1"/>
  <c r="Z609" i="1"/>
  <c r="Y609" i="1"/>
  <c r="AS601" i="1"/>
  <c r="Z601" i="1"/>
  <c r="Y601" i="1"/>
  <c r="AS593" i="1"/>
  <c r="Y593" i="1"/>
  <c r="Z593" i="1"/>
  <c r="AS585" i="1"/>
  <c r="Z585" i="1"/>
  <c r="Y585" i="1"/>
  <c r="AS577" i="1"/>
  <c r="Z577" i="1"/>
  <c r="Y577" i="1"/>
  <c r="AS569" i="1"/>
  <c r="Z569" i="1"/>
  <c r="Y569" i="1"/>
  <c r="AS561" i="1"/>
  <c r="Z561" i="1"/>
  <c r="Y561" i="1"/>
  <c r="AS553" i="1"/>
  <c r="Z553" i="1"/>
  <c r="Y553" i="1"/>
  <c r="AS545" i="1"/>
  <c r="Y545" i="1"/>
  <c r="Z545" i="1"/>
  <c r="AS537" i="1"/>
  <c r="Z537" i="1"/>
  <c r="Y537" i="1"/>
  <c r="AS529" i="1"/>
  <c r="Z529" i="1"/>
  <c r="Y529" i="1"/>
  <c r="AS521" i="1"/>
  <c r="Z521" i="1"/>
  <c r="Y521" i="1"/>
  <c r="AS513" i="1"/>
  <c r="Z513" i="1"/>
  <c r="Y513" i="1"/>
  <c r="AS501" i="1"/>
  <c r="Z501" i="1"/>
  <c r="Y501" i="1"/>
  <c r="AS493" i="1"/>
  <c r="Z493" i="1"/>
  <c r="Y493" i="1"/>
  <c r="AS485" i="1"/>
  <c r="Z485" i="1"/>
  <c r="Y485" i="1"/>
  <c r="AS477" i="1"/>
  <c r="Z477" i="1"/>
  <c r="Y477" i="1"/>
  <c r="AS469" i="1"/>
  <c r="Z469" i="1"/>
  <c r="Y469" i="1"/>
  <c r="AS461" i="1"/>
  <c r="Z461" i="1"/>
  <c r="Y461" i="1"/>
  <c r="AS453" i="1"/>
  <c r="Z453" i="1"/>
  <c r="Y453" i="1"/>
  <c r="AS445" i="1"/>
  <c r="Z445" i="1"/>
  <c r="Y445" i="1"/>
  <c r="AS437" i="1"/>
  <c r="Z437" i="1"/>
  <c r="Y437" i="1"/>
  <c r="AS429" i="1"/>
  <c r="Z429" i="1"/>
  <c r="Y429" i="1"/>
  <c r="AS421" i="1"/>
  <c r="Z421" i="1"/>
  <c r="Y421" i="1"/>
  <c r="AS413" i="1"/>
  <c r="Z413" i="1"/>
  <c r="Y413" i="1"/>
  <c r="AS405" i="1"/>
  <c r="Z405" i="1"/>
  <c r="Y405" i="1"/>
  <c r="AS397" i="1"/>
  <c r="Z397" i="1"/>
  <c r="Y397" i="1"/>
  <c r="AS389" i="1"/>
  <c r="Z389" i="1"/>
  <c r="Y389" i="1"/>
  <c r="AS381" i="1"/>
  <c r="Z381" i="1"/>
  <c r="Y381" i="1"/>
  <c r="AS373" i="1"/>
  <c r="Z373" i="1"/>
  <c r="Y373" i="1"/>
  <c r="Z365" i="1"/>
  <c r="AS365" i="1"/>
  <c r="Y365" i="1"/>
  <c r="AS357" i="1"/>
  <c r="Z357" i="1"/>
  <c r="Y357" i="1"/>
  <c r="AS349" i="1"/>
  <c r="Z349" i="1"/>
  <c r="Y349" i="1"/>
  <c r="AS341" i="1"/>
  <c r="Z341" i="1"/>
  <c r="Y341" i="1"/>
  <c r="AS333" i="1"/>
  <c r="Z333" i="1"/>
  <c r="Y333" i="1"/>
  <c r="AS325" i="1"/>
  <c r="Z325" i="1"/>
  <c r="Y325" i="1"/>
  <c r="AS317" i="1"/>
  <c r="Z317" i="1"/>
  <c r="Y317" i="1"/>
  <c r="AS309" i="1"/>
  <c r="Z309" i="1"/>
  <c r="Y309" i="1"/>
  <c r="AS301" i="1"/>
  <c r="Z301" i="1"/>
  <c r="Y301" i="1"/>
  <c r="AS293" i="1"/>
  <c r="Z293" i="1"/>
  <c r="Y293" i="1"/>
  <c r="AS285" i="1"/>
  <c r="Z285" i="1"/>
  <c r="Y285" i="1"/>
  <c r="AS277" i="1"/>
  <c r="Z277" i="1"/>
  <c r="Y277" i="1"/>
  <c r="AS269" i="1"/>
  <c r="Z269" i="1"/>
  <c r="Y269" i="1"/>
  <c r="AS261" i="1"/>
  <c r="Z261" i="1"/>
  <c r="Y261" i="1"/>
  <c r="AS253" i="1"/>
  <c r="Z253" i="1"/>
  <c r="Y253" i="1"/>
  <c r="AS245" i="1"/>
  <c r="Z245" i="1"/>
  <c r="Y245" i="1"/>
  <c r="AS237" i="1"/>
  <c r="Z237" i="1"/>
  <c r="Y237" i="1"/>
  <c r="AS229" i="1"/>
  <c r="Z229" i="1"/>
  <c r="Y229" i="1"/>
  <c r="AS221" i="1"/>
  <c r="Z221" i="1"/>
  <c r="Y221" i="1"/>
  <c r="AS213" i="1"/>
  <c r="Z213" i="1"/>
  <c r="Y213" i="1"/>
  <c r="AS205" i="1"/>
  <c r="Z205" i="1"/>
  <c r="Y205" i="1"/>
  <c r="AS197" i="1"/>
  <c r="Z197" i="1"/>
  <c r="Y197" i="1"/>
  <c r="AS189" i="1"/>
  <c r="Z189" i="1"/>
  <c r="Y189" i="1"/>
  <c r="AI181" i="1"/>
  <c r="AS181" i="1"/>
  <c r="Z181" i="1"/>
  <c r="Y181" i="1"/>
  <c r="AS173" i="1"/>
  <c r="Z173" i="1"/>
  <c r="Y173" i="1"/>
  <c r="AS165" i="1"/>
  <c r="Z165" i="1"/>
  <c r="Y165" i="1"/>
  <c r="AS157" i="1"/>
  <c r="Z157" i="1"/>
  <c r="Y157" i="1"/>
  <c r="AS149" i="1"/>
  <c r="Z149" i="1"/>
  <c r="Y149" i="1"/>
  <c r="AS141" i="1"/>
  <c r="Z141" i="1"/>
  <c r="Y141" i="1"/>
  <c r="AS133" i="1"/>
  <c r="Z133" i="1"/>
  <c r="Y133" i="1"/>
  <c r="AI125" i="1"/>
  <c r="AS125" i="1"/>
  <c r="Z125" i="1"/>
  <c r="Y125" i="1"/>
  <c r="AS117" i="1"/>
  <c r="Z117" i="1"/>
  <c r="Y117" i="1"/>
  <c r="AS109" i="1"/>
  <c r="Z109" i="1"/>
  <c r="Y109" i="1"/>
  <c r="AS101" i="1"/>
  <c r="Z101" i="1"/>
  <c r="Y101" i="1"/>
  <c r="AS93" i="1"/>
  <c r="Z93" i="1"/>
  <c r="Y93" i="1"/>
  <c r="AS85" i="1"/>
  <c r="Z85" i="1"/>
  <c r="Y85" i="1"/>
  <c r="AS77" i="1"/>
  <c r="Z77" i="1"/>
  <c r="Y77" i="1"/>
  <c r="AS69" i="1"/>
  <c r="Z69" i="1"/>
  <c r="Y69" i="1"/>
  <c r="AS61" i="1"/>
  <c r="Z61" i="1"/>
  <c r="Y61" i="1"/>
  <c r="AS53" i="1"/>
  <c r="Z53" i="1"/>
  <c r="Y53" i="1"/>
  <c r="AS45" i="1"/>
  <c r="Z45" i="1"/>
  <c r="Y45" i="1"/>
  <c r="AS37" i="1"/>
  <c r="Z37" i="1"/>
  <c r="Y37" i="1"/>
  <c r="AS29" i="1"/>
  <c r="Z29" i="1"/>
  <c r="Y29" i="1"/>
  <c r="AS21" i="1"/>
  <c r="Z21" i="1"/>
  <c r="Y21" i="1"/>
  <c r="AS1303" i="1"/>
  <c r="Z1303" i="1"/>
  <c r="Y1303" i="1"/>
  <c r="AS1305" i="1"/>
  <c r="Y1305" i="1"/>
  <c r="Z1305" i="1"/>
  <c r="AS1289" i="1"/>
  <c r="Y1289" i="1"/>
  <c r="Z1289" i="1"/>
  <c r="AS1304" i="1"/>
  <c r="Z1304" i="1"/>
  <c r="Y1304" i="1"/>
  <c r="AS1296" i="1"/>
  <c r="Z1296" i="1"/>
  <c r="Y1296" i="1"/>
  <c r="AS1288" i="1"/>
  <c r="Z1288" i="1"/>
  <c r="Y1288" i="1"/>
  <c r="AS1280" i="1"/>
  <c r="Z1280" i="1"/>
  <c r="Y1280" i="1"/>
  <c r="AS1272" i="1"/>
  <c r="Y1272" i="1"/>
  <c r="Z1272" i="1"/>
  <c r="AS1264" i="1"/>
  <c r="Z1264" i="1"/>
  <c r="Y1264" i="1"/>
  <c r="AS1256" i="1"/>
  <c r="Z1256" i="1"/>
  <c r="Y1256" i="1"/>
  <c r="AS1248" i="1"/>
  <c r="Z1248" i="1"/>
  <c r="Y1248" i="1"/>
  <c r="AS1240" i="1"/>
  <c r="Z1240" i="1"/>
  <c r="Y1240" i="1"/>
  <c r="AS1232" i="1"/>
  <c r="Z1232" i="1"/>
  <c r="Y1232" i="1"/>
  <c r="AS1224" i="1"/>
  <c r="Z1224" i="1"/>
  <c r="Y1224" i="1"/>
  <c r="AS1216" i="1"/>
  <c r="Z1216" i="1"/>
  <c r="Y1216" i="1"/>
  <c r="AS1208" i="1"/>
  <c r="Z1208" i="1"/>
  <c r="Y1208" i="1"/>
  <c r="AS1200" i="1"/>
  <c r="Z1200" i="1"/>
  <c r="Y1200" i="1"/>
  <c r="AS1192" i="1"/>
  <c r="Z1192" i="1"/>
  <c r="Y1192" i="1"/>
  <c r="AS1184" i="1"/>
  <c r="Z1184" i="1"/>
  <c r="Y1184" i="1"/>
  <c r="AS1176" i="1"/>
  <c r="Z1176" i="1"/>
  <c r="Y1176" i="1"/>
  <c r="AS1168" i="1"/>
  <c r="Z1168" i="1"/>
  <c r="Y1168" i="1"/>
  <c r="AS1160" i="1"/>
  <c r="Z1160" i="1"/>
  <c r="Y1160" i="1"/>
  <c r="AS1152" i="1"/>
  <c r="Y1152" i="1"/>
  <c r="Z1152" i="1"/>
  <c r="AI1144" i="1"/>
  <c r="AS1144" i="1"/>
  <c r="Z1144" i="1"/>
  <c r="Y1144" i="1"/>
  <c r="AS1136" i="1"/>
  <c r="Z1136" i="1"/>
  <c r="Y1136" i="1"/>
  <c r="AS1128" i="1"/>
  <c r="Z1128" i="1"/>
  <c r="Y1128" i="1"/>
  <c r="AS1120" i="1"/>
  <c r="Z1120" i="1"/>
  <c r="Y1120" i="1"/>
  <c r="AS1112" i="1"/>
  <c r="Z1112" i="1"/>
  <c r="Y1112" i="1"/>
  <c r="AS1104" i="1"/>
  <c r="Z1104" i="1"/>
  <c r="Y1104" i="1"/>
  <c r="AS1096" i="1"/>
  <c r="Z1096" i="1"/>
  <c r="Y1096" i="1"/>
  <c r="AS1088" i="1"/>
  <c r="Z1088" i="1"/>
  <c r="Y1088" i="1"/>
  <c r="AS1080" i="1"/>
  <c r="Z1080" i="1"/>
  <c r="Y1080" i="1"/>
  <c r="AS1072" i="1"/>
  <c r="Z1072" i="1"/>
  <c r="Y1072" i="1"/>
  <c r="AS1064" i="1"/>
  <c r="Z1064" i="1"/>
  <c r="Y1064" i="1"/>
  <c r="AS1056" i="1"/>
  <c r="Z1056" i="1"/>
  <c r="Y1056" i="1"/>
  <c r="AS1048" i="1"/>
  <c r="Z1048" i="1"/>
  <c r="Y1048" i="1"/>
  <c r="AS1040" i="1"/>
  <c r="Z1040" i="1"/>
  <c r="Y1040" i="1"/>
  <c r="AS1032" i="1"/>
  <c r="Z1032" i="1"/>
  <c r="Y1032" i="1"/>
  <c r="AS1024" i="1"/>
  <c r="Y1024" i="1"/>
  <c r="Z1024" i="1"/>
  <c r="AS1016" i="1"/>
  <c r="Z1016" i="1"/>
  <c r="Y1016" i="1"/>
  <c r="AS1008" i="1"/>
  <c r="Z1008" i="1"/>
  <c r="Y1008" i="1"/>
  <c r="AS1000" i="1"/>
  <c r="Z1000" i="1"/>
  <c r="Y1000" i="1"/>
  <c r="AS992" i="1"/>
  <c r="Z992" i="1"/>
  <c r="Y992" i="1"/>
  <c r="AS984" i="1"/>
  <c r="Z984" i="1"/>
  <c r="Y984" i="1"/>
  <c r="AS976" i="1"/>
  <c r="Z976" i="1"/>
  <c r="Y976" i="1"/>
  <c r="AS968" i="1"/>
  <c r="Z968" i="1"/>
  <c r="Y968" i="1"/>
  <c r="AS960" i="1"/>
  <c r="Z960" i="1"/>
  <c r="Y960" i="1"/>
  <c r="AS952" i="1"/>
  <c r="Z952" i="1"/>
  <c r="Y952" i="1"/>
  <c r="AS944" i="1"/>
  <c r="Z944" i="1"/>
  <c r="Y944" i="1"/>
  <c r="AS936" i="1"/>
  <c r="Z936" i="1"/>
  <c r="Y936" i="1"/>
  <c r="AS928" i="1"/>
  <c r="Z928" i="1"/>
  <c r="Y928" i="1"/>
  <c r="AS920" i="1"/>
  <c r="Z920" i="1"/>
  <c r="Y920" i="1"/>
  <c r="AS912" i="1"/>
  <c r="Z912" i="1"/>
  <c r="Y912" i="1"/>
  <c r="AI904" i="1"/>
  <c r="AS904" i="1"/>
  <c r="Z904" i="1"/>
  <c r="Y904" i="1"/>
  <c r="AS896" i="1"/>
  <c r="Z896" i="1"/>
  <c r="Y896" i="1"/>
  <c r="AS888" i="1"/>
  <c r="Z888" i="1"/>
  <c r="Y888" i="1"/>
  <c r="AS880" i="1"/>
  <c r="Z880" i="1"/>
  <c r="Y880" i="1"/>
  <c r="AS872" i="1"/>
  <c r="Z872" i="1"/>
  <c r="Y872" i="1"/>
  <c r="AS864" i="1"/>
  <c r="Z864" i="1"/>
  <c r="Y864" i="1"/>
  <c r="AS856" i="1"/>
  <c r="Z856" i="1"/>
  <c r="Y856" i="1"/>
  <c r="AS848" i="1"/>
  <c r="Z848" i="1"/>
  <c r="Y848" i="1"/>
  <c r="AS840" i="1"/>
  <c r="Z840" i="1"/>
  <c r="Y840" i="1"/>
  <c r="AS832" i="1"/>
  <c r="Z832" i="1"/>
  <c r="Y832" i="1"/>
  <c r="AS824" i="1"/>
  <c r="Z824" i="1"/>
  <c r="Y824" i="1"/>
  <c r="AS816" i="1"/>
  <c r="Z816" i="1"/>
  <c r="Y816" i="1"/>
  <c r="AS808" i="1"/>
  <c r="Z808" i="1"/>
  <c r="Y808" i="1"/>
  <c r="AS800" i="1"/>
  <c r="Z800" i="1"/>
  <c r="Y800" i="1"/>
  <c r="AS792" i="1"/>
  <c r="Z792" i="1"/>
  <c r="Y792" i="1"/>
  <c r="AS784" i="1"/>
  <c r="Z784" i="1"/>
  <c r="Y784" i="1"/>
  <c r="AI776" i="1"/>
  <c r="AS776" i="1"/>
  <c r="Z776" i="1"/>
  <c r="Y776" i="1"/>
  <c r="AS768" i="1"/>
  <c r="Z768" i="1"/>
  <c r="Y768" i="1"/>
  <c r="AS760" i="1"/>
  <c r="Z760" i="1"/>
  <c r="Y760" i="1"/>
  <c r="AS752" i="1"/>
  <c r="Z752" i="1"/>
  <c r="Y752" i="1"/>
  <c r="AS744" i="1"/>
  <c r="Z744" i="1"/>
  <c r="Y744" i="1"/>
  <c r="AS736" i="1"/>
  <c r="Z736" i="1"/>
  <c r="Y736" i="1"/>
  <c r="AS728" i="1"/>
  <c r="Z728" i="1"/>
  <c r="Y728" i="1"/>
  <c r="AS720" i="1"/>
  <c r="Z720" i="1"/>
  <c r="Y720" i="1"/>
  <c r="AS712" i="1"/>
  <c r="Z712" i="1"/>
  <c r="Y712" i="1"/>
  <c r="AS704" i="1"/>
  <c r="Y704" i="1"/>
  <c r="Z704" i="1"/>
  <c r="AS696" i="1"/>
  <c r="Z696" i="1"/>
  <c r="Y696" i="1"/>
  <c r="AS688" i="1"/>
  <c r="Z688" i="1"/>
  <c r="Y688" i="1"/>
  <c r="AI680" i="1"/>
  <c r="AS680" i="1"/>
  <c r="Z680" i="1"/>
  <c r="Y680" i="1"/>
  <c r="AS672" i="1"/>
  <c r="Y672" i="1"/>
  <c r="Z672" i="1"/>
  <c r="AS664" i="1"/>
  <c r="Y664" i="1"/>
  <c r="Z664" i="1"/>
  <c r="AS656" i="1"/>
  <c r="Y656" i="1"/>
  <c r="Z656" i="1"/>
  <c r="AS648" i="1"/>
  <c r="Y648" i="1"/>
  <c r="Z648" i="1"/>
  <c r="AS640" i="1"/>
  <c r="Y640" i="1"/>
  <c r="Z640" i="1"/>
  <c r="Y632" i="1"/>
  <c r="Z632" i="1"/>
  <c r="AS632" i="1"/>
  <c r="AS624" i="1"/>
  <c r="Y624" i="1"/>
  <c r="Z624" i="1"/>
  <c r="AS616" i="1"/>
  <c r="Y616" i="1"/>
  <c r="Z616" i="1"/>
  <c r="AS608" i="1"/>
  <c r="Y608" i="1"/>
  <c r="Z608" i="1"/>
  <c r="AS600" i="1"/>
  <c r="Y600" i="1"/>
  <c r="Z600" i="1"/>
  <c r="AS592" i="1"/>
  <c r="Y592" i="1"/>
  <c r="Z592" i="1"/>
  <c r="AS584" i="1"/>
  <c r="Y584" i="1"/>
  <c r="Z584" i="1"/>
  <c r="AS576" i="1"/>
  <c r="Y576" i="1"/>
  <c r="Z576" i="1"/>
  <c r="AS568" i="1"/>
  <c r="Y568" i="1"/>
  <c r="Z568" i="1"/>
  <c r="AS560" i="1"/>
  <c r="Y560" i="1"/>
  <c r="Z560" i="1"/>
  <c r="AS552" i="1"/>
  <c r="Y552" i="1"/>
  <c r="Z552" i="1"/>
  <c r="AS544" i="1"/>
  <c r="Y544" i="1"/>
  <c r="Z544" i="1"/>
  <c r="AS536" i="1"/>
  <c r="Y536" i="1"/>
  <c r="Z536" i="1"/>
  <c r="AS528" i="1"/>
  <c r="Y528" i="1"/>
  <c r="Z528" i="1"/>
  <c r="AS520" i="1"/>
  <c r="Y520" i="1"/>
  <c r="Z520" i="1"/>
  <c r="AS512" i="1"/>
  <c r="Y512" i="1"/>
  <c r="Z512" i="1"/>
  <c r="AS500" i="1"/>
  <c r="Z500" i="1"/>
  <c r="Y500" i="1"/>
  <c r="AS492" i="1"/>
  <c r="Z492" i="1"/>
  <c r="Y492" i="1"/>
  <c r="AS484" i="1"/>
  <c r="Z484" i="1"/>
  <c r="Y484" i="1"/>
  <c r="AS476" i="1"/>
  <c r="Z476" i="1"/>
  <c r="Y476" i="1"/>
  <c r="AS468" i="1"/>
  <c r="Z468" i="1"/>
  <c r="Y468" i="1"/>
  <c r="AS460" i="1"/>
  <c r="Z460" i="1"/>
  <c r="Y460" i="1"/>
  <c r="AS452" i="1"/>
  <c r="Z452" i="1"/>
  <c r="Y452" i="1"/>
  <c r="AS444" i="1"/>
  <c r="Z444" i="1"/>
  <c r="Y444" i="1"/>
  <c r="AS436" i="1"/>
  <c r="Z436" i="1"/>
  <c r="Y436" i="1"/>
  <c r="AI428" i="1"/>
  <c r="AS428" i="1"/>
  <c r="Z428" i="1"/>
  <c r="Y428" i="1"/>
  <c r="AI420" i="1"/>
  <c r="AS420" i="1"/>
  <c r="Z420" i="1"/>
  <c r="Y420" i="1"/>
  <c r="AS412" i="1"/>
  <c r="Z412" i="1"/>
  <c r="Y412" i="1"/>
  <c r="AS404" i="1"/>
  <c r="Z404" i="1"/>
  <c r="Y404" i="1"/>
  <c r="AS396" i="1"/>
  <c r="Z396" i="1"/>
  <c r="Y396" i="1"/>
  <c r="AS388" i="1"/>
  <c r="Z388" i="1"/>
  <c r="Y388" i="1"/>
  <c r="AS380" i="1"/>
  <c r="Z380" i="1"/>
  <c r="Y380" i="1"/>
  <c r="AS372" i="1"/>
  <c r="Z372" i="1"/>
  <c r="Y372" i="1"/>
  <c r="AS364" i="1"/>
  <c r="Z364" i="1"/>
  <c r="Y364" i="1"/>
  <c r="AS356" i="1"/>
  <c r="Z356" i="1"/>
  <c r="Y356" i="1"/>
  <c r="AS348" i="1"/>
  <c r="Z348" i="1"/>
  <c r="Y348" i="1"/>
  <c r="AS340" i="1"/>
  <c r="Z340" i="1"/>
  <c r="Y340" i="1"/>
  <c r="AS332" i="1"/>
  <c r="Z332" i="1"/>
  <c r="Y332" i="1"/>
  <c r="AS324" i="1"/>
  <c r="Z324" i="1"/>
  <c r="Y324" i="1"/>
  <c r="AS316" i="1"/>
  <c r="Z316" i="1"/>
  <c r="Y316" i="1"/>
  <c r="AS308" i="1"/>
  <c r="Z308" i="1"/>
  <c r="Y308" i="1"/>
  <c r="AS300" i="1"/>
  <c r="Z300" i="1"/>
  <c r="Y300" i="1"/>
  <c r="AS292" i="1"/>
  <c r="Z292" i="1"/>
  <c r="Y292" i="1"/>
  <c r="AS284" i="1"/>
  <c r="Z284" i="1"/>
  <c r="Y284" i="1"/>
  <c r="AS276" i="1"/>
  <c r="Z276" i="1"/>
  <c r="Y276" i="1"/>
  <c r="AS268" i="1"/>
  <c r="Z268" i="1"/>
  <c r="Y268" i="1"/>
  <c r="AI260" i="1"/>
  <c r="AS260" i="1"/>
  <c r="Z260" i="1"/>
  <c r="Y260" i="1"/>
  <c r="AS252" i="1"/>
  <c r="Z252" i="1"/>
  <c r="Y252" i="1"/>
  <c r="AS244" i="1"/>
  <c r="Z244" i="1"/>
  <c r="Y244" i="1"/>
  <c r="AS236" i="1"/>
  <c r="Z236" i="1"/>
  <c r="Y236" i="1"/>
  <c r="AS228" i="1"/>
  <c r="Z228" i="1"/>
  <c r="Y228" i="1"/>
  <c r="AS220" i="1"/>
  <c r="Z220" i="1"/>
  <c r="Y220" i="1"/>
  <c r="AS212" i="1"/>
  <c r="Z212" i="1"/>
  <c r="Y212" i="1"/>
  <c r="AS204" i="1"/>
  <c r="Z204" i="1"/>
  <c r="Y204" i="1"/>
  <c r="AS196" i="1"/>
  <c r="Z196" i="1"/>
  <c r="Y196" i="1"/>
  <c r="AS188" i="1"/>
  <c r="Z188" i="1"/>
  <c r="Y188" i="1"/>
  <c r="AS180" i="1"/>
  <c r="Z180" i="1"/>
  <c r="Y180" i="1"/>
  <c r="AS172" i="1"/>
  <c r="Z172" i="1"/>
  <c r="Y172" i="1"/>
  <c r="AS164" i="1"/>
  <c r="Z164" i="1"/>
  <c r="Y164" i="1"/>
  <c r="AS156" i="1"/>
  <c r="Z156" i="1"/>
  <c r="Y156" i="1"/>
  <c r="AS148" i="1"/>
  <c r="Z148" i="1"/>
  <c r="Y148" i="1"/>
  <c r="AS140" i="1"/>
  <c r="Z140" i="1"/>
  <c r="Y140" i="1"/>
  <c r="AS132" i="1"/>
  <c r="Z132" i="1"/>
  <c r="Y132" i="1"/>
  <c r="AS124" i="1"/>
  <c r="Z124" i="1"/>
  <c r="Y124" i="1"/>
  <c r="AS116" i="1"/>
  <c r="Z116" i="1"/>
  <c r="Y116" i="1"/>
  <c r="AS108" i="1"/>
  <c r="Z108" i="1"/>
  <c r="Y108" i="1"/>
  <c r="AS100" i="1"/>
  <c r="Z100" i="1"/>
  <c r="Y100" i="1"/>
  <c r="AS92" i="1"/>
  <c r="Z92" i="1"/>
  <c r="Y92" i="1"/>
  <c r="AI84" i="1"/>
  <c r="AS84" i="1"/>
  <c r="Z84" i="1"/>
  <c r="Y84" i="1"/>
  <c r="AS76" i="1"/>
  <c r="Z76" i="1"/>
  <c r="Y76" i="1"/>
  <c r="AS68" i="1"/>
  <c r="Z68" i="1"/>
  <c r="Y68" i="1"/>
  <c r="AS60" i="1"/>
  <c r="Z60" i="1"/>
  <c r="Y60" i="1"/>
  <c r="AS52" i="1"/>
  <c r="Z52" i="1"/>
  <c r="Y52" i="1"/>
  <c r="AI44" i="1"/>
  <c r="AS44" i="1"/>
  <c r="Z44" i="1"/>
  <c r="Y44" i="1"/>
  <c r="AS36" i="1"/>
  <c r="Z36" i="1"/>
  <c r="Y36" i="1"/>
  <c r="AS28" i="1"/>
  <c r="Z28" i="1"/>
  <c r="Y28" i="1"/>
  <c r="AI20" i="1"/>
  <c r="AS20" i="1"/>
  <c r="Z20" i="1"/>
  <c r="Y20" i="1"/>
  <c r="AD20" i="1"/>
  <c r="AH20" i="1" s="1"/>
  <c r="AD21" i="1"/>
  <c r="AH21" i="1" s="1"/>
  <c r="AD22" i="1"/>
  <c r="AH22" i="1" s="1"/>
  <c r="AD23" i="1"/>
  <c r="AH23" i="1" s="1"/>
  <c r="AD24" i="1"/>
  <c r="AH24" i="1" s="1"/>
  <c r="AD25" i="1"/>
  <c r="AH25" i="1" s="1"/>
  <c r="AD26" i="1"/>
  <c r="AH26" i="1" s="1"/>
  <c r="AD27" i="1"/>
  <c r="AH27" i="1" s="1"/>
  <c r="AD28" i="1"/>
  <c r="AH28" i="1" s="1"/>
  <c r="AD29" i="1"/>
  <c r="AH29" i="1" s="1"/>
  <c r="AD30" i="1"/>
  <c r="AH30" i="1" s="1"/>
  <c r="AD31" i="1"/>
  <c r="AH31" i="1" s="1"/>
  <c r="AD32" i="1"/>
  <c r="AH32" i="1" s="1"/>
  <c r="AD33" i="1"/>
  <c r="AH33" i="1" s="1"/>
  <c r="AD34" i="1"/>
  <c r="AH34" i="1" s="1"/>
  <c r="AD35" i="1"/>
  <c r="AH35" i="1" s="1"/>
  <c r="AD36" i="1"/>
  <c r="AH36" i="1" s="1"/>
  <c r="AD37" i="1"/>
  <c r="AH37" i="1" s="1"/>
  <c r="AD38" i="1"/>
  <c r="AH38" i="1" s="1"/>
  <c r="AD39" i="1"/>
  <c r="AH39" i="1" s="1"/>
  <c r="AD40" i="1"/>
  <c r="AH40" i="1" s="1"/>
  <c r="AD41" i="1"/>
  <c r="AH41" i="1" s="1"/>
  <c r="AD42" i="1"/>
  <c r="AH42" i="1" s="1"/>
  <c r="AD43" i="1"/>
  <c r="AH43" i="1" s="1"/>
  <c r="AD44" i="1"/>
  <c r="AH44" i="1" s="1"/>
  <c r="AD45" i="1"/>
  <c r="AH45" i="1" s="1"/>
  <c r="AD46" i="1"/>
  <c r="AH46" i="1" s="1"/>
  <c r="AD47" i="1"/>
  <c r="AH47" i="1" s="1"/>
  <c r="AD48" i="1"/>
  <c r="AH48" i="1" s="1"/>
  <c r="AD49" i="1"/>
  <c r="AH49" i="1" s="1"/>
  <c r="AD50" i="1"/>
  <c r="AH50" i="1" s="1"/>
  <c r="AD51" i="1"/>
  <c r="AH51" i="1" s="1"/>
  <c r="AD52" i="1"/>
  <c r="AH52" i="1" s="1"/>
  <c r="AD53" i="1"/>
  <c r="AH53" i="1" s="1"/>
  <c r="AD54" i="1"/>
  <c r="AH54" i="1" s="1"/>
  <c r="AD55" i="1"/>
  <c r="AH55" i="1" s="1"/>
  <c r="AD56" i="1"/>
  <c r="AH56" i="1" s="1"/>
  <c r="AD57" i="1"/>
  <c r="AH57" i="1" s="1"/>
  <c r="AD58" i="1"/>
  <c r="AH58" i="1" s="1"/>
  <c r="AD59" i="1"/>
  <c r="AH59" i="1" s="1"/>
  <c r="AD60" i="1"/>
  <c r="AH60" i="1" s="1"/>
  <c r="AD61" i="1"/>
  <c r="AH61" i="1" s="1"/>
  <c r="AD62" i="1"/>
  <c r="AH62" i="1" s="1"/>
  <c r="AD63" i="1"/>
  <c r="AH63" i="1" s="1"/>
  <c r="AD64" i="1"/>
  <c r="AH64" i="1" s="1"/>
  <c r="AD65" i="1"/>
  <c r="AH65" i="1" s="1"/>
  <c r="AD66" i="1"/>
  <c r="AH66" i="1" s="1"/>
  <c r="AD67" i="1"/>
  <c r="AH67" i="1" s="1"/>
  <c r="AD68" i="1"/>
  <c r="AH68" i="1" s="1"/>
  <c r="AD69" i="1"/>
  <c r="AH69" i="1" s="1"/>
  <c r="AD70" i="1"/>
  <c r="AH70" i="1" s="1"/>
  <c r="AD71" i="1"/>
  <c r="AH71" i="1" s="1"/>
  <c r="AD72" i="1"/>
  <c r="AH72" i="1" s="1"/>
  <c r="AD73" i="1"/>
  <c r="AH73" i="1" s="1"/>
  <c r="AD74" i="1"/>
  <c r="AH74" i="1" s="1"/>
  <c r="AD75" i="1"/>
  <c r="AH75" i="1" s="1"/>
  <c r="AD76" i="1"/>
  <c r="AH76" i="1" s="1"/>
  <c r="AD77" i="1"/>
  <c r="AH77" i="1" s="1"/>
  <c r="AD78" i="1"/>
  <c r="AH78" i="1" s="1"/>
  <c r="AD79" i="1"/>
  <c r="AH79" i="1" s="1"/>
  <c r="AD80" i="1"/>
  <c r="AH80" i="1" s="1"/>
  <c r="AD81" i="1"/>
  <c r="AH81" i="1" s="1"/>
  <c r="AD82" i="1"/>
  <c r="AH82" i="1" s="1"/>
  <c r="AD83" i="1"/>
  <c r="AH83" i="1" s="1"/>
  <c r="AD84" i="1"/>
  <c r="AH84" i="1" s="1"/>
  <c r="AD85" i="1"/>
  <c r="AH85" i="1" s="1"/>
  <c r="AD86" i="1"/>
  <c r="AH86" i="1" s="1"/>
  <c r="AD87" i="1"/>
  <c r="AH87" i="1" s="1"/>
  <c r="AD88" i="1"/>
  <c r="AH88" i="1" s="1"/>
  <c r="AD89" i="1"/>
  <c r="AH89" i="1" s="1"/>
  <c r="AD90" i="1"/>
  <c r="AH90" i="1" s="1"/>
  <c r="AD91" i="1"/>
  <c r="AH91" i="1" s="1"/>
  <c r="AD92" i="1"/>
  <c r="AH92" i="1" s="1"/>
  <c r="AD93" i="1"/>
  <c r="AH93" i="1" s="1"/>
  <c r="AD94" i="1"/>
  <c r="AH94" i="1" s="1"/>
  <c r="AD95" i="1"/>
  <c r="AH95" i="1" s="1"/>
  <c r="AD96" i="1"/>
  <c r="AH96" i="1" s="1"/>
  <c r="AD97" i="1"/>
  <c r="AH97" i="1" s="1"/>
  <c r="AD98" i="1"/>
  <c r="AH98" i="1" s="1"/>
  <c r="AD99" i="1"/>
  <c r="AH99" i="1" s="1"/>
  <c r="AD100" i="1"/>
  <c r="AH100" i="1" s="1"/>
  <c r="AD101" i="1"/>
  <c r="AH101" i="1" s="1"/>
  <c r="AD102" i="1"/>
  <c r="AH102" i="1" s="1"/>
  <c r="AD103" i="1"/>
  <c r="AH103" i="1" s="1"/>
  <c r="AD104" i="1"/>
  <c r="AH104" i="1" s="1"/>
  <c r="AD105" i="1"/>
  <c r="AH105" i="1" s="1"/>
  <c r="AD106" i="1"/>
  <c r="AH106" i="1" s="1"/>
  <c r="AD107" i="1"/>
  <c r="AH107" i="1" s="1"/>
  <c r="AD108" i="1"/>
  <c r="AH108" i="1" s="1"/>
  <c r="AD109" i="1"/>
  <c r="AH109" i="1" s="1"/>
  <c r="AD110" i="1"/>
  <c r="AH110" i="1" s="1"/>
  <c r="AD111" i="1"/>
  <c r="AH111" i="1" s="1"/>
  <c r="AD112" i="1"/>
  <c r="AH112" i="1" s="1"/>
  <c r="AD113" i="1"/>
  <c r="AH113" i="1" s="1"/>
  <c r="AD114" i="1"/>
  <c r="AH114" i="1" s="1"/>
  <c r="AD115" i="1"/>
  <c r="AH115" i="1" s="1"/>
  <c r="AD116" i="1"/>
  <c r="AH116" i="1" s="1"/>
  <c r="AD117" i="1"/>
  <c r="AH117" i="1" s="1"/>
  <c r="AD118" i="1"/>
  <c r="AH118" i="1" s="1"/>
  <c r="AD119" i="1"/>
  <c r="AH119" i="1" s="1"/>
  <c r="AD120" i="1"/>
  <c r="AH120" i="1" s="1"/>
  <c r="AD121" i="1"/>
  <c r="AH121" i="1" s="1"/>
  <c r="AD122" i="1"/>
  <c r="AH122" i="1" s="1"/>
  <c r="AD123" i="1"/>
  <c r="AH123" i="1" s="1"/>
  <c r="AD124" i="1"/>
  <c r="AH124" i="1" s="1"/>
  <c r="AD125" i="1"/>
  <c r="AH125" i="1" s="1"/>
  <c r="AD126" i="1"/>
  <c r="AH126" i="1" s="1"/>
  <c r="AD127" i="1"/>
  <c r="AH127" i="1" s="1"/>
  <c r="AD128" i="1"/>
  <c r="AH128" i="1" s="1"/>
  <c r="AD129" i="1"/>
  <c r="AH129" i="1" s="1"/>
  <c r="AD130" i="1"/>
  <c r="AH130" i="1" s="1"/>
  <c r="AD131" i="1"/>
  <c r="AH131" i="1" s="1"/>
  <c r="AD132" i="1"/>
  <c r="AH132" i="1" s="1"/>
  <c r="AD133" i="1"/>
  <c r="AH133" i="1" s="1"/>
  <c r="AD134" i="1"/>
  <c r="AH134" i="1" s="1"/>
  <c r="AD135" i="1"/>
  <c r="AH135" i="1" s="1"/>
  <c r="AD136" i="1"/>
  <c r="AH136" i="1" s="1"/>
  <c r="AD137" i="1"/>
  <c r="AH137" i="1" s="1"/>
  <c r="AD138" i="1"/>
  <c r="AH138" i="1" s="1"/>
  <c r="AD139" i="1"/>
  <c r="AH139" i="1" s="1"/>
  <c r="AD140" i="1"/>
  <c r="AH140" i="1" s="1"/>
  <c r="AD141" i="1"/>
  <c r="AH141" i="1" s="1"/>
  <c r="AD142" i="1"/>
  <c r="AH142" i="1" s="1"/>
  <c r="AD143" i="1"/>
  <c r="AH143" i="1" s="1"/>
  <c r="AD144" i="1"/>
  <c r="AH144" i="1" s="1"/>
  <c r="AD145" i="1"/>
  <c r="AH145" i="1" s="1"/>
  <c r="AD146" i="1"/>
  <c r="AH146" i="1" s="1"/>
  <c r="AD147" i="1"/>
  <c r="AH147" i="1" s="1"/>
  <c r="AD148" i="1"/>
  <c r="AH148" i="1" s="1"/>
  <c r="AD149" i="1"/>
  <c r="AH149" i="1" s="1"/>
  <c r="AD150" i="1"/>
  <c r="AH150" i="1" s="1"/>
  <c r="AD151" i="1"/>
  <c r="AH151" i="1" s="1"/>
  <c r="AD152" i="1"/>
  <c r="AH152" i="1" s="1"/>
  <c r="AD153" i="1"/>
  <c r="AH153" i="1" s="1"/>
  <c r="AD154" i="1"/>
  <c r="AH154" i="1" s="1"/>
  <c r="AD155" i="1"/>
  <c r="AH155" i="1" s="1"/>
  <c r="AD156" i="1"/>
  <c r="AH156" i="1" s="1"/>
  <c r="AD157" i="1"/>
  <c r="AH157" i="1" s="1"/>
  <c r="AD158" i="1"/>
  <c r="AH158" i="1" s="1"/>
  <c r="AD159" i="1"/>
  <c r="AH159" i="1" s="1"/>
  <c r="AD160" i="1"/>
  <c r="AH160" i="1" s="1"/>
  <c r="AD161" i="1"/>
  <c r="AH161" i="1" s="1"/>
  <c r="AD162" i="1"/>
  <c r="AH162" i="1" s="1"/>
  <c r="AD163" i="1"/>
  <c r="AH163" i="1" s="1"/>
  <c r="AD164" i="1"/>
  <c r="AH164" i="1" s="1"/>
  <c r="AD165" i="1"/>
  <c r="AH165" i="1" s="1"/>
  <c r="AD166" i="1"/>
  <c r="AH166" i="1" s="1"/>
  <c r="AD167" i="1"/>
  <c r="AH167" i="1" s="1"/>
  <c r="AD168" i="1"/>
  <c r="AH168" i="1" s="1"/>
  <c r="AD169" i="1"/>
  <c r="AH169" i="1" s="1"/>
  <c r="AD170" i="1"/>
  <c r="AH170" i="1" s="1"/>
  <c r="AD171" i="1"/>
  <c r="AH171" i="1" s="1"/>
  <c r="AD172" i="1"/>
  <c r="AH172" i="1" s="1"/>
  <c r="AD173" i="1"/>
  <c r="AH173" i="1" s="1"/>
  <c r="AD174" i="1"/>
  <c r="AH174" i="1" s="1"/>
  <c r="AD175" i="1"/>
  <c r="AH175" i="1" s="1"/>
  <c r="AD176" i="1"/>
  <c r="AH176" i="1" s="1"/>
  <c r="AD177" i="1"/>
  <c r="AH177" i="1" s="1"/>
  <c r="AD178" i="1"/>
  <c r="AH178" i="1" s="1"/>
  <c r="AD179" i="1"/>
  <c r="AH179" i="1" s="1"/>
  <c r="AD180" i="1"/>
  <c r="AH180" i="1" s="1"/>
  <c r="AD181" i="1"/>
  <c r="AH181" i="1" s="1"/>
  <c r="AD182" i="1"/>
  <c r="AH182" i="1" s="1"/>
  <c r="AD183" i="1"/>
  <c r="AH183" i="1" s="1"/>
  <c r="AD184" i="1"/>
  <c r="AH184" i="1" s="1"/>
  <c r="AD185" i="1"/>
  <c r="AH185" i="1" s="1"/>
  <c r="AD186" i="1"/>
  <c r="AH186" i="1" s="1"/>
  <c r="AD187" i="1"/>
  <c r="AH187" i="1" s="1"/>
  <c r="AD188" i="1"/>
  <c r="AH188" i="1" s="1"/>
  <c r="AD189" i="1"/>
  <c r="AH189" i="1" s="1"/>
  <c r="AD190" i="1"/>
  <c r="AH190" i="1" s="1"/>
  <c r="AD191" i="1"/>
  <c r="AH191" i="1" s="1"/>
  <c r="AD192" i="1"/>
  <c r="AH192" i="1" s="1"/>
  <c r="AD193" i="1"/>
  <c r="AH193" i="1" s="1"/>
  <c r="AD194" i="1"/>
  <c r="AH194" i="1" s="1"/>
  <c r="AD195" i="1"/>
  <c r="AH195" i="1" s="1"/>
  <c r="AD196" i="1"/>
  <c r="AH196" i="1" s="1"/>
  <c r="AD197" i="1"/>
  <c r="AH197" i="1" s="1"/>
  <c r="AD198" i="1"/>
  <c r="AH198" i="1" s="1"/>
  <c r="AD199" i="1"/>
  <c r="AH199" i="1" s="1"/>
  <c r="AD200" i="1"/>
  <c r="AH200" i="1" s="1"/>
  <c r="AD201" i="1"/>
  <c r="AH201" i="1" s="1"/>
  <c r="AD202" i="1"/>
  <c r="AH202" i="1" s="1"/>
  <c r="AD203" i="1"/>
  <c r="AH203" i="1" s="1"/>
  <c r="AD204" i="1"/>
  <c r="AH204" i="1" s="1"/>
  <c r="AD205" i="1"/>
  <c r="AH205" i="1" s="1"/>
  <c r="AD206" i="1"/>
  <c r="AH206" i="1" s="1"/>
  <c r="AD207" i="1"/>
  <c r="AH207" i="1" s="1"/>
  <c r="AD208" i="1"/>
  <c r="AH208" i="1" s="1"/>
  <c r="AD209" i="1"/>
  <c r="AH209" i="1" s="1"/>
  <c r="AD210" i="1"/>
  <c r="AH210" i="1" s="1"/>
  <c r="AD211" i="1"/>
  <c r="AH211" i="1" s="1"/>
  <c r="AD212" i="1"/>
  <c r="AH212" i="1" s="1"/>
  <c r="AD213" i="1"/>
  <c r="AH213" i="1" s="1"/>
  <c r="AD214" i="1"/>
  <c r="AH214" i="1" s="1"/>
  <c r="AD215" i="1"/>
  <c r="AH215" i="1" s="1"/>
  <c r="AD216" i="1"/>
  <c r="AH216" i="1" s="1"/>
  <c r="AD217" i="1"/>
  <c r="AH217" i="1" s="1"/>
  <c r="AD218" i="1"/>
  <c r="AH218" i="1" s="1"/>
  <c r="AD219" i="1"/>
  <c r="AH219" i="1" s="1"/>
  <c r="AD220" i="1"/>
  <c r="AH220" i="1" s="1"/>
  <c r="AD221" i="1"/>
  <c r="AH221" i="1" s="1"/>
  <c r="AD222" i="1"/>
  <c r="AH222" i="1" s="1"/>
  <c r="AD223" i="1"/>
  <c r="AH223" i="1" s="1"/>
  <c r="AD224" i="1"/>
  <c r="AH224" i="1" s="1"/>
  <c r="AD225" i="1"/>
  <c r="AH225" i="1" s="1"/>
  <c r="AD226" i="1"/>
  <c r="AH226" i="1" s="1"/>
  <c r="AD227" i="1"/>
  <c r="AH227" i="1" s="1"/>
  <c r="AD228" i="1"/>
  <c r="AH228" i="1" s="1"/>
  <c r="AD229" i="1"/>
  <c r="AH229" i="1" s="1"/>
  <c r="AD230" i="1"/>
  <c r="AH230" i="1" s="1"/>
  <c r="AD231" i="1"/>
  <c r="AH231" i="1" s="1"/>
  <c r="AD232" i="1"/>
  <c r="AH232" i="1" s="1"/>
  <c r="AD233" i="1"/>
  <c r="AH233" i="1" s="1"/>
  <c r="AD234" i="1"/>
  <c r="AH234" i="1" s="1"/>
  <c r="AD235" i="1"/>
  <c r="AH235" i="1" s="1"/>
  <c r="AD236" i="1"/>
  <c r="AH236" i="1" s="1"/>
  <c r="AD237" i="1"/>
  <c r="AH237" i="1" s="1"/>
  <c r="AD238" i="1"/>
  <c r="AH238" i="1" s="1"/>
  <c r="AD239" i="1"/>
  <c r="AH239" i="1" s="1"/>
  <c r="AD240" i="1"/>
  <c r="AH240" i="1" s="1"/>
  <c r="AD241" i="1"/>
  <c r="AH241" i="1" s="1"/>
  <c r="AD242" i="1"/>
  <c r="AH242" i="1" s="1"/>
  <c r="AD243" i="1"/>
  <c r="AH243" i="1" s="1"/>
  <c r="AD244" i="1"/>
  <c r="AH244" i="1" s="1"/>
  <c r="AD245" i="1"/>
  <c r="AH245" i="1" s="1"/>
  <c r="AD246" i="1"/>
  <c r="AH246" i="1" s="1"/>
  <c r="AD247" i="1"/>
  <c r="AH247" i="1" s="1"/>
  <c r="AD248" i="1"/>
  <c r="AH248" i="1" s="1"/>
  <c r="AD249" i="1"/>
  <c r="AH249" i="1" s="1"/>
  <c r="AD250" i="1"/>
  <c r="AH250" i="1" s="1"/>
  <c r="AD251" i="1"/>
  <c r="AH251" i="1" s="1"/>
  <c r="AD252" i="1"/>
  <c r="AH252" i="1" s="1"/>
  <c r="AD253" i="1"/>
  <c r="AH253" i="1" s="1"/>
  <c r="AD254" i="1"/>
  <c r="AH254" i="1" s="1"/>
  <c r="AD255" i="1"/>
  <c r="AH255" i="1" s="1"/>
  <c r="AD256" i="1"/>
  <c r="AH256" i="1" s="1"/>
  <c r="AD257" i="1"/>
  <c r="AH257" i="1" s="1"/>
  <c r="AD258" i="1"/>
  <c r="AH258" i="1" s="1"/>
  <c r="AD259" i="1"/>
  <c r="AH259" i="1" s="1"/>
  <c r="AD260" i="1"/>
  <c r="AH260" i="1" s="1"/>
  <c r="AD261" i="1"/>
  <c r="AH261" i="1" s="1"/>
  <c r="AD262" i="1"/>
  <c r="AH262" i="1" s="1"/>
  <c r="AD263" i="1"/>
  <c r="AH263" i="1" s="1"/>
  <c r="AD264" i="1"/>
  <c r="AH264" i="1" s="1"/>
  <c r="AD265" i="1"/>
  <c r="AH265" i="1" s="1"/>
  <c r="AD266" i="1"/>
  <c r="AH266" i="1" s="1"/>
  <c r="AD267" i="1"/>
  <c r="AH267" i="1" s="1"/>
  <c r="AD268" i="1"/>
  <c r="AH268" i="1" s="1"/>
  <c r="AD269" i="1"/>
  <c r="AH269" i="1" s="1"/>
  <c r="AD270" i="1"/>
  <c r="AH270" i="1" s="1"/>
  <c r="AD271" i="1"/>
  <c r="AH271" i="1" s="1"/>
  <c r="AD272" i="1"/>
  <c r="AH272" i="1" s="1"/>
  <c r="AD273" i="1"/>
  <c r="AH273" i="1" s="1"/>
  <c r="AD274" i="1"/>
  <c r="AH274" i="1" s="1"/>
  <c r="AD275" i="1"/>
  <c r="AH275" i="1" s="1"/>
  <c r="AD276" i="1"/>
  <c r="AH276" i="1" s="1"/>
  <c r="AD277" i="1"/>
  <c r="AH277" i="1" s="1"/>
  <c r="AD278" i="1"/>
  <c r="AH278" i="1" s="1"/>
  <c r="AD279" i="1"/>
  <c r="AH279" i="1" s="1"/>
  <c r="AD280" i="1"/>
  <c r="AH280" i="1" s="1"/>
  <c r="AD281" i="1"/>
  <c r="AH281" i="1" s="1"/>
  <c r="AD282" i="1"/>
  <c r="AH282" i="1" s="1"/>
  <c r="AD283" i="1"/>
  <c r="AH283" i="1" s="1"/>
  <c r="AD284" i="1"/>
  <c r="AH284" i="1" s="1"/>
  <c r="AD285" i="1"/>
  <c r="AH285" i="1" s="1"/>
  <c r="AD286" i="1"/>
  <c r="AH286" i="1" s="1"/>
  <c r="AD287" i="1"/>
  <c r="AH287" i="1" s="1"/>
  <c r="AD288" i="1"/>
  <c r="AH288" i="1" s="1"/>
  <c r="AD289" i="1"/>
  <c r="AH289" i="1" s="1"/>
  <c r="AD290" i="1"/>
  <c r="AH290" i="1" s="1"/>
  <c r="AD291" i="1"/>
  <c r="AH291" i="1" s="1"/>
  <c r="AD292" i="1"/>
  <c r="AH292" i="1" s="1"/>
  <c r="AD293" i="1"/>
  <c r="AH293" i="1" s="1"/>
  <c r="AD294" i="1"/>
  <c r="AH294" i="1" s="1"/>
  <c r="AD295" i="1"/>
  <c r="AH295" i="1" s="1"/>
  <c r="AD296" i="1"/>
  <c r="AH296" i="1" s="1"/>
  <c r="AD297" i="1"/>
  <c r="AH297" i="1" s="1"/>
  <c r="AD298" i="1"/>
  <c r="AH298" i="1" s="1"/>
  <c r="AD299" i="1"/>
  <c r="AH299" i="1" s="1"/>
  <c r="AD300" i="1"/>
  <c r="AH300" i="1" s="1"/>
  <c r="AD301" i="1"/>
  <c r="AH301" i="1" s="1"/>
  <c r="AD302" i="1"/>
  <c r="AH302" i="1" s="1"/>
  <c r="AD303" i="1"/>
  <c r="AH303" i="1" s="1"/>
  <c r="AD304" i="1"/>
  <c r="AH304" i="1" s="1"/>
  <c r="AD305" i="1"/>
  <c r="AH305" i="1" s="1"/>
  <c r="AD306" i="1"/>
  <c r="AH306" i="1" s="1"/>
  <c r="AD307" i="1"/>
  <c r="AH307" i="1" s="1"/>
  <c r="AD308" i="1"/>
  <c r="AH308" i="1" s="1"/>
  <c r="AD309" i="1"/>
  <c r="AH309" i="1" s="1"/>
  <c r="AD310" i="1"/>
  <c r="AH310" i="1" s="1"/>
  <c r="AD311" i="1"/>
  <c r="AH311" i="1" s="1"/>
  <c r="AD312" i="1"/>
  <c r="AH312" i="1" s="1"/>
  <c r="AD313" i="1"/>
  <c r="AH313" i="1" s="1"/>
  <c r="AD314" i="1"/>
  <c r="AH314" i="1" s="1"/>
  <c r="AD315" i="1"/>
  <c r="AH315" i="1" s="1"/>
  <c r="AD316" i="1"/>
  <c r="AH316" i="1" s="1"/>
  <c r="AD317" i="1"/>
  <c r="AH317" i="1" s="1"/>
  <c r="AD318" i="1"/>
  <c r="AH318" i="1" s="1"/>
  <c r="AD319" i="1"/>
  <c r="AH319" i="1" s="1"/>
  <c r="AD320" i="1"/>
  <c r="AH320" i="1" s="1"/>
  <c r="AD321" i="1"/>
  <c r="AH321" i="1" s="1"/>
  <c r="AD322" i="1"/>
  <c r="AH322" i="1" s="1"/>
  <c r="AD323" i="1"/>
  <c r="AH323" i="1" s="1"/>
  <c r="AD324" i="1"/>
  <c r="AH324" i="1" s="1"/>
  <c r="AD325" i="1"/>
  <c r="AH325" i="1" s="1"/>
  <c r="AD326" i="1"/>
  <c r="AH326" i="1" s="1"/>
  <c r="AD327" i="1"/>
  <c r="AH327" i="1" s="1"/>
  <c r="AD328" i="1"/>
  <c r="AH328" i="1" s="1"/>
  <c r="AD329" i="1"/>
  <c r="AH329" i="1" s="1"/>
  <c r="AD330" i="1"/>
  <c r="AH330" i="1" s="1"/>
  <c r="AD331" i="1"/>
  <c r="AH331" i="1" s="1"/>
  <c r="AD332" i="1"/>
  <c r="AH332" i="1" s="1"/>
  <c r="AD333" i="1"/>
  <c r="AH333" i="1" s="1"/>
  <c r="AD334" i="1"/>
  <c r="AH334" i="1" s="1"/>
  <c r="AD335" i="1"/>
  <c r="AH335" i="1" s="1"/>
  <c r="AD336" i="1"/>
  <c r="AH336" i="1" s="1"/>
  <c r="AD337" i="1"/>
  <c r="AH337" i="1" s="1"/>
  <c r="AD338" i="1"/>
  <c r="AH338" i="1" s="1"/>
  <c r="AD339" i="1"/>
  <c r="AH339" i="1" s="1"/>
  <c r="AD340" i="1"/>
  <c r="AH340" i="1" s="1"/>
  <c r="AD341" i="1"/>
  <c r="AH341" i="1" s="1"/>
  <c r="AD342" i="1"/>
  <c r="AH342" i="1" s="1"/>
  <c r="AD343" i="1"/>
  <c r="AH343" i="1" s="1"/>
  <c r="AD344" i="1"/>
  <c r="AH344" i="1" s="1"/>
  <c r="AD345" i="1"/>
  <c r="AH345" i="1" s="1"/>
  <c r="AD346" i="1"/>
  <c r="AH346" i="1" s="1"/>
  <c r="AD347" i="1"/>
  <c r="AH347" i="1" s="1"/>
  <c r="AD348" i="1"/>
  <c r="AH348" i="1" s="1"/>
  <c r="AD349" i="1"/>
  <c r="AH349" i="1" s="1"/>
  <c r="AD350" i="1"/>
  <c r="AH350" i="1" s="1"/>
  <c r="AD351" i="1"/>
  <c r="AH351" i="1" s="1"/>
  <c r="AD352" i="1"/>
  <c r="AH352" i="1" s="1"/>
  <c r="AD353" i="1"/>
  <c r="AH353" i="1" s="1"/>
  <c r="AD354" i="1"/>
  <c r="AH354" i="1" s="1"/>
  <c r="AD355" i="1"/>
  <c r="AH355" i="1" s="1"/>
  <c r="AD356" i="1"/>
  <c r="AH356" i="1" s="1"/>
  <c r="AD357" i="1"/>
  <c r="AH357" i="1" s="1"/>
  <c r="AD358" i="1"/>
  <c r="AH358" i="1" s="1"/>
  <c r="AD359" i="1"/>
  <c r="AH359" i="1" s="1"/>
  <c r="AD360" i="1"/>
  <c r="AH360" i="1" s="1"/>
  <c r="AD361" i="1"/>
  <c r="AH361" i="1" s="1"/>
  <c r="AD362" i="1"/>
  <c r="AH362" i="1" s="1"/>
  <c r="AD363" i="1"/>
  <c r="AH363" i="1" s="1"/>
  <c r="AD364" i="1"/>
  <c r="AH364" i="1" s="1"/>
  <c r="AD365" i="1"/>
  <c r="AH365" i="1" s="1"/>
  <c r="AD366" i="1"/>
  <c r="AH366" i="1" s="1"/>
  <c r="AD367" i="1"/>
  <c r="AH367" i="1" s="1"/>
  <c r="AD368" i="1"/>
  <c r="AH368" i="1" s="1"/>
  <c r="AD369" i="1"/>
  <c r="AH369" i="1" s="1"/>
  <c r="AD370" i="1"/>
  <c r="AH370" i="1" s="1"/>
  <c r="AD371" i="1"/>
  <c r="AH371" i="1" s="1"/>
  <c r="AD372" i="1"/>
  <c r="AH372" i="1" s="1"/>
  <c r="AD373" i="1"/>
  <c r="AH373" i="1" s="1"/>
  <c r="AD374" i="1"/>
  <c r="AH374" i="1" s="1"/>
  <c r="AD375" i="1"/>
  <c r="AH375" i="1" s="1"/>
  <c r="AD376" i="1"/>
  <c r="AH376" i="1" s="1"/>
  <c r="AD377" i="1"/>
  <c r="AH377" i="1" s="1"/>
  <c r="AD378" i="1"/>
  <c r="AH378" i="1" s="1"/>
  <c r="AD379" i="1"/>
  <c r="AH379" i="1" s="1"/>
  <c r="AD380" i="1"/>
  <c r="AH380" i="1" s="1"/>
  <c r="AD381" i="1"/>
  <c r="AH381" i="1" s="1"/>
  <c r="AD382" i="1"/>
  <c r="AH382" i="1" s="1"/>
  <c r="AD383" i="1"/>
  <c r="AH383" i="1" s="1"/>
  <c r="AD384" i="1"/>
  <c r="AH384" i="1" s="1"/>
  <c r="AD385" i="1"/>
  <c r="AH385" i="1" s="1"/>
  <c r="AD386" i="1"/>
  <c r="AH386" i="1" s="1"/>
  <c r="AD387" i="1"/>
  <c r="AH387" i="1" s="1"/>
  <c r="AD388" i="1"/>
  <c r="AH388" i="1" s="1"/>
  <c r="AD389" i="1"/>
  <c r="AH389" i="1" s="1"/>
  <c r="AD390" i="1"/>
  <c r="AH390" i="1" s="1"/>
  <c r="AD391" i="1"/>
  <c r="AH391" i="1" s="1"/>
  <c r="AD392" i="1"/>
  <c r="AH392" i="1" s="1"/>
  <c r="AD393" i="1"/>
  <c r="AH393" i="1" s="1"/>
  <c r="AD394" i="1"/>
  <c r="AH394" i="1" s="1"/>
  <c r="AD395" i="1"/>
  <c r="AH395" i="1" s="1"/>
  <c r="AD396" i="1"/>
  <c r="AH396" i="1" s="1"/>
  <c r="AD397" i="1"/>
  <c r="AH397" i="1" s="1"/>
  <c r="AD398" i="1"/>
  <c r="AH398" i="1" s="1"/>
  <c r="AD399" i="1"/>
  <c r="AH399" i="1" s="1"/>
  <c r="AD400" i="1"/>
  <c r="AH400" i="1" s="1"/>
  <c r="AD401" i="1"/>
  <c r="AH401" i="1" s="1"/>
  <c r="AD402" i="1"/>
  <c r="AH402" i="1" s="1"/>
  <c r="AD403" i="1"/>
  <c r="AH403" i="1" s="1"/>
  <c r="AD404" i="1"/>
  <c r="AH404" i="1" s="1"/>
  <c r="AD405" i="1"/>
  <c r="AH405" i="1" s="1"/>
  <c r="AD406" i="1"/>
  <c r="AH406" i="1" s="1"/>
  <c r="AD407" i="1"/>
  <c r="AH407" i="1" s="1"/>
  <c r="AD408" i="1"/>
  <c r="AH408" i="1" s="1"/>
  <c r="AD409" i="1"/>
  <c r="AH409" i="1" s="1"/>
  <c r="AD410" i="1"/>
  <c r="AH410" i="1" s="1"/>
  <c r="AD411" i="1"/>
  <c r="AH411" i="1" s="1"/>
  <c r="AD412" i="1"/>
  <c r="AH412" i="1" s="1"/>
  <c r="AD413" i="1"/>
  <c r="AH413" i="1" s="1"/>
  <c r="AD414" i="1"/>
  <c r="AH414" i="1" s="1"/>
  <c r="AD415" i="1"/>
  <c r="AH415" i="1" s="1"/>
  <c r="AD416" i="1"/>
  <c r="AH416" i="1" s="1"/>
  <c r="AD417" i="1"/>
  <c r="AH417" i="1" s="1"/>
  <c r="AD418" i="1"/>
  <c r="AH418" i="1" s="1"/>
  <c r="AD419" i="1"/>
  <c r="AH419" i="1" s="1"/>
  <c r="AD420" i="1"/>
  <c r="AH420" i="1" s="1"/>
  <c r="AD421" i="1"/>
  <c r="AH421" i="1" s="1"/>
  <c r="AD422" i="1"/>
  <c r="AH422" i="1" s="1"/>
  <c r="AD423" i="1"/>
  <c r="AH423" i="1" s="1"/>
  <c r="AD424" i="1"/>
  <c r="AH424" i="1" s="1"/>
  <c r="AD425" i="1"/>
  <c r="AH425" i="1" s="1"/>
  <c r="AD426" i="1"/>
  <c r="AH426" i="1" s="1"/>
  <c r="AD427" i="1"/>
  <c r="AH427" i="1" s="1"/>
  <c r="AD428" i="1"/>
  <c r="AH428" i="1" s="1"/>
  <c r="AD429" i="1"/>
  <c r="AH429" i="1" s="1"/>
  <c r="AD430" i="1"/>
  <c r="AH430" i="1" s="1"/>
  <c r="AD431" i="1"/>
  <c r="AH431" i="1" s="1"/>
  <c r="AD432" i="1"/>
  <c r="AH432" i="1" s="1"/>
  <c r="AD433" i="1"/>
  <c r="AH433" i="1" s="1"/>
  <c r="AD434" i="1"/>
  <c r="AH434" i="1" s="1"/>
  <c r="AD435" i="1"/>
  <c r="AH435" i="1" s="1"/>
  <c r="AD436" i="1"/>
  <c r="AH436" i="1" s="1"/>
  <c r="AD437" i="1"/>
  <c r="AH437" i="1" s="1"/>
  <c r="AD438" i="1"/>
  <c r="AH438" i="1" s="1"/>
  <c r="AD439" i="1"/>
  <c r="AH439" i="1" s="1"/>
  <c r="AD440" i="1"/>
  <c r="AH440" i="1" s="1"/>
  <c r="AD441" i="1"/>
  <c r="AH441" i="1" s="1"/>
  <c r="AD442" i="1"/>
  <c r="AH442" i="1" s="1"/>
  <c r="AD443" i="1"/>
  <c r="AH443" i="1" s="1"/>
  <c r="AD444" i="1"/>
  <c r="AH444" i="1" s="1"/>
  <c r="AD445" i="1"/>
  <c r="AH445" i="1" s="1"/>
  <c r="AD446" i="1"/>
  <c r="AH446" i="1" s="1"/>
  <c r="AD447" i="1"/>
  <c r="AH447" i="1" s="1"/>
  <c r="AD448" i="1"/>
  <c r="AH448" i="1" s="1"/>
  <c r="AD449" i="1"/>
  <c r="AH449" i="1" s="1"/>
  <c r="AD450" i="1"/>
  <c r="AH450" i="1" s="1"/>
  <c r="AD451" i="1"/>
  <c r="AH451" i="1" s="1"/>
  <c r="AD452" i="1"/>
  <c r="AH452" i="1" s="1"/>
  <c r="AD453" i="1"/>
  <c r="AH453" i="1" s="1"/>
  <c r="AD454" i="1"/>
  <c r="AH454" i="1" s="1"/>
  <c r="AD455" i="1"/>
  <c r="AH455" i="1" s="1"/>
  <c r="AD456" i="1"/>
  <c r="AH456" i="1" s="1"/>
  <c r="AD457" i="1"/>
  <c r="AH457" i="1" s="1"/>
  <c r="AD458" i="1"/>
  <c r="AH458" i="1" s="1"/>
  <c r="AD459" i="1"/>
  <c r="AH459" i="1" s="1"/>
  <c r="AD460" i="1"/>
  <c r="AH460" i="1" s="1"/>
  <c r="AD461" i="1"/>
  <c r="AH461" i="1" s="1"/>
  <c r="AD462" i="1"/>
  <c r="AH462" i="1" s="1"/>
  <c r="AD463" i="1"/>
  <c r="AH463" i="1" s="1"/>
  <c r="AD464" i="1"/>
  <c r="AH464" i="1" s="1"/>
  <c r="AD465" i="1"/>
  <c r="AH465" i="1" s="1"/>
  <c r="AD466" i="1"/>
  <c r="AH466" i="1" s="1"/>
  <c r="AD467" i="1"/>
  <c r="AH467" i="1" s="1"/>
  <c r="AD468" i="1"/>
  <c r="AH468" i="1" s="1"/>
  <c r="AD469" i="1"/>
  <c r="AH469" i="1" s="1"/>
  <c r="AD470" i="1"/>
  <c r="AH470" i="1" s="1"/>
  <c r="AD471" i="1"/>
  <c r="AH471" i="1" s="1"/>
  <c r="AD472" i="1"/>
  <c r="AH472" i="1" s="1"/>
  <c r="AD473" i="1"/>
  <c r="AH473" i="1" s="1"/>
  <c r="AD474" i="1"/>
  <c r="AH474" i="1" s="1"/>
  <c r="AD475" i="1"/>
  <c r="AH475" i="1" s="1"/>
  <c r="AD476" i="1"/>
  <c r="AH476" i="1" s="1"/>
  <c r="AD477" i="1"/>
  <c r="AH477" i="1" s="1"/>
  <c r="AD478" i="1"/>
  <c r="AH478" i="1" s="1"/>
  <c r="AD479" i="1"/>
  <c r="AH479" i="1" s="1"/>
  <c r="AD480" i="1"/>
  <c r="AH480" i="1" s="1"/>
  <c r="AD481" i="1"/>
  <c r="AH481" i="1" s="1"/>
  <c r="AD482" i="1"/>
  <c r="AH482" i="1" s="1"/>
  <c r="AD483" i="1"/>
  <c r="AH483" i="1" s="1"/>
  <c r="AD484" i="1"/>
  <c r="AH484" i="1" s="1"/>
  <c r="AD485" i="1"/>
  <c r="AH485" i="1" s="1"/>
  <c r="AD486" i="1"/>
  <c r="AH486" i="1" s="1"/>
  <c r="AD487" i="1"/>
  <c r="AH487" i="1" s="1"/>
  <c r="AD488" i="1"/>
  <c r="AH488" i="1" s="1"/>
  <c r="AD489" i="1"/>
  <c r="AH489" i="1" s="1"/>
  <c r="AD490" i="1"/>
  <c r="AH490" i="1" s="1"/>
  <c r="AD491" i="1"/>
  <c r="AH491" i="1" s="1"/>
  <c r="AD492" i="1"/>
  <c r="AH492" i="1" s="1"/>
  <c r="AD493" i="1"/>
  <c r="AH493" i="1" s="1"/>
  <c r="AD494" i="1"/>
  <c r="AH494" i="1" s="1"/>
  <c r="AD495" i="1"/>
  <c r="AH495" i="1" s="1"/>
  <c r="AD496" i="1"/>
  <c r="AH496" i="1" s="1"/>
  <c r="AD497" i="1"/>
  <c r="AH497" i="1" s="1"/>
  <c r="AD498" i="1"/>
  <c r="AH498" i="1" s="1"/>
  <c r="AD499" i="1"/>
  <c r="AH499" i="1" s="1"/>
  <c r="AD500" i="1"/>
  <c r="AH500" i="1" s="1"/>
  <c r="AD501" i="1"/>
  <c r="AH501" i="1" s="1"/>
  <c r="AD502" i="1"/>
  <c r="AH502" i="1" s="1"/>
  <c r="AD503" i="1"/>
  <c r="AH503" i="1" s="1"/>
  <c r="AD504" i="1"/>
  <c r="AH504" i="1" s="1"/>
  <c r="AD509" i="1"/>
  <c r="AH509" i="1" s="1"/>
  <c r="AD510" i="1"/>
  <c r="AH510" i="1" s="1"/>
  <c r="AD511" i="1"/>
  <c r="AH511" i="1" s="1"/>
  <c r="AD512" i="1"/>
  <c r="AH512" i="1" s="1"/>
  <c r="AD513" i="1"/>
  <c r="AH513" i="1" s="1"/>
  <c r="AD514" i="1"/>
  <c r="AH514" i="1" s="1"/>
  <c r="AD515" i="1"/>
  <c r="AH515" i="1" s="1"/>
  <c r="AD516" i="1"/>
  <c r="AH516" i="1" s="1"/>
  <c r="AD517" i="1"/>
  <c r="AH517" i="1" s="1"/>
  <c r="AD518" i="1"/>
  <c r="AH518" i="1" s="1"/>
  <c r="AD519" i="1"/>
  <c r="AH519" i="1" s="1"/>
  <c r="AD520" i="1"/>
  <c r="AH520" i="1" s="1"/>
  <c r="AD521" i="1"/>
  <c r="AH521" i="1" s="1"/>
  <c r="AD522" i="1"/>
  <c r="AH522" i="1" s="1"/>
  <c r="AD523" i="1"/>
  <c r="AH523" i="1" s="1"/>
  <c r="AD524" i="1"/>
  <c r="AH524" i="1" s="1"/>
  <c r="AD525" i="1"/>
  <c r="AH525" i="1" s="1"/>
  <c r="AD526" i="1"/>
  <c r="AH526" i="1" s="1"/>
  <c r="AD527" i="1"/>
  <c r="AH527" i="1" s="1"/>
  <c r="AD528" i="1"/>
  <c r="AH528" i="1" s="1"/>
  <c r="AD529" i="1"/>
  <c r="AH529" i="1" s="1"/>
  <c r="AD530" i="1"/>
  <c r="AH530" i="1" s="1"/>
  <c r="AD531" i="1"/>
  <c r="AH531" i="1" s="1"/>
  <c r="AD532" i="1"/>
  <c r="AH532" i="1" s="1"/>
  <c r="AD533" i="1"/>
  <c r="AH533" i="1" s="1"/>
  <c r="AD534" i="1"/>
  <c r="AH534" i="1" s="1"/>
  <c r="AD535" i="1"/>
  <c r="AH535" i="1" s="1"/>
  <c r="AD536" i="1"/>
  <c r="AH536" i="1" s="1"/>
  <c r="AD537" i="1"/>
  <c r="AH537" i="1" s="1"/>
  <c r="AD538" i="1"/>
  <c r="AH538" i="1" s="1"/>
  <c r="AD539" i="1"/>
  <c r="AH539" i="1" s="1"/>
  <c r="AD540" i="1"/>
  <c r="AH540" i="1" s="1"/>
  <c r="AD541" i="1"/>
  <c r="AH541" i="1" s="1"/>
  <c r="AD542" i="1"/>
  <c r="AH542" i="1" s="1"/>
  <c r="AD543" i="1"/>
  <c r="AH543" i="1" s="1"/>
  <c r="AD544" i="1"/>
  <c r="AH544" i="1" s="1"/>
  <c r="AD545" i="1"/>
  <c r="AH545" i="1" s="1"/>
  <c r="AD546" i="1"/>
  <c r="AH546" i="1" s="1"/>
  <c r="AD547" i="1"/>
  <c r="AH547" i="1" s="1"/>
  <c r="AD548" i="1"/>
  <c r="AH548" i="1" s="1"/>
  <c r="AD549" i="1"/>
  <c r="AH549" i="1" s="1"/>
  <c r="AD550" i="1"/>
  <c r="AH550" i="1" s="1"/>
  <c r="AD551" i="1"/>
  <c r="AH551" i="1" s="1"/>
  <c r="AD552" i="1"/>
  <c r="AH552" i="1" s="1"/>
  <c r="AD553" i="1"/>
  <c r="AH553" i="1" s="1"/>
  <c r="AD554" i="1"/>
  <c r="AH554" i="1" s="1"/>
  <c r="AD555" i="1"/>
  <c r="AH555" i="1" s="1"/>
  <c r="AD556" i="1"/>
  <c r="AH556" i="1" s="1"/>
  <c r="AD557" i="1"/>
  <c r="AH557" i="1" s="1"/>
  <c r="AD558" i="1"/>
  <c r="AH558" i="1" s="1"/>
  <c r="AD559" i="1"/>
  <c r="AH559" i="1" s="1"/>
  <c r="AD560" i="1"/>
  <c r="AH560" i="1" s="1"/>
  <c r="AD561" i="1"/>
  <c r="AH561" i="1" s="1"/>
  <c r="AD562" i="1"/>
  <c r="AH562" i="1" s="1"/>
  <c r="AD563" i="1"/>
  <c r="AH563" i="1" s="1"/>
  <c r="AD564" i="1"/>
  <c r="AH564" i="1" s="1"/>
  <c r="AD565" i="1"/>
  <c r="AH565" i="1" s="1"/>
  <c r="AD566" i="1"/>
  <c r="AH566" i="1" s="1"/>
  <c r="AD567" i="1"/>
  <c r="AH567" i="1" s="1"/>
  <c r="AD568" i="1"/>
  <c r="AH568" i="1" s="1"/>
  <c r="AD569" i="1"/>
  <c r="AH569" i="1" s="1"/>
  <c r="AD570" i="1"/>
  <c r="AH570" i="1" s="1"/>
  <c r="AD571" i="1"/>
  <c r="AH571" i="1" s="1"/>
  <c r="AD572" i="1"/>
  <c r="AH572" i="1" s="1"/>
  <c r="AD573" i="1"/>
  <c r="AH573" i="1" s="1"/>
  <c r="AD574" i="1"/>
  <c r="AH574" i="1" s="1"/>
  <c r="AD575" i="1"/>
  <c r="AH575" i="1" s="1"/>
  <c r="AD576" i="1"/>
  <c r="AH576" i="1" s="1"/>
  <c r="AD577" i="1"/>
  <c r="AH577" i="1" s="1"/>
  <c r="AD578" i="1"/>
  <c r="AH578" i="1" s="1"/>
  <c r="AD579" i="1"/>
  <c r="AH579" i="1" s="1"/>
  <c r="AD580" i="1"/>
  <c r="AH580" i="1" s="1"/>
  <c r="AD581" i="1"/>
  <c r="AH581" i="1" s="1"/>
  <c r="AD582" i="1"/>
  <c r="AH582" i="1" s="1"/>
  <c r="AD583" i="1"/>
  <c r="AH583" i="1" s="1"/>
  <c r="AD584" i="1"/>
  <c r="AH584" i="1" s="1"/>
  <c r="AD585" i="1"/>
  <c r="AH585" i="1" s="1"/>
  <c r="AD586" i="1"/>
  <c r="AH586" i="1" s="1"/>
  <c r="AD587" i="1"/>
  <c r="AH587" i="1" s="1"/>
  <c r="AD588" i="1"/>
  <c r="AH588" i="1" s="1"/>
  <c r="AD589" i="1"/>
  <c r="AH589" i="1" s="1"/>
  <c r="AD590" i="1"/>
  <c r="AH590" i="1" s="1"/>
  <c r="AD591" i="1"/>
  <c r="AH591" i="1" s="1"/>
  <c r="AD592" i="1"/>
  <c r="AH592" i="1" s="1"/>
  <c r="AD593" i="1"/>
  <c r="AH593" i="1" s="1"/>
  <c r="AD594" i="1"/>
  <c r="AH594" i="1" s="1"/>
  <c r="AD595" i="1"/>
  <c r="AH595" i="1" s="1"/>
  <c r="AD596" i="1"/>
  <c r="AH596" i="1" s="1"/>
  <c r="AD597" i="1"/>
  <c r="AH597" i="1" s="1"/>
  <c r="AD598" i="1"/>
  <c r="AH598" i="1" s="1"/>
  <c r="AD599" i="1"/>
  <c r="AH599" i="1" s="1"/>
  <c r="AD600" i="1"/>
  <c r="AH600" i="1" s="1"/>
  <c r="AD601" i="1"/>
  <c r="AH601" i="1" s="1"/>
  <c r="AD602" i="1"/>
  <c r="AH602" i="1" s="1"/>
  <c r="AD603" i="1"/>
  <c r="AH603" i="1" s="1"/>
  <c r="AD604" i="1"/>
  <c r="AH604" i="1" s="1"/>
  <c r="AD605" i="1"/>
  <c r="AH605" i="1" s="1"/>
  <c r="AD606" i="1"/>
  <c r="AH606" i="1" s="1"/>
  <c r="AD607" i="1"/>
  <c r="AH607" i="1" s="1"/>
  <c r="AD608" i="1"/>
  <c r="AH608" i="1" s="1"/>
  <c r="AD609" i="1"/>
  <c r="AH609" i="1" s="1"/>
  <c r="AD610" i="1"/>
  <c r="AH610" i="1" s="1"/>
  <c r="AD611" i="1"/>
  <c r="AH611" i="1" s="1"/>
  <c r="AD612" i="1"/>
  <c r="AH612" i="1" s="1"/>
  <c r="AD613" i="1"/>
  <c r="AH613" i="1" s="1"/>
  <c r="AD614" i="1"/>
  <c r="AH614" i="1" s="1"/>
  <c r="AD615" i="1"/>
  <c r="AH615" i="1" s="1"/>
  <c r="AD616" i="1"/>
  <c r="AH616" i="1" s="1"/>
  <c r="AD617" i="1"/>
  <c r="AH617" i="1" s="1"/>
  <c r="AD618" i="1"/>
  <c r="AH618" i="1" s="1"/>
  <c r="AD619" i="1"/>
  <c r="AH619" i="1" s="1"/>
  <c r="AD620" i="1"/>
  <c r="AH620" i="1" s="1"/>
  <c r="AD621" i="1"/>
  <c r="AH621" i="1" s="1"/>
  <c r="AD622" i="1"/>
  <c r="AH622" i="1" s="1"/>
  <c r="AD623" i="1"/>
  <c r="AH623" i="1" s="1"/>
  <c r="AD624" i="1"/>
  <c r="AH624" i="1" s="1"/>
  <c r="AD625" i="1"/>
  <c r="AH625" i="1" s="1"/>
  <c r="AD626" i="1"/>
  <c r="AH626" i="1" s="1"/>
  <c r="AD627" i="1"/>
  <c r="AH627" i="1" s="1"/>
  <c r="AD628" i="1"/>
  <c r="AH628" i="1" s="1"/>
  <c r="AD629" i="1"/>
  <c r="AH629" i="1" s="1"/>
  <c r="AD630" i="1"/>
  <c r="AH630" i="1" s="1"/>
  <c r="AD631" i="1"/>
  <c r="AH631" i="1" s="1"/>
  <c r="AD632" i="1"/>
  <c r="AH632" i="1" s="1"/>
  <c r="AD633" i="1"/>
  <c r="AH633" i="1" s="1"/>
  <c r="AD634" i="1"/>
  <c r="AH634" i="1" s="1"/>
  <c r="AD635" i="1"/>
  <c r="AH635" i="1" s="1"/>
  <c r="AD636" i="1"/>
  <c r="AH636" i="1" s="1"/>
  <c r="AD637" i="1"/>
  <c r="AH637" i="1" s="1"/>
  <c r="AD638" i="1"/>
  <c r="AH638" i="1" s="1"/>
  <c r="AD639" i="1"/>
  <c r="AH639" i="1" s="1"/>
  <c r="AD640" i="1"/>
  <c r="AH640" i="1" s="1"/>
  <c r="AD641" i="1"/>
  <c r="AH641" i="1" s="1"/>
  <c r="AD642" i="1"/>
  <c r="AH642" i="1" s="1"/>
  <c r="AD643" i="1"/>
  <c r="AH643" i="1" s="1"/>
  <c r="AD644" i="1"/>
  <c r="AH644" i="1" s="1"/>
  <c r="AD645" i="1"/>
  <c r="AH645" i="1" s="1"/>
  <c r="AD646" i="1"/>
  <c r="AH646" i="1" s="1"/>
  <c r="AD647" i="1"/>
  <c r="AH647" i="1" s="1"/>
  <c r="AD648" i="1"/>
  <c r="AH648" i="1" s="1"/>
  <c r="AD649" i="1"/>
  <c r="AH649" i="1" s="1"/>
  <c r="AD650" i="1"/>
  <c r="AH650" i="1" s="1"/>
  <c r="AD651" i="1"/>
  <c r="AH651" i="1" s="1"/>
  <c r="AD652" i="1"/>
  <c r="AH652" i="1" s="1"/>
  <c r="AD653" i="1"/>
  <c r="AH653" i="1" s="1"/>
  <c r="AD654" i="1"/>
  <c r="AH654" i="1" s="1"/>
  <c r="AD655" i="1"/>
  <c r="AH655" i="1" s="1"/>
  <c r="AD656" i="1"/>
  <c r="AH656" i="1" s="1"/>
  <c r="AD657" i="1"/>
  <c r="AH657" i="1" s="1"/>
  <c r="AD658" i="1"/>
  <c r="AH658" i="1" s="1"/>
  <c r="AD659" i="1"/>
  <c r="AH659" i="1" s="1"/>
  <c r="AD660" i="1"/>
  <c r="AH660" i="1" s="1"/>
  <c r="AD661" i="1"/>
  <c r="AH661" i="1" s="1"/>
  <c r="AD662" i="1"/>
  <c r="AH662" i="1" s="1"/>
  <c r="AD663" i="1"/>
  <c r="AH663" i="1" s="1"/>
  <c r="AD664" i="1"/>
  <c r="AH664" i="1" s="1"/>
  <c r="AD665" i="1"/>
  <c r="AH665" i="1" s="1"/>
  <c r="AD666" i="1"/>
  <c r="AH666" i="1" s="1"/>
  <c r="AD667" i="1"/>
  <c r="AH667" i="1" s="1"/>
  <c r="AD668" i="1"/>
  <c r="AH668" i="1" s="1"/>
  <c r="AD669" i="1"/>
  <c r="AH669" i="1" s="1"/>
  <c r="AD670" i="1"/>
  <c r="AH670" i="1" s="1"/>
  <c r="AD671" i="1"/>
  <c r="AH671" i="1" s="1"/>
  <c r="AD672" i="1"/>
  <c r="AH672" i="1" s="1"/>
  <c r="AD673" i="1"/>
  <c r="AH673" i="1" s="1"/>
  <c r="AD674" i="1"/>
  <c r="AH674" i="1" s="1"/>
  <c r="AD675" i="1"/>
  <c r="AH675" i="1" s="1"/>
  <c r="AD676" i="1"/>
  <c r="AH676" i="1" s="1"/>
  <c r="AD677" i="1"/>
  <c r="AH677" i="1" s="1"/>
  <c r="AD678" i="1"/>
  <c r="AH678" i="1" s="1"/>
  <c r="AD679" i="1"/>
  <c r="AH679" i="1" s="1"/>
  <c r="AD680" i="1"/>
  <c r="AH680" i="1" s="1"/>
  <c r="AD681" i="1"/>
  <c r="AH681" i="1" s="1"/>
  <c r="AD682" i="1"/>
  <c r="AH682" i="1" s="1"/>
  <c r="AD683" i="1"/>
  <c r="AH683" i="1" s="1"/>
  <c r="AD684" i="1"/>
  <c r="AH684" i="1" s="1"/>
  <c r="AD685" i="1"/>
  <c r="AH685" i="1" s="1"/>
  <c r="AD686" i="1"/>
  <c r="AH686" i="1" s="1"/>
  <c r="AD687" i="1"/>
  <c r="AH687" i="1" s="1"/>
  <c r="AD688" i="1"/>
  <c r="AH688" i="1" s="1"/>
  <c r="AD689" i="1"/>
  <c r="AH689" i="1" s="1"/>
  <c r="AD690" i="1"/>
  <c r="AH690" i="1" s="1"/>
  <c r="AD691" i="1"/>
  <c r="AH691" i="1" s="1"/>
  <c r="AD692" i="1"/>
  <c r="AH692" i="1" s="1"/>
  <c r="AD693" i="1"/>
  <c r="AH693" i="1" s="1"/>
  <c r="AD694" i="1"/>
  <c r="AH694" i="1" s="1"/>
  <c r="AD695" i="1"/>
  <c r="AH695" i="1" s="1"/>
  <c r="AD696" i="1"/>
  <c r="AH696" i="1" s="1"/>
  <c r="AD697" i="1"/>
  <c r="AH697" i="1" s="1"/>
  <c r="AD698" i="1"/>
  <c r="AH698" i="1" s="1"/>
  <c r="AD699" i="1"/>
  <c r="AH699" i="1" s="1"/>
  <c r="AD700" i="1"/>
  <c r="AH700" i="1" s="1"/>
  <c r="AD701" i="1"/>
  <c r="AH701" i="1" s="1"/>
  <c r="AD702" i="1"/>
  <c r="AH702" i="1" s="1"/>
  <c r="AD703" i="1"/>
  <c r="AH703" i="1" s="1"/>
  <c r="AD704" i="1"/>
  <c r="AH704" i="1" s="1"/>
  <c r="AD705" i="1"/>
  <c r="AH705" i="1" s="1"/>
  <c r="AD706" i="1"/>
  <c r="AH706" i="1" s="1"/>
  <c r="AD707" i="1"/>
  <c r="AH707" i="1" s="1"/>
  <c r="AD708" i="1"/>
  <c r="AH708" i="1" s="1"/>
  <c r="AD709" i="1"/>
  <c r="AH709" i="1" s="1"/>
  <c r="AD710" i="1"/>
  <c r="AH710" i="1" s="1"/>
  <c r="AD711" i="1"/>
  <c r="AH711" i="1" s="1"/>
  <c r="AD712" i="1"/>
  <c r="AH712" i="1" s="1"/>
  <c r="AD713" i="1"/>
  <c r="AH713" i="1" s="1"/>
  <c r="AD714" i="1"/>
  <c r="AH714" i="1" s="1"/>
  <c r="AD715" i="1"/>
  <c r="AH715" i="1" s="1"/>
  <c r="AD716" i="1"/>
  <c r="AH716" i="1" s="1"/>
  <c r="AD717" i="1"/>
  <c r="AH717" i="1" s="1"/>
  <c r="AD718" i="1"/>
  <c r="AH718" i="1" s="1"/>
  <c r="AD719" i="1"/>
  <c r="AH719" i="1" s="1"/>
  <c r="AD720" i="1"/>
  <c r="AH720" i="1" s="1"/>
  <c r="AD721" i="1"/>
  <c r="AH721" i="1" s="1"/>
  <c r="AD722" i="1"/>
  <c r="AH722" i="1" s="1"/>
  <c r="AD723" i="1"/>
  <c r="AH723" i="1" s="1"/>
  <c r="AD724" i="1"/>
  <c r="AH724" i="1" s="1"/>
  <c r="AD725" i="1"/>
  <c r="AH725" i="1" s="1"/>
  <c r="AD726" i="1"/>
  <c r="AH726" i="1" s="1"/>
  <c r="AD727" i="1"/>
  <c r="AH727" i="1" s="1"/>
  <c r="AD728" i="1"/>
  <c r="AH728" i="1" s="1"/>
  <c r="AD729" i="1"/>
  <c r="AH729" i="1" s="1"/>
  <c r="AD730" i="1"/>
  <c r="AH730" i="1" s="1"/>
  <c r="AD731" i="1"/>
  <c r="AH731" i="1" s="1"/>
  <c r="AD732" i="1"/>
  <c r="AH732" i="1" s="1"/>
  <c r="AD733" i="1"/>
  <c r="AH733" i="1" s="1"/>
  <c r="AD734" i="1"/>
  <c r="AH734" i="1" s="1"/>
  <c r="AD735" i="1"/>
  <c r="AH735" i="1" s="1"/>
  <c r="AD736" i="1"/>
  <c r="AH736" i="1" s="1"/>
  <c r="AD737" i="1"/>
  <c r="AH737" i="1" s="1"/>
  <c r="AD738" i="1"/>
  <c r="AH738" i="1" s="1"/>
  <c r="AD739" i="1"/>
  <c r="AH739" i="1" s="1"/>
  <c r="AD740" i="1"/>
  <c r="AH740" i="1" s="1"/>
  <c r="AD741" i="1"/>
  <c r="AH741" i="1" s="1"/>
  <c r="AD742" i="1"/>
  <c r="AH742" i="1" s="1"/>
  <c r="AD743" i="1"/>
  <c r="AH743" i="1" s="1"/>
  <c r="AD744" i="1"/>
  <c r="AH744" i="1" s="1"/>
  <c r="AD745" i="1"/>
  <c r="AH745" i="1" s="1"/>
  <c r="AD746" i="1"/>
  <c r="AH746" i="1" s="1"/>
  <c r="AD747" i="1"/>
  <c r="AH747" i="1" s="1"/>
  <c r="AD748" i="1"/>
  <c r="AH748" i="1" s="1"/>
  <c r="AD749" i="1"/>
  <c r="AH749" i="1" s="1"/>
  <c r="AD750" i="1"/>
  <c r="AH750" i="1" s="1"/>
  <c r="AD751" i="1"/>
  <c r="AH751" i="1" s="1"/>
  <c r="AD752" i="1"/>
  <c r="AH752" i="1" s="1"/>
  <c r="AD753" i="1"/>
  <c r="AH753" i="1" s="1"/>
  <c r="AD754" i="1"/>
  <c r="AH754" i="1" s="1"/>
  <c r="AD755" i="1"/>
  <c r="AH755" i="1" s="1"/>
  <c r="AD756" i="1"/>
  <c r="AH756" i="1" s="1"/>
  <c r="AD757" i="1"/>
  <c r="AH757" i="1" s="1"/>
  <c r="AD758" i="1"/>
  <c r="AH758" i="1" s="1"/>
  <c r="AD759" i="1"/>
  <c r="AH759" i="1" s="1"/>
  <c r="AD760" i="1"/>
  <c r="AH760" i="1" s="1"/>
  <c r="AD761" i="1"/>
  <c r="AH761" i="1" s="1"/>
  <c r="AD762" i="1"/>
  <c r="AH762" i="1" s="1"/>
  <c r="AD763" i="1"/>
  <c r="AH763" i="1" s="1"/>
  <c r="AD764" i="1"/>
  <c r="AH764" i="1" s="1"/>
  <c r="AD765" i="1"/>
  <c r="AH765" i="1" s="1"/>
  <c r="AD766" i="1"/>
  <c r="AH766" i="1" s="1"/>
  <c r="AD767" i="1"/>
  <c r="AH767" i="1" s="1"/>
  <c r="AD768" i="1"/>
  <c r="AH768" i="1" s="1"/>
  <c r="AD769" i="1"/>
  <c r="AH769" i="1" s="1"/>
  <c r="AD770" i="1"/>
  <c r="AH770" i="1" s="1"/>
  <c r="AD771" i="1"/>
  <c r="AH771" i="1" s="1"/>
  <c r="AD772" i="1"/>
  <c r="AH772" i="1" s="1"/>
  <c r="AD773" i="1"/>
  <c r="AH773" i="1" s="1"/>
  <c r="AD774" i="1"/>
  <c r="AH774" i="1" s="1"/>
  <c r="AD775" i="1"/>
  <c r="AH775" i="1" s="1"/>
  <c r="AD776" i="1"/>
  <c r="AH776" i="1" s="1"/>
  <c r="AD777" i="1"/>
  <c r="AH777" i="1" s="1"/>
  <c r="AD778" i="1"/>
  <c r="AH778" i="1" s="1"/>
  <c r="AD779" i="1"/>
  <c r="AH779" i="1" s="1"/>
  <c r="AD780" i="1"/>
  <c r="AH780" i="1" s="1"/>
  <c r="AD781" i="1"/>
  <c r="AH781" i="1" s="1"/>
  <c r="AD782" i="1"/>
  <c r="AH782" i="1" s="1"/>
  <c r="AD783" i="1"/>
  <c r="AH783" i="1" s="1"/>
  <c r="AD784" i="1"/>
  <c r="AH784" i="1" s="1"/>
  <c r="AD785" i="1"/>
  <c r="AH785" i="1" s="1"/>
  <c r="AD786" i="1"/>
  <c r="AH786" i="1" s="1"/>
  <c r="AD787" i="1"/>
  <c r="AH787" i="1" s="1"/>
  <c r="AD788" i="1"/>
  <c r="AH788" i="1" s="1"/>
  <c r="AD789" i="1"/>
  <c r="AH789" i="1" s="1"/>
  <c r="AD790" i="1"/>
  <c r="AH790" i="1" s="1"/>
  <c r="AD791" i="1"/>
  <c r="AH791" i="1" s="1"/>
  <c r="AD792" i="1"/>
  <c r="AH792" i="1" s="1"/>
  <c r="AD793" i="1"/>
  <c r="AH793" i="1" s="1"/>
  <c r="AD794" i="1"/>
  <c r="AH794" i="1" s="1"/>
  <c r="AD795" i="1"/>
  <c r="AH795" i="1" s="1"/>
  <c r="AD796" i="1"/>
  <c r="AH796" i="1" s="1"/>
  <c r="AD797" i="1"/>
  <c r="AH797" i="1" s="1"/>
  <c r="AD798" i="1"/>
  <c r="AH798" i="1" s="1"/>
  <c r="AD799" i="1"/>
  <c r="AH799" i="1" s="1"/>
  <c r="AD800" i="1"/>
  <c r="AH800" i="1" s="1"/>
  <c r="AD801" i="1"/>
  <c r="AH801" i="1" s="1"/>
  <c r="AD802" i="1"/>
  <c r="AH802" i="1" s="1"/>
  <c r="AD803" i="1"/>
  <c r="AH803" i="1" s="1"/>
  <c r="AD804" i="1"/>
  <c r="AH804" i="1" s="1"/>
  <c r="AD805" i="1"/>
  <c r="AH805" i="1" s="1"/>
  <c r="AD806" i="1"/>
  <c r="AH806" i="1" s="1"/>
  <c r="AD807" i="1"/>
  <c r="AH807" i="1" s="1"/>
  <c r="AD808" i="1"/>
  <c r="AH808" i="1" s="1"/>
  <c r="AD809" i="1"/>
  <c r="AH809" i="1" s="1"/>
  <c r="AD810" i="1"/>
  <c r="AH810" i="1" s="1"/>
  <c r="AD811" i="1"/>
  <c r="AH811" i="1" s="1"/>
  <c r="AD812" i="1"/>
  <c r="AH812" i="1" s="1"/>
  <c r="AD813" i="1"/>
  <c r="AH813" i="1" s="1"/>
  <c r="AD814" i="1"/>
  <c r="AH814" i="1" s="1"/>
  <c r="AD815" i="1"/>
  <c r="AH815" i="1" s="1"/>
  <c r="AD816" i="1"/>
  <c r="AH816" i="1" s="1"/>
  <c r="AD817" i="1"/>
  <c r="AH817" i="1" s="1"/>
  <c r="AD818" i="1"/>
  <c r="AH818" i="1" s="1"/>
  <c r="AD819" i="1"/>
  <c r="AH819" i="1" s="1"/>
  <c r="AD820" i="1"/>
  <c r="AH820" i="1" s="1"/>
  <c r="AD821" i="1"/>
  <c r="AH821" i="1" s="1"/>
  <c r="AD822" i="1"/>
  <c r="AH822" i="1" s="1"/>
  <c r="AD823" i="1"/>
  <c r="AH823" i="1" s="1"/>
  <c r="AD824" i="1"/>
  <c r="AH824" i="1" s="1"/>
  <c r="AD825" i="1"/>
  <c r="AH825" i="1" s="1"/>
  <c r="AD826" i="1"/>
  <c r="AH826" i="1" s="1"/>
  <c r="AD827" i="1"/>
  <c r="AH827" i="1" s="1"/>
  <c r="AD828" i="1"/>
  <c r="AH828" i="1" s="1"/>
  <c r="AD829" i="1"/>
  <c r="AH829" i="1" s="1"/>
  <c r="AD830" i="1"/>
  <c r="AH830" i="1" s="1"/>
  <c r="AD831" i="1"/>
  <c r="AH831" i="1" s="1"/>
  <c r="AD832" i="1"/>
  <c r="AH832" i="1" s="1"/>
  <c r="AD833" i="1"/>
  <c r="AH833" i="1" s="1"/>
  <c r="AD834" i="1"/>
  <c r="AH834" i="1" s="1"/>
  <c r="AD835" i="1"/>
  <c r="AH835" i="1" s="1"/>
  <c r="AD836" i="1"/>
  <c r="AH836" i="1" s="1"/>
  <c r="AD837" i="1"/>
  <c r="AH837" i="1" s="1"/>
  <c r="AD838" i="1"/>
  <c r="AH838" i="1" s="1"/>
  <c r="AD839" i="1"/>
  <c r="AH839" i="1" s="1"/>
  <c r="AD840" i="1"/>
  <c r="AH840" i="1" s="1"/>
  <c r="AD841" i="1"/>
  <c r="AH841" i="1" s="1"/>
  <c r="AD842" i="1"/>
  <c r="AH842" i="1" s="1"/>
  <c r="AD843" i="1"/>
  <c r="AH843" i="1" s="1"/>
  <c r="AD844" i="1"/>
  <c r="AH844" i="1" s="1"/>
  <c r="AD845" i="1"/>
  <c r="AH845" i="1" s="1"/>
  <c r="AD846" i="1"/>
  <c r="AH846" i="1" s="1"/>
  <c r="AD847" i="1"/>
  <c r="AH847" i="1" s="1"/>
  <c r="AD848" i="1"/>
  <c r="AH848" i="1" s="1"/>
  <c r="AD849" i="1"/>
  <c r="AH849" i="1" s="1"/>
  <c r="AD850" i="1"/>
  <c r="AH850" i="1" s="1"/>
  <c r="AD851" i="1"/>
  <c r="AH851" i="1" s="1"/>
  <c r="AD852" i="1"/>
  <c r="AH852" i="1" s="1"/>
  <c r="AD853" i="1"/>
  <c r="AH853" i="1" s="1"/>
  <c r="AD854" i="1"/>
  <c r="AH854" i="1" s="1"/>
  <c r="AD855" i="1"/>
  <c r="AH855" i="1" s="1"/>
  <c r="AD856" i="1"/>
  <c r="AH856" i="1" s="1"/>
  <c r="AD857" i="1"/>
  <c r="AH857" i="1" s="1"/>
  <c r="AD858" i="1"/>
  <c r="AH858" i="1" s="1"/>
  <c r="AD859" i="1"/>
  <c r="AH859" i="1" s="1"/>
  <c r="AD860" i="1"/>
  <c r="AH860" i="1" s="1"/>
  <c r="AD861" i="1"/>
  <c r="AH861" i="1" s="1"/>
  <c r="AD862" i="1"/>
  <c r="AH862" i="1" s="1"/>
  <c r="AD863" i="1"/>
  <c r="AH863" i="1" s="1"/>
  <c r="AD864" i="1"/>
  <c r="AH864" i="1" s="1"/>
  <c r="AD865" i="1"/>
  <c r="AH865" i="1" s="1"/>
  <c r="AD866" i="1"/>
  <c r="AH866" i="1" s="1"/>
  <c r="AD867" i="1"/>
  <c r="AH867" i="1" s="1"/>
  <c r="AD868" i="1"/>
  <c r="AH868" i="1" s="1"/>
  <c r="AD869" i="1"/>
  <c r="AH869" i="1" s="1"/>
  <c r="AD870" i="1"/>
  <c r="AH870" i="1" s="1"/>
  <c r="AD871" i="1"/>
  <c r="AH871" i="1" s="1"/>
  <c r="AD872" i="1"/>
  <c r="AH872" i="1" s="1"/>
  <c r="AD873" i="1"/>
  <c r="AH873" i="1" s="1"/>
  <c r="AD874" i="1"/>
  <c r="AH874" i="1" s="1"/>
  <c r="AD875" i="1"/>
  <c r="AH875" i="1" s="1"/>
  <c r="AD876" i="1"/>
  <c r="AH876" i="1" s="1"/>
  <c r="AD877" i="1"/>
  <c r="AH877" i="1" s="1"/>
  <c r="AD878" i="1"/>
  <c r="AH878" i="1" s="1"/>
  <c r="AD879" i="1"/>
  <c r="AH879" i="1" s="1"/>
  <c r="AD880" i="1"/>
  <c r="AH880" i="1" s="1"/>
  <c r="AD881" i="1"/>
  <c r="AH881" i="1" s="1"/>
  <c r="AD882" i="1"/>
  <c r="AH882" i="1" s="1"/>
  <c r="AD883" i="1"/>
  <c r="AH883" i="1" s="1"/>
  <c r="AD884" i="1"/>
  <c r="AH884" i="1" s="1"/>
  <c r="AD885" i="1"/>
  <c r="AH885" i="1" s="1"/>
  <c r="AD886" i="1"/>
  <c r="AH886" i="1" s="1"/>
  <c r="AD887" i="1"/>
  <c r="AH887" i="1" s="1"/>
  <c r="AD888" i="1"/>
  <c r="AH888" i="1" s="1"/>
  <c r="AD889" i="1"/>
  <c r="AH889" i="1" s="1"/>
  <c r="AD890" i="1"/>
  <c r="AH890" i="1" s="1"/>
  <c r="AD891" i="1"/>
  <c r="AH891" i="1" s="1"/>
  <c r="AD892" i="1"/>
  <c r="AH892" i="1" s="1"/>
  <c r="AD893" i="1"/>
  <c r="AH893" i="1" s="1"/>
  <c r="AD894" i="1"/>
  <c r="AH894" i="1" s="1"/>
  <c r="AD895" i="1"/>
  <c r="AH895" i="1" s="1"/>
  <c r="AD896" i="1"/>
  <c r="AH896" i="1" s="1"/>
  <c r="AD897" i="1"/>
  <c r="AH897" i="1" s="1"/>
  <c r="AD898" i="1"/>
  <c r="AH898" i="1" s="1"/>
  <c r="AD899" i="1"/>
  <c r="AH899" i="1" s="1"/>
  <c r="AD900" i="1"/>
  <c r="AH900" i="1" s="1"/>
  <c r="AD901" i="1"/>
  <c r="AH901" i="1" s="1"/>
  <c r="AD902" i="1"/>
  <c r="AH902" i="1" s="1"/>
  <c r="AD903" i="1"/>
  <c r="AH903" i="1" s="1"/>
  <c r="AD904" i="1"/>
  <c r="AH904" i="1" s="1"/>
  <c r="AD905" i="1"/>
  <c r="AH905" i="1" s="1"/>
  <c r="AD906" i="1"/>
  <c r="AH906" i="1" s="1"/>
  <c r="AD907" i="1"/>
  <c r="AH907" i="1" s="1"/>
  <c r="AD908" i="1"/>
  <c r="AH908" i="1" s="1"/>
  <c r="AD909" i="1"/>
  <c r="AH909" i="1" s="1"/>
  <c r="AD910" i="1"/>
  <c r="AH910" i="1" s="1"/>
  <c r="AD911" i="1"/>
  <c r="AH911" i="1" s="1"/>
  <c r="AD912" i="1"/>
  <c r="AH912" i="1" s="1"/>
  <c r="AD913" i="1"/>
  <c r="AH913" i="1" s="1"/>
  <c r="AD914" i="1"/>
  <c r="AH914" i="1" s="1"/>
  <c r="AD915" i="1"/>
  <c r="AH915" i="1" s="1"/>
  <c r="AD916" i="1"/>
  <c r="AH916" i="1" s="1"/>
  <c r="AD917" i="1"/>
  <c r="AH917" i="1" s="1"/>
  <c r="AD918" i="1"/>
  <c r="AH918" i="1" s="1"/>
  <c r="AD919" i="1"/>
  <c r="AH919" i="1" s="1"/>
  <c r="AD920" i="1"/>
  <c r="AH920" i="1" s="1"/>
  <c r="AD921" i="1"/>
  <c r="AH921" i="1" s="1"/>
  <c r="AD922" i="1"/>
  <c r="AH922" i="1" s="1"/>
  <c r="AD923" i="1"/>
  <c r="AH923" i="1" s="1"/>
  <c r="AD924" i="1"/>
  <c r="AH924" i="1" s="1"/>
  <c r="AD925" i="1"/>
  <c r="AH925" i="1" s="1"/>
  <c r="AD926" i="1"/>
  <c r="AH926" i="1" s="1"/>
  <c r="AD927" i="1"/>
  <c r="AH927" i="1" s="1"/>
  <c r="AD928" i="1"/>
  <c r="AH928" i="1" s="1"/>
  <c r="AD929" i="1"/>
  <c r="AH929" i="1" s="1"/>
  <c r="AD930" i="1"/>
  <c r="AH930" i="1" s="1"/>
  <c r="AD931" i="1"/>
  <c r="AH931" i="1" s="1"/>
  <c r="AD932" i="1"/>
  <c r="AH932" i="1" s="1"/>
  <c r="AD933" i="1"/>
  <c r="AH933" i="1" s="1"/>
  <c r="AD934" i="1"/>
  <c r="AH934" i="1" s="1"/>
  <c r="AD935" i="1"/>
  <c r="AH935" i="1" s="1"/>
  <c r="AD936" i="1"/>
  <c r="AH936" i="1" s="1"/>
  <c r="AD937" i="1"/>
  <c r="AH937" i="1" s="1"/>
  <c r="AD938" i="1"/>
  <c r="AH938" i="1" s="1"/>
  <c r="AD939" i="1"/>
  <c r="AH939" i="1" s="1"/>
  <c r="AD940" i="1"/>
  <c r="AH940" i="1" s="1"/>
  <c r="AD941" i="1"/>
  <c r="AH941" i="1" s="1"/>
  <c r="AD942" i="1"/>
  <c r="AH942" i="1" s="1"/>
  <c r="AD943" i="1"/>
  <c r="AH943" i="1" s="1"/>
  <c r="AD944" i="1"/>
  <c r="AH944" i="1" s="1"/>
  <c r="AD945" i="1"/>
  <c r="AH945" i="1" s="1"/>
  <c r="AD946" i="1"/>
  <c r="AH946" i="1" s="1"/>
  <c r="AD947" i="1"/>
  <c r="AH947" i="1" s="1"/>
  <c r="AD948" i="1"/>
  <c r="AH948" i="1" s="1"/>
  <c r="AD949" i="1"/>
  <c r="AH949" i="1" s="1"/>
  <c r="AD950" i="1"/>
  <c r="AH950" i="1" s="1"/>
  <c r="AD951" i="1"/>
  <c r="AH951" i="1" s="1"/>
  <c r="AD952" i="1"/>
  <c r="AH952" i="1" s="1"/>
  <c r="AD953" i="1"/>
  <c r="AH953" i="1" s="1"/>
  <c r="AD954" i="1"/>
  <c r="AH954" i="1" s="1"/>
  <c r="AD955" i="1"/>
  <c r="AH955" i="1" s="1"/>
  <c r="AD956" i="1"/>
  <c r="AH956" i="1" s="1"/>
  <c r="AD957" i="1"/>
  <c r="AH957" i="1" s="1"/>
  <c r="AD958" i="1"/>
  <c r="AH958" i="1" s="1"/>
  <c r="AD959" i="1"/>
  <c r="AH959" i="1" s="1"/>
  <c r="AD960" i="1"/>
  <c r="AH960" i="1" s="1"/>
  <c r="AD961" i="1"/>
  <c r="AH961" i="1" s="1"/>
  <c r="AD962" i="1"/>
  <c r="AH962" i="1" s="1"/>
  <c r="AD963" i="1"/>
  <c r="AH963" i="1" s="1"/>
  <c r="AD964" i="1"/>
  <c r="AH964" i="1" s="1"/>
  <c r="AD965" i="1"/>
  <c r="AH965" i="1" s="1"/>
  <c r="AD966" i="1"/>
  <c r="AH966" i="1" s="1"/>
  <c r="AD967" i="1"/>
  <c r="AH967" i="1" s="1"/>
  <c r="AD968" i="1"/>
  <c r="AH968" i="1" s="1"/>
  <c r="AD969" i="1"/>
  <c r="AH969" i="1" s="1"/>
  <c r="AD970" i="1"/>
  <c r="AH970" i="1" s="1"/>
  <c r="AD971" i="1"/>
  <c r="AH971" i="1" s="1"/>
  <c r="AD972" i="1"/>
  <c r="AH972" i="1" s="1"/>
  <c r="AD973" i="1"/>
  <c r="AH973" i="1" s="1"/>
  <c r="AD974" i="1"/>
  <c r="AH974" i="1" s="1"/>
  <c r="AD975" i="1"/>
  <c r="AH975" i="1" s="1"/>
  <c r="AD976" i="1"/>
  <c r="AH976" i="1" s="1"/>
  <c r="AD977" i="1"/>
  <c r="AH977" i="1" s="1"/>
  <c r="AD978" i="1"/>
  <c r="AH978" i="1" s="1"/>
  <c r="AD979" i="1"/>
  <c r="AH979" i="1" s="1"/>
  <c r="AD980" i="1"/>
  <c r="AH980" i="1" s="1"/>
  <c r="AD981" i="1"/>
  <c r="AH981" i="1" s="1"/>
  <c r="AD982" i="1"/>
  <c r="AH982" i="1" s="1"/>
  <c r="AD983" i="1"/>
  <c r="AH983" i="1" s="1"/>
  <c r="AD984" i="1"/>
  <c r="AH984" i="1" s="1"/>
  <c r="AD985" i="1"/>
  <c r="AH985" i="1" s="1"/>
  <c r="AD986" i="1"/>
  <c r="AH986" i="1" s="1"/>
  <c r="AD987" i="1"/>
  <c r="AH987" i="1" s="1"/>
  <c r="AD988" i="1"/>
  <c r="AH988" i="1" s="1"/>
  <c r="AD989" i="1"/>
  <c r="AH989" i="1" s="1"/>
  <c r="AD990" i="1"/>
  <c r="AH990" i="1" s="1"/>
  <c r="AD991" i="1"/>
  <c r="AH991" i="1" s="1"/>
  <c r="AD992" i="1"/>
  <c r="AH992" i="1" s="1"/>
  <c r="AD993" i="1"/>
  <c r="AH993" i="1" s="1"/>
  <c r="AD994" i="1"/>
  <c r="AH994" i="1" s="1"/>
  <c r="AD995" i="1"/>
  <c r="AH995" i="1" s="1"/>
  <c r="AD996" i="1"/>
  <c r="AH996" i="1" s="1"/>
  <c r="AD997" i="1"/>
  <c r="AH997" i="1" s="1"/>
  <c r="AD998" i="1"/>
  <c r="AH998" i="1" s="1"/>
  <c r="AD999" i="1"/>
  <c r="AH999" i="1" s="1"/>
  <c r="AD1000" i="1"/>
  <c r="AH1000" i="1" s="1"/>
  <c r="AD1001" i="1"/>
  <c r="AH1001" i="1" s="1"/>
  <c r="AD1002" i="1"/>
  <c r="AH1002" i="1" s="1"/>
  <c r="AD1003" i="1"/>
  <c r="AH1003" i="1" s="1"/>
  <c r="AD1004" i="1"/>
  <c r="AH1004" i="1" s="1"/>
  <c r="AD1005" i="1"/>
  <c r="AH1005" i="1" s="1"/>
  <c r="AD1006" i="1"/>
  <c r="AH1006" i="1" s="1"/>
  <c r="AD1007" i="1"/>
  <c r="AH1007" i="1" s="1"/>
  <c r="AD1008" i="1"/>
  <c r="AH1008" i="1" s="1"/>
  <c r="AD1009" i="1"/>
  <c r="AH1009" i="1" s="1"/>
  <c r="AD1010" i="1"/>
  <c r="AH1010" i="1" s="1"/>
  <c r="AD1011" i="1"/>
  <c r="AH1011" i="1" s="1"/>
  <c r="AD1012" i="1"/>
  <c r="AH1012" i="1" s="1"/>
  <c r="AD1013" i="1"/>
  <c r="AH1013" i="1" s="1"/>
  <c r="AD1014" i="1"/>
  <c r="AH1014" i="1" s="1"/>
  <c r="AD1015" i="1"/>
  <c r="AH1015" i="1" s="1"/>
  <c r="AD1016" i="1"/>
  <c r="AH1016" i="1" s="1"/>
  <c r="AD1017" i="1"/>
  <c r="AH1017" i="1" s="1"/>
  <c r="AD1018" i="1"/>
  <c r="AH1018" i="1" s="1"/>
  <c r="AD1019" i="1"/>
  <c r="AH1019" i="1" s="1"/>
  <c r="AD1020" i="1"/>
  <c r="AH1020" i="1" s="1"/>
  <c r="AD1021" i="1"/>
  <c r="AH1021" i="1" s="1"/>
  <c r="AD1022" i="1"/>
  <c r="AH1022" i="1" s="1"/>
  <c r="AD1023" i="1"/>
  <c r="AH1023" i="1" s="1"/>
  <c r="AD1024" i="1"/>
  <c r="AH1024" i="1" s="1"/>
  <c r="AD1025" i="1"/>
  <c r="AH1025" i="1" s="1"/>
  <c r="AD1026" i="1"/>
  <c r="AH1026" i="1" s="1"/>
  <c r="AD1027" i="1"/>
  <c r="AH1027" i="1" s="1"/>
  <c r="AD1028" i="1"/>
  <c r="AH1028" i="1" s="1"/>
  <c r="AD1029" i="1"/>
  <c r="AH1029" i="1" s="1"/>
  <c r="AD1030" i="1"/>
  <c r="AH1030" i="1" s="1"/>
  <c r="AD1031" i="1"/>
  <c r="AH1031" i="1" s="1"/>
  <c r="AD1032" i="1"/>
  <c r="AH1032" i="1" s="1"/>
  <c r="AD1033" i="1"/>
  <c r="AH1033" i="1" s="1"/>
  <c r="AD1034" i="1"/>
  <c r="AH1034" i="1" s="1"/>
  <c r="AD1035" i="1"/>
  <c r="AH1035" i="1" s="1"/>
  <c r="AD1036" i="1"/>
  <c r="AH1036" i="1" s="1"/>
  <c r="AD1037" i="1"/>
  <c r="AH1037" i="1" s="1"/>
  <c r="AD1038" i="1"/>
  <c r="AH1038" i="1" s="1"/>
  <c r="AD1039" i="1"/>
  <c r="AH1039" i="1" s="1"/>
  <c r="AD1040" i="1"/>
  <c r="AH1040" i="1" s="1"/>
  <c r="AD1041" i="1"/>
  <c r="AH1041" i="1" s="1"/>
  <c r="AD1042" i="1"/>
  <c r="AH1042" i="1" s="1"/>
  <c r="AD1043" i="1"/>
  <c r="AH1043" i="1" s="1"/>
  <c r="AD1044" i="1"/>
  <c r="AH1044" i="1" s="1"/>
  <c r="AD1045" i="1"/>
  <c r="AH1045" i="1" s="1"/>
  <c r="AD1046" i="1"/>
  <c r="AH1046" i="1" s="1"/>
  <c r="AD1047" i="1"/>
  <c r="AH1047" i="1" s="1"/>
  <c r="AD1048" i="1"/>
  <c r="AH1048" i="1" s="1"/>
  <c r="AD1049" i="1"/>
  <c r="AH1049" i="1" s="1"/>
  <c r="AD1050" i="1"/>
  <c r="AH1050" i="1" s="1"/>
  <c r="AD1051" i="1"/>
  <c r="AH1051" i="1" s="1"/>
  <c r="AD1052" i="1"/>
  <c r="AH1052" i="1" s="1"/>
  <c r="AD1053" i="1"/>
  <c r="AH1053" i="1" s="1"/>
  <c r="AD1054" i="1"/>
  <c r="AH1054" i="1" s="1"/>
  <c r="AD1055" i="1"/>
  <c r="AH1055" i="1" s="1"/>
  <c r="AD1056" i="1"/>
  <c r="AH1056" i="1" s="1"/>
  <c r="AD1057" i="1"/>
  <c r="AH1057" i="1" s="1"/>
  <c r="AD1058" i="1"/>
  <c r="AH1058" i="1" s="1"/>
  <c r="AD1059" i="1"/>
  <c r="AH1059" i="1" s="1"/>
  <c r="AD1060" i="1"/>
  <c r="AH1060" i="1" s="1"/>
  <c r="AD1061" i="1"/>
  <c r="AH1061" i="1" s="1"/>
  <c r="AD1062" i="1"/>
  <c r="AH1062" i="1" s="1"/>
  <c r="AD1063" i="1"/>
  <c r="AH1063" i="1" s="1"/>
  <c r="AD1064" i="1"/>
  <c r="AH1064" i="1" s="1"/>
  <c r="AD1065" i="1"/>
  <c r="AH1065" i="1" s="1"/>
  <c r="AD1066" i="1"/>
  <c r="AH1066" i="1" s="1"/>
  <c r="AD1067" i="1"/>
  <c r="AH1067" i="1" s="1"/>
  <c r="AD1068" i="1"/>
  <c r="AH1068" i="1" s="1"/>
  <c r="AD1069" i="1"/>
  <c r="AH1069" i="1" s="1"/>
  <c r="AD1070" i="1"/>
  <c r="AH1070" i="1" s="1"/>
  <c r="AD1071" i="1"/>
  <c r="AH1071" i="1" s="1"/>
  <c r="AD1072" i="1"/>
  <c r="AH1072" i="1" s="1"/>
  <c r="AD1073" i="1"/>
  <c r="AH1073" i="1" s="1"/>
  <c r="AD1074" i="1"/>
  <c r="AH1074" i="1" s="1"/>
  <c r="AD1075" i="1"/>
  <c r="AH1075" i="1" s="1"/>
  <c r="AD1076" i="1"/>
  <c r="AH1076" i="1" s="1"/>
  <c r="AD1077" i="1"/>
  <c r="AH1077" i="1" s="1"/>
  <c r="AD1078" i="1"/>
  <c r="AH1078" i="1" s="1"/>
  <c r="AD1079" i="1"/>
  <c r="AH1079" i="1" s="1"/>
  <c r="AD1080" i="1"/>
  <c r="AH1080" i="1" s="1"/>
  <c r="AD1081" i="1"/>
  <c r="AH1081" i="1" s="1"/>
  <c r="AD1082" i="1"/>
  <c r="AH1082" i="1" s="1"/>
  <c r="AD1083" i="1"/>
  <c r="AH1083" i="1" s="1"/>
  <c r="AD1084" i="1"/>
  <c r="AH1084" i="1" s="1"/>
  <c r="AD1085" i="1"/>
  <c r="AH1085" i="1" s="1"/>
  <c r="AD1086" i="1"/>
  <c r="AH1086" i="1" s="1"/>
  <c r="AD1087" i="1"/>
  <c r="AH1087" i="1" s="1"/>
  <c r="AD1088" i="1"/>
  <c r="AH1088" i="1" s="1"/>
  <c r="AD1089" i="1"/>
  <c r="AH1089" i="1" s="1"/>
  <c r="AD1090" i="1"/>
  <c r="AH1090" i="1" s="1"/>
  <c r="AD1091" i="1"/>
  <c r="AH1091" i="1" s="1"/>
  <c r="AD1092" i="1"/>
  <c r="AH1092" i="1" s="1"/>
  <c r="AD1093" i="1"/>
  <c r="AH1093" i="1" s="1"/>
  <c r="AD1094" i="1"/>
  <c r="AH1094" i="1" s="1"/>
  <c r="AD1095" i="1"/>
  <c r="AH1095" i="1" s="1"/>
  <c r="AD1096" i="1"/>
  <c r="AH1096" i="1" s="1"/>
  <c r="AD1097" i="1"/>
  <c r="AH1097" i="1" s="1"/>
  <c r="AD1098" i="1"/>
  <c r="AH1098" i="1" s="1"/>
  <c r="AD1099" i="1"/>
  <c r="AH1099" i="1" s="1"/>
  <c r="AD1100" i="1"/>
  <c r="AH1100" i="1" s="1"/>
  <c r="AD1101" i="1"/>
  <c r="AH1101" i="1" s="1"/>
  <c r="AD1102" i="1"/>
  <c r="AH1102" i="1" s="1"/>
  <c r="AD1103" i="1"/>
  <c r="AH1103" i="1" s="1"/>
  <c r="AD1104" i="1"/>
  <c r="AH1104" i="1" s="1"/>
  <c r="AD1105" i="1"/>
  <c r="AH1105" i="1" s="1"/>
  <c r="AD1106" i="1"/>
  <c r="AH1106" i="1" s="1"/>
  <c r="AD1107" i="1"/>
  <c r="AH1107" i="1" s="1"/>
  <c r="AD1108" i="1"/>
  <c r="AH1108" i="1" s="1"/>
  <c r="AD1109" i="1"/>
  <c r="AH1109" i="1" s="1"/>
  <c r="AD1110" i="1"/>
  <c r="AH1110" i="1" s="1"/>
  <c r="AD1111" i="1"/>
  <c r="AH1111" i="1" s="1"/>
  <c r="AD1112" i="1"/>
  <c r="AH1112" i="1" s="1"/>
  <c r="AD1113" i="1"/>
  <c r="AH1113" i="1" s="1"/>
  <c r="AD1114" i="1"/>
  <c r="AH1114" i="1" s="1"/>
  <c r="AD1115" i="1"/>
  <c r="AH1115" i="1" s="1"/>
  <c r="AD1116" i="1"/>
  <c r="AH1116" i="1" s="1"/>
  <c r="AD1117" i="1"/>
  <c r="AH1117" i="1" s="1"/>
  <c r="AD1118" i="1"/>
  <c r="AH1118" i="1" s="1"/>
  <c r="AD1119" i="1"/>
  <c r="AH1119" i="1" s="1"/>
  <c r="AD1120" i="1"/>
  <c r="AH1120" i="1" s="1"/>
  <c r="AD1121" i="1"/>
  <c r="AH1121" i="1" s="1"/>
  <c r="AD1122" i="1"/>
  <c r="AH1122" i="1" s="1"/>
  <c r="AD1123" i="1"/>
  <c r="AH1123" i="1" s="1"/>
  <c r="AD1124" i="1"/>
  <c r="AH1124" i="1" s="1"/>
  <c r="AD1125" i="1"/>
  <c r="AH1125" i="1" s="1"/>
  <c r="AD1126" i="1"/>
  <c r="AH1126" i="1" s="1"/>
  <c r="AD1127" i="1"/>
  <c r="AH1127" i="1" s="1"/>
  <c r="AD1128" i="1"/>
  <c r="AH1128" i="1" s="1"/>
  <c r="AD1129" i="1"/>
  <c r="AH1129" i="1" s="1"/>
  <c r="AD1130" i="1"/>
  <c r="AH1130" i="1" s="1"/>
  <c r="AD1131" i="1"/>
  <c r="AH1131" i="1" s="1"/>
  <c r="AD1132" i="1"/>
  <c r="AH1132" i="1" s="1"/>
  <c r="AD1133" i="1"/>
  <c r="AH1133" i="1" s="1"/>
  <c r="AD1134" i="1"/>
  <c r="AH1134" i="1" s="1"/>
  <c r="AD1135" i="1"/>
  <c r="AH1135" i="1" s="1"/>
  <c r="AD1136" i="1"/>
  <c r="AH1136" i="1" s="1"/>
  <c r="AD1137" i="1"/>
  <c r="AH1137" i="1" s="1"/>
  <c r="AD1138" i="1"/>
  <c r="AH1138" i="1" s="1"/>
  <c r="AD1139" i="1"/>
  <c r="AH1139" i="1" s="1"/>
  <c r="AD1140" i="1"/>
  <c r="AH1140" i="1" s="1"/>
  <c r="AD1141" i="1"/>
  <c r="AH1141" i="1" s="1"/>
  <c r="AD1142" i="1"/>
  <c r="AH1142" i="1" s="1"/>
  <c r="AD1143" i="1"/>
  <c r="AH1143" i="1" s="1"/>
  <c r="AD1144" i="1"/>
  <c r="AH1144" i="1" s="1"/>
  <c r="AD1145" i="1"/>
  <c r="AH1145" i="1" s="1"/>
  <c r="AD1146" i="1"/>
  <c r="AH1146" i="1" s="1"/>
  <c r="AD1147" i="1"/>
  <c r="AH1147" i="1" s="1"/>
  <c r="AD1148" i="1"/>
  <c r="AH1148" i="1" s="1"/>
  <c r="AD1149" i="1"/>
  <c r="AH1149" i="1" s="1"/>
  <c r="AD1150" i="1"/>
  <c r="AH1150" i="1" s="1"/>
  <c r="AD1151" i="1"/>
  <c r="AH1151" i="1" s="1"/>
  <c r="AD1152" i="1"/>
  <c r="AH1152" i="1" s="1"/>
  <c r="AD1153" i="1"/>
  <c r="AH1153" i="1" s="1"/>
  <c r="AD1154" i="1"/>
  <c r="AH1154" i="1" s="1"/>
  <c r="AD1155" i="1"/>
  <c r="AH1155" i="1" s="1"/>
  <c r="AD1156" i="1"/>
  <c r="AH1156" i="1" s="1"/>
  <c r="AD1157" i="1"/>
  <c r="AH1157" i="1" s="1"/>
  <c r="AD1158" i="1"/>
  <c r="AH1158" i="1" s="1"/>
  <c r="AD1159" i="1"/>
  <c r="AH1159" i="1" s="1"/>
  <c r="AD1160" i="1"/>
  <c r="AH1160" i="1" s="1"/>
  <c r="AD1161" i="1"/>
  <c r="AH1161" i="1" s="1"/>
  <c r="AD1162" i="1"/>
  <c r="AH1162" i="1" s="1"/>
  <c r="AD1163" i="1"/>
  <c r="AH1163" i="1" s="1"/>
  <c r="AD1164" i="1"/>
  <c r="AH1164" i="1" s="1"/>
  <c r="AD1165" i="1"/>
  <c r="AH1165" i="1" s="1"/>
  <c r="AD1166" i="1"/>
  <c r="AH1166" i="1" s="1"/>
  <c r="AD1167" i="1"/>
  <c r="AH1167" i="1" s="1"/>
  <c r="AD1168" i="1"/>
  <c r="AH1168" i="1" s="1"/>
  <c r="AD1169" i="1"/>
  <c r="AH1169" i="1" s="1"/>
  <c r="AD1170" i="1"/>
  <c r="AH1170" i="1" s="1"/>
  <c r="AD1171" i="1"/>
  <c r="AH1171" i="1" s="1"/>
  <c r="AD1172" i="1"/>
  <c r="AH1172" i="1" s="1"/>
  <c r="AD1173" i="1"/>
  <c r="AH1173" i="1" s="1"/>
  <c r="AD1174" i="1"/>
  <c r="AH1174" i="1" s="1"/>
  <c r="AD1175" i="1"/>
  <c r="AH1175" i="1" s="1"/>
  <c r="AD1176" i="1"/>
  <c r="AH1176" i="1" s="1"/>
  <c r="AD1177" i="1"/>
  <c r="AH1177" i="1" s="1"/>
  <c r="AD1178" i="1"/>
  <c r="AH1178" i="1" s="1"/>
  <c r="AD1179" i="1"/>
  <c r="AH1179" i="1" s="1"/>
  <c r="AD1180" i="1"/>
  <c r="AH1180" i="1" s="1"/>
  <c r="AD1181" i="1"/>
  <c r="AH1181" i="1" s="1"/>
  <c r="AD1182" i="1"/>
  <c r="AH1182" i="1" s="1"/>
  <c r="AD1183" i="1"/>
  <c r="AH1183" i="1" s="1"/>
  <c r="AD1184" i="1"/>
  <c r="AH1184" i="1" s="1"/>
  <c r="AD1185" i="1"/>
  <c r="AH1185" i="1" s="1"/>
  <c r="AD1186" i="1"/>
  <c r="AH1186" i="1" s="1"/>
  <c r="AD1187" i="1"/>
  <c r="AH1187" i="1" s="1"/>
  <c r="AD1188" i="1"/>
  <c r="AH1188" i="1" s="1"/>
  <c r="AD1189" i="1"/>
  <c r="AH1189" i="1" s="1"/>
  <c r="AD1190" i="1"/>
  <c r="AH1190" i="1" s="1"/>
  <c r="AD1191" i="1"/>
  <c r="AH1191" i="1" s="1"/>
  <c r="AD1192" i="1"/>
  <c r="AH1192" i="1" s="1"/>
  <c r="AD1193" i="1"/>
  <c r="AH1193" i="1" s="1"/>
  <c r="AD1194" i="1"/>
  <c r="AH1194" i="1" s="1"/>
  <c r="AD1195" i="1"/>
  <c r="AH1195" i="1" s="1"/>
  <c r="AD1196" i="1"/>
  <c r="AH1196" i="1" s="1"/>
  <c r="AD1197" i="1"/>
  <c r="AH1197" i="1" s="1"/>
  <c r="AD1198" i="1"/>
  <c r="AH1198" i="1" s="1"/>
  <c r="AD1199" i="1"/>
  <c r="AH1199" i="1" s="1"/>
  <c r="AD1200" i="1"/>
  <c r="AH1200" i="1" s="1"/>
  <c r="AD1201" i="1"/>
  <c r="AH1201" i="1" s="1"/>
  <c r="AD1202" i="1"/>
  <c r="AH1202" i="1" s="1"/>
  <c r="AD1203" i="1"/>
  <c r="AH1203" i="1" s="1"/>
  <c r="AD1204" i="1"/>
  <c r="AH1204" i="1" s="1"/>
  <c r="AD1205" i="1"/>
  <c r="AH1205" i="1" s="1"/>
  <c r="AD1206" i="1"/>
  <c r="AH1206" i="1" s="1"/>
  <c r="AD1207" i="1"/>
  <c r="AH1207" i="1" s="1"/>
  <c r="AD1208" i="1"/>
  <c r="AH1208" i="1" s="1"/>
  <c r="AD1209" i="1"/>
  <c r="AH1209" i="1" s="1"/>
  <c r="AD1210" i="1"/>
  <c r="AH1210" i="1" s="1"/>
  <c r="AD1211" i="1"/>
  <c r="AH1211" i="1" s="1"/>
  <c r="AD1212" i="1"/>
  <c r="AH1212" i="1" s="1"/>
  <c r="AD1213" i="1"/>
  <c r="AH1213" i="1" s="1"/>
  <c r="AD1214" i="1"/>
  <c r="AH1214" i="1" s="1"/>
  <c r="AD1215" i="1"/>
  <c r="AH1215" i="1" s="1"/>
  <c r="AD1216" i="1"/>
  <c r="AH1216" i="1" s="1"/>
  <c r="AD1217" i="1"/>
  <c r="AH1217" i="1" s="1"/>
  <c r="AD1218" i="1"/>
  <c r="AH1218" i="1" s="1"/>
  <c r="AD1219" i="1"/>
  <c r="AH1219" i="1" s="1"/>
  <c r="AD1220" i="1"/>
  <c r="AH1220" i="1" s="1"/>
  <c r="AD1221" i="1"/>
  <c r="AH1221" i="1" s="1"/>
  <c r="AD1222" i="1"/>
  <c r="AH1222" i="1" s="1"/>
  <c r="AD1223" i="1"/>
  <c r="AH1223" i="1" s="1"/>
  <c r="AD1224" i="1"/>
  <c r="AH1224" i="1" s="1"/>
  <c r="AD1225" i="1"/>
  <c r="AH1225" i="1" s="1"/>
  <c r="AD1226" i="1"/>
  <c r="AH1226" i="1" s="1"/>
  <c r="AD1227" i="1"/>
  <c r="AH1227" i="1" s="1"/>
  <c r="AD1228" i="1"/>
  <c r="AH1228" i="1" s="1"/>
  <c r="AD1229" i="1"/>
  <c r="AH1229" i="1" s="1"/>
  <c r="AD1230" i="1"/>
  <c r="AH1230" i="1" s="1"/>
  <c r="AD1231" i="1"/>
  <c r="AH1231" i="1" s="1"/>
  <c r="AD1232" i="1"/>
  <c r="AH1232" i="1" s="1"/>
  <c r="AD1233" i="1"/>
  <c r="AH1233" i="1" s="1"/>
  <c r="AD1234" i="1"/>
  <c r="AH1234" i="1" s="1"/>
  <c r="AD1235" i="1"/>
  <c r="AH1235" i="1" s="1"/>
  <c r="AD1236" i="1"/>
  <c r="AH1236" i="1" s="1"/>
  <c r="AD1237" i="1"/>
  <c r="AH1237" i="1" s="1"/>
  <c r="AD1238" i="1"/>
  <c r="AH1238" i="1" s="1"/>
  <c r="AD1239" i="1"/>
  <c r="AH1239" i="1" s="1"/>
  <c r="AD1240" i="1"/>
  <c r="AH1240" i="1" s="1"/>
  <c r="AD1241" i="1"/>
  <c r="AH1241" i="1" s="1"/>
  <c r="AD1242" i="1"/>
  <c r="AH1242" i="1" s="1"/>
  <c r="AD1243" i="1"/>
  <c r="AH1243" i="1" s="1"/>
  <c r="AD1244" i="1"/>
  <c r="AH1244" i="1" s="1"/>
  <c r="AD1245" i="1"/>
  <c r="AH1245" i="1" s="1"/>
  <c r="AD1246" i="1"/>
  <c r="AH1246" i="1" s="1"/>
  <c r="AD1247" i="1"/>
  <c r="AH1247" i="1" s="1"/>
  <c r="AD1248" i="1"/>
  <c r="AH1248" i="1" s="1"/>
  <c r="AD1249" i="1"/>
  <c r="AH1249" i="1" s="1"/>
  <c r="AD1250" i="1"/>
  <c r="AH1250" i="1" s="1"/>
  <c r="AD1251" i="1"/>
  <c r="AH1251" i="1" s="1"/>
  <c r="AD1252" i="1"/>
  <c r="AH1252" i="1" s="1"/>
  <c r="AD1253" i="1"/>
  <c r="AH1253" i="1" s="1"/>
  <c r="AD1254" i="1"/>
  <c r="AH1254" i="1" s="1"/>
  <c r="AD1255" i="1"/>
  <c r="AH1255" i="1" s="1"/>
  <c r="AD1256" i="1"/>
  <c r="AH1256" i="1" s="1"/>
  <c r="AD1257" i="1"/>
  <c r="AH1257" i="1" s="1"/>
  <c r="AD1258" i="1"/>
  <c r="AH1258" i="1" s="1"/>
  <c r="AD1259" i="1"/>
  <c r="AH1259" i="1" s="1"/>
  <c r="AD1260" i="1"/>
  <c r="AH1260" i="1" s="1"/>
  <c r="AD1261" i="1"/>
  <c r="AH1261" i="1" s="1"/>
  <c r="AD1262" i="1"/>
  <c r="AH1262" i="1" s="1"/>
  <c r="AD1263" i="1"/>
  <c r="AH1263" i="1" s="1"/>
  <c r="AD1264" i="1"/>
  <c r="AH1264" i="1" s="1"/>
  <c r="AD1265" i="1"/>
  <c r="AH1265" i="1" s="1"/>
  <c r="AD1266" i="1"/>
  <c r="AH1266" i="1" s="1"/>
  <c r="AD1267" i="1"/>
  <c r="AH1267" i="1" s="1"/>
  <c r="AD1268" i="1"/>
  <c r="AH1268" i="1" s="1"/>
  <c r="AD1269" i="1"/>
  <c r="AH1269" i="1" s="1"/>
  <c r="AD1270" i="1"/>
  <c r="AH1270" i="1" s="1"/>
  <c r="AD1271" i="1"/>
  <c r="AH1271" i="1" s="1"/>
  <c r="AD1272" i="1"/>
  <c r="AH1272" i="1" s="1"/>
  <c r="AD1273" i="1"/>
  <c r="AH1273" i="1" s="1"/>
  <c r="AD1274" i="1"/>
  <c r="AH1274" i="1" s="1"/>
  <c r="AD1275" i="1"/>
  <c r="AH1275" i="1" s="1"/>
  <c r="AD1276" i="1"/>
  <c r="AH1276" i="1" s="1"/>
  <c r="AD1277" i="1"/>
  <c r="AH1277" i="1" s="1"/>
  <c r="AD1278" i="1"/>
  <c r="AH1278" i="1" s="1"/>
  <c r="AD1279" i="1"/>
  <c r="AH1279" i="1" s="1"/>
  <c r="AD1280" i="1"/>
  <c r="AH1280" i="1" s="1"/>
  <c r="AD1281" i="1"/>
  <c r="AH1281" i="1" s="1"/>
  <c r="AD1282" i="1"/>
  <c r="AH1282" i="1" s="1"/>
  <c r="AD1283" i="1"/>
  <c r="AH1283" i="1" s="1"/>
  <c r="AD1284" i="1"/>
  <c r="AH1284" i="1" s="1"/>
  <c r="AD1285" i="1"/>
  <c r="AH1285" i="1" s="1"/>
  <c r="AD1286" i="1"/>
  <c r="AH1286" i="1" s="1"/>
  <c r="AD1287" i="1"/>
  <c r="AH1287" i="1" s="1"/>
  <c r="AD1288" i="1"/>
  <c r="AH1288" i="1" s="1"/>
  <c r="AD1289" i="1"/>
  <c r="AH1289" i="1" s="1"/>
  <c r="AD1290" i="1"/>
  <c r="AH1290" i="1" s="1"/>
  <c r="AD1291" i="1"/>
  <c r="AH1291" i="1" s="1"/>
  <c r="AD1292" i="1"/>
  <c r="AH1292" i="1" s="1"/>
  <c r="AD1293" i="1"/>
  <c r="AH1293" i="1" s="1"/>
  <c r="AD1294" i="1"/>
  <c r="AH1294" i="1" s="1"/>
  <c r="AD1295" i="1"/>
  <c r="AH1295" i="1" s="1"/>
  <c r="AD1296" i="1"/>
  <c r="AH1296" i="1" s="1"/>
  <c r="AD1297" i="1"/>
  <c r="AH1297" i="1" s="1"/>
  <c r="AD1298" i="1"/>
  <c r="AH1298" i="1" s="1"/>
  <c r="AD1299" i="1"/>
  <c r="AH1299" i="1" s="1"/>
  <c r="AD1300" i="1"/>
  <c r="AH1300" i="1" s="1"/>
  <c r="AD1301" i="1"/>
  <c r="AH1301" i="1" s="1"/>
  <c r="AD1302" i="1"/>
  <c r="AH1302" i="1" s="1"/>
  <c r="AD1303" i="1"/>
  <c r="AH1303" i="1" s="1"/>
  <c r="AD1304" i="1"/>
  <c r="AH1304" i="1" s="1"/>
  <c r="AD1305" i="1"/>
  <c r="AH1305" i="1" s="1"/>
  <c r="AD1306" i="1"/>
  <c r="AH1306" i="1" s="1"/>
  <c r="AD1307" i="1"/>
  <c r="AH1307" i="1" s="1"/>
  <c r="AD1308" i="1"/>
  <c r="AH1308" i="1" s="1"/>
  <c r="AD1309" i="1"/>
  <c r="AH1309" i="1" s="1"/>
  <c r="AD1310" i="1"/>
  <c r="AH1310" i="1" s="1"/>
  <c r="AD1311" i="1"/>
  <c r="AH1311" i="1" s="1"/>
  <c r="AD1312" i="1"/>
  <c r="AH1312" i="1" s="1"/>
  <c r="AJ508" i="1" l="1"/>
  <c r="AK508" i="1" s="1"/>
  <c r="AL563" i="1"/>
  <c r="AL1235" i="1"/>
  <c r="AL715" i="1"/>
  <c r="AL1144" i="1"/>
  <c r="AL270" i="1"/>
  <c r="AL916" i="1"/>
  <c r="AL693" i="1"/>
  <c r="AL725" i="1"/>
  <c r="AL1210" i="1"/>
  <c r="AL390" i="1"/>
  <c r="AL225" i="1"/>
  <c r="AL359" i="1"/>
  <c r="AL354" i="1"/>
  <c r="AL617" i="1"/>
  <c r="AL993" i="1"/>
  <c r="AL175" i="1"/>
  <c r="AL488" i="1"/>
  <c r="AL211" i="1"/>
  <c r="AL627" i="1"/>
  <c r="AL787" i="1"/>
  <c r="AL112" i="1"/>
  <c r="AL181" i="1"/>
  <c r="AL310" i="1"/>
  <c r="AL868" i="1"/>
  <c r="AL1085" i="1"/>
  <c r="AL125" i="1"/>
  <c r="AL596" i="1"/>
  <c r="AL1215" i="1"/>
  <c r="AL334" i="1"/>
  <c r="AL201" i="1"/>
  <c r="AL260" i="1"/>
  <c r="AL967" i="1"/>
  <c r="AL1307" i="1"/>
  <c r="AL796" i="1"/>
  <c r="AL1129" i="1"/>
  <c r="AL311" i="1"/>
  <c r="AL759" i="1"/>
  <c r="AL494" i="1"/>
  <c r="AL680" i="1"/>
  <c r="AL776" i="1"/>
  <c r="AL982" i="1"/>
  <c r="AL38" i="1"/>
  <c r="AL662" i="1"/>
  <c r="AL1287" i="1"/>
  <c r="AL904" i="1"/>
  <c r="AL1276" i="1"/>
  <c r="AL451" i="1"/>
  <c r="AL57" i="1"/>
  <c r="AL420" i="1"/>
  <c r="AL1312" i="1"/>
  <c r="AL837" i="1"/>
  <c r="AL1150" i="1"/>
  <c r="AL138" i="1"/>
  <c r="AL44" i="1"/>
  <c r="AL400" i="1"/>
  <c r="AL1071" i="1"/>
  <c r="AL1237" i="1"/>
  <c r="AL1108" i="1"/>
  <c r="AL1009" i="1"/>
  <c r="AL831" i="1"/>
  <c r="AL817" i="1"/>
  <c r="AL1054" i="1"/>
  <c r="AL283" i="1"/>
  <c r="AL1094" i="1"/>
  <c r="AL1122" i="1"/>
  <c r="AL1266" i="1"/>
  <c r="AL555" i="1"/>
  <c r="AL428" i="1"/>
  <c r="AL964" i="1"/>
  <c r="AL653" i="1"/>
  <c r="AL717" i="1"/>
  <c r="AL781" i="1"/>
  <c r="AL954" i="1"/>
  <c r="AL20" i="1"/>
  <c r="AL84" i="1"/>
  <c r="AL447" i="1"/>
  <c r="AL178" i="1"/>
  <c r="AL540" i="1"/>
  <c r="AL919" i="1"/>
  <c r="AL951" i="1"/>
  <c r="AL1269" i="1"/>
  <c r="AL1164" i="1"/>
  <c r="AL498" i="1"/>
  <c r="AL1049" i="1"/>
  <c r="AL570" i="1"/>
  <c r="AL965" i="1"/>
  <c r="AL134" i="1"/>
  <c r="AL806" i="1"/>
  <c r="AL883" i="1"/>
  <c r="AL1203" i="1"/>
  <c r="AJ787" i="1"/>
  <c r="AK787" i="1" s="1"/>
  <c r="AJ260" i="1"/>
  <c r="AK260" i="1" s="1"/>
  <c r="AJ1049" i="1"/>
  <c r="AK1049" i="1" s="1"/>
  <c r="AJ693" i="1"/>
  <c r="AK693" i="1" s="1"/>
  <c r="AJ662" i="1"/>
  <c r="AK662" i="1" s="1"/>
  <c r="AJ831" i="1"/>
  <c r="AK831" i="1" s="1"/>
  <c r="AJ776" i="1"/>
  <c r="AK776" i="1" s="1"/>
  <c r="AJ555" i="1"/>
  <c r="AK555" i="1" s="1"/>
  <c r="AJ540" i="1"/>
  <c r="AK540" i="1" s="1"/>
  <c r="AJ38" i="1"/>
  <c r="AK38" i="1" s="1"/>
  <c r="AJ904" i="1"/>
  <c r="AK904" i="1" s="1"/>
  <c r="AJ354" i="1"/>
  <c r="AK354" i="1" s="1"/>
  <c r="AJ1129" i="1"/>
  <c r="AK1129" i="1" s="1"/>
  <c r="AJ1269" i="1"/>
  <c r="AK1269" i="1" s="1"/>
  <c r="AJ717" i="1"/>
  <c r="AK717" i="1" s="1"/>
  <c r="AJ806" i="1"/>
  <c r="AK806" i="1" s="1"/>
  <c r="AJ1215" i="1"/>
  <c r="AK1215" i="1" s="1"/>
  <c r="AJ868" i="1"/>
  <c r="AK868" i="1" s="1"/>
  <c r="AJ964" i="1"/>
  <c r="AK964" i="1" s="1"/>
  <c r="AJ965" i="1"/>
  <c r="AK965" i="1" s="1"/>
  <c r="AJ1085" i="1"/>
  <c r="AK1085" i="1" s="1"/>
  <c r="AJ20" i="1"/>
  <c r="AK20" i="1" s="1"/>
  <c r="AJ563" i="1"/>
  <c r="AK563" i="1" s="1"/>
  <c r="AJ1307" i="1"/>
  <c r="AK1307" i="1" s="1"/>
  <c r="AJ134" i="1"/>
  <c r="AK134" i="1" s="1"/>
  <c r="AJ1144" i="1"/>
  <c r="AK1144" i="1" s="1"/>
  <c r="AJ498" i="1"/>
  <c r="AK498" i="1" s="1"/>
  <c r="AJ1237" i="1"/>
  <c r="AK1237" i="1" s="1"/>
  <c r="AJ725" i="1"/>
  <c r="AK725" i="1" s="1"/>
  <c r="AJ57" i="1"/>
  <c r="AK57" i="1" s="1"/>
  <c r="AJ883" i="1"/>
  <c r="AK883" i="1" s="1"/>
  <c r="AJ916" i="1"/>
  <c r="AK916" i="1" s="1"/>
  <c r="AJ44" i="1"/>
  <c r="AK44" i="1" s="1"/>
  <c r="AJ817" i="1"/>
  <c r="AK817" i="1" s="1"/>
  <c r="AJ617" i="1"/>
  <c r="AK617" i="1" s="1"/>
  <c r="AJ1235" i="1"/>
  <c r="AK1235" i="1" s="1"/>
  <c r="AJ211" i="1"/>
  <c r="AK211" i="1" s="1"/>
  <c r="AJ1276" i="1"/>
  <c r="AK1276" i="1" s="1"/>
  <c r="AJ112" i="1"/>
  <c r="AK112" i="1" s="1"/>
  <c r="AJ781" i="1"/>
  <c r="AK781" i="1" s="1"/>
  <c r="AJ270" i="1"/>
  <c r="AK270" i="1" s="1"/>
  <c r="AJ1203" i="1"/>
  <c r="AK1203" i="1" s="1"/>
  <c r="AJ1287" i="1"/>
  <c r="AK1287" i="1" s="1"/>
  <c r="AJ138" i="1"/>
  <c r="AK138" i="1" s="1"/>
  <c r="AJ1164" i="1"/>
  <c r="AK1164" i="1" s="1"/>
  <c r="AJ1312" i="1"/>
  <c r="AK1312" i="1" s="1"/>
  <c r="AJ334" i="1"/>
  <c r="AK334" i="1" s="1"/>
  <c r="AJ84" i="1"/>
  <c r="AK84" i="1" s="1"/>
  <c r="AJ982" i="1"/>
  <c r="AK982" i="1" s="1"/>
  <c r="AJ125" i="1"/>
  <c r="AK125" i="1" s="1"/>
  <c r="AJ283" i="1"/>
  <c r="AK283" i="1" s="1"/>
  <c r="AJ796" i="1"/>
  <c r="AK796" i="1" s="1"/>
  <c r="AJ181" i="1"/>
  <c r="AK181" i="1" s="1"/>
  <c r="AJ837" i="1"/>
  <c r="AK837" i="1" s="1"/>
  <c r="AJ310" i="1"/>
  <c r="AK310" i="1" s="1"/>
  <c r="AJ175" i="1"/>
  <c r="AK175" i="1" s="1"/>
  <c r="AJ390" i="1"/>
  <c r="AK390" i="1" s="1"/>
  <c r="AJ201" i="1"/>
  <c r="AK201" i="1" s="1"/>
  <c r="AJ1054" i="1"/>
  <c r="AK1054" i="1" s="1"/>
  <c r="AJ178" i="1"/>
  <c r="AK178" i="1" s="1"/>
  <c r="AJ919" i="1"/>
  <c r="AK919" i="1" s="1"/>
  <c r="AJ451" i="1"/>
  <c r="AK451" i="1" s="1"/>
  <c r="AJ954" i="1"/>
  <c r="AK954" i="1" s="1"/>
  <c r="AJ311" i="1"/>
  <c r="AK311" i="1" s="1"/>
  <c r="AJ1108" i="1"/>
  <c r="AK1108" i="1" s="1"/>
  <c r="AJ494" i="1"/>
  <c r="AK494" i="1" s="1"/>
  <c r="AJ225" i="1"/>
  <c r="AK225" i="1" s="1"/>
  <c r="AJ1094" i="1"/>
  <c r="AK1094" i="1" s="1"/>
  <c r="AJ1266" i="1"/>
  <c r="AK1266" i="1" s="1"/>
  <c r="AJ400" i="1"/>
  <c r="AK400" i="1" s="1"/>
  <c r="AJ951" i="1"/>
  <c r="AK951" i="1" s="1"/>
  <c r="AJ627" i="1"/>
  <c r="AK627" i="1" s="1"/>
  <c r="AJ993" i="1"/>
  <c r="AK993" i="1" s="1"/>
  <c r="AJ596" i="1"/>
  <c r="AK596" i="1" s="1"/>
  <c r="AJ1122" i="1"/>
  <c r="AK1122" i="1" s="1"/>
  <c r="AJ420" i="1"/>
  <c r="AK420" i="1" s="1"/>
  <c r="AJ570" i="1"/>
  <c r="AK570" i="1" s="1"/>
  <c r="AJ359" i="1"/>
  <c r="AK359" i="1" s="1"/>
  <c r="AJ1150" i="1"/>
  <c r="AK1150" i="1" s="1"/>
  <c r="AJ488" i="1"/>
  <c r="AK488" i="1" s="1"/>
  <c r="AJ967" i="1"/>
  <c r="AK967" i="1" s="1"/>
  <c r="AJ715" i="1"/>
  <c r="AK715" i="1" s="1"/>
  <c r="AJ1009" i="1"/>
  <c r="AK1009" i="1" s="1"/>
  <c r="AJ653" i="1"/>
  <c r="AK653" i="1" s="1"/>
  <c r="AJ1210" i="1"/>
  <c r="AK1210" i="1" s="1"/>
  <c r="AJ428" i="1"/>
  <c r="AK428" i="1" s="1"/>
  <c r="AJ759" i="1"/>
  <c r="AK759" i="1" s="1"/>
  <c r="AJ680" i="1"/>
  <c r="AK680" i="1" s="1"/>
  <c r="AJ447" i="1"/>
  <c r="AK447" i="1" s="1"/>
  <c r="AJ1071" i="1"/>
  <c r="AK107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Lina Giraldo</author>
  </authors>
  <commentList>
    <comment ref="Q15" authorId="0" shapeId="0" xr:uid="{D56F1E52-1433-492A-AA3C-D5E3FFE65241}">
      <text>
        <r>
          <rPr>
            <b/>
            <sz val="9"/>
            <color indexed="81"/>
            <rFont val="Tahoma"/>
            <family val="2"/>
          </rPr>
          <t>Lina Giraldo
CUADERNO DE ACOMPAÑAMIENTO Y CARTILLA DE TRABAJO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Lina Giraldo</author>
  </authors>
  <commentList>
    <comment ref="A27" authorId="0" shapeId="0" xr:uid="{B078DD71-A3DB-42EA-8FBA-413BFF109A0B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1914 A LA 1886</t>
        </r>
      </text>
    </comment>
    <comment ref="N27" authorId="0" shapeId="0" xr:uid="{0B34222D-7E11-4AD3-877A-DDDE8D72CB92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1914 A LA 1886</t>
        </r>
      </text>
    </comment>
    <comment ref="A28" authorId="0" shapeId="0" xr:uid="{E70A5C4E-07B0-41BC-8E74-A5EA09DD5959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2021 A LA 1886
</t>
        </r>
      </text>
    </comment>
    <comment ref="N28" authorId="0" shapeId="0" xr:uid="{2518A1EC-F877-4575-B82A-9EFB3F0925DD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2021 A LA 1886
</t>
        </r>
      </text>
    </comment>
    <comment ref="A29" authorId="0" shapeId="0" xr:uid="{1E05D431-1663-4EAD-BAA1-7E4569DE730C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2021 A LA 1886
</t>
        </r>
      </text>
    </comment>
    <comment ref="N29" authorId="0" shapeId="0" xr:uid="{8648C3CB-424C-47B4-9AA8-D2EAA3A3E3FE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2021 A LA 1886
</t>
        </r>
      </text>
    </comment>
    <comment ref="A30" authorId="0" shapeId="0" xr:uid="{67E29FD2-B6D4-41B5-B00F-3547AB9E35AC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2021 A LA 1886
</t>
        </r>
      </text>
    </comment>
    <comment ref="N30" authorId="0" shapeId="0" xr:uid="{B5496BFB-3FC1-4229-B70E-62B89182F2B5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2021 A LA 1886
</t>
        </r>
      </text>
    </comment>
    <comment ref="A31" authorId="0" shapeId="0" xr:uid="{E58B2908-E551-461E-B44E-30BDFDC2F82E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1914 a la 1886</t>
        </r>
      </text>
    </comment>
    <comment ref="N31" authorId="0" shapeId="0" xr:uid="{AC0D9E09-34EE-460A-8C73-69BCDDF793F8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1914 a la 1886</t>
        </r>
      </text>
    </comment>
    <comment ref="A32" authorId="0" shapeId="0" xr:uid="{747B69AC-B3CD-4F79-BBB0-8A13717E65FF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1914 a la 1886</t>
        </r>
      </text>
    </comment>
    <comment ref="N32" authorId="0" shapeId="0" xr:uid="{C7685163-D6F4-4376-B8EE-0C2CAF145452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1914 a la 1886</t>
        </r>
      </text>
    </comment>
    <comment ref="A210" authorId="0" shapeId="0" xr:uid="{08E487D9-74BB-4BB9-8F9A-E32A33EC0574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2021 A LA 2586</t>
        </r>
      </text>
    </comment>
    <comment ref="N210" authorId="0" shapeId="0" xr:uid="{E5651117-0277-4151-829E-3588D1196C04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2021 A LA 2586</t>
        </r>
      </text>
    </comment>
    <comment ref="A211" authorId="0" shapeId="0" xr:uid="{4959E5D8-D5E2-4F5A-A8FD-89B32080603A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2021 A LA 2586</t>
        </r>
      </text>
    </comment>
    <comment ref="N211" authorId="0" shapeId="0" xr:uid="{B382C864-FC6D-465D-9D3F-67B7217E4639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2021 A LA 2586</t>
        </r>
      </text>
    </comment>
    <comment ref="A212" authorId="0" shapeId="0" xr:uid="{9FEEFB2D-2033-4848-ABF4-8BE8E280114B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2021 A LA 2586</t>
        </r>
      </text>
    </comment>
    <comment ref="N212" authorId="0" shapeId="0" xr:uid="{E1CD7687-ACDA-4F72-A2BB-1D804683F0A5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2021 A LA 2586</t>
        </r>
      </text>
    </comment>
    <comment ref="A242" authorId="0" shapeId="0" xr:uid="{E2B7F92F-59EC-49BF-91BE-1B765D6B8BF1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1947 A LA 1935-1</t>
        </r>
      </text>
    </comment>
    <comment ref="N242" authorId="0" shapeId="0" xr:uid="{B1A8174D-0297-4A9F-86F2-8D31FA5482AF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1947 A LA 1935-1</t>
        </r>
      </text>
    </comment>
    <comment ref="A243" authorId="0" shapeId="0" xr:uid="{1F021FD2-8195-47D5-A10B-44476E5AE02E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1947 A LA 1935-1</t>
        </r>
      </text>
    </comment>
    <comment ref="N243" authorId="0" shapeId="0" xr:uid="{C6E4A628-6733-4B6A-8177-FDF375B594C6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1947 A LA 1935-1</t>
        </r>
      </text>
    </comment>
    <comment ref="A244" authorId="0" shapeId="0" xr:uid="{BC89AD5E-AF01-4674-A116-ECC9E3425A60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1947 A LA 1935-1</t>
        </r>
      </text>
    </comment>
    <comment ref="N244" authorId="0" shapeId="0" xr:uid="{5C9C2E18-DCF7-44FB-A9C6-FF32342A20B4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1947 A LA 1935-1</t>
        </r>
      </text>
    </comment>
    <comment ref="A245" authorId="0" shapeId="0" xr:uid="{7E0731C3-5AC7-4852-811E-AD6D8B510382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 1973 A LA 2586-2 Y DE LA 2586-2 A LA 1936-1
</t>
        </r>
      </text>
    </comment>
    <comment ref="N245" authorId="0" shapeId="0" xr:uid="{C39937C9-AC23-41FB-BB3C-57AEC55C49C3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 1973 A LA 2586-2 Y DE LA 2586-2 A LA 1936-1
</t>
        </r>
      </text>
    </comment>
    <comment ref="A246" authorId="0" shapeId="0" xr:uid="{F4AA979B-5BE0-4454-932B-CC3A164EDB91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 1974 A LA 2586-2 Y DE LA 2586-2 A LA 1936-1
</t>
        </r>
      </text>
    </comment>
    <comment ref="N246" authorId="0" shapeId="0" xr:uid="{14777A1D-B395-4246-94B9-D9CF20192479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PASA DE LA  1974 A LA 2586-2 Y DE LA 2586-2 A LA 1936-1
</t>
        </r>
      </text>
    </comment>
  </commentList>
</comments>
</file>

<file path=xl/sharedStrings.xml><?xml version="1.0" encoding="utf-8"?>
<sst xmlns="http://schemas.openxmlformats.org/spreadsheetml/2006/main" count="27653" uniqueCount="4365">
  <si>
    <t>SERVICIO</t>
  </si>
  <si>
    <t>FORMA DE CONTRATACIÓN</t>
  </si>
  <si>
    <t>COSTO MES ATENCIÓN 2025</t>
  </si>
  <si>
    <t>TIEMPO ATENCION 2025</t>
  </si>
  <si>
    <t>FASE PREPARATORIA ALISTAMIENTO 2025</t>
  </si>
  <si>
    <t>FASE PREPARATORIA DE CIERRE 2025</t>
  </si>
  <si>
    <t>JORNADAS PEDAGOGICAS</t>
  </si>
  <si>
    <t>DOTACIÓN ÚNICA</t>
  </si>
  <si>
    <t>COSTOS 2025</t>
  </si>
  <si>
    <t>ALIMENTACION</t>
  </si>
  <si>
    <t>FECHA DE EJECUCIÓN</t>
  </si>
  <si>
    <t>OBSERVACION</t>
  </si>
  <si>
    <t>CANASTA</t>
  </si>
  <si>
    <t>CENTRO DE DESARROLLO INFANTIL A SIN RACION - INSTITUCIONAL</t>
  </si>
  <si>
    <t>CENTRO DE DESARROLLO INFANTIL A - INSTITUCIONAL</t>
  </si>
  <si>
    <t>CENTRO DE DESARROLLO INFANTIL CON ARRIENDO - INSTITUCIONAL</t>
  </si>
  <si>
    <t>EDUCACIÓN INICIAL PROPIA DIARIA - PROPIA E INTERCULTURAL</t>
  </si>
  <si>
    <t>EDUCACIÓN INICIAL PROPIA DIARIA SIN RACION - PROPIA E INTERCULTURAL</t>
  </si>
  <si>
    <t>EDUCACIÓN INICIAL CAMPESINA A SIN RACION - PROPIA E INTERCULTURAL</t>
  </si>
  <si>
    <t>EDUCACIÓN INICIAL CAMPESINA B SIN RACION - PROPIA E INTERCULTURAL</t>
  </si>
  <si>
    <t>EDUCACIÓN INICIAL EN EL HOGAR A - FAMILIAR Y COMUNITARIA</t>
  </si>
  <si>
    <t>EDUCACIÓN INICIAL EN EL HOGAR A SIN RACION - FAMILIAR Y COMUNITARIA</t>
  </si>
  <si>
    <t>HOGAR INFANTIL - INSTITUCIONAL</t>
  </si>
  <si>
    <t>HOGAR INFANTIL SIN RACION - INSTITUCIONAL</t>
  </si>
  <si>
    <t>JARDINES INTERCULTURALES DE EDUCACION INICIAL SIN RACION  - PROPIA E INTERCULTURAL</t>
  </si>
  <si>
    <t>ZONA DEFINITIVO</t>
  </si>
  <si>
    <t>N° CONTRATO</t>
  </si>
  <si>
    <t>LOTE PROCESO 2025(ETAPA DEFINITIVOS)</t>
  </si>
  <si>
    <t>CENTRO ZONAL</t>
  </si>
  <si>
    <t>MUNICIPIO</t>
  </si>
  <si>
    <t>SERVICIO 2025</t>
  </si>
  <si>
    <t>OBJETO</t>
  </si>
  <si>
    <t>DIRECCION UDS</t>
  </si>
  <si>
    <t>CÓDIGO UDS</t>
  </si>
  <si>
    <t>UNIDAD DE SERVICIO (UDS)</t>
  </si>
  <si>
    <t>UDS</t>
  </si>
  <si>
    <t>TOTAL COBERTURA</t>
  </si>
  <si>
    <t>DESPLAZADOS</t>
  </si>
  <si>
    <t>CONSECUTIVO MATRIZ</t>
  </si>
  <si>
    <t>FORMA DE CONTRATACION</t>
  </si>
  <si>
    <t>SECOP NUMERO DE ZONA</t>
  </si>
  <si>
    <t>DE QUIEN ES LA INFRAESTRUCTURA</t>
  </si>
  <si>
    <t>RUBRO</t>
  </si>
  <si>
    <t>RECURSO</t>
  </si>
  <si>
    <t>NIT</t>
  </si>
  <si>
    <t>NOMBRE EAS</t>
  </si>
  <si>
    <t>SITCO</t>
  </si>
  <si>
    <t>PACCO</t>
  </si>
  <si>
    <t>CDP</t>
  </si>
  <si>
    <t>Suma UDS X Invitación (Auto)</t>
  </si>
  <si>
    <t>Cupos x Invitacion (Auto)</t>
  </si>
  <si>
    <t>OBSERVACIÓN</t>
  </si>
  <si>
    <t>VALOR ATENCIÓN (8 MESES)</t>
  </si>
  <si>
    <t>% CONTRAPARTIDA</t>
  </si>
  <si>
    <t>VALOR CONTRAPARTIDA</t>
  </si>
  <si>
    <t>TASAS COMPENSATORIAS</t>
  </si>
  <si>
    <t>AGRUPACIONES</t>
  </si>
  <si>
    <t>TOTAL APORTES ICBF</t>
  </si>
  <si>
    <t>TOTAL CONTRATO (ICBF+EAS)</t>
  </si>
  <si>
    <t>TOTAL APORTES ICBF AGRUPADO</t>
  </si>
  <si>
    <t>TOTAL CONTRAPARTIDA AGRUPADO</t>
  </si>
  <si>
    <t>VALOR TOTAL CONTRATO AGRUPADO</t>
  </si>
  <si>
    <t>SMMLV</t>
  </si>
  <si>
    <t>VALOR FASE PREPARATORIA DE ALISTAMIENTO</t>
  </si>
  <si>
    <t>VALOR FASE PREPARATORIA DE CIERRE</t>
  </si>
  <si>
    <t>VALOR ATENCIÓN</t>
  </si>
  <si>
    <t>VALOR RACION PREPARADA</t>
  </si>
  <si>
    <t>VALOR TOTAL</t>
  </si>
  <si>
    <t>TOTAL AGRUPADO</t>
  </si>
  <si>
    <t>DESEMBOLSO 1</t>
  </si>
  <si>
    <t>DESEMBOLSO 2</t>
  </si>
  <si>
    <t>DESEMBOLSO 3</t>
  </si>
  <si>
    <t>DESEMBOLSO 4</t>
  </si>
  <si>
    <t>DESEMBOLSO 5</t>
  </si>
  <si>
    <t>DESEMBOLSO 6</t>
  </si>
  <si>
    <t>DESEMBOLSO 7</t>
  </si>
  <si>
    <t>DESEMBOLSO 8</t>
  </si>
  <si>
    <t>TOTAL DESEMBOLSOS</t>
  </si>
  <si>
    <t>VALOR COMPONENTE ALIMENTACION NO ASIGNADO</t>
  </si>
  <si>
    <t>UDS CON COMPONENTE DE ALIMENTACION EJECUTADO POR EL ICBF</t>
  </si>
  <si>
    <t>VALIDADOR</t>
  </si>
  <si>
    <t>DIFERENCIA</t>
  </si>
  <si>
    <t>VALIDADOR DESEMBOLSOS</t>
  </si>
  <si>
    <t>DIFERENCIA DESEMBOLSOS</t>
  </si>
  <si>
    <t>RADICADO</t>
  </si>
  <si>
    <t>CRUCE MATRIZ</t>
  </si>
  <si>
    <t>05005422025</t>
  </si>
  <si>
    <t>LOTE 2</t>
  </si>
  <si>
    <t>CZ ABURRA NORTE</t>
  </si>
  <si>
    <t xml:space="preserve">COPACABANA </t>
  </si>
  <si>
    <t>PRESTAR LOS SERVICIOS DE EDUCACIÓN INICIAL EN EL MARCO DE LA ATENCIÓN INTEGRAL A LA PRIMERA INFANCIA DE CONFORMIDAD CON LOS MANUALES TÉCNICOS, GUÍAS OPERATIVAS PARA LA ATENCIÓN A LA
PRIMERA  INFANCIA  Y  LOS  LINEAMIENTOS  ESTABLECIDOS  POR  EL  ICBF,  EN ARMONÍA CON LA POLÍTICA DE ESTADO PARA EL DESARROLLO INTEGRAL DE LA PRIMERA INFANCIA DE “CERO A SIEMPRE</t>
  </si>
  <si>
    <t>VEREDA CABUYAL</t>
  </si>
  <si>
    <t>C COMUNAL CABUYAL</t>
  </si>
  <si>
    <t>ARTÍCULO 34 CONTRATACIÓN CON EL REGISTRO ÚNICO DE OFERENTES</t>
  </si>
  <si>
    <t>C-4602-1500-9-704020-4602020-02-161</t>
  </si>
  <si>
    <t>900194362</t>
  </si>
  <si>
    <t xml:space="preserve">CORPORACION ARCA </t>
  </si>
  <si>
    <t>CONTRATACIÓN ALIMENTOS - DPI</t>
  </si>
  <si>
    <t>RADICADAS</t>
  </si>
  <si>
    <t>VEREDA ALVARADO</t>
  </si>
  <si>
    <t>CER VEREDA ALVARADO</t>
  </si>
  <si>
    <t>ESCUELA RURAL QUEBRADA ARRIBA</t>
  </si>
  <si>
    <t>CER QUEBRADA ARRIBA</t>
  </si>
  <si>
    <t>ESCUELA RURAL CARLOS MESA</t>
  </si>
  <si>
    <t>CER CARLOS MESA AGUADA</t>
  </si>
  <si>
    <t>CASETA COMUNAL ZARZAL CURAZAO</t>
  </si>
  <si>
    <t>C COMUNAL ZARZAL CURAZAO</t>
  </si>
  <si>
    <t>CASETA COMUNAL LA MARIA</t>
  </si>
  <si>
    <t>C COMUNAL LA MARIA_COPACABANA</t>
  </si>
  <si>
    <t>ESCUELA RURAL JOAQUIN JIMENEZ EL LLANO</t>
  </si>
  <si>
    <t>CER JOAQUIN JIMENEZ EL LLANO</t>
  </si>
  <si>
    <t>VEREDA EL NORAL</t>
  </si>
  <si>
    <t>TIENDA LA SUBIDITA EL NORAL</t>
  </si>
  <si>
    <t>CL 49 N 26 130</t>
  </si>
  <si>
    <t>JAC CASA AMBIENTAL COMUNITARIA Y SOCIAL</t>
  </si>
  <si>
    <t>KR 57 47 26 HORIZONTES</t>
  </si>
  <si>
    <t>JAC HORIZONTES</t>
  </si>
  <si>
    <t>A MANO DERECHA DE LA CHOZCA</t>
  </si>
  <si>
    <t>JAC ZARZAL LA LUZ</t>
  </si>
  <si>
    <t>VEREDA LA VETA</t>
  </si>
  <si>
    <t>CAPILLA LA VETA</t>
  </si>
  <si>
    <t>VEREDA EL SALADO</t>
  </si>
  <si>
    <t>LAZOS DE AMOR</t>
  </si>
  <si>
    <t>VEREDA LA CRUZ</t>
  </si>
  <si>
    <t xml:space="preserve">MUNDO MAGICO </t>
  </si>
  <si>
    <t>KR 50 A 47 A 33  ESCUELA CAMILO TORRES</t>
  </si>
  <si>
    <t>521200024120</t>
  </si>
  <si>
    <t>SUEÑOS DE COPACABANA</t>
  </si>
  <si>
    <t>CL 57 A 59 10 VILLA NUEVA</t>
  </si>
  <si>
    <t>521200024136</t>
  </si>
  <si>
    <t>SOÑADORES</t>
  </si>
  <si>
    <t>CRA 87 39 10 BARRIO MACHADO</t>
  </si>
  <si>
    <t>521200024156</t>
  </si>
  <si>
    <t>CAMPANITAS</t>
  </si>
  <si>
    <t>PEÑOLCITO</t>
  </si>
  <si>
    <t>521200084963</t>
  </si>
  <si>
    <t>CER PEÑOLCITO</t>
  </si>
  <si>
    <t>05005732025</t>
  </si>
  <si>
    <t>CZ INTEGRAL NOROCCIDENTAL</t>
  </si>
  <si>
    <t>MEDELLIN</t>
  </si>
  <si>
    <t>KR 63 C 96 A 362</t>
  </si>
  <si>
    <t>500100020315</t>
  </si>
  <si>
    <t>TRICENTENARIO</t>
  </si>
  <si>
    <t>900155293</t>
  </si>
  <si>
    <t>CORPORACIÓN COMUNIQUÉMONOS</t>
  </si>
  <si>
    <t>CONTRATO COSTEADO CON ALIMENTACION</t>
  </si>
  <si>
    <t>KR 78 103 07</t>
  </si>
  <si>
    <t>500100067267</t>
  </si>
  <si>
    <t>DOCE DE OCTUBRE</t>
  </si>
  <si>
    <t>CL 77 C 88 21 VILLA DE LA CANDELARIA</t>
  </si>
  <si>
    <t>500100075073</t>
  </si>
  <si>
    <t>HOGAR INFANTIL VILLA DE LA CANDELARIA</t>
  </si>
  <si>
    <t>CL 105 A 71 A 83</t>
  </si>
  <si>
    <t>500100080101</t>
  </si>
  <si>
    <t>HOGAR INFANTIL JUAN MATACHIN</t>
  </si>
  <si>
    <t>KR 83 AA 94 A 5</t>
  </si>
  <si>
    <t>500100080502</t>
  </si>
  <si>
    <t>HOGAR INFANTIL GIRASOLES</t>
  </si>
  <si>
    <t>CL 94 AA 82 A 45</t>
  </si>
  <si>
    <t>500100082829</t>
  </si>
  <si>
    <t xml:space="preserve">HOGAR INFANTIL PAN PRINCIPIANTES </t>
  </si>
  <si>
    <t>05005432025</t>
  </si>
  <si>
    <t>CZ INTEGRAL NORORIENTAL</t>
  </si>
  <si>
    <t>CL 78 48 A 38</t>
  </si>
  <si>
    <t>500100018291</t>
  </si>
  <si>
    <t>SOLINA GALLEGO</t>
  </si>
  <si>
    <t>900325081</t>
  </si>
  <si>
    <t>CORPORACIÓN COLOMBIA AVANZA</t>
  </si>
  <si>
    <t>KR 43 85 152</t>
  </si>
  <si>
    <t>500100019984</t>
  </si>
  <si>
    <t>MAMBRU</t>
  </si>
  <si>
    <t>KR 58 85 B 35</t>
  </si>
  <si>
    <t>500100048906</t>
  </si>
  <si>
    <t>BALANCINES</t>
  </si>
  <si>
    <t>KR 42 B BIS B 120 32</t>
  </si>
  <si>
    <t>500100048923</t>
  </si>
  <si>
    <t>HI BURBUJAS</t>
  </si>
  <si>
    <t>CL 120 48 88</t>
  </si>
  <si>
    <t>500100048948</t>
  </si>
  <si>
    <t xml:space="preserve">HI CRI CRI </t>
  </si>
  <si>
    <t>KR 39 A 104 30</t>
  </si>
  <si>
    <t>500100048957</t>
  </si>
  <si>
    <t>HI TRAVESURAS</t>
  </si>
  <si>
    <t>KR 43 118 B 79</t>
  </si>
  <si>
    <t>500100048993</t>
  </si>
  <si>
    <t>HOGAR INFANTIL EL BARQUITO</t>
  </si>
  <si>
    <t>KR 30 111 68</t>
  </si>
  <si>
    <t>500100050435</t>
  </si>
  <si>
    <t>HOGAR INFANTIL CHISPITAS</t>
  </si>
  <si>
    <t>CL 63 A 46 33</t>
  </si>
  <si>
    <t>500100050840</t>
  </si>
  <si>
    <t>HOGAR INFANTIL CAMILO TORRES</t>
  </si>
  <si>
    <t>KR 48 104 A 05</t>
  </si>
  <si>
    <t>500100050852</t>
  </si>
  <si>
    <t>HOGAR INFANTIL RATONCITO TIN TIN</t>
  </si>
  <si>
    <t>KR 40 70 86</t>
  </si>
  <si>
    <t>500100051433</t>
  </si>
  <si>
    <t>HOGAR INFANTIL MICHINGOS</t>
  </si>
  <si>
    <t>CL 102 B 32 A 42</t>
  </si>
  <si>
    <t>500100051464</t>
  </si>
  <si>
    <t>HOGAR INFANTIL CARAMELO</t>
  </si>
  <si>
    <t>CL 75 D 30 38</t>
  </si>
  <si>
    <t>500100051494</t>
  </si>
  <si>
    <t>HOGAR INFANTIL RAIZAL</t>
  </si>
  <si>
    <t>05005442025</t>
  </si>
  <si>
    <t>CZ SUROESTE</t>
  </si>
  <si>
    <t>CIUDAD BOLIVAR</t>
  </si>
  <si>
    <t>VEREDA EL ABEJERO</t>
  </si>
  <si>
    <t>COLEGIO EL ABEJERO</t>
  </si>
  <si>
    <t>900216955</t>
  </si>
  <si>
    <t>CORPORACIÓN SUEÑOS DE FAMILIA INTEGRAL</t>
  </si>
  <si>
    <t>CONTRATO ADICIONAL POR ALIMENTACION</t>
  </si>
  <si>
    <t>VEREDA ALTO DE LOS JARAMILLOS</t>
  </si>
  <si>
    <t>COLEGIO ALTO DE JARAMILLOS</t>
  </si>
  <si>
    <t>CORREGIMIENTO ALFONSO LOPEZ</t>
  </si>
  <si>
    <t>C COMUNAL ALFONSO LOPEZ</t>
  </si>
  <si>
    <t>BOLIVAR ARRIBA LOS MEDIOS</t>
  </si>
  <si>
    <t>COLEGIO LOS MEDIOS</t>
  </si>
  <si>
    <t>CL 49 42 23 LA FLORESTA</t>
  </si>
  <si>
    <t>SEDE DIMF LA FLORESTA</t>
  </si>
  <si>
    <t>LA LINDA</t>
  </si>
  <si>
    <t>C COMUNAL LA LINDA_CIUDAD BOLIVAR</t>
  </si>
  <si>
    <t>BOLIVAR ARRIBA EL CABRERO</t>
  </si>
  <si>
    <t>COLEGIO EL CABRERO</t>
  </si>
  <si>
    <t>EL MANZANILLO</t>
  </si>
  <si>
    <t>COLEGIO EL MANZANILLO</t>
  </si>
  <si>
    <t>CORREGIMIENTO SAN BERNARDO DE LOS FARALLONES</t>
  </si>
  <si>
    <t>COLEGIO IER FARALLONES</t>
  </si>
  <si>
    <t>CL 49 36 298 LA CARMINA</t>
  </si>
  <si>
    <t>SEDE DIMF HOSPITAL LA CARMINA</t>
  </si>
  <si>
    <t>VEREDA PUNTA BRAVA</t>
  </si>
  <si>
    <t>CAPILLA PUNTA BRAVA</t>
  </si>
  <si>
    <t>VEREDA VENTORRILLO</t>
  </si>
  <si>
    <t>CAPILLA VENTORRILLO</t>
  </si>
  <si>
    <t>VEREDA LA ANGOSTURA</t>
  </si>
  <si>
    <t>C COMUNAL LA ANGOSTURA</t>
  </si>
  <si>
    <t>VEREDA BUENA VISTA</t>
  </si>
  <si>
    <t>COLEGIO BUENA VISTA</t>
  </si>
  <si>
    <t>VEREDA EL CHINCHERO</t>
  </si>
  <si>
    <t>COLEGIO EL CHINCHERO</t>
  </si>
  <si>
    <t>VEREDA EL RETIRO</t>
  </si>
  <si>
    <t>C COMUNAL EL RETIRO</t>
  </si>
  <si>
    <t>VEREDA SAMARIA</t>
  </si>
  <si>
    <t>COLEGIO SAMARIA</t>
  </si>
  <si>
    <t>VEREDA SANTA ROSA</t>
  </si>
  <si>
    <t>COLEGIO SANTA ROSA</t>
  </si>
  <si>
    <t>VEREDA SUCIA LA MARIA</t>
  </si>
  <si>
    <t>COLEGIO SUCIA LA MARIA</t>
  </si>
  <si>
    <t>RESGUARDO INDIGENA HERMENEGILDO CHAKIAMA</t>
  </si>
  <si>
    <t>LOCAL RESGUARDO INDIGENA</t>
  </si>
  <si>
    <t>VEREDA LAS MERCEDES BOLÍVAR ARRIBA</t>
  </si>
  <si>
    <t>C COMUNAL LAS MERCEDES</t>
  </si>
  <si>
    <t>VEREDA LOS MONOS</t>
  </si>
  <si>
    <t>COLEGIO LAZARO URIBE</t>
  </si>
  <si>
    <t>CL 50 59 116 BLOQ 3 APT 121</t>
  </si>
  <si>
    <t>CENTRO DE DESARROLLO INFANTIL CIUDAD BOLIVAR</t>
  </si>
  <si>
    <t>VEREDA LA ARBOLEDA</t>
  </si>
  <si>
    <t>C COMUNAL LA ARBOLEDA</t>
  </si>
  <si>
    <t>LA CEJA</t>
  </si>
  <si>
    <t>VEREDA SAN NICOLAS</t>
  </si>
  <si>
    <t>PEQUEÑOS GIGANTES</t>
  </si>
  <si>
    <t>VEREDA SAN JOSE</t>
  </si>
  <si>
    <t>DEJANDO HUELLAS</t>
  </si>
  <si>
    <t>VEREDA GUAMITO</t>
  </si>
  <si>
    <t>CRECIENDO CON AMOR</t>
  </si>
  <si>
    <t>05005962025</t>
  </si>
  <si>
    <t>CZ PENDERISCO</t>
  </si>
  <si>
    <t>BETULIA</t>
  </si>
  <si>
    <t>EL YERBAL</t>
  </si>
  <si>
    <t>C COMUNAL EL YERBAL</t>
  </si>
  <si>
    <t>900911470</t>
  </si>
  <si>
    <t>CORPORACIÓN PARA EL DESARROLLO INTEGRAL MANOS LIBRES</t>
  </si>
  <si>
    <t>EL TOSTADO</t>
  </si>
  <si>
    <t>CER EL TOSTADO</t>
  </si>
  <si>
    <t>LA MINA</t>
  </si>
  <si>
    <t>CER LA MINA</t>
  </si>
  <si>
    <t>LA VARGAS</t>
  </si>
  <si>
    <t>CER LA VARGAS</t>
  </si>
  <si>
    <t>EL LEON</t>
  </si>
  <si>
    <t>C COMUNAL EL LEON</t>
  </si>
  <si>
    <t>LA GUAMALA</t>
  </si>
  <si>
    <t>C COMUNAL LA GUAMALA</t>
  </si>
  <si>
    <t>LA QUIEBRA</t>
  </si>
  <si>
    <t>CER LA QUIEBRA_BETULIA</t>
  </si>
  <si>
    <t>VEREDA CEIBALA</t>
  </si>
  <si>
    <t>CASETA COMUNAL CEIBALA</t>
  </si>
  <si>
    <t>CLARO VERDE</t>
  </si>
  <si>
    <t>C COMUNAL CLARO VERDE</t>
  </si>
  <si>
    <t>GUAMALITA</t>
  </si>
  <si>
    <t>CER GUAMALITA</t>
  </si>
  <si>
    <t>VEREDA SAN ANTONIO</t>
  </si>
  <si>
    <t>CASETA COMUNAL SAN ANTONIO</t>
  </si>
  <si>
    <t>LOS ANIMES</t>
  </si>
  <si>
    <t>CER LOS ANIMES</t>
  </si>
  <si>
    <t>PIÑONAL</t>
  </si>
  <si>
    <t>C COMUNAL PIÑONAL</t>
  </si>
  <si>
    <t>QUEBRADA ARRIBA</t>
  </si>
  <si>
    <t>C COMUNAL QUEBRADA ARRIBA_BETULIA</t>
  </si>
  <si>
    <t>LA URRAEÑA</t>
  </si>
  <si>
    <t>C COMUNAL LA URRAEÑA</t>
  </si>
  <si>
    <t>LA CIBELES</t>
  </si>
  <si>
    <t>IE SAN JOSE SEDE LA CIBELES</t>
  </si>
  <si>
    <t>PUEBLO DURO</t>
  </si>
  <si>
    <t>IE SAN JOSE PUEBLO DURO</t>
  </si>
  <si>
    <t>EL INDIO</t>
  </si>
  <si>
    <t>SALON DEL SAT EL INDIO</t>
  </si>
  <si>
    <t>LA FLORIDA</t>
  </si>
  <si>
    <t>C COMUNAL LA FLORIDA</t>
  </si>
  <si>
    <t>VEREDA  SALADITOS</t>
  </si>
  <si>
    <t>I.E. SAN JOSE CER EL GUAMAL_SALADITOS</t>
  </si>
  <si>
    <t>LA MANGUITA</t>
  </si>
  <si>
    <t>CER LA MANGUITA BETULIA</t>
  </si>
  <si>
    <t>LAS ANIMAS</t>
  </si>
  <si>
    <t>CER LAS ANIMAS BETULIA</t>
  </si>
  <si>
    <t>ALTAMIRA</t>
  </si>
  <si>
    <t>IE FRANCISCO CESAR</t>
  </si>
  <si>
    <t>CER SAN MATEO</t>
  </si>
  <si>
    <t>CER LA TARQUI</t>
  </si>
  <si>
    <t>GUAMAL_SALADITOS</t>
  </si>
  <si>
    <t>I.E. SAN JOSE CER EL GUAMAL SALADITOS</t>
  </si>
  <si>
    <t>VEREDA AGUACATAL</t>
  </si>
  <si>
    <t>AGUACATAL CASA FAMILIA  BEDOYA VARGAS</t>
  </si>
  <si>
    <t>VEREDA EL CUCHUCO</t>
  </si>
  <si>
    <t>CASETA COMUNAL EL CUCHUCO</t>
  </si>
  <si>
    <t>05005932025</t>
  </si>
  <si>
    <t xml:space="preserve">JERICO </t>
  </si>
  <si>
    <t>VEREDA  ESTRELLA VIEJA</t>
  </si>
  <si>
    <t>CER ESTRELLA VIEJA</t>
  </si>
  <si>
    <t>800178314</t>
  </si>
  <si>
    <t>JUNTA DE ACCION COMUNAL BARRIO VILLA DE GUADALUPE PARTE BAJA</t>
  </si>
  <si>
    <t>VEREDA ESTRELLA NUEVA</t>
  </si>
  <si>
    <t>CER ESTRELLA NUEVA</t>
  </si>
  <si>
    <t>KR 5 9 57</t>
  </si>
  <si>
    <t>SEDE DIMF HOSPITALCR5</t>
  </si>
  <si>
    <t>VEREDA LA SOLEDAD</t>
  </si>
  <si>
    <t>CER LA SOLEDAD_JERICO</t>
  </si>
  <si>
    <t>VEREDA  PALENQUE</t>
  </si>
  <si>
    <t>CER PALENQUE</t>
  </si>
  <si>
    <t>VEREDA CASTALIA</t>
  </si>
  <si>
    <t>CER CASTALIA</t>
  </si>
  <si>
    <t>VEREDA  PALO CABILDO</t>
  </si>
  <si>
    <t>C COMUNAL PALO CABILDO</t>
  </si>
  <si>
    <t>VEREDA LAS PLAYAS</t>
  </si>
  <si>
    <t>SEDE LAS PLAYAS</t>
  </si>
  <si>
    <t>VEREDA LA QUEBRADONA</t>
  </si>
  <si>
    <t>CER QUEBRADONA</t>
  </si>
  <si>
    <t>VEREDA LOS PATIOS</t>
  </si>
  <si>
    <t>JAC LOS PATIOS</t>
  </si>
  <si>
    <t>CARRERA 5 PARQUE LOS FUNDADORES AL FRENTE DEL HOSPITAL</t>
  </si>
  <si>
    <t>CENTRO DE DESARROLLO INFANTIL JERICO</t>
  </si>
  <si>
    <t>CER LOS PATIOS</t>
  </si>
  <si>
    <t>KR 2 4 10</t>
  </si>
  <si>
    <t>RONDIN</t>
  </si>
  <si>
    <t>05005972025</t>
  </si>
  <si>
    <t>PUEBLORRICO</t>
  </si>
  <si>
    <t>RESGUARDO INDIGENA BERNARDINO PANCHI</t>
  </si>
  <si>
    <t>SALON SOCIAL VERNARDINO PANCHI</t>
  </si>
  <si>
    <t>900389073</t>
  </si>
  <si>
    <t>FUNDACION OXIGENO</t>
  </si>
  <si>
    <t>VEREDA CALIFORNIA</t>
  </si>
  <si>
    <t>CER CALIFORNIA_PUEBLORRICO</t>
  </si>
  <si>
    <t>VEREDA CORINTO</t>
  </si>
  <si>
    <t>ESCUELA RURAL CORINTO</t>
  </si>
  <si>
    <t>VEREDA SINAI</t>
  </si>
  <si>
    <t>IE SINAI</t>
  </si>
  <si>
    <t>VEREDA LOURDES</t>
  </si>
  <si>
    <t>CER LOURDES</t>
  </si>
  <si>
    <t>CL 29 32 01</t>
  </si>
  <si>
    <t>SEDE URBANA CENTRO VIDA U</t>
  </si>
  <si>
    <t>MORRON</t>
  </si>
  <si>
    <t>CER MORRON</t>
  </si>
  <si>
    <t>VEREDA BARCINO</t>
  </si>
  <si>
    <t>SALON SOCIAL EL BARCINO</t>
  </si>
  <si>
    <t>CL 30 25 77 SECTOR LA PRADERA</t>
  </si>
  <si>
    <t>CENTRO DE DESARROLLO INFANTIL PUEBLORRICO</t>
  </si>
  <si>
    <t>05005452025</t>
  </si>
  <si>
    <t>URRAO</t>
  </si>
  <si>
    <t>KR 31 27 17</t>
  </si>
  <si>
    <t>HOGAR INFANTIL PILATUNAS</t>
  </si>
  <si>
    <t>811014792</t>
  </si>
  <si>
    <t>JUNTA DE ACCION COMUNAL BARRIO SANTA CECILIA N 2</t>
  </si>
  <si>
    <t>KR 32 28 N 23  LA RONDA</t>
  </si>
  <si>
    <t>LOS EXPLORADORES</t>
  </si>
  <si>
    <t>KR 31 N 22 84  PLAZUELA</t>
  </si>
  <si>
    <t>LOS CREADORES</t>
  </si>
  <si>
    <t>CL 40 22 181 JAIPERA</t>
  </si>
  <si>
    <t>IMAGINADORES</t>
  </si>
  <si>
    <t>05006442025</t>
  </si>
  <si>
    <t>OROBUGO MEDIO</t>
  </si>
  <si>
    <t>C COMUNAL OROBUGO MEDIO</t>
  </si>
  <si>
    <t>900140632</t>
  </si>
  <si>
    <t>ASOCIACION UNIDOS POR LA INFANCIA-ASUINFANCIA</t>
  </si>
  <si>
    <t>RADICADAS TATI</t>
  </si>
  <si>
    <t>LA CARTAGENA</t>
  </si>
  <si>
    <t>C COMUNAL LA CARTAGENA 1</t>
  </si>
  <si>
    <t>LA HONDA</t>
  </si>
  <si>
    <t>C COMUNAL LA HONDA_URRAO</t>
  </si>
  <si>
    <t>LA LOMA</t>
  </si>
  <si>
    <t>C COMUNAL LA LOMA_URRAO</t>
  </si>
  <si>
    <t>SAN MATIAS</t>
  </si>
  <si>
    <t>C COMUNAL SAN MATIAS 1</t>
  </si>
  <si>
    <t>VIA MUNICIPIO BETULIA</t>
  </si>
  <si>
    <t>SAN CARLOS CASA DE ELENITA</t>
  </si>
  <si>
    <t>VIA EL CORREGIMIENTO LA ENCARNACIÓN</t>
  </si>
  <si>
    <t>LOS BARRANCOS CASA DEL SEÑOR ANDRES HERRERA</t>
  </si>
  <si>
    <t>PAVÓN</t>
  </si>
  <si>
    <t>C COMUNAL PAVÓN CONCENTRACIÓN</t>
  </si>
  <si>
    <t>ORILLA DE CARRETERA VEREDA LA QUIEBRA</t>
  </si>
  <si>
    <t>CASETA COMUNAL LA QUIEBRA</t>
  </si>
  <si>
    <t>GUAPANTAL</t>
  </si>
  <si>
    <t>C COMUNAL GUAPANTAL</t>
  </si>
  <si>
    <t>PAVÓN EL PORVENIR</t>
  </si>
  <si>
    <t>C COMUNAL PAVÓN PORVENIR</t>
  </si>
  <si>
    <t>ARENALES</t>
  </si>
  <si>
    <t>C COMUNAL ARENALES</t>
  </si>
  <si>
    <t>QUEBRADA EL SALADO ARRIBA</t>
  </si>
  <si>
    <t>C COMUNAL QUEBRADA SALADO ARRIBA</t>
  </si>
  <si>
    <t>PRINGAMOSAL</t>
  </si>
  <si>
    <t>C COMUNAL PRINGAMOSAL</t>
  </si>
  <si>
    <t>LA VENTA</t>
  </si>
  <si>
    <t>C COMUNAL LA VENTA</t>
  </si>
  <si>
    <t>LOS QUEMADOS</t>
  </si>
  <si>
    <t>C COMUNAL LOS QUEMADOS</t>
  </si>
  <si>
    <t>SANTA CATALINA</t>
  </si>
  <si>
    <t>C COMUNAL SANTA CATALINA</t>
  </si>
  <si>
    <t>SANTA ISABEL</t>
  </si>
  <si>
    <t>C COMUNAL SANTA ISABEL_URRAO</t>
  </si>
  <si>
    <t>SAN JOSÉ ARRIBA</t>
  </si>
  <si>
    <t>CER MONTAÑITAS</t>
  </si>
  <si>
    <t>VIA EL SIRENO</t>
  </si>
  <si>
    <t>C COMUNAL SABANAS</t>
  </si>
  <si>
    <t>C COMUNAL CARTAGENA 2</t>
  </si>
  <si>
    <t>EL VOLCÁN</t>
  </si>
  <si>
    <t>CER VOLCAN</t>
  </si>
  <si>
    <t>SAN LUIS</t>
  </si>
  <si>
    <t>C COMUNAL SAN LUIS 1</t>
  </si>
  <si>
    <t>LA SAN JOSE</t>
  </si>
  <si>
    <t>C COMUNAL LA SAN JOSE</t>
  </si>
  <si>
    <t>EL SIRENO</t>
  </si>
  <si>
    <t>C COMUNAL EL SIRENO</t>
  </si>
  <si>
    <t>C COMUNAL EL MARAVILLO</t>
  </si>
  <si>
    <t>C COMUNAL EL SALVADOR 2</t>
  </si>
  <si>
    <t>VEREDA EL CHUSCAL VIA CAICEDO</t>
  </si>
  <si>
    <t>C COMUNAL EL CHUSCAL</t>
  </si>
  <si>
    <t>VIA AL COREGIMIENTO DE LA ENCANACIÓN</t>
  </si>
  <si>
    <t>C COMUNAL LA ENCARNACIÓN</t>
  </si>
  <si>
    <t>VEREDA SALVADOR VIA CORREGIMIENTO ALTAMIRA</t>
  </si>
  <si>
    <t>C COMUNAL EL SALVADOR</t>
  </si>
  <si>
    <t>VEREDA EL PASO VIA CAICEDO</t>
  </si>
  <si>
    <t>C COMUNAL EL PASO</t>
  </si>
  <si>
    <t>VIA AL TUNAL CORREGIMIENTO LA ENCARNACIÓN</t>
  </si>
  <si>
    <t>C COMUNAL EL TUNAL</t>
  </si>
  <si>
    <t>VEREDA LA ANA VIA A CAICEDO</t>
  </si>
  <si>
    <t>C COMUNAL LA ANA</t>
  </si>
  <si>
    <t>VEREDA EL SALADITO</t>
  </si>
  <si>
    <t>C COMUNAL EL SALADITO</t>
  </si>
  <si>
    <t>GUABINA INDIGENA</t>
  </si>
  <si>
    <t xml:space="preserve">GUABINA INDIGENA </t>
  </si>
  <si>
    <t>MANDE</t>
  </si>
  <si>
    <t xml:space="preserve">MANDE </t>
  </si>
  <si>
    <t>NOCONDÓ</t>
  </si>
  <si>
    <t>05005782025</t>
  </si>
  <si>
    <t>CZ URABA</t>
  </si>
  <si>
    <t>APARTADO</t>
  </si>
  <si>
    <t>CL 94 92 34</t>
  </si>
  <si>
    <t>SUEÑOS DE COMPARTIR CAROLINA</t>
  </si>
  <si>
    <t>900208749</t>
  </si>
  <si>
    <t xml:space="preserve">ASOCIACIÓN PADESO CONSTRUYENDO FUTURO </t>
  </si>
  <si>
    <t>KR 74 102 B 02</t>
  </si>
  <si>
    <t>CDI SEMILLITAS DEL FUTURO</t>
  </si>
  <si>
    <t>KR 84 102 A 34 OBRERO BLOQUE V</t>
  </si>
  <si>
    <t>SUEÑOS DE COMPARTIR APARTADO</t>
  </si>
  <si>
    <t>05006112025</t>
  </si>
  <si>
    <t>CL 103 89 A 30  BARRIO OBRERO</t>
  </si>
  <si>
    <t>CDI ALEGRES GIRASOLES</t>
  </si>
  <si>
    <t>900612763</t>
  </si>
  <si>
    <t>FUNDACIÓN AFROVIDA "Calidad de Vida para Todos"</t>
  </si>
  <si>
    <t>CL 103 89 A 102  BARRIO OBRERO BLOQUE 2</t>
  </si>
  <si>
    <t>CDI BUEN COMIENZO OBRERO</t>
  </si>
  <si>
    <t>CL 101 N 97 A 88</t>
  </si>
  <si>
    <t>CHIQUITIN</t>
  </si>
  <si>
    <t>05005462025</t>
  </si>
  <si>
    <t>CZ MAGDALENA MEDIO</t>
  </si>
  <si>
    <t xml:space="preserve">CARACOLI </t>
  </si>
  <si>
    <t>VEREDA SARDINAS</t>
  </si>
  <si>
    <t>CER RAYITOS DE SOL</t>
  </si>
  <si>
    <t>900090046</t>
  </si>
  <si>
    <t>ASOCIACION DE PADRES COMUNITARIOS LA VICTORIA</t>
  </si>
  <si>
    <t>BOTIJAS</t>
  </si>
  <si>
    <t>FINCA LOS EXPLORADORES</t>
  </si>
  <si>
    <t>VEREDA LA MARIA</t>
  </si>
  <si>
    <t>CER SEMILLITAS</t>
  </si>
  <si>
    <t>VEREDA CANALONES</t>
  </si>
  <si>
    <t>CER CANALONES</t>
  </si>
  <si>
    <t>EL 62</t>
  </si>
  <si>
    <t>CER PEQUENAUTAS</t>
  </si>
  <si>
    <t>MACEO</t>
  </si>
  <si>
    <t>LA UNION</t>
  </si>
  <si>
    <t>CER LA UNION MANITOS DE COLORES</t>
  </si>
  <si>
    <t>EL INGENIO C.E.R EL INGENIO</t>
  </si>
  <si>
    <t>CER EL INGENIO.PEQUEÑOS GIGANTES</t>
  </si>
  <si>
    <t>SAN LAUREANO</t>
  </si>
  <si>
    <t>CER SAN LAUREANO NIÑOS DE CORAZON</t>
  </si>
  <si>
    <t>CERCA A MAQUINA VIEJA</t>
  </si>
  <si>
    <t>SALON PARROQUIAL GOTAS DE AMOR</t>
  </si>
  <si>
    <t>ALTO DOLORES AL FRENTE DE LA ENTRADA AL MUNICIPIO DE MACEO</t>
  </si>
  <si>
    <t>CER ALTO DOLORES</t>
  </si>
  <si>
    <t>CORREGIMIENTO LA SUSANA  I.E.R CRISTO REY</t>
  </si>
  <si>
    <t>IER CRISTO REY HUELLAS D ESPERANZA</t>
  </si>
  <si>
    <t>PUERTO NARE</t>
  </si>
  <si>
    <t>VEREDA LOS DELIRIOS</t>
  </si>
  <si>
    <t>CASETA PEQUEÑOS GENIOS EL DELIRIO</t>
  </si>
  <si>
    <t>LA PESCA</t>
  </si>
  <si>
    <t>CASETA PEQUEÑOS GENIOS PESCA 1</t>
  </si>
  <si>
    <t>ESCUELA MI MUNDO LLENO DECOLOR UNION</t>
  </si>
  <si>
    <t>LA ARABIA</t>
  </si>
  <si>
    <t>ESCUELA MIMUNDO LLENODE COLORES ARABIA</t>
  </si>
  <si>
    <t>CASETA MI MUNDO LLENODECOLORES LAMINA</t>
  </si>
  <si>
    <t>LA SIERRA</t>
  </si>
  <si>
    <t>SEDE SENA</t>
  </si>
  <si>
    <t>VEREDA LA MOYA CERCA A LA PETROLERA</t>
  </si>
  <si>
    <t>CASETA LA MOYA</t>
  </si>
  <si>
    <t>KR 2 45 42 PARQUE EDUCATIVO</t>
  </si>
  <si>
    <t>CARITA DE ANGEL</t>
  </si>
  <si>
    <t>CORREGIMIENTO LA UNION</t>
  </si>
  <si>
    <t>CASETA MIMUNDO LLENO DECOLORES UNION2</t>
  </si>
  <si>
    <t>05005742025</t>
  </si>
  <si>
    <t>CZ ORIENTE</t>
  </si>
  <si>
    <t>PEÑOL</t>
  </si>
  <si>
    <t>EL SALTO</t>
  </si>
  <si>
    <t>MUNDO FANTASTICO</t>
  </si>
  <si>
    <t>CORPORACION FORJADORES DE AMOR</t>
  </si>
  <si>
    <t>SANTA INES</t>
  </si>
  <si>
    <t>CAMINITOS DORADOS</t>
  </si>
  <si>
    <t>900077807</t>
  </si>
  <si>
    <t>LA MESETA</t>
  </si>
  <si>
    <t>TV 6 19 08 EDF GERONTOLGICO</t>
  </si>
  <si>
    <t>SUEÑOS Y SONRISAS</t>
  </si>
  <si>
    <t>GUAMITO</t>
  </si>
  <si>
    <t xml:space="preserve"> PEQUEÑO ARCOIRIS</t>
  </si>
  <si>
    <t>PALMIRA</t>
  </si>
  <si>
    <t>HUELLITAS DE AMOR</t>
  </si>
  <si>
    <t>PUENTE HONDITA</t>
  </si>
  <si>
    <t>MUNDO ENCANTADO</t>
  </si>
  <si>
    <t>KR 22 C 15 B 06</t>
  </si>
  <si>
    <t>CONSTRUYENDO SUEÑOS</t>
  </si>
  <si>
    <t>CHILCO</t>
  </si>
  <si>
    <t>ABEJITAS</t>
  </si>
  <si>
    <t>TV 06 22 12</t>
  </si>
  <si>
    <t>SEMILLITAS DE AMOR</t>
  </si>
  <si>
    <t>05005752025</t>
  </si>
  <si>
    <t>ABEJORRAL</t>
  </si>
  <si>
    <t>CL 53 42 10</t>
  </si>
  <si>
    <t>CDI GOTITAS DE AMOR</t>
  </si>
  <si>
    <t>ESCUELA VIEJA PURIMA DESPUÉS DE LA CASETA DE ACCIÓN COMUNAL</t>
  </si>
  <si>
    <t>VEREDA CHAGUAL</t>
  </si>
  <si>
    <t>SEMBRADORES DEL FUTURO</t>
  </si>
  <si>
    <t>ACCIÓN COMUNAL "EL PROYECTO" QUE QUEDA AL LADO DE LA CAPILLA DEL SEÑOR DE LOS MILAGROS</t>
  </si>
  <si>
    <t>CONSTRUYENDO SONRISAS</t>
  </si>
  <si>
    <t>VEREDA PURINA</t>
  </si>
  <si>
    <t>RETOÑOS DE AMOR</t>
  </si>
  <si>
    <t>VEREDA QUEBRADANEGRA</t>
  </si>
  <si>
    <t>SOÑADORES DEL MAÑANA</t>
  </si>
  <si>
    <t>VEREDA SANTA CATALINA</t>
  </si>
  <si>
    <t>SENDEROS DE AMOR</t>
  </si>
  <si>
    <t>VEREDA SAN PEDRO</t>
  </si>
  <si>
    <t>PEQUEÑOS EXPLORADORES</t>
  </si>
  <si>
    <t>VEREDA LA PRIMAVERA</t>
  </si>
  <si>
    <t>PEQUEÑOS CREADORES</t>
  </si>
  <si>
    <t>VEREDA LA FLORIDA</t>
  </si>
  <si>
    <t>JARDÍN DE LOS SUEÑOS</t>
  </si>
  <si>
    <t>VEREDA SAN LUIS</t>
  </si>
  <si>
    <t>MUNDO DE TRAVESURAS</t>
  </si>
  <si>
    <t>VEREDA EL MORRON</t>
  </si>
  <si>
    <t>CRECIENDO JUNTOS</t>
  </si>
  <si>
    <t>TEJIENDO SUEÑOS EN FAMILIA</t>
  </si>
  <si>
    <t>KR 51 49 03</t>
  </si>
  <si>
    <t>CARICIAS</t>
  </si>
  <si>
    <t>05005692025</t>
  </si>
  <si>
    <t>CZ OCCIDENTE MEDIO</t>
  </si>
  <si>
    <t>ABRIAQUI</t>
  </si>
  <si>
    <t>VEREDA TIMOTEA</t>
  </si>
  <si>
    <t>C COMUNAL TIMOTEA</t>
  </si>
  <si>
    <t>830508092</t>
  </si>
  <si>
    <t>ASOCIACION AFRO DESCENDIENTES DE NECOCLI AFRONEC</t>
  </si>
  <si>
    <t>VEREDA CORCOVADO</t>
  </si>
  <si>
    <t>IE LA MILAGROSA SEDE CORCOVADO</t>
  </si>
  <si>
    <t>VEREDA POTREROS</t>
  </si>
  <si>
    <t>IE LA MILAGROSA SEDE POTREROS</t>
  </si>
  <si>
    <t>VEREDA NANCUI 2</t>
  </si>
  <si>
    <t>IE LA MILAGROSA SEDE LA NANCUI 2</t>
  </si>
  <si>
    <t>VEREDA SANTA TERESA</t>
  </si>
  <si>
    <t>C COMUNAL SANTA TERESA</t>
  </si>
  <si>
    <t>C COMUNAL MONOS</t>
  </si>
  <si>
    <t>CAÑASGORDAS</t>
  </si>
  <si>
    <t>VEREDA VERSALLES</t>
  </si>
  <si>
    <t>C COMUNAL VERSALLES_CAÑASGORDAS</t>
  </si>
  <si>
    <t>VEREDA GUADUAL</t>
  </si>
  <si>
    <t>CASA GUADUAL TITO HENAO</t>
  </si>
  <si>
    <t>CASA SAN LUIS ELKIN MIRA</t>
  </si>
  <si>
    <t>VEREDA BUENOS AIRES</t>
  </si>
  <si>
    <t>C COMUNAL BUENOS AIRES</t>
  </si>
  <si>
    <t>VEREDA LOMA DE LA ALEGRIA</t>
  </si>
  <si>
    <t>ESCUELA LA LOMA DE LA ALEGRIA</t>
  </si>
  <si>
    <t>KR BOLIVAR</t>
  </si>
  <si>
    <t>CASA CURAL SANTO CRISTO</t>
  </si>
  <si>
    <t>C COMUNAL LA SOLEDAD_CAÑASGORDAS</t>
  </si>
  <si>
    <t>VEREDA LA MALENA</t>
  </si>
  <si>
    <t>ESCUELA LA MALENA</t>
  </si>
  <si>
    <t>VEREDA SANTO CRISTO</t>
  </si>
  <si>
    <t>C COMUNAL SANTO CRISTO</t>
  </si>
  <si>
    <t>VEREDA EL CAFE</t>
  </si>
  <si>
    <t>ESCUELA EL CAFE</t>
  </si>
  <si>
    <t>VEREDA INSOR</t>
  </si>
  <si>
    <t>C COMUNAL INSOR</t>
  </si>
  <si>
    <t>VEREDA EL ROBLE</t>
  </si>
  <si>
    <t>C COMUNAL EL ROBLE</t>
  </si>
  <si>
    <t>VEREDA CIRIGUAN</t>
  </si>
  <si>
    <t>C COMUNAL CIRIGUAN</t>
  </si>
  <si>
    <t>VEREDA LA BALSITA</t>
  </si>
  <si>
    <t>C COMUNAL LA BALSITA</t>
  </si>
  <si>
    <t>VEREDA JUNTAS DE URAMITA</t>
  </si>
  <si>
    <t>HOGAR JUVENIL JUNTAS DE URAMITA</t>
  </si>
  <si>
    <t>VEREDA LA MANGA</t>
  </si>
  <si>
    <t>ESCUELA LA MANGA</t>
  </si>
  <si>
    <t>CORREGIMIENTO SAN PASCUAL</t>
  </si>
  <si>
    <t>ESCUELA SAN PASCUAL</t>
  </si>
  <si>
    <t>VEREDA LA CURVA</t>
  </si>
  <si>
    <t>ESCUELA LA CURVA</t>
  </si>
  <si>
    <t>CASA DE LA CULTURA JUNTAS DE URAMITA</t>
  </si>
  <si>
    <t>VEREDA CESTILLAL</t>
  </si>
  <si>
    <t>CASETA SAN MIGUEL CESTILLAL</t>
  </si>
  <si>
    <t>KR 31 33 A 1</t>
  </si>
  <si>
    <t>SALON PARQUE EDUCATIVO</t>
  </si>
  <si>
    <t>VEREDA EL CANELITO</t>
  </si>
  <si>
    <t>ESCUELA EL CANELITO</t>
  </si>
  <si>
    <t>CORREGIMIENTO DE CESTILLAL-SECTOR EDUCATIVO</t>
  </si>
  <si>
    <t>COLISEO CESTILLAL</t>
  </si>
  <si>
    <t>VEREDA LA ESPERANZA</t>
  </si>
  <si>
    <t>CASA JUAN TORRES LA ESPERANZA</t>
  </si>
  <si>
    <t>VEREDA EL CANELO</t>
  </si>
  <si>
    <t>C COMUNAL EL CANELO</t>
  </si>
  <si>
    <t>CORREGIMIENTO CESTILLAL</t>
  </si>
  <si>
    <t>CESTILLAL</t>
  </si>
  <si>
    <t>KR SUCRE N 33 20</t>
  </si>
  <si>
    <t>PIMPONES DE COLORES</t>
  </si>
  <si>
    <t>CASETA COMUNAL LOS NARANJOS</t>
  </si>
  <si>
    <t>C COMUNAL LOS NARANJOS</t>
  </si>
  <si>
    <t>VEREDA LA LOMA</t>
  </si>
  <si>
    <t>C COMUNAL LA LOMA_CAÑASGORDAS</t>
  </si>
  <si>
    <t>05005472025</t>
  </si>
  <si>
    <t>CZ ABURRA SUR</t>
  </si>
  <si>
    <t>AMAGA</t>
  </si>
  <si>
    <t>CAMILO C EL TRINCHO</t>
  </si>
  <si>
    <t>C COMUNAL 1</t>
  </si>
  <si>
    <t>800075215</t>
  </si>
  <si>
    <t>ASOCIACION DE PADRES USUARIOS, OTRAS MODALIDADES DE ATENCION A PRIMERA INFANCIA Y MADRES COMUNITARIAS LOS  LOMEÑITOS DE SANTA BARBARA</t>
  </si>
  <si>
    <t>KR 51 ESCUELA MARIA AUXILIADORA 1 1</t>
  </si>
  <si>
    <t>ESCUELA MARIA AUXILIADORA</t>
  </si>
  <si>
    <t>LA FERRERIA</t>
  </si>
  <si>
    <t>FERRERIA</t>
  </si>
  <si>
    <t>MINAS</t>
  </si>
  <si>
    <t>VEREDA PIEDECUESTA</t>
  </si>
  <si>
    <t>PIEDECUESTA</t>
  </si>
  <si>
    <t>CAMILO C LA POLKA</t>
  </si>
  <si>
    <t>SALON PARROQUIAL_AMAGA</t>
  </si>
  <si>
    <t>MINAS LA CLARITA</t>
  </si>
  <si>
    <t>EL CEDRO</t>
  </si>
  <si>
    <t>VEREDA PUEBLITO DE LOS SANCHEZ</t>
  </si>
  <si>
    <t>ESCUELA PUEBLITO DE LOS SANCHEZ</t>
  </si>
  <si>
    <t>CAMPIÑAS DE SAN FERNANDO-BOYACA CLL 52 # 54-101</t>
  </si>
  <si>
    <t xml:space="preserve">GOTICAS DE AMOR </t>
  </si>
  <si>
    <t>05005982025</t>
  </si>
  <si>
    <t>CZ PORCE NUS</t>
  </si>
  <si>
    <t>AMALFI</t>
  </si>
  <si>
    <t>VEREDA GUAYABITO</t>
  </si>
  <si>
    <t>C COMUNAL GUAYABITO</t>
  </si>
  <si>
    <t>901009920</t>
  </si>
  <si>
    <t>ASOCIACIÓN DE CABILDOS INDIGENAS DEL RIO DUBASA Y ANCOSO, RESGUARDO CATRU, DUBASA Y
ANCOSO - ACIRDA</t>
  </si>
  <si>
    <t>CASETA COMUNAL MONTEBELLO</t>
  </si>
  <si>
    <t>C COMUNAL MONTEBELLO</t>
  </si>
  <si>
    <t>CASETA COMUNAL LAS ANIMAS</t>
  </si>
  <si>
    <t>C COMUNAL LAS ANIMAS</t>
  </si>
  <si>
    <t>VEREDA MONOS</t>
  </si>
  <si>
    <t>ESCUELA MONOS</t>
  </si>
  <si>
    <t>CASETA COMUNAL EL SILENCIO</t>
  </si>
  <si>
    <t>C COMUNAL EL SILENCIO</t>
  </si>
  <si>
    <t>CASETA COMUNAL LA MANGUITA</t>
  </si>
  <si>
    <t>C COMUNAL LA MANGUITA</t>
  </si>
  <si>
    <t>CASETA COMUNAL EL ENCANTO</t>
  </si>
  <si>
    <t>C COMUNAL EL ENCANTO</t>
  </si>
  <si>
    <t>KR MOSQUERA 30 26  2</t>
  </si>
  <si>
    <t>CIUDADELA ASPIRANDO AL MAÑANA</t>
  </si>
  <si>
    <t>VEREDA EL GUAICO</t>
  </si>
  <si>
    <t>IER MATIAS TRUJILLO</t>
  </si>
  <si>
    <t>VEREDA LA GOMEZ</t>
  </si>
  <si>
    <t>C COMUNAL LA GOMEZ</t>
  </si>
  <si>
    <t>CORREGIMIENTO PORTACHUELO</t>
  </si>
  <si>
    <t>HOGAR PORTACHUELO</t>
  </si>
  <si>
    <t>C COMUNAL LA MARIA AMALFI</t>
  </si>
  <si>
    <t>KR 23 ZEA CALLE COLOMBIA  N 23 49 SECTOR HOSPITAL</t>
  </si>
  <si>
    <t>SANTA MADRE LAURA</t>
  </si>
  <si>
    <t>05005482025</t>
  </si>
  <si>
    <t>ANDES</t>
  </si>
  <si>
    <t>VEREDA ALTO CAÑAVERAL</t>
  </si>
  <si>
    <t>CER ALTO CAÑAVERAL</t>
  </si>
  <si>
    <t>VEREDA RISARALDA</t>
  </si>
  <si>
    <t>CER RISARALDA</t>
  </si>
  <si>
    <t>CER SAN ANTONIO_ANDES</t>
  </si>
  <si>
    <t>CORREGIMIENTO BUENOS AIRES</t>
  </si>
  <si>
    <t>CER BUENOS AIRES</t>
  </si>
  <si>
    <t>VEREDA VALLEUMBRIA</t>
  </si>
  <si>
    <t>CER VALLEUMBRIA</t>
  </si>
  <si>
    <t>CER SAN PEDRO_ANDES</t>
  </si>
  <si>
    <t>LA PIDERA</t>
  </si>
  <si>
    <t>CASA DOJURO</t>
  </si>
  <si>
    <t>ALTO DEL RAYO</t>
  </si>
  <si>
    <t>CER ALTO DEL RAYO</t>
  </si>
  <si>
    <t>CASCAJERO</t>
  </si>
  <si>
    <t>CER CASCAJERO</t>
  </si>
  <si>
    <t>EL LIBANO</t>
  </si>
  <si>
    <t>CER EL LIBANO_ANDES</t>
  </si>
  <si>
    <t>EL TAPAO</t>
  </si>
  <si>
    <t>CER EL TAPAO</t>
  </si>
  <si>
    <t>LA AGUADA</t>
  </si>
  <si>
    <t>CER AGUADA</t>
  </si>
  <si>
    <t>MEDIA LUNA</t>
  </si>
  <si>
    <t>CER MEDIA LUNA</t>
  </si>
  <si>
    <t>PALESTINA</t>
  </si>
  <si>
    <t>CER PALESTINA_ANDES</t>
  </si>
  <si>
    <t>SAN BARTOLO</t>
  </si>
  <si>
    <t>CER SAN BARTOLO</t>
  </si>
  <si>
    <t>MONTEVERDE</t>
  </si>
  <si>
    <t>CER MONTE VERDE</t>
  </si>
  <si>
    <t>PEÑAS AZULES</t>
  </si>
  <si>
    <t>CER PEÑAS AZULES</t>
  </si>
  <si>
    <t>SAN PERUCHITO</t>
  </si>
  <si>
    <t>CER SAN PERUCHITO</t>
  </si>
  <si>
    <t>CORREGIMIENTO SAN JOSE</t>
  </si>
  <si>
    <t>CER SAN JOSE</t>
  </si>
  <si>
    <t>CORREGIMIENTO TAPARTO</t>
  </si>
  <si>
    <t>CER TAPARTO</t>
  </si>
  <si>
    <t>VEREDA LA LEJIA</t>
  </si>
  <si>
    <t>CASETA COMUNAL LA LEJIA</t>
  </si>
  <si>
    <t>SC PARQUE PRINCIPAL AL LADO DE LA COOPERATIVA DE CAFICULORES</t>
  </si>
  <si>
    <t>CENTRO DE DESARROLLO INFANTIL SANTA RITA</t>
  </si>
  <si>
    <t>CER CALIFORNIA_ANDES</t>
  </si>
  <si>
    <t>PLAZA DE FERIAS 1</t>
  </si>
  <si>
    <t>CAFETERITOS 1</t>
  </si>
  <si>
    <t>SECTOR LA CUARENTA</t>
  </si>
  <si>
    <t>CENTRO DE DESARROLLO INFANTIL TAPARTÓ</t>
  </si>
  <si>
    <t>SC PARQUE PRINCIPAL AL LADO DE LA COOPERATIVA DE CAFICULTORES</t>
  </si>
  <si>
    <t>CENTRO DE DESARROLLO INFANTIL SANTA RITA 2</t>
  </si>
  <si>
    <t>VEREDA SANTA ISABEL</t>
  </si>
  <si>
    <t>C COMUNAL SANTA ISABEL_ANDES</t>
  </si>
  <si>
    <t>05005992025</t>
  </si>
  <si>
    <t>CL 55 53 02 BARRIO SAN PEDRO</t>
  </si>
  <si>
    <t>H.I PAYASOS</t>
  </si>
  <si>
    <t>05005492025</t>
  </si>
  <si>
    <t>ANORI</t>
  </si>
  <si>
    <t>VEREDA CRUCES</t>
  </si>
  <si>
    <t>C COMUNAL CRUCES_ANORI</t>
  </si>
  <si>
    <t>900009354</t>
  </si>
  <si>
    <t>AMACOALDI</t>
  </si>
  <si>
    <t>C COMUNAL PRIMAVERA</t>
  </si>
  <si>
    <t>VEREDA LA MESETA</t>
  </si>
  <si>
    <t>C COMUNAL MESETA</t>
  </si>
  <si>
    <t>VEREDA EL LIMON</t>
  </si>
  <si>
    <t>CER EL LIMON</t>
  </si>
  <si>
    <t>VEREDA LAS ANIMAS</t>
  </si>
  <si>
    <t>CER LAS ANIMAS_ANORI</t>
  </si>
  <si>
    <t xml:space="preserve">ESCUELA RURAL EL RETIRO </t>
  </si>
  <si>
    <t>VEREDA SAN LORENZO</t>
  </si>
  <si>
    <t>C COMUNAL SAN LORENZO</t>
  </si>
  <si>
    <t>VEREDA MADRESECA</t>
  </si>
  <si>
    <t xml:space="preserve">CASA FAMILIAR YASMID HERNANDEZ </t>
  </si>
  <si>
    <t>VEREDA EL BANCO</t>
  </si>
  <si>
    <t xml:space="preserve">CER EL BANCO </t>
  </si>
  <si>
    <t>VEREDA EL CARMIN</t>
  </si>
  <si>
    <t>C COMUNAL EL CARMÍN</t>
  </si>
  <si>
    <t>VEREDA RIO NECHI</t>
  </si>
  <si>
    <t>CER LA CHIQUITA BARCINO</t>
  </si>
  <si>
    <t>VEREDA MONTEBELLO</t>
  </si>
  <si>
    <t>C COMUNAL MONTEBELLO ANORI</t>
  </si>
  <si>
    <t>CER LA HONDONA ANORI</t>
  </si>
  <si>
    <t>VEREDA PAJONAL</t>
  </si>
  <si>
    <t>C COMUNAL LA CANCHA PAJONAL</t>
  </si>
  <si>
    <t>VEREDA SAN ISIDRO</t>
  </si>
  <si>
    <t>C COMUNAL SAN ISIDRO ANORI</t>
  </si>
  <si>
    <t>VEREDA EL CARMEN</t>
  </si>
  <si>
    <t>C COMUNAL EL CARMEN_ANORI</t>
  </si>
  <si>
    <t>VEREDA TABACAL ARRIBA</t>
  </si>
  <si>
    <t>C COMUNAL TABACAL ARRIBA</t>
  </si>
  <si>
    <t>VEREDA LA TERESITA</t>
  </si>
  <si>
    <t>CASA FAMILIA DANIELA LOPEZ</t>
  </si>
  <si>
    <t>VEREDA SANTO DOMINGO</t>
  </si>
  <si>
    <t>C COMUNAL VEREDA SANTO DOMINGO</t>
  </si>
  <si>
    <t>DG 35 34 02 BARRIO LA PLAYITA</t>
  </si>
  <si>
    <t>ESCUELA LA PLAYITA</t>
  </si>
  <si>
    <t>BARRIO LAS LOMAS</t>
  </si>
  <si>
    <t>CDI LAS LOMAS</t>
  </si>
  <si>
    <t>VEREDA CHAGUALO ARRIBA</t>
  </si>
  <si>
    <t>CASA DE FAMILIA OVIDIO ARBOLEDA</t>
  </si>
  <si>
    <t>BARRIO EL ARENAL</t>
  </si>
  <si>
    <t>CDI EL REY DAVID</t>
  </si>
  <si>
    <t>05005762025</t>
  </si>
  <si>
    <t>ET 107 LC 57 SERRANIA</t>
  </si>
  <si>
    <t xml:space="preserve">MANANTIAL DE AMOR </t>
  </si>
  <si>
    <t>900937529</t>
  </si>
  <si>
    <t>FUNDACION VIDA LUMAR</t>
  </si>
  <si>
    <t>EN LA SEGUNDA CALLE AL FONDO ASERRIO ANTIGUO</t>
  </si>
  <si>
    <t>DEJANDO HUELLAS CONLATINA</t>
  </si>
  <si>
    <t>EL REPOSO</t>
  </si>
  <si>
    <t>C COMUNAL BARRIO EL JAZMÍN</t>
  </si>
  <si>
    <t>CALLE PRINCIPAL DETRAS DE LA IGLESIA LAS 3 M 1RO DE MAYO</t>
  </si>
  <si>
    <t>C COMUNAL 1 DE MAYO</t>
  </si>
  <si>
    <t>AUDITORIO CENTRO DE SALUD SAN JOSE</t>
  </si>
  <si>
    <t>REPOSO</t>
  </si>
  <si>
    <t>C COMUNAL 3 DE FEBRERO</t>
  </si>
  <si>
    <t>KR 114 N 82 38</t>
  </si>
  <si>
    <t>CASA MADRE ARELIS DEL TORO EL SALVADOR</t>
  </si>
  <si>
    <t>BARRIO SAN FERNANDO PRIMERA CALLE</t>
  </si>
  <si>
    <t>IE SAN PEDRO CLAVER SEDE BRISAS</t>
  </si>
  <si>
    <t>CL 102 C 74 5</t>
  </si>
  <si>
    <t>COMEDOR COMUNITARIO 20 DE ENERO</t>
  </si>
  <si>
    <t>CORREGIMIENTO VIJAGUAL</t>
  </si>
  <si>
    <t>LOCAL SR EDGAR MAURICIO BARRIO LAS MARIAS</t>
  </si>
  <si>
    <t>JUNTA DE ACCION COMUNAL DEL BARRIO OBRERO</t>
  </si>
  <si>
    <t>JAC BARRIO OBRERO</t>
  </si>
  <si>
    <t>BARRIO LA PAZ</t>
  </si>
  <si>
    <t>C COMUNAL BARRIO LA PAZ</t>
  </si>
  <si>
    <t>BARRIO MATEGUADUA</t>
  </si>
  <si>
    <t>C COMUNAL MATEGUADUA</t>
  </si>
  <si>
    <t>BARRIO LAS COLINAS</t>
  </si>
  <si>
    <t>C COMUNAL BARRIO LAS COLINAS</t>
  </si>
  <si>
    <t>CL 87 41 B 2</t>
  </si>
  <si>
    <t>C COMUNAL BARRIO LA ESPERANZA</t>
  </si>
  <si>
    <t>BARRIO LA ALBORADA</t>
  </si>
  <si>
    <t>IGLESIA PACTOS DE PAZ B. ALBORADA</t>
  </si>
  <si>
    <t>CORREGIMIENTO EL REPOSO</t>
  </si>
  <si>
    <t>CASA FAMILIAR GLADYS ESTRADA</t>
  </si>
  <si>
    <t>CORREGIMIENTO CHURIDO PUEBLO</t>
  </si>
  <si>
    <t>CASA DE LA CULTURA CHURIDO</t>
  </si>
  <si>
    <t>MZ 10 CS 87 20 DE ENERO</t>
  </si>
  <si>
    <t xml:space="preserve">MIS PEQUEÑOS LATINOS </t>
  </si>
  <si>
    <t>MZ 102 LT 10 EL REPOSO</t>
  </si>
  <si>
    <t xml:space="preserve">DULCE AMOR </t>
  </si>
  <si>
    <t>05006232025</t>
  </si>
  <si>
    <t>ARBOLETES</t>
  </si>
  <si>
    <t>CL 25 29 A 21  FRENTE AL COLEGIO</t>
  </si>
  <si>
    <t>CDI MIS PRIMEROS PASOS</t>
  </si>
  <si>
    <t>EL MINUTO DE DIOS</t>
  </si>
  <si>
    <t xml:space="preserve">CDI SUEÑOS DE COMPARTIR ARBOLETES </t>
  </si>
  <si>
    <t>CL 30 23 28</t>
  </si>
  <si>
    <t>AULA CDI CASTILLO DE MIS SUEÑOS</t>
  </si>
  <si>
    <t>CL 30 12 A 16</t>
  </si>
  <si>
    <t>C COMUNAL VILLA DIANA</t>
  </si>
  <si>
    <t>CL 26 24 35 BARRIO SAN ISIDRO</t>
  </si>
  <si>
    <t>CDI CASTILLITO DE MIS SUEÑOS</t>
  </si>
  <si>
    <t>05005772025</t>
  </si>
  <si>
    <t>COMUNIDAD INDIGENA NUEVO CANIME</t>
  </si>
  <si>
    <t>CENTRO EDUCATIVO NUEVO CANIME</t>
  </si>
  <si>
    <t>900429060-1</t>
  </si>
  <si>
    <t>CABILDO MAYOR DEL RESGUARDO CANIME DEL MUNICIPIO DE ARBOLETES ANTIOQUIA</t>
  </si>
  <si>
    <t>VEREDA LOS CAJONES</t>
  </si>
  <si>
    <t>CER LOS CAJONES</t>
  </si>
  <si>
    <t>CORREGIMIENTO GUADUAL</t>
  </si>
  <si>
    <t>CASA COMUNAL GUADUAL ARRIBA</t>
  </si>
  <si>
    <t>VEREDA EL BAJO DE LA ARENOSA - KILOMETRO 22</t>
  </si>
  <si>
    <t>CASA COMUNAL BAJO LA ARENOSA</t>
  </si>
  <si>
    <t>CORREGIMIENTO EL CARMELO</t>
  </si>
  <si>
    <t>CASA COMUNAL EL CARMELO</t>
  </si>
  <si>
    <t>CASA FAMILIAR BUENOS AIRES 2</t>
  </si>
  <si>
    <t>CORREGIMIENTO SANTA FE DE LAS PLATAS</t>
  </si>
  <si>
    <t>CASA FAMILIAR LAS PLATAS</t>
  </si>
  <si>
    <t>VEREDA NUEVA ESTRELLA</t>
  </si>
  <si>
    <t>CASA FAMILIAR VEREDA NUEVA ESTRELLA</t>
  </si>
  <si>
    <t>VEREDA EL YESO</t>
  </si>
  <si>
    <t>CASA COMUNAL EL YESO</t>
  </si>
  <si>
    <t>VEREDA LA ATOYOSA</t>
  </si>
  <si>
    <t>CER LA ATOYOSA</t>
  </si>
  <si>
    <t>VEREDA PIEDRESITA KILOMETRO 20</t>
  </si>
  <si>
    <t>CER PIEDRESITA</t>
  </si>
  <si>
    <t>VEREDA EL PORVENIR</t>
  </si>
  <si>
    <t>CASA COMUNAL PORVENIR</t>
  </si>
  <si>
    <t>VEREDA LOS PATICOS</t>
  </si>
  <si>
    <t>CASA FAMILIAR VEREDA LOS PATICOS</t>
  </si>
  <si>
    <t>COMUNIDAD INDIGENA LA CEIBA</t>
  </si>
  <si>
    <t>CER LA CEIBA_ARBOLETES</t>
  </si>
  <si>
    <t>VEREDA LA LANA</t>
  </si>
  <si>
    <t>CASA COMUNAL LAS LANAS</t>
  </si>
  <si>
    <t>VEREDA RIO HOBO</t>
  </si>
  <si>
    <t>CASA FAMILIAR VEREDA RIO HOBO</t>
  </si>
  <si>
    <t>VEREDA CANIME</t>
  </si>
  <si>
    <t>CER EL CANIME</t>
  </si>
  <si>
    <t>KILOMETRO 5 LAS PAVITAS</t>
  </si>
  <si>
    <t>CASA FAMILIAR LAS PAVITAS</t>
  </si>
  <si>
    <t>CORREGIMIENTO PAJILLAL</t>
  </si>
  <si>
    <t>CASA FAMILIAR PAJILLAL</t>
  </si>
  <si>
    <t>VEREDA SIETE HERMANAS</t>
  </si>
  <si>
    <t>CASA FAMILIAR SIETE HERMANAS</t>
  </si>
  <si>
    <t>CORREGIMIENTO LAS NARANJITAS</t>
  </si>
  <si>
    <t>CASETA PUESTO DE SALUD NARANJITAS</t>
  </si>
  <si>
    <t>CORREGIMIENTO LA TRINIDAD</t>
  </si>
  <si>
    <t>CASA FAMILIAR LA TRINIDAD</t>
  </si>
  <si>
    <t>CORREGIMIENTO BUENOS AIRES 1</t>
  </si>
  <si>
    <t>IGLESIA CATOLICA BUENOS AIRES 1</t>
  </si>
  <si>
    <t>VEREDA EL VOLCANCITO</t>
  </si>
  <si>
    <t>CASA COMUNAL VOLCANCITO</t>
  </si>
  <si>
    <t>VEREDA PLATAS DEL MEDIO</t>
  </si>
  <si>
    <t>IER PLATAS DEL MEDIO</t>
  </si>
  <si>
    <t>VEREDA LA ARENOSA</t>
  </si>
  <si>
    <t>CASA FAMILIAR LA ARENOSA</t>
  </si>
  <si>
    <t>VEREDA BAJO LA ARENOSA - KILOMETRO 21</t>
  </si>
  <si>
    <t>CER INDIGENA BAJO LA ARENOSA</t>
  </si>
  <si>
    <t>VEREDA LA BARRANCUDA</t>
  </si>
  <si>
    <t>CER LA BARRANCUDA</t>
  </si>
  <si>
    <t>CL 2 0 0 BARRIO SAN ISIDRO</t>
  </si>
  <si>
    <t>HOGAR INFANTIL MI BOTECITO</t>
  </si>
  <si>
    <t>VEREDA PUEBLO CHINO</t>
  </si>
  <si>
    <t>CASA COMUNAL PUEBLO CHINO</t>
  </si>
  <si>
    <t>VEREDA CRUZ DEL GUAYABO</t>
  </si>
  <si>
    <t>C COMUNAL CRUZ DEL GUAYABO</t>
  </si>
  <si>
    <t>05006002025</t>
  </si>
  <si>
    <t>ARMENIA</t>
  </si>
  <si>
    <t>VEREDA LA HERRADURA</t>
  </si>
  <si>
    <t>C COMUNAL CORAZONES UNIDO</t>
  </si>
  <si>
    <t>800055768</t>
  </si>
  <si>
    <t>ASOCIACION DE PADRES DE HOGARES DE BIENESTAR CAMPANITAS</t>
  </si>
  <si>
    <t>VEREDA LA QUIEBRA - CERCA A LA ESCUELA</t>
  </si>
  <si>
    <t>C COMUNAL LA QUIEBRA ARMENIA</t>
  </si>
  <si>
    <t>CL 10 A 9 20</t>
  </si>
  <si>
    <t>CASA CULTURAL</t>
  </si>
  <si>
    <t xml:space="preserve">TITIRIBI </t>
  </si>
  <si>
    <t>CORREGIMIENTO LA ALBANIA</t>
  </si>
  <si>
    <t>IE CARACOLES DE COLORES</t>
  </si>
  <si>
    <t>VEREDA PORVENIR</t>
  </si>
  <si>
    <t>CASA EL PORVENIR LOS ANGELITOS</t>
  </si>
  <si>
    <t>CER CORCOVADO CONSTRUYENDO SONRISAS</t>
  </si>
  <si>
    <t>CORREGIMIENTO SITIO VIEJO</t>
  </si>
  <si>
    <t>CER SITIO VIEJO SEMILLAS DE AMOR</t>
  </si>
  <si>
    <t>VEREDA PUERTO ESCONDIDO</t>
  </si>
  <si>
    <t>CASA PUERTO UNIDOS POR UNA CAUSA</t>
  </si>
  <si>
    <t>VEREDA EL VOLCÁN</t>
  </si>
  <si>
    <t>CER VOLCANCITOS</t>
  </si>
  <si>
    <t>VEREDA LOS MICOS</t>
  </si>
  <si>
    <t>CASA MALECON DE LOS SUEÑOS</t>
  </si>
  <si>
    <t>05005792025</t>
  </si>
  <si>
    <t>BARBOSA</t>
  </si>
  <si>
    <t>VEREDA YARUMITO</t>
  </si>
  <si>
    <t>C COMUNAL YARUMITO</t>
  </si>
  <si>
    <t>VEREDA FILO VERDE</t>
  </si>
  <si>
    <t>CASETA COMUNAL FILO VERDE</t>
  </si>
  <si>
    <t>VEREDA GUAYABAL</t>
  </si>
  <si>
    <t>CER GUAYABAL_BARBOSA</t>
  </si>
  <si>
    <t>VEREDA PANTANILLO</t>
  </si>
  <si>
    <t>CER PANTANILLO_BARBOSA</t>
  </si>
  <si>
    <t>C COMUNAL LA PRIMAVERA_BARBOSA</t>
  </si>
  <si>
    <t>VEREDA LA LOMITA 2</t>
  </si>
  <si>
    <t>CASETA COMUNAL LA LOMITA 2</t>
  </si>
  <si>
    <t>VEREDA LA TOLDA</t>
  </si>
  <si>
    <t>CER LA CRUZ</t>
  </si>
  <si>
    <t>CER HERRADURA</t>
  </si>
  <si>
    <t>VEREDA LA CHORRERA</t>
  </si>
  <si>
    <t xml:space="preserve">CASETA COMUNAL LA CHORRERA </t>
  </si>
  <si>
    <t>CORREGIMIENTO HATILLO</t>
  </si>
  <si>
    <t>CASETA COMUNAL HATILLO</t>
  </si>
  <si>
    <t>VEREDA CORRIENTES</t>
  </si>
  <si>
    <t>CER ISAZA</t>
  </si>
  <si>
    <t>VEREDA EL TIGRE</t>
  </si>
  <si>
    <t xml:space="preserve">C COMUNAL EL TIGRE </t>
  </si>
  <si>
    <t>VEREDA PLATANITO</t>
  </si>
  <si>
    <t>CASETA COMUNAL PLATANITO</t>
  </si>
  <si>
    <t>VEREDA LA AGUADA</t>
  </si>
  <si>
    <t>CER LA AGUADA</t>
  </si>
  <si>
    <t>KR 16 20 C 14</t>
  </si>
  <si>
    <t>HOGAR JUVENIL CAMPESINO</t>
  </si>
  <si>
    <t>VEREDA LA GÓMEZ VIA QUE CONDUCE A LA VEREDA LA TOLDA</t>
  </si>
  <si>
    <t>SALON COMUNAL PORVENIR BARBOSA</t>
  </si>
  <si>
    <t>VEREDA MONTAÑITA</t>
  </si>
  <si>
    <t>TALLER CREATIVO</t>
  </si>
  <si>
    <t>NIÑOS DEL FUTURO</t>
  </si>
  <si>
    <t>VEREDA EL TABLAZO</t>
  </si>
  <si>
    <t>ARCOIRIS DE COLORES</t>
  </si>
  <si>
    <t>KR 14 132 0</t>
  </si>
  <si>
    <t>MUNDO DE AVENTURAS</t>
  </si>
  <si>
    <t>05006452025</t>
  </si>
  <si>
    <t>CZ BAJO CAUCA</t>
  </si>
  <si>
    <t>CACERES</t>
  </si>
  <si>
    <t>VEREDA RIO MAN</t>
  </si>
  <si>
    <t>C COMUNAL RIOMAN CORAZONESTIERNOS</t>
  </si>
  <si>
    <t>811012167</t>
  </si>
  <si>
    <t>CORPORACION EDUCATIVA ESPARRO</t>
  </si>
  <si>
    <t>CORREGIMIENTO PUERTO BELGICA</t>
  </si>
  <si>
    <t>AULA MLTIPLE PTO BELGICA ESTRECHANDO LAZOS</t>
  </si>
  <si>
    <t>VEREDA EL JARDIN</t>
  </si>
  <si>
    <t>IE GASPAR DE RODAS</t>
  </si>
  <si>
    <t>EL TIGRE</t>
  </si>
  <si>
    <t>CENTRO DE SALUD EL TIGRE</t>
  </si>
  <si>
    <t>VEREDA ANARA</t>
  </si>
  <si>
    <t>C COMUNAL ANARÁ</t>
  </si>
  <si>
    <t>CORREGIMIENTO DE GUARUMO</t>
  </si>
  <si>
    <t>IE GUARUMO</t>
  </si>
  <si>
    <t>BARRIO LA MAGDALENA - SALIDA AL TIGRE</t>
  </si>
  <si>
    <t>ANTIGUO SEMINARIO</t>
  </si>
  <si>
    <t>CL 50 52 57</t>
  </si>
  <si>
    <t>CDI MARIA MAGDALENA CACERES</t>
  </si>
  <si>
    <t>05006122025</t>
  </si>
  <si>
    <t>CAICEDO</t>
  </si>
  <si>
    <t>KR 6 4 6</t>
  </si>
  <si>
    <t>CDI JUAN FRANCISCO CARDONA GÓMEZ</t>
  </si>
  <si>
    <t>VEREDA LA GARCIA</t>
  </si>
  <si>
    <t>CER LA GARCIA</t>
  </si>
  <si>
    <t>VEREDA LA ANACOSCA</t>
  </si>
  <si>
    <t>C COMUNAL ANOCOSCA</t>
  </si>
  <si>
    <t>VEREDA EL ENCANTO</t>
  </si>
  <si>
    <t>CER EL ENCANTO_CAICEDO</t>
  </si>
  <si>
    <t>VEREDA EL CHOCHAL</t>
  </si>
  <si>
    <t>C COMUNAL EL CHOCHAL</t>
  </si>
  <si>
    <t>VEREDA SAN JUAN</t>
  </si>
  <si>
    <t>C COMUNAL SAN JUAN</t>
  </si>
  <si>
    <t>VEREDA LA SALAZAR</t>
  </si>
  <si>
    <t>C COMUNAL LA SALAZAR_CAICEDO</t>
  </si>
  <si>
    <t>VEREDA EL TAMBOR</t>
  </si>
  <si>
    <t>C COMUNAL EL TAMBOR</t>
  </si>
  <si>
    <t>VEREDA BELLA AGUADA</t>
  </si>
  <si>
    <t>C COMUNAL BELLA AGUADA</t>
  </si>
  <si>
    <t>VEREDA LA CASCAJALA</t>
  </si>
  <si>
    <t>SALON COMUNITARIO LA CASCAJALA</t>
  </si>
  <si>
    <t>VEREDA EL HATO</t>
  </si>
  <si>
    <t>CASETA COMUNAL EL HATO</t>
  </si>
  <si>
    <t>VEREDA ROMERAL</t>
  </si>
  <si>
    <t>CASETA COMUNAL ROMERAL</t>
  </si>
  <si>
    <t>VEREDA ASESI</t>
  </si>
  <si>
    <t>IE SAN JUAN BOSCO SEDE ASESI</t>
  </si>
  <si>
    <t>VEREDA EL PLAYON</t>
  </si>
  <si>
    <t>C COMUNAL EL PLAYON</t>
  </si>
  <si>
    <t>VEREDA LA SOLEDAD_ CERCA A LA CANCHA</t>
  </si>
  <si>
    <t>CASETA COMUNAL LA SOLEDAD</t>
  </si>
  <si>
    <t>CL 6 3 5 A</t>
  </si>
  <si>
    <t>PARQUE EDUCATIVO</t>
  </si>
  <si>
    <t>VEREDA NOQUE_ CERCA A LA CANCHA</t>
  </si>
  <si>
    <t>CASETA COMUNAL NOQUE</t>
  </si>
  <si>
    <t>VEREDA LOS SAUCES_ SECTOR LAS PARTIDAS</t>
  </si>
  <si>
    <t>CASETA COMUNAL LOS SAUCES</t>
  </si>
  <si>
    <t>VEREDA ALTAVISTA</t>
  </si>
  <si>
    <t>C COMUNAL ALTAVISTA</t>
  </si>
  <si>
    <t>05005802025</t>
  </si>
  <si>
    <t xml:space="preserve">CAREPA </t>
  </si>
  <si>
    <t>CL 73 C 73 B 30</t>
  </si>
  <si>
    <t>CDI OCAMA</t>
  </si>
  <si>
    <t>892301084</t>
  </si>
  <si>
    <t>ASOCIACION DE  PADRES DE FAMILIA HOGAR INFANTIL LOS CLAVELITOS</t>
  </si>
  <si>
    <t>KR 66 77 16 BARRIO SAN MARINO</t>
  </si>
  <si>
    <t>CDI SAN MARINO</t>
  </si>
  <si>
    <t>CL 83 66 17 BARRIO JARDIN</t>
  </si>
  <si>
    <t>CDI JARDIN</t>
  </si>
  <si>
    <t>PUEBLO NUEVO</t>
  </si>
  <si>
    <t>CDI LOS SUEÑOS DE MI INFANCIA</t>
  </si>
  <si>
    <t>05005812025</t>
  </si>
  <si>
    <t>VEREDA BELENCITO</t>
  </si>
  <si>
    <t>CORAZONES TIERNOS</t>
  </si>
  <si>
    <t>800145148</t>
  </si>
  <si>
    <t>ASOCIACION DE HOGARES COMUNITARIOS NIÑOS FELICES</t>
  </si>
  <si>
    <t>PIEDRAS BLANCAS</t>
  </si>
  <si>
    <t>CASETA COMUNAL</t>
  </si>
  <si>
    <t>SUEÑOS DE INFANCIA</t>
  </si>
  <si>
    <t>EXPLORADORES</t>
  </si>
  <si>
    <t>VEREDA NUEVA ESPERANZA</t>
  </si>
  <si>
    <t>PINCELES Y COLORES</t>
  </si>
  <si>
    <t>ZUNGO EMBARCADERO</t>
  </si>
  <si>
    <t>VIA ZUNGO EMBARCADERO VEREDA NUEVA ESPERANZA</t>
  </si>
  <si>
    <t>CASA DE FAMLIA VEREDA NUEVA ESPERANZA</t>
  </si>
  <si>
    <t>VIA EL SILENCIO CASA DE FAMILIA BOCAS DE CHIGORODO</t>
  </si>
  <si>
    <t>CASA DE FAMILIA BOCAS DE CHIGORODO</t>
  </si>
  <si>
    <t>VÍA EL SILENCIO, FINCA PATACÓN AL FONDO</t>
  </si>
  <si>
    <t>CASETA LOS INDIOS VEREDA ENCANTO1</t>
  </si>
  <si>
    <t>VIA EL SILENCIO CASETA VEREDA LAS FLORES</t>
  </si>
  <si>
    <t>CASETA VEREDA LAS FLORES</t>
  </si>
  <si>
    <t>CASA PRESDNT JUNTA 25 DE AGOSTO</t>
  </si>
  <si>
    <t>VIA ZUNGO CARRETERA CASETA VEREDA ALMENDROS</t>
  </si>
  <si>
    <t>CASETA VEREDA LOS ALMENDROS 2</t>
  </si>
  <si>
    <t>VIA ZUNGO CARRETERA CASETA VEREDA PRIMAVERA</t>
  </si>
  <si>
    <t>CASETA VEREDA PRIMAVERA</t>
  </si>
  <si>
    <t>VIA PIEDRAS BLANCAS IGLESIA</t>
  </si>
  <si>
    <t>SALON D LA IGLESIA VERED EL CERRO</t>
  </si>
  <si>
    <t>VIA PIEDRAS BLANCAS CASETA</t>
  </si>
  <si>
    <t>C COMUNAL VEREDA EL PLAYON</t>
  </si>
  <si>
    <t>VIA EL SILENCIO CASA</t>
  </si>
  <si>
    <t>CASA DE FAMILIA VEREDA IPANKAI</t>
  </si>
  <si>
    <t>VIA ZUNGO EMBARCADERO CASETA</t>
  </si>
  <si>
    <t>CASETA VEREDA LAS TRESCIENTAS</t>
  </si>
  <si>
    <t>VIA PIEDRAS BLANCAS ESCUELA</t>
  </si>
  <si>
    <t>ESCUELA VEREDA PALMAR</t>
  </si>
  <si>
    <t>VIA ZUNGO EMBARCADERO CASETA COMUNAL</t>
  </si>
  <si>
    <t>C COMUNAL VEREDA PUEBL NUEVO</t>
  </si>
  <si>
    <t>VIA ZUNGO CARRETERA CASA FAMILIAR ALMENDROS</t>
  </si>
  <si>
    <t>CASA FAMILIAR ALMEDROS 2</t>
  </si>
  <si>
    <t>VEREDA ZAISITA</t>
  </si>
  <si>
    <t>CASA FAMILIAR ZAISITA</t>
  </si>
  <si>
    <t>VEREDA 11 DE NOVIEMBRE</t>
  </si>
  <si>
    <t>CASETA VEREDA 11 NOVIEMBRE</t>
  </si>
  <si>
    <t>VEREDA EUCALIPTO ENTRADADA POR LA FINA EL PATACON</t>
  </si>
  <si>
    <t>CASA DE FAMILIA VEREDA EUCALIPTO 2</t>
  </si>
  <si>
    <t>CASA DE FAMILIA VEREDA EL ENCANTO 2</t>
  </si>
  <si>
    <t>VIA PIEDRAS BLANCAS</t>
  </si>
  <si>
    <t>C COMUNAL VEREDA PIEDRS BLANC</t>
  </si>
  <si>
    <t>VEREDA UNION QUINCE VIA EL SILENCIO</t>
  </si>
  <si>
    <t>CASA FAMILIAR VEREDA UNION QUINCE</t>
  </si>
  <si>
    <t>ZAISITA</t>
  </si>
  <si>
    <t>CASA FAMILIAR VEREDA ZAISITA</t>
  </si>
  <si>
    <t>VIA CORREGIMIENTO PIEDRAS BLANCAS</t>
  </si>
  <si>
    <t>CASETA VEREDA ZAISITA 4</t>
  </si>
  <si>
    <t>CORREGIMIENTO PIEDRAS BLANCAS</t>
  </si>
  <si>
    <t>CORREGIMIENTO CAREPITA PROMESCOL</t>
  </si>
  <si>
    <t>CAREPITA PROMESCOL</t>
  </si>
  <si>
    <t>VEREDA CARACOLÍ</t>
  </si>
  <si>
    <t>CARACOLÍ</t>
  </si>
  <si>
    <t>CORREGIMIENTO ZUNGO EMBARCADERO</t>
  </si>
  <si>
    <t>11 DE NOVIEMBRE</t>
  </si>
  <si>
    <t>VEREDA 9 DE ENERO</t>
  </si>
  <si>
    <t>EL SILENCIO</t>
  </si>
  <si>
    <t>VEREDA LA ESMERALDA VIA CORREGIMIENTO PIEDRAS BLANCAS</t>
  </si>
  <si>
    <t>C COMUNAL VEREDA LA ESMERALDA</t>
  </si>
  <si>
    <t>VIA EL SILENCIO VEREDA EUCALIPTO ENTRATA POR LA FICA EL PATACON</t>
  </si>
  <si>
    <t>CASA DE FAMILIA VEREDA EUCALIPTO 1</t>
  </si>
  <si>
    <t>CARITAS SONRIENTES</t>
  </si>
  <si>
    <t>SEMILLAS DEL FUTURO</t>
  </si>
  <si>
    <t>05006012025</t>
  </si>
  <si>
    <t>CL 81 A 65 A 17 BARRIO EL MILAGRO</t>
  </si>
  <si>
    <t>ESTRELLITAS LATINAS</t>
  </si>
  <si>
    <t>811033687</t>
  </si>
  <si>
    <t>CORPORACION PROYECTO DE EMPUJE PARA COLABORACION Y AYUDA SOCIAL</t>
  </si>
  <si>
    <t>PT SAICITA S SUR 12 P 12 NORTE POR EL BILLAR</t>
  </si>
  <si>
    <t>GOTITAS DE AMOR</t>
  </si>
  <si>
    <t>BARRIO OBRERO</t>
  </si>
  <si>
    <t>RAYITOS DE MIL COLORES</t>
  </si>
  <si>
    <t>CASA DE FAMILIA VEREDA EL SILENCIO</t>
  </si>
  <si>
    <t>CL 70 72 72</t>
  </si>
  <si>
    <t>LOS LATINOS</t>
  </si>
  <si>
    <t>KR 72 7430 PRADERA ESTE 12 NORTE IGLESIA PENTE COSTAL</t>
  </si>
  <si>
    <t>ANGELES DEL FUTURO</t>
  </si>
  <si>
    <t>05006262025</t>
  </si>
  <si>
    <t xml:space="preserve">CAUCASIA </t>
  </si>
  <si>
    <t>CALLE 3E N° 4 LAS MALVINAS</t>
  </si>
  <si>
    <t>VILLA TATIANA</t>
  </si>
  <si>
    <t>900134013</t>
  </si>
  <si>
    <t>ASOCIACION DE CAMPESINOS AFROCOLOMBIANOS AGRICULTORES Y PESCADORES DE LA VEREDA EL CHOPA</t>
  </si>
  <si>
    <t>SC LAS MALVINAS DETRAS DEL SOS PAN ZENU VIA EL BAGRE</t>
  </si>
  <si>
    <t>HOJA DE OLIVO</t>
  </si>
  <si>
    <t>KR 20 N 8 16 TRONCAL EQUINA</t>
  </si>
  <si>
    <t>CDI MARA CAUCASIA</t>
  </si>
  <si>
    <t>KR 29 A 28 C 10  BARRIO EL CAMELLO</t>
  </si>
  <si>
    <t>CDI LOS CAMELLITOS</t>
  </si>
  <si>
    <t>05006022025</t>
  </si>
  <si>
    <t>KILOMETRO 2 TRONCAL OCCIDENTE</t>
  </si>
  <si>
    <t>CDI EL TESORO</t>
  </si>
  <si>
    <t>901601055</t>
  </si>
  <si>
    <t>FUNDACIÓN VOCES DE AMOR Y ESPERANZA</t>
  </si>
  <si>
    <t>VEREDA EL PANDO</t>
  </si>
  <si>
    <t>CDI EL PANDO</t>
  </si>
  <si>
    <t>CL 8A CR 24 - 25</t>
  </si>
  <si>
    <t>GARABATEANDO</t>
  </si>
  <si>
    <t>CL 11 16 48 BARRIO LAS BRISAS</t>
  </si>
  <si>
    <t>CDI CASITA DE SUEÑOS</t>
  </si>
  <si>
    <t>CR 18 31 -19 EL PALMAR</t>
  </si>
  <si>
    <t>LAURA CAMILA</t>
  </si>
  <si>
    <t>CL 4 A SUR 5 06</t>
  </si>
  <si>
    <t>CDI LA FINQUITA</t>
  </si>
  <si>
    <t>CALLE 8 N° 19-38 PUEBLO NUEVO</t>
  </si>
  <si>
    <t>CDI RINCON MAGICO</t>
  </si>
  <si>
    <t>05005712025</t>
  </si>
  <si>
    <t>CHIGORODO</t>
  </si>
  <si>
    <t>KR 109 92 A 09 BARRIO LOS BALSOS</t>
  </si>
  <si>
    <t>SUEÑOS DE COMPARTIR LOS BALSOS</t>
  </si>
  <si>
    <t>CONSEJO COMUNITARIO GENERAL DE LA COSTA PACIFICA NORTE DEL CHOCO LOS DELFINES</t>
  </si>
  <si>
    <t>KR 101 A 108 06 LOS LIBERTADORES</t>
  </si>
  <si>
    <t>SUEÑOS DE COMPARTIR CHIGORODO</t>
  </si>
  <si>
    <t>KR 89 A 96 BIS 44 FRENTE A LA PLACA DEPORTIVA</t>
  </si>
  <si>
    <t>CDI GUAYABAL INSTITUCIONAL</t>
  </si>
  <si>
    <t>05005502025</t>
  </si>
  <si>
    <t>KR 102 85 55</t>
  </si>
  <si>
    <t>UNIDAD 5</t>
  </si>
  <si>
    <t>901376433</t>
  </si>
  <si>
    <t>FUNDACION EDUCATIVA SOY PAZ</t>
  </si>
  <si>
    <t>CL 88 105</t>
  </si>
  <si>
    <t>UNIDAD 7</t>
  </si>
  <si>
    <t>KR 94 84 95 52</t>
  </si>
  <si>
    <t>UNIDAD 8</t>
  </si>
  <si>
    <t>TIERRA SANTA</t>
  </si>
  <si>
    <t>UNIDAD 10</t>
  </si>
  <si>
    <t>CL 96 93 A 10</t>
  </si>
  <si>
    <t>UNIDAD 12</t>
  </si>
  <si>
    <t>UNIDAD 14</t>
  </si>
  <si>
    <t>CL 82 97 04</t>
  </si>
  <si>
    <t>UNIDAD 6</t>
  </si>
  <si>
    <t>BARRANQUILLITA</t>
  </si>
  <si>
    <t>C COMUNAL BARRANQUILLITA 1Y2</t>
  </si>
  <si>
    <t>VEREDA GUAPA CARRETERA</t>
  </si>
  <si>
    <t>CASETA GUAPA CARRETERA 1,2 3</t>
  </si>
  <si>
    <t>VEREDA CHAMPITA</t>
  </si>
  <si>
    <t>CASA FAMILIAR CHAMPITA1Y2</t>
  </si>
  <si>
    <t>VEREDA RIPEA</t>
  </si>
  <si>
    <t>CASA FAMILIAR RIPEA</t>
  </si>
  <si>
    <t>VEREDA VENADO COHIMBRA</t>
  </si>
  <si>
    <t>CASA FAMILIAR VENADO C</t>
  </si>
  <si>
    <t>KIOSCO EL TIGRE</t>
  </si>
  <si>
    <t>VEREDA EL THULE</t>
  </si>
  <si>
    <t>GANADERIA THULE</t>
  </si>
  <si>
    <t>VEREDA MALAGON</t>
  </si>
  <si>
    <t>CASA DE FAMILIA MALAGON</t>
  </si>
  <si>
    <t>BARRIO BRISAS DEL RIO</t>
  </si>
  <si>
    <t>CASA FAMILIAR BRISASDELRIO</t>
  </si>
  <si>
    <t>VEREDA BARRANQUILLITA PARCELA 20</t>
  </si>
  <si>
    <t>CASETA PARCELA KM 25</t>
  </si>
  <si>
    <t>VEREDA BARRANQUILLITA</t>
  </si>
  <si>
    <t>TIENDA BARRANQUILLITA KM 30</t>
  </si>
  <si>
    <t>CASA FAMILIAR BARRIO EL BOSQUE</t>
  </si>
  <si>
    <t>CASA FAMILIAR BOSQUE 1Y2</t>
  </si>
  <si>
    <t>LOS OLIVOS</t>
  </si>
  <si>
    <t>CASA FAMILIAR OLIVOS 1234</t>
  </si>
  <si>
    <t>VEREDA EL DOS</t>
  </si>
  <si>
    <t>CASETA EL DOS 123</t>
  </si>
  <si>
    <t>BILLAR VEREDA JURADO</t>
  </si>
  <si>
    <t>BILLAR JURADO 2</t>
  </si>
  <si>
    <t>CASA DE FAMILIA VEREDA REMIGIO</t>
  </si>
  <si>
    <t>CASA FAMILIAR REMIGIO 1</t>
  </si>
  <si>
    <t>ESCUELA VEREDA REMIGIO</t>
  </si>
  <si>
    <t>ESCUELA REMIGIO 2</t>
  </si>
  <si>
    <t>VEREDA GUAGUA</t>
  </si>
  <si>
    <t>C COMUNAL GUAGUA 1Y2</t>
  </si>
  <si>
    <t>BARRIO LA CASTELLANA</t>
  </si>
  <si>
    <t>CASETA CASTELLANA 1Y2</t>
  </si>
  <si>
    <t>MINA</t>
  </si>
  <si>
    <t>CASA FAMILIAR MINA</t>
  </si>
  <si>
    <t>CARAMBOLO</t>
  </si>
  <si>
    <t>VERACRUZ - 1</t>
  </si>
  <si>
    <t>VERACRUZ  1</t>
  </si>
  <si>
    <t>VEREDA LAS GUAGUAS</t>
  </si>
  <si>
    <t>VERACRUZ  2</t>
  </si>
  <si>
    <t>VEREDA EL DOS GUAPA</t>
  </si>
  <si>
    <t>EL DOS GUAPA</t>
  </si>
  <si>
    <t>BRISAS DE URABA</t>
  </si>
  <si>
    <t>UNIDAD 2</t>
  </si>
  <si>
    <t>05005822025</t>
  </si>
  <si>
    <t>AC 80 98 21</t>
  </si>
  <si>
    <t>UNIDAD 9</t>
  </si>
  <si>
    <t>900119880</t>
  </si>
  <si>
    <t>CORPORACION MUNDO AZUL</t>
  </si>
  <si>
    <t>CL 85 94 108</t>
  </si>
  <si>
    <t>UNIDAD 11</t>
  </si>
  <si>
    <t>KR 102 85</t>
  </si>
  <si>
    <t>UNIDAD 13</t>
  </si>
  <si>
    <t>KR 95 82 A 25</t>
  </si>
  <si>
    <t>CASA FAMILIAR BRISAS URA1Y2</t>
  </si>
  <si>
    <t>CL 87 98 70</t>
  </si>
  <si>
    <t>CASA FAMILIAR LA UNION</t>
  </si>
  <si>
    <t>KR 101 A 83 27</t>
  </si>
  <si>
    <t>KIOSCO PRADO 12</t>
  </si>
  <si>
    <t>KR 90 96 37 EL GUAYABAL</t>
  </si>
  <si>
    <t>KIOSCO COMUNA ESQUI VERDE PLAYA1,2</t>
  </si>
  <si>
    <t>CL 88 105 47 KENNEDY</t>
  </si>
  <si>
    <t>LOCAL FLIA MEDINA BARRIO EL PARAISO</t>
  </si>
  <si>
    <t>CL 5 87 10</t>
  </si>
  <si>
    <t>SALON COMUNAL SENDEROS DEL GUAYABAL</t>
  </si>
  <si>
    <t>CL 93 101 03 BARRIO EL JARDIN</t>
  </si>
  <si>
    <t>CASA FAMILIAR LINA HENAO</t>
  </si>
  <si>
    <t>KR 109 92 A 25 LOS BALSOS</t>
  </si>
  <si>
    <t>CASA FAMILIAR SANDRA MAUSA EL JARDIN</t>
  </si>
  <si>
    <t>CASA FLIA ROSA LIBIN BARRIO EL BOSQUE</t>
  </si>
  <si>
    <t>UNIDAD 1</t>
  </si>
  <si>
    <t>VERACRUZ</t>
  </si>
  <si>
    <t>UNIDAD 3</t>
  </si>
  <si>
    <t>CL 90 99 40 JARDIN</t>
  </si>
  <si>
    <t>UNIDAD 4</t>
  </si>
  <si>
    <t>05005512025</t>
  </si>
  <si>
    <t xml:space="preserve">CISNEROS </t>
  </si>
  <si>
    <t>VEREDA EL CADILLO</t>
  </si>
  <si>
    <t>CER EL CADILLO</t>
  </si>
  <si>
    <t>VEREDA CAMPO ALEGRE</t>
  </si>
  <si>
    <t>C COMUNAL CAMPO ALEGRE</t>
  </si>
  <si>
    <t>C COMUNAL EL DOS</t>
  </si>
  <si>
    <t>VEREDA EL SILENCIO</t>
  </si>
  <si>
    <t>CER EL SILENCIO</t>
  </si>
  <si>
    <t>VEREDA SABANALARGA</t>
  </si>
  <si>
    <t>CER SABANALARGA</t>
  </si>
  <si>
    <t>KR 16 18 48</t>
  </si>
  <si>
    <t>IE CISNEROSSEDE CONCEPCIÓN RESTREPO</t>
  </si>
  <si>
    <t>VEREDA EL BRASIL</t>
  </si>
  <si>
    <t>CER EL BRASIL CISNEROS</t>
  </si>
  <si>
    <t>VEREDA SAN VICTORINO</t>
  </si>
  <si>
    <t>C COMUNAL SAN VICTORINO</t>
  </si>
  <si>
    <t>05005832025</t>
  </si>
  <si>
    <t>CZ ORIENTE MEDIO</t>
  </si>
  <si>
    <t>COCORNA</t>
  </si>
  <si>
    <t>VEREDA EL MOLINO</t>
  </si>
  <si>
    <t>CER EL MOLINO</t>
  </si>
  <si>
    <t>VEREDA LA MILAGROSA</t>
  </si>
  <si>
    <t>CER LA MILAGROSA</t>
  </si>
  <si>
    <t>VEREDA LAS MERCEDES</t>
  </si>
  <si>
    <t>CER LAS MERCEDES</t>
  </si>
  <si>
    <t>KR 21 17 60 SECTOR LA GRANJA</t>
  </si>
  <si>
    <t>MIS DULCES AÑOS</t>
  </si>
  <si>
    <t>VEREDA LA PIÑUELA</t>
  </si>
  <si>
    <t>MUNDO MAGICO</t>
  </si>
  <si>
    <t>VEREDA LAS CRUCES</t>
  </si>
  <si>
    <t>CER LAS CRUCES</t>
  </si>
  <si>
    <t>KR 19 21 23  CALLE MANIZALEZ</t>
  </si>
  <si>
    <t>COCORNA LAS PALOMAS</t>
  </si>
  <si>
    <t>05005522025</t>
  </si>
  <si>
    <t>CONCORDIA</t>
  </si>
  <si>
    <t>CL PRINCIPAL CENTRO</t>
  </si>
  <si>
    <t xml:space="preserve">CDI NIÑOS DEL CAFE </t>
  </si>
  <si>
    <t>CL 16 CARRERA AL 17 28  HOYO CALIENTE</t>
  </si>
  <si>
    <t>CDI HELIODORO ANGEL ECHEVERRY</t>
  </si>
  <si>
    <t>PARTIDAS DE MORELIA</t>
  </si>
  <si>
    <t>CER PARTIDAS DE MORELIA</t>
  </si>
  <si>
    <t>LA AURORA</t>
  </si>
  <si>
    <t>CER LA AURORA</t>
  </si>
  <si>
    <t>LLANADITAS</t>
  </si>
  <si>
    <t>CER LLANADITAS</t>
  </si>
  <si>
    <t>ARBOLEDA</t>
  </si>
  <si>
    <t>CER LA ARBOLEDA_CONCORDIA</t>
  </si>
  <si>
    <t>VEREDA SANTA RITA</t>
  </si>
  <si>
    <t>CER SANTA RITA ABAJO</t>
  </si>
  <si>
    <t>VEREDA YARUMAL</t>
  </si>
  <si>
    <t>CER YARUMAL</t>
  </si>
  <si>
    <t>EL GOLPE</t>
  </si>
  <si>
    <t>CER EL GOLPE</t>
  </si>
  <si>
    <t>LA HONDINA</t>
  </si>
  <si>
    <t>CER LA HONDINA</t>
  </si>
  <si>
    <t>BURGOS MEDIO</t>
  </si>
  <si>
    <t>CER BURGOS MEDIO</t>
  </si>
  <si>
    <t>VEREDA MORITOS</t>
  </si>
  <si>
    <t>CER MORITOS</t>
  </si>
  <si>
    <t>VEREDA CASA GRANDE</t>
  </si>
  <si>
    <t>CER CASA GRANDE</t>
  </si>
  <si>
    <t>VEREDA LA RAYA</t>
  </si>
  <si>
    <t>CER LA RAYA</t>
  </si>
  <si>
    <t>CER SANTA RITA ARRIBA</t>
  </si>
  <si>
    <t>VEREDA MORELIA</t>
  </si>
  <si>
    <t>CER MORELIA</t>
  </si>
  <si>
    <t>VEREDA EL SOCORRO</t>
  </si>
  <si>
    <t>CER EL SOCORRO</t>
  </si>
  <si>
    <t>VEREDA RUMBADERO</t>
  </si>
  <si>
    <t>C COMUNAL RUMBADERO</t>
  </si>
  <si>
    <t>LA COSTA</t>
  </si>
  <si>
    <t>CER LA COSTA</t>
  </si>
  <si>
    <t>BURGOS ABAJO</t>
  </si>
  <si>
    <t>CER BURGOS ABAJO</t>
  </si>
  <si>
    <t>VEREDA CAUNZAL</t>
  </si>
  <si>
    <t>CER CAUNZAL</t>
  </si>
  <si>
    <t>VEREDA EL CASCAJO</t>
  </si>
  <si>
    <t>CER EL CASCAJO</t>
  </si>
  <si>
    <t>CER LAS ANIMAS_CONCORDIA</t>
  </si>
  <si>
    <t>KR 17 N 19 66</t>
  </si>
  <si>
    <t>CDI LUCERITO</t>
  </si>
  <si>
    <t>LA MARIA</t>
  </si>
  <si>
    <t>CER LA MARIA</t>
  </si>
  <si>
    <t>05006032025</t>
  </si>
  <si>
    <t>DONMATIAS</t>
  </si>
  <si>
    <t>KR 27 28 02</t>
  </si>
  <si>
    <t>SALTARINES 2</t>
  </si>
  <si>
    <t>806013417</t>
  </si>
  <si>
    <t>CORPORACION PARA EL DESARROLLO ETNOCULTURAL - EDUCAR</t>
  </si>
  <si>
    <t>CORREGIMIENTO BELLAVISTA</t>
  </si>
  <si>
    <t>CASA DE LA CULTURA BELLAVISTA UDS 1</t>
  </si>
  <si>
    <t>IER BENILDA VALENCIA</t>
  </si>
  <si>
    <t>VEREDA RIOCHICO</t>
  </si>
  <si>
    <t>CER RIOCHICO</t>
  </si>
  <si>
    <t>VEREDA PIEDRAHITA</t>
  </si>
  <si>
    <t>C COMUNAL PIEDRAHITA</t>
  </si>
  <si>
    <t>VEREDA LA MONTERA</t>
  </si>
  <si>
    <t>CER FRANCISCO RESTREPO</t>
  </si>
  <si>
    <t>VEREDA PRADERA</t>
  </si>
  <si>
    <t>CER LA PRADERA</t>
  </si>
  <si>
    <t>VEREDA MIRAFLORES</t>
  </si>
  <si>
    <t>C COMUNAL MIRAFLORES_DONMATIAS</t>
  </si>
  <si>
    <t>VEREDA ARRAYANES</t>
  </si>
  <si>
    <t>CER LOS ARRAYANES UDS 1</t>
  </si>
  <si>
    <t>VEREDA PANDEAZUCAR</t>
  </si>
  <si>
    <t>CER PANDEAZÚCAR</t>
  </si>
  <si>
    <t>VEREDA RIOGRANDE</t>
  </si>
  <si>
    <t>CER RIOGRANDE</t>
  </si>
  <si>
    <t>VEREDA QUEBRADA ARRIBA</t>
  </si>
  <si>
    <t>C COMUNAL QUEBRADA ARRIBA_DONMATIAS</t>
  </si>
  <si>
    <t>VEREDA IBORRA</t>
  </si>
  <si>
    <t>C COMUNAL IBORRA</t>
  </si>
  <si>
    <t>VEREDA ROMAZON</t>
  </si>
  <si>
    <t>CER FELIX CASTAÑO</t>
  </si>
  <si>
    <t>VEREDA BOCATOMA CASA DE FAMILIA USUARIA</t>
  </si>
  <si>
    <t>CASA DE FAMILIA USUARIA BOCATOMA</t>
  </si>
  <si>
    <t>INSTITUCIÓN EDUCATIVA JESUS MARIA OSORNO</t>
  </si>
  <si>
    <t>IER JESUS MARIA OSORNO</t>
  </si>
  <si>
    <t>CL 31 31 25</t>
  </si>
  <si>
    <t>ESCUELA LUIS LOPEZ DE MESA</t>
  </si>
  <si>
    <t>VEREDA COLÓN</t>
  </si>
  <si>
    <t>CER JUSTINIANO RAMIREZ</t>
  </si>
  <si>
    <t>KR 29 23 B 22</t>
  </si>
  <si>
    <t>SALTARINES 1</t>
  </si>
  <si>
    <t>KR 29 27 56 BARRIO VILLANUEVA</t>
  </si>
  <si>
    <t>CDI OSITOS</t>
  </si>
  <si>
    <t>VEREDA LA CORREA</t>
  </si>
  <si>
    <t>CER MIGUEL ANGEL BUILES</t>
  </si>
  <si>
    <t xml:space="preserve">EL BAGRE </t>
  </si>
  <si>
    <t>BARRIO SAN JOSE</t>
  </si>
  <si>
    <t>CASA FAMILIAR POMPITAS SAN JOSE</t>
  </si>
  <si>
    <t>900314623</t>
  </si>
  <si>
    <t>FUNDACION COLECTIVO COAFRO 16</t>
  </si>
  <si>
    <t>BARRIOS COLINAS</t>
  </si>
  <si>
    <t>CASA FAMILIAR MIS AVENTURAS COLINAS</t>
  </si>
  <si>
    <t>CL 41 55 5</t>
  </si>
  <si>
    <t>KIOSCO VILLA ALEGRIA ECHEVERRI</t>
  </si>
  <si>
    <t>CL 70 A 35 28 BARRIO SAN JOSE</t>
  </si>
  <si>
    <t>CASA FAMILIAR SAN JOSE</t>
  </si>
  <si>
    <t>FRENTE AL CDI COLINAS BARRIO COLINAS</t>
  </si>
  <si>
    <t>KIOSCO LAS COLINAS</t>
  </si>
  <si>
    <t>KR 50 54 2 BARRIO PALIZADA</t>
  </si>
  <si>
    <t>IGLESIA CATOLICA PALIZADA</t>
  </si>
  <si>
    <t>EL PROGRESO</t>
  </si>
  <si>
    <t>CASA FAMILIAR ARCOIRIS DE AMOR</t>
  </si>
  <si>
    <t>CL 53 NUMERO 42 87</t>
  </si>
  <si>
    <t>EL BAGRE INSTITUCIONAL</t>
  </si>
  <si>
    <t>KR 49 N 48 55 BARRIO METROPOLIS</t>
  </si>
  <si>
    <t>CDI IGUANITAS DE ORO EL BAGRE</t>
  </si>
  <si>
    <t>CL 53 FRENTE AL PARQUE 0 0 LA FLORESTA</t>
  </si>
  <si>
    <t xml:space="preserve">CDI LA FLORESTA EL BAGRE </t>
  </si>
  <si>
    <t>BARRIO PALIZADA</t>
  </si>
  <si>
    <t>CASA DE INSPECCION HUELLAS DE AMOR</t>
  </si>
  <si>
    <t>900525875</t>
  </si>
  <si>
    <t>ASOCIACION CAMPESINOS AFRODECENDIENTES DE LA MOJANA</t>
  </si>
  <si>
    <t>PARA RADICAR</t>
  </si>
  <si>
    <t>CASA FAMILIAR LOS TRAVIESOS SAN JOSE</t>
  </si>
  <si>
    <t>VEREDA BROJOLA</t>
  </si>
  <si>
    <t>C COMUNAL MI MUNDO DE TERNURA BROJOLA</t>
  </si>
  <si>
    <t>VEREDA EL NOVENTA</t>
  </si>
  <si>
    <t>CASA FAMILIAR LAS JIRAFITAS EL NOVENTA</t>
  </si>
  <si>
    <t>VEREDA LA SOLA</t>
  </si>
  <si>
    <t>C COMUNAL ARCOIRIS DE AMOR LA SOLA</t>
  </si>
  <si>
    <t>C COMUNAL HUELLAS DE AMOR B. AIRES</t>
  </si>
  <si>
    <t>VEREDA LAS NEGRITAS</t>
  </si>
  <si>
    <t>C COMUNAL MUNDO DE COLORES NEGRITAS</t>
  </si>
  <si>
    <t>VEREDA LA BORRACHERA</t>
  </si>
  <si>
    <t>C COMUNAL MUNDO DE COLORES BORRACHERA</t>
  </si>
  <si>
    <t>VEREDA AGUACATES</t>
  </si>
  <si>
    <t>CASA COMUNAL SEMILLAS DE AMOR AGU</t>
  </si>
  <si>
    <t>CASETA DE ACCIÓN COMUNAL</t>
  </si>
  <si>
    <t>RIO VIEJO 1 EL BAGRE</t>
  </si>
  <si>
    <t>RIO VIEJO 2 EL BAGRE</t>
  </si>
  <si>
    <t>FINCA FAMILIAR</t>
  </si>
  <si>
    <t>CAÑO CLARO</t>
  </si>
  <si>
    <t>MUQUI</t>
  </si>
  <si>
    <t xml:space="preserve">ARENAS BLANCAS </t>
  </si>
  <si>
    <t>IER RURAL LA CORONA</t>
  </si>
  <si>
    <t>LA CORONA 1</t>
  </si>
  <si>
    <t>LA CORONA 2</t>
  </si>
  <si>
    <t>IER RURAL</t>
  </si>
  <si>
    <t>SANTA TEREZA</t>
  </si>
  <si>
    <t>SAN CARLOS</t>
  </si>
  <si>
    <t>CASA DEL ADULTO MAYOR 3</t>
  </si>
  <si>
    <t>PUERTO LOPEZ 3</t>
  </si>
  <si>
    <t>CASA DEL ADULTO MAYOR 4</t>
  </si>
  <si>
    <t>PUERTO LOPEZ 4</t>
  </si>
  <si>
    <t>CASA DEL ADULTO MAYOR 5</t>
  </si>
  <si>
    <t>PUERTO LOPEZ 5</t>
  </si>
  <si>
    <t>CASA DEL ADULTO MAYOR 6</t>
  </si>
  <si>
    <t>EL PERICO</t>
  </si>
  <si>
    <t>VEREDA CORONCORO VIA EL REAL</t>
  </si>
  <si>
    <t>SALON COMUNAL HUELLAS DE AMOR CORONCORO</t>
  </si>
  <si>
    <t>VEREDA EL REAL</t>
  </si>
  <si>
    <t>SALON COMUNAL HUELLAS DE AMOR EL REAL</t>
  </si>
  <si>
    <t>VEREDA PINDORA</t>
  </si>
  <si>
    <t>KIOSCO PINDORA</t>
  </si>
  <si>
    <t>05005842025</t>
  </si>
  <si>
    <t xml:space="preserve">EL SANTUARIO </t>
  </si>
  <si>
    <t>VEREDA ALDANA ARRIBA CONTIGUA AL MUNICIPIO DEL CARMEN</t>
  </si>
  <si>
    <t>CER PBR JESUS ANTONIO GOMEZ S.ALDANA A</t>
  </si>
  <si>
    <t>811013275</t>
  </si>
  <si>
    <t>CORPORACIÓN EDUCACIÓN SIN FRONTERAS</t>
  </si>
  <si>
    <t>VEREDA LA SERRANÍA CONTIGUA A LA VALLE DE MARÍA</t>
  </si>
  <si>
    <t>CER J.I.B.P SEDE LUIS PINEDA</t>
  </si>
  <si>
    <t>VEREDA LA PAZ VIA GRANADA</t>
  </si>
  <si>
    <t>CER JOSE IGNACIO BOTERO PALACIO S.LA PAZ</t>
  </si>
  <si>
    <t>VEREDA VARGAS</t>
  </si>
  <si>
    <t>CER MONS FRANCISCO LUIS GOMEZ S. VARGAS</t>
  </si>
  <si>
    <t>CL 45 B 54 310 AUTOPISTA MEDELLIN  BOGOTA EL SALADITO</t>
  </si>
  <si>
    <t xml:space="preserve"> EL SANTUARIO MIS PEQUEÑOS GIGANTES</t>
  </si>
  <si>
    <t>KR 45 52 B 32 CDI JARDIN INFANTIL SEMILLITAS</t>
  </si>
  <si>
    <t>SEMILLITAS</t>
  </si>
  <si>
    <t>KR 46 48 A 15 BARRIO EL VERGEL</t>
  </si>
  <si>
    <t>EL SANTUARIO  EL MUNDO DE LOS SUEÑOS</t>
  </si>
  <si>
    <t>CL 43 B 49 B 18 SECTOR SAN VICENTE DE PAUL</t>
  </si>
  <si>
    <t>PRESBITERO LUIS RODOLFO GOMEZ</t>
  </si>
  <si>
    <t xml:space="preserve">RIONEGRO </t>
  </si>
  <si>
    <t>KR 52 44 48   BARRIO BELCHITE</t>
  </si>
  <si>
    <t>CASA CDI BELCHITE</t>
  </si>
  <si>
    <t>05005532025</t>
  </si>
  <si>
    <t xml:space="preserve">FREDONIA </t>
  </si>
  <si>
    <t>EL UVITAL</t>
  </si>
  <si>
    <t>JAC EL UVITAL</t>
  </si>
  <si>
    <t>EL MANGO</t>
  </si>
  <si>
    <t>JDC EL MANGO</t>
  </si>
  <si>
    <t>LOS PALOMOS</t>
  </si>
  <si>
    <t>JDC PALOMOS</t>
  </si>
  <si>
    <t>MURRAPAL</t>
  </si>
  <si>
    <t>IE MURRAPAL</t>
  </si>
  <si>
    <t>EL PLAN</t>
  </si>
  <si>
    <t>IE JOSE MARIA OBANDO</t>
  </si>
  <si>
    <t>COMBIA GRANDE</t>
  </si>
  <si>
    <t>IER MURRAPAL SEDE COMBIA GRANDE</t>
  </si>
  <si>
    <t>PUENTE IGESIAS</t>
  </si>
  <si>
    <t>CER ALFONSO PALACIO ARANGO</t>
  </si>
  <si>
    <t>LA GARRUCHA</t>
  </si>
  <si>
    <t>C COMUNAL LA GARRUCHA</t>
  </si>
  <si>
    <t>MARSELLA</t>
  </si>
  <si>
    <t>IER LLANO GRANDE</t>
  </si>
  <si>
    <t>EL ZANCUDO</t>
  </si>
  <si>
    <t>IER EDELMIRA ALVAREZ</t>
  </si>
  <si>
    <t>VEREDA SABALETAS</t>
  </si>
  <si>
    <t>IER SABALETAS</t>
  </si>
  <si>
    <t>KR 51 48 12 CALLE DEL HOSPITAL</t>
  </si>
  <si>
    <t>CASA DE LA CULTURA JULIO CÉSAR GARCÍA</t>
  </si>
  <si>
    <t>CORREGIMIENTO DE LA MINA</t>
  </si>
  <si>
    <t>SALON PARROQUIAL SANTA MARIA MAGDALENA</t>
  </si>
  <si>
    <t>VEREDA NARANJAL</t>
  </si>
  <si>
    <t>CER NARANJAL FREDONIA</t>
  </si>
  <si>
    <t>C COMUNAL LA MARIA_FREDONIA</t>
  </si>
  <si>
    <t>CARRERA 49 #45-44</t>
  </si>
  <si>
    <t>TRAZOS ALEGRES 1</t>
  </si>
  <si>
    <t>KR 52 N 51 61 CATAFORA</t>
  </si>
  <si>
    <t>TRAZOS ALEGRES 2</t>
  </si>
  <si>
    <t>JUNTA DE ACCIÓN COMUNAL  CORREGIMIENTO PALOMOS</t>
  </si>
  <si>
    <t>TRAZOS ALEGRES 3</t>
  </si>
  <si>
    <t>05006042025</t>
  </si>
  <si>
    <t>CZ OCCIDENTE</t>
  </si>
  <si>
    <t>GIRALDO</t>
  </si>
  <si>
    <t>VEREDA SIERRITA SECTOR COLORADO</t>
  </si>
  <si>
    <t>C COMUNAL DULCE ARMONIA</t>
  </si>
  <si>
    <t>900592778</t>
  </si>
  <si>
    <t>FUNVAPOE</t>
  </si>
  <si>
    <t>VEREDA LA SIERRA</t>
  </si>
  <si>
    <t>C COMUNAL SEMILLAS DE ESPERANZA</t>
  </si>
  <si>
    <t>PEÑITAS</t>
  </si>
  <si>
    <t>INSPECCION 1 SEMILLAS DE AMOR</t>
  </si>
  <si>
    <t>VEREDA ROBLAR</t>
  </si>
  <si>
    <t>C COMUNAL CORAZONES ALEGRES</t>
  </si>
  <si>
    <t>TOYO,TAMBO</t>
  </si>
  <si>
    <t>C COMUNAL PEQUEÑOS CAMINANTES</t>
  </si>
  <si>
    <t>VEREDA LA SIERRITA</t>
  </si>
  <si>
    <t>CASETA COMUNAL HUELLITAS DE AMOR</t>
  </si>
  <si>
    <t>VEREDA CUAJARON</t>
  </si>
  <si>
    <t>ESCUELA FORJADORES DE AMOR</t>
  </si>
  <si>
    <t>PLANTA</t>
  </si>
  <si>
    <t>C COMUNAL UNMUNDO LLENO DEAVENTURAS</t>
  </si>
  <si>
    <t>BALSO</t>
  </si>
  <si>
    <t>ESCUELA MI PEQUEÑO MUNDO</t>
  </si>
  <si>
    <t>CORREGIMIENTO MANGLAR</t>
  </si>
  <si>
    <t>C COMUNAL 123 AYUDANOS A CRECER</t>
  </si>
  <si>
    <t>VEREDA EL LIMO</t>
  </si>
  <si>
    <t>CASA UN MUNDO DE SONRISAS</t>
  </si>
  <si>
    <t>VEREDA TINAJITAS</t>
  </si>
  <si>
    <t>CASA MIS PRIMEROS PASOS</t>
  </si>
  <si>
    <t>CL 10 07 26 CL PPAL</t>
  </si>
  <si>
    <t>SEMILLAS DE AMOR</t>
  </si>
  <si>
    <t>05005542025</t>
  </si>
  <si>
    <t>GIRARDOTA</t>
  </si>
  <si>
    <t>VEREDA JUAN COJO</t>
  </si>
  <si>
    <t>ESCUELA JUAN COJO 1_2</t>
  </si>
  <si>
    <t>VEREDA LAS CUCHILLAS</t>
  </si>
  <si>
    <t>ACCION COMUNAL LAS CUCHILLAS</t>
  </si>
  <si>
    <t>VEREDA EL PALMAR</t>
  </si>
  <si>
    <t>SALON ALTO DEL BARRO EL PALMAR</t>
  </si>
  <si>
    <t>VEREDA MERCEDES ABREGO</t>
  </si>
  <si>
    <t>LA ESCUELA MERCEDES ABREGO</t>
  </si>
  <si>
    <t>VEREDA SAN ESTEBAN CAPILLA</t>
  </si>
  <si>
    <t>CAPILLA SAN ESTEBAN 1_3</t>
  </si>
  <si>
    <t>VEREDA LOMA DE LOS OCHOA</t>
  </si>
  <si>
    <t>ACCION COMUNAL LOMA DE LOS OCHOA</t>
  </si>
  <si>
    <t>VEREDA LA PALMA</t>
  </si>
  <si>
    <t>ACCION COMUNAL LA PALMA</t>
  </si>
  <si>
    <t>VEREDA SAN DIEGO</t>
  </si>
  <si>
    <t>ACCION COMUNAL SAN DIEGO</t>
  </si>
  <si>
    <t>VEREDA MANGA ARRIBA</t>
  </si>
  <si>
    <t>ACCION COMUNAL MANGA ARRIBA 1_2</t>
  </si>
  <si>
    <t>VEREDA JAMUNDI</t>
  </si>
  <si>
    <t>ACCION COMUNAL JAMUNDI 1_3</t>
  </si>
  <si>
    <t>ACCION COMUNAL EL PARAISO JAMUNDI2</t>
  </si>
  <si>
    <t>CL 18 CL 07 - 132</t>
  </si>
  <si>
    <t>VEREDA SAN ESTEBAN</t>
  </si>
  <si>
    <t>ACCION COMUNAL SAN ESTEBAN</t>
  </si>
  <si>
    <t>ACCION COMUNAL EL SOCORRO</t>
  </si>
  <si>
    <t>VEREDA SAN ANDRES</t>
  </si>
  <si>
    <t>PARQUE VIVO EL SAINETE SAN ANDRES</t>
  </si>
  <si>
    <t>VEREDA EL TOTUMO</t>
  </si>
  <si>
    <t>ACCION COMUNAL EL TOTUMO</t>
  </si>
  <si>
    <t>VEREDA EL BARRO</t>
  </si>
  <si>
    <t>ESCUELA EL BARRO</t>
  </si>
  <si>
    <t>VEREDA EL YARUMO, SECTOR LA ESCUELA</t>
  </si>
  <si>
    <t xml:space="preserve">RETOÑOS DE AMOR </t>
  </si>
  <si>
    <t>DULCES AVENTURAS</t>
  </si>
  <si>
    <t>KR 16 9 12 SANTA ANA</t>
  </si>
  <si>
    <t>CASITA ENCANTADA</t>
  </si>
  <si>
    <t>VEREDA ENCENILLOS</t>
  </si>
  <si>
    <t>ACCION COMUNAL ENCENILLOS 1_2</t>
  </si>
  <si>
    <t>VEREDA LA PALMA, SECTOR LA CALLE</t>
  </si>
  <si>
    <t>SECTOR LA CALLE</t>
  </si>
  <si>
    <t>05005852025</t>
  </si>
  <si>
    <t>GRANADA</t>
  </si>
  <si>
    <t>EL EDEN</t>
  </si>
  <si>
    <t>CER EL EDEN SEDE PRINCIPAL</t>
  </si>
  <si>
    <t>KR 21 A 24 01  SECTOR ASUNCION</t>
  </si>
  <si>
    <t>FUENTECITAS DEL SABER</t>
  </si>
  <si>
    <t>05006132025</t>
  </si>
  <si>
    <t xml:space="preserve">GUARNE </t>
  </si>
  <si>
    <t>VEREDA BELLAVISTA</t>
  </si>
  <si>
    <t>MIS PEQUEÑINES</t>
  </si>
  <si>
    <t>VEREDA TOLDAS</t>
  </si>
  <si>
    <t>CARRUSEL DE LA ALEGRÍA</t>
  </si>
  <si>
    <t>VEREDA ALTO DE LA VIRGEN</t>
  </si>
  <si>
    <t>GRANDES SOÑADORES</t>
  </si>
  <si>
    <t>VEREDA EL SANGO</t>
  </si>
  <si>
    <t>VEREDA LA HONDA</t>
  </si>
  <si>
    <t>PEQUEÑOS GIRASOLES</t>
  </si>
  <si>
    <t>CL 56 52 74 A 52 172</t>
  </si>
  <si>
    <t>CDI CARRUSEL DE LOS SUEÑOS 1</t>
  </si>
  <si>
    <t>CL 55 50 62  SALON ASOCOMUNAL</t>
  </si>
  <si>
    <t>CDI CARRUSEL DE LOS SUEÑOS 2</t>
  </si>
  <si>
    <t>05006212025</t>
  </si>
  <si>
    <t>CZ LA MESETA</t>
  </si>
  <si>
    <t>ITUANGO</t>
  </si>
  <si>
    <t>CORREGIMIENTO SANTA RITA</t>
  </si>
  <si>
    <t>LUDOTECA SANTA RITA</t>
  </si>
  <si>
    <t>VEREDA LA GEORGIA</t>
  </si>
  <si>
    <t>C COMUNAL GEORGIA</t>
  </si>
  <si>
    <t>VEREDA PALOBLANCO</t>
  </si>
  <si>
    <t>IER PALOBLANCO</t>
  </si>
  <si>
    <t>VEREDA MONTE ALTO</t>
  </si>
  <si>
    <t>CASA DE FAMILIA MONTE ALTO</t>
  </si>
  <si>
    <t>VEREDA SANTA LUCIA</t>
  </si>
  <si>
    <t>C COMUNAL SANTA LUCIA</t>
  </si>
  <si>
    <t>VEREDA QUEBRADA DEL MEDIO</t>
  </si>
  <si>
    <t>SALON PARROQUIAL QUEBRADA DEL MEDIO</t>
  </si>
  <si>
    <t>CORREGIMIENTO LA GRANJA</t>
  </si>
  <si>
    <t>LUDOTECA LA GRANJA</t>
  </si>
  <si>
    <t>VEREDA GUACHARAQUERO</t>
  </si>
  <si>
    <t>CER VEINTE DE JULIO GUACHARAQUERO</t>
  </si>
  <si>
    <t>C COMUNAL LA HONDA_ITUANGO</t>
  </si>
  <si>
    <t>VEREDA MURRAPAL</t>
  </si>
  <si>
    <t>CASA DE FAMILIA MURRAPAL</t>
  </si>
  <si>
    <t>VEREDA EL RIO</t>
  </si>
  <si>
    <t>CER EL RIO</t>
  </si>
  <si>
    <t>LAS BRISAS</t>
  </si>
  <si>
    <t>CASA DE FAMILIA LAS BRISAS</t>
  </si>
  <si>
    <t>VEREDA EL BOSQUE</t>
  </si>
  <si>
    <t>CASA DE FAMILIA EL BOSQUES</t>
  </si>
  <si>
    <t>CAMELIA BAJA</t>
  </si>
  <si>
    <t>CER LA CAMELIA BAJA</t>
  </si>
  <si>
    <t>VEREDA PIOX</t>
  </si>
  <si>
    <t>IER PIOX</t>
  </si>
  <si>
    <t>CER LA FLORIDA</t>
  </si>
  <si>
    <t>VEREDA LAS ARAÑAS</t>
  </si>
  <si>
    <t>CASA DE FAMILIA LAS ARAÑAS</t>
  </si>
  <si>
    <t>EL AMPARO</t>
  </si>
  <si>
    <t>IER SAN FRANCISCO</t>
  </si>
  <si>
    <t>VEREDA EL CEDRAL</t>
  </si>
  <si>
    <t>CER EL CEDRAL</t>
  </si>
  <si>
    <t>VEREDA LA MIRANDA</t>
  </si>
  <si>
    <t>C COMUNAL LA MIRANDA</t>
  </si>
  <si>
    <t>CORREGIMIENTO SANTA ANA</t>
  </si>
  <si>
    <t>IER SANTA ANA</t>
  </si>
  <si>
    <t>CORREGIMIENTO EL ARO CASETA COMUNAL</t>
  </si>
  <si>
    <t>C COMUNAL EL ARO</t>
  </si>
  <si>
    <t>CORREGIMIENTO EL ARO</t>
  </si>
  <si>
    <t>CER SEVILLA</t>
  </si>
  <si>
    <t>RESGUARDO INDIGENA SAN MATIAS</t>
  </si>
  <si>
    <t>CENTRO DE SALUD SAN MATIAS</t>
  </si>
  <si>
    <t>CL CENTRO A NORTE 16 A 26 ESTE CENTRO</t>
  </si>
  <si>
    <t>CENTRO DE ESTUDIOS SENA SANTA RITA</t>
  </si>
  <si>
    <t>VEREDA FILADELFIA</t>
  </si>
  <si>
    <t>CER FILADELFIA</t>
  </si>
  <si>
    <t>CASA SAN LUIS EL ARO</t>
  </si>
  <si>
    <t>CALLE ITUANGO CON CARRERA JORDÁN</t>
  </si>
  <si>
    <t>HOGAR INFANTIL BEBITOS</t>
  </si>
  <si>
    <t>PASCUITA</t>
  </si>
  <si>
    <t>CER PATRICIO SUCERQUIA</t>
  </si>
  <si>
    <t>VEREDA EL ZANCUDO</t>
  </si>
  <si>
    <t>ESTADERO EL ZANCUDO</t>
  </si>
  <si>
    <t>VEREDA LOS GALGOS AL FRENTE ESTADERO LOS GALGOS</t>
  </si>
  <si>
    <t>CASA DE FAMILIA LOS GALGOS</t>
  </si>
  <si>
    <t>VEREDA PALMITAS</t>
  </si>
  <si>
    <t>C COMUNAL PALMITAS</t>
  </si>
  <si>
    <t>CER BUENA VISTA</t>
  </si>
  <si>
    <t>EL QUINDIO</t>
  </si>
  <si>
    <t>CER EL QUINDIO</t>
  </si>
  <si>
    <t>05006142025</t>
  </si>
  <si>
    <t xml:space="preserve">JARDIN </t>
  </si>
  <si>
    <t>GIBRALTAR</t>
  </si>
  <si>
    <t>CER DOLORES ZAPATA</t>
  </si>
  <si>
    <t>VEREDA CARAMANTA</t>
  </si>
  <si>
    <t>CER JUAN DE DIOS CARVAJAL</t>
  </si>
  <si>
    <t>ALTO DEL INDIO</t>
  </si>
  <si>
    <t>CER ROSENDO ESCOBAR</t>
  </si>
  <si>
    <t>VEREDA SANTA GERTRUDIS</t>
  </si>
  <si>
    <t>CER JUAN N BARRERA</t>
  </si>
  <si>
    <t>VEREDA LA LINDA</t>
  </si>
  <si>
    <t>CER DIEGO OROZCO</t>
  </si>
  <si>
    <t>VEREDA SERRANIAS</t>
  </si>
  <si>
    <t>CER RAMÓN</t>
  </si>
  <si>
    <t>VEREDA SAN BARTOLO</t>
  </si>
  <si>
    <t>CER FABRICIO ESCOBAR</t>
  </si>
  <si>
    <t>CER MARIA JOSEFA CORREA</t>
  </si>
  <si>
    <t>SECTOR EL AGUACATE</t>
  </si>
  <si>
    <t>CASETA EL AGUACATE</t>
  </si>
  <si>
    <t>VEREDA VERDUN</t>
  </si>
  <si>
    <t>IE MIGUEL VALENCIA</t>
  </si>
  <si>
    <t>KR SECTOR COLISEO 5 12</t>
  </si>
  <si>
    <t>PARQUE EDUCATIVO_JARDIN</t>
  </si>
  <si>
    <t>QUEBRADA BONITA</t>
  </si>
  <si>
    <t>CER INDALECIO PELAEZ</t>
  </si>
  <si>
    <t>MORRO AMARILLO</t>
  </si>
  <si>
    <t>CER JOSE MARIA GOMEZ ANGEL</t>
  </si>
  <si>
    <t>LA FLORESTA</t>
  </si>
  <si>
    <t>CASETA LA FLORESTA</t>
  </si>
  <si>
    <t>VEREDA LA CASIANA</t>
  </si>
  <si>
    <t>CER DAVID CROZZIER</t>
  </si>
  <si>
    <t>KR 2 5 88</t>
  </si>
  <si>
    <t>RODRIGO DIAZ</t>
  </si>
  <si>
    <t>RESGUARDO INDIGENA KARMATA RÚA (CRISTIANIA)</t>
  </si>
  <si>
    <t>KARMATA RÚA</t>
  </si>
  <si>
    <t>05006152025</t>
  </si>
  <si>
    <t>VEREDA SAN JOSE (CASITA)</t>
  </si>
  <si>
    <t>CASA CDI 7 MUNDO DE ILUSIONES</t>
  </si>
  <si>
    <t>900264963</t>
  </si>
  <si>
    <t>CORPORACIO  DE PROFESIONALES ASESORES</t>
  </si>
  <si>
    <t>CL 6 16 69</t>
  </si>
  <si>
    <t>CIUDADELA PRIMERA INFANCIA LA ALDEA</t>
  </si>
  <si>
    <t>CL 21 14 26  MOVILIA</t>
  </si>
  <si>
    <t>DULCE MELODIA</t>
  </si>
  <si>
    <t>KR 0 2 2 CL 20 27</t>
  </si>
  <si>
    <t>ARCOIRIS DE SUEÑOS</t>
  </si>
  <si>
    <t>CL 21 21 46 FRENTE DEL  PARQUEADERO DE OLIMPICA</t>
  </si>
  <si>
    <t>CAPERUCITA</t>
  </si>
  <si>
    <t>05005702025</t>
  </si>
  <si>
    <t>LA ESTRELLA</t>
  </si>
  <si>
    <t>CALLE 81 SUR # 62 - 44 BARRIO BELLAVISTA</t>
  </si>
  <si>
    <t>CARITAS MÁGICAS</t>
  </si>
  <si>
    <t>800171406</t>
  </si>
  <si>
    <t>COOPERATIVA MULTIACTIVA PARA LA EDUCACION INTEGRAL "COOMEI"</t>
  </si>
  <si>
    <t>CL 87 SUR CR 55 - 270</t>
  </si>
  <si>
    <t>HUELLAS CREATIVAS 1 CONCEJO</t>
  </si>
  <si>
    <t>CALLE 100 C SUR  N 48 C 27  BARRIO LA TABLAZA JUAN 23</t>
  </si>
  <si>
    <t>CARITAS LINDAS LA ESTRELLA</t>
  </si>
  <si>
    <t>KR 51 96 B SUR  01</t>
  </si>
  <si>
    <t>LAS RANITAS</t>
  </si>
  <si>
    <t>CARRERA 65 B # 87 SUR 113</t>
  </si>
  <si>
    <t>HUELLAS CREATIVAS 2 HOSPITAL</t>
  </si>
  <si>
    <t>KR 49 D 88 D SUR 16  CERCA A CANCHA DE ANCON LA PLAYA</t>
  </si>
  <si>
    <t>LA ESTRELLITA</t>
  </si>
  <si>
    <t>05005552025</t>
  </si>
  <si>
    <t xml:space="preserve">LA UNION </t>
  </si>
  <si>
    <t>KR 8 10 8 BARRIO BUENOS AIRES</t>
  </si>
  <si>
    <t>MESOPOTAMIA</t>
  </si>
  <si>
    <t>KR 08 5 44  BARRIO SAGRADO CORAZON DE JESUS</t>
  </si>
  <si>
    <t>VEREDAS LA ALMERIA Y CHALARCA</t>
  </si>
  <si>
    <t>MOLDEANDO SUEÑOS</t>
  </si>
  <si>
    <t>VEREDA EL GUARANGO, PANTALIO, COLMENAS</t>
  </si>
  <si>
    <t>SEMBRANDO SEMILLAS</t>
  </si>
  <si>
    <t>VEREDAS SAN JUAN 1 Y 2, SAN MIGUEL</t>
  </si>
  <si>
    <t>COSECHANDO VIDA</t>
  </si>
  <si>
    <t>VEREDA ACACIAS 1, 2, 3</t>
  </si>
  <si>
    <t>IRRIGANDO FRUTOS</t>
  </si>
  <si>
    <t>VEREDAS CHUSCALITO, BUENAVISTA, LAS TERESAS</t>
  </si>
  <si>
    <t>LABRANDO REALIDADES</t>
  </si>
  <si>
    <t>VEREDAS LA PALMERA 1,2 Y LA DIVISA</t>
  </si>
  <si>
    <t>RECOLECTANDO CONOCIMIENTOS</t>
  </si>
  <si>
    <t>CL 14 13 50 BARRIO BUENOS AIRES</t>
  </si>
  <si>
    <t>CDI JUGUETONES</t>
  </si>
  <si>
    <t>05005562025</t>
  </si>
  <si>
    <t>MARINILLA</t>
  </si>
  <si>
    <t>CL 30 25 124</t>
  </si>
  <si>
    <t>LA CASA DE CLARA</t>
  </si>
  <si>
    <t>800068515</t>
  </si>
  <si>
    <t>ASOCIACION DE PADRES USUARIOS, OTRAS MODALIDADES DE ATENCION A PRIMERA INFANCIA Y MADRES COMUNITARIAS "EL CARRUSEL"</t>
  </si>
  <si>
    <t>CL 32 32 A 16</t>
  </si>
  <si>
    <t>ESTRELLITAS DEL FUTURO</t>
  </si>
  <si>
    <t>CL 32 32 A 58</t>
  </si>
  <si>
    <t>KR 23 32 26 SIMONA DUQUE</t>
  </si>
  <si>
    <t>ESTRELLITAS DEL FUTURO 1</t>
  </si>
  <si>
    <t>CL 20 A 36 C 08</t>
  </si>
  <si>
    <t>RAYITOS DE SOL</t>
  </si>
  <si>
    <t>KR 29 29 31 CENTRO</t>
  </si>
  <si>
    <t>DEJAME CRECER</t>
  </si>
  <si>
    <t>CL 30 35 78 APT 202</t>
  </si>
  <si>
    <t xml:space="preserve">CDI COLORIN COLORETE </t>
  </si>
  <si>
    <t>CL 20 45 55</t>
  </si>
  <si>
    <t>CARITA RISUEÑA</t>
  </si>
  <si>
    <t>KR 45 A 29 37 BARILOCHE</t>
  </si>
  <si>
    <t xml:space="preserve">MI PEQUEÑA GRANJITA </t>
  </si>
  <si>
    <t>CL 32 CARRERA 22 A 30 163</t>
  </si>
  <si>
    <t>CDI MIS PEQUEÑOS HEROES</t>
  </si>
  <si>
    <t>05005572025</t>
  </si>
  <si>
    <t>MONTAÑITAS</t>
  </si>
  <si>
    <t>MONTAÑITA</t>
  </si>
  <si>
    <t>EL ROSARIO</t>
  </si>
  <si>
    <t>LAS MERCEDES</t>
  </si>
  <si>
    <t>LA ESPERANZA PARTE ALTA</t>
  </si>
  <si>
    <t>LA ESPERANZA</t>
  </si>
  <si>
    <t>ALTO DEL MERCADO</t>
  </si>
  <si>
    <t>VEREDA CASCAJO ARRIBA</t>
  </si>
  <si>
    <t>CASCAJO ARRIBA</t>
  </si>
  <si>
    <t>ALTO DE CASCARILLO</t>
  </si>
  <si>
    <t>TINAJAS</t>
  </si>
  <si>
    <t>CENTRO EDUCATIVO RURAL YARUMOS</t>
  </si>
  <si>
    <t>YARUMOS</t>
  </si>
  <si>
    <t>LLANADAS</t>
  </si>
  <si>
    <t>CL 32 33 A 70</t>
  </si>
  <si>
    <t>SEDE ADMINISTRATIVA</t>
  </si>
  <si>
    <t>CASCAJO ABAJO</t>
  </si>
  <si>
    <t>05006052025</t>
  </si>
  <si>
    <t xml:space="preserve">MUTATA </t>
  </si>
  <si>
    <t>VEREDA LEONCITO</t>
  </si>
  <si>
    <t>CANTINA LEONCITO</t>
  </si>
  <si>
    <t>811022174</t>
  </si>
  <si>
    <t>CORPORACION ESCUELA EMPRESARIAL DE EDUCACION</t>
  </si>
  <si>
    <t>BEDO PIÑALES</t>
  </si>
  <si>
    <t>CASA BEDO PIÑALES</t>
  </si>
  <si>
    <t>VEREDA LA CRISTALINA</t>
  </si>
  <si>
    <t>CASA USUARIO LA CRISTALINA</t>
  </si>
  <si>
    <t>CORREGIMIENTO PAVARANDO</t>
  </si>
  <si>
    <t>PAVARANDO</t>
  </si>
  <si>
    <t>BEJUQUILLO</t>
  </si>
  <si>
    <t>CANCHA BEJUQUILLO</t>
  </si>
  <si>
    <t>VEREDA CHADO</t>
  </si>
  <si>
    <t>CASA USUARIO CHADO</t>
  </si>
  <si>
    <t>KR 8 10 1</t>
  </si>
  <si>
    <t>CASA DE LA CULTURA_MUTATA</t>
  </si>
  <si>
    <t>VEREDA CAUCHERAS</t>
  </si>
  <si>
    <t>CAUCHERAS</t>
  </si>
  <si>
    <t>VEREDA CHONTADURAL</t>
  </si>
  <si>
    <t>CASA USUARIO CHONTADURAL</t>
  </si>
  <si>
    <t>LA  SECRETA</t>
  </si>
  <si>
    <t>COMEDOR ESCOLAR LA SECRETA</t>
  </si>
  <si>
    <t>VEREDA PAVARANDOCITO</t>
  </si>
  <si>
    <t>SEDE COMUNAL PAVARANDOCITO</t>
  </si>
  <si>
    <t>VEREDA JURADO RUTA 646185</t>
  </si>
  <si>
    <t>CACAOS</t>
  </si>
  <si>
    <t>LA FORTUNA</t>
  </si>
  <si>
    <t>ESCUELA LA FORTUNA</t>
  </si>
  <si>
    <t>CASA USUARIO MUNGUDO ARRIBA</t>
  </si>
  <si>
    <t>05005862025</t>
  </si>
  <si>
    <t xml:space="preserve">NARIÑO </t>
  </si>
  <si>
    <t>MANITAS CREATIVAS</t>
  </si>
  <si>
    <t>901436211</t>
  </si>
  <si>
    <t>ASOCIACION PRODUCTIVA DEL FUTURO</t>
  </si>
  <si>
    <t>GUAMAL</t>
  </si>
  <si>
    <t>RAYITO DE SOL</t>
  </si>
  <si>
    <t>PEQUEÑOS COMIENZOS</t>
  </si>
  <si>
    <t>VEREDA EL GUAMITO</t>
  </si>
  <si>
    <t>COPITOS DE AMOR</t>
  </si>
  <si>
    <t>KR 6 12 07</t>
  </si>
  <si>
    <t>SEMBRANDO SUEÑOS Y SABIDURIAS</t>
  </si>
  <si>
    <t>05005582025</t>
  </si>
  <si>
    <t>NECHI</t>
  </si>
  <si>
    <t>VEREDA TRES CASAS</t>
  </si>
  <si>
    <t>SALON COMUNAL MI CASITA DE AMOR</t>
  </si>
  <si>
    <t>CASA LOS TRIUNFADORES LA ESPERANZA</t>
  </si>
  <si>
    <t>VEREDA LA CONCEPCION</t>
  </si>
  <si>
    <t>CASETA LOS ANGELITOS</t>
  </si>
  <si>
    <t>VEREDA TRINIDAD ARRIBA</t>
  </si>
  <si>
    <t>CAPILLA LOS HEREDEROS DEL REINO T</t>
  </si>
  <si>
    <t>VEREDA LA PLATA</t>
  </si>
  <si>
    <t>ESCUELA GOTITAS DE TERNURA LA PLATA</t>
  </si>
  <si>
    <t>VEREDA PLATANAL</t>
  </si>
  <si>
    <t>SALON COMUNAL LOS VENCEDORES</t>
  </si>
  <si>
    <t>VEREDE PUERTO ASTILLA</t>
  </si>
  <si>
    <t>CASETA PEKITAS DE AMOR PUERTO ASTILLA</t>
  </si>
  <si>
    <t>SAN PABLO ARRIBA</t>
  </si>
  <si>
    <t>SALON COMUNAL MISPEQUEÑOS VALIENTES SAN P</t>
  </si>
  <si>
    <t>CORREGIMIENTO EL CEDRO</t>
  </si>
  <si>
    <t>CAPILLA LLUVIAS DE AMOR EL CEDRO</t>
  </si>
  <si>
    <t>CORREGIMIENTO DE COLORADO</t>
  </si>
  <si>
    <t>CASA LOS COLORADITOS COLORADO</t>
  </si>
  <si>
    <t>VEREDA LA YE</t>
  </si>
  <si>
    <t>CASETA BENDICIONES VEREDA LA YE</t>
  </si>
  <si>
    <t>PLAN BONITO</t>
  </si>
  <si>
    <t>CASETA ESTRELLAS JUVENILES</t>
  </si>
  <si>
    <t>CAÑO PESCADO</t>
  </si>
  <si>
    <t>CASETA LOS PECESITOS CAÑO PESCADO</t>
  </si>
  <si>
    <t>BIJAGUAL</t>
  </si>
  <si>
    <t>CASETA LOS PRINCIPITOS BIJAGUAL</t>
  </si>
  <si>
    <t>SAN PEDRO MEDIO</t>
  </si>
  <si>
    <t>CASA AMOR DE MADRE</t>
  </si>
  <si>
    <t>SAN PABLO MEDIO</t>
  </si>
  <si>
    <t>CASETAMISPEQUEÑOSANGELITOS</t>
  </si>
  <si>
    <t>LAS CONCHAS</t>
  </si>
  <si>
    <t>CASETA PEKITAS SONRIENTES LAS CONCHAS</t>
  </si>
  <si>
    <t>TRINIDAD ABAJO</t>
  </si>
  <si>
    <t>CASETA PEQUEÑOS VALIENTES</t>
  </si>
  <si>
    <t>TABOGA</t>
  </si>
  <si>
    <t>CASETA SUEÑOS DEL FUTURO TABOGA</t>
  </si>
  <si>
    <t>CORRALES</t>
  </si>
  <si>
    <t>CASETA CORRALITOS DE PAZ CORRALES</t>
  </si>
  <si>
    <t>FRAGUA</t>
  </si>
  <si>
    <t>CASETA SEMILLITAS DE FRAGUA</t>
  </si>
  <si>
    <t>SAN PABLO ABAJO</t>
  </si>
  <si>
    <t>CASETA HUELLITAS DE PAZ SAN PABLO</t>
  </si>
  <si>
    <t>VEREDA SANTA MARÍA</t>
  </si>
  <si>
    <t>CASA VEREDA SANTA MARIA</t>
  </si>
  <si>
    <t>VEREDA LAS FLORES</t>
  </si>
  <si>
    <t>CASETA PETALOS DE ROSA LAS FLORES</t>
  </si>
  <si>
    <t>VEREDA ALTO DE SAN PEDRO</t>
  </si>
  <si>
    <t>CASETA VEREDA ALTOS DE SAN PEDRO</t>
  </si>
  <si>
    <t>VEREDA ISLA VERDE</t>
  </si>
  <si>
    <t>CASETA VEREDA ISLA VERDE</t>
  </si>
  <si>
    <t>VEREDA ESPERANZA</t>
  </si>
  <si>
    <t>CASETA VEREDA ESPERANZA</t>
  </si>
  <si>
    <t>VEREDA MADRE DE DIOS</t>
  </si>
  <si>
    <t>ESCUELA VEREDA MADRE DE DIOS</t>
  </si>
  <si>
    <t>VEREDA MORROPUTO</t>
  </si>
  <si>
    <t>CASETA VEREDA MORROPUTO</t>
  </si>
  <si>
    <t>CARGUEROS</t>
  </si>
  <si>
    <t>CASETA ANGELITOS DE DIOS CARGUEROS</t>
  </si>
  <si>
    <t>CHISPA</t>
  </si>
  <si>
    <t>ESCUELA DEJANDO HUELLAS</t>
  </si>
  <si>
    <t>05006222025</t>
  </si>
  <si>
    <t>PEQUE</t>
  </si>
  <si>
    <t>VEREDA LA ANTIGUA</t>
  </si>
  <si>
    <t>C COMUNAL LA ANTIGUA</t>
  </si>
  <si>
    <t>900059551</t>
  </si>
  <si>
    <t>CORPORACION SOLUCIONES TECNICAS AGROPECUARIAS Y AMBIENTALES</t>
  </si>
  <si>
    <t>VEREDA RENEGADO VALLE</t>
  </si>
  <si>
    <t>CER RENEGADO VALLE</t>
  </si>
  <si>
    <t>VEREDA JERIGUA</t>
  </si>
  <si>
    <t>CER JERIGUA</t>
  </si>
  <si>
    <t>VEREDA CAÑAVERAL</t>
  </si>
  <si>
    <t>C COMUNAL CAÑAVERAL</t>
  </si>
  <si>
    <t>VEREDA POPAL</t>
  </si>
  <si>
    <t>C COMUNAL POPAL</t>
  </si>
  <si>
    <t>CARRERA BOLIVAR N 11-170</t>
  </si>
  <si>
    <t>CDI COSECHITAS PEQUENSES</t>
  </si>
  <si>
    <t>CER BELLAVISTA</t>
  </si>
  <si>
    <t>VEREDA SANTA AGUEDA</t>
  </si>
  <si>
    <t>CER SANTA AGUEDA</t>
  </si>
  <si>
    <t>VEREDA LOS NAIPES</t>
  </si>
  <si>
    <t>CER LOS NAIPES</t>
  </si>
  <si>
    <t>VEREDA CHAMIZO</t>
  </si>
  <si>
    <t>CER CHAMIZO</t>
  </si>
  <si>
    <t>NUEVA LLANADA</t>
  </si>
  <si>
    <t>IE PRESB RODRIGO LOPERA GIL NUEVALLANADA</t>
  </si>
  <si>
    <t>SAN JULIAN DE BARBACO</t>
  </si>
  <si>
    <t>CER SAN JULIAN DE BARBACOAS</t>
  </si>
  <si>
    <t>CL NARINO N 12 08</t>
  </si>
  <si>
    <t>CONDORCITO</t>
  </si>
  <si>
    <t>CORREGIMIENTO LOS LLANOS</t>
  </si>
  <si>
    <t>LLANERITOS</t>
  </si>
  <si>
    <t>VEREDA EL AGRIO</t>
  </si>
  <si>
    <t>CASA FLIA WILDER DE JESUS RENGIFO</t>
  </si>
  <si>
    <t>05005722025</t>
  </si>
  <si>
    <t>PUERTO BERRIO</t>
  </si>
  <si>
    <t>VEREDA SANTA MARTINA</t>
  </si>
  <si>
    <t>CASA DE LA SEÑORA CECILIA TORRES</t>
  </si>
  <si>
    <t>900361649</t>
  </si>
  <si>
    <t>CONSEJO COMUNITARIO DE LAS COMUNIDADES NEGRAS DE LA GRANDE</t>
  </si>
  <si>
    <t>CORREGIMIENTO PUERTO MURILLO</t>
  </si>
  <si>
    <t>CER MURILLO</t>
  </si>
  <si>
    <t>VEREDA CHORRO DE LAGRIMAS</t>
  </si>
  <si>
    <t>C COMUNAL CHORRO DE LAGRIMAS</t>
  </si>
  <si>
    <t>VEREDA GRECIA</t>
  </si>
  <si>
    <t>C COMUNAL DE GRECIA</t>
  </si>
  <si>
    <t>VEREDA DORADO CALAMAR</t>
  </si>
  <si>
    <t>CER DORADO CALAMAR</t>
  </si>
  <si>
    <t>VEREDA SANTA ANA</t>
  </si>
  <si>
    <t>CER LA CONSENTIDA</t>
  </si>
  <si>
    <t>MINAS DEL VAPOR</t>
  </si>
  <si>
    <t>CER LA MESETA</t>
  </si>
  <si>
    <t>EL BRASIL</t>
  </si>
  <si>
    <t>CER EL BRASIL</t>
  </si>
  <si>
    <t>VEREDA CABAÑAS</t>
  </si>
  <si>
    <t>CER CABAÑAS/COOMEI</t>
  </si>
  <si>
    <t>VEREDA EL SUAN</t>
  </si>
  <si>
    <t>CASA DEL SEÑOR PABLO VALLE</t>
  </si>
  <si>
    <t>KR 15 A 53 30 DIAGONAL</t>
  </si>
  <si>
    <t>ESCUELA NORMAL SUPERIOR</t>
  </si>
  <si>
    <t>VEREDA SAN JUAN DE BEDOUT</t>
  </si>
  <si>
    <t>KIOSCO COMUNAL SAN JUAN</t>
  </si>
  <si>
    <t>VEREDA GUASIMAL CERCA AL BATALLON BOMBONA</t>
  </si>
  <si>
    <t>CER GUASIMAL</t>
  </si>
  <si>
    <t>VEREDA BODEGAS</t>
  </si>
  <si>
    <t>SALON ARCOIRIS BODEGAS</t>
  </si>
  <si>
    <t>VEREDA CRISTALINA</t>
  </si>
  <si>
    <t>CER CRISTALINA</t>
  </si>
  <si>
    <t>CL 54 54 21  ALFONSO LOPEZ</t>
  </si>
  <si>
    <t>CORPORACIÓN CETELI</t>
  </si>
  <si>
    <t>KR 9 10 25 BARRIO ALFONSO LOPEZ</t>
  </si>
  <si>
    <t>COLEGIO LA INMACULADA</t>
  </si>
  <si>
    <t>CORREGIMIENTO DE VIRGINIAS</t>
  </si>
  <si>
    <t>LICEO VIRGINIAS</t>
  </si>
  <si>
    <t>CL 49 C 29 50 BARRIO EL HOYO</t>
  </si>
  <si>
    <t>MUNDO MAGICO 1</t>
  </si>
  <si>
    <t>CL 45 7 30  BARRIO GAITAN</t>
  </si>
  <si>
    <t>MUNDO MAGICO 2</t>
  </si>
  <si>
    <t>CL 45 8 39 BARRIO 17 DE ABRIL</t>
  </si>
  <si>
    <t>MUNDO MAGICO 3</t>
  </si>
  <si>
    <t>05005592025</t>
  </si>
  <si>
    <t xml:space="preserve">PUERTO TRIUNFO </t>
  </si>
  <si>
    <t>ALTO DEL POLLO</t>
  </si>
  <si>
    <t>IE HERMANO DANIEL ALTO DEL POLLO</t>
  </si>
  <si>
    <t>IE HERMANO DANIEL - FLORIDA</t>
  </si>
  <si>
    <t>IE HERMANO DANIEL FLORIDA</t>
  </si>
  <si>
    <t>IE BALSORA - NAPOLES</t>
  </si>
  <si>
    <t>IE BALSORA NAPOLES</t>
  </si>
  <si>
    <t>I.E PABLO VI</t>
  </si>
  <si>
    <t>IE PABLO VI 1</t>
  </si>
  <si>
    <t>ESTACION COCORNA</t>
  </si>
  <si>
    <t>IE ESTACIÓN COCORNA</t>
  </si>
  <si>
    <t>PUERTO PERALES</t>
  </si>
  <si>
    <t>IE PUERTO PERALES</t>
  </si>
  <si>
    <t>SECTOR LAS MERCEDES, VIA A LA ESCUELA</t>
  </si>
  <si>
    <t>BIBLIOTECA LAS MERCEDES</t>
  </si>
  <si>
    <t>CERCA A LA INSTITUCION EDUCATIVA SANTIAGO BERRIO</t>
  </si>
  <si>
    <t>SEDE UNIVERSITARIA SANTIAGO BERRIO</t>
  </si>
  <si>
    <t>KR 17 B 25 03</t>
  </si>
  <si>
    <t>IER DORADAL</t>
  </si>
  <si>
    <t>CASA DE LA CULTURA DORADAL</t>
  </si>
  <si>
    <t>KR 11 17 45 LA ESMERALDA</t>
  </si>
  <si>
    <t>IE ENRIQUE DURAN PITA</t>
  </si>
  <si>
    <t>IE ENRIQUE DURAN ESTACION PITA</t>
  </si>
  <si>
    <t>05006252025</t>
  </si>
  <si>
    <t xml:space="preserve">REMEDIOS </t>
  </si>
  <si>
    <t>VEREDA CARRIZAL</t>
  </si>
  <si>
    <t>CDI INSTITUCIONAL ETCR REMEDIOS MEXICO</t>
  </si>
  <si>
    <t>900189464</t>
  </si>
  <si>
    <t>ASOCIACION DE CAMPESINOS AFROCOLOMBIANO DEL CORREGIMIENTO CHOCHO - SUCRE</t>
  </si>
  <si>
    <t>(en blanco)</t>
  </si>
  <si>
    <t>BARRIO EL RETIRO</t>
  </si>
  <si>
    <t>PARQUE EDUCATIVO BARRIO EL RETIRO</t>
  </si>
  <si>
    <t>05006242025</t>
  </si>
  <si>
    <t>VEREDA LAS PAVAS</t>
  </si>
  <si>
    <t>C COMUNAL VEREDA LAS PAVAS</t>
  </si>
  <si>
    <t>900117027</t>
  </si>
  <si>
    <t>ASOCIACION DE CAMPESINOS AFRO DEL CORREGIMIENTO MAMON - SUCRE</t>
  </si>
  <si>
    <t>VEREDA PUENTE ROTO</t>
  </si>
  <si>
    <t>C COMUNAL TAMARINDO VEREDA PUENTE ROTO</t>
  </si>
  <si>
    <t>VEREDA BELEN</t>
  </si>
  <si>
    <t>C COMUNAL VEREDA BELEN</t>
  </si>
  <si>
    <t>C COMUNAL VEREDA CAÑAVERAL</t>
  </si>
  <si>
    <t>CORRIGIMIENTO LA CRUZADA</t>
  </si>
  <si>
    <t>C COMUNAL LAS BRISAS CORREGIMI LA CRUZADA</t>
  </si>
  <si>
    <t>VEREDA EL CHIQUILLO</t>
  </si>
  <si>
    <t>C COMUNAL VEREDA EL CHIQUILLO</t>
  </si>
  <si>
    <t>CARRETERA YONDO</t>
  </si>
  <si>
    <t>PARQUE EDUCATIVO ISABELITA TEJADA</t>
  </si>
  <si>
    <t>RIO BAGRE</t>
  </si>
  <si>
    <t>CASA CONCEJAL VEREDA RIO BAGRE</t>
  </si>
  <si>
    <t>C COMUNAL VEREDA CARRIZAL</t>
  </si>
  <si>
    <t>VEREDA MARTANA</t>
  </si>
  <si>
    <t>C COMUNAL VEREDA MARTANA</t>
  </si>
  <si>
    <t>CORREGIMIENTO LA CRUZADA HERRADURA</t>
  </si>
  <si>
    <t>C COMUNAL LA HERRADURA CORREGIM LA CRUZADA</t>
  </si>
  <si>
    <t>VEREDA LA GORGONA</t>
  </si>
  <si>
    <t>CASA HOGAR VEREDA LA GORGONA</t>
  </si>
  <si>
    <t>VEREDA EL POPERO</t>
  </si>
  <si>
    <t>C COMUNAL VEREDA EL POPERO</t>
  </si>
  <si>
    <t>CORREGIMIENTO LA CRUZADA</t>
  </si>
  <si>
    <t>C COMUNAL LAS BRISAS BARRIO TRES Y MEDIA</t>
  </si>
  <si>
    <t>CORREGIMIENTO SANTA ISABEL</t>
  </si>
  <si>
    <t>CASA DEL ADULTO MAYOR CORREGIM SANTA ISABEL</t>
  </si>
  <si>
    <t>VEREDA EL MOSQUITO</t>
  </si>
  <si>
    <t>CASETA RESGUARDO VEREDA EL MOSQUITO</t>
  </si>
  <si>
    <t>VEREDA EL PIÑAL</t>
  </si>
  <si>
    <t>IER VEREDA EL PIÑAL</t>
  </si>
  <si>
    <t>LEJANIAS 1 / CASA DE CULTURA</t>
  </si>
  <si>
    <t>LEJANIAS 1</t>
  </si>
  <si>
    <t>LEJANIAS 2/ CASA DE CULTURA</t>
  </si>
  <si>
    <t>LEJANIAS 2</t>
  </si>
  <si>
    <t>LEJANIAS 3 / CASA DE CULTURA</t>
  </si>
  <si>
    <t>LEJANIAS 3</t>
  </si>
  <si>
    <t>EL CARMEN 3 CASETA COMUNAL</t>
  </si>
  <si>
    <t>EL CARMEN 3</t>
  </si>
  <si>
    <t>EL CARMEN 1/ CASETA JAC</t>
  </si>
  <si>
    <t>EL CARMEN 1</t>
  </si>
  <si>
    <t>EL CARMEN 2 / CASETA JAC</t>
  </si>
  <si>
    <t>EL CARMEN 2</t>
  </si>
  <si>
    <t>SANTANA 1 ESCUELA</t>
  </si>
  <si>
    <t>SANTANA</t>
  </si>
  <si>
    <t>VEREDA OTÚ</t>
  </si>
  <si>
    <t>CAPILLA VEREDA OTÚ</t>
  </si>
  <si>
    <t>VEREDA LAS PAVAS CERCA A LA TIENDA VILLAREAL</t>
  </si>
  <si>
    <t>C COMUNAL LAS PAVAS LLANO 2</t>
  </si>
  <si>
    <t>MAÑANITAS ALEGRES</t>
  </si>
  <si>
    <t>VEREDA EL CARMEN CERCA DE LA ESCUELA RANCHO QUEMADO</t>
  </si>
  <si>
    <t>IER VEREDA EL CARMEN</t>
  </si>
  <si>
    <t>VEREDA LA CEIBA, CERCA DE LA IGLESIA PENTECOSTAL UNIDOS DE COLOMBIA</t>
  </si>
  <si>
    <t>C COMUNAL VEREDA LA CEIBA</t>
  </si>
  <si>
    <t>VEREDA PLATANALES - FRENTE AL ESTADERO PRINCIPAL DE LA VEREDA PLATANALES</t>
  </si>
  <si>
    <t>CASA HOGAR VEREDA PLATANALES</t>
  </si>
  <si>
    <t>BARRIO 20 DE JULIO</t>
  </si>
  <si>
    <t>C COMUNAL BARRIO 20 DE JULIO</t>
  </si>
  <si>
    <t>BARRIO MARIANGOLA</t>
  </si>
  <si>
    <t>C COMUNAL BARRIO MARIANGOLA</t>
  </si>
  <si>
    <t>05005602025</t>
  </si>
  <si>
    <t xml:space="preserve">RETIRO </t>
  </si>
  <si>
    <t>C.E.R EL PORTENTO</t>
  </si>
  <si>
    <t>SONRISAS DE COLORES</t>
  </si>
  <si>
    <t>C.E.R LEJOS DEL NIDO</t>
  </si>
  <si>
    <t>CL 19 26 160</t>
  </si>
  <si>
    <t>CASA CDI GUARCEÑITO</t>
  </si>
  <si>
    <t>05006162025</t>
  </si>
  <si>
    <t>SALON JUNTA DE ACCION COMUNAL, VEREDA ABREITO</t>
  </si>
  <si>
    <t>ABREITO MAMPUESTO</t>
  </si>
  <si>
    <t>Corporación de profesionales asesores</t>
  </si>
  <si>
    <t>I.E. ANA GÓMEZ DE SIERRA SEDE MARIA CAMILA RENDÓN</t>
  </si>
  <si>
    <t>LA PLAYA LOS PINOS</t>
  </si>
  <si>
    <t>CENTRO DE INTEGRACIÓN ALTO BONITO, VEREDA ALTO BONITO</t>
  </si>
  <si>
    <t>ARTISTAS DE SONRISAS</t>
  </si>
  <si>
    <t>VEREDA LOS PINOS, CASETA COMUNAL CANCHA DE ARENA LIMITANDO CON LA CAPILLA</t>
  </si>
  <si>
    <t>SAN LUIS LOS PINOS</t>
  </si>
  <si>
    <t>CUCHILLAS DE SAN JOSE</t>
  </si>
  <si>
    <t>PEQUEÑOS CAMINANTES</t>
  </si>
  <si>
    <t>VERADA GALICIA</t>
  </si>
  <si>
    <t xml:space="preserve"> GALICIA</t>
  </si>
  <si>
    <t>SALON JUNTA DE ACCION COMUNAL, VEREDA CABECERAS DE LLANOGRANDE</t>
  </si>
  <si>
    <t>INVENTORES DE ALEGRIA</t>
  </si>
  <si>
    <t>VEREDA EL ROSAL</t>
  </si>
  <si>
    <t>SECTORES DE ILUSIONES</t>
  </si>
  <si>
    <t>VEREDA EL CAPIRO</t>
  </si>
  <si>
    <t>GRANDES EXPLORADORES</t>
  </si>
  <si>
    <t>EL CARMIN</t>
  </si>
  <si>
    <t>CARMIN</t>
  </si>
  <si>
    <t>05005612025</t>
  </si>
  <si>
    <t>KR 54 50 51 ALTO DEL MEDIO</t>
  </si>
  <si>
    <t>HOGAR INFANTIL LA ROCHELA</t>
  </si>
  <si>
    <t>800046522</t>
  </si>
  <si>
    <t>ASOCIACION DE PADRES DE FAMILIAS DE LOS NIÑOS USUARIOS DEL HOGAR INFANTIL CARRUSEL</t>
  </si>
  <si>
    <t>05006172025</t>
  </si>
  <si>
    <t xml:space="preserve">SABANETA </t>
  </si>
  <si>
    <t>KR 43 A 6 8 SUR 128</t>
  </si>
  <si>
    <t>MI PLANETA IDEAL</t>
  </si>
  <si>
    <t>811011180</t>
  </si>
  <si>
    <t>ASOCIACIÓN DE PADRES DE  HOGARES DE BIENESTAR "SEMBRANDO FUTURO"</t>
  </si>
  <si>
    <t>KR 7 7 45 56</t>
  </si>
  <si>
    <t xml:space="preserve">MIS PADRES Y YO 1 </t>
  </si>
  <si>
    <t>05006062025</t>
  </si>
  <si>
    <t xml:space="preserve">SALGAR </t>
  </si>
  <si>
    <t>VEREDA LAS ANDES</t>
  </si>
  <si>
    <t>CER LOS ANDES</t>
  </si>
  <si>
    <t>VEREDA MONTEBELLO PARTE BAJA</t>
  </si>
  <si>
    <t>CER EPIFANIO MEJIA</t>
  </si>
  <si>
    <t>VEREDA LA AMAGASEÑA</t>
  </si>
  <si>
    <t>C COMUNAL LA AMAGASEÑA</t>
  </si>
  <si>
    <t>VEREDA CLARA ARRIBA</t>
  </si>
  <si>
    <t>C COMUNAL CLARA ARRIBA</t>
  </si>
  <si>
    <t>MONTEBELLO PARTE ALTA</t>
  </si>
  <si>
    <t>CER EPIFANIO MEJIA PARTE ALTA</t>
  </si>
  <si>
    <t>VEREDA LA YARUMA</t>
  </si>
  <si>
    <t>CER IVAN ARANGO ARCILA</t>
  </si>
  <si>
    <t>VEREDA EL VENTIADERO</t>
  </si>
  <si>
    <t>C COMUNAL EL VENTIADERO</t>
  </si>
  <si>
    <t>VEREDA HUMAREDA</t>
  </si>
  <si>
    <t>C COMUNAL LA HUMAREDA</t>
  </si>
  <si>
    <t>VEREDA LA TABORDA</t>
  </si>
  <si>
    <t>CER GLORIA EDITH GARVIS PATIÑO</t>
  </si>
  <si>
    <t>VEREDA LLANADAS</t>
  </si>
  <si>
    <t>C COMUNAL LLANADAS</t>
  </si>
  <si>
    <t>VEREDA LA SIBERIA</t>
  </si>
  <si>
    <t>CASA FAMILIAR LA SIBERIA</t>
  </si>
  <si>
    <t>VEREDA EL LEON</t>
  </si>
  <si>
    <t>CASA FAMILIAR LEÓN DE GREIFF</t>
  </si>
  <si>
    <t>VEREDA LA GULUNGA PARTE ALTA</t>
  </si>
  <si>
    <t>CASA FAMILIAR LA GULUNGA PARTE ALTA</t>
  </si>
  <si>
    <t>VEREDA LA MARGARITA</t>
  </si>
  <si>
    <t>CER CARLOS VIECO ORTIZ</t>
  </si>
  <si>
    <t>CL 33 19 27   BARRIO OBRERO</t>
  </si>
  <si>
    <t>LA PRADERA</t>
  </si>
  <si>
    <t>05006182025</t>
  </si>
  <si>
    <t>SAN JUAN DE URABA</t>
  </si>
  <si>
    <t>VEREDAS LAS LAJAS</t>
  </si>
  <si>
    <t>CASA COMUNAL LAS LAJAS</t>
  </si>
  <si>
    <t>900321584</t>
  </si>
  <si>
    <t>RESGUARDO INDIGENA SENU LOS ALMENDROS</t>
  </si>
  <si>
    <t>CASA COMUNAL SINAI</t>
  </si>
  <si>
    <t>SAN NICOLAS DEL RIO</t>
  </si>
  <si>
    <t>CASA COMUNAL SAN NICOLAS</t>
  </si>
  <si>
    <t>LAS CRUCES</t>
  </si>
  <si>
    <t>CASA COMUNAL LAS CRUCES</t>
  </si>
  <si>
    <t>VEREDA BALSILLAS</t>
  </si>
  <si>
    <t>CASA COMUNAL BALSILLAS</t>
  </si>
  <si>
    <t>BOCAS DEL RIO SAN JUAN</t>
  </si>
  <si>
    <t>CASA COMUNAL BOCAS</t>
  </si>
  <si>
    <t>KR 20 A OESTE 31 B 64</t>
  </si>
  <si>
    <t>CDI 2 DE ABRIL</t>
  </si>
  <si>
    <t>COMUNIDAD INDIGENA MONTECRISTO</t>
  </si>
  <si>
    <t>CER I. MONTECRISTO</t>
  </si>
  <si>
    <t>CORREGIMIENTO UVEROS</t>
  </si>
  <si>
    <t>CDI UVEROS</t>
  </si>
  <si>
    <t>VEREDA SABANILLA</t>
  </si>
  <si>
    <t>CASA COMUNAL SABANILLA</t>
  </si>
  <si>
    <t>SUBERRANEO</t>
  </si>
  <si>
    <t>CASA COMUNAL SUBTERRANEO</t>
  </si>
  <si>
    <t>05005622025</t>
  </si>
  <si>
    <t>SAN PEDRO</t>
  </si>
  <si>
    <t>KR 49 50 31</t>
  </si>
  <si>
    <t>MANITAS CREATIVAS 2</t>
  </si>
  <si>
    <t>805021199</t>
  </si>
  <si>
    <t>FUNDACIÓN EL SEMBRADOR " SEMILLA PARA EL FUTURO"</t>
  </si>
  <si>
    <t>VEREDA LA CUCHILLA</t>
  </si>
  <si>
    <t>CER LA CUCHILLA B</t>
  </si>
  <si>
    <t>VEREDA LA CLARITA</t>
  </si>
  <si>
    <t>CER LA CLARITA</t>
  </si>
  <si>
    <t>VEREDA LA LANA B</t>
  </si>
  <si>
    <t>CER LA LANA</t>
  </si>
  <si>
    <t>VEREDA LA APRETEL</t>
  </si>
  <si>
    <t>CER LA APRETEL</t>
  </si>
  <si>
    <t>CER PANTANILLO_SAN PEDRO DE LOS MILAGROS</t>
  </si>
  <si>
    <t>CER LA CUCHILLA A</t>
  </si>
  <si>
    <t>CER LA PALMA</t>
  </si>
  <si>
    <t>CER RIO CHICO</t>
  </si>
  <si>
    <t>VEREDA SAN JUAN B</t>
  </si>
  <si>
    <t>CER SAN JUAN B</t>
  </si>
  <si>
    <t>VEREDA LA ARROYAVE</t>
  </si>
  <si>
    <t>CER LAS AURAS(LA ARROYAVE)</t>
  </si>
  <si>
    <t>CER SAN JUAN A</t>
  </si>
  <si>
    <t>FAMILIAS DEL FUTURO</t>
  </si>
  <si>
    <t>KR 49 47 38</t>
  </si>
  <si>
    <t>FAMILIAS DEL FUTURO 1</t>
  </si>
  <si>
    <t>KR 50 44 45</t>
  </si>
  <si>
    <t>MANITAS CREATIVAS 1</t>
  </si>
  <si>
    <t>VEREDA OVEJAS</t>
  </si>
  <si>
    <t>05006072025</t>
  </si>
  <si>
    <t xml:space="preserve">SAN PEDRO DE URABA </t>
  </si>
  <si>
    <t>QUEBRADA DEL MEDIO</t>
  </si>
  <si>
    <t>CASA FAMILIAR QUEBRADA DEL MEDIO</t>
  </si>
  <si>
    <t>901788315</t>
  </si>
  <si>
    <t>RESGUARDO INDIGENA RIO ALTO SAN JUAN</t>
  </si>
  <si>
    <t>VEREDA LA NEVADA</t>
  </si>
  <si>
    <t>CASA FAMILIAR NEVADA</t>
  </si>
  <si>
    <t>VEREDA FILOPANCHO</t>
  </si>
  <si>
    <t>CASA COMUNAL FILOPANCHO</t>
  </si>
  <si>
    <t>VEREDA VILLA ESTER</t>
  </si>
  <si>
    <t>CASA COMUNAL VILLA ESTER</t>
  </si>
  <si>
    <t>VEREDA  ZUMBIDO ABAJO</t>
  </si>
  <si>
    <t>CASA COMUNAL ZUMBIDO ABAJO</t>
  </si>
  <si>
    <t>VEREDA EL AJÍ</t>
  </si>
  <si>
    <t>CASA COMUNAL AJÍ</t>
  </si>
  <si>
    <t>CORREGIMIENTO DE ARENAS MONAS</t>
  </si>
  <si>
    <t>CASA COMUNAL ARENAS MONAS</t>
  </si>
  <si>
    <t>VEREDA TACANAL</t>
  </si>
  <si>
    <t>CASA FAMILIAR TACANAL</t>
  </si>
  <si>
    <t>VEREDA EL JORDAN</t>
  </si>
  <si>
    <t>CASA COMUNAL JORDAN</t>
  </si>
  <si>
    <t>COMUNIDAD INDIGENA LOS NARANJALES</t>
  </si>
  <si>
    <t>CASA CABILDO NARANJALES</t>
  </si>
  <si>
    <t>COUMUNIDAD INDIGENA EL POLVILLO</t>
  </si>
  <si>
    <t>CER ESTUDIANTES HERNANDEZ</t>
  </si>
  <si>
    <t>COMUNIDAD INDIGENA BELLA LUZ</t>
  </si>
  <si>
    <t>CER BELLA LUZ</t>
  </si>
  <si>
    <t>COMUNIDAD INDIGENA EBANO TACANAL</t>
  </si>
  <si>
    <t>CASA CABILDO EBANO TACANAL</t>
  </si>
  <si>
    <t>VEREDA EL CAÑO MARGEN IZQUIERDA</t>
  </si>
  <si>
    <t>CASA COMUNAL CAÑO IZQUIERDO</t>
  </si>
  <si>
    <t>VEREDA ZAPINDONGA ARRIBA</t>
  </si>
  <si>
    <t>CER ZAPINDONGA</t>
  </si>
  <si>
    <t>VEREDA ALTO ROSARIO</t>
  </si>
  <si>
    <t>C COMUNAL ALTO ROSARIO</t>
  </si>
  <si>
    <t>VEREDA LOS ALMENDROS</t>
  </si>
  <si>
    <t>C COMUNAL LOS ALMENDROS</t>
  </si>
  <si>
    <t>VEREDA PUEBLITO</t>
  </si>
  <si>
    <t>C COMUNAL PUEBLITO</t>
  </si>
  <si>
    <t>VEREDA TRES ESQUINAS</t>
  </si>
  <si>
    <t>CASA COMUNAL TRES ESQUINAS</t>
  </si>
  <si>
    <t>CORREGIMIENTO EL TOMATE</t>
  </si>
  <si>
    <t>CASA COMUNAL CORREGIMIENTO TOMATE</t>
  </si>
  <si>
    <t>CORREGIMIENTO SANTA CATALINA</t>
  </si>
  <si>
    <t>CASA COMUNAL SANTA CATALINA</t>
  </si>
  <si>
    <t>VEREDA EL PIRÚ</t>
  </si>
  <si>
    <t>CASA COMUNAL EL PIRÚ</t>
  </si>
  <si>
    <t>VEREDA MOLINILLO</t>
  </si>
  <si>
    <t>CASA COMUNAL MOLINILLO</t>
  </si>
  <si>
    <t>VEREDA POLLO FLACO</t>
  </si>
  <si>
    <t>CER POLLO FLACO</t>
  </si>
  <si>
    <t>VEREDAS LAS ALMAGRAS</t>
  </si>
  <si>
    <t>CASA COMUNAL ALMAGRAS</t>
  </si>
  <si>
    <t>VEREDA EL CAÑO MARGEN DERECHA</t>
  </si>
  <si>
    <t>CASA FAMILIAR CAÑO DERECHO</t>
  </si>
  <si>
    <t>VEREDA SAN JUANCITO MEDIO</t>
  </si>
  <si>
    <t>CASA FAMILIAR SANJUANCITO MEDIO</t>
  </si>
  <si>
    <t>VEREDA LA CABAÑA</t>
  </si>
  <si>
    <t>CASA COMUNAL CABAÑA</t>
  </si>
  <si>
    <t>VEREDA LA RULA</t>
  </si>
  <si>
    <t>CASA COMUNAL RULA</t>
  </si>
  <si>
    <t>VEREDA ALMAGRITAS</t>
  </si>
  <si>
    <t>CASA COMUNAL ALMAGRITAS</t>
  </si>
  <si>
    <t>VEREDA PARCELAS NUEVO HORIZONTE</t>
  </si>
  <si>
    <t>CASA COMUNAL PARCELAS NUEVO HORIZONTE</t>
  </si>
  <si>
    <t>VEREDA MACONDO</t>
  </si>
  <si>
    <t>CASA COMUNAL MACONDO</t>
  </si>
  <si>
    <t>CASA FAMILIAR CARACOLÍ</t>
  </si>
  <si>
    <t>VEREDA GUARTINAJO</t>
  </si>
  <si>
    <t>CASA COMUNAL GUARTINAJO</t>
  </si>
  <si>
    <t>CASA COMUNAL SANTA ROSA</t>
  </si>
  <si>
    <t>VEREDA PARCELAS DE MACONDO</t>
  </si>
  <si>
    <t>CASA COMUNAL PARCELAS DE MACONDO</t>
  </si>
  <si>
    <t>VEREDA SAN PABLO</t>
  </si>
  <si>
    <t>CASA COMUNAL SAN PABLO</t>
  </si>
  <si>
    <t>CER NARANJALESSEDE LOS CAMAJONES</t>
  </si>
  <si>
    <t>CL 51 C 47 B 0 EL CENTRO</t>
  </si>
  <si>
    <t>SALA DE APRENDIZAJE</t>
  </si>
  <si>
    <t>CORREGIMIENTO ZAPINDONGA</t>
  </si>
  <si>
    <t>CENTRO DE SALUD ZAPINDONGA</t>
  </si>
  <si>
    <t>05005872025</t>
  </si>
  <si>
    <t xml:space="preserve">SAN RAFAEL </t>
  </si>
  <si>
    <t>DANTAS</t>
  </si>
  <si>
    <t>SAN RAFAEL 3</t>
  </si>
  <si>
    <t>KR 20 14 07  BARRIO LAS CABAAS</t>
  </si>
  <si>
    <t>KR 14 19 105 SECTOR EL TEJAR</t>
  </si>
  <si>
    <t>CDI ROSITA CALLEJAS</t>
  </si>
  <si>
    <t>VIA SAN CARLOS PRIMER DESVIO MANO DERECHA HASTA LLEGAR AL CER EL BRASIL</t>
  </si>
  <si>
    <t>SAN RAFAEL 1</t>
  </si>
  <si>
    <t>VIA SAN CARLOS DESPUES DEL VIVERO MUNICIPAL MANO IZQUIERDA PASO POR CER SAN AGUSTIN HAST LLEGAR AL CER DANTAS</t>
  </si>
  <si>
    <t>SAN RAFAEL 2</t>
  </si>
  <si>
    <t>05005632025</t>
  </si>
  <si>
    <t>SANTA BARBARA</t>
  </si>
  <si>
    <t>VEREDA LIBORIANA</t>
  </si>
  <si>
    <t>SEDE LA LIBORIANA</t>
  </si>
  <si>
    <t>VEREDA YARUMALITO</t>
  </si>
  <si>
    <t>SEDE YARUMALITO</t>
  </si>
  <si>
    <t>VEREDA CORDONCILLO</t>
  </si>
  <si>
    <t>SEDE CORDONCILLO</t>
  </si>
  <si>
    <t>SAN ISIDRO PARTE ALTA</t>
  </si>
  <si>
    <t>C COMUNAL SAN ISIDRO ALTA</t>
  </si>
  <si>
    <t>VEREDA LOMA DE DON SANTOS</t>
  </si>
  <si>
    <t>C COMUNAL LOMA DE DON SANTOS</t>
  </si>
  <si>
    <t>CORREGIMIENTO DAMASCO</t>
  </si>
  <si>
    <t>IE DAMASCO</t>
  </si>
  <si>
    <t>SEDE LAS MERCEDES</t>
  </si>
  <si>
    <t>EL GUAYABO</t>
  </si>
  <si>
    <t>C COMUNAL EL GUAYABO</t>
  </si>
  <si>
    <t>CORREGIMIENTO DE VERSALLES</t>
  </si>
  <si>
    <t>C COMUNAL VERSALLES_SANTA BARBARA</t>
  </si>
  <si>
    <t>C COMUNAL LA PRIMAVERA_SANTA BARBARA</t>
  </si>
  <si>
    <t>VEREDA LOS CHARCOS</t>
  </si>
  <si>
    <t>SEDE SANTA MARGARITA</t>
  </si>
  <si>
    <t>VEREDA LOMA LARGA</t>
  </si>
  <si>
    <t>C COMUNAL LOMA LARGA</t>
  </si>
  <si>
    <t>VEREDA EL VERGEL</t>
  </si>
  <si>
    <t>SEDE EL VERGEL</t>
  </si>
  <si>
    <t>VEREDA ALTO DE LOS GOMEZ</t>
  </si>
  <si>
    <t>SEDE ALTO DE LOS GOMEZ</t>
  </si>
  <si>
    <t>VEREDA LA QUIEBRA</t>
  </si>
  <si>
    <t>SEDE LA QUIEBRA</t>
  </si>
  <si>
    <t>CDI ACUARELA MAGICA VERSALLES</t>
  </si>
  <si>
    <t>VEREDA CHONTALITO</t>
  </si>
  <si>
    <t>CARITAS FELICES SANTA BARBARA</t>
  </si>
  <si>
    <t>05005642025</t>
  </si>
  <si>
    <t>SANTA FE DE ANTIOQUIA</t>
  </si>
  <si>
    <t>C COMUNAL LA TOLDA</t>
  </si>
  <si>
    <t>VEREDA MORADITAS PARTE ALTA</t>
  </si>
  <si>
    <t>C COMUNAL MORADITAS ALTA</t>
  </si>
  <si>
    <t>VEREDA EL CHURIMBO</t>
  </si>
  <si>
    <t>ESCUELA CHURIMBO</t>
  </si>
  <si>
    <t>VEREDA YERBABUENAL</t>
  </si>
  <si>
    <t>C COMUNAL YERBABUENAL</t>
  </si>
  <si>
    <t>VEREDA NURQUI 2</t>
  </si>
  <si>
    <t>C COMUNAL NURQUI 2</t>
  </si>
  <si>
    <t>CL 15 16 50</t>
  </si>
  <si>
    <t>SENDERITOS DE FORMACION II</t>
  </si>
  <si>
    <t>MORADITAS</t>
  </si>
  <si>
    <t>CASA NATALIA LOPERA</t>
  </si>
  <si>
    <t>EL PESCADO</t>
  </si>
  <si>
    <t>CENTRO DE SALUD PESCADO</t>
  </si>
  <si>
    <t>CORDILLERA</t>
  </si>
  <si>
    <t>IER SEDE CORDILLERA</t>
  </si>
  <si>
    <t>VEREDA SABANAS</t>
  </si>
  <si>
    <t>VEREDA RODEO</t>
  </si>
  <si>
    <t>ESCUELA RODEO</t>
  </si>
  <si>
    <t>VEREDA CATIVO</t>
  </si>
  <si>
    <t>ESCUELA SANTA INES SEDE CATIVO</t>
  </si>
  <si>
    <t>CL 20 5 89</t>
  </si>
  <si>
    <t>CDI SENDERITOS DE FORMACIÓN I</t>
  </si>
  <si>
    <t>CL 19 A 10 48</t>
  </si>
  <si>
    <t>HOGAR INFANTIL LUCHIN</t>
  </si>
  <si>
    <t>05005882025</t>
  </si>
  <si>
    <t>SEGOVIA</t>
  </si>
  <si>
    <t>KR 47 53 A 127</t>
  </si>
  <si>
    <t>GOTITAS DEL SABER</t>
  </si>
  <si>
    <t>CARREGIMIENTO FRAGUAS</t>
  </si>
  <si>
    <t>CDI RENACER</t>
  </si>
  <si>
    <t>BARRIO GALAN</t>
  </si>
  <si>
    <t>CDI BURBUJAS DE AMOR</t>
  </si>
  <si>
    <t>RESGUARDO TAGUAL LA PO</t>
  </si>
  <si>
    <t>CDI WAWANDE</t>
  </si>
  <si>
    <t>VEREDA MANZANILLO</t>
  </si>
  <si>
    <t>CDI MANZANILLO</t>
  </si>
  <si>
    <t>KR 47 N 56 06  SANBARTOLO PISO 1 Y 2</t>
  </si>
  <si>
    <t>EL ARCA DE LOS SUEÑOS 1</t>
  </si>
  <si>
    <t>CL 48 49 85   BOLIVAR</t>
  </si>
  <si>
    <t>CDI BUEN COMIENZO SEGOVIA</t>
  </si>
  <si>
    <t>EL ARCA DE LOS SUEÑOS 2</t>
  </si>
  <si>
    <t>VEREDA SANTA ISABEL DE AMARA</t>
  </si>
  <si>
    <t>CDI SANTA ISABEL DE AMARA</t>
  </si>
  <si>
    <t>05005652025</t>
  </si>
  <si>
    <t>CL 20 DE JULIO 20 20</t>
  </si>
  <si>
    <t>C COMUNAL 20 DE JULIO 1</t>
  </si>
  <si>
    <t>900943875</t>
  </si>
  <si>
    <t>FUNDACION COLOMBIANA CON SEGURIDAD ALIMENTARIA Y NUTRICIONAL</t>
  </si>
  <si>
    <t>CL MARQUETALIA</t>
  </si>
  <si>
    <t>C COMUNAL MARQUETALIA 1</t>
  </si>
  <si>
    <t>CAMPO ALEGRE</t>
  </si>
  <si>
    <t>C COMUNAL CAMPO ALEGRE 1</t>
  </si>
  <si>
    <t>CL TAPARAL</t>
  </si>
  <si>
    <t>IE SAN MATEO TAPARAL</t>
  </si>
  <si>
    <t>CL CORDOBA</t>
  </si>
  <si>
    <t>CANCHA CUBIERTA CORDOBA</t>
  </si>
  <si>
    <t>BARRIO MARQUETALIA</t>
  </si>
  <si>
    <t>CANCHA MARQUETALIA</t>
  </si>
  <si>
    <t>CL 56 47 13</t>
  </si>
  <si>
    <t>IE DOMINGO SAVIO LA MADRE</t>
  </si>
  <si>
    <t>KR 43 56 B 53</t>
  </si>
  <si>
    <t>CASA DE FAMILIA MARIA ELENA PABON</t>
  </si>
  <si>
    <t>KR 45 17 82</t>
  </si>
  <si>
    <t>CASETA EL TORDILLO</t>
  </si>
  <si>
    <t>CL 42 53 78 BARRIO 20 DE JULIO</t>
  </si>
  <si>
    <t>CASETA BARRIO 20 DE JULIO</t>
  </si>
  <si>
    <t>CL 50 B 54 34 BARRIO 7 DE AGOSTO</t>
  </si>
  <si>
    <t>CASETA 7 DE AGOSTO</t>
  </si>
  <si>
    <t>KR 44 B 53 07 BARRIO LA PAZ</t>
  </si>
  <si>
    <t>CASETA LA PAZ</t>
  </si>
  <si>
    <t>C COMUNAL GALAN TIGRITO 1</t>
  </si>
  <si>
    <t>EL CRISTO</t>
  </si>
  <si>
    <t>C COMUNAL CANDELARIA MENA</t>
  </si>
  <si>
    <t>05005662025</t>
  </si>
  <si>
    <t xml:space="preserve">SONSON </t>
  </si>
  <si>
    <t>VÍA PRINCIPAL SONSÓN ARGELIA, CORREGIMIENTO RIO VERDE DE LOS MONTES, VEREDA LA CAPILLA, FRENTE A LA IGLESIA DE LA CAPILLA.</t>
  </si>
  <si>
    <t>VÍA QUE CONDUCE AL CORREGIMIENTO LOS MEDIOS, VEREDA CAUNZAL, ESCUELA CAUNZAL, FRENTE A UNA FINCA CAFETERA</t>
  </si>
  <si>
    <t>RALLITOS DE SOL</t>
  </si>
  <si>
    <t>VÍA PRINCIPAL SONSÓN PARAMO, CORREGIMIENTO RIO VERDE DE LOS HENAOS, VEREDA EL SALADO, CERCA A LA JUNTA DE ACCIÓN COMUNAL EL SALADO.</t>
  </si>
  <si>
    <t>GENIOS DEL FUTURO</t>
  </si>
  <si>
    <t>VIA PRINCIPAL SONSON LA UNION, VEREDA TASAJO, CASETA COMUNAL, FRENTE A LA ESCUELA</t>
  </si>
  <si>
    <t>VIVIENDO UN SUEÑO</t>
  </si>
  <si>
    <t>LA AVENTURA DE CRECER</t>
  </si>
  <si>
    <t>SAN FRANCISCO (VIA RIO ARRIBA, SE DESVIA AL LADO IZQUIERDA POR UNA CARRETERA DE UNA CAPILLA DEL RIO ARRIBA, VEREDA SAN FRANCISCO, CASETA COMUNAL SAN FRANCISCO)</t>
  </si>
  <si>
    <t>KANGURITOS</t>
  </si>
  <si>
    <t>VÍA QUE CONDUCE AL CORREGIMIENTO LOS MEDIOS, VEREDA CAUNZAL, SECTOR LA PIRAGUA, FRENTE A UNA CANCHA</t>
  </si>
  <si>
    <t>1,2,3 POR TI</t>
  </si>
  <si>
    <t>VÍA PRINCIPAL QUE CONDUCE AL CORREGIMIENTO ALTO DE SABANAS, VEREDA LLANADAS SANTA CLARA, ESCUELA LLANADS SANTA CLARA, CERCA A UN LUGAR LLAMADO TRES ESQUINAS.</t>
  </si>
  <si>
    <t>PEQUEÑOS SABIOS</t>
  </si>
  <si>
    <t>VÍA SONSÓN AGUADAS, VEREDA LOS POTREROS, CASETA COMUNAL LOS POTREROS, AL FRENTE DE UNA CANCHA.</t>
  </si>
  <si>
    <t>ERASE UNA VEZ</t>
  </si>
  <si>
    <t>VÍA QUE CONDUCE AL CORREGIMIENTO LOS MEDIOS, VEREDA LA HONDITA, ESCUELA LA HONDITA, AL LADO DE UNA CANCHA</t>
  </si>
  <si>
    <t>EL BOSQUE DE LOS SUEÑOS</t>
  </si>
  <si>
    <t>VEREDA  RIO ARRIBA, VIA QUE CONDUCE A ARGELIA Y NARIÑO; BAJANDO UN KILOMETRO SE GIRA A LA IZQUIERDA ENTRANDO POR LA PINERA HASTA ENCONTRAR LA UNIVERSIDAD DE ANTIOQUIA SEDE SONSON</t>
  </si>
  <si>
    <t xml:space="preserve">DULCES TRAVESURAS </t>
  </si>
  <si>
    <t>SAN MIGUEL</t>
  </si>
  <si>
    <t>LA MIEL SAN MIGUEL</t>
  </si>
  <si>
    <t>CL 30 29 A 61 CORREGIMIENTO LA DANTA</t>
  </si>
  <si>
    <t>SUEÑOS DE MI INFANCIA LA DANTA</t>
  </si>
  <si>
    <t>KR 2 10 46</t>
  </si>
  <si>
    <t>CONSENTIDOS</t>
  </si>
  <si>
    <t>05005892025</t>
  </si>
  <si>
    <t>DG 07 CALLE 17 0 CENTRO DE SALUD BUENOS AIRES</t>
  </si>
  <si>
    <t>HILOS DE COLORES</t>
  </si>
  <si>
    <t>CAPULLITOS DE AMOR</t>
  </si>
  <si>
    <t>PARCHECITOS INFANTILES</t>
  </si>
  <si>
    <t>DG 07 17 0 CENTRO DE SALUD BUENOS AIRES</t>
  </si>
  <si>
    <t>SUEÑOS Y FANTASIAS</t>
  </si>
  <si>
    <t>DG 07 CL 17 0 CENTRO DE SALUD BUENOS AIRES</t>
  </si>
  <si>
    <t>MI NIDITO DE AMOR</t>
  </si>
  <si>
    <t>LA CASITA DEL SOL</t>
  </si>
  <si>
    <t>PEQUEÑO MUNDO</t>
  </si>
  <si>
    <t>05006082025</t>
  </si>
  <si>
    <t xml:space="preserve">TARAZA </t>
  </si>
  <si>
    <t>LA CAUCANA</t>
  </si>
  <si>
    <t>COLEGIO INSTITUCION EDUCATIVA LA CAUCANA1</t>
  </si>
  <si>
    <t>PIEDRAS</t>
  </si>
  <si>
    <t>C COMUNAL VEREDA PIEDRAS</t>
  </si>
  <si>
    <t>C COMUNAL SAN MIGUEL</t>
  </si>
  <si>
    <t>CASA COMUNAL VEREDA SANTA CLARA</t>
  </si>
  <si>
    <t>ESCUELA SANTA CLARA VEREDASANTACLARA</t>
  </si>
  <si>
    <t>ESCUELA KILOMETRO 3 TRONCAL</t>
  </si>
  <si>
    <t>VEREDA CORRALES</t>
  </si>
  <si>
    <t>ESCUELA CORRALES</t>
  </si>
  <si>
    <t>CORREGIMIENTO PUERTO ANTIOQUIA</t>
  </si>
  <si>
    <t>ESCUELA PUERTO ANTIOQUIA</t>
  </si>
  <si>
    <t>KILOMETRO 8</t>
  </si>
  <si>
    <t>ESCUELA KILOMETRO 8</t>
  </si>
  <si>
    <t>TARAZÁ</t>
  </si>
  <si>
    <t>ESCUELA EL EMBATERADO</t>
  </si>
  <si>
    <t>VEREDA REPLANES</t>
  </si>
  <si>
    <t>ESCUELA LA PAILA</t>
  </si>
  <si>
    <t>VEREDA BARRO BLANCO</t>
  </si>
  <si>
    <t>C COMUNAL BARRO BLANCO</t>
  </si>
  <si>
    <t>EL GUAIMARO</t>
  </si>
  <si>
    <t>C COMUNAL EL GUAIMARO</t>
  </si>
  <si>
    <t>DORADAS ALTAS</t>
  </si>
  <si>
    <t>C COMUNAL DORADAS ALTAS</t>
  </si>
  <si>
    <t>PLAZOLETA EL SEÑOR CAIDO KILOMETRO 12 AL LADO DEL ATRIO DE LA IGLESIA CATÓLICA EL SEÑOR CAIDO</t>
  </si>
  <si>
    <t>PLAZOLETA EL SEÑOR CAIDO KILOMETRO12</t>
  </si>
  <si>
    <t>KILOMETRO 12 DIAGONAL A LA CANCHA DE FUTBOL LA SIBERIA</t>
  </si>
  <si>
    <t>C COMUNAL LA SIBERIA KILOMETRO12</t>
  </si>
  <si>
    <t>TURBO</t>
  </si>
  <si>
    <t>KR 40 50 1 BARRIO VELEZ</t>
  </si>
  <si>
    <t>CDI VELEZ</t>
  </si>
  <si>
    <t>800068367</t>
  </si>
  <si>
    <t>ASOCIACION  DE PADRES USUARIOS, OTRAS MODALIDADESDE ATENCION A PRIMERA INFANCIA Y MADRES COMUNITARIAS LA CENTRAL</t>
  </si>
  <si>
    <t>CORREGIMIENTO NUEVA GRANADA</t>
  </si>
  <si>
    <t>C COMUNAL NUEVA GRANADA</t>
  </si>
  <si>
    <t>COMUNIDAD INDIGENA CAIMAN ALTO</t>
  </si>
  <si>
    <t>C COMUNAL CAIMAN ALTO</t>
  </si>
  <si>
    <t>COMUNIDAD SANTACRUZ</t>
  </si>
  <si>
    <t>CASA COMUNAL SANTACRUZ</t>
  </si>
  <si>
    <t>COMUNIDAD EL MANGO</t>
  </si>
  <si>
    <t>CASA PRIMERA INFANCIA EL MANGO</t>
  </si>
  <si>
    <t>KR 13 97 82</t>
  </si>
  <si>
    <t>HOGAR INFANTIL RUISEÑOR</t>
  </si>
  <si>
    <t>05006462025</t>
  </si>
  <si>
    <t>BARRIO SAN LUIS</t>
  </si>
  <si>
    <t>CASETA EL GUAYABO RIO GRANDE SAN LUIS1</t>
  </si>
  <si>
    <t>MONTE VERDE UNO</t>
  </si>
  <si>
    <t>C COMUNAL MONTE VERDE 1</t>
  </si>
  <si>
    <t>VEREDA MONTE VERDE 2</t>
  </si>
  <si>
    <t>C COMUNAL MONTE VERDE 2</t>
  </si>
  <si>
    <t>VEREDA LA TACHUELA</t>
  </si>
  <si>
    <t>C COMUNAL LA TACHUELA</t>
  </si>
  <si>
    <t>VEREDA SANTA INES</t>
  </si>
  <si>
    <t>C COMUNAL SANTA INÉS</t>
  </si>
  <si>
    <t>VEREDA PUEBLO BELLO</t>
  </si>
  <si>
    <t>CENTRO DE SALUD PUEBLO BELLO</t>
  </si>
  <si>
    <t>BARRIO CARIBE</t>
  </si>
  <si>
    <t>CASA DE GOBIERNO NUEVA COLONIA</t>
  </si>
  <si>
    <t>VÍA TURBO - APARTADO CORREGIMIENTO SANTO DOMINGO</t>
  </si>
  <si>
    <t>ESCUELITA SANTO DOMINGO</t>
  </si>
  <si>
    <t>BARRIO MANIZALES</t>
  </si>
  <si>
    <t>PARROQUIA CATOLICA MANIZALE</t>
  </si>
  <si>
    <t>NUEVA ANTIOQUIA</t>
  </si>
  <si>
    <t>SALON COMUNAL NUEVA ANTIOQUIA</t>
  </si>
  <si>
    <t>VEREDA LA ARENERA</t>
  </si>
  <si>
    <t>SALON SOCIAL ARENERA COMUNIDADINDIGENA</t>
  </si>
  <si>
    <t>CASA FAMILIAR VILLAMARIA</t>
  </si>
  <si>
    <t>BARRIO ANTONIO NARIÑO</t>
  </si>
  <si>
    <t>IE CURRULAO SEDE NARIÑO</t>
  </si>
  <si>
    <t>COMUNIDAD INDIGENA ARKUA</t>
  </si>
  <si>
    <t>CABILDO ARKUA</t>
  </si>
  <si>
    <t>05005902025</t>
  </si>
  <si>
    <t>VEREDA LA TECA</t>
  </si>
  <si>
    <t>VEREDA CARACOLI</t>
  </si>
  <si>
    <t>CASA FAMILIAR NORELIA ECHEVERRIA</t>
  </si>
  <si>
    <t>LA POLA</t>
  </si>
  <si>
    <t>CENTRO DE SALUD LA POLA</t>
  </si>
  <si>
    <t>VEREDA PIEDRECITAS - CERCA A LA CANCHA</t>
  </si>
  <si>
    <t>C COMUNAL PIEDRECITA</t>
  </si>
  <si>
    <t>LITORAL VÍA NECOCLI</t>
  </si>
  <si>
    <t>CENTRO DE SALUD EL DOS</t>
  </si>
  <si>
    <t>MANUEL CUELLO</t>
  </si>
  <si>
    <t>CASA FAMILIAR MANUEL CUELLO</t>
  </si>
  <si>
    <t>VEREDA 7 DE AGOSTO</t>
  </si>
  <si>
    <t>LOCAL COMERCIA 7 DE AGOSTO</t>
  </si>
  <si>
    <t>MONO MACHO</t>
  </si>
  <si>
    <t>IE MONOMACHO</t>
  </si>
  <si>
    <t>VEREDA AGUAS CLARAS</t>
  </si>
  <si>
    <t>C COMUNAL AGUAS CLARAS</t>
  </si>
  <si>
    <t>VIA TURBO. NECOCLI</t>
  </si>
  <si>
    <t>IE CAMERUN</t>
  </si>
  <si>
    <t>VEREDA AMSTERCOL 2</t>
  </si>
  <si>
    <t>SALON COMUNAL COLDESA AMSTERCOL</t>
  </si>
  <si>
    <t>VEREDA COPE, VIA PRINCIPÁL</t>
  </si>
  <si>
    <t>IE PIEDRECITA SEDE COPE</t>
  </si>
  <si>
    <t>VEREDA ALTO DE MULATOS</t>
  </si>
  <si>
    <t>IE ALTO DE MULATOS</t>
  </si>
  <si>
    <t>VEREDA LA TRAMPA VÍA PRINCIPAL</t>
  </si>
  <si>
    <t>IE LA TRAMPA</t>
  </si>
  <si>
    <t>BARRIO SANTO DOMINGO</t>
  </si>
  <si>
    <t>CASETA EL TRES</t>
  </si>
  <si>
    <t>VEREDA TIE</t>
  </si>
  <si>
    <t>C COMUNAL TIE</t>
  </si>
  <si>
    <t>VEREDA PUYITA</t>
  </si>
  <si>
    <t>C COMUNAL PUYA MEDIA</t>
  </si>
  <si>
    <t>C COMUNAL PUYITA</t>
  </si>
  <si>
    <t>NUEVO ANTIOQUIA - SIMON BOLIVAR</t>
  </si>
  <si>
    <t>C COMUNAL NUEVO ANTIOQUIA</t>
  </si>
  <si>
    <t>KM 30 VÍA PRINCIPAL HACIA APARTADO</t>
  </si>
  <si>
    <t>SALON COMUNAL PALMITA AMSTERCOL</t>
  </si>
  <si>
    <t>VEREDA TECA</t>
  </si>
  <si>
    <t>ESTRELLITAS</t>
  </si>
  <si>
    <t>CORREGIMIENTO RIOGRANDE</t>
  </si>
  <si>
    <t>AVENTURA MAGICA</t>
  </si>
  <si>
    <t>VEREDA COQUITO</t>
  </si>
  <si>
    <t xml:space="preserve">AMIGUITOS DE JESUS </t>
  </si>
  <si>
    <t>VEREDA COQUITOS</t>
  </si>
  <si>
    <t>VEREDA CALLE LARGA</t>
  </si>
  <si>
    <t>RAYITOS DEL SOL</t>
  </si>
  <si>
    <t>VEREDA CAMERUN PLAYA</t>
  </si>
  <si>
    <t>LUCERITOS</t>
  </si>
  <si>
    <t>VEREDA LA UNION</t>
  </si>
  <si>
    <t>CULTIVANDO AMOR</t>
  </si>
  <si>
    <t>VEREDA PARAISO TULAPA</t>
  </si>
  <si>
    <t>BENDECIDOS</t>
  </si>
  <si>
    <t>VEREDA PUERTO RICO</t>
  </si>
  <si>
    <t>PILARES DEL SABER</t>
  </si>
  <si>
    <t>MANOS CREATIVAS</t>
  </si>
  <si>
    <t>FÉ Y ALEGRIA</t>
  </si>
  <si>
    <t>LA ALEGRIA</t>
  </si>
  <si>
    <t xml:space="preserve">PEQUEÑOS GIGANTES </t>
  </si>
  <si>
    <t>VEREDA LOS ALPES</t>
  </si>
  <si>
    <t xml:space="preserve">UNIENDO FAMILIAS </t>
  </si>
  <si>
    <t>CORREGIMIENTO DE SAN JOSE DE MULATOS</t>
  </si>
  <si>
    <t>RAYITOS DE AMOR</t>
  </si>
  <si>
    <t>PUNTA DE PIEDRA-TURBO NECOCLÍ KM 16, CALLE ANCHA</t>
  </si>
  <si>
    <t>CASA FAMILIAR PUNTA DE PIEDRA</t>
  </si>
  <si>
    <t>KM 2 VIA TURBO APARTADO</t>
  </si>
  <si>
    <t>CASA FAMILIAR KATIA MORA CASANOVA</t>
  </si>
  <si>
    <t>05006202025</t>
  </si>
  <si>
    <t>CL 98 A 17 D 992  BOSQUE</t>
  </si>
  <si>
    <t>SALON LUDICO ESTADIO JJ TRELLEZ BOSQUE</t>
  </si>
  <si>
    <t>CL 98 A 12 8</t>
  </si>
  <si>
    <t>IE OBRERO</t>
  </si>
  <si>
    <t>KR 44 50 26</t>
  </si>
  <si>
    <t>CENTRO CRISTIANO CURRULAO 4</t>
  </si>
  <si>
    <t>VIA APARTADO KM 10</t>
  </si>
  <si>
    <t>CASETA EL GUAYABO RIO GRANDE 2</t>
  </si>
  <si>
    <t>KR 25 11 02 VIA PRINCIPAL</t>
  </si>
  <si>
    <t>CASA DE LA CULTURA LA LUCILA</t>
  </si>
  <si>
    <t>KR 31 B 107 1</t>
  </si>
  <si>
    <t>SALON COMUNAL LA LUCILA</t>
  </si>
  <si>
    <t>CL 98 A 17 D 992 CIUDADELA BOLIVAR</t>
  </si>
  <si>
    <t>SALON LUDICO ESTADIO JJTRELLEZ INVASION</t>
  </si>
  <si>
    <t>05006192025</t>
  </si>
  <si>
    <t>URAMITA</t>
  </si>
  <si>
    <t>VEREDA CAUSE</t>
  </si>
  <si>
    <t>ESCUELA EL CAUSE</t>
  </si>
  <si>
    <t>901468048</t>
  </si>
  <si>
    <t>ASOCIACION SOLO BIENESTAR</t>
  </si>
  <si>
    <t>VEREDA  CHUPADERO</t>
  </si>
  <si>
    <t>C COMUNAL VEREDA CHUPADERO</t>
  </si>
  <si>
    <t>VEREDA COMINAL</t>
  </si>
  <si>
    <t>CASA COMINAL</t>
  </si>
  <si>
    <t>KR 20 25 47</t>
  </si>
  <si>
    <t>BENETUSSER</t>
  </si>
  <si>
    <t>ZONA URBANA</t>
  </si>
  <si>
    <t>PARQUE EDUCATIVO URAMITA UTIMEC</t>
  </si>
  <si>
    <t>05005672025</t>
  </si>
  <si>
    <t>YONDO</t>
  </si>
  <si>
    <t>VEREDA SOLEDAD</t>
  </si>
  <si>
    <t>C COMUNAL LA SOLEDAD_YONDO</t>
  </si>
  <si>
    <t>CASA DE FAMILIA VEREDA  LA CAPILLA</t>
  </si>
  <si>
    <t>CASA DE FAMILIA OSITOS CARIÑOSITOS</t>
  </si>
  <si>
    <t>CASETA COMUNAL SAN LUIS BELTRÁN</t>
  </si>
  <si>
    <t>IE VOCES DE AMOR Y PAZ</t>
  </si>
  <si>
    <t>CR 44 # 46-26 BARRIO LA VICTORIA</t>
  </si>
  <si>
    <t>C COMUNAL LA VICTORIA</t>
  </si>
  <si>
    <t>CASETA COMUNAL DE LA VEREDA PUERTO CASABE</t>
  </si>
  <si>
    <t>C COMUNAL MI MUNDO MAGICO</t>
  </si>
  <si>
    <t>CL 50 53 13 BARRIO COLONIA SUR</t>
  </si>
  <si>
    <t>PARQUE EDUCATIVO_YONDO</t>
  </si>
  <si>
    <t>VIA PRINCIPAL DE LA VEREDA KILOMETRO 5</t>
  </si>
  <si>
    <t>C COMUNAL ESTRELLITAS RUMBERAS</t>
  </si>
  <si>
    <t>VIA PRINCIPAL CASETA COMUNAL PUERTO LOS MANGOS</t>
  </si>
  <si>
    <t>C COMUNAL ANGELES DE AMOR</t>
  </si>
  <si>
    <t>POR LA PRINCIPAL AL LADO DE LA CANCHA DE TIERRA DE FUTBOL</t>
  </si>
  <si>
    <t>C COMUNAL EL TIGRE_YONDO</t>
  </si>
  <si>
    <t>ESCUELA 11 DE NOVIEMBRE</t>
  </si>
  <si>
    <t>IE CHIQUITINES</t>
  </si>
  <si>
    <t>CL 46 CON CARRERA 41 0</t>
  </si>
  <si>
    <t>C COMUNAL SUEÑOS Y RISAS</t>
  </si>
  <si>
    <t>KR 55 46 16</t>
  </si>
  <si>
    <t>LUDOTECA</t>
  </si>
  <si>
    <t>VEREDA LA CONDOR CASETA COMUNAL</t>
  </si>
  <si>
    <t>C COMUNAL NIÑOS FELICES</t>
  </si>
  <si>
    <t>VEREDA CAÑO BLANCO</t>
  </si>
  <si>
    <t>C COMUNAL CAÑO BLANCO</t>
  </si>
  <si>
    <t>VEREDA EL BAGRE</t>
  </si>
  <si>
    <t>C COMUNAL EL BAGRE</t>
  </si>
  <si>
    <t>VEREDA LAS AMERICAS</t>
  </si>
  <si>
    <t>C COMUNAL LAS AMERICAS</t>
  </si>
  <si>
    <t>VEREDA PUERTO MATILDE</t>
  </si>
  <si>
    <t>C COMUNAL PUERTO MATILDE</t>
  </si>
  <si>
    <t>VEREDA EL VIETNAM POR LA Y DE MARLEY A MANO DERECHA</t>
  </si>
  <si>
    <t>C COMUNAL EL VIETNAM</t>
  </si>
  <si>
    <t>VEREDA NO TE PASES CERCA A LA Y DE LOS VIEJITOS</t>
  </si>
  <si>
    <t>C COMUNAL NO TE PASES</t>
  </si>
  <si>
    <t>KR 54 52 37  50</t>
  </si>
  <si>
    <t>RAYITOS DE LUZ</t>
  </si>
  <si>
    <t>05005912025</t>
  </si>
  <si>
    <t xml:space="preserve">ZARAGOZA </t>
  </si>
  <si>
    <t>CL 22 40 57 LAS FLORES</t>
  </si>
  <si>
    <t>ZARAGOZA 2</t>
  </si>
  <si>
    <t>900043315</t>
  </si>
  <si>
    <t>FUNDACION SOCIAL DE LA COSTA CARIBE</t>
  </si>
  <si>
    <t>KRA 21 CLL 14 LOS LAURELES</t>
  </si>
  <si>
    <t>CDI SUEÑOS INFANTILES</t>
  </si>
  <si>
    <t>05006472025</t>
  </si>
  <si>
    <t>C COMUNAL SAN ANTONIO DULCES SONRISAS</t>
  </si>
  <si>
    <t>VEREDA QUEBRADONA</t>
  </si>
  <si>
    <t>C COMUNAL QUEBRADONA GOTITAS DE AMOR</t>
  </si>
  <si>
    <t>EL LIMON</t>
  </si>
  <si>
    <t>C COMUNAL ELLIMON GRANITOSDEESPERANZA</t>
  </si>
  <si>
    <t>CORDERO ICACALES</t>
  </si>
  <si>
    <t>C COMUNAL CORDERO MIS CORAZONCITOS</t>
  </si>
  <si>
    <t>VEREDA CHILONA Y MATURANA</t>
  </si>
  <si>
    <t>C COMUNAL CHILONA SEMILLAS DEL MAÑANA</t>
  </si>
  <si>
    <t>VEREDA PUERTO JOBO</t>
  </si>
  <si>
    <t>C COMUNAL PTO JOBO SUEÑOS INFANTILES</t>
  </si>
  <si>
    <t>EL PATO</t>
  </si>
  <si>
    <t>C COMUNAL PATO JARDINES DE ESPERANZA</t>
  </si>
  <si>
    <t>LA PORQUERA</t>
  </si>
  <si>
    <t>CENTRODSALUDGRANITOSDEESPERANZALAPORQUERA</t>
  </si>
  <si>
    <t>MATURANA</t>
  </si>
  <si>
    <t>C COMUNAL SEMILLASDELMAÑANA MATURANA</t>
  </si>
  <si>
    <t>CORDERITO</t>
  </si>
  <si>
    <t>CER SEMILLAS DE AMOR CORDERITO</t>
  </si>
  <si>
    <t>LA SALOBRE</t>
  </si>
  <si>
    <t>C COMUNAL DULCES SONRISAS LA SALOBRE</t>
  </si>
  <si>
    <t>CAMPO</t>
  </si>
  <si>
    <t>C COMUNAL JARDINES DE ESPERANZA CAMPO</t>
  </si>
  <si>
    <t>VEREDA AQUI SI</t>
  </si>
  <si>
    <t>C COMUNAL AQUISI AMIGOSXSIEMPRE</t>
  </si>
  <si>
    <t>VEREDA ANGOSTURA</t>
  </si>
  <si>
    <t>C COMUNAL ANGOSTURA GOTITAS DE AMOR</t>
  </si>
  <si>
    <t>EL SALTILLO 1</t>
  </si>
  <si>
    <t>EL SALTILLO1</t>
  </si>
  <si>
    <t>EL SALTILLO 2</t>
  </si>
  <si>
    <t>EL SALTILLO2</t>
  </si>
  <si>
    <t>EL VEINTE 1</t>
  </si>
  <si>
    <t>EL VEINTE 2</t>
  </si>
  <si>
    <t>EL VEINTE2</t>
  </si>
  <si>
    <t>RIO VIEJO 1</t>
  </si>
  <si>
    <t>RIO VIEJO 2</t>
  </si>
  <si>
    <t>RIO VIEJO2</t>
  </si>
  <si>
    <t>EL RETIRO 1</t>
  </si>
  <si>
    <t>EL RETIRO 2</t>
  </si>
  <si>
    <t>VEGAS DE SEGOVIA 1</t>
  </si>
  <si>
    <t>VEGAS DE SEGOVIA</t>
  </si>
  <si>
    <t>VEGAS DE SEGOVIA - RESGUARDO INDÍGENA - LOCALIDAD LOS CASTILLOS</t>
  </si>
  <si>
    <t>LAS PARCELAS 1</t>
  </si>
  <si>
    <t>LAS PARCELAS 2</t>
  </si>
  <si>
    <t>EL CINCUENTA 1</t>
  </si>
  <si>
    <t>VEREDA EL 50 1</t>
  </si>
  <si>
    <t>EL CINCUENTA 2</t>
  </si>
  <si>
    <t>VEREDA EL 50 2</t>
  </si>
  <si>
    <t>VEREDA EL 12</t>
  </si>
  <si>
    <t>CASA PASTORAL EL 12 SEMILLAS DE AMOR</t>
  </si>
  <si>
    <t>VEREDA ESCARRALAO</t>
  </si>
  <si>
    <t>C COMUNAL ESCARRALAO AMIGOSXSIEMPRE</t>
  </si>
  <si>
    <t>05005922025</t>
  </si>
  <si>
    <t>BELLO</t>
  </si>
  <si>
    <t>DG 67 46 05 NIQUIA</t>
  </si>
  <si>
    <t>CDI SAN JOSE DE NAZARETH</t>
  </si>
  <si>
    <t>800136782</t>
  </si>
  <si>
    <t>ASOCIACIÓN SOCIAL POPULAR</t>
  </si>
  <si>
    <t>DG 56 46 16 BARRIO NIQUIA</t>
  </si>
  <si>
    <t>CDI ROGELIO ARANGO</t>
  </si>
  <si>
    <t>CL 21C C 41 C 30 SANTA RITA</t>
  </si>
  <si>
    <t>05006092025</t>
  </si>
  <si>
    <t>KR 52 A 52 29  BARRIO PEREZ</t>
  </si>
  <si>
    <t>900551843</t>
  </si>
  <si>
    <t>FUNDACION DAME TU MANO J.E.P.C.</t>
  </si>
  <si>
    <t>KR 42 CL 20 E 51</t>
  </si>
  <si>
    <t>SANTA RITA</t>
  </si>
  <si>
    <t>KR 53 CL 50 36</t>
  </si>
  <si>
    <t>CENTRO DE DESARROLLO INFANTIL IMAGINA TU MUNDO</t>
  </si>
  <si>
    <t>RURAL BELLO EL PINAR</t>
  </si>
  <si>
    <t>CASA DE SU NIÑO</t>
  </si>
  <si>
    <t>AV 48 B 61 03</t>
  </si>
  <si>
    <t>FUTUROS GENIOS</t>
  </si>
  <si>
    <t>AV 34 D 42 G 55 MACHADO</t>
  </si>
  <si>
    <t>VEREDA GRANISAL SECTOR ALTOS DE ORIENTE</t>
  </si>
  <si>
    <t>CDI CORAZONES FELICES</t>
  </si>
  <si>
    <t>05006102025</t>
  </si>
  <si>
    <t>CL 21 81 A 25</t>
  </si>
  <si>
    <t>CASA PARIS/DUPLA 1</t>
  </si>
  <si>
    <t>800075887</t>
  </si>
  <si>
    <t>ASOCIACIÓN DE PADRES DE HOGARES DE BIENESTAR ESPÍRITU SANTO</t>
  </si>
  <si>
    <t>KR 40 C 20 E 43</t>
  </si>
  <si>
    <t>CASA BETHANIA ZAMORA/MARIA FERNANDA SILVA/PECAS</t>
  </si>
  <si>
    <t>DG 42 F 36 C 121</t>
  </si>
  <si>
    <t>ACCION COMUNAL 5 ESTRELLAS/DUPLA 1</t>
  </si>
  <si>
    <t>KILÓMETRO 7 ANTIGUA VÍA A GUARNE CDI</t>
  </si>
  <si>
    <t>CDI CORAZONES FELICES ALTOS DE ORIEN</t>
  </si>
  <si>
    <t>KR 63 A BIS 54 A 18</t>
  </si>
  <si>
    <t>JAC EL PORVENIR</t>
  </si>
  <si>
    <t>DG 65 47 C 120</t>
  </si>
  <si>
    <t>SALON COMUNAL UNICAF NIQUIA</t>
  </si>
  <si>
    <t>CENTRO CULTURAL SAN FELIX 1</t>
  </si>
  <si>
    <t>KILÓMETRO 24 VÍA MEDELLÍN SAN PEDRO</t>
  </si>
  <si>
    <t>IE LA UNIÓN</t>
  </si>
  <si>
    <t>JAC OASIS DE PAZ 1</t>
  </si>
  <si>
    <t>CL 52 B 64 22</t>
  </si>
  <si>
    <t>BIBLIOTECA EL CARMELO</t>
  </si>
  <si>
    <t>CL 71 59 60 PACHELLY</t>
  </si>
  <si>
    <t>JAC PACHELLY BELLO</t>
  </si>
  <si>
    <t>05005682025</t>
  </si>
  <si>
    <t>KR 68 25 A 31</t>
  </si>
  <si>
    <t>SALON SOCIAL MARUCHENGA/DUPLA 1</t>
  </si>
  <si>
    <t>800038470</t>
  </si>
  <si>
    <t>ASOCIACION DE PADRES DE HOGARES DE BIENESTAR "BIENESTAR Y PROGRESO"</t>
  </si>
  <si>
    <t>CASA PARIS/DUPLA 2</t>
  </si>
  <si>
    <t>CASA BETHANIA ZAMORA/EDILMA VALENCIA/PECAS</t>
  </si>
  <si>
    <t>SALON SOCIAL MARUCHENGA/DUPLA 2</t>
  </si>
  <si>
    <t>SALON SOCIAL MARUCHENGA/DUPLA 3</t>
  </si>
  <si>
    <t>SALON SOCIAL MARUCHENGA/DUPLA 4</t>
  </si>
  <si>
    <t>VEREDA HATO VIEJO</t>
  </si>
  <si>
    <t>FINCA HATO VIEJO</t>
  </si>
  <si>
    <t>CARRERA 63A 52B 21</t>
  </si>
  <si>
    <t>SALON PARROQUIAL POTRERITO</t>
  </si>
  <si>
    <t>INSTITUCION EDUCATIVA EL TAMBO</t>
  </si>
  <si>
    <t>IE EL TAMBO</t>
  </si>
  <si>
    <t>JAC LOS ESPEJOS EL SALADO</t>
  </si>
  <si>
    <t>JAC LOS ESPEJOS</t>
  </si>
  <si>
    <t>REGALO DE DIOS 1</t>
  </si>
  <si>
    <t>AV 35 44 90 LAS VEGAS</t>
  </si>
  <si>
    <t>JAC CINCO ESTRELLAS BELLO</t>
  </si>
  <si>
    <t>JAC REGALO DE DIOS, VEREDA GRANISAL, KILOMETRO 7 ANTIGUA VÍA A GUARNE</t>
  </si>
  <si>
    <t>REGALO DE DIOS 2</t>
  </si>
  <si>
    <t>CL 25 A 76 84 BARRIO PARIS CASA DE JUSTICIA</t>
  </si>
  <si>
    <t>CASA PARIS 3</t>
  </si>
  <si>
    <t>DG 65 36 B 10 BARRIO QUITASOL</t>
  </si>
  <si>
    <t>QUITASOL</t>
  </si>
  <si>
    <t>AV 36 C 42 C 36 BARRIO LA CAMILA INSTITUCION EDUCATIVA SAN JUDAS TADEO</t>
  </si>
  <si>
    <t>LA CAMILA</t>
  </si>
  <si>
    <t>CL 50 53 18</t>
  </si>
  <si>
    <t>ESPÍRITU SANTO</t>
  </si>
  <si>
    <t>DG 58 44 61 BARRIO EL TAPON</t>
  </si>
  <si>
    <t xml:space="preserve">TAPON </t>
  </si>
  <si>
    <t>I.E. SAN JUDAS TADEO SEDE PARÍS - CARRERA 75 # 21 - 51 BARRIO PARÍS</t>
  </si>
  <si>
    <t>CASA PARIS 1</t>
  </si>
  <si>
    <t>CASA PARIS 2</t>
  </si>
  <si>
    <t>05005952025</t>
  </si>
  <si>
    <t>CL 40 C 20 E 43</t>
  </si>
  <si>
    <t>LOS HONGUITOS</t>
  </si>
  <si>
    <t>800069125</t>
  </si>
  <si>
    <t>ASOCIACION DE PADRES USUARIOS, OTRAS MODALIDADES DE ATENCIÓN A PRIMERA INFANCIA Y MADRES COMUNITARIAS LORETO</t>
  </si>
  <si>
    <t>AV 46 C 65 47  NIQUIA CAMACOL</t>
  </si>
  <si>
    <t>GUS GUS</t>
  </si>
  <si>
    <t>KR 44 20 E 35</t>
  </si>
  <si>
    <t>HOGAR INFANTIL GATO CON BOTAS</t>
  </si>
  <si>
    <t>CL 51 52 59 BARRIO PEREZ</t>
  </si>
  <si>
    <t>HOGAR INFANTIL TUERQUITA</t>
  </si>
  <si>
    <t>AV 44 52 22</t>
  </si>
  <si>
    <t>HOGAR INFANTIL ARLEQUINES</t>
  </si>
  <si>
    <t>05005942025</t>
  </si>
  <si>
    <t>KR 77B 99 10</t>
  </si>
  <si>
    <t>CDI EL CONCEJITO</t>
  </si>
  <si>
    <t>900762018</t>
  </si>
  <si>
    <t>FUNDACION YOYITOS DE AMOR</t>
  </si>
  <si>
    <t>EDUCACIÓN INICIAL CAMPESINA A - PROPIA E INTERCULTURAL</t>
  </si>
  <si>
    <t>VALOR TOTAL DEL CONTRATO INCLUIDO EL COMPONENTE DE ALIMENTACIÓN</t>
  </si>
  <si>
    <t>OBSERVACIONES</t>
  </si>
  <si>
    <t>CZ ROSALES</t>
  </si>
  <si>
    <t>Medellin</t>
  </si>
  <si>
    <t>KR 53 3 SUR 9</t>
  </si>
  <si>
    <t>HOGAR INFANTIL LA CASITA AZUL</t>
  </si>
  <si>
    <t>Artículo 35, literal a) procedimiento de selección fallido o desierto</t>
  </si>
  <si>
    <t>ASOCIACION DE PADRES DE FAMILIA DEL HOGAR INFANTIL LAS MIRLAS</t>
  </si>
  <si>
    <t>CL 49 A 99 A 17</t>
  </si>
  <si>
    <t>HOGAR INFANTIL JUGANDO A CREAR</t>
  </si>
  <si>
    <t>Argelia</t>
  </si>
  <si>
    <t>LA QUIEBRA EL ZANCUDO URBANO</t>
  </si>
  <si>
    <t>SONRISAS DE AMOR</t>
  </si>
  <si>
    <t>CORPORACIÓN ESCUELA EMPRESARIAL DE EDUCACIÓN</t>
  </si>
  <si>
    <t>EL ROSARIO BUENOS AIRES LA LINDA</t>
  </si>
  <si>
    <t>LA JULIA LA ARBOLEDA EL PITAL</t>
  </si>
  <si>
    <t>MARCANDO HUELLAS</t>
  </si>
  <si>
    <t>LA GITANA EL FRESNITO LA REINA</t>
  </si>
  <si>
    <t>COMO EN CASA</t>
  </si>
  <si>
    <t>VILLETA SAN PABLO EL FRESNITO</t>
  </si>
  <si>
    <t>COROZONES FELICES</t>
  </si>
  <si>
    <t>CL 32 31 52   ANTIGUA ESCUELA MARCO FIDEL SUAREZ</t>
  </si>
  <si>
    <t>SEMILLAS DEL MAÑANA</t>
  </si>
  <si>
    <t xml:space="preserve">Rionegro </t>
  </si>
  <si>
    <t>VEREDA CABECERAS, FRENTE A LA OFICINA DEL ACUEDUCTO</t>
  </si>
  <si>
    <t>CDI DULCE DESPERTAR GOL</t>
  </si>
  <si>
    <t>VEREDA GALICIA PARTE BAJA FUNDACION ALDEAS INFANTILES SOS DE COLOMBIA</t>
  </si>
  <si>
    <t>CDI GALICIA</t>
  </si>
  <si>
    <t>Betania</t>
  </si>
  <si>
    <t>RURAL LA HERMOSA</t>
  </si>
  <si>
    <t>IE MEDIA LUNA</t>
  </si>
  <si>
    <t>FUNDACIÓN EDUCADORA INFANTIL CARLA CRISTINA</t>
  </si>
  <si>
    <t>RURAL LA LIBIA</t>
  </si>
  <si>
    <t>IE RURAL LA LIBIA</t>
  </si>
  <si>
    <t>RURAL  BARLOVENTO</t>
  </si>
  <si>
    <t>IE RURAL BARLOVENTO</t>
  </si>
  <si>
    <t>RURAL  LA LINDA</t>
  </si>
  <si>
    <t>IE RURAL LA LINDA</t>
  </si>
  <si>
    <t>RURAL LA FE</t>
  </si>
  <si>
    <t>IE RURAL LA FE</t>
  </si>
  <si>
    <t>RURAL BELLAVISTA</t>
  </si>
  <si>
    <t>IE RURAL BELLAVISTA</t>
  </si>
  <si>
    <t>EL TABLAZO</t>
  </si>
  <si>
    <t>IE RURAL EL TABLAZO</t>
  </si>
  <si>
    <t>IE RURAL LA FLORIDA</t>
  </si>
  <si>
    <t>VEREDA PALENQUE</t>
  </si>
  <si>
    <t>CER PALENQUE_BETANIA</t>
  </si>
  <si>
    <t>VEREDA CAJONES</t>
  </si>
  <si>
    <t>IE RURAL CAJONES</t>
  </si>
  <si>
    <t>VEREDA LIBIA ABAJO</t>
  </si>
  <si>
    <t>IE RURAL SAN RAFAEL</t>
  </si>
  <si>
    <t>CL 18 25 63</t>
  </si>
  <si>
    <t>CENTRO DE DESARROLLO INFANTIL BETANIA</t>
  </si>
  <si>
    <t>RURAL PEDRAL ARRIBA</t>
  </si>
  <si>
    <t>IE RURAL PEDRAL ARRIBA</t>
  </si>
  <si>
    <t>Caramanta</t>
  </si>
  <si>
    <t>VEREDA DE YARUMALITO</t>
  </si>
  <si>
    <t>CER YARUMALITO</t>
  </si>
  <si>
    <t>AGUADITA PEQUEÑA</t>
  </si>
  <si>
    <t>CER PEDRO ZABALA</t>
  </si>
  <si>
    <t>VEREDA SUCRE</t>
  </si>
  <si>
    <t>CER JUAN DE LA CRUZ VALENCIA</t>
  </si>
  <si>
    <t>ALEGRIAS</t>
  </si>
  <si>
    <t>IER ALEGRIAS</t>
  </si>
  <si>
    <t>CER SAN PABLO 1_CARAMANTA</t>
  </si>
  <si>
    <t>C COMUNAL SAN ANTONIO_CARAMANTA</t>
  </si>
  <si>
    <t>BARRO BLANCO</t>
  </si>
  <si>
    <t>CER MARGARITA MARIA</t>
  </si>
  <si>
    <t>VEREDA PALMICHAL</t>
  </si>
  <si>
    <t>CER PALMICHAL_CARAMANTA</t>
  </si>
  <si>
    <t>KR 21 19 2 PARQUE PRINCIPAL</t>
  </si>
  <si>
    <t>CASA DE GOBIERNO</t>
  </si>
  <si>
    <t>CL 21 MONTOYA</t>
  </si>
  <si>
    <t>VIRGINIA OSORIO DE RESTREPO</t>
  </si>
  <si>
    <t xml:space="preserve">Hispania </t>
  </si>
  <si>
    <t>CER FLORIDA</t>
  </si>
  <si>
    <t>CER LA FLORIDA_HISPANIA</t>
  </si>
  <si>
    <t>CER EL LLANETE</t>
  </si>
  <si>
    <t>VEREDA LA ARMENIA ALTA ESCUELA MIGUEL VELASQUEZ MEJIA</t>
  </si>
  <si>
    <t>CER ARMENIA ALTA</t>
  </si>
  <si>
    <t>VEREDA LA CUELGA</t>
  </si>
  <si>
    <t>CER LA CUELGA</t>
  </si>
  <si>
    <t>CL 49 52 51</t>
  </si>
  <si>
    <t>CER LA SECA URBANA</t>
  </si>
  <si>
    <t>CARRERA 52 ATENAS</t>
  </si>
  <si>
    <t>LOS SAMANES</t>
  </si>
  <si>
    <t>ESCUELA LA SECA</t>
  </si>
  <si>
    <t>CER LA SECA</t>
  </si>
  <si>
    <t>Tarso</t>
  </si>
  <si>
    <t>CER LA LINDA</t>
  </si>
  <si>
    <t>CER LA LINDA_TARSO</t>
  </si>
  <si>
    <t>CALLE 18 # 12 185 BARRIO GUAYABAL</t>
  </si>
  <si>
    <t>CDI TARSO</t>
  </si>
  <si>
    <t>PARQUE PRINCIPAL</t>
  </si>
  <si>
    <t>PARQUE LINEAL 1 Y 2</t>
  </si>
  <si>
    <t>EL CEDRON</t>
  </si>
  <si>
    <t>CASETA COMUNAL EL CEDRON</t>
  </si>
  <si>
    <t>CER TACAMOCHO</t>
  </si>
  <si>
    <t xml:space="preserve">Valparaiso </t>
  </si>
  <si>
    <t>KR 12 6 31</t>
  </si>
  <si>
    <t>ESE SAN JUAN DE DIOS</t>
  </si>
  <si>
    <t>VEREDA BOLAÑOS</t>
  </si>
  <si>
    <t>CER HORACIO TORO OCHOA</t>
  </si>
  <si>
    <t>IE RAFAEL URIBE RESGUARDO</t>
  </si>
  <si>
    <t>KR 10 06 12</t>
  </si>
  <si>
    <t>IE RAFAEL URIBE LA VIRGEN</t>
  </si>
  <si>
    <t>BARRIO LA NUEVA</t>
  </si>
  <si>
    <t>CENTRO DE DESARROLLO INFANTIL VALPARAISO</t>
  </si>
  <si>
    <t>VEREDA LA PLACITA</t>
  </si>
  <si>
    <t>C COMUNAL LA PLACITA</t>
  </si>
  <si>
    <t>Anza</t>
  </si>
  <si>
    <t>CORREGIMIENTO DE GUINTAR</t>
  </si>
  <si>
    <t>IE ASENCION MONTOYA DE TORRES</t>
  </si>
  <si>
    <t>VEREDA HIGUINA</t>
  </si>
  <si>
    <t>C COMUNAL HIGUINA1</t>
  </si>
  <si>
    <t>VEREDA LA QUIONA</t>
  </si>
  <si>
    <t>CASA DE FAMILIA LUCILA MONTOYA</t>
  </si>
  <si>
    <t>VEREDA LOMITAS</t>
  </si>
  <si>
    <t>IE RURAL ASENCION MONTOYA DE TORRES</t>
  </si>
  <si>
    <t>VEREDA LA MESA</t>
  </si>
  <si>
    <t>CASA DE FAMILIA ORFALINA MORENO</t>
  </si>
  <si>
    <t>LOCAL EUCLIDES PIEDRAHITA</t>
  </si>
  <si>
    <t>SEDE EL ENCANTO DE LA I.E.ANZA</t>
  </si>
  <si>
    <t>VEREDA LA QUIEBRA ESCUELA PRINCIPAL</t>
  </si>
  <si>
    <t>CER LA QUIEBRA_ANZA</t>
  </si>
  <si>
    <t>VEREDA LA CEJITA</t>
  </si>
  <si>
    <t>RAYITO DE SOL VEREDA LA CEJITA</t>
  </si>
  <si>
    <t>VEREDA LA MATA ESCUELA PRINCIPAL</t>
  </si>
  <si>
    <t>COPITOS DE NIEVE C.E.R LA MATA</t>
  </si>
  <si>
    <t>VEREDA EL GREDAL ESCUELA PRINCIPAL</t>
  </si>
  <si>
    <t>I.E.R ASENCION MONTOYA DE TORRES SEDE EL GREDAL</t>
  </si>
  <si>
    <t>IE ASENCION MONTOYA DE TORRES 1</t>
  </si>
  <si>
    <t>SEDE EL ENCANTO DE LA I.E.ANZA 1</t>
  </si>
  <si>
    <t>CL 11 7 11</t>
  </si>
  <si>
    <t xml:space="preserve">Buritica </t>
  </si>
  <si>
    <t>VEREDA LOS ASIENTOS</t>
  </si>
  <si>
    <t>CASA LOS ASIENTOS</t>
  </si>
  <si>
    <t>VEREDA GUARCO</t>
  </si>
  <si>
    <t>CERAMU SANTA GEMA GUARCO</t>
  </si>
  <si>
    <t>CERAMU SEDE PALENQUE</t>
  </si>
  <si>
    <t>VEREDA LA ASOMADERA</t>
  </si>
  <si>
    <t>CASA ASOMADERA</t>
  </si>
  <si>
    <t>VEREDA LAS BRISAS</t>
  </si>
  <si>
    <t>CERAMU SEDE BRISAS</t>
  </si>
  <si>
    <t>VEREDA HIGABRA</t>
  </si>
  <si>
    <t>C COMUNAL HIGABRA</t>
  </si>
  <si>
    <t>ANORÍ</t>
  </si>
  <si>
    <t>CASA ANORÍ</t>
  </si>
  <si>
    <t>LA CORDILLERA</t>
  </si>
  <si>
    <t>CERAMU SEDE LA CORDILLERA</t>
  </si>
  <si>
    <t>VEREDA LA FRAGUA</t>
  </si>
  <si>
    <t>CASETA PEDRO JULIO FRAGUA</t>
  </si>
  <si>
    <t>VEREDA LAS TRAVESÍAS</t>
  </si>
  <si>
    <t>CASETA JORGE HGUITA</t>
  </si>
  <si>
    <t>VEREDA LLANO CHIQUITO</t>
  </si>
  <si>
    <t>CERAMU SEDE LLANO CHIQUITO</t>
  </si>
  <si>
    <t>CORREGIMIENTO LLANOS DE URARCO</t>
  </si>
  <si>
    <t>CERAMU SEDE LLANOS DE URARCO</t>
  </si>
  <si>
    <t>CASA MURRAPAL</t>
  </si>
  <si>
    <t>CORREGIMIENTO DE TABACAL</t>
  </si>
  <si>
    <t>KIOSCO TABACAL</t>
  </si>
  <si>
    <t>VEREDA SOPETRANCITO</t>
  </si>
  <si>
    <t>CASA SOPETRANCITO</t>
  </si>
  <si>
    <t>VEREDA LA VEGA</t>
  </si>
  <si>
    <t>CASA VEGA</t>
  </si>
  <si>
    <t>VEREDA LA MARIELA</t>
  </si>
  <si>
    <t>CASA MARIELA</t>
  </si>
  <si>
    <t>EL PUENTE</t>
  </si>
  <si>
    <t>KIOSCO EL GUAIMARO</t>
  </si>
  <si>
    <t>CL 7 54 26 CALLE BOLIVAR</t>
  </si>
  <si>
    <t>PARQUE EDUCATIVO BURITICA</t>
  </si>
  <si>
    <t>VEREDA SINCIERCO</t>
  </si>
  <si>
    <t>CASA SINCIERCO</t>
  </si>
  <si>
    <t>CL 4 4 02</t>
  </si>
  <si>
    <t>SONRISAS DE MIL COLORES</t>
  </si>
  <si>
    <t>ALTO DEL OBISPO</t>
  </si>
  <si>
    <t>C COMUNALALTO DEL OBISPO</t>
  </si>
  <si>
    <t xml:space="preserve">Liborina </t>
  </si>
  <si>
    <t>LIBORINA VEREDA EL GUAMAL</t>
  </si>
  <si>
    <t>LOCAL LOS EXPLORADORES</t>
  </si>
  <si>
    <t>CASA LOS OSITOS</t>
  </si>
  <si>
    <t>PARQUE EDUCATIVO CL 9 12 63</t>
  </si>
  <si>
    <t>CER LOS CHIQUIBABY</t>
  </si>
  <si>
    <t>VEREDA MALBAZA</t>
  </si>
  <si>
    <t>SALON PULGARCITOS</t>
  </si>
  <si>
    <t>VEREDA EL POTRERO</t>
  </si>
  <si>
    <t>CASETA LOS SOLECITOS</t>
  </si>
  <si>
    <t>VEREDA LOS PEÑOLES</t>
  </si>
  <si>
    <t>CER LOS GOLOSITOS</t>
  </si>
  <si>
    <t>VEREDA LOS SAUCES</t>
  </si>
  <si>
    <t>CER LOS ANGELITOS</t>
  </si>
  <si>
    <t>VEREDA BARRIO NUEVO</t>
  </si>
  <si>
    <t>CASA LOS PASTORCITOS ALEGRES</t>
  </si>
  <si>
    <t>VEREDA SAN MIGUEL</t>
  </si>
  <si>
    <t>CASA LOS CHIQUILINES</t>
  </si>
  <si>
    <t>CORREGIMIENTO EL PLAYÓN</t>
  </si>
  <si>
    <t>AULA LOS PIOLINES</t>
  </si>
  <si>
    <t>VEREDA LA HONDURA</t>
  </si>
  <si>
    <t>CER MI MUNDO MÁGICO</t>
  </si>
  <si>
    <t>VEREDA EL MORRO</t>
  </si>
  <si>
    <t>CASETA LOS PATICOS</t>
  </si>
  <si>
    <t>VEREDA LA MEDIAGUA</t>
  </si>
  <si>
    <t>CASETA LOS MONAGUILLOS</t>
  </si>
  <si>
    <t>VEREDA CURITI</t>
  </si>
  <si>
    <t>NEGOCIO CANGURITOS</t>
  </si>
  <si>
    <t>VEREDA CRISTOBAL</t>
  </si>
  <si>
    <t>CAPILLA LOS CONEJITOS</t>
  </si>
  <si>
    <t>VEREDA LABRADEROS</t>
  </si>
  <si>
    <t>CASA LOS TRAVIESITOS</t>
  </si>
  <si>
    <t>VEREDA LA HACIENDA</t>
  </si>
  <si>
    <t>CER SEMILLITAS DE AMOR_LIBORINA</t>
  </si>
  <si>
    <t>CER MANITOS CREATIVAS</t>
  </si>
  <si>
    <t>VEREDA MORRITOS</t>
  </si>
  <si>
    <t>CASA SUSURROS DE AMOR</t>
  </si>
  <si>
    <t>VEREDA EL PROVINCIAL</t>
  </si>
  <si>
    <t>CASA LOS CACHORRITOS</t>
  </si>
  <si>
    <t>CL 9 12 63</t>
  </si>
  <si>
    <t>PARQUE EDUCATIVO_LIBORINA</t>
  </si>
  <si>
    <t>KM 1 SALIDA SABANALARGA</t>
  </si>
  <si>
    <t>Sabanalarga</t>
  </si>
  <si>
    <t>ESCUELA VEREDA MEMBRILLAL</t>
  </si>
  <si>
    <t>C COMUNAL PEQUEÑOSSOÑADORES</t>
  </si>
  <si>
    <t>VEREDA NIQUIA</t>
  </si>
  <si>
    <t>BILLAR LOS PEQUEÑOS FELICES NIQ</t>
  </si>
  <si>
    <t>CORREGIMIENTO EL ORO</t>
  </si>
  <si>
    <t>SALON PARROQUIAL PASITOS SONRIENTES</t>
  </si>
  <si>
    <t>VEREDA EL TAMBO</t>
  </si>
  <si>
    <t>CASA MARIA ALVAREZ PEQUEÑOS GIGANTES</t>
  </si>
  <si>
    <t>VEREDA LA ERMITA</t>
  </si>
  <si>
    <t>CAMPAMENTO LOS ANGELITOS</t>
  </si>
  <si>
    <t>VEREDA EL MADERO</t>
  </si>
  <si>
    <t>CENTRO DE SALUD LOS INFANTES</t>
  </si>
  <si>
    <t>DISCOTECA MIS PRIMEROS PASOS</t>
  </si>
  <si>
    <t>VEREDA EL CLAVEL</t>
  </si>
  <si>
    <t>ESCUELA CARITAS FELICES ELCLAVEL</t>
  </si>
  <si>
    <t>Belmira</t>
  </si>
  <si>
    <t>VEREDA ZANCUDO</t>
  </si>
  <si>
    <t>IE CARLOS GONZALEZ</t>
  </si>
  <si>
    <t>CORPORACIÓN FORJADORES DE AMOR</t>
  </si>
  <si>
    <t>VEREDA SALAZAR</t>
  </si>
  <si>
    <t>C COMUNAL LA SALAZAR_BELMIRA</t>
  </si>
  <si>
    <t>CORREGIMIENTO LABORES</t>
  </si>
  <si>
    <t>SALON ROS C. LABORES</t>
  </si>
  <si>
    <t>C COMUNAL SANTO DOMINGO</t>
  </si>
  <si>
    <t>VEREDA LA AMOLADORA</t>
  </si>
  <si>
    <t>CASETA C.LA AMOLADORA</t>
  </si>
  <si>
    <t>KR 21 CL 17 52</t>
  </si>
  <si>
    <t>HUELLAS DE AMOR</t>
  </si>
  <si>
    <t xml:space="preserve">Entrerrios </t>
  </si>
  <si>
    <t>CER ZANCUDO</t>
  </si>
  <si>
    <t>VEREDA TESORERO</t>
  </si>
  <si>
    <t>CER TESORERO</t>
  </si>
  <si>
    <t>VEREDA PIO XII</t>
  </si>
  <si>
    <t>CER PIO XII</t>
  </si>
  <si>
    <t>VEREDA EL FILO</t>
  </si>
  <si>
    <t>CER EL FILO</t>
  </si>
  <si>
    <t>VEREDA TORURO</t>
  </si>
  <si>
    <t>C COMUNAL TORURO</t>
  </si>
  <si>
    <t>CER LAS BRISAS</t>
  </si>
  <si>
    <t>CER YERBABUENAL</t>
  </si>
  <si>
    <t>CER EL PORVENIR</t>
  </si>
  <si>
    <t>VEREDA EL PROGRESO</t>
  </si>
  <si>
    <t>CER PROGRESO</t>
  </si>
  <si>
    <t>KR 13 10 36  BARRIO 4 ESQUINAS</t>
  </si>
  <si>
    <t>PASITOS</t>
  </si>
  <si>
    <t>Angelopolis</t>
  </si>
  <si>
    <t>CORREGIMIENTO LA ESTACION</t>
  </si>
  <si>
    <t>IE PASITO A PASITO</t>
  </si>
  <si>
    <t>ASOCIACION DE PADRES DE FAMILIA DEL HOGAR INFANTIL EL PRINCIPITO</t>
  </si>
  <si>
    <t>CER CORAZONCITOS 1</t>
  </si>
  <si>
    <t>CER SEMILLITAS DE AMOR_ANGELOPOLIS</t>
  </si>
  <si>
    <t>BARRO</t>
  </si>
  <si>
    <t>CER FAMILIAS DE CORAZON 1</t>
  </si>
  <si>
    <t>CIENEGUITA</t>
  </si>
  <si>
    <t>C COMUNAL LAS GAVIOTAS</t>
  </si>
  <si>
    <t>CL 8 27 108</t>
  </si>
  <si>
    <t>HOSPITAL FAMILIAS DE CORAZON</t>
  </si>
  <si>
    <t>CALLE ARENALES, AL FRENTE DE LA SECCIÓN SECUNDARIA DEL COLEGIO SAN JOSE, SIN NOMENCLATURA</t>
  </si>
  <si>
    <t>LOS ANGELITOS</t>
  </si>
  <si>
    <t>Heliconia</t>
  </si>
  <si>
    <t>LA PLAZITA</t>
  </si>
  <si>
    <t>CL 19 11 1</t>
  </si>
  <si>
    <t>COLISEO MUNICIPAL</t>
  </si>
  <si>
    <t>EL ALTO DEL CORRAL</t>
  </si>
  <si>
    <t>CENTRO DE SALUD ALTO DEL CORRAL</t>
  </si>
  <si>
    <t>LLANO DE SAN JOSÉ</t>
  </si>
  <si>
    <t>SALON SOCIAL LLANO</t>
  </si>
  <si>
    <t>PRADERA</t>
  </si>
  <si>
    <t>CENTRO DE SALUD PRADERA</t>
  </si>
  <si>
    <t>IE HECTOR HIGINIO BEDOYA VARGAS</t>
  </si>
  <si>
    <t>VEREDA EL PALO</t>
  </si>
  <si>
    <t>SALON SOCIAL PALO BLANCO</t>
  </si>
  <si>
    <t>VERDAD LA PAVA HELICONIA- EBEJICO</t>
  </si>
  <si>
    <t>IER HECTOR HIGINIO BEDOYA V SEDE LA PAVA</t>
  </si>
  <si>
    <t xml:space="preserve">La Pintada </t>
  </si>
  <si>
    <t>CL 33 A 30 B 60</t>
  </si>
  <si>
    <t>CASA DE LA CULTURA MUNICIPAL LA PINTADA</t>
  </si>
  <si>
    <t>AV 30 N 30 1</t>
  </si>
  <si>
    <t>LA GRANJITA 1</t>
  </si>
  <si>
    <t>CL 36 A 33 A 46 VIA KILOMETRO</t>
  </si>
  <si>
    <t>LA GRANJITA 2</t>
  </si>
  <si>
    <t xml:space="preserve">Montebello </t>
  </si>
  <si>
    <t>EL GAVILAN 1</t>
  </si>
  <si>
    <t>C COMUNAL GAVILAN</t>
  </si>
  <si>
    <t>PALMITAS</t>
  </si>
  <si>
    <t>CENTRO EDUCATIVO PALMITAS</t>
  </si>
  <si>
    <t>SABANITAS</t>
  </si>
  <si>
    <t>C COMUNAL SABANITAS</t>
  </si>
  <si>
    <t>ZARCITOS</t>
  </si>
  <si>
    <t>C COMUNAL ZARCITOS</t>
  </si>
  <si>
    <t>EL BARRO</t>
  </si>
  <si>
    <t>C COMUNAL EL BARRO</t>
  </si>
  <si>
    <t>EL OLIVAL</t>
  </si>
  <si>
    <t>C COMUNAL EL OLIVAL</t>
  </si>
  <si>
    <t>SAN ANTONIO</t>
  </si>
  <si>
    <t>C COMUNAL LOS ANGELITOS</t>
  </si>
  <si>
    <t>CER CAMPO ALEGRE MONTEBELLO</t>
  </si>
  <si>
    <t>LA GRANJA 1</t>
  </si>
  <si>
    <t>C COMUNAL GRANJA</t>
  </si>
  <si>
    <t>KR LOPEZ  N 19 14</t>
  </si>
  <si>
    <t>JUNTOS CONSTRUYENDO SUEÑOS</t>
  </si>
  <si>
    <t>Venecia</t>
  </si>
  <si>
    <t>KR 5 9 46 VIA PRINCIPAL</t>
  </si>
  <si>
    <t>FUNDACION SUEÑOS POR COLOMBIA</t>
  </si>
  <si>
    <t>CL 52 51 23 LUDOTECA</t>
  </si>
  <si>
    <t>LUDOTECA MUNICIPAL RURAL</t>
  </si>
  <si>
    <t>CENTRO DE SALUD PALENQUE</t>
  </si>
  <si>
    <t>VEREDA ARABIA</t>
  </si>
  <si>
    <t>C COMUNAL ARABIA</t>
  </si>
  <si>
    <t>CL PRINCIPAL ENTRADA MIRAFLOREZ 14 2</t>
  </si>
  <si>
    <t>LOS ANGELITOS BOLOMBOLO</t>
  </si>
  <si>
    <t xml:space="preserve">Titiribi </t>
  </si>
  <si>
    <t>TERNURAS</t>
  </si>
  <si>
    <t>CASITA INFANTIL</t>
  </si>
  <si>
    <t>Puerto Berrio</t>
  </si>
  <si>
    <t>KR 10 54 10</t>
  </si>
  <si>
    <t>HOGAR INFANTIL MIS JUGUETES</t>
  </si>
  <si>
    <t>Ebejico</t>
  </si>
  <si>
    <t>CORREGIMIENTO PRIMAVERA</t>
  </si>
  <si>
    <t>IE GABRIEL YEPES SEDE LA PRIMAVERA</t>
  </si>
  <si>
    <t>VEREDA LA CLARA</t>
  </si>
  <si>
    <t>IE RURAL ARENALES</t>
  </si>
  <si>
    <t>CORREGIMIENTO EL BRASIL</t>
  </si>
  <si>
    <t>IER BOYACA</t>
  </si>
  <si>
    <t>CORREGIMIENTO SEVILLA</t>
  </si>
  <si>
    <t>IE GABRIEL YEPES</t>
  </si>
  <si>
    <t>VEREDA FATIMA</t>
  </si>
  <si>
    <t>I.E.R FATIMA</t>
  </si>
  <si>
    <t>KR 11 15 142</t>
  </si>
  <si>
    <t>LOS PELUCHITOS</t>
  </si>
  <si>
    <t>VEREDA QUIRIMARA</t>
  </si>
  <si>
    <t>CASETA ACCION COMUNAL QUIRIMARA</t>
  </si>
  <si>
    <t>CL 11 8 20</t>
  </si>
  <si>
    <t>CREANDO SONRISAS</t>
  </si>
  <si>
    <t>Olaya</t>
  </si>
  <si>
    <t>VEREDA QUEBRADA SECA DOS</t>
  </si>
  <si>
    <t>C COMUNAL QUEBRADA SECA 2</t>
  </si>
  <si>
    <t>PARQUE PRINCIPAL LLANADAS</t>
  </si>
  <si>
    <t>CASA ESTUDIANTIL LLANADAS</t>
  </si>
  <si>
    <t>LA PLAYA</t>
  </si>
  <si>
    <t>CASA DE FAMILIA LA PLAYA</t>
  </si>
  <si>
    <t>VEREDA PIÑONES</t>
  </si>
  <si>
    <t>COMUNAL PIÑONES</t>
  </si>
  <si>
    <t>VEREDA PENCAL</t>
  </si>
  <si>
    <t>C COMUNAL PENCAL</t>
  </si>
  <si>
    <t>LA ALEGRIA DE VIVIR</t>
  </si>
  <si>
    <t xml:space="preserve">Sopetran </t>
  </si>
  <si>
    <t>VEREDA PALO GRANDE</t>
  </si>
  <si>
    <t>CASA LOS QUERUBINES</t>
  </si>
  <si>
    <t>VEREDA ISLETA</t>
  </si>
  <si>
    <t>CASA PEQUEÑAS SONRISAS</t>
  </si>
  <si>
    <t>CASETA PEQUEÑAS ESTRELLAS</t>
  </si>
  <si>
    <t>VEREDA EL POMAR</t>
  </si>
  <si>
    <t>CASETA LOS PEQUEÑINES</t>
  </si>
  <si>
    <t>RANCHO LARGO LA LOMITA</t>
  </si>
  <si>
    <t>CASA VEREDA CHACHAFRUTO</t>
  </si>
  <si>
    <t>ESCUELA VEREDA LA PUERTA</t>
  </si>
  <si>
    <t>CASA PEQUEÑAS SONRISAS 2</t>
  </si>
  <si>
    <t>HOGAR INFANTIL LA NANA</t>
  </si>
  <si>
    <t xml:space="preserve">San Jeronimo </t>
  </si>
  <si>
    <t>POLEAL C.E. R RAFAEL J. MEJIA</t>
  </si>
  <si>
    <t>CER RAFAEL J. MEJIA VEREDA POLEAL</t>
  </si>
  <si>
    <t>RINCÓN C.E.R EL RINCÓN</t>
  </si>
  <si>
    <t xml:space="preserve">CASA DE LA MUJER EMPODERADA VDA EL RINCON </t>
  </si>
  <si>
    <t>CASETA DE ACCIÓN COMUNAL CEDROS</t>
  </si>
  <si>
    <t>CASETA DE ACCIÓN COMUNAL LLANO DE AGUIRRE</t>
  </si>
  <si>
    <t>ACCION COMUNAL LLANO DE AGUIRRE</t>
  </si>
  <si>
    <t>CASETA DE ACCION COMUNAL LOS ALTICOS VEREDA LOS ALTICOS</t>
  </si>
  <si>
    <t>ACCION COMUNAL LOS ALTICOS</t>
  </si>
  <si>
    <t>CASETA DE ACCIÓN COMUNAL VEREDA EL POMAR</t>
  </si>
  <si>
    <t>ACCION COMUNAL VEREDA EL POMAR</t>
  </si>
  <si>
    <t>VEREDA LLANOS DE SAN JUAN</t>
  </si>
  <si>
    <t>ACCION COMUNAL SAN JUAN</t>
  </si>
  <si>
    <t>VEREDA PESQUINAL</t>
  </si>
  <si>
    <t>CASETA DE ACCION COMUNAL PESQUINAL</t>
  </si>
  <si>
    <t>CASA DE LA MUJER EMPODERADA VDA EL RINCON</t>
  </si>
  <si>
    <t>CASETA DE ACCION COMUNAL LA PALMA</t>
  </si>
  <si>
    <t>CL 21 08 58</t>
  </si>
  <si>
    <t>HOGAR INFANTIL SENDERITO</t>
  </si>
  <si>
    <t>CL 21 N 8 69 BARRIO LA PALMERA</t>
  </si>
  <si>
    <t>DEJANDO HUELLAS DE AMOR</t>
  </si>
  <si>
    <t xml:space="preserve">Carolina </t>
  </si>
  <si>
    <t>KR 52 BLOQUE 2 0 PBRO JULIO TAMAYO</t>
  </si>
  <si>
    <t>CONSEJO COMUNITARIO GENERAL LOS DELFINES</t>
  </si>
  <si>
    <t>Gomez Plata</t>
  </si>
  <si>
    <t>VEREDA  VEGA BOTERO</t>
  </si>
  <si>
    <t>C COMUNAL VEGA BOTERO</t>
  </si>
  <si>
    <t>SALON COMUNAL LA PRIMAVERA_GOMEZ PLATA</t>
  </si>
  <si>
    <t>CORREGIMIENTO LA ESTRELLA</t>
  </si>
  <si>
    <t>CER LA ESTRELLA_GOMEZ PLATA</t>
  </si>
  <si>
    <t>VEREDA EL CERRO</t>
  </si>
  <si>
    <t>CAPILLA VER.EL CERRO</t>
  </si>
  <si>
    <t>CORREGIMIENTO EL SALTO AL LADO DE LA CAPILLA VIA AL TELEFERICO</t>
  </si>
  <si>
    <t>CDI EL SALTO</t>
  </si>
  <si>
    <t>CL 48 49 50</t>
  </si>
  <si>
    <t xml:space="preserve">SEMILLITAS DEL FUTURO </t>
  </si>
  <si>
    <t>CL 49 49 77</t>
  </si>
  <si>
    <t>PARQUE EDUCATIVO GENESIS</t>
  </si>
  <si>
    <t>VEREDA SANTA ELENA</t>
  </si>
  <si>
    <t>FINCA PIEDRA HERMOSA SANTA ELENA</t>
  </si>
  <si>
    <t>VEREDA QUEBRADONCITA</t>
  </si>
  <si>
    <t>TIENDA LA CUCARACHA QUEBRADONCITA</t>
  </si>
  <si>
    <t>C COMUNAL LA QUINTA</t>
  </si>
  <si>
    <t>CAPILLA VER.CAÑAVERAL</t>
  </si>
  <si>
    <t>Guadalupe</t>
  </si>
  <si>
    <t>VEREDA LA CANDELARIA</t>
  </si>
  <si>
    <t>C COMUNAL LA CANDELARIA_GUADALUPE</t>
  </si>
  <si>
    <t>C COMUNAL LOS SAUCES</t>
  </si>
  <si>
    <t>VEREDA SAN BASILIO EL MEDIO</t>
  </si>
  <si>
    <t>C COMUNAL SAN BASILIO EL MEDIO</t>
  </si>
  <si>
    <t>VEREDA EL MACHETE</t>
  </si>
  <si>
    <t>CER LUIS JARAMILLO HINCAPIÉ</t>
  </si>
  <si>
    <t>KR 51 49 40</t>
  </si>
  <si>
    <t>PARQUE EDUCATIVO CAAM</t>
  </si>
  <si>
    <t>SAN PABLO EL CANEY</t>
  </si>
  <si>
    <t>C COMUNAL SAN PABLO_GUADALUPE</t>
  </si>
  <si>
    <t>VEREDA SAN BASILIO ABAJO</t>
  </si>
  <si>
    <t>C COMUNAL SAN BASILIO ABAJO</t>
  </si>
  <si>
    <t>VEREDA GUANTEROS</t>
  </si>
  <si>
    <t>C COMUNAL GUANTEROS</t>
  </si>
  <si>
    <t xml:space="preserve">San Andres </t>
  </si>
  <si>
    <t>C COMUNAL SANTA GERTRUDIS</t>
  </si>
  <si>
    <t>VEREDA ATEZAL</t>
  </si>
  <si>
    <t>PUESTO DE SALUD ATEZAL</t>
  </si>
  <si>
    <t>VEREDA LOMA GRANDE</t>
  </si>
  <si>
    <t>CER LOMAGRANDE</t>
  </si>
  <si>
    <t>VEREDA ALTO SECO</t>
  </si>
  <si>
    <t>CER ANA JOAQUINA RESTREPO ALTO SECO</t>
  </si>
  <si>
    <t>SALIDA A ITUANGO</t>
  </si>
  <si>
    <t>IE JHON JAIRO TEJADA EL RECREO</t>
  </si>
  <si>
    <t>VEREDA EL MICO, CASETA COMUNAL CERCA DE LA CAPILLA</t>
  </si>
  <si>
    <t>CASA DE FAMILIA EL MICO</t>
  </si>
  <si>
    <t>VEREDA EL PEÑOL CASETA COMUNAL CERCA A LA ESCUELA</t>
  </si>
  <si>
    <t>CER EL PEÑOL</t>
  </si>
  <si>
    <t>C COMUNAL CORDILLERA</t>
  </si>
  <si>
    <t>PUESTO DE SALUD SAN MIGUEL</t>
  </si>
  <si>
    <t>CAÑADUZALEZ</t>
  </si>
  <si>
    <t>CER NTRA SRA DEL ROSARIO CAÑADUZALE</t>
  </si>
  <si>
    <t>TRAVESIAS</t>
  </si>
  <si>
    <t>CER TRAVESIAS_SAN ANDRES DE CUERQUIA</t>
  </si>
  <si>
    <t>GUAYABAL</t>
  </si>
  <si>
    <t>CER GUAYABAL</t>
  </si>
  <si>
    <t>EL MORRO</t>
  </si>
  <si>
    <t>CER EL MORRO</t>
  </si>
  <si>
    <t>LOMA DEL  INDIO</t>
  </si>
  <si>
    <t>CENTRO EDUCATIVO LOMA DEL INDIO</t>
  </si>
  <si>
    <t xml:space="preserve">San Jose De La Montaña </t>
  </si>
  <si>
    <t>VEREDA POTRERITO</t>
  </si>
  <si>
    <t>IE FRANCISCO SEDE POTRERITO</t>
  </si>
  <si>
    <t>IE FRANCISCO SEDE SANTA INES</t>
  </si>
  <si>
    <t>VEREDA EL CARIBE</t>
  </si>
  <si>
    <t>C COMUNAL CARIBE</t>
  </si>
  <si>
    <t>KR 22 19 49</t>
  </si>
  <si>
    <t>SAN JOSE DE LA MONTAÑA</t>
  </si>
  <si>
    <t xml:space="preserve">Santa Rosa De Osos </t>
  </si>
  <si>
    <t>ALTO DE LA MINA, DESPUES DE LA ESCUELA</t>
  </si>
  <si>
    <t>VEREDA SAN JOSE DE LA AHUMADA</t>
  </si>
  <si>
    <t>C COMUNAL SAN JOSE DE LA AHUMADA</t>
  </si>
  <si>
    <t>CER LA CEJITA_SANTA ROSA DE OSOS</t>
  </si>
  <si>
    <t>C COMUNAL SAN ISIDRO_SANTA ROSA DE OSOS</t>
  </si>
  <si>
    <t>VEREDA EL CHAQUIRO</t>
  </si>
  <si>
    <t>C COMUNAL EL CHAQUIRO</t>
  </si>
  <si>
    <t>VEREDA MINA VIEJA</t>
  </si>
  <si>
    <t>C COMUNAL MINA VIEJA</t>
  </si>
  <si>
    <t>VEREDA SABANAZO</t>
  </si>
  <si>
    <t>C COMUNAL SABANAZO</t>
  </si>
  <si>
    <t>VEREDA PLAYA LARGA</t>
  </si>
  <si>
    <t>C COMUNAL PLAYA LARGA</t>
  </si>
  <si>
    <t>VEREDA VALLECITOS</t>
  </si>
  <si>
    <t>C COMUNAL VALLECITOS</t>
  </si>
  <si>
    <t>VEREDA ORO BAJO SANTA INES</t>
  </si>
  <si>
    <t>C COMUNAL ORO BAJO SANTA INES</t>
  </si>
  <si>
    <t>VEREDA LA MUÑOZ</t>
  </si>
  <si>
    <t>CER LA MUÑOZ</t>
  </si>
  <si>
    <t>VEREDA EL SAUCE</t>
  </si>
  <si>
    <t>CER EL SAUCE</t>
  </si>
  <si>
    <t>VEREDA DOS QUEBRADAS</t>
  </si>
  <si>
    <t>CER DOS QUEBRADAS</t>
  </si>
  <si>
    <t>VEREDA EL CHAGUALO</t>
  </si>
  <si>
    <t>CER EL CHAGUALO</t>
  </si>
  <si>
    <t>VEREDA LA RUIZ</t>
  </si>
  <si>
    <t>C COMUNAL LA RUIZ</t>
  </si>
  <si>
    <t>VEREDA SAN BERNARDO</t>
  </si>
  <si>
    <t>C COMUNAL SAN BERNARDO</t>
  </si>
  <si>
    <t>VEREDA EL CUCURUCHO</t>
  </si>
  <si>
    <t>C COMUNAL EL CUCURUCHO</t>
  </si>
  <si>
    <t>C COMUNAL EL HATO</t>
  </si>
  <si>
    <t>VEREDA QUITASOL</t>
  </si>
  <si>
    <t>C COMUNAL QUITASOL</t>
  </si>
  <si>
    <t>VEREDA SAN FRANCISCO</t>
  </si>
  <si>
    <t>C COMUNAL SAN FRANCISCO_SANTA ROSA</t>
  </si>
  <si>
    <t>C COMUNAL MONTAÑITA_SANTA ROSA DE OSOS</t>
  </si>
  <si>
    <t>CORREGIMIENTO HOYORRICO CERCA A LA CAPILLA SANTÍSIMA TRINIDAD DEL CORREGIMIENTO</t>
  </si>
  <si>
    <t>SALON PARROQUIAL HOYORRICO</t>
  </si>
  <si>
    <t>LA CABAÑA DIAGONAL A LA TIENDA EL MEKATIADERO</t>
  </si>
  <si>
    <t>CER LA CABAÑA_SANTA ROSA DE OSOS</t>
  </si>
  <si>
    <t>EL ROBLE CERCA AL CER EL ROBLE</t>
  </si>
  <si>
    <t>C COMUNAL EL ROBLE_SANTA ROSA DE OSOS</t>
  </si>
  <si>
    <t>EL VERGEL CERCA A LA CASA DE ZENAIDA ZAPATA</t>
  </si>
  <si>
    <t>CER EL VERGEL</t>
  </si>
  <si>
    <t>SANTANA CERCA A LA QUESERA LA MANUELITA</t>
  </si>
  <si>
    <t>C COMUNAL SANTANA</t>
  </si>
  <si>
    <t>PONTEZUELA CERCA A LA TRUCHERA(5 MTS) DESPUÉS DEL ESTADERO Y CERCA DE LA TIENDA DE LA SEÑORA ADRIANA ZAPATA</t>
  </si>
  <si>
    <t>C COMUNAL PONTEZUELA</t>
  </si>
  <si>
    <t>KR 30 26 93</t>
  </si>
  <si>
    <t>RONDAS Y AROMAS</t>
  </si>
  <si>
    <t xml:space="preserve">Toledo </t>
  </si>
  <si>
    <t>VEREDA EL MORAL EL TORO</t>
  </si>
  <si>
    <t>C COMUNAL MORAL EL TORO</t>
  </si>
  <si>
    <t>VEREDA LAS MARGARITAS</t>
  </si>
  <si>
    <t>C COMUNAL LAS MARGARITAS</t>
  </si>
  <si>
    <t>VEREDA BIOGUI</t>
  </si>
  <si>
    <t>C COMUNAL BIOGUI</t>
  </si>
  <si>
    <t>C COMUNAL MIRAFLORES_TOLEDO</t>
  </si>
  <si>
    <t>VEREDA EL TAQUE INSTITUCION EDICATIVA J EMILIO VALDERRAMA AGUDELO SEDE TAQUE, DIAGONAL A LA CASETA COMUNAL</t>
  </si>
  <si>
    <t>C COMUNAL TAQUE</t>
  </si>
  <si>
    <t>VEREDA BARRANCAS</t>
  </si>
  <si>
    <t>IE BARRANCAS</t>
  </si>
  <si>
    <t>CORREGIMIENTO EL VALLE</t>
  </si>
  <si>
    <t>CENTRO DE SERVICIOS EL VALLE</t>
  </si>
  <si>
    <t>VEREDA HELECHALES</t>
  </si>
  <si>
    <t>C COMUNAL HELECHALES</t>
  </si>
  <si>
    <t>CORREGIMIENTO BUENAVISTA</t>
  </si>
  <si>
    <t>IE BUENAVISTA</t>
  </si>
  <si>
    <t>KR 10 8 25</t>
  </si>
  <si>
    <t>CDI FANTASIA DE COLORES</t>
  </si>
  <si>
    <t>C COMUNAL PALOBLANCO</t>
  </si>
  <si>
    <t>VEREDA LA LINDA AL FRENTE DEL CER LA LINDA</t>
  </si>
  <si>
    <t>C COMUNAL LA LINDA_TOLEDO</t>
  </si>
  <si>
    <t>C COMUNAL LA FLORIDA_TOLEDO</t>
  </si>
  <si>
    <t>VEREDA EL CANTARO</t>
  </si>
  <si>
    <t>IE EL CANTARO</t>
  </si>
  <si>
    <t xml:space="preserve">San Carlos </t>
  </si>
  <si>
    <t>VIA BALNEARIO SAN ANTONIO HASTA LLEGAR A LA ESCUELA VALLEJUELO</t>
  </si>
  <si>
    <t>SAN CARLOS 1</t>
  </si>
  <si>
    <t>VIA SAN CARLOS - GRANADA HASTA LLEGAR AL CER PALMICHAL</t>
  </si>
  <si>
    <t>SAN CARLOS 2</t>
  </si>
  <si>
    <t>KR 21 21 75</t>
  </si>
  <si>
    <t>HOGAR INFANTIL ILUSIONES</t>
  </si>
  <si>
    <t>San Francisco</t>
  </si>
  <si>
    <t>CORREGIMIENTO DE AQUITANIA</t>
  </si>
  <si>
    <t>COLEGIO AQUITANIA</t>
  </si>
  <si>
    <t>VEREDA ASIENTO GRANDE CERCA A LA INSTITUCION EDUCATIVA SAN FRANCISCO</t>
  </si>
  <si>
    <t>PARQUE EDUCATIVO HUELLAS</t>
  </si>
  <si>
    <t>CL 11 09 61 SECTOR LA INMACULADA</t>
  </si>
  <si>
    <t>RINCON DE AMORES</t>
  </si>
  <si>
    <t>VEREDA LA MARAVILLA</t>
  </si>
  <si>
    <t>ESCUELA LA MARAVILLA</t>
  </si>
  <si>
    <t xml:space="preserve">San Luis </t>
  </si>
  <si>
    <t>CORREGIMIENTO EL PRODIGIO</t>
  </si>
  <si>
    <t>C COMUNAL EL PRODIGIO</t>
  </si>
  <si>
    <t>HJC URBANO</t>
  </si>
  <si>
    <t>IE ALTAVISTA</t>
  </si>
  <si>
    <t>VEREDA LA JOSEFINA</t>
  </si>
  <si>
    <t>IE LA JOSEFINA</t>
  </si>
  <si>
    <t>VEREDA LA TEBAIDA</t>
  </si>
  <si>
    <t>IE JOSEFINA SEDE LA TEBAIDA</t>
  </si>
  <si>
    <t>IE SAN LUIS SEDE BUENOS AIRES</t>
  </si>
  <si>
    <t>IE LA JOSEFINA SEDE EL SILENCIO</t>
  </si>
  <si>
    <t>KR 17 16 80   EL MANANTIAL SALIDA A LA AUTOPISTA</t>
  </si>
  <si>
    <t>SAN LUIS PERLITAS VERDES 1</t>
  </si>
  <si>
    <t>CL 21 21 A 65</t>
  </si>
  <si>
    <t>SAN LUIS PERLITAS VERDES 2</t>
  </si>
  <si>
    <t>IE SAN LUIS SEDE SAN FRANCISCO</t>
  </si>
  <si>
    <t>SAN CARLOS SEMBRANDO AMOR H.A</t>
  </si>
  <si>
    <t>SAN CARLOS EL JORDÁN</t>
  </si>
  <si>
    <t>San Roque</t>
  </si>
  <si>
    <t>CORREGIMIENTO</t>
  </si>
  <si>
    <t>DEJANDO HUELLA</t>
  </si>
  <si>
    <t>CER SAN JUAN_SAN ROQUE</t>
  </si>
  <si>
    <t>VEREDA LA CEIBA</t>
  </si>
  <si>
    <t>CER LA CEIBA_SAN ROQUE</t>
  </si>
  <si>
    <t>VEREDA EL BARCINO</t>
  </si>
  <si>
    <t>C COMUNAL EL BARCINO</t>
  </si>
  <si>
    <t>PROVIDENCIA</t>
  </si>
  <si>
    <t>CASA COMUNAL PROVIDENCIA 2</t>
  </si>
  <si>
    <t>FRAILES</t>
  </si>
  <si>
    <t>CER FRAILES</t>
  </si>
  <si>
    <t>LA TRINIDAD</t>
  </si>
  <si>
    <t>CER LA TRINIDAD</t>
  </si>
  <si>
    <t>VEREDA SAN MATIAS</t>
  </si>
  <si>
    <t>C COMUNAL SAN MATIAS</t>
  </si>
  <si>
    <t>EL JARDIN</t>
  </si>
  <si>
    <t>C COMUNAL EL JARDIN</t>
  </si>
  <si>
    <t>VEREDA QUIEBRAHONDA</t>
  </si>
  <si>
    <t>CER QUIEBRAHONDA</t>
  </si>
  <si>
    <t>MONTEMAR</t>
  </si>
  <si>
    <t>C COMUNAL MONTEMAR</t>
  </si>
  <si>
    <t>VEREDA LA FLORESTA</t>
  </si>
  <si>
    <t>C COMUNAL LA FLORESTA</t>
  </si>
  <si>
    <t>VEREDA SANTA ISABEL DEL NARE</t>
  </si>
  <si>
    <t>C COMUNAL SANTA ISABEL DEL NARE</t>
  </si>
  <si>
    <t>C COMUNAL SAN ANTONIO_SAN ROQUE</t>
  </si>
  <si>
    <t>VEREDA EL DILUVIO</t>
  </si>
  <si>
    <t>C COMUNAL EL DILUVIO</t>
  </si>
  <si>
    <t>VEREDA EL DIAMANTE</t>
  </si>
  <si>
    <t>C COMUNAL EL DIAMANTE_SAN ROQUE</t>
  </si>
  <si>
    <t>C COMUNAL LA CANDELARIA_SAN ROQUE</t>
  </si>
  <si>
    <t>VEREDA SANTA BARBARA</t>
  </si>
  <si>
    <t>C COMUNAL SANTA BARBARA</t>
  </si>
  <si>
    <t>CORREGIMIENTO SAN JOSE DEL NUS</t>
  </si>
  <si>
    <t>COLISEO MUNICIPAL SAN JOSE DEL NUS</t>
  </si>
  <si>
    <t>CASA FAMILIAR LA MARIA SAN ROQUE</t>
  </si>
  <si>
    <t>VEREDA SAN JOSÉ DEL NARE</t>
  </si>
  <si>
    <t>C COMUNAL SAN JOSÉ DEL NARE</t>
  </si>
  <si>
    <t>CORREGIMIENTO CRISTALES</t>
  </si>
  <si>
    <t>C COMUNAL CRISTALES</t>
  </si>
  <si>
    <t>VEREDA LAS ENCARNACIONES A 15 MINUTOS DE LA CABECERA MUNICIPAL</t>
  </si>
  <si>
    <t>C COMUNAL LAS ENCARNACIONES</t>
  </si>
  <si>
    <t>VEREDA CABILDO A 4 MINUTOS DE LA ESCUELA CABILDO</t>
  </si>
  <si>
    <t>CASA FAMILIAR CABILDO</t>
  </si>
  <si>
    <t>CERCA A LA ESCUELA DEL CARMEN</t>
  </si>
  <si>
    <t>C COMUNAL EL CARMEN_SAN ROQUE</t>
  </si>
  <si>
    <t>SECTOR CANCHA MUNICIPAL</t>
  </si>
  <si>
    <t>CORREGIMIENTO PROVIDENCIA</t>
  </si>
  <si>
    <t>CDI SEMILLAS DEL FUTURO (PROVIDENCIA)</t>
  </si>
  <si>
    <t>Santo Domingo</t>
  </si>
  <si>
    <t>LAS BEATRICES</t>
  </si>
  <si>
    <t>CER PEQUEÑOS EXPLORADORES</t>
  </si>
  <si>
    <t>EL RAYO</t>
  </si>
  <si>
    <t>C COMUNAL SEMILLITAS DEL SABER</t>
  </si>
  <si>
    <t>LA CUESTA</t>
  </si>
  <si>
    <t>C COMUNAL PEQUEÑOS LIDERES</t>
  </si>
  <si>
    <t>CER LA CUEST GOTITAS DE AMOR</t>
  </si>
  <si>
    <t>EL COMBO</t>
  </si>
  <si>
    <t>CER HUELLITAS DE AMOR</t>
  </si>
  <si>
    <t>SANTA GERTRUDIS</t>
  </si>
  <si>
    <t>CER NIÑOS CON AMOR</t>
  </si>
  <si>
    <t>PIEDRA GORDA</t>
  </si>
  <si>
    <t>CER PASITOS AL FUTURO</t>
  </si>
  <si>
    <t>CER PEQUEÑOS INVESTIGADORES</t>
  </si>
  <si>
    <t>EL ROSARIO REYES</t>
  </si>
  <si>
    <t>C COMUNAL MUNDO MAGICO</t>
  </si>
  <si>
    <t>KR 16 14 40 PARQUE PRINCIPAL</t>
  </si>
  <si>
    <t>ANTIGUO COLEGIO SOÑADORES DEL MAÑANA</t>
  </si>
  <si>
    <t>CORREGIMIENTO SANTIAGO</t>
  </si>
  <si>
    <t>IER BURBUJITAS DE AMOR</t>
  </si>
  <si>
    <t>CORREGIMIENTO BOTERO</t>
  </si>
  <si>
    <t>C COMUNAL ANGELITOS DE MIL COLORES</t>
  </si>
  <si>
    <t>CORREGIMIENTO PORCE</t>
  </si>
  <si>
    <t>I.E.R. NIÑOS FELICES</t>
  </si>
  <si>
    <t>Nechi</t>
  </si>
  <si>
    <t>CALLE 27 N 36-10 LAS PALMAS</t>
  </si>
  <si>
    <t>CDI MOMENTOS MAGICOS</t>
  </si>
  <si>
    <t>KR 34 28 41  LAS PALMAS</t>
  </si>
  <si>
    <t>CDI LAS PALMAS NECHI</t>
  </si>
  <si>
    <t xml:space="preserve">Taraza </t>
  </si>
  <si>
    <t>CRA 41 C # 39- 46 LAS PALMAS</t>
  </si>
  <si>
    <t>CDI LAS PALMAS</t>
  </si>
  <si>
    <t>CORREGIMIENTO EL 12 CALLE 11 NÚMERO  05 - 60</t>
  </si>
  <si>
    <t>CDI KMTO EL 12</t>
  </si>
  <si>
    <t>CALLE 4 N 12-25 ANTIGUA CLÍNICA LA NUEVA LUZ</t>
  </si>
  <si>
    <t>CDI EL GUAIMARO</t>
  </si>
  <si>
    <t>CORREGIMIENTO LA CAUCANA</t>
  </si>
  <si>
    <t>CDI LA CAUCANA</t>
  </si>
  <si>
    <t>CL 43 34 2</t>
  </si>
  <si>
    <t>PARQUE EDUCATIVO TARAZA</t>
  </si>
  <si>
    <t>CLL 32 20 - 146 BARRIO LA LUCHA</t>
  </si>
  <si>
    <t>CENTRO INFANTIL ESCUELA LA LUCHA TARAZA</t>
  </si>
  <si>
    <t>CALLE 40A # 27-35  NUEVO MILENIO</t>
  </si>
  <si>
    <t>C.D.I LOS JUANES</t>
  </si>
  <si>
    <t>CALLE 30E KRA 37-4 BARRIO EL BOSQUE</t>
  </si>
  <si>
    <t>C.D.I LOS MIGUELITOS</t>
  </si>
  <si>
    <t>CL 1 1 1 VIA A LAS ACACIAS</t>
  </si>
  <si>
    <t>CDI PALMA BONITA</t>
  </si>
  <si>
    <t>KR 30 21 128  B MESETAS</t>
  </si>
  <si>
    <t>C.D.I MESETAS</t>
  </si>
  <si>
    <t>Briceño</t>
  </si>
  <si>
    <t>VEREDA EL TURCO</t>
  </si>
  <si>
    <t>CER EL TURCO</t>
  </si>
  <si>
    <t>CORREGIMIENTO LAS AURAS CASETA COMUNAL  LAS AURAS, AL LADO DERECHO DEL PUESTO DE SALUD</t>
  </si>
  <si>
    <t>CER LAS AURAS</t>
  </si>
  <si>
    <t>VEREDA GURIMAN</t>
  </si>
  <si>
    <t>CER GURIMAN</t>
  </si>
  <si>
    <t>VEREDA TRAVESIAS</t>
  </si>
  <si>
    <t>C COMUNAL TRAVESIAS</t>
  </si>
  <si>
    <t>VEREDA EL PESCADO</t>
  </si>
  <si>
    <t>CER EL PESCADO</t>
  </si>
  <si>
    <t>VEREDA EL RESPALDO</t>
  </si>
  <si>
    <t>C COMUNAL EL RESPALDO</t>
  </si>
  <si>
    <t>DIAGONAL AL CENTRO EDUCATIVO RURAL EL HOYO</t>
  </si>
  <si>
    <t>C COMUNAL EL HOYO</t>
  </si>
  <si>
    <t>VEREDA EL ROBLAL CERCA A LA CANCHA</t>
  </si>
  <si>
    <t>C COMUNAL EL ROBLE_BRICEÑO</t>
  </si>
  <si>
    <t>VEREDA MORRON CERCA A LA CANCHA</t>
  </si>
  <si>
    <t>CER MORRON_BRICEÑO</t>
  </si>
  <si>
    <t>CR 10 URBANIZACIÓN EL MIRADOR SECTOR LA TRAVESÍA</t>
  </si>
  <si>
    <t xml:space="preserve">Valdivia </t>
  </si>
  <si>
    <t>VEREDA LA HABANA</t>
  </si>
  <si>
    <t>CASA FAMILIAR ADRIANA GARCIA</t>
  </si>
  <si>
    <t>VEREDA PUQUI</t>
  </si>
  <si>
    <t>CER PUQUI ABAJO</t>
  </si>
  <si>
    <t>VEREDA EL PITAL</t>
  </si>
  <si>
    <t>CER VILLA MARINA</t>
  </si>
  <si>
    <t>VEREDA LA FRISOLERA</t>
  </si>
  <si>
    <t>CER PEDRO VASQUEZ</t>
  </si>
  <si>
    <t>VEREDA EL QUINCE</t>
  </si>
  <si>
    <t>C COMUNAL KILÓMETRO 15</t>
  </si>
  <si>
    <t>VEREDA RAUDAL VIEJO AL LADO DE LA CANCHA</t>
  </si>
  <si>
    <t>SALON EDUCATIVO</t>
  </si>
  <si>
    <t>MONTEFRIO</t>
  </si>
  <si>
    <t>C COMUNAL MONTE FRIO</t>
  </si>
  <si>
    <t>VEREDA LA ALEMANIA</t>
  </si>
  <si>
    <t>C COMUNAL LA ALEMANIA</t>
  </si>
  <si>
    <t>LA PAULINA</t>
  </si>
  <si>
    <t>C COMUNAL LA PAULINA</t>
  </si>
  <si>
    <t>VEREDA LA INDIA EN LA CASETA COMUNAL LA INDIA CERCA DE LA CASA DE LA SEÑORA ADRIANA JIMENEZ</t>
  </si>
  <si>
    <t>CASA FAMILIAR ELDA ROSA ZAPATA CHICA</t>
  </si>
  <si>
    <t>PALOMAS</t>
  </si>
  <si>
    <t>C COMUNAL PALOMAS</t>
  </si>
  <si>
    <t>CL LA FLORESTA 3 194</t>
  </si>
  <si>
    <t>IE VALDIVIA</t>
  </si>
  <si>
    <t>VEREDA EL NEVADO EN LA CASETA COMUNAL AL LADO DE CANCHA DEL NEVADO</t>
  </si>
  <si>
    <t>CASA EL CARRETERO</t>
  </si>
  <si>
    <t>CASA EL JARDÍN</t>
  </si>
  <si>
    <t>C COMUNAL EL PESCADO</t>
  </si>
  <si>
    <t>VEREDA EL NEVADO</t>
  </si>
  <si>
    <t>CASA VILLA ALBA</t>
  </si>
  <si>
    <t>VEREDA LAS TRES ROSAS SECTOR SEVILLA</t>
  </si>
  <si>
    <t>CASA FAMILIAR DIANA SOLANO</t>
  </si>
  <si>
    <t>CASA FAMILIAR NATALY LÓPEZ</t>
  </si>
  <si>
    <t>VEREDA PUERTO NERY</t>
  </si>
  <si>
    <t>CER JULIO CESAR GAMARRA</t>
  </si>
  <si>
    <t>VEREDA MONTEBLANCO EN LA CASETA COMUNAL MAS ABAJO DEL PUNTO DE RECICLAJE</t>
  </si>
  <si>
    <t>CASA FAMILIAR LUZ SEPÚLVEDA</t>
  </si>
  <si>
    <t>VEREDA CACHIRIME</t>
  </si>
  <si>
    <t>CENTRO EDUCATIVO CACHIRIME</t>
  </si>
  <si>
    <t xml:space="preserve">Yali </t>
  </si>
  <si>
    <t>VEREDA LA MASCARA</t>
  </si>
  <si>
    <t>C COMUNAL LA MASCARA</t>
  </si>
  <si>
    <t xml:space="preserve">FUNDACIÓN LOS FLAMINGOS </t>
  </si>
  <si>
    <t>RADICADA</t>
  </si>
  <si>
    <t>VEREDA EL HATILLO</t>
  </si>
  <si>
    <t>CER EL HATILLO</t>
  </si>
  <si>
    <t>VEREDA VILLANITA</t>
  </si>
  <si>
    <t>CER VILLANITA</t>
  </si>
  <si>
    <t>CER LA CABAÑA</t>
  </si>
  <si>
    <t>CER MONTAÑITA</t>
  </si>
  <si>
    <t>VEREDA LA ALONDRA</t>
  </si>
  <si>
    <t>CER LA ALONDRA</t>
  </si>
  <si>
    <t>VEREDA SAN MAURICIO</t>
  </si>
  <si>
    <t>CER SAN MAURICIO</t>
  </si>
  <si>
    <t>CER YALI</t>
  </si>
  <si>
    <t>LA BRILLANTINA</t>
  </si>
  <si>
    <t>CER BRILLANTINA</t>
  </si>
  <si>
    <t>CENTRO EDUCATIVO RURAL PUERTO ESTAFA</t>
  </si>
  <si>
    <t>CER PUERTO ESTAFA</t>
  </si>
  <si>
    <t>VEREDA CASA MORA</t>
  </si>
  <si>
    <t>CER CASA MORA</t>
  </si>
  <si>
    <t>BARRIO LA ARGENTINA</t>
  </si>
  <si>
    <t>CDI JOSE REVIN</t>
  </si>
  <si>
    <t>VEREDA EL CINISMO</t>
  </si>
  <si>
    <t>C COMUNAL EL CINISMO</t>
  </si>
  <si>
    <t>Segovia</t>
  </si>
  <si>
    <t>VEREDA MARMAJITO</t>
  </si>
  <si>
    <t>ESCUELA MARMAJON</t>
  </si>
  <si>
    <t>BARRIO ALTO DE LOS PATIOS</t>
  </si>
  <si>
    <t>CASA FAMILIA MAIRA URIBE</t>
  </si>
  <si>
    <t>FRAGUAS</t>
  </si>
  <si>
    <t>IGLESIA MOV. MISIONERO MUNDIAL FRAGUAS</t>
  </si>
  <si>
    <t>LAS GUAGUAS-LA PO</t>
  </si>
  <si>
    <t>RANCHO QUEMADO</t>
  </si>
  <si>
    <t>VEREDA RANCHO QUEMADO 1</t>
  </si>
  <si>
    <t>VEREDA RANCHO QUEMADO 2</t>
  </si>
  <si>
    <t>VEREDA ARENALES</t>
  </si>
  <si>
    <t>LAS GUAGUAS 2 CASETA COMUNAL</t>
  </si>
  <si>
    <t>VEREDA LAS GUAGUAS 2</t>
  </si>
  <si>
    <t>VEREDA BOLIVIA</t>
  </si>
  <si>
    <t>CASA DE FAMILIA LUIS FERNANDO BEJARANO</t>
  </si>
  <si>
    <t>VEREDA LAURELES AL FRENTE DE LAS CACHARRERAS DE LAURALES</t>
  </si>
  <si>
    <t>CASA CAMPESINA LAURELES</t>
  </si>
  <si>
    <t>CORREGIMIENTO FRAGUAS MACHUCA</t>
  </si>
  <si>
    <t>CENTRO DE SALUD FRAGUAS</t>
  </si>
  <si>
    <t>Vegachi</t>
  </si>
  <si>
    <t>C COMUNAL CORINTO</t>
  </si>
  <si>
    <t>VEREDA EL CHURÚ</t>
  </si>
  <si>
    <t>IE EL CHURU INQUIETOS</t>
  </si>
  <si>
    <t>VEREDA EL CINCO</t>
  </si>
  <si>
    <t>C COMUNAL ELCINCO LOS PITUFOS</t>
  </si>
  <si>
    <t>MATA ALTA</t>
  </si>
  <si>
    <t>IE MATA ALTA ANIMOSOS</t>
  </si>
  <si>
    <t>MATA BAJA</t>
  </si>
  <si>
    <t>IE MATA BAJA ARROYITOS</t>
  </si>
  <si>
    <t>C COMUNAL EL TIGRE_VEGACHI</t>
  </si>
  <si>
    <t>VEREDA ALEJANDRIA</t>
  </si>
  <si>
    <t>IER ALEJANDRIA HORMIGUITAS</t>
  </si>
  <si>
    <t>VEREDA SIERRA BAJA</t>
  </si>
  <si>
    <t>C COMUNAL SIERRA BAJA</t>
  </si>
  <si>
    <t>VEREDA PASO REAL</t>
  </si>
  <si>
    <t>C COMUNAL PASO REAL</t>
  </si>
  <si>
    <t>IE EL PESCADO SOLECITOS</t>
  </si>
  <si>
    <t>VEREDA PIEDRANCHA</t>
  </si>
  <si>
    <t>C COMUNAL PIEDRANCHA SOÑADORES</t>
  </si>
  <si>
    <t>VEREDA EL JABON</t>
  </si>
  <si>
    <t>IE EL JABON LOS CHIQUITINES</t>
  </si>
  <si>
    <t>CASETA COMUNAL LA GALLINERA</t>
  </si>
  <si>
    <t>C COMUNAL LAGALLINERA MELOSOS</t>
  </si>
  <si>
    <t>KR 51 55 19</t>
  </si>
  <si>
    <t>CDI MI DULCE INFANCIA</t>
  </si>
  <si>
    <t>KR 20 20 21 VIA PRINCIPAL</t>
  </si>
  <si>
    <t>CDI HUELLITAS DE AMOR</t>
  </si>
  <si>
    <t>CENTRO</t>
  </si>
  <si>
    <t>AULA PARQUE EDUCATIVO</t>
  </si>
  <si>
    <t>HOGAR INFANTIL PELUSAS</t>
  </si>
  <si>
    <t>Angostura</t>
  </si>
  <si>
    <t>VEREDA ALTO RHIN</t>
  </si>
  <si>
    <t>CER ALTO RHIN</t>
  </si>
  <si>
    <t>INSTITUCIÓN UNIVERSITARIA VISIÓN DE LAS AMÉRICAS</t>
  </si>
  <si>
    <t>VEREDA LA TRINIDAD</t>
  </si>
  <si>
    <t>CASETA COMUNAL LA TRINIDAD</t>
  </si>
  <si>
    <t>VEREDA PAJARITO ABAJO</t>
  </si>
  <si>
    <t>CASETA COMUNAL PAJARITO ABAJO</t>
  </si>
  <si>
    <t>VEREDA CAÑAVERAL ABAJO EN LA ESCUELA IE MARIANO DE JESUS EUSSE</t>
  </si>
  <si>
    <t>C COMUNAL CAÑAVERAL ABAJO</t>
  </si>
  <si>
    <t>VEREDA EL OLIVO</t>
  </si>
  <si>
    <t>CER EL OLIVO</t>
  </si>
  <si>
    <t>CER LA QUIEBRA_ANGOSTURA</t>
  </si>
  <si>
    <t>CER SIMÓN BOLIVAR</t>
  </si>
  <si>
    <t>VEREDA CHOCHO LOMA</t>
  </si>
  <si>
    <t>IE CHOCHO LOMA</t>
  </si>
  <si>
    <t>VEREDA SAN ALEJANDRO EN LA CASETA COMUNAL UBICADA AL LADO DE LA ESCUELA</t>
  </si>
  <si>
    <t>IE SAN FERNANDO</t>
  </si>
  <si>
    <t>IE SAN FERNANDO2</t>
  </si>
  <si>
    <t>CL 8 9 33</t>
  </si>
  <si>
    <t>PARQUE EDUCATIVO MATABLANCO</t>
  </si>
  <si>
    <t>KR 10 08 82</t>
  </si>
  <si>
    <t>MARIANITO</t>
  </si>
  <si>
    <t xml:space="preserve">Campamento </t>
  </si>
  <si>
    <t>VEREDA LA COLMENA</t>
  </si>
  <si>
    <t>C COMUNAL LA COLMENA</t>
  </si>
  <si>
    <t>CASA FAMILIA EDITH GOMEZ</t>
  </si>
  <si>
    <t>C COMUNAL EL PIÑAL_CAMPAMENTO</t>
  </si>
  <si>
    <t>VEREDA LOS CHORROS EN LA ESCUELA INSTITUCION EDUCATIVA NUESTRA SEÑORA DEL ROSARIO SEDE DE LOS CHORROS</t>
  </si>
  <si>
    <t>C COMUNAL LOS CHORROS</t>
  </si>
  <si>
    <t>C COMUNAL LA FRISOLERA</t>
  </si>
  <si>
    <t>VEREDA LA CHIQUITA</t>
  </si>
  <si>
    <t>C COMUNAL LA CHIQUITA</t>
  </si>
  <si>
    <t>C COMUNAL MONTAÑITA_CAMPAMENTO</t>
  </si>
  <si>
    <t>C COMUNAL EL BOSQUE</t>
  </si>
  <si>
    <t>VEREDA EL MANZANILLO</t>
  </si>
  <si>
    <t>C COMUNAL EL MANZANILLO</t>
  </si>
  <si>
    <t>QUEBRADA NEGRA</t>
  </si>
  <si>
    <t>C COMUNAL QUEBRADA NEGRA</t>
  </si>
  <si>
    <t>VEREDA EL OSO</t>
  </si>
  <si>
    <t>C COMUNAL EL OSO</t>
  </si>
  <si>
    <t>KR 10 7 74</t>
  </si>
  <si>
    <t>PEQUEÑOS SOÑADORES</t>
  </si>
  <si>
    <t>Yarumal</t>
  </si>
  <si>
    <t>CHORROS BLANCOS ABAJO MIELERA</t>
  </si>
  <si>
    <t>FINCA LOS POMOS</t>
  </si>
  <si>
    <t>VEREDA EL PUEBLITO EN LA SEDE CASETA COMUNAL EL PUBLITO</t>
  </si>
  <si>
    <t>CASA FLIA JUAN DAVID VILLEGAS</t>
  </si>
  <si>
    <t>CORREGIMIENTO DE CEDEÑO</t>
  </si>
  <si>
    <t>C COMUNAL CEDEÑO</t>
  </si>
  <si>
    <t>I.E MINA VIEJA</t>
  </si>
  <si>
    <t>CER MINA VIEJA</t>
  </si>
  <si>
    <t>VEREDA LA BRAMADORA</t>
  </si>
  <si>
    <t>C COMUNAL LA BRAMADORA</t>
  </si>
  <si>
    <t>CORREGIMIENTO LLANOS DE CUIVA SEDE ASPROLLAC ACUEDUCTO LLANOS DE CUIVA</t>
  </si>
  <si>
    <t>IE LLANOS DE CUIVA</t>
  </si>
  <si>
    <t>VEREDA MALLARINO EN EL CENTRO EDUCATIVO RURAL MALLARINO</t>
  </si>
  <si>
    <t>CASA DE FAMILIA MALLARINO</t>
  </si>
  <si>
    <t>VEREDA CHORROS BLANCOS ARRIBA</t>
  </si>
  <si>
    <t>CASA DE FAMILIA CHORROS BLANCOS ARRIBA</t>
  </si>
  <si>
    <t>VEREDA ROSARITO</t>
  </si>
  <si>
    <t>CASA DE FAMILIA BEATRIZ GIL</t>
  </si>
  <si>
    <t>URBANIZACIÓN JOSE MARIA CORDOBA</t>
  </si>
  <si>
    <t>SUEÑOS MÁGICOS</t>
  </si>
  <si>
    <t>VEREDA EL LLANO CORREGIMIENTO DE OCHALI</t>
  </si>
  <si>
    <t>CER EL LLANO_YARUMAL</t>
  </si>
  <si>
    <t>CORREGIMIENTO OCHALI EN EL SALON PARROQUIAL</t>
  </si>
  <si>
    <t>IE OCHALI</t>
  </si>
  <si>
    <t>VEREDA CAÑAVERAL ARRIBA EN LA TIENDA DEL SEÑOR GUSTAVO PINEDA CERCA A LA CAPILLA MARIANITO</t>
  </si>
  <si>
    <t>C COMUNAL CAÑAVERAL ARRIBA</t>
  </si>
  <si>
    <t>C COMUNAL AGUACATAL</t>
  </si>
  <si>
    <t>C COMUNAL LLANOS DE CUIVA</t>
  </si>
  <si>
    <t>KR 23 A 00 00 ESQUINA</t>
  </si>
  <si>
    <t>CENTRO DE ATENCION INTEGRAL YARUMAL</t>
  </si>
  <si>
    <t>VEREDA SANTA JUANA</t>
  </si>
  <si>
    <t>CASA DE FAMILIA ROBERTO LOPEZ</t>
  </si>
  <si>
    <t>CL 21 17 26</t>
  </si>
  <si>
    <t>OFICINA BCA YARUMAL</t>
  </si>
  <si>
    <t>PUESTO DE SALUD LA QUIEBRA CEDEÑO</t>
  </si>
  <si>
    <t>CL 16 18 03</t>
  </si>
  <si>
    <t>JAC LA INMACULADA</t>
  </si>
  <si>
    <t>SALON PARROQUIAL EL CEDRO</t>
  </si>
  <si>
    <t>PROLECHE</t>
  </si>
  <si>
    <t>FINCA EL CRIADERO</t>
  </si>
  <si>
    <t>VENTANAS</t>
  </si>
  <si>
    <t>CASA DE FAMILIA ALBA GARCÍA</t>
  </si>
  <si>
    <t>CARRETERA VIA ANGOSTURA</t>
  </si>
  <si>
    <t>C COMUNAL MEDIA LUNA</t>
  </si>
  <si>
    <t>VEREDA LA FLORESTA EN LA SEDE C.E.R LA FLORESTA</t>
  </si>
  <si>
    <t>CER EL RESPALDO BCA</t>
  </si>
  <si>
    <t>KR 19 14 41 VOCA DEL MONTE</t>
  </si>
  <si>
    <t>ESTRELLAS DEL NORTE</t>
  </si>
  <si>
    <t>CL 18 20 18 BARRIO CENTRO</t>
  </si>
  <si>
    <t>BALCON DE LOS SUEÑOS</t>
  </si>
  <si>
    <t>VEREDA LA ESTRELLA</t>
  </si>
  <si>
    <t>CER LA ESTRELLA_YARUMAL</t>
  </si>
  <si>
    <t>Yolombo</t>
  </si>
  <si>
    <t>CENTRO EDUCATIVO RURAL LA PAJITA</t>
  </si>
  <si>
    <t>CER SOMOS FAMILIA</t>
  </si>
  <si>
    <t>VEREDA PERICO</t>
  </si>
  <si>
    <t>ESCUELA A TU LADO APRENDO</t>
  </si>
  <si>
    <t>VEREDA MULATOS</t>
  </si>
  <si>
    <t>ESCUELA INFANCIA FELIZ</t>
  </si>
  <si>
    <t>VEREDA LA ARGENTINA</t>
  </si>
  <si>
    <t>ESCUELA LOS TRIUNFADORES</t>
  </si>
  <si>
    <t>CASETA HUELLAS DE LA FELICIDAD</t>
  </si>
  <si>
    <t>CASETA LLUVIA DE LA ALEGRIA</t>
  </si>
  <si>
    <t>VEREDA EL TAPON</t>
  </si>
  <si>
    <t>CER MIS PRIMERAS HUELLAS</t>
  </si>
  <si>
    <t>VEREDA BAREÑO</t>
  </si>
  <si>
    <t>CER LOS CARIÑOSOS</t>
  </si>
  <si>
    <t>VEREDA LA VERDUGUITA</t>
  </si>
  <si>
    <t>CER ESTRELLAS DEL FUTURO</t>
  </si>
  <si>
    <t>VEREDA LA REINA</t>
  </si>
  <si>
    <t>CER LOS PITUFOS</t>
  </si>
  <si>
    <t>SAN LUIS MONTENEGRO</t>
  </si>
  <si>
    <t>C COMUNAL LOS INCREIBLES</t>
  </si>
  <si>
    <t>BARROBLANCO</t>
  </si>
  <si>
    <t xml:space="preserve">COLEGIO DESTELLOS DE LUNA </t>
  </si>
  <si>
    <t>VEREDA AGUA BONITA</t>
  </si>
  <si>
    <t>CER JUNTOS SOMOS MAS</t>
  </si>
  <si>
    <t>CER LAZOS DE AMOR</t>
  </si>
  <si>
    <t>ESCUELA PASOS DE AMOR</t>
  </si>
  <si>
    <t>ESCUELA SEMILLAS DE ESPERANZA</t>
  </si>
  <si>
    <t>VEREDA BELGICA</t>
  </si>
  <si>
    <t>ESCUELA NUEVO AMANECER</t>
  </si>
  <si>
    <t>VEREDA LA GERGONA</t>
  </si>
  <si>
    <t>C COMUNAL GOTAS DE AMOR</t>
  </si>
  <si>
    <t>VEREDA IRIS CHUSCAL</t>
  </si>
  <si>
    <t>ESCUELA EL ARCOIRIS</t>
  </si>
  <si>
    <t>LA SOLITA</t>
  </si>
  <si>
    <t>C COMUNAL CREANDO HUELLAS</t>
  </si>
  <si>
    <t>EL COMINO</t>
  </si>
  <si>
    <t>ESCUELA MOMENTOS MAGICOS</t>
  </si>
  <si>
    <t>POCORO</t>
  </si>
  <si>
    <t>CASA CRECIENDO CON FELICIDAD</t>
  </si>
  <si>
    <t>SAN JACINTO</t>
  </si>
  <si>
    <t>C COMUNAL JUNTOS POR UN FUTURO</t>
  </si>
  <si>
    <t>VEREDA LOS ACEITES</t>
  </si>
  <si>
    <t>CASETA CARITAS DE ESPERANZA</t>
  </si>
  <si>
    <t>ESCUELA LA MARQUESA</t>
  </si>
  <si>
    <t>ESCUELA CREANDO APRENDO</t>
  </si>
  <si>
    <t>VEREDA EL CAIRO</t>
  </si>
  <si>
    <t>ESCUELA ZAPATITOS ROTOS</t>
  </si>
  <si>
    <t>EL RUBI LA FLORESTA</t>
  </si>
  <si>
    <t>COLEGIO PEQUEÑOS TRAVIESOS</t>
  </si>
  <si>
    <t>LA CUCHILLA</t>
  </si>
  <si>
    <t>CASA LOS PINGUINOS</t>
  </si>
  <si>
    <t>VEEDA LA GUINEA</t>
  </si>
  <si>
    <t xml:space="preserve">CASA SOÑANDO JUNTOS </t>
  </si>
  <si>
    <t>RUBI FLORESTA</t>
  </si>
  <si>
    <t>CASA CAMINANDO JUNTOS</t>
  </si>
  <si>
    <t>LAS FRIAS</t>
  </si>
  <si>
    <t>CASETA DEJANDO HUELLAS</t>
  </si>
  <si>
    <t>CASETA LOS INVENCIBLES</t>
  </si>
  <si>
    <t>CASA LOS SOLECITOS</t>
  </si>
  <si>
    <t>CL CALLE SANTA BARBARA 17 41</t>
  </si>
  <si>
    <t>PARQUE EDUCATIVO JUGANDO CON AMOR</t>
  </si>
  <si>
    <t>VEREDA EL HORMIGUERO BALNEARIO EL MANALTIAL</t>
  </si>
  <si>
    <t>BALNEARIO LOS SOÑADORES</t>
  </si>
  <si>
    <t>CORREGIMIENTO LA FLORESTA - ESCUELA LA FLORESTA</t>
  </si>
  <si>
    <t>ESCUELA BURBUJAS DE COLORES</t>
  </si>
  <si>
    <t>CL 15 18 57  BARRIO EL CARIO</t>
  </si>
  <si>
    <t>ESCUELA NORMAL JUGANDO CON AMOR</t>
  </si>
  <si>
    <t>VEREDA DOÑA ANA</t>
  </si>
  <si>
    <t>CASETA POLVO DE ESTRELLAS</t>
  </si>
  <si>
    <t>VEREDA CACHUMBAL</t>
  </si>
  <si>
    <t xml:space="preserve">ESCUELA NUBES DE COLORES </t>
  </si>
  <si>
    <t>VEREDA BARBASCAL SECTOR EL ALTO</t>
  </si>
  <si>
    <t>ESCUELA CRECIENDO JUNTOS</t>
  </si>
  <si>
    <t>VEREDA EL OSO DIAGONAL A LA CANCHA</t>
  </si>
  <si>
    <t>CASETA LOS OSITOS</t>
  </si>
  <si>
    <t>CORREGIMIENTO VILLANUEVA</t>
  </si>
  <si>
    <t xml:space="preserve">KIOSKO SOMOS FAMILIA </t>
  </si>
  <si>
    <t>CL 20 20 152  BARRIO COLOMBIA</t>
  </si>
  <si>
    <t>CDI HUELLAS A LA FELICIDAD</t>
  </si>
  <si>
    <t>CORREGIMIENTO LA FLORESTA</t>
  </si>
  <si>
    <t>FLORECER</t>
  </si>
  <si>
    <t>CORREGIMIENTO EL RUBI</t>
  </si>
  <si>
    <t>INFANCIA FELIZ</t>
  </si>
  <si>
    <t>VILLA NUEVA SECTOR HOJAS ANCHAS</t>
  </si>
  <si>
    <t>VILLA DULZURA</t>
  </si>
  <si>
    <t>VEREDA SOFIA</t>
  </si>
  <si>
    <t>CER HUELLAS DEL MAÑANA</t>
  </si>
  <si>
    <t>VEREDA BRAZUELOS</t>
  </si>
  <si>
    <t xml:space="preserve">ESCUELA EL JARDIN DE MIS SUEÑOS </t>
  </si>
  <si>
    <t>CZ SUR ORIENTE</t>
  </si>
  <si>
    <t>CL 60 50 A 35</t>
  </si>
  <si>
    <t>HOGAR INFANTIL NUEVOS CORAZONES</t>
  </si>
  <si>
    <t>ASOCIACION DE PADRES USUARIOS, OTRAS MODALIDADES DE ATENCION A PRIMERA INFANCIA Y MADRES COMUNITARIAS MI CASA INFANTIL</t>
  </si>
  <si>
    <t>CL 41 38 B 54</t>
  </si>
  <si>
    <t>SIMON EL MAGO</t>
  </si>
  <si>
    <t>KR 21 58 20</t>
  </si>
  <si>
    <t>HOGAR INFANTIL LA ESTRELLITA</t>
  </si>
  <si>
    <t>Alejandria</t>
  </si>
  <si>
    <t>ESTRELLITAS SOÑADORAS</t>
  </si>
  <si>
    <t>ASOCIACION DE PADRES USUARIOS, OTRAS MODALIDADES DE ATENCION A PRIMERA INFANCIA Y MADRES COMUNITARIAS BRISAS DE ORIENTE</t>
  </si>
  <si>
    <t>VEREDA LA INMACULADA</t>
  </si>
  <si>
    <t>CARITAS ALEGRES</t>
  </si>
  <si>
    <t>CL 20 19 06</t>
  </si>
  <si>
    <t>CENTRO INTEGRADO DE LA CULTURA</t>
  </si>
  <si>
    <t xml:space="preserve">Concepcion </t>
  </si>
  <si>
    <t>VEREDA TAFETANES</t>
  </si>
  <si>
    <t>MI CASITA DE COLORES</t>
  </si>
  <si>
    <t>LA PIEDAD</t>
  </si>
  <si>
    <t>PASOS DE GIGANTES</t>
  </si>
  <si>
    <t>KR SANTANDER 21 47</t>
  </si>
  <si>
    <t>SECTOR COLISEO SALIDA A ALEJANDRIA</t>
  </si>
  <si>
    <t>EL PATITO DE TORRENTES</t>
  </si>
  <si>
    <t>San Vicente Ferrer</t>
  </si>
  <si>
    <t>LOS SOÑADORES</t>
  </si>
  <si>
    <t>HUELLITAS</t>
  </si>
  <si>
    <t>CORRIENTES</t>
  </si>
  <si>
    <t>RETOÑOS DE LUZ</t>
  </si>
  <si>
    <t>VEREDA LA TRAVESIA</t>
  </si>
  <si>
    <t>LOS SALTARINES</t>
  </si>
  <si>
    <t>CL 32 00 33  AL LADO DE LA ESTACION DE POLICIA</t>
  </si>
  <si>
    <t>CENTRO COMUNITARIO RETOÑITOS DE AMOR</t>
  </si>
  <si>
    <t>Alejandría</t>
  </si>
  <si>
    <t>PASITOS FIRMES</t>
  </si>
  <si>
    <t>JARDINES INTERCULTURALES DE EDUCACION INICIAL - PROPIA E INTERCULTURAL</t>
  </si>
  <si>
    <t>VALOR ATENCIÓN (7 MESES)</t>
  </si>
  <si>
    <t>TIPO</t>
  </si>
  <si>
    <t xml:space="preserve">VIGIA DEL FUERTE </t>
  </si>
  <si>
    <t>COMUNIDAD INDIGENA GENGADO</t>
  </si>
  <si>
    <t>C COMUNAL GENGADÓ</t>
  </si>
  <si>
    <t>Artículo 37 “Contratación directa con grupos étnicos o para la atención de grupos étnicos</t>
  </si>
  <si>
    <t>ASOCIACIÓN DE CABILDOS INDIGENAS Y DE AUTORIDADES TRADICIONALES DE ANTIOQUIA – O.I.A.</t>
  </si>
  <si>
    <t>AVALADO</t>
  </si>
  <si>
    <t>GUAGUANDO</t>
  </si>
  <si>
    <t>C COMUNAL GUAGUANDÓ</t>
  </si>
  <si>
    <t>COMUNIDAD INDIGENA JARAPETO</t>
  </si>
  <si>
    <t>C COMUNAL JARAPETO</t>
  </si>
  <si>
    <t>PARACUCUNDO</t>
  </si>
  <si>
    <t>CASA COMUNAL PARACUCUNDO</t>
  </si>
  <si>
    <t>SALADO</t>
  </si>
  <si>
    <t>587300112892</t>
  </si>
  <si>
    <t>C COMUNAL EL SALADO</t>
  </si>
  <si>
    <t>RESGUARDO INDIGENA LAS PALMAS</t>
  </si>
  <si>
    <t xml:space="preserve">TERNURA INFANTIL </t>
  </si>
  <si>
    <t>MURINDO</t>
  </si>
  <si>
    <t>VEREDA ISLA</t>
  </si>
  <si>
    <t>SALON COMUNAL ISLA DOS</t>
  </si>
  <si>
    <t>CHAGERADO</t>
  </si>
  <si>
    <t>CASA COMUNAL CHAGERADO</t>
  </si>
  <si>
    <t>CHIBUGADO</t>
  </si>
  <si>
    <t>SALON COMUNAL CHIBUGADO</t>
  </si>
  <si>
    <t>CERRADAS INTEGRALES</t>
  </si>
  <si>
    <t xml:space="preserve">GOTITAS DE AMOR </t>
  </si>
  <si>
    <t>CORREGIR EN MATRIZ CERRADA BORRAR SIN RACION</t>
  </si>
  <si>
    <t>IE SIAKORO PLAYAS</t>
  </si>
  <si>
    <t xml:space="preserve">FRONTINO </t>
  </si>
  <si>
    <t>VEREDA MUSINGUITA</t>
  </si>
  <si>
    <t>ESCUELA MUSINGUITA</t>
  </si>
  <si>
    <t>900978172</t>
  </si>
  <si>
    <t>FUNDACION DE COMUNIDADES NEGRAS, AFROCOLOMBIANAS, RAIZALES Y PALENQUERAS ETNOSALUDAFRO</t>
  </si>
  <si>
    <t>ADJUDICADO</t>
  </si>
  <si>
    <t>VEREDA EL RAYO</t>
  </si>
  <si>
    <t>CASA DE FAMILIA EL RAYO</t>
  </si>
  <si>
    <t>VEREDA  EL BORDO</t>
  </si>
  <si>
    <t>CIUDADELA EL BORDO</t>
  </si>
  <si>
    <t>VEREDA CHONTADURO</t>
  </si>
  <si>
    <t>C COMUNAL CHONTADURO</t>
  </si>
  <si>
    <t>C COMUNAL BARRANCAS</t>
  </si>
  <si>
    <t>VEREDA FUEMIA</t>
  </si>
  <si>
    <t>ESCUELA FUEMIA</t>
  </si>
  <si>
    <t>VEREDA EL PASO</t>
  </si>
  <si>
    <t>ESCUELA EL PASO</t>
  </si>
  <si>
    <t>VEREDA CURADIENTE</t>
  </si>
  <si>
    <t>C COMUNAL CURADIENTE</t>
  </si>
  <si>
    <t>VEREDA PIEDRAS</t>
  </si>
  <si>
    <t>ESCUELA PIEDRAS BLANCAS</t>
  </si>
  <si>
    <t>C COMUNAL CERRO</t>
  </si>
  <si>
    <t>VEREDA NORE</t>
  </si>
  <si>
    <t>CASA DE FAMILIA NORE</t>
  </si>
  <si>
    <t>C COMUNAL HERRADURA</t>
  </si>
  <si>
    <t>ESCUELA LAS CRUCES</t>
  </si>
  <si>
    <t>SAN LAZARO</t>
  </si>
  <si>
    <t>ESCUELA SAN LÁZARO</t>
  </si>
  <si>
    <t>VEREDA ALTOS DE MURRI</t>
  </si>
  <si>
    <t>ACCION COMUNAL ALTOS DE MURRI</t>
  </si>
  <si>
    <t>VEREDA CHUSCAL DE MUSINGA</t>
  </si>
  <si>
    <t>C COMUNAL CHUSCAL MUSINGA</t>
  </si>
  <si>
    <t>CASA DE FAMILIA LA PALMA</t>
  </si>
  <si>
    <t>VEREDA LLANOS DE MUSINGA</t>
  </si>
  <si>
    <t>C COMUNAL LLANO DE MUSINGA</t>
  </si>
  <si>
    <t>VEREDA NOBOGA</t>
  </si>
  <si>
    <t>C COMUNAL NOBOGA</t>
  </si>
  <si>
    <t>VEREDA PONTÓN</t>
  </si>
  <si>
    <t>ESCUELA PONTON</t>
  </si>
  <si>
    <t>KR 30 N 34 58</t>
  </si>
  <si>
    <t>LA PRAGUITA</t>
  </si>
  <si>
    <t>VEREDA LA BALSA</t>
  </si>
  <si>
    <t>CL SONRISAS TIERNAS</t>
  </si>
  <si>
    <t>811021158</t>
  </si>
  <si>
    <t>ASOCIACIÓN DE PADRES USUARIOS DE LOS HOGARES COMUNITARIOS DE BIENESTAR FAMILIAR, OTRAS MODALIDADES DE ATENCIÓN A PRIMERA INFANCIA Y MADRES COMUNITARIAS BARRIO OBRERO.</t>
  </si>
  <si>
    <t>ESCUELA LAS BRISAS</t>
  </si>
  <si>
    <t>LOS POLLITOS ALEGRES</t>
  </si>
  <si>
    <t>NARANJALES</t>
  </si>
  <si>
    <t>COMEDOR DEL 20 DE ENERO</t>
  </si>
  <si>
    <t xml:space="preserve">ALEGRIA INFANTIL </t>
  </si>
  <si>
    <t>LOMA VERDE</t>
  </si>
  <si>
    <t>CORAZON LATINO</t>
  </si>
  <si>
    <t>CASETA COMUNAL CHURIDÓ</t>
  </si>
  <si>
    <t xml:space="preserve">SONRISAS MAGICAS </t>
  </si>
  <si>
    <t>BILLAR DONDE LOPEZ</t>
  </si>
  <si>
    <t xml:space="preserve">MIS PEQUEÑOS ANGELITOS </t>
  </si>
  <si>
    <t>VEREDA NARANJALES</t>
  </si>
  <si>
    <t>CASA FAMILIA EVER PESTANA</t>
  </si>
  <si>
    <t>VEREDA SAN MARTIN</t>
  </si>
  <si>
    <t>C COMUNAL SAN MARTIN</t>
  </si>
  <si>
    <t>VÌA NUEVA COLONIA VEREDA EL DIAMANTE</t>
  </si>
  <si>
    <t>C COMUNAL EL DIAMANTE_APARTADO</t>
  </si>
  <si>
    <t>IE EL TIGRE</t>
  </si>
  <si>
    <t>CASA DE FAMILIA REBECA LOMA VERDE</t>
  </si>
  <si>
    <t>C COMUNAL SAN PABLO_APARTADO</t>
  </si>
  <si>
    <t>VEREDA PUNTO ROJO</t>
  </si>
  <si>
    <t>C COMUNAL PUNTO ROJO</t>
  </si>
  <si>
    <t>VEREDA EL GUINEO</t>
  </si>
  <si>
    <t>C COMUNAL EL GUINEO</t>
  </si>
  <si>
    <t>VEREDA BAJO DEL OSO</t>
  </si>
  <si>
    <t>CASA FAMILIAR BAJO DEL OSO</t>
  </si>
  <si>
    <t>VEREDA BALSA BAJA</t>
  </si>
  <si>
    <t>IGLESIA RESTAURACIÓN REY JESUCRISTO</t>
  </si>
  <si>
    <t>VEREDA LOS MANDARINOS CERCA AL COLEGIO</t>
  </si>
  <si>
    <t>C COMUNAL LOS MANDARINOS</t>
  </si>
  <si>
    <t>VEREDA CHURIDO ALTO</t>
  </si>
  <si>
    <t>CHURIDO ALTO</t>
  </si>
  <si>
    <t>VEREDA SALSIPUEDES</t>
  </si>
  <si>
    <t>SALSIPUEDES</t>
  </si>
  <si>
    <t>VEREDA CHURIDO</t>
  </si>
  <si>
    <t>CHURIDO 1</t>
  </si>
  <si>
    <t>CHURIDO 2</t>
  </si>
  <si>
    <t>VEREDA EL SALTO DIAGONAL AL BILLAR EL SALTO</t>
  </si>
  <si>
    <t>C COMUNAL EL SALTO_APARTADO</t>
  </si>
  <si>
    <t>VEREDA LA VICTORIA</t>
  </si>
  <si>
    <t xml:space="preserve">SONRISAS LATINAS </t>
  </si>
  <si>
    <t>CASETA COMUNAL OBRERO</t>
  </si>
  <si>
    <t xml:space="preserve">MUNDO DE NIÑOS </t>
  </si>
  <si>
    <t>CUTURU</t>
  </si>
  <si>
    <t>SALON COMUNAL CUTURU1 ESPERANZA Y FUTURO</t>
  </si>
  <si>
    <t>811001810</t>
  </si>
  <si>
    <t>COOPERATIVA MULTIACTIVA DE MADRES COMUNITARIAS COOMACO</t>
  </si>
  <si>
    <t>CORREGIMIENTO DE RIO VIEJO</t>
  </si>
  <si>
    <t>CASA FLIA RIO VIEJO HUELLITAS DE AMOR</t>
  </si>
  <si>
    <t>CORREGIMIENTO CACERÍ</t>
  </si>
  <si>
    <t>C COMUNAL CACERI MIS PRIMEROS PASOS</t>
  </si>
  <si>
    <t>VEREDA MARGENTO</t>
  </si>
  <si>
    <t>KIOSCO FLIA MARGENTO PIES DESCALZOS</t>
  </si>
  <si>
    <t>QUEBRADONA MEDIO</t>
  </si>
  <si>
    <t>CASA FLIA QUEBRADONA MUNDO MAGICO</t>
  </si>
  <si>
    <t>VEREDA MANZANARES</t>
  </si>
  <si>
    <t>C COMUNAL MANZANARES SUEÑOS YSONRISAS</t>
  </si>
  <si>
    <t>VEREDA PALANCA</t>
  </si>
  <si>
    <t>KIOSCO PALANCA UNA NUEVA AVENTURA</t>
  </si>
  <si>
    <t>VEREDA VILLA DEL SOCORRO</t>
  </si>
  <si>
    <t>KIOSCO COMUNAL VILLA DEL SOCORRO CONSTR FUTU</t>
  </si>
  <si>
    <t>CORREGIMIENTO PUERTO TRIANA</t>
  </si>
  <si>
    <t>C COMUNAL PTO TRIANA GOTITAS DE AMOR</t>
  </si>
  <si>
    <t>AULA PADAGOGICA LA UNION NUEVO DESPERTA</t>
  </si>
  <si>
    <t>PUERTO ESPAÑA</t>
  </si>
  <si>
    <t>SALON COMUNAL RAYITOS DE LUZ PTO ESPAÑA</t>
  </si>
  <si>
    <t>VEREDA PUERTO GAITAN</t>
  </si>
  <si>
    <t>CASA FLIA PTO GAITAN COLORES DE LA MONTAÑA</t>
  </si>
  <si>
    <t>SAN JOSE</t>
  </si>
  <si>
    <t>KIOSCO FLIA SAN JOSE HUELLITAS DE AMOR</t>
  </si>
  <si>
    <t>KILOMETRO 18</t>
  </si>
  <si>
    <t>ESC ANTIGUA KILOMETRO18SUEÑOS Y SONRISA</t>
  </si>
  <si>
    <t>SANTO DOMINGO</t>
  </si>
  <si>
    <t>C COMUNALSANTODOMINGOSUEÑOS YSONRISAS</t>
  </si>
  <si>
    <t>TIGRE 3</t>
  </si>
  <si>
    <t>C COMUNAL TIGRE 3 PEQ ARTISTAS</t>
  </si>
  <si>
    <t>PALOMAR</t>
  </si>
  <si>
    <t>KIOSCO COMUNAL PALOMAR PIES DESCALZOS</t>
  </si>
  <si>
    <t>LA RAYA</t>
  </si>
  <si>
    <t>KIOSCO FLIA LA RAYA SEMILLITAS ALEGRES</t>
  </si>
  <si>
    <t>VEREDA TREJOS</t>
  </si>
  <si>
    <t>CER TREJOS UNA NUEVA AVENTURA</t>
  </si>
  <si>
    <t>C COMUNAL BQUILLITA UNANUEVAAVENTURA</t>
  </si>
  <si>
    <t>APARTADA DE CUTURÚ</t>
  </si>
  <si>
    <t>CASA FLIA APDA DE CUTURÚ MISPRIMEROSPASOS</t>
  </si>
  <si>
    <t>SANTA ROSITA</t>
  </si>
  <si>
    <t>KIOSCO FLIA SANTA ROSITA FLOCIENDOCONAMOR</t>
  </si>
  <si>
    <t>VEREDA PUEBLO SANTO</t>
  </si>
  <si>
    <t>CER PUEBLO SANTO NUEVO DESPERTAR</t>
  </si>
  <si>
    <t>VILLA DEL SOCORRO VÍA NECHÍ</t>
  </si>
  <si>
    <t>KIOSCO FAMILIAR PIES DESCALZOS</t>
  </si>
  <si>
    <t>VEREDA LA CASETA</t>
  </si>
  <si>
    <t>CASA COMUNAL LA CASETA MUNDO MAGICO</t>
  </si>
  <si>
    <t>LA GARRAPATA</t>
  </si>
  <si>
    <t>CASA FLIA GOTICAS DE AMOR LA GARRAPATA</t>
  </si>
  <si>
    <t>VEREDA EL CINCUENTA</t>
  </si>
  <si>
    <t>CASA FLIA GOTICAS DE AMOR EL CINCUENTA</t>
  </si>
  <si>
    <t>VEREDA PARAGUAY</t>
  </si>
  <si>
    <t>KIOSCO FLIA ESTRELLITAS CREADORAS PARAGUAY</t>
  </si>
  <si>
    <t>LAS MALVINAS VIA AL BAGRE</t>
  </si>
  <si>
    <t>IGLESIA C. RAYITOS DE LUZ V. GLORIA</t>
  </si>
  <si>
    <t>VEREDA TREJO LA ESTACA</t>
  </si>
  <si>
    <t>IGLESIA TREJOLA ESTACA MENTES SOÑADORAS</t>
  </si>
  <si>
    <t>VIA POR LAS MALVINAS</t>
  </si>
  <si>
    <t>C COMUNAL EL KIRIKI</t>
  </si>
  <si>
    <t>VEREDA EL KIRIKI</t>
  </si>
  <si>
    <t>IGLESIA EL KIRIKI</t>
  </si>
  <si>
    <t>CORREJIMIENTO CAMPO ALEGRE VIA ANTIOQUIA</t>
  </si>
  <si>
    <t>C COMUNAL CAMPO ALEGRE CAUCASIA</t>
  </si>
  <si>
    <t>DABEIBA</t>
  </si>
  <si>
    <t>ARMENIA CAMPARRUISA</t>
  </si>
  <si>
    <t>C COMUNAL ARMENIA</t>
  </si>
  <si>
    <t>DABEIBA VIEJO</t>
  </si>
  <si>
    <t>C COMUNAL DABEIBA VIEJO</t>
  </si>
  <si>
    <t>CRUCES</t>
  </si>
  <si>
    <t>C COMUNAL CRUCES_DABEIBA</t>
  </si>
  <si>
    <t>LA BALSITA</t>
  </si>
  <si>
    <t>CASA FAMILIAR LA BALSITA</t>
  </si>
  <si>
    <t>EL ENCIERRO</t>
  </si>
  <si>
    <t>ESCUELA EL ENCIERRO</t>
  </si>
  <si>
    <t>LLANO GRANDE</t>
  </si>
  <si>
    <t>ESCUELA LLANO GRANDE</t>
  </si>
  <si>
    <t>VEREDA CARRA</t>
  </si>
  <si>
    <t>ESCUELA CARRA</t>
  </si>
  <si>
    <t>CASA FAMILIAR EL RETIRO</t>
  </si>
  <si>
    <t>VEREDA LOS NARANJOS</t>
  </si>
  <si>
    <t>ESCUELA LOS NARANJOS</t>
  </si>
  <si>
    <t>CTGO URAMA</t>
  </si>
  <si>
    <t>ESCUELA URAMA</t>
  </si>
  <si>
    <t>VEREDA BOTON</t>
  </si>
  <si>
    <t>ESCUELA BOTON</t>
  </si>
  <si>
    <t>VAREDA CARACOLON</t>
  </si>
  <si>
    <t>C COMUNAL CARACOLON</t>
  </si>
  <si>
    <t>VEREDA FILO DE LA CRUZ</t>
  </si>
  <si>
    <t>ESCUELA FILO DE LA CRUZ</t>
  </si>
  <si>
    <t>KR 6 5 33</t>
  </si>
  <si>
    <t>LOS PINGUINOS 2</t>
  </si>
  <si>
    <t>VEREDA LLANOGRANDE</t>
  </si>
  <si>
    <t>CDI FORJANDO FUTURO MEXÍCO</t>
  </si>
  <si>
    <t>VEREDA LA FALDA</t>
  </si>
  <si>
    <t>C COMUNAL LA FALDA</t>
  </si>
  <si>
    <t>VEREDA CAMPARRUSIA</t>
  </si>
  <si>
    <t>C COMUNAL CAMPARRUSIA</t>
  </si>
  <si>
    <t>PUENTE NUEVO</t>
  </si>
  <si>
    <t>C COMUNAL PUENTE NUEVO</t>
  </si>
  <si>
    <t>VEREDA EL BALSO</t>
  </si>
  <si>
    <t>C COMUNAL EL BALSO</t>
  </si>
  <si>
    <t>EL RODEO</t>
  </si>
  <si>
    <t>TAMBO FAMILIAR EL RODEO</t>
  </si>
  <si>
    <t>CL 4 B 20 11</t>
  </si>
  <si>
    <t xml:space="preserve">FELICES CHURUMBELES </t>
  </si>
  <si>
    <t>AGUA LINDA</t>
  </si>
  <si>
    <t>ESCUELA AGUA LINDA</t>
  </si>
  <si>
    <t>CL 10 JUAN DEL CORRAL N 11 50</t>
  </si>
  <si>
    <t>LOS PINGUINOS</t>
  </si>
  <si>
    <t>VEREDA CAPILLA 2</t>
  </si>
  <si>
    <t>C COMUNAL LAS JIRAFITAS</t>
  </si>
  <si>
    <t>VEREDA EL AGUACATE</t>
  </si>
  <si>
    <t>SALON COMUNAL SEMILLAS DE AMORPIZ</t>
  </si>
  <si>
    <t>CASETA DE ALFABETIZACION LOS ACACIOS</t>
  </si>
  <si>
    <t>PANORAMA 1</t>
  </si>
  <si>
    <t>PANORAMA 2</t>
  </si>
  <si>
    <t>PANORAMA 3</t>
  </si>
  <si>
    <t>PANORAMA 4</t>
  </si>
  <si>
    <t>PANORAMA 5</t>
  </si>
  <si>
    <t>CASA FAMILIAR 1</t>
  </si>
  <si>
    <t>ESPAÑA 1</t>
  </si>
  <si>
    <t>CASA FAMILIAR 2</t>
  </si>
  <si>
    <t>ESPAÑA 2</t>
  </si>
  <si>
    <t>CASA FAMILIAR 3</t>
  </si>
  <si>
    <t>ESPAÑA 3</t>
  </si>
  <si>
    <t>PERICO 1</t>
  </si>
  <si>
    <t>ALMENDROS</t>
  </si>
  <si>
    <t>CASA DEL ADULTO MAYOR 1</t>
  </si>
  <si>
    <t>PUERTO LOPEZ 1</t>
  </si>
  <si>
    <t>CASA DEL ADULTO MAYOR 2</t>
  </si>
  <si>
    <t>PUERTO LOPEZ 2</t>
  </si>
  <si>
    <t>BARRIO LOS COMODATOS</t>
  </si>
  <si>
    <t>CASA FINCA GUMERCINDO LOS COMODATOS</t>
  </si>
  <si>
    <t>IGLESIA CRISTIANA LOS COMODATOS</t>
  </si>
  <si>
    <t>BARRIO EL PROGRESO</t>
  </si>
  <si>
    <t>KIOSCO EL PROGRESO</t>
  </si>
  <si>
    <t>VEREDA DANTAS</t>
  </si>
  <si>
    <t>C COMUNAL DANTAS</t>
  </si>
  <si>
    <t>VEREDA PUERTO CLAVER</t>
  </si>
  <si>
    <t>CASA FLIA PEREZ ATENCIA PUERTO CLAVER</t>
  </si>
  <si>
    <t>CASA FLIA JARANA PUERTO CLAVER</t>
  </si>
  <si>
    <t>NECOCLI</t>
  </si>
  <si>
    <t>VEREDA SAN SEBASTIAN</t>
  </si>
  <si>
    <t>GRANERO 5 ESTRELLAS</t>
  </si>
  <si>
    <t>CASETA COMUNAL MELLITO ALTO</t>
  </si>
  <si>
    <t>C COMUNAL MELLITO ALTO</t>
  </si>
  <si>
    <t>CASETA PUBLICA PARQUE MELLO VILLAVICENCIO</t>
  </si>
  <si>
    <t>CASETA PUBLICA PARQUE MELLO</t>
  </si>
  <si>
    <t>CORREGIMIENTO PUEBLO NUEVO</t>
  </si>
  <si>
    <t>CDI PUEBLO NUEVO</t>
  </si>
  <si>
    <t>CORREGIMIENTO TOTTUMO</t>
  </si>
  <si>
    <t>ANTIGUA IGLESIA INTERAMERICANA</t>
  </si>
  <si>
    <t>CL 42 68 14</t>
  </si>
  <si>
    <t>CDI VILLA ALEJANDRIA</t>
  </si>
  <si>
    <t>CORREGIMIENTO EL MELLITO</t>
  </si>
  <si>
    <t>VEREDA GUACAMAYA</t>
  </si>
  <si>
    <t>ESCUELA GUACAMAYA</t>
  </si>
  <si>
    <t>VEREDA MARIMONDA LECHUGAL</t>
  </si>
  <si>
    <t>CASETA COMUNAL GARITON</t>
  </si>
  <si>
    <t>C COMUNAL GARITON</t>
  </si>
  <si>
    <t>VEREDA CARIBIA</t>
  </si>
  <si>
    <t>CALLE LA PLAYA</t>
  </si>
  <si>
    <t>CEIVITA</t>
  </si>
  <si>
    <t>KR 45 52 31</t>
  </si>
  <si>
    <t>CDI EL PESCADOR</t>
  </si>
  <si>
    <t>CASA COMUNAL TULAPITA</t>
  </si>
  <si>
    <t>892301844</t>
  </si>
  <si>
    <t>ASOCIACION DE PADRES DE FAMILIA DEL HOGAR INFANTIL  SAN MARTIN</t>
  </si>
  <si>
    <t>CASETA COMUNAL ALTO ROSARIO</t>
  </si>
  <si>
    <t>CASA FAMILIAR MARIA SANCHEZ</t>
  </si>
  <si>
    <t>CASA FAMILIAR JOSEFA ARRIETA VILLA LUCIA</t>
  </si>
  <si>
    <t>CASA FAMILIAR JOSEFA ARRIETA</t>
  </si>
  <si>
    <t>VEREDA BOBAL</t>
  </si>
  <si>
    <t>RESTAUANTE IER PARAISO TULAPITA</t>
  </si>
  <si>
    <t>VEREDA PARAISO TULAPITA</t>
  </si>
  <si>
    <t>VEREDA ECUADOR</t>
  </si>
  <si>
    <t>VEREDA ARIZAL</t>
  </si>
  <si>
    <t>C COMUNAL ARIZAL</t>
  </si>
  <si>
    <t>KIOSKO LA FLACA</t>
  </si>
  <si>
    <t>KIOSCO LA TERCERA EDAD MULATOS</t>
  </si>
  <si>
    <t>VEREDA EL HOYITO</t>
  </si>
  <si>
    <t>VEREDA ALMACIGO</t>
  </si>
  <si>
    <t>ESCUELA ALMACIGO</t>
  </si>
  <si>
    <t>CARLOS CARRETERA</t>
  </si>
  <si>
    <t>RESTAURANTE LAGO CARIBE</t>
  </si>
  <si>
    <t>C COMUNAL COM INDÍGENA CARACOLÍ</t>
  </si>
  <si>
    <t>VEREDA SANTAFE DE ISLITA</t>
  </si>
  <si>
    <t>ESCUELA SEDE ISLITA SANTAFE</t>
  </si>
  <si>
    <t>NUEVO ORIENTE</t>
  </si>
  <si>
    <t>VEREDA CASA BLANCA</t>
  </si>
  <si>
    <t>ESCUELA CASA BLANCA</t>
  </si>
  <si>
    <t>VEREDA VALE ARRIBA</t>
  </si>
  <si>
    <t>VALE ARRIBA</t>
  </si>
  <si>
    <t>CASA FAMILIAR DANI LUZ PEÑA</t>
  </si>
  <si>
    <t>VEREDA LA COMARCA</t>
  </si>
  <si>
    <t>VEREDA OYETO CIELO AZUL</t>
  </si>
  <si>
    <t>VEREDA VALE PAVA</t>
  </si>
  <si>
    <t>C COMUNAL VALE PAVA</t>
  </si>
  <si>
    <t>COMUNIDAD INDIGENA FLORISANTO</t>
  </si>
  <si>
    <t>CER FLORISANTO</t>
  </si>
  <si>
    <t>VEREDA SAN JOAQUIN</t>
  </si>
  <si>
    <t>C COMUNAL SAN JUAQUIN</t>
  </si>
  <si>
    <t>VEREDA EL MONCHOLO</t>
  </si>
  <si>
    <t>TIENDA DOÑA KATA</t>
  </si>
  <si>
    <t>VEREDA EL CARLOS</t>
  </si>
  <si>
    <t>CABAÑA EL CARLOS</t>
  </si>
  <si>
    <t>COMUNIDAD INDÍGENA TAMARINDO</t>
  </si>
  <si>
    <t>CER TAMARINDO</t>
  </si>
  <si>
    <t>COMUNIDAD CAIMÁN MEDIO</t>
  </si>
  <si>
    <t>ESCUELA CAIMÁN MEDIO</t>
  </si>
  <si>
    <t>COMUNIDAD ULE</t>
  </si>
  <si>
    <t>CASA COMUNAL ULE</t>
  </si>
  <si>
    <t>COMUNIDAD CAIMÁN BAJO</t>
  </si>
  <si>
    <t>C COMUNAL CAIMÁN BAJO</t>
  </si>
  <si>
    <t>VEREDA MONCHOLO</t>
  </si>
  <si>
    <t xml:space="preserve">HUELLITAS </t>
  </si>
  <si>
    <t>VEREDA BOTIJUELA</t>
  </si>
  <si>
    <t>VEREDA VALE ADENTRO</t>
  </si>
  <si>
    <t>SEMILLITAS DEL SABER</t>
  </si>
  <si>
    <t>VEREDA PITA MORRIAL</t>
  </si>
  <si>
    <t>VEREDA LA MAGDALENA</t>
  </si>
  <si>
    <t>VEREDA SUCIO LAUREL</t>
  </si>
  <si>
    <t>IGLESIA VEREDA SUCIO LAUREL</t>
  </si>
  <si>
    <t>POBLADO</t>
  </si>
  <si>
    <t>CDI MURINDO</t>
  </si>
  <si>
    <t>FUNDACIÓN YOYITOS DE AMOR</t>
  </si>
  <si>
    <t>ESCUELA RURAL TADIA CAMPO ALEGRE</t>
  </si>
  <si>
    <t>RIO MURINDO</t>
  </si>
  <si>
    <t>ESCUELA RURAL RIO MURINDO</t>
  </si>
  <si>
    <t>ZONA ESCOLAR - PADUA</t>
  </si>
  <si>
    <t>CDI VIGIA DEL FUERTE PADUA</t>
  </si>
  <si>
    <t>VEREDA VILLANUEVA</t>
  </si>
  <si>
    <t>C COMUNAL VILLANUEVA</t>
  </si>
  <si>
    <t>TV 14 2 20 BARRIO VENEZUELA</t>
  </si>
  <si>
    <t>CDI VIGIA DEL FUERTE</t>
  </si>
  <si>
    <t>SALON COMUNAL GUAGUA</t>
  </si>
  <si>
    <t>CABILDO MAYOR INDIGENA DE MUTATA</t>
  </si>
  <si>
    <t>ÑARANGUE</t>
  </si>
  <si>
    <t>SALON COMUNAL ÑARANGUE</t>
  </si>
  <si>
    <t>COREDÓ</t>
  </si>
  <si>
    <t>C COMUNAL COREDÓ</t>
  </si>
  <si>
    <t>C COMUNAL COM INDÍGENACHONTADURAL</t>
  </si>
  <si>
    <t>C COMUNAL COMINDÍGENA JAIKERASABY</t>
  </si>
  <si>
    <t>CASA USUARIA SAN JOSE DE LEON MEXICO</t>
  </si>
  <si>
    <t>CASA FAMILIAR SURRAMBAY</t>
  </si>
  <si>
    <t>CASA FAMILIAR PRIMAVERA</t>
  </si>
  <si>
    <t>CASA FAMILIAR MUNGARATATADO</t>
  </si>
  <si>
    <t>CASA GOBERNADORA CAÑADUZALES</t>
  </si>
  <si>
    <t>TAMBO COMUNAL BEDO ENCANTO</t>
  </si>
  <si>
    <t>CASA FAMILIA MUNGUDO ABAJO</t>
  </si>
  <si>
    <t>C COMUNAL BEGUARANDO MEXICO</t>
  </si>
  <si>
    <t>UCA CACAO</t>
  </si>
  <si>
    <t>UCA PORROSO</t>
  </si>
  <si>
    <t>1886-1</t>
  </si>
  <si>
    <t>VEREDA LA LOMA Y LA PLAYA</t>
  </si>
  <si>
    <t>CASA COMUNITARIA ARENAL ALEGRIA</t>
  </si>
  <si>
    <t>BUCHADO</t>
  </si>
  <si>
    <t>KIOSCO COMUNITARIO BUCHADO</t>
  </si>
  <si>
    <t>RIO ARQUIA</t>
  </si>
  <si>
    <t>ESCUELA RURAL ISLETA</t>
  </si>
  <si>
    <t>CASA COMUNITARIA LA PLAYA</t>
  </si>
  <si>
    <t>LOMA MURRI</t>
  </si>
  <si>
    <t>ESCUELA RURAL LOMA MURRI</t>
  </si>
  <si>
    <t>VEREDA SAN ALEJANDRO</t>
  </si>
  <si>
    <t>C COMUNAL SAN ALEJANDRO</t>
  </si>
  <si>
    <t>CASA COMUNITARIA SAN MIGUEL</t>
  </si>
  <si>
    <t>VEGAEZ</t>
  </si>
  <si>
    <t>CASA COMUNAL VEGAEZ</t>
  </si>
  <si>
    <t>1899-1</t>
  </si>
  <si>
    <t>VEREDA MADRE LAURA</t>
  </si>
  <si>
    <t>C COMUNAL MADRE LAURA</t>
  </si>
  <si>
    <t>VEREDA PEGADO CENTRO</t>
  </si>
  <si>
    <t>CASA DE LA GOBERNACION CENTRO</t>
  </si>
  <si>
    <t>VEREDA NUSIDO</t>
  </si>
  <si>
    <t>ESCUELA INDIGENA DE NUSIDO</t>
  </si>
  <si>
    <t>MURRI CHONTADURO ALTO</t>
  </si>
  <si>
    <t>ESCUELA INDIGENA CHONTADURO ALTO</t>
  </si>
  <si>
    <t>VEREDA PEÑITAS</t>
  </si>
  <si>
    <t>CASA DE FAMILIA PEÑITAS MURRI</t>
  </si>
  <si>
    <t>C COMUNAL EL MADERO</t>
  </si>
  <si>
    <t>1935-1</t>
  </si>
  <si>
    <t>TIGRE 1</t>
  </si>
  <si>
    <t>C COMUNAL TIGRE 1 ESTRELLITAS CREADORAS</t>
  </si>
  <si>
    <t>C COMUNAL EL PANDO SEMILLITAS ALEGRES</t>
  </si>
  <si>
    <t>VEREDA TIGRE 3</t>
  </si>
  <si>
    <t>SEDE INDIGENA TIGRE 2B PEQUEÑOS ARTISTAS</t>
  </si>
  <si>
    <t>PUERTO CLAVER</t>
  </si>
  <si>
    <t>CASA FAMILIAR MUNDO FELIZ</t>
  </si>
  <si>
    <t>VEREDA SARDINA</t>
  </si>
  <si>
    <t>CASA COMUNAL LA SARDINA</t>
  </si>
  <si>
    <t>VEREDA BAMBA</t>
  </si>
  <si>
    <t>C COMUNAL BAMBA</t>
  </si>
  <si>
    <t>1936-1</t>
  </si>
  <si>
    <t>RESGUARDO INDIGENA EL VOLAO</t>
  </si>
  <si>
    <t>RESGUARDO INDIGENA VOLAO</t>
  </si>
  <si>
    <t>RESGUARDO INDIGENA ZENU DE EL VOLAO</t>
  </si>
  <si>
    <t>COMUNIDAD INDIGENA VARASANTA</t>
  </si>
  <si>
    <t>CER VARASANTA</t>
  </si>
  <si>
    <t>CASETA DOJURA COMUNIDAD INDIGENA</t>
  </si>
  <si>
    <t>C COMUNALPOLINES12345</t>
  </si>
  <si>
    <t>CASETA CHIGORODOCITO</t>
  </si>
  <si>
    <t>C COMUNAL GUAPA ALTO</t>
  </si>
  <si>
    <t>C COMUNAL COMUNIDAD CHANGAS</t>
  </si>
  <si>
    <t>C COMUNAL BOCA DE PALMITAS 1</t>
  </si>
  <si>
    <t>C COMUNAL EL CATIVO</t>
  </si>
  <si>
    <t>C COMUNAL LOS PALMARES</t>
  </si>
  <si>
    <t>1943-1</t>
  </si>
  <si>
    <t>AMPARRADO POPALITO</t>
  </si>
  <si>
    <t>TAMBO ESCOLAR POPALITO</t>
  </si>
  <si>
    <t>VEREDA VALLESI</t>
  </si>
  <si>
    <t>ESCUELA VALLESI</t>
  </si>
  <si>
    <t>VERDA CARRA INDIGENA</t>
  </si>
  <si>
    <t>C COMUNAL CARRA INDIGENA</t>
  </si>
  <si>
    <t>EL PITAL</t>
  </si>
  <si>
    <t>ESCUELA EL PITAL</t>
  </si>
  <si>
    <t>VEREDA CHEVERITO</t>
  </si>
  <si>
    <t>TAMBO FAMILIAR CHEVERITO</t>
  </si>
  <si>
    <t>VEREDA CHOROMNADÓ</t>
  </si>
  <si>
    <t>TAMBO FAMILIAR CHOROMANDO</t>
  </si>
  <si>
    <t>VEREDA NENDO</t>
  </si>
  <si>
    <t>TAMBO FAMILIAR NENDO</t>
  </si>
  <si>
    <t>VEREDA LLANO GORDO</t>
  </si>
  <si>
    <t>TAMBO COMUNITARIO LLANOGORDO</t>
  </si>
  <si>
    <t>VEREDA PAVARANDÓ</t>
  </si>
  <si>
    <t>TAMBO FAMILIAR PAVARANDO</t>
  </si>
  <si>
    <t>VEREDA PEGADO</t>
  </si>
  <si>
    <t>C COMUNAL PEGADO</t>
  </si>
  <si>
    <t>VEREDA PIEDRAS BLANCAS</t>
  </si>
  <si>
    <t>TAMBO FAMILIAR PIEDRA BLANCAS</t>
  </si>
  <si>
    <t>TAMBO FAMILIAR SANTA TERESA</t>
  </si>
  <si>
    <t>VEREDA TASCON</t>
  </si>
  <si>
    <t>TAMBO FAMILIAR TASCON</t>
  </si>
  <si>
    <t>VEREDA ANTADO</t>
  </si>
  <si>
    <t>CASA ANTADO</t>
  </si>
  <si>
    <t>VEREDA DABEIBA VIEJO</t>
  </si>
  <si>
    <t>TAMBO COMUNITARIO DABEIBA VIEJO</t>
  </si>
  <si>
    <t>EL PITAL ALTO</t>
  </si>
  <si>
    <t>TAMBO COMUNITARIO PITAL ALTO</t>
  </si>
  <si>
    <t>VEREDA TAPARALES</t>
  </si>
  <si>
    <t>ESCUELA TAPARALES</t>
  </si>
  <si>
    <t>CHOROMANDO BAJO</t>
  </si>
  <si>
    <t>TAMBO FAMILIAR CHOROMANDO BAJO</t>
  </si>
  <si>
    <t>TAMBO FAMILIAR GUATICAMA</t>
  </si>
  <si>
    <t>VEREDA CHEVER</t>
  </si>
  <si>
    <t>TAMBO FAMILIAR CHEVER</t>
  </si>
  <si>
    <t>Suma de UDS</t>
  </si>
  <si>
    <t>Suma de TOTAL COBERTURA</t>
  </si>
  <si>
    <t>Suma de VALOR CONTRAPARTIDA</t>
  </si>
  <si>
    <t>Suma de TOTAL APORTES ICBF</t>
  </si>
  <si>
    <t>Suma de TOTAL CONTRATO (ICBF+EAS)</t>
  </si>
  <si>
    <t>LIBERADA</t>
  </si>
  <si>
    <t>FUN ETNOSALUDAFRO</t>
  </si>
  <si>
    <t>ASOCIACION DE PADRES DE HOGARES DE BIENES BARRIO OBRERO</t>
  </si>
  <si>
    <t>ZONA</t>
  </si>
  <si>
    <t>Consecutivo PACCO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</si>
</sst>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_-;\-* #,##0_-;_-* &quot;-&quot;??_-;_-@_-"/>
    <numFmt numFmtId="166" formatCode="_-&quot;$&quot;\ * #,##0_-;\-&quot;$&quot;\ * #,##0_-;_-&quot;$&quot;\ * &quot;-&quot;??_-;_-@_-"/>
  </numFmts>
  <fonts count="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8"/>
      <color rgb="FFFFFFFF"/>
      <name val="Aptos Narrow"/>
      <family val="2"/>
    </font>
    <font>
      <sz val="8"/>
      <color rgb="FF000000"/>
      <name val="Aptos Narrow"/>
      <family val="2"/>
    </font>
    <font>
      <b/>
      <sz val="9"/>
      <color indexed="81"/>
      <name val="Tahoma"/>
      <family val="2"/>
    </font>
    <font>
      <sz val="12"/>
      <color rgb="FF000000"/>
      <name val="Calibri"/>
      <family val="2"/>
    </font>
    <font>
      <sz val="9"/>
      <color indexed="81"/>
      <name val="Tahoma"/>
      <family val="2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F9ED5"/>
        <bgColor rgb="FF0F9ED5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164" fontId="4" fillId="0" borderId="1" xfId="2" applyFont="1" applyFill="1" applyBorder="1" applyAlignment="1"/>
    <xf numFmtId="2" fontId="4" fillId="0" borderId="1" xfId="2" applyNumberFormat="1" applyFont="1" applyFill="1" applyBorder="1" applyAlignment="1">
      <alignment horizontal="center"/>
    </xf>
    <xf numFmtId="1" fontId="4" fillId="0" borderId="1" xfId="1" applyNumberFormat="1" applyFont="1" applyFill="1" applyBorder="1" applyAlignment="1">
      <alignment horizontal="center" vertical="center"/>
    </xf>
    <xf numFmtId="14" fontId="4" fillId="0" borderId="1" xfId="2" applyNumberFormat="1" applyFont="1" applyFill="1" applyBorder="1" applyAlignment="1"/>
    <xf numFmtId="165" fontId="4" fillId="0" borderId="1" xfId="2" applyNumberFormat="1" applyFont="1" applyFill="1" applyBorder="1" applyAlignment="1"/>
    <xf numFmtId="165" fontId="4" fillId="0" borderId="1" xfId="2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165" fontId="0" fillId="0" borderId="0" xfId="1" applyNumberFormat="1" applyFont="1"/>
    <xf numFmtId="0" fontId="0" fillId="0" borderId="1" xfId="0" applyBorder="1"/>
    <xf numFmtId="0" fontId="0" fillId="0" borderId="2" xfId="0" applyBorder="1"/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3" fontId="2" fillId="3" borderId="5" xfId="0" applyNumberFormat="1" applyFont="1" applyFill="1" applyBorder="1" applyAlignment="1">
      <alignment horizontal="center" vertical="center" wrapText="1"/>
    </xf>
    <xf numFmtId="166" fontId="2" fillId="3" borderId="5" xfId="2" applyNumberFormat="1" applyFont="1" applyFill="1" applyBorder="1" applyAlignment="1">
      <alignment horizontal="center" vertical="center" wrapText="1"/>
    </xf>
    <xf numFmtId="166" fontId="2" fillId="3" borderId="6" xfId="2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165" fontId="0" fillId="0" borderId="1" xfId="0" applyNumberFormat="1" applyBorder="1"/>
    <xf numFmtId="165" fontId="2" fillId="3" borderId="5" xfId="1" applyNumberFormat="1" applyFont="1" applyFill="1" applyBorder="1" applyAlignment="1">
      <alignment horizontal="center" vertical="center" wrapText="1"/>
    </xf>
    <xf numFmtId="43" fontId="0" fillId="0" borderId="0" xfId="1" applyFont="1"/>
    <xf numFmtId="43" fontId="2" fillId="4" borderId="5" xfId="1" applyFont="1" applyFill="1" applyBorder="1" applyAlignment="1">
      <alignment horizontal="center" vertical="center" wrapText="1"/>
    </xf>
    <xf numFmtId="43" fontId="0" fillId="0" borderId="1" xfId="0" applyNumberFormat="1" applyBorder="1"/>
    <xf numFmtId="165" fontId="0" fillId="0" borderId="8" xfId="0" applyNumberFormat="1" applyBorder="1"/>
    <xf numFmtId="165" fontId="0" fillId="0" borderId="3" xfId="0" applyNumberFormat="1" applyBorder="1"/>
    <xf numFmtId="43" fontId="0" fillId="0" borderId="0" xfId="0" applyNumberFormat="1"/>
    <xf numFmtId="0" fontId="0" fillId="0" borderId="0" xfId="0" pivotButton="1"/>
    <xf numFmtId="166" fontId="2" fillId="3" borderId="10" xfId="2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0" fillId="5" borderId="0" xfId="0" applyFill="1"/>
    <xf numFmtId="43" fontId="0" fillId="0" borderId="1" xfId="1" applyFont="1" applyFill="1" applyBorder="1"/>
    <xf numFmtId="1" fontId="0" fillId="0" borderId="0" xfId="0" applyNumberFormat="1"/>
    <xf numFmtId="9" fontId="0" fillId="0" borderId="1" xfId="3" applyFont="1" applyFill="1" applyBorder="1" applyAlignment="1">
      <alignment horizontal="center"/>
    </xf>
    <xf numFmtId="165" fontId="0" fillId="0" borderId="1" xfId="1" applyNumberFormat="1" applyFont="1" applyFill="1" applyBorder="1"/>
    <xf numFmtId="165" fontId="0" fillId="0" borderId="1" xfId="0" applyNumberFormat="1" applyBorder="1" applyAlignment="1">
      <alignment horizontal="center" vertical="center"/>
    </xf>
    <xf numFmtId="43" fontId="0" fillId="0" borderId="8" xfId="1" applyFont="1" applyFill="1" applyBorder="1"/>
    <xf numFmtId="165" fontId="0" fillId="0" borderId="8" xfId="1" applyNumberFormat="1" applyFont="1" applyFill="1" applyBorder="1"/>
    <xf numFmtId="165" fontId="0" fillId="0" borderId="8" xfId="0" applyNumberFormat="1" applyBorder="1" applyAlignment="1">
      <alignment horizontal="center" vertical="center"/>
    </xf>
    <xf numFmtId="1" fontId="0" fillId="0" borderId="1" xfId="0" applyNumberFormat="1" applyBorder="1"/>
    <xf numFmtId="1" fontId="0" fillId="0" borderId="8" xfId="0" applyNumberFormat="1" applyBorder="1"/>
    <xf numFmtId="0" fontId="0" fillId="0" borderId="0" xfId="0" applyAlignment="1">
      <alignment wrapText="1"/>
    </xf>
    <xf numFmtId="0" fontId="6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right"/>
    </xf>
    <xf numFmtId="0" fontId="0" fillId="0" borderId="1" xfId="0" applyBorder="1" applyAlignment="1">
      <alignment horizontal="left" vertical="center"/>
    </xf>
    <xf numFmtId="9" fontId="0" fillId="0" borderId="8" xfId="3" applyFont="1" applyFill="1" applyBorder="1" applyAlignment="1">
      <alignment horizontal="center"/>
    </xf>
    <xf numFmtId="165" fontId="0" fillId="0" borderId="1" xfId="1" applyNumberFormat="1" applyFont="1" applyFill="1" applyBorder="1" applyAlignment="1">
      <alignment horizontal="center"/>
    </xf>
    <xf numFmtId="165" fontId="0" fillId="0" borderId="8" xfId="1" applyNumberFormat="1" applyFont="1" applyFill="1" applyBorder="1" applyAlignment="1">
      <alignment horizontal="center"/>
    </xf>
    <xf numFmtId="165" fontId="8" fillId="0" borderId="1" xfId="1" applyNumberFormat="1" applyFont="1" applyFill="1" applyBorder="1" applyAlignment="1">
      <alignment horizontal="center"/>
    </xf>
    <xf numFmtId="165" fontId="8" fillId="0" borderId="1" xfId="1" applyNumberFormat="1" applyFont="1" applyFill="1" applyBorder="1"/>
    <xf numFmtId="43" fontId="8" fillId="0" borderId="1" xfId="1" applyFont="1" applyFill="1" applyBorder="1"/>
    <xf numFmtId="0" fontId="8" fillId="0" borderId="2" xfId="0" applyFont="1" applyBorder="1" applyAlignment="1">
      <alignment horizontal="right" vertical="center"/>
    </xf>
    <xf numFmtId="0" fontId="8" fillId="0" borderId="2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3" fontId="8" fillId="0" borderId="1" xfId="0" applyNumberFormat="1" applyFont="1" applyBorder="1" applyAlignment="1">
      <alignment horizontal="right" vertical="center"/>
    </xf>
    <xf numFmtId="165" fontId="8" fillId="0" borderId="1" xfId="0" applyNumberFormat="1" applyFont="1" applyBorder="1"/>
    <xf numFmtId="43" fontId="8" fillId="0" borderId="1" xfId="0" applyNumberFormat="1" applyFont="1" applyBorder="1"/>
    <xf numFmtId="0" fontId="8" fillId="0" borderId="1" xfId="0" applyFont="1" applyBorder="1" applyAlignment="1">
      <alignment horizontal="center" vertical="center"/>
    </xf>
    <xf numFmtId="165" fontId="8" fillId="0" borderId="3" xfId="0" applyNumberFormat="1" applyFont="1" applyBorder="1"/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1" xfId="0" quotePrefix="1" applyFont="1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right"/>
    </xf>
    <xf numFmtId="165" fontId="0" fillId="0" borderId="9" xfId="0" applyNumberFormat="1" applyBorder="1"/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3" fontId="0" fillId="0" borderId="1" xfId="0" applyNumberFormat="1" applyBorder="1" applyAlignment="1">
      <alignment horizontal="right" vertical="center"/>
    </xf>
    <xf numFmtId="9" fontId="8" fillId="0" borderId="1" xfId="3" applyFont="1" applyFill="1" applyBorder="1" applyAlignment="1">
      <alignment horizont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11" xfId="0" applyBorder="1" applyAlignment="1">
      <alignment horizontal="right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211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numFmt numFmtId="166" formatCode="_-&quot;$&quot;\ * #,##0_-;\-&quot;$&quot;\ * #,##0_-;_-&quot;$&quot;\ * &quot;-&quot;??_-;_-@_-"/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numFmt numFmtId="166" formatCode="_-&quot;$&quot;\ * #,##0_-;\-&quot;$&quot;\ * #,##0_-;_-&quot;$&quot;\ * &quot;-&quot;??_-;_-@_-"/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numFmt numFmtId="166" formatCode="_-&quot;$&quot;\ * #,##0_-;\-&quot;$&quot;\ * #,##0_-;_-&quot;$&quot;\ * &quot;-&quot;??_-;_-@_-"/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border>
        <left style="thin">
          <color rgb="FF0F9ED5"/>
        </left>
      </border>
    </dxf>
    <dxf>
      <border>
        <left style="thin">
          <color rgb="FF0F9ED5"/>
        </left>
      </border>
    </dxf>
    <dxf>
      <border>
        <top style="thin">
          <color rgb="FF0F9ED5"/>
        </top>
      </border>
    </dxf>
    <dxf>
      <border>
        <top style="thin">
          <color rgb="FF0F9ED5"/>
        </top>
      </border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F9ED5"/>
        </top>
      </border>
    </dxf>
    <dxf>
      <font>
        <b/>
        <color rgb="FFFFFFFF"/>
      </font>
      <fill>
        <patternFill patternType="solid">
          <fgColor rgb="FF0F9ED5"/>
          <bgColor rgb="FF0F9ED5"/>
        </patternFill>
      </fill>
    </dxf>
    <dxf>
      <font>
        <color rgb="FF000000"/>
      </font>
      <border>
        <left style="thin">
          <color rgb="FF0F9ED5"/>
        </left>
        <right style="thin">
          <color rgb="FF0F9ED5"/>
        </right>
        <top style="thin">
          <color rgb="FF0F9ED5"/>
        </top>
        <bottom style="thin">
          <color rgb="FF0F9ED5"/>
        </bottom>
      </border>
    </dxf>
  </dxfs>
  <tableStyles count="1" defaultTableStyle="TableStyleMedium2" defaultPivotStyle="PivotStyleLight16">
    <tableStyle name="TableStyleLight12 2" pivot="0" count="9" xr9:uid="{977AAFAE-09D4-4B21-83D0-21E23D6C88D5}">
      <tableStyleElement type="wholeTable" dxfId="210"/>
      <tableStyleElement type="headerRow" dxfId="209"/>
      <tableStyleElement type="totalRow" dxfId="208"/>
      <tableStyleElement type="firstColumn" dxfId="207"/>
      <tableStyleElement type="lastColumn" dxfId="206"/>
      <tableStyleElement type="firstRowStripe" dxfId="205"/>
      <tableStyleElement type="secondRowStripe" dxfId="204"/>
      <tableStyleElement type="firstColumnStripe" dxfId="203"/>
      <tableStyleElement type="secondColumnStripe" dxfId="202"/>
    </tableStyle>
  </tableStyles>
  <colors>
    <mruColors>
      <color rgb="FFFC9A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cbfgob.sharepoint.com/sites/icbf-tic-antioquia/Documentos%20compartidos/PARA-COMPARTIR-A-ICBF-CZ-EAS/2025/CONTRATACION%202025/IP004%20LOTE%202%20ADJUDICADAS%20,%20DESIERTAS/DESIERTAS%2021/COSTEO%20INTEGRALES%20IP-004-1.xlsx" TargetMode="External"/><Relationship Id="rId1" Type="http://schemas.openxmlformats.org/officeDocument/2006/relationships/externalLinkPath" Target="/sites/icbf-tic-antioquia/Documentos%20compartidos/PARA-COMPARTIR-A-ICBF-CZ-EAS/2025/CONTRATACION%202025/IP004%20LOTE%202%20ADJUDICADAS%20,%20DESIERTAS/DESIERTAS%2021/COSTEO%20INTEGRALES%20IP-004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steo_Seleccionados_IP004"/>
      <sheetName val="Costeo_Sin Asignacion"/>
      <sheetName val="TD"/>
      <sheetName val="Hoja1"/>
    </sheetNames>
    <sheetDataSet>
      <sheetData sheetId="0" refreshError="1"/>
      <sheetData sheetId="1"/>
      <sheetData sheetId="2" refreshError="1"/>
      <sheetData sheetId="3">
        <row r="1">
          <cell r="A1" t="str">
            <v>ZONA</v>
          </cell>
          <cell r="B1" t="str">
            <v>Consecutivo PACCO</v>
          </cell>
          <cell r="C1" t="str">
            <v>SITCO</v>
          </cell>
          <cell r="D1" t="str">
            <v>CDP</v>
          </cell>
        </row>
        <row r="2">
          <cell r="A2">
            <v>1886</v>
          </cell>
          <cell r="B2">
            <v>15143</v>
          </cell>
          <cell r="C2">
            <v>229951</v>
          </cell>
        </row>
        <row r="3">
          <cell r="A3">
            <v>1887</v>
          </cell>
          <cell r="B3">
            <v>15146</v>
          </cell>
          <cell r="C3">
            <v>228985</v>
          </cell>
          <cell r="D3">
            <v>90725</v>
          </cell>
        </row>
        <row r="4">
          <cell r="A4">
            <v>1890</v>
          </cell>
          <cell r="B4">
            <v>15150</v>
          </cell>
          <cell r="C4">
            <v>228990</v>
          </cell>
          <cell r="D4">
            <v>90625</v>
          </cell>
        </row>
        <row r="5">
          <cell r="A5">
            <v>1895</v>
          </cell>
          <cell r="B5">
            <v>15153</v>
          </cell>
          <cell r="C5">
            <v>228998</v>
          </cell>
          <cell r="D5">
            <v>90825</v>
          </cell>
        </row>
        <row r="6">
          <cell r="A6">
            <v>1901</v>
          </cell>
          <cell r="B6">
            <v>15158</v>
          </cell>
          <cell r="C6">
            <v>229063</v>
          </cell>
          <cell r="D6">
            <v>90925</v>
          </cell>
        </row>
        <row r="7">
          <cell r="A7">
            <v>1904</v>
          </cell>
          <cell r="B7">
            <v>15166</v>
          </cell>
          <cell r="C7">
            <v>229068</v>
          </cell>
          <cell r="D7">
            <v>87225</v>
          </cell>
        </row>
        <row r="8">
          <cell r="A8">
            <v>1888</v>
          </cell>
          <cell r="B8">
            <v>15168</v>
          </cell>
          <cell r="C8">
            <v>228987</v>
          </cell>
          <cell r="D8">
            <v>91025</v>
          </cell>
        </row>
        <row r="9">
          <cell r="A9">
            <v>1892</v>
          </cell>
          <cell r="B9">
            <v>15170</v>
          </cell>
          <cell r="C9">
            <v>228992</v>
          </cell>
          <cell r="D9">
            <v>91125</v>
          </cell>
        </row>
        <row r="10">
          <cell r="A10">
            <v>1908</v>
          </cell>
          <cell r="B10">
            <v>15172</v>
          </cell>
          <cell r="C10">
            <v>229073</v>
          </cell>
          <cell r="D10">
            <v>91225</v>
          </cell>
        </row>
        <row r="11">
          <cell r="A11">
            <v>1896</v>
          </cell>
          <cell r="B11">
            <v>15174</v>
          </cell>
          <cell r="C11">
            <v>229060</v>
          </cell>
          <cell r="D11">
            <v>81925</v>
          </cell>
        </row>
        <row r="12">
          <cell r="A12">
            <v>1902</v>
          </cell>
          <cell r="B12">
            <v>15177</v>
          </cell>
          <cell r="C12">
            <v>229066</v>
          </cell>
          <cell r="D12">
            <v>91325</v>
          </cell>
        </row>
        <row r="13">
          <cell r="A13">
            <v>1889</v>
          </cell>
          <cell r="B13">
            <v>15178</v>
          </cell>
          <cell r="C13">
            <v>228989</v>
          </cell>
          <cell r="D13">
            <v>82025</v>
          </cell>
        </row>
        <row r="14">
          <cell r="A14">
            <v>1905</v>
          </cell>
          <cell r="B14">
            <v>15180</v>
          </cell>
          <cell r="C14">
            <v>229071</v>
          </cell>
          <cell r="D14">
            <v>82125</v>
          </cell>
        </row>
        <row r="15">
          <cell r="A15">
            <v>1909</v>
          </cell>
          <cell r="B15">
            <v>15181</v>
          </cell>
          <cell r="C15">
            <v>229074</v>
          </cell>
          <cell r="D15">
            <v>82225</v>
          </cell>
        </row>
        <row r="16">
          <cell r="A16">
            <v>1893</v>
          </cell>
          <cell r="B16">
            <v>15182</v>
          </cell>
          <cell r="C16">
            <v>228995</v>
          </cell>
          <cell r="D16">
            <v>91425</v>
          </cell>
        </row>
        <row r="17">
          <cell r="A17">
            <v>1915</v>
          </cell>
          <cell r="B17">
            <v>15183</v>
          </cell>
          <cell r="C17">
            <v>229094</v>
          </cell>
          <cell r="D17">
            <v>91525</v>
          </cell>
        </row>
        <row r="18">
          <cell r="A18">
            <v>1900</v>
          </cell>
          <cell r="B18">
            <v>15184</v>
          </cell>
          <cell r="C18">
            <v>229062</v>
          </cell>
          <cell r="D18">
            <v>91625</v>
          </cell>
        </row>
        <row r="19">
          <cell r="A19">
            <v>1920</v>
          </cell>
          <cell r="B19">
            <v>15185</v>
          </cell>
          <cell r="C19">
            <v>229098</v>
          </cell>
          <cell r="D19">
            <v>91725</v>
          </cell>
        </row>
        <row r="20">
          <cell r="A20">
            <v>1930</v>
          </cell>
          <cell r="B20">
            <v>15186</v>
          </cell>
          <cell r="C20">
            <v>229101</v>
          </cell>
          <cell r="D20">
            <v>87625</v>
          </cell>
        </row>
        <row r="21">
          <cell r="A21">
            <v>1913</v>
          </cell>
          <cell r="B21">
            <v>15187</v>
          </cell>
          <cell r="C21">
            <v>229093</v>
          </cell>
          <cell r="D21">
            <v>87425</v>
          </cell>
        </row>
        <row r="22">
          <cell r="A22">
            <v>1903</v>
          </cell>
          <cell r="B22">
            <v>15188</v>
          </cell>
          <cell r="C22">
            <v>229067</v>
          </cell>
          <cell r="D22">
            <v>82325</v>
          </cell>
        </row>
        <row r="23">
          <cell r="A23">
            <v>1934</v>
          </cell>
          <cell r="B23">
            <v>15189</v>
          </cell>
          <cell r="C23">
            <v>229104</v>
          </cell>
          <cell r="D23">
            <v>82425</v>
          </cell>
        </row>
        <row r="24">
          <cell r="A24">
            <v>1919</v>
          </cell>
          <cell r="B24">
            <v>15190</v>
          </cell>
          <cell r="C24">
            <v>229097</v>
          </cell>
          <cell r="D24">
            <v>82525</v>
          </cell>
        </row>
        <row r="25">
          <cell r="A25">
            <v>1938</v>
          </cell>
          <cell r="B25">
            <v>15191</v>
          </cell>
          <cell r="C25">
            <v>229107</v>
          </cell>
          <cell r="D25">
            <v>82625</v>
          </cell>
        </row>
        <row r="26">
          <cell r="A26">
            <v>1907</v>
          </cell>
          <cell r="B26">
            <v>15192</v>
          </cell>
          <cell r="C26">
            <v>229072</v>
          </cell>
          <cell r="D26">
            <v>82725</v>
          </cell>
        </row>
        <row r="27">
          <cell r="A27">
            <v>1929</v>
          </cell>
          <cell r="B27">
            <v>15193</v>
          </cell>
          <cell r="C27">
            <v>229100</v>
          </cell>
          <cell r="D27">
            <v>82825</v>
          </cell>
        </row>
        <row r="28">
          <cell r="A28">
            <v>1942</v>
          </cell>
          <cell r="B28">
            <v>15194</v>
          </cell>
          <cell r="C28">
            <v>229112</v>
          </cell>
          <cell r="D28">
            <v>82925</v>
          </cell>
        </row>
        <row r="29">
          <cell r="A29">
            <v>1910</v>
          </cell>
          <cell r="B29">
            <v>15195</v>
          </cell>
          <cell r="C29">
            <v>229092</v>
          </cell>
          <cell r="D29">
            <v>83025</v>
          </cell>
        </row>
        <row r="30">
          <cell r="A30">
            <v>1933</v>
          </cell>
          <cell r="B30">
            <v>15196</v>
          </cell>
          <cell r="C30">
            <v>229103</v>
          </cell>
          <cell r="D30">
            <v>83125</v>
          </cell>
        </row>
        <row r="31">
          <cell r="A31">
            <v>1937</v>
          </cell>
          <cell r="B31">
            <v>15197</v>
          </cell>
          <cell r="C31">
            <v>229106</v>
          </cell>
          <cell r="D31">
            <v>83225</v>
          </cell>
        </row>
        <row r="32">
          <cell r="A32">
            <v>1951</v>
          </cell>
          <cell r="B32">
            <v>15198</v>
          </cell>
          <cell r="C32">
            <v>229115</v>
          </cell>
          <cell r="D32">
            <v>83325</v>
          </cell>
        </row>
        <row r="33">
          <cell r="A33">
            <v>1916</v>
          </cell>
          <cell r="B33">
            <v>15199</v>
          </cell>
          <cell r="C33">
            <v>229095</v>
          </cell>
          <cell r="D33">
            <v>83425</v>
          </cell>
        </row>
        <row r="34">
          <cell r="A34">
            <v>1940</v>
          </cell>
          <cell r="B34">
            <v>15201</v>
          </cell>
          <cell r="C34">
            <v>229110</v>
          </cell>
          <cell r="D34">
            <v>83525</v>
          </cell>
        </row>
        <row r="35">
          <cell r="A35">
            <v>1954</v>
          </cell>
          <cell r="B35">
            <v>15202</v>
          </cell>
          <cell r="C35">
            <v>229118</v>
          </cell>
          <cell r="D35">
            <v>91825</v>
          </cell>
        </row>
        <row r="36">
          <cell r="A36">
            <v>1960</v>
          </cell>
          <cell r="B36">
            <v>15203</v>
          </cell>
          <cell r="C36">
            <v>229121</v>
          </cell>
          <cell r="D36">
            <v>91925</v>
          </cell>
        </row>
        <row r="37">
          <cell r="A37">
            <v>1926</v>
          </cell>
          <cell r="B37">
            <v>15204</v>
          </cell>
          <cell r="C37">
            <v>229099</v>
          </cell>
          <cell r="D37">
            <v>92025</v>
          </cell>
        </row>
        <row r="38">
          <cell r="A38">
            <v>1964</v>
          </cell>
          <cell r="B38">
            <v>15205</v>
          </cell>
          <cell r="C38">
            <v>229125</v>
          </cell>
          <cell r="D38">
            <v>92125</v>
          </cell>
        </row>
        <row r="39">
          <cell r="A39">
            <v>1969</v>
          </cell>
          <cell r="B39">
            <v>15206</v>
          </cell>
          <cell r="C39">
            <v>229128</v>
          </cell>
          <cell r="D39">
            <v>92225</v>
          </cell>
        </row>
        <row r="40">
          <cell r="A40">
            <v>1949</v>
          </cell>
          <cell r="B40">
            <v>15207</v>
          </cell>
          <cell r="C40">
            <v>229114</v>
          </cell>
          <cell r="D40">
            <v>92525</v>
          </cell>
        </row>
        <row r="41">
          <cell r="A41">
            <v>1931</v>
          </cell>
          <cell r="B41">
            <v>15208</v>
          </cell>
          <cell r="C41">
            <v>229102</v>
          </cell>
          <cell r="D41">
            <v>92425</v>
          </cell>
        </row>
        <row r="42">
          <cell r="A42">
            <v>1976</v>
          </cell>
          <cell r="B42">
            <v>15209</v>
          </cell>
          <cell r="C42">
            <v>229133</v>
          </cell>
          <cell r="D42">
            <v>92325</v>
          </cell>
        </row>
        <row r="43">
          <cell r="A43">
            <v>1936</v>
          </cell>
          <cell r="B43">
            <v>15210</v>
          </cell>
          <cell r="C43">
            <v>229105</v>
          </cell>
          <cell r="D43">
            <v>85925</v>
          </cell>
        </row>
        <row r="44">
          <cell r="A44">
            <v>1953</v>
          </cell>
          <cell r="B44">
            <v>15211</v>
          </cell>
          <cell r="C44">
            <v>229117</v>
          </cell>
          <cell r="D44">
            <v>86025</v>
          </cell>
        </row>
        <row r="45">
          <cell r="A45">
            <v>1980</v>
          </cell>
          <cell r="B45">
            <v>15212</v>
          </cell>
          <cell r="C45">
            <v>229137</v>
          </cell>
          <cell r="D45">
            <v>86125</v>
          </cell>
        </row>
        <row r="46">
          <cell r="A46">
            <v>1984</v>
          </cell>
          <cell r="B46">
            <v>15213</v>
          </cell>
          <cell r="C46">
            <v>229141</v>
          </cell>
          <cell r="D46">
            <v>86225</v>
          </cell>
        </row>
        <row r="47">
          <cell r="A47">
            <v>1959</v>
          </cell>
          <cell r="B47">
            <v>15214</v>
          </cell>
          <cell r="C47">
            <v>229120</v>
          </cell>
          <cell r="D47">
            <v>86325</v>
          </cell>
        </row>
        <row r="48">
          <cell r="A48">
            <v>1939</v>
          </cell>
          <cell r="B48">
            <v>15215</v>
          </cell>
          <cell r="C48">
            <v>229109</v>
          </cell>
          <cell r="D48">
            <v>86425</v>
          </cell>
        </row>
        <row r="49">
          <cell r="A49">
            <v>1962</v>
          </cell>
          <cell r="B49">
            <v>15216</v>
          </cell>
          <cell r="C49">
            <v>229123</v>
          </cell>
          <cell r="D49">
            <v>86525</v>
          </cell>
        </row>
        <row r="50">
          <cell r="A50">
            <v>1988</v>
          </cell>
          <cell r="B50">
            <v>15217</v>
          </cell>
          <cell r="C50">
            <v>229145</v>
          </cell>
          <cell r="D50">
            <v>86625</v>
          </cell>
        </row>
        <row r="51">
          <cell r="A51">
            <v>1944</v>
          </cell>
          <cell r="B51">
            <v>15219</v>
          </cell>
          <cell r="C51">
            <v>229113</v>
          </cell>
          <cell r="D51">
            <v>86725</v>
          </cell>
        </row>
        <row r="52">
          <cell r="A52">
            <v>2000</v>
          </cell>
          <cell r="B52">
            <v>15220</v>
          </cell>
          <cell r="C52">
            <v>229154</v>
          </cell>
          <cell r="D52">
            <v>87325</v>
          </cell>
        </row>
        <row r="53">
          <cell r="A53">
            <v>2005</v>
          </cell>
          <cell r="B53">
            <v>15221</v>
          </cell>
          <cell r="C53">
            <v>229157</v>
          </cell>
          <cell r="D53">
            <v>86825</v>
          </cell>
        </row>
        <row r="54">
          <cell r="A54">
            <v>1952</v>
          </cell>
          <cell r="B54">
            <v>15222</v>
          </cell>
          <cell r="C54">
            <v>229116</v>
          </cell>
          <cell r="D54">
            <v>87525</v>
          </cell>
        </row>
        <row r="55">
          <cell r="A55">
            <v>2009</v>
          </cell>
          <cell r="B55">
            <v>15224</v>
          </cell>
          <cell r="C55">
            <v>229161</v>
          </cell>
          <cell r="D55">
            <v>86925</v>
          </cell>
        </row>
        <row r="56">
          <cell r="A56">
            <v>1956</v>
          </cell>
          <cell r="B56">
            <v>15225</v>
          </cell>
          <cell r="C56">
            <v>229119</v>
          </cell>
          <cell r="D56">
            <v>83625</v>
          </cell>
        </row>
        <row r="57">
          <cell r="A57">
            <v>2016</v>
          </cell>
          <cell r="B57">
            <v>15226</v>
          </cell>
          <cell r="C57">
            <v>229165</v>
          </cell>
          <cell r="D57">
            <v>83725</v>
          </cell>
        </row>
        <row r="58">
          <cell r="A58">
            <v>2027</v>
          </cell>
          <cell r="B58">
            <v>15228</v>
          </cell>
          <cell r="C58">
            <v>229172</v>
          </cell>
          <cell r="D58">
            <v>87025</v>
          </cell>
        </row>
        <row r="59">
          <cell r="A59">
            <v>1961</v>
          </cell>
          <cell r="B59">
            <v>15229</v>
          </cell>
          <cell r="C59">
            <v>229122</v>
          </cell>
          <cell r="D59">
            <v>83825</v>
          </cell>
        </row>
        <row r="60">
          <cell r="A60">
            <v>2030</v>
          </cell>
          <cell r="B60">
            <v>15230</v>
          </cell>
          <cell r="C60">
            <v>229175</v>
          </cell>
          <cell r="D60">
            <v>87125</v>
          </cell>
        </row>
        <row r="61">
          <cell r="A61">
            <v>1966</v>
          </cell>
          <cell r="B61">
            <v>15234</v>
          </cell>
          <cell r="C61">
            <v>229126</v>
          </cell>
          <cell r="D61">
            <v>88025</v>
          </cell>
        </row>
        <row r="62">
          <cell r="A62">
            <v>1970</v>
          </cell>
          <cell r="B62">
            <v>15236</v>
          </cell>
          <cell r="C62">
            <v>229129</v>
          </cell>
          <cell r="D62">
            <v>88125</v>
          </cell>
        </row>
        <row r="63">
          <cell r="A63">
            <v>1967</v>
          </cell>
          <cell r="B63">
            <v>15238</v>
          </cell>
          <cell r="C63">
            <v>229127</v>
          </cell>
          <cell r="D63">
            <v>88225</v>
          </cell>
        </row>
        <row r="64">
          <cell r="A64">
            <v>1977</v>
          </cell>
          <cell r="B64">
            <v>15239</v>
          </cell>
          <cell r="C64">
            <v>229134</v>
          </cell>
          <cell r="D64">
            <v>88325</v>
          </cell>
        </row>
        <row r="65">
          <cell r="A65">
            <v>1972</v>
          </cell>
          <cell r="B65">
            <v>15240</v>
          </cell>
          <cell r="C65">
            <v>229130</v>
          </cell>
          <cell r="D65">
            <v>88425</v>
          </cell>
        </row>
        <row r="66">
          <cell r="A66">
            <v>1981</v>
          </cell>
          <cell r="B66">
            <v>15242</v>
          </cell>
          <cell r="C66">
            <v>229138</v>
          </cell>
          <cell r="D66">
            <v>88525</v>
          </cell>
        </row>
        <row r="67">
          <cell r="A67">
            <v>1979</v>
          </cell>
          <cell r="B67">
            <v>15243</v>
          </cell>
          <cell r="C67">
            <v>229135</v>
          </cell>
          <cell r="D67">
            <v>88625</v>
          </cell>
        </row>
        <row r="68">
          <cell r="A68">
            <v>1985</v>
          </cell>
          <cell r="B68">
            <v>15244</v>
          </cell>
          <cell r="C68">
            <v>229142</v>
          </cell>
          <cell r="D68">
            <v>88725</v>
          </cell>
        </row>
        <row r="69">
          <cell r="A69">
            <v>1982</v>
          </cell>
          <cell r="B69">
            <v>15245</v>
          </cell>
          <cell r="C69">
            <v>229140</v>
          </cell>
          <cell r="D69">
            <v>88825</v>
          </cell>
        </row>
        <row r="70">
          <cell r="A70">
            <v>1996</v>
          </cell>
          <cell r="B70">
            <v>15246</v>
          </cell>
          <cell r="C70">
            <v>229146</v>
          </cell>
          <cell r="D70">
            <v>88925</v>
          </cell>
        </row>
        <row r="71">
          <cell r="A71">
            <v>2001</v>
          </cell>
          <cell r="B71">
            <v>15247</v>
          </cell>
          <cell r="C71">
            <v>229155</v>
          </cell>
          <cell r="D71">
            <v>89025</v>
          </cell>
        </row>
        <row r="72">
          <cell r="A72">
            <v>1987</v>
          </cell>
          <cell r="B72">
            <v>15248</v>
          </cell>
          <cell r="C72">
            <v>229143</v>
          </cell>
          <cell r="D72">
            <v>89125</v>
          </cell>
        </row>
        <row r="73">
          <cell r="A73">
            <v>2006</v>
          </cell>
          <cell r="B73">
            <v>15249</v>
          </cell>
          <cell r="C73">
            <v>229159</v>
          </cell>
          <cell r="D73">
            <v>89225</v>
          </cell>
        </row>
        <row r="74">
          <cell r="A74">
            <v>2014</v>
          </cell>
          <cell r="B74">
            <v>15250</v>
          </cell>
          <cell r="C74">
            <v>229162</v>
          </cell>
          <cell r="D74">
            <v>89325</v>
          </cell>
        </row>
        <row r="75">
          <cell r="A75">
            <v>1998</v>
          </cell>
          <cell r="B75">
            <v>15251</v>
          </cell>
          <cell r="C75">
            <v>229150</v>
          </cell>
          <cell r="D75">
            <v>89425</v>
          </cell>
        </row>
        <row r="76">
          <cell r="A76">
            <v>2024</v>
          </cell>
          <cell r="B76">
            <v>15252</v>
          </cell>
          <cell r="C76">
            <v>229166</v>
          </cell>
          <cell r="D76">
            <v>89525</v>
          </cell>
        </row>
        <row r="77">
          <cell r="A77">
            <v>2003</v>
          </cell>
          <cell r="B77">
            <v>15253</v>
          </cell>
          <cell r="C77">
            <v>229156</v>
          </cell>
          <cell r="D77">
            <v>89625</v>
          </cell>
        </row>
        <row r="78">
          <cell r="A78">
            <v>2028</v>
          </cell>
          <cell r="B78">
            <v>15254</v>
          </cell>
          <cell r="C78">
            <v>229173</v>
          </cell>
          <cell r="D78">
            <v>89725</v>
          </cell>
        </row>
        <row r="79">
          <cell r="A79">
            <v>2007</v>
          </cell>
          <cell r="B79">
            <v>15255</v>
          </cell>
          <cell r="C79">
            <v>229160</v>
          </cell>
          <cell r="D79">
            <v>89825</v>
          </cell>
        </row>
        <row r="80">
          <cell r="A80">
            <v>2031</v>
          </cell>
          <cell r="B80">
            <v>15256</v>
          </cell>
          <cell r="C80">
            <v>229176</v>
          </cell>
          <cell r="D80">
            <v>89925</v>
          </cell>
        </row>
        <row r="81">
          <cell r="A81">
            <v>2015</v>
          </cell>
          <cell r="B81">
            <v>15257</v>
          </cell>
          <cell r="C81">
            <v>229164</v>
          </cell>
          <cell r="D81">
            <v>90025</v>
          </cell>
        </row>
        <row r="82">
          <cell r="A82">
            <v>2025</v>
          </cell>
          <cell r="B82">
            <v>15258</v>
          </cell>
          <cell r="C82">
            <v>229171</v>
          </cell>
          <cell r="D82">
            <v>90125</v>
          </cell>
        </row>
        <row r="83">
          <cell r="A83">
            <v>2029</v>
          </cell>
          <cell r="B83">
            <v>15259</v>
          </cell>
          <cell r="C83">
            <v>229174</v>
          </cell>
          <cell r="D83">
            <v>90225</v>
          </cell>
        </row>
        <row r="84">
          <cell r="A84">
            <v>2034</v>
          </cell>
          <cell r="B84">
            <v>15261</v>
          </cell>
          <cell r="C84">
            <v>229177</v>
          </cell>
          <cell r="D84">
            <v>90325</v>
          </cell>
        </row>
        <row r="85">
          <cell r="A85">
            <v>1917</v>
          </cell>
          <cell r="B85">
            <v>15355</v>
          </cell>
          <cell r="C85">
            <v>229096</v>
          </cell>
          <cell r="D85">
            <v>87725</v>
          </cell>
        </row>
        <row r="86">
          <cell r="A86">
            <v>1994</v>
          </cell>
          <cell r="B86">
            <v>15356</v>
          </cell>
          <cell r="C86">
            <v>229179</v>
          </cell>
          <cell r="D86">
            <v>87825</v>
          </cell>
        </row>
        <row r="87">
          <cell r="A87">
            <v>1997</v>
          </cell>
          <cell r="B87">
            <v>15357</v>
          </cell>
          <cell r="C87">
            <v>229180</v>
          </cell>
          <cell r="D87">
            <v>87925</v>
          </cell>
        </row>
        <row r="88">
          <cell r="A88">
            <v>1897</v>
          </cell>
          <cell r="B88">
            <v>16469</v>
          </cell>
          <cell r="C88">
            <v>229183</v>
          </cell>
          <cell r="D88">
            <v>95625</v>
          </cell>
        </row>
        <row r="89">
          <cell r="A89">
            <v>1925</v>
          </cell>
          <cell r="B89">
            <v>16472</v>
          </cell>
          <cell r="C89">
            <v>229185</v>
          </cell>
          <cell r="D89">
            <v>95525</v>
          </cell>
        </row>
        <row r="90">
          <cell r="A90">
            <v>2013</v>
          </cell>
          <cell r="B90">
            <v>16474</v>
          </cell>
          <cell r="C90">
            <v>229186</v>
          </cell>
          <cell r="D90">
            <v>95425</v>
          </cell>
        </row>
        <row r="91">
          <cell r="A91">
            <v>2026</v>
          </cell>
          <cell r="B91">
            <v>16476</v>
          </cell>
          <cell r="C91">
            <v>229187</v>
          </cell>
          <cell r="D91">
            <v>95725</v>
          </cell>
        </row>
        <row r="92">
          <cell r="A92">
            <v>1894</v>
          </cell>
          <cell r="B92">
            <v>17246</v>
          </cell>
          <cell r="C92">
            <v>229932</v>
          </cell>
          <cell r="D92">
            <v>103825</v>
          </cell>
        </row>
        <row r="93">
          <cell r="A93">
            <v>1918</v>
          </cell>
          <cell r="B93">
            <v>17248</v>
          </cell>
          <cell r="C93">
            <v>229933</v>
          </cell>
          <cell r="D93">
            <v>103925</v>
          </cell>
        </row>
        <row r="94">
          <cell r="A94">
            <v>1922</v>
          </cell>
          <cell r="B94">
            <v>17254</v>
          </cell>
          <cell r="C94">
            <v>229934</v>
          </cell>
          <cell r="D94">
            <v>103725</v>
          </cell>
        </row>
        <row r="95">
          <cell r="A95">
            <v>1924</v>
          </cell>
          <cell r="B95">
            <v>17252</v>
          </cell>
          <cell r="C95">
            <v>229935</v>
          </cell>
          <cell r="D95">
            <v>104125</v>
          </cell>
        </row>
        <row r="96">
          <cell r="A96">
            <v>1950</v>
          </cell>
          <cell r="B96">
            <v>17251</v>
          </cell>
          <cell r="C96">
            <v>229936</v>
          </cell>
          <cell r="D96">
            <v>104025</v>
          </cell>
        </row>
        <row r="97">
          <cell r="A97">
            <v>1963</v>
          </cell>
          <cell r="B97">
            <v>17256</v>
          </cell>
          <cell r="C97">
            <v>229937</v>
          </cell>
          <cell r="D97">
            <v>104525</v>
          </cell>
        </row>
        <row r="98">
          <cell r="A98">
            <v>1978</v>
          </cell>
          <cell r="B98">
            <v>17253</v>
          </cell>
          <cell r="C98">
            <v>229938</v>
          </cell>
          <cell r="D98">
            <v>104225</v>
          </cell>
        </row>
        <row r="99">
          <cell r="A99">
            <v>1992</v>
          </cell>
          <cell r="B99">
            <v>17257</v>
          </cell>
          <cell r="C99">
            <v>229939</v>
          </cell>
          <cell r="D99">
            <v>104325</v>
          </cell>
        </row>
        <row r="100">
          <cell r="A100">
            <v>1993</v>
          </cell>
          <cell r="B100">
            <v>17259</v>
          </cell>
          <cell r="C100">
            <v>229940</v>
          </cell>
          <cell r="D100">
            <v>104625</v>
          </cell>
        </row>
        <row r="101">
          <cell r="A101">
            <v>1995</v>
          </cell>
          <cell r="B101">
            <v>17255</v>
          </cell>
          <cell r="C101">
            <v>229941</v>
          </cell>
          <cell r="D101">
            <v>104425</v>
          </cell>
        </row>
        <row r="102">
          <cell r="A102">
            <v>1999</v>
          </cell>
          <cell r="B102">
            <v>17261</v>
          </cell>
          <cell r="C102">
            <v>229942</v>
          </cell>
          <cell r="D102">
            <v>104825</v>
          </cell>
        </row>
        <row r="103">
          <cell r="A103">
            <v>2008</v>
          </cell>
          <cell r="B103">
            <v>17264</v>
          </cell>
          <cell r="C103">
            <v>229943</v>
          </cell>
          <cell r="D103">
            <v>105025</v>
          </cell>
        </row>
        <row r="104">
          <cell r="A104">
            <v>2017</v>
          </cell>
          <cell r="B104">
            <v>17258</v>
          </cell>
          <cell r="C104">
            <v>229944</v>
          </cell>
          <cell r="D104">
            <v>104725</v>
          </cell>
        </row>
        <row r="105">
          <cell r="A105">
            <v>2019</v>
          </cell>
          <cell r="B105">
            <v>17271</v>
          </cell>
          <cell r="C105">
            <v>229945</v>
          </cell>
          <cell r="D105">
            <v>105125</v>
          </cell>
        </row>
        <row r="106">
          <cell r="A106">
            <v>2022</v>
          </cell>
          <cell r="B106">
            <v>17267</v>
          </cell>
          <cell r="C106">
            <v>229946</v>
          </cell>
          <cell r="D106">
            <v>105325</v>
          </cell>
        </row>
        <row r="107">
          <cell r="A107">
            <v>2023</v>
          </cell>
          <cell r="B107">
            <v>17263</v>
          </cell>
          <cell r="C107">
            <v>229947</v>
          </cell>
          <cell r="D107">
            <v>104925</v>
          </cell>
        </row>
        <row r="108">
          <cell r="A108">
            <v>2032</v>
          </cell>
          <cell r="B108">
            <v>17272</v>
          </cell>
          <cell r="C108">
            <v>229948</v>
          </cell>
          <cell r="D108">
            <v>105525</v>
          </cell>
        </row>
        <row r="109">
          <cell r="A109">
            <v>2033</v>
          </cell>
          <cell r="B109">
            <v>17270</v>
          </cell>
          <cell r="C109">
            <v>229949</v>
          </cell>
          <cell r="D109">
            <v>105425</v>
          </cell>
        </row>
        <row r="110">
          <cell r="A110">
            <v>2630</v>
          </cell>
          <cell r="C110">
            <v>229950</v>
          </cell>
        </row>
        <row r="111">
          <cell r="A111">
            <v>1899</v>
          </cell>
          <cell r="B111">
            <v>17470</v>
          </cell>
          <cell r="C111">
            <v>229952</v>
          </cell>
        </row>
        <row r="112">
          <cell r="A112">
            <v>1914</v>
          </cell>
          <cell r="B112">
            <v>17463</v>
          </cell>
          <cell r="C112">
            <v>229953</v>
          </cell>
        </row>
        <row r="113">
          <cell r="A113">
            <v>1935</v>
          </cell>
          <cell r="B113">
            <v>17466</v>
          </cell>
          <cell r="C113">
            <v>229954</v>
          </cell>
        </row>
        <row r="114">
          <cell r="A114">
            <v>1946</v>
          </cell>
          <cell r="B114">
            <v>17471</v>
          </cell>
          <cell r="C114">
            <v>229955</v>
          </cell>
        </row>
        <row r="115">
          <cell r="A115">
            <v>1947</v>
          </cell>
          <cell r="B115">
            <v>17464</v>
          </cell>
          <cell r="C115">
            <v>229956</v>
          </cell>
        </row>
        <row r="116">
          <cell r="A116">
            <v>1948</v>
          </cell>
          <cell r="B116">
            <v>17467</v>
          </cell>
          <cell r="C116">
            <v>229957</v>
          </cell>
        </row>
        <row r="117">
          <cell r="A117">
            <v>1973</v>
          </cell>
          <cell r="B117">
            <v>17472</v>
          </cell>
          <cell r="C117">
            <v>229958</v>
          </cell>
        </row>
        <row r="118">
          <cell r="A118">
            <v>1974</v>
          </cell>
          <cell r="B118">
            <v>17468</v>
          </cell>
          <cell r="C118">
            <v>229959</v>
          </cell>
        </row>
        <row r="119">
          <cell r="A119">
            <v>2012</v>
          </cell>
          <cell r="B119">
            <v>17469</v>
          </cell>
          <cell r="C119">
            <v>229960</v>
          </cell>
        </row>
        <row r="120">
          <cell r="A120">
            <v>2588</v>
          </cell>
          <cell r="C120">
            <v>229181</v>
          </cell>
        </row>
        <row r="121">
          <cell r="A121">
            <v>2596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ina Giraldo" refreshedDate="45712.670852430558" createdVersion="8" refreshedVersion="8" minRefreshableVersion="3" recordCount="1524" xr:uid="{18251DE7-0E33-4AFB-8BA8-42A719167EDF}">
  <cacheSource type="worksheet">
    <worksheetSource name="Tabla4"/>
  </cacheSource>
  <cacheFields count="61">
    <cacheField name="ZONA DEFINITIVO" numFmtId="0">
      <sharedItems containsSemiMixedTypes="0" containsString="0" containsNumber="1" containsInteger="1" minValue="1886" maxValue="2034" count="101">
        <n v="1886"/>
        <n v="1887"/>
        <n v="1888"/>
        <n v="1889"/>
        <n v="1890"/>
        <n v="1892"/>
        <n v="1893"/>
        <n v="1895"/>
        <n v="1896"/>
        <n v="1897"/>
        <n v="1899"/>
        <n v="1900"/>
        <n v="1901"/>
        <n v="1902"/>
        <n v="1903"/>
        <n v="1904"/>
        <n v="1905"/>
        <n v="1907"/>
        <n v="1908"/>
        <n v="1909"/>
        <n v="1910"/>
        <n v="1913"/>
        <n v="1914"/>
        <n v="1915"/>
        <n v="1916"/>
        <n v="1917"/>
        <n v="1919"/>
        <n v="1920"/>
        <n v="1925"/>
        <n v="1926"/>
        <n v="1929"/>
        <n v="1930"/>
        <n v="1931"/>
        <n v="1933"/>
        <n v="1934"/>
        <n v="1935"/>
        <n v="1936"/>
        <n v="1937"/>
        <n v="1938"/>
        <n v="1939"/>
        <n v="1940"/>
        <n v="1942"/>
        <n v="1943"/>
        <n v="1944"/>
        <n v="1946"/>
        <n v="1947"/>
        <n v="1948"/>
        <n v="1949"/>
        <n v="1951"/>
        <n v="1952"/>
        <n v="1953"/>
        <n v="1954"/>
        <n v="1956"/>
        <n v="1959"/>
        <n v="1960"/>
        <n v="1961"/>
        <n v="1962"/>
        <n v="1964"/>
        <n v="1966"/>
        <n v="1967"/>
        <n v="1969"/>
        <n v="1970"/>
        <n v="1972"/>
        <n v="1973"/>
        <n v="1974"/>
        <n v="1976"/>
        <n v="1977"/>
        <n v="1979"/>
        <n v="1980"/>
        <n v="1981"/>
        <n v="1982"/>
        <n v="1984"/>
        <n v="1985"/>
        <n v="1987"/>
        <n v="1988"/>
        <n v="1994"/>
        <n v="1996"/>
        <n v="1997"/>
        <n v="1998"/>
        <n v="2000"/>
        <n v="2001"/>
        <n v="2003"/>
        <n v="2005"/>
        <n v="2006"/>
        <n v="2007"/>
        <n v="2009"/>
        <n v="2012"/>
        <n v="2013"/>
        <n v="2014"/>
        <n v="2015"/>
        <n v="2016"/>
        <n v="2021"/>
        <n v="2024"/>
        <n v="2025"/>
        <n v="2026"/>
        <n v="2027"/>
        <n v="2028"/>
        <n v="2029"/>
        <n v="2030"/>
        <n v="2031"/>
        <n v="2034"/>
      </sharedItems>
    </cacheField>
    <cacheField name="LOTE PROCESO 2025(ETAPA DEFINITIVOS)" numFmtId="0">
      <sharedItems/>
    </cacheField>
    <cacheField name="CENTRO ZONAL" numFmtId="0">
      <sharedItems count="15">
        <s v="CZ URABA"/>
        <s v="CZ ABURRA NORTE"/>
        <s v="CZ INTEGRAL NOROCCIDENTAL"/>
        <s v="CZ INTEGRAL NORORIENTAL"/>
        <s v="CZ SUROESTE"/>
        <s v="CZ ORIENTE"/>
        <s v="CZ PENDERISCO"/>
        <s v="CZ OCCIDENTE MEDIO"/>
        <s v="CZ MAGDALENA MEDIO"/>
        <s v="CZ ABURRA SUR"/>
        <s v="CZ PORCE NUS"/>
        <s v="CZ BAJO CAUCA"/>
        <s v="CZ ORIENTE MEDIO"/>
        <s v="CZ OCCIDENTE"/>
        <s v="CZ LA MESETA"/>
      </sharedItems>
    </cacheField>
    <cacheField name="MUNICIPIO" numFmtId="0">
      <sharedItems count="75">
        <s v="VIGIA DEL FUERTE "/>
        <s v="COPACABANA "/>
        <s v="MEDELLIN"/>
        <s v="CIUDAD BOLIVAR"/>
        <s v="LA CEJA"/>
        <s v="BETULIA"/>
        <s v="JERICO "/>
        <s v="PUEBLORRICO"/>
        <s v="URRAO"/>
        <s v="FRONTINO "/>
        <s v="APARTADO"/>
        <s v="CARACOLI "/>
        <s v="MACEO"/>
        <s v="PUERTO NARE"/>
        <s v="PEÑOL"/>
        <s v="ABEJORRAL"/>
        <s v="ABRIAQUI"/>
        <s v="CAÑASGORDAS"/>
        <s v="AMAGA"/>
        <s v="AMALFI"/>
        <s v="ANDES"/>
        <s v="ANORI"/>
        <s v="ARBOLETES"/>
        <s v="ARMENIA"/>
        <s v="TITIRIBI "/>
        <s v="BARBOSA"/>
        <s v="CACERES"/>
        <s v="CAICEDO"/>
        <s v="CAREPA "/>
        <s v="CAUCASIA "/>
        <s v="CHIGORODO"/>
        <s v="CISNEROS "/>
        <s v="COCORNA"/>
        <s v="CONCORDIA"/>
        <s v="DABEIBA"/>
        <s v="DONMATIAS"/>
        <s v="EL BAGRE "/>
        <s v="EL SANTUARIO "/>
        <s v="RIONEGRO "/>
        <s v="FREDONIA "/>
        <s v="GIRALDO"/>
        <s v="GIRARDOTA"/>
        <s v="GRANADA"/>
        <s v="GUARNE "/>
        <s v="ITUANGO"/>
        <s v="JARDIN "/>
        <s v="LA ESTRELLA"/>
        <s v="LA UNION "/>
        <s v="MARINILLA"/>
        <s v="MUTATA "/>
        <s v="NARIÑO "/>
        <s v="NECHI"/>
        <s v="NECOCLI"/>
        <s v="PEQUE"/>
        <s v="PUERTO BERRIO"/>
        <s v="PUERTO TRIUNFO "/>
        <s v="REMEDIOS "/>
        <s v="RETIRO "/>
        <s v="SABANETA "/>
        <s v="SALGAR "/>
        <s v="SAN JUAN DE URABA"/>
        <s v="SAN PEDRO"/>
        <s v="SAN PEDRO DE URABA "/>
        <s v="SAN RAFAEL "/>
        <s v="SANTA BARBARA"/>
        <s v="SANTA FE DE ANTIOQUIA"/>
        <s v="SEGOVIA"/>
        <s v="SONSON "/>
        <s v="TARAZA "/>
        <s v="TURBO"/>
        <s v="URAMITA"/>
        <s v="MURINDO"/>
        <s v="YONDO"/>
        <s v="ZARAGOZA "/>
        <s v="BELLO"/>
      </sharedItems>
    </cacheField>
    <cacheField name="SERVICIO 2025" numFmtId="0">
      <sharedItems count="12">
        <s v="EDUCACIÓN INICIAL PROPIA DIARIA - PROPIA E INTERCULTURAL"/>
        <s v="EDUCACIÓN INICIAL EN EL HOGAR A SIN RACION - FAMILIAR Y COMUNITARIA"/>
        <s v="CENTRO DE DESARROLLO INFANTIL A - INSTITUCIONAL"/>
        <s v="HOGAR INFANTIL - INSTITUCIONAL"/>
        <s v="CENTRO DE DESARROLLO INFANTIL CON ARRIENDO - INSTITUCIONAL"/>
        <s v="EDUCACIÓN INICIAL CAMPESINA A SIN RACION - PROPIA E INTERCULTURAL"/>
        <s v="EDUCACIÓN INICIAL EN EL HOGAR A - FAMILIAR Y COMUNITARIA"/>
        <s v="CENTRO DE DESARROLLO INFANTIL A SIN RACION - INSTITUCIONAL"/>
        <s v="EDUCACIÓN INICIAL CAMPESINA B SIN RACION - PROPIA E INTERCULTURAL"/>
        <s v="HOGAR INFANTIL SIN RACION - INSTITUCIONAL"/>
        <s v="EDUCACIÓN INICIAL PROPIA DIARIA SIN RACION - PROPIA E INTERCULTURAL"/>
        <s v="JARDINES INTERCULTURALES DE EDUCACION INICIAL SIN RACION  - PROPIA E INTERCULTURAL"/>
      </sharedItems>
    </cacheField>
    <cacheField name="OBJETO" numFmtId="0">
      <sharedItems count="1" longText="1">
        <s v="PRESTAR LOS SERVICIOS DE EDUCACIÓN INICIAL EN EL MARCO DE LA ATENCIÓN INTEGRAL A LA PRIMERA INFANCIA DE CONFORMIDAD CON LOS MANUALES TÉCNICOS, GUÍAS OPERATIVAS PARA LA ATENCIÓN A LA_x000a_PRIMERA  INFANCIA  Y  LOS  LINEAMIENTOS  ESTABLECIDOS  POR  EL  ICBF,  EN ARMONÍA CON LA POLÍTICA DE ESTADO PARA EL DESARROLLO INTEGRAL DE LA PRIMERA INFANCIA DE “CERO A SIEMPRE"/>
      </sharedItems>
    </cacheField>
    <cacheField name="DIRECCION UDS" numFmtId="0">
      <sharedItems/>
    </cacheField>
    <cacheField name="CÓDIGO UDS" numFmtId="0">
      <sharedItems containsMixedTypes="1" containsNumber="1" containsInteger="1" minValue="50021134958" maxValue="589500119540"/>
    </cacheField>
    <cacheField name="UNIDAD DE SERVICIO (UDS)" numFmtId="0">
      <sharedItems/>
    </cacheField>
    <cacheField name="UDS" numFmtId="0">
      <sharedItems containsSemiMixedTypes="0" containsString="0" containsNumber="1" containsInteger="1" minValue="1" maxValue="1"/>
    </cacheField>
    <cacheField name="TOTAL COBERTURA" numFmtId="0">
      <sharedItems containsSemiMixedTypes="0" containsString="0" containsNumber="1" containsInteger="1" minValue="1" maxValue="415"/>
    </cacheField>
    <cacheField name="DESPLAZADOS" numFmtId="0">
      <sharedItems containsNonDate="0" containsString="0" containsBlank="1"/>
    </cacheField>
    <cacheField name="CONSECUTIVO MATRIZ" numFmtId="0">
      <sharedItems containsSemiMixedTypes="0" containsString="0" containsNumber="1" containsInteger="1" minValue="1886" maxValue="2034"/>
    </cacheField>
    <cacheField name="FORMA DE CONTRATACION" numFmtId="0">
      <sharedItems/>
    </cacheField>
    <cacheField name="SECOP NUMERO DE ZONA" numFmtId="0">
      <sharedItems containsNonDate="0" containsString="0" containsBlank="1"/>
    </cacheField>
    <cacheField name="DE QUIEN ES LA INFRAESTRUCTURA" numFmtId="0">
      <sharedItems containsNonDate="0" containsString="0" containsBlank="1"/>
    </cacheField>
    <cacheField name="RUBRO" numFmtId="0">
      <sharedItems count="1">
        <s v="C-4602-1500-9-704020-4602020-02-161"/>
      </sharedItems>
    </cacheField>
    <cacheField name="RECURSO" numFmtId="0">
      <sharedItems containsSemiMixedTypes="0" containsString="0" containsNumber="1" containsInteger="1" minValue="10" maxValue="10" count="1">
        <n v="10"/>
      </sharedItems>
    </cacheField>
    <cacheField name="NIT" numFmtId="0">
      <sharedItems containsMixedTypes="1" containsNumber="1" containsInteger="1" minValue="900077807" maxValue="900077807" count="63">
        <s v="800068367"/>
        <s v="900194362"/>
        <s v="900155293"/>
        <s v="900325081"/>
        <s v="900216955"/>
        <s v="900911470"/>
        <s v="800178314"/>
        <s v="900389073"/>
        <s v="811014792"/>
        <s v="900140632"/>
        <s v="900978172"/>
        <s v="900208749"/>
        <s v="900612763"/>
        <s v="900090046"/>
        <n v="900077807"/>
        <s v="900077807"/>
        <s v="830508092"/>
        <s v="800075215"/>
        <s v="901009920"/>
        <s v="900009354"/>
        <s v="811021158"/>
        <s v="900937529"/>
        <s v="900429060-1"/>
        <s v="800055768"/>
        <s v="811012167"/>
        <s v="892301084"/>
        <s v="800145148"/>
        <s v="811033687"/>
        <s v="900134013"/>
        <s v="901601055"/>
        <s v="811001810"/>
        <s v="818001449"/>
        <s v="901376433"/>
        <s v="900119880"/>
        <s v="901468048"/>
        <s v="806013417"/>
        <s v="900314623"/>
        <s v="900525875"/>
        <s v="811013275"/>
        <s v="900592778"/>
        <s v="900264963"/>
        <s v="800171406"/>
        <s v="800068515"/>
        <s v="811022174"/>
        <s v="901436211"/>
        <s v="892301844"/>
        <s v="900059551"/>
        <s v="900361649"/>
        <s v="900189464"/>
        <s v="900117027"/>
        <s v="800046522"/>
        <s v="811011180"/>
        <s v="900321584"/>
        <s v="805021199"/>
        <s v="901788315"/>
        <s v="900943875"/>
        <s v="900762018"/>
        <s v="900043315"/>
        <s v="800136782"/>
        <s v="900551843"/>
        <s v="800075887"/>
        <s v="800038470"/>
        <s v="800069125"/>
      </sharedItems>
    </cacheField>
    <cacheField name="NOMBRE EAS" numFmtId="0">
      <sharedItems count="64">
        <s v="ASOCIACION  DE PADRES USUARIOS, OTRAS MODALIDADESDE ATENCION A PRIMERA INFANCIA Y MADRES COMUNITARIAS LA CENTRAL"/>
        <s v="CORPORACION ARCA "/>
        <s v="CORPORACIÓN COMUNIQUÉMONOS"/>
        <s v="CORPORACIÓN COLOMBIA AVANZA"/>
        <s v="CORPORACIÓN SUEÑOS DE FAMILIA INTEGRAL"/>
        <s v="CORPORACIÓN PARA EL DESARROLLO INTEGRAL MANOS LIBRES"/>
        <s v="JUNTA DE ACCION COMUNAL BARRIO VILLA DE GUADALUPE PARTE BAJA"/>
        <s v="FUNDACION OXIGENO"/>
        <s v="JUNTA DE ACCION COMUNAL BARRIO SANTA CECILIA N 2"/>
        <s v="ASOCIACION UNIDOS POR LA INFANCIA-ASUINFANCIA"/>
        <s v="FUN ETNOSALUDAFRO"/>
        <s v="ASOCIACIÓN PADESO CONSTRUYENDO FUTURO "/>
        <s v="FUNDACIÓN AFROVIDA &quot;Calidad de Vida para Todos&quot;"/>
        <s v="ASOCIACION DE PADRES COMUNITARIOS LA VICTORIA"/>
        <s v="CORPORACION FORJADORES DE AMOR"/>
        <s v="ASOCIACION AFRO DESCENDIENTES DE NECOCLI AFRONEC"/>
        <s v="ASOCIACION DE PADRES USUARIOS, OTRAS MODALIDADES DE ATENCION A PRIMERA INFANCIA Y MADRES COMUNITARIAS LOS  LOMEÑITOS DE SANTA BARBARA"/>
        <s v="ASOCIACIÓN DE CABILDOS INDIGENAS DEL RIO DUBASA Y ANCOSO, RESGUARDO CATRU, DUBASA Y_x000a_ANCOSO - ACIRDA"/>
        <s v="AMACOALDI"/>
        <s v="ASOCIACION DE PADRES DE HOGARES DE BIENES BARRIO OBRERO"/>
        <s v="FUNDACION VIDA LUMAR"/>
        <s v="CABILDO MAYOR DEL RESGUARDO CANIME DEL MUNICIPIO DE ARBOLETES ANTIOQUIA"/>
        <s v="ASOCIACION DE PADRES DE HOGARES DE BIENESTAR CAMPANITAS"/>
        <s v="CORPORACION EDUCATIVA ESPARRO"/>
        <s v="ASOCIACION DE  PADRES DE FAMILIA HOGAR INFANTIL LOS CLAVELITOS"/>
        <s v="ASOCIACION DE HOGARES COMUNITARIOS NIÑOS FELICES"/>
        <s v="CORPORACION PROYECTO DE EMPUJE PARA COLABORACION Y AYUDA SOCIAL"/>
        <s v="ASOCIACION DE CAMPESINOS AFROCOLOMBIANOS AGRICULTORES Y PESCADORES DE LA VEREDA EL CHOPA"/>
        <s v="FUNDACIÓN VOCES DE AMOR Y ESPERANZA"/>
        <s v="COOPERATIVA MULTIACTIVA DE MADRES COMUNITARIAS COOMACO"/>
        <s v="CONSEJO COMUNITARIO GENERAL LOS DELFINES"/>
        <s v="FUNDACION EDUCATIVA SOY PAZ"/>
        <s v="CORPORACION MUNDO AZUL"/>
        <s v="ASOCIACION SOLO BIENESTAR"/>
        <s v="CORPORACION PARA EL DESARROLLO ETNOCULTURAL - EDUCAR"/>
        <s v="FUNDACION COLECTIVO COAFRO 16"/>
        <s v="ASOCIACION CAMPESINOS AFRODECENDIENTES DE LA MOJANA"/>
        <s v="CORPORACIÓN EDUCACIÓN SIN FRONTERAS"/>
        <s v="FUNVAPOE"/>
        <s v="CORPORACIO  DE PROFESIONALES ASESORES"/>
        <s v="COOPERATIVA MULTIACTIVA PARA LA EDUCACION INTEGRAL &quot;COOMEI&quot;"/>
        <s v="ASOCIACION DE PADRES USUARIOS, OTRAS MODALIDADES DE ATENCION A PRIMERA INFANCIA Y MADRES COMUNITARIAS &quot;EL CARRUSEL&quot;"/>
        <s v="CORPORACION ESCUELA EMPRESARIAL DE EDUCACION"/>
        <s v="ASOCIACION PRODUCTIVA DEL FUTURO"/>
        <s v="ASOCIACION DE PADRES DE FAMILIA DEL HOGAR INFANTIL  SAN MARTIN"/>
        <s v="CORPORACION SOLUCIONES TECNICAS AGROPECUARIAS Y AMBIENTALES"/>
        <s v="CONSEJO COMUNITARIO DE LAS COMUNIDADES NEGRAS DE LA GRANDE"/>
        <s v="ASOCIACION DE CAMPESINOS AFROCOLOMBIANO DEL CORREGIMIENTO CHOCHO - SUCRE"/>
        <s v="ASOCIACION DE CAMPESINOS AFRO DEL CORREGIMIENTO MAMON - SUCRE"/>
        <s v="Corporación de profesionales asesores"/>
        <s v="ASOCIACION DE PADRES DE FAMILIAS DE LOS NIÑOS USUARIOS DEL HOGAR INFANTIL CARRUSEL"/>
        <s v="ASOCIACIÓN DE PADRES DE  HOGARES DE BIENESTAR &quot;SEMBRANDO FUTURO&quot;"/>
        <s v="RESGUARDO INDIGENA SENU LOS ALMENDROS"/>
        <s v="FUNDACIÓN EL SEMBRADOR &quot; SEMILLA PARA EL FUTURO&quot;"/>
        <s v="RESGUARDO INDIGENA RIO ALTO SAN JUAN"/>
        <s v="FUNDACION COLOMBIANA CON SEGURIDAD ALIMENTARIA Y NUTRICIONAL"/>
        <s v="FUNDACIÓN YOYITOS DE AMOR"/>
        <s v="FUNDACION SOCIAL DE LA COSTA CARIBE"/>
        <s v="ASOCIACIÓN SOCIAL POPULAR"/>
        <s v="FUNDACION DAME TU MANO J.E.P.C."/>
        <s v="ASOCIACIÓN DE PADRES DE HOGARES DE BIENESTAR ESPÍRITU SANTO"/>
        <s v="ASOCIACION DE PADRES DE HOGARES DE BIENESTAR &quot;BIENESTAR Y PROGRESO&quot;"/>
        <s v="ASOCIACION DE PADRES USUARIOS, OTRAS MODALIDADES DE ATENCIÓN A PRIMERA INFANCIA Y MADRES COMUNITARIAS LORETO"/>
        <s v="FUNDACION YOYITOS DE AMOR"/>
      </sharedItems>
    </cacheField>
    <cacheField name="SITCO" numFmtId="0">
      <sharedItems containsMixedTypes="1" containsNumber="1" containsInteger="1" minValue="228985" maxValue="229960"/>
    </cacheField>
    <cacheField name="PACCO" numFmtId="0">
      <sharedItems containsMixedTypes="1" containsNumber="1" containsInteger="1" minValue="15143" maxValue="16476"/>
    </cacheField>
    <cacheField name="CDP" numFmtId="0">
      <sharedItems containsMixedTypes="1" containsNumber="1" containsInteger="1" minValue="0" maxValue="95725"/>
    </cacheField>
    <cacheField name="Suma UDS X Invitación (Auto)" numFmtId="0">
      <sharedItems containsMixedTypes="1" containsNumber="1" containsInteger="1" minValue="1" maxValue="43"/>
    </cacheField>
    <cacheField name="Cupos x Invitacion (Auto)" numFmtId="0">
      <sharedItems containsMixedTypes="1" containsNumber="1" containsInteger="1" minValue="108" maxValue="1067"/>
    </cacheField>
    <cacheField name="OBSERVACIÓN" numFmtId="0">
      <sharedItems containsNonDate="0" containsString="0" containsBlank="1"/>
    </cacheField>
    <cacheField name="VALOR ATENCIÓN (8 MESES)" numFmtId="165">
      <sharedItems containsSemiMixedTypes="0" containsString="0" containsNumber="1" containsInteger="1" minValue="2180193" maxValue="1738372750"/>
    </cacheField>
    <cacheField name="% CONTRAPARTIDA" numFmtId="9">
      <sharedItems containsSemiMixedTypes="0" containsString="0" containsNumber="1" minValue="0.02" maxValue="0.02"/>
    </cacheField>
    <cacheField name="VALOR CONTRAPARTIDA" numFmtId="165">
      <sharedItems containsSemiMixedTypes="0" containsString="0" containsNumber="1" minValue="43603.86" maxValue="34767455"/>
    </cacheField>
    <cacheField name="TASAS COMPENSATORIAS" numFmtId="0">
      <sharedItems containsNonDate="0" containsString="0" containsBlank="1"/>
    </cacheField>
    <cacheField name="AGRUPACIONES" numFmtId="0">
      <sharedItems containsSemiMixedTypes="0" containsString="0" containsNumber="1" containsInteger="1" minValue="1" maxValue="43"/>
    </cacheField>
    <cacheField name="TOTAL APORTES ICBF" numFmtId="165">
      <sharedItems containsSemiMixedTypes="0" containsString="0" containsNumber="1" containsInteger="1" minValue="2180193" maxValue="1738372750"/>
    </cacheField>
    <cacheField name="TOTAL CONTRATO (ICBF+EAS)" numFmtId="165">
      <sharedItems containsSemiMixedTypes="0" containsString="0" containsNumber="1" minValue="2223796.86" maxValue="1773140205"/>
    </cacheField>
    <cacheField name="TOTAL APORTES ICBF AGRUPADO" numFmtId="43">
      <sharedItems containsMixedTypes="1" containsNumber="1" containsInteger="1" minValue="282590730" maxValue="4037008112"/>
    </cacheField>
    <cacheField name="TOTAL CONTRAPARTIDA AGRUPADO" numFmtId="165">
      <sharedItems containsString="0" containsBlank="1" containsNumber="1" containsInteger="1" minValue="5651815" maxValue="80740162"/>
    </cacheField>
    <cacheField name="VALOR TOTAL CONTRATO AGRUPADO" numFmtId="165">
      <sharedItems containsString="0" containsBlank="1" containsNumber="1" containsInteger="1" minValue="288242545" maxValue="4117748274"/>
    </cacheField>
    <cacheField name="SMMLV" numFmtId="165">
      <sharedItems containsString="0" containsBlank="1" containsNumber="1" minValue="198.51825079030559" maxValue="2835.9733839128908"/>
    </cacheField>
    <cacheField name="VALOR FASE PREPARATORIA DE ALISTAMIENTO" numFmtId="43">
      <sharedItems containsSemiMixedTypes="0" containsString="0" containsNumber="1" containsInteger="1" minValue="49376" maxValue="36579345"/>
    </cacheField>
    <cacheField name="VALOR FASE PREPARATORIA DE CIERRE" numFmtId="43">
      <sharedItems containsSemiMixedTypes="0" containsString="0" containsNumber="1" containsInteger="1" minValue="41029" maxValue="31142845"/>
    </cacheField>
    <cacheField name="DOTACIÓN ÚNICA" numFmtId="43">
      <sharedItems containsSemiMixedTypes="0" containsString="0" containsNumber="1" containsInteger="1" minValue="0" maxValue="7624200"/>
    </cacheField>
    <cacheField name="VALOR ATENCIÓN" numFmtId="43">
      <sharedItems containsSemiMixedTypes="0" containsString="0" containsNumber="1" containsInteger="1" minValue="2060688" maxValue="1670650560"/>
    </cacheField>
    <cacheField name="VALOR RACION PREPARADA" numFmtId="43">
      <sharedItems containsNonDate="0" containsString="0" containsBlank="1"/>
    </cacheField>
    <cacheField name="VALOR TOTAL" numFmtId="43">
      <sharedItems containsSemiMixedTypes="0" containsString="0" containsNumber="1" containsInteger="1" minValue="2180193" maxValue="1738372750"/>
    </cacheField>
    <cacheField name="TOTAL AGRUPADO" numFmtId="43">
      <sharedItems containsMixedTypes="1" containsNumber="1" containsInteger="1" minValue="282590730" maxValue="4037008112"/>
    </cacheField>
    <cacheField name="DESEMBOLSO 1" numFmtId="43">
      <sharedItems containsSemiMixedTypes="0" containsString="0" containsNumber="1" containsInteger="1" minValue="336062" maxValue="245410665"/>
    </cacheField>
    <cacheField name="DESEMBOLSO 2" numFmtId="43">
      <sharedItems containsSemiMixedTypes="0" containsString="0" containsNumber="1" containsInteger="1" minValue="257586" maxValue="208831320"/>
    </cacheField>
    <cacheField name="DESEMBOLSO 3" numFmtId="43">
      <sharedItems containsSemiMixedTypes="0" containsString="0" containsNumber="1" containsInteger="1" minValue="257586" maxValue="208831320"/>
    </cacheField>
    <cacheField name="DESEMBOLSO 4" numFmtId="43">
      <sharedItems containsSemiMixedTypes="0" containsString="0" containsNumber="1" containsInteger="1" minValue="257586" maxValue="208831320"/>
    </cacheField>
    <cacheField name="DESEMBOLSO 5" numFmtId="43">
      <sharedItems containsSemiMixedTypes="0" containsString="0" containsNumber="1" containsInteger="1" minValue="257586" maxValue="208831320"/>
    </cacheField>
    <cacheField name="DESEMBOLSO 6" numFmtId="43">
      <sharedItems containsSemiMixedTypes="0" containsString="0" containsNumber="1" containsInteger="1" minValue="257586" maxValue="208831320"/>
    </cacheField>
    <cacheField name="DESEMBOLSO 7" numFmtId="43">
      <sharedItems containsSemiMixedTypes="0" containsString="0" containsNumber="1" containsInteger="1" minValue="257586" maxValue="208831320"/>
    </cacheField>
    <cacheField name="DESEMBOLSO 8" numFmtId="43">
      <sharedItems containsSemiMixedTypes="0" containsString="0" containsNumber="1" containsInteger="1" minValue="298615" maxValue="239974165"/>
    </cacheField>
    <cacheField name="TOTAL DESEMBOLSOS" numFmtId="43">
      <sharedItems containsSemiMixedTypes="0" containsString="0" containsNumber="1" containsInteger="1" minValue="2180193" maxValue="1738372750"/>
    </cacheField>
    <cacheField name="VALOR COMPONENTE ALIMENTACION NO ASIGNADO" numFmtId="43">
      <sharedItems containsSemiMixedTypes="0" containsString="0" containsNumber="1" containsInteger="1" minValue="0" maxValue="484232592"/>
    </cacheField>
    <cacheField name="UDS CON COMPONENTE DE ALIMENTACION EJECUTADO POR EL ICBF" numFmtId="0">
      <sharedItems/>
    </cacheField>
    <cacheField name="VALIDADOR" numFmtId="0">
      <sharedItems/>
    </cacheField>
    <cacheField name="DIFERENCIA" numFmtId="165">
      <sharedItems containsSemiMixedTypes="0" containsString="0" containsNumber="1" containsInteger="1" minValue="0" maxValue="0"/>
    </cacheField>
    <cacheField name="VALIDADOR DESEMBOLSOS" numFmtId="0">
      <sharedItems/>
    </cacheField>
    <cacheField name="DIFERENCIA DESEMBOLSOS" numFmtId="165">
      <sharedItems containsSemiMixedTypes="0" containsString="0" containsNumber="1" containsInteger="1" minValue="0" maxValue="0"/>
    </cacheField>
    <cacheField name="RADICADO" numFmtId="0">
      <sharedItems containsBlank="1" count="4">
        <s v="LIBERADA"/>
        <s v="RADICADAS"/>
        <s v="RADICADAS TATI"/>
        <m/>
      </sharedItems>
    </cacheField>
    <cacheField name="CRUCE MATRIZ" numFmtId="0">
      <sharedItems containsString="0" containsBlank="1" containsNumber="1" containsInteger="1" minValue="1890" maxValue="20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4">
  <r>
    <x v="0"/>
    <s v="LOTE 2"/>
    <x v="0"/>
    <x v="0"/>
    <x v="0"/>
    <x v="0"/>
    <s v="VEREDA LA LOMA Y LA PLAYA"/>
    <n v="58731118918"/>
    <s v="CASA COMUNITARIA ARENAL ALEGRIA"/>
    <n v="1"/>
    <n v="31"/>
    <m/>
    <n v="1886"/>
    <s v="ARTÍCULO 34 CONTRATACIÓN CON EL REGISTRO ÚNICO DE OFERENTES"/>
    <m/>
    <m/>
    <x v="0"/>
    <x v="0"/>
    <x v="0"/>
    <x v="0"/>
    <n v="229951"/>
    <n v="15143"/>
    <n v="0"/>
    <n v="13"/>
    <n v="388"/>
    <m/>
    <n v="118787133"/>
    <n v="0.02"/>
    <n v="2375742.66"/>
    <m/>
    <n v="1"/>
    <n v="118787133"/>
    <n v="121162875.66"/>
    <n v="1486755084"/>
    <n v="29735102"/>
    <n v="1516490186"/>
    <n v="1044.4363076923078"/>
    <n v="2292915"/>
    <n v="1012181"/>
    <n v="902069"/>
    <n v="114579968"/>
    <m/>
    <n v="118787133"/>
    <n v="1486755084"/>
    <n v="17517480"/>
    <n v="14322496"/>
    <n v="14322496"/>
    <n v="14322496"/>
    <n v="14322496"/>
    <n v="14322496"/>
    <n v="14322496"/>
    <n v="15334677"/>
    <n v="118787133"/>
    <n v="0"/>
    <s v="CONTRATO COSTEADO CON ALIMENTACION"/>
    <b v="1"/>
    <n v="0"/>
    <b v="1"/>
    <n v="0"/>
    <x v="0"/>
    <m/>
  </r>
  <r>
    <x v="0"/>
    <s v="LOTE 2"/>
    <x v="0"/>
    <x v="0"/>
    <x v="0"/>
    <x v="0"/>
    <s v="BUCHADO"/>
    <n v="58731118920"/>
    <s v="KIOSCO COMUNITARIO BUCHADO"/>
    <n v="1"/>
    <n v="28"/>
    <m/>
    <n v="1886"/>
    <s v="ARTÍCULO 34 CONTRATACIÓN CON EL REGISTRO ÚNICO DE OFERENTES"/>
    <m/>
    <m/>
    <x v="0"/>
    <x v="0"/>
    <x v="0"/>
    <x v="0"/>
    <n v="229951"/>
    <n v="15143"/>
    <n v="0"/>
    <s v=" "/>
    <s v=" "/>
    <m/>
    <n v="107291604"/>
    <n v="0.02"/>
    <n v="2145832.08"/>
    <m/>
    <n v="2"/>
    <n v="107291604"/>
    <n v="109437436.08"/>
    <s v=" "/>
    <m/>
    <m/>
    <m/>
    <n v="2071020"/>
    <n v="914228"/>
    <n v="814772"/>
    <n v="103491584"/>
    <m/>
    <n v="107291604"/>
    <s v=" "/>
    <n v="15822240"/>
    <n v="12936448"/>
    <n v="12936448"/>
    <n v="12936448"/>
    <n v="12936448"/>
    <n v="12936448"/>
    <n v="12936448"/>
    <n v="13850676"/>
    <n v="107291604"/>
    <n v="0"/>
    <s v="CONTRATO COSTEADO CON ALIMENTACION"/>
    <b v="1"/>
    <n v="0"/>
    <b v="1"/>
    <n v="0"/>
    <x v="0"/>
    <m/>
  </r>
  <r>
    <x v="0"/>
    <s v="LOTE 2"/>
    <x v="0"/>
    <x v="0"/>
    <x v="0"/>
    <x v="0"/>
    <s v="RIO ARQUIA"/>
    <n v="58731118921"/>
    <s v="ESCUELA RURAL ISLETA"/>
    <n v="1"/>
    <n v="24"/>
    <m/>
    <n v="1886"/>
    <s v="ARTÍCULO 34 CONTRATACIÓN CON EL REGISTRO ÚNICO DE OFERENTES"/>
    <m/>
    <m/>
    <x v="0"/>
    <x v="0"/>
    <x v="0"/>
    <x v="0"/>
    <n v="229951"/>
    <n v="15143"/>
    <n v="0"/>
    <s v=" "/>
    <s v=" "/>
    <m/>
    <n v="91964232"/>
    <n v="0.02"/>
    <n v="1839284.6400000001"/>
    <m/>
    <n v="3"/>
    <n v="91964232"/>
    <n v="93803516.640000001"/>
    <s v=" "/>
    <m/>
    <m/>
    <m/>
    <n v="1775160"/>
    <n v="783624"/>
    <n v="698376"/>
    <n v="88707072"/>
    <m/>
    <n v="91964232"/>
    <s v=" "/>
    <n v="13561920"/>
    <n v="11088384"/>
    <n v="11088384"/>
    <n v="11088384"/>
    <n v="11088384"/>
    <n v="11088384"/>
    <n v="11088384"/>
    <n v="11872008"/>
    <n v="91964232"/>
    <n v="0"/>
    <s v="CONTRATO COSTEADO CON ALIMENTACION"/>
    <b v="1"/>
    <n v="0"/>
    <b v="1"/>
    <n v="0"/>
    <x v="0"/>
    <m/>
  </r>
  <r>
    <x v="0"/>
    <s v="LOTE 2"/>
    <x v="0"/>
    <x v="0"/>
    <x v="0"/>
    <x v="0"/>
    <s v="COMUNIDAD INDIGENA GENGADO"/>
    <n v="58731119948"/>
    <s v="C COMUNAL GENGADÓ"/>
    <n v="1"/>
    <n v="37"/>
    <m/>
    <n v="1886"/>
    <s v="ARTÍCULO 34 CONTRATACIÓN CON EL REGISTRO ÚNICO DE OFERENTES"/>
    <m/>
    <m/>
    <x v="0"/>
    <x v="0"/>
    <x v="0"/>
    <x v="0"/>
    <n v="229951"/>
    <n v="15143"/>
    <n v="0"/>
    <s v=" "/>
    <s v=" "/>
    <m/>
    <n v="141778191"/>
    <n v="0.02"/>
    <n v="2835563.82"/>
    <m/>
    <n v="4"/>
    <n v="141778191"/>
    <n v="144613754.81999999"/>
    <s v=" "/>
    <m/>
    <m/>
    <m/>
    <n v="2736705"/>
    <n v="1208087"/>
    <n v="1076663"/>
    <n v="136756736"/>
    <m/>
    <n v="141778191"/>
    <s v=" "/>
    <n v="20907960"/>
    <n v="17094592"/>
    <n v="17094592"/>
    <n v="17094592"/>
    <n v="17094592"/>
    <n v="17094592"/>
    <n v="17094592"/>
    <n v="18302679"/>
    <n v="141778191"/>
    <n v="0"/>
    <s v="CONTRATO COSTEADO CON ALIMENTACION"/>
    <b v="1"/>
    <n v="0"/>
    <b v="1"/>
    <n v="0"/>
    <x v="0"/>
    <m/>
  </r>
  <r>
    <x v="0"/>
    <s v="LOTE 2"/>
    <x v="0"/>
    <x v="0"/>
    <x v="0"/>
    <x v="0"/>
    <s v="GUAGUANDO"/>
    <n v="58731119950"/>
    <s v="C COMUNAL GUAGUANDÓ"/>
    <n v="1"/>
    <n v="55"/>
    <m/>
    <n v="1886"/>
    <s v="ARTÍCULO 34 CONTRATACIÓN CON EL REGISTRO ÚNICO DE OFERENTES"/>
    <m/>
    <m/>
    <x v="0"/>
    <x v="0"/>
    <x v="0"/>
    <x v="0"/>
    <n v="229951"/>
    <n v="15143"/>
    <n v="0"/>
    <s v=" "/>
    <s v=" "/>
    <m/>
    <n v="210751365"/>
    <n v="0.02"/>
    <n v="4215027.3"/>
    <m/>
    <n v="5"/>
    <n v="210751365"/>
    <n v="214966392.30000001"/>
    <s v=" "/>
    <m/>
    <m/>
    <m/>
    <n v="4068075"/>
    <n v="1795805"/>
    <n v="1600445"/>
    <n v="203287040"/>
    <m/>
    <n v="210751365"/>
    <s v=" "/>
    <n v="31079400"/>
    <n v="25410880"/>
    <n v="25410880"/>
    <n v="25410880"/>
    <n v="25410880"/>
    <n v="25410880"/>
    <n v="25410880"/>
    <n v="27206685"/>
    <n v="210751365"/>
    <n v="0"/>
    <s v="CONTRATO COSTEADO CON ALIMENTACION"/>
    <b v="1"/>
    <n v="0"/>
    <b v="1"/>
    <n v="0"/>
    <x v="0"/>
    <m/>
  </r>
  <r>
    <x v="0"/>
    <s v="LOTE 2"/>
    <x v="0"/>
    <x v="0"/>
    <x v="0"/>
    <x v="0"/>
    <s v="COMUNIDAD INDIGENA JARAPETO"/>
    <n v="58731119951"/>
    <s v="C COMUNAL JARAPETO"/>
    <n v="1"/>
    <n v="48"/>
    <m/>
    <n v="1886"/>
    <s v="ARTÍCULO 34 CONTRATACIÓN CON EL REGISTRO ÚNICO DE OFERENTES"/>
    <m/>
    <m/>
    <x v="0"/>
    <x v="0"/>
    <x v="0"/>
    <x v="0"/>
    <n v="229951"/>
    <n v="15143"/>
    <n v="0"/>
    <s v=" "/>
    <s v=" "/>
    <m/>
    <n v="183928464"/>
    <n v="0.02"/>
    <n v="3678569.2800000003"/>
    <m/>
    <n v="6"/>
    <n v="183928464"/>
    <n v="187607033.28"/>
    <s v=" "/>
    <m/>
    <m/>
    <m/>
    <n v="3550320"/>
    <n v="1567248"/>
    <n v="1396752"/>
    <n v="177414144"/>
    <m/>
    <n v="183928464"/>
    <s v=" "/>
    <n v="27123840"/>
    <n v="22176768"/>
    <n v="22176768"/>
    <n v="22176768"/>
    <n v="22176768"/>
    <n v="22176768"/>
    <n v="22176768"/>
    <n v="23744016"/>
    <n v="183928464"/>
    <n v="0"/>
    <s v="CONTRATO COSTEADO CON ALIMENTACION"/>
    <b v="1"/>
    <n v="0"/>
    <b v="1"/>
    <n v="0"/>
    <x v="0"/>
    <m/>
  </r>
  <r>
    <x v="0"/>
    <s v="LOTE 2"/>
    <x v="0"/>
    <x v="0"/>
    <x v="0"/>
    <x v="0"/>
    <s v="LA PLAYA"/>
    <n v="58731138929"/>
    <s v="CASA COMUNITARIA LA PLAYA"/>
    <n v="1"/>
    <n v="21"/>
    <m/>
    <n v="1886"/>
    <s v="ARTÍCULO 34 CONTRATACIÓN CON EL REGISTRO ÚNICO DE OFERENTES"/>
    <m/>
    <m/>
    <x v="0"/>
    <x v="0"/>
    <x v="0"/>
    <x v="0"/>
    <n v="229951"/>
    <n v="15143"/>
    <n v="0"/>
    <s v=" "/>
    <s v=" "/>
    <m/>
    <n v="80468703"/>
    <n v="0.02"/>
    <n v="1609374.06"/>
    <m/>
    <n v="7"/>
    <n v="80468703"/>
    <n v="82078077.060000002"/>
    <s v=" "/>
    <m/>
    <m/>
    <m/>
    <n v="1553265"/>
    <n v="685671"/>
    <n v="611079"/>
    <n v="77618688"/>
    <m/>
    <n v="80468703"/>
    <s v=" "/>
    <n v="11866680"/>
    <n v="9702336"/>
    <n v="9702336"/>
    <n v="9702336"/>
    <n v="9702336"/>
    <n v="9702336"/>
    <n v="9702336"/>
    <n v="10388007"/>
    <n v="80468703"/>
    <n v="0"/>
    <s v="CONTRATO COSTEADO CON ALIMENTACION"/>
    <b v="1"/>
    <n v="0"/>
    <b v="1"/>
    <n v="0"/>
    <x v="0"/>
    <m/>
  </r>
  <r>
    <x v="0"/>
    <s v="LOTE 2"/>
    <x v="0"/>
    <x v="0"/>
    <x v="0"/>
    <x v="0"/>
    <s v="LOMA MURRI"/>
    <n v="58731138932"/>
    <s v="ESCUELA RURAL LOMA MURRI"/>
    <n v="1"/>
    <n v="22"/>
    <m/>
    <n v="1886"/>
    <s v="ARTÍCULO 34 CONTRATACIÓN CON EL REGISTRO ÚNICO DE OFERENTES"/>
    <m/>
    <m/>
    <x v="0"/>
    <x v="0"/>
    <x v="0"/>
    <x v="0"/>
    <n v="229951"/>
    <n v="15143"/>
    <n v="0"/>
    <s v=" "/>
    <s v=" "/>
    <m/>
    <n v="84300546"/>
    <n v="0.02"/>
    <n v="1686010.92"/>
    <m/>
    <n v="8"/>
    <n v="84300546"/>
    <n v="85986556.920000002"/>
    <s v=" "/>
    <m/>
    <m/>
    <m/>
    <n v="1627230"/>
    <n v="718322"/>
    <n v="640178"/>
    <n v="81314816"/>
    <m/>
    <n v="84300546"/>
    <s v=" "/>
    <n v="12431760"/>
    <n v="10164352"/>
    <n v="10164352"/>
    <n v="10164352"/>
    <n v="10164352"/>
    <n v="10164352"/>
    <n v="10164352"/>
    <n v="10882674"/>
    <n v="84300546"/>
    <n v="0"/>
    <s v="CONTRATO COSTEADO CON ALIMENTACION"/>
    <b v="1"/>
    <n v="0"/>
    <b v="1"/>
    <n v="0"/>
    <x v="0"/>
    <m/>
  </r>
  <r>
    <x v="0"/>
    <s v="LOTE 2"/>
    <x v="0"/>
    <x v="0"/>
    <x v="0"/>
    <x v="0"/>
    <s v="VEREDA SAN ALEJANDRO"/>
    <n v="58731138935"/>
    <s v="C COMUNAL SAN ALEJANDRO"/>
    <n v="1"/>
    <n v="20"/>
    <m/>
    <n v="1886"/>
    <s v="ARTÍCULO 34 CONTRATACIÓN CON EL REGISTRO ÚNICO DE OFERENTES"/>
    <m/>
    <m/>
    <x v="0"/>
    <x v="0"/>
    <x v="0"/>
    <x v="0"/>
    <n v="229951"/>
    <n v="15143"/>
    <n v="0"/>
    <s v=" "/>
    <s v=" "/>
    <m/>
    <n v="76636860"/>
    <n v="0.02"/>
    <n v="1532737.2"/>
    <m/>
    <n v="9"/>
    <n v="76636860"/>
    <n v="78169597.200000003"/>
    <s v=" "/>
    <m/>
    <m/>
    <m/>
    <n v="1479300"/>
    <n v="653020"/>
    <n v="581980"/>
    <n v="73922560"/>
    <m/>
    <n v="76636860"/>
    <s v=" "/>
    <n v="11301600"/>
    <n v="9240320"/>
    <n v="9240320"/>
    <n v="9240320"/>
    <n v="9240320"/>
    <n v="9240320"/>
    <n v="9240320"/>
    <n v="9893340"/>
    <n v="76636860"/>
    <n v="0"/>
    <s v="CONTRATO COSTEADO CON ALIMENTACION"/>
    <b v="1"/>
    <n v="0"/>
    <b v="1"/>
    <n v="0"/>
    <x v="0"/>
    <m/>
  </r>
  <r>
    <x v="0"/>
    <s v="LOTE 2"/>
    <x v="0"/>
    <x v="0"/>
    <x v="0"/>
    <x v="0"/>
    <s v="SAN MIGUEL"/>
    <n v="58731138937"/>
    <s v="CASA COMUNITARIA SAN MIGUEL"/>
    <n v="1"/>
    <n v="19"/>
    <m/>
    <n v="1886"/>
    <s v="ARTÍCULO 34 CONTRATACIÓN CON EL REGISTRO ÚNICO DE OFERENTES"/>
    <m/>
    <m/>
    <x v="0"/>
    <x v="0"/>
    <x v="0"/>
    <x v="0"/>
    <n v="229951"/>
    <n v="15143"/>
    <n v="0"/>
    <s v=" "/>
    <s v=" "/>
    <m/>
    <n v="72805017"/>
    <n v="0.02"/>
    <n v="1456100.34"/>
    <m/>
    <n v="10"/>
    <n v="72805017"/>
    <n v="74261117.340000004"/>
    <s v=" "/>
    <m/>
    <m/>
    <m/>
    <n v="1405335"/>
    <n v="620369"/>
    <n v="552881"/>
    <n v="70226432"/>
    <m/>
    <n v="72805017"/>
    <s v=" "/>
    <n v="10736520"/>
    <n v="8778304"/>
    <n v="8778304"/>
    <n v="8778304"/>
    <n v="8778304"/>
    <n v="8778304"/>
    <n v="8778304"/>
    <n v="9398673"/>
    <n v="72805017"/>
    <n v="0"/>
    <s v="CONTRATO COSTEADO CON ALIMENTACION"/>
    <b v="1"/>
    <n v="0"/>
    <b v="1"/>
    <n v="0"/>
    <x v="0"/>
    <m/>
  </r>
  <r>
    <x v="0"/>
    <s v="LOTE 2"/>
    <x v="0"/>
    <x v="0"/>
    <x v="0"/>
    <x v="0"/>
    <s v="VEGAEZ"/>
    <n v="58731139139"/>
    <s v="CASA COMUNAL VEGAEZ"/>
    <n v="1"/>
    <n v="30"/>
    <m/>
    <n v="1886"/>
    <s v="ARTÍCULO 34 CONTRATACIÓN CON EL REGISTRO ÚNICO DE OFERENTES"/>
    <m/>
    <m/>
    <x v="0"/>
    <x v="0"/>
    <x v="0"/>
    <x v="0"/>
    <n v="229951"/>
    <n v="15143"/>
    <n v="0"/>
    <s v=" "/>
    <s v=" "/>
    <m/>
    <n v="114955290"/>
    <n v="0.02"/>
    <n v="2299105.8000000003"/>
    <m/>
    <n v="11"/>
    <n v="114955290"/>
    <n v="117254395.8"/>
    <s v=" "/>
    <m/>
    <m/>
    <m/>
    <n v="2218950"/>
    <n v="979530"/>
    <n v="872970"/>
    <n v="110883840"/>
    <m/>
    <n v="114955290"/>
    <s v=" "/>
    <n v="16952400"/>
    <n v="13860480"/>
    <n v="13860480"/>
    <n v="13860480"/>
    <n v="13860480"/>
    <n v="13860480"/>
    <n v="13860480"/>
    <n v="14840010"/>
    <n v="114955290"/>
    <n v="0"/>
    <s v="CONTRATO COSTEADO CON ALIMENTACION"/>
    <b v="1"/>
    <n v="0"/>
    <b v="1"/>
    <n v="0"/>
    <x v="0"/>
    <m/>
  </r>
  <r>
    <x v="0"/>
    <s v="LOTE 2"/>
    <x v="0"/>
    <x v="0"/>
    <x v="0"/>
    <x v="0"/>
    <s v="PARACUCUNDO"/>
    <n v="58731150107"/>
    <s v="CASA COMUNAL PARACUCUNDO"/>
    <n v="1"/>
    <n v="19"/>
    <m/>
    <n v="1886"/>
    <s v="ARTÍCULO 34 CONTRATACIÓN CON EL REGISTRO ÚNICO DE OFERENTES"/>
    <m/>
    <m/>
    <x v="0"/>
    <x v="0"/>
    <x v="0"/>
    <x v="0"/>
    <n v="229951"/>
    <n v="15143"/>
    <n v="0"/>
    <s v=" "/>
    <s v=" "/>
    <m/>
    <n v="72805017"/>
    <n v="0.02"/>
    <n v="1456100.34"/>
    <m/>
    <n v="12"/>
    <n v="72805017"/>
    <n v="74261117.340000004"/>
    <s v=" "/>
    <m/>
    <m/>
    <m/>
    <n v="1405335"/>
    <n v="620369"/>
    <n v="552881"/>
    <n v="70226432"/>
    <m/>
    <n v="72805017"/>
    <s v=" "/>
    <n v="10736520"/>
    <n v="8778304"/>
    <n v="8778304"/>
    <n v="8778304"/>
    <n v="8778304"/>
    <n v="8778304"/>
    <n v="8778304"/>
    <n v="9398673"/>
    <n v="72805017"/>
    <n v="0"/>
    <s v="CONTRATO COSTEADO CON ALIMENTACION"/>
    <b v="1"/>
    <n v="0"/>
    <b v="1"/>
    <n v="0"/>
    <x v="0"/>
    <m/>
  </r>
  <r>
    <x v="0"/>
    <s v="LOTE 2"/>
    <x v="0"/>
    <x v="0"/>
    <x v="0"/>
    <x v="0"/>
    <s v="SALADO"/>
    <s v="587300112892"/>
    <s v="C COMUNAL EL SALADO"/>
    <n v="1"/>
    <n v="34"/>
    <m/>
    <n v="1886"/>
    <s v="ARTÍCULO 34 CONTRATACIÓN CON EL REGISTRO ÚNICO DE OFERENTES"/>
    <m/>
    <m/>
    <x v="0"/>
    <x v="0"/>
    <x v="0"/>
    <x v="0"/>
    <n v="229951"/>
    <n v="15143"/>
    <n v="0"/>
    <s v=" "/>
    <s v=" "/>
    <m/>
    <n v="130282662"/>
    <n v="0.02"/>
    <n v="2605653.2400000002"/>
    <m/>
    <n v="13"/>
    <n v="130282662"/>
    <n v="132888315.23999999"/>
    <s v=" "/>
    <m/>
    <m/>
    <m/>
    <n v="2514810"/>
    <n v="1110134"/>
    <n v="989366"/>
    <n v="125668352"/>
    <m/>
    <n v="130282662"/>
    <s v=" "/>
    <n v="19212720"/>
    <n v="15708544"/>
    <n v="15708544"/>
    <n v="15708544"/>
    <n v="15708544"/>
    <n v="15708544"/>
    <n v="15708544"/>
    <n v="16818678"/>
    <n v="130282662"/>
    <n v="0"/>
    <s v="CONTRATO COSTEADO CON ALIMENTACION"/>
    <b v="1"/>
    <n v="0"/>
    <b v="1"/>
    <n v="0"/>
    <x v="0"/>
    <m/>
  </r>
  <r>
    <x v="1"/>
    <s v="LOTE 2"/>
    <x v="1"/>
    <x v="1"/>
    <x v="1"/>
    <x v="0"/>
    <s v="VEREDA CABUYAL"/>
    <n v="52121119066"/>
    <s v="C COMUNAL CABUYAL"/>
    <n v="1"/>
    <n v="15"/>
    <m/>
    <n v="1887"/>
    <s v="ARTÍCULO 34 CONTRATACIÓN CON EL REGISTRO ÚNICO DE OFERENTES"/>
    <m/>
    <m/>
    <x v="0"/>
    <x v="0"/>
    <x v="1"/>
    <x v="1"/>
    <n v="228985"/>
    <n v="15146"/>
    <n v="90725"/>
    <n v="18"/>
    <n v="693"/>
    <m/>
    <n v="22789575"/>
    <n v="0.02"/>
    <n v="455791.5"/>
    <m/>
    <n v="1"/>
    <n v="22789575"/>
    <n v="23245366.5"/>
    <n v="1864420045"/>
    <n v="37288401"/>
    <n v="1901708446"/>
    <n v="1309.743621355813"/>
    <n v="701160"/>
    <n v="567615"/>
    <n v="0"/>
    <n v="21520800"/>
    <m/>
    <n v="22789575"/>
    <n v="1864420045"/>
    <n v="3391260"/>
    <n v="2690100"/>
    <n v="2690100"/>
    <n v="2690100"/>
    <n v="2690100"/>
    <n v="2690100"/>
    <n v="2690100"/>
    <n v="3257715"/>
    <n v="22789575"/>
    <n v="22598520"/>
    <s v="CONTRATACIÓN ALIMENTOS - DPI"/>
    <b v="1"/>
    <n v="0"/>
    <b v="1"/>
    <n v="0"/>
    <x v="1"/>
    <m/>
  </r>
  <r>
    <x v="1"/>
    <s v="LOTE 2"/>
    <x v="1"/>
    <x v="1"/>
    <x v="1"/>
    <x v="0"/>
    <s v="VEREDA ALVARADO"/>
    <n v="52121136513"/>
    <s v="CER VEREDA ALVARADO"/>
    <n v="1"/>
    <n v="20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30386100"/>
    <n v="0.02"/>
    <n v="607722"/>
    <m/>
    <n v="2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ACIÓN ALIMENTOS - DPI"/>
    <b v="1"/>
    <n v="0"/>
    <b v="1"/>
    <n v="0"/>
    <x v="1"/>
    <m/>
  </r>
  <r>
    <x v="1"/>
    <s v="LOTE 2"/>
    <x v="1"/>
    <x v="1"/>
    <x v="1"/>
    <x v="0"/>
    <s v="ESCUELA RURAL QUEBRADA ARRIBA"/>
    <n v="52121136534"/>
    <s v="CER QUEBRADA ARRIBA"/>
    <n v="1"/>
    <n v="15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22789575"/>
    <n v="0.02"/>
    <n v="455791.5"/>
    <m/>
    <n v="3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ACIÓN ALIMENTOS - DPI"/>
    <b v="1"/>
    <n v="0"/>
    <b v="1"/>
    <n v="0"/>
    <x v="1"/>
    <m/>
  </r>
  <r>
    <x v="1"/>
    <s v="LOTE 2"/>
    <x v="1"/>
    <x v="1"/>
    <x v="1"/>
    <x v="0"/>
    <s v="ESCUELA RURAL CARLOS MESA"/>
    <n v="52121144547"/>
    <s v="CER CARLOS MESA AGUADA"/>
    <n v="1"/>
    <n v="20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30386100"/>
    <n v="0.02"/>
    <n v="607722"/>
    <m/>
    <n v="4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ACIÓN ALIMENTOS - DPI"/>
    <b v="1"/>
    <n v="0"/>
    <b v="1"/>
    <n v="0"/>
    <x v="1"/>
    <m/>
  </r>
  <r>
    <x v="1"/>
    <s v="LOTE 2"/>
    <x v="1"/>
    <x v="1"/>
    <x v="1"/>
    <x v="0"/>
    <s v="CASETA COMUNAL ZARZAL CURAZAO"/>
    <n v="52121144553"/>
    <s v="C COMUNAL ZARZAL CURAZAO"/>
    <n v="1"/>
    <n v="20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30386100"/>
    <n v="0.02"/>
    <n v="607722"/>
    <m/>
    <n v="5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ACIÓN ALIMENTOS - DPI"/>
    <b v="1"/>
    <n v="0"/>
    <b v="1"/>
    <n v="0"/>
    <x v="1"/>
    <m/>
  </r>
  <r>
    <x v="1"/>
    <s v="LOTE 2"/>
    <x v="1"/>
    <x v="1"/>
    <x v="1"/>
    <x v="0"/>
    <s v="CASETA COMUNAL LA MARIA"/>
    <n v="52121144566"/>
    <s v="C COMUNAL LA MARIA_COPACABANA"/>
    <n v="1"/>
    <n v="15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22789575"/>
    <n v="0.02"/>
    <n v="455791.5"/>
    <m/>
    <n v="6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ACIÓN ALIMENTOS - DPI"/>
    <b v="1"/>
    <n v="0"/>
    <b v="1"/>
    <n v="0"/>
    <x v="1"/>
    <m/>
  </r>
  <r>
    <x v="1"/>
    <s v="LOTE 2"/>
    <x v="1"/>
    <x v="1"/>
    <x v="1"/>
    <x v="0"/>
    <s v="ESCUELA RURAL JOAQUIN JIMENEZ EL LLANO"/>
    <n v="52121144569"/>
    <s v="CER JOAQUIN JIMENEZ EL LLANO"/>
    <n v="1"/>
    <n v="15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22789575"/>
    <n v="0.02"/>
    <n v="455791.5"/>
    <m/>
    <n v="7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ACIÓN ALIMENTOS - DPI"/>
    <b v="1"/>
    <n v="0"/>
    <b v="1"/>
    <n v="0"/>
    <x v="1"/>
    <m/>
  </r>
  <r>
    <x v="1"/>
    <s v="LOTE 2"/>
    <x v="1"/>
    <x v="1"/>
    <x v="1"/>
    <x v="0"/>
    <s v="VEREDA EL NORAL"/>
    <n v="52121148719"/>
    <s v="TIENDA LA SUBIDITA EL NORAL"/>
    <n v="1"/>
    <n v="20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30386100"/>
    <n v="0.02"/>
    <n v="607722"/>
    <m/>
    <n v="8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ACIÓN ALIMENTOS - DPI"/>
    <b v="1"/>
    <n v="0"/>
    <b v="1"/>
    <n v="0"/>
    <x v="1"/>
    <m/>
  </r>
  <r>
    <x v="1"/>
    <s v="LOTE 2"/>
    <x v="1"/>
    <x v="1"/>
    <x v="1"/>
    <x v="0"/>
    <s v="CL 49 N 26 130"/>
    <n v="52121148724"/>
    <s v="JAC CASA AMBIENTAL COMUNITARIA Y SOCIAL"/>
    <n v="1"/>
    <n v="16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24308880"/>
    <n v="0.02"/>
    <n v="486177.60000000003"/>
    <m/>
    <n v="9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ACIÓN ALIMENTOS - DPI"/>
    <b v="1"/>
    <n v="0"/>
    <b v="1"/>
    <n v="0"/>
    <x v="1"/>
    <m/>
  </r>
  <r>
    <x v="1"/>
    <s v="LOTE 2"/>
    <x v="1"/>
    <x v="1"/>
    <x v="1"/>
    <x v="0"/>
    <s v="KR 57 47 26 HORIZONTES"/>
    <n v="52121152081"/>
    <s v="JAC HORIZONTES"/>
    <n v="1"/>
    <n v="113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171681465"/>
    <n v="0.02"/>
    <n v="3433629.3000000003"/>
    <m/>
    <n v="10"/>
    <n v="171681465"/>
    <n v="175115094.30000001"/>
    <s v=" "/>
    <m/>
    <m/>
    <m/>
    <n v="5282072"/>
    <n v="4276033"/>
    <n v="0"/>
    <n v="162123360"/>
    <m/>
    <n v="171681465"/>
    <s v=" "/>
    <n v="25547492"/>
    <n v="20265420"/>
    <n v="20265420"/>
    <n v="20265420"/>
    <n v="20265420"/>
    <n v="20265420"/>
    <n v="20265420"/>
    <n v="24541453"/>
    <n v="171681465"/>
    <n v="170242184"/>
    <s v="CONTRATACIÓN ALIMENTOS - DPI"/>
    <b v="1"/>
    <n v="0"/>
    <b v="1"/>
    <n v="0"/>
    <x v="1"/>
    <m/>
  </r>
  <r>
    <x v="1"/>
    <s v="LOTE 2"/>
    <x v="1"/>
    <x v="1"/>
    <x v="1"/>
    <x v="0"/>
    <s v="A MANO DERECHA DE LA CHOZCA"/>
    <n v="52121152146"/>
    <s v="JAC ZARZAL LA LUZ"/>
    <n v="1"/>
    <n v="14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21270270"/>
    <n v="0.02"/>
    <n v="425405.4"/>
    <m/>
    <n v="11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ACIÓN ALIMENTOS - DPI"/>
    <b v="1"/>
    <n v="0"/>
    <b v="1"/>
    <n v="0"/>
    <x v="1"/>
    <m/>
  </r>
  <r>
    <x v="1"/>
    <s v="LOTE 2"/>
    <x v="1"/>
    <x v="1"/>
    <x v="1"/>
    <x v="0"/>
    <s v="VEREDA LA VETA"/>
    <n v="52121152813"/>
    <s v="CAPILLA LA VETA"/>
    <n v="1"/>
    <n v="10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15193050"/>
    <n v="0.02"/>
    <n v="303861"/>
    <m/>
    <n v="12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ACIÓN ALIMENTOS - DPI"/>
    <b v="1"/>
    <n v="0"/>
    <b v="1"/>
    <n v="0"/>
    <x v="1"/>
    <m/>
  </r>
  <r>
    <x v="1"/>
    <s v="LOTE 2"/>
    <x v="1"/>
    <x v="1"/>
    <x v="1"/>
    <x v="0"/>
    <s v="VEREDA EL SALADO"/>
    <n v="52121155788"/>
    <s v="LAZOS DE AMOR"/>
    <n v="1"/>
    <n v="46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69888030"/>
    <n v="0.02"/>
    <n v="1397760.6"/>
    <m/>
    <n v="13"/>
    <n v="69888030"/>
    <n v="71285790.599999994"/>
    <s v=" "/>
    <m/>
    <m/>
    <m/>
    <n v="2150224"/>
    <n v="1740686"/>
    <n v="0"/>
    <n v="65997120"/>
    <m/>
    <n v="69888030"/>
    <s v=" "/>
    <n v="10399864"/>
    <n v="8249640"/>
    <n v="8249640"/>
    <n v="8249640"/>
    <n v="8249640"/>
    <n v="8249640"/>
    <n v="8249640"/>
    <n v="9990326"/>
    <n v="69888030"/>
    <n v="69302128"/>
    <s v="CONTRATACIÓN ALIMENTOS - DPI"/>
    <b v="1"/>
    <n v="0"/>
    <b v="1"/>
    <n v="0"/>
    <x v="1"/>
    <m/>
  </r>
  <r>
    <x v="1"/>
    <s v="LOTE 2"/>
    <x v="1"/>
    <x v="1"/>
    <x v="1"/>
    <x v="0"/>
    <s v="VEREDA LA CRUZ"/>
    <n v="52121155789"/>
    <s v="MUNDO MAGICO "/>
    <n v="1"/>
    <n v="37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56214285"/>
    <n v="0.02"/>
    <n v="1124285.7"/>
    <m/>
    <n v="14"/>
    <n v="56214285"/>
    <n v="57338570.700000003"/>
    <s v=" "/>
    <m/>
    <m/>
    <m/>
    <n v="1729528"/>
    <n v="1400117"/>
    <n v="0"/>
    <n v="53084640"/>
    <m/>
    <n v="56214285"/>
    <s v=" "/>
    <n v="8365108"/>
    <n v="6635580"/>
    <n v="6635580"/>
    <n v="6635580"/>
    <n v="6635580"/>
    <n v="6635580"/>
    <n v="6635580"/>
    <n v="8035697"/>
    <n v="56214285"/>
    <n v="55743016"/>
    <s v="CONTRATACIÓN ALIMENTOS - DPI"/>
    <b v="1"/>
    <n v="0"/>
    <b v="1"/>
    <n v="0"/>
    <x v="1"/>
    <m/>
  </r>
  <r>
    <x v="1"/>
    <s v="LOTE 2"/>
    <x v="1"/>
    <x v="1"/>
    <x v="2"/>
    <x v="0"/>
    <s v="KR 50 A 47 A 33  ESCUELA CAMILO TORRES"/>
    <s v="521200024120"/>
    <s v="SUEÑOS DE COPACABANA"/>
    <n v="1"/>
    <n v="185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774937250"/>
    <n v="0.02"/>
    <n v="15498745"/>
    <m/>
    <n v="15"/>
    <n v="774937250"/>
    <n v="790435995"/>
    <s v=" "/>
    <m/>
    <m/>
    <m/>
    <n v="16306455"/>
    <n v="13882955"/>
    <n v="0"/>
    <n v="744747840"/>
    <m/>
    <n v="774937250"/>
    <s v=" "/>
    <n v="109399935"/>
    <n v="93093480"/>
    <n v="93093480"/>
    <n v="93093480"/>
    <n v="93093480"/>
    <n v="93093480"/>
    <n v="93093480"/>
    <n v="106976435"/>
    <n v="774937250"/>
    <n v="0"/>
    <s v="CONTRATACIÓN ALIMENTOS - DPI"/>
    <b v="1"/>
    <n v="0"/>
    <b v="1"/>
    <n v="0"/>
    <x v="1"/>
    <m/>
  </r>
  <r>
    <x v="1"/>
    <s v="LOTE 2"/>
    <x v="1"/>
    <x v="1"/>
    <x v="2"/>
    <x v="0"/>
    <s v="CL 57 A 59 10 VILLA NUEVA"/>
    <s v="521200024136"/>
    <s v="SOÑADORES"/>
    <n v="1"/>
    <n v="59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247142150"/>
    <n v="0.02"/>
    <n v="4942843"/>
    <m/>
    <n v="16"/>
    <n v="247142150"/>
    <n v="252084993"/>
    <s v=" "/>
    <m/>
    <m/>
    <m/>
    <n v="5200437"/>
    <n v="4427537"/>
    <n v="0"/>
    <n v="237514176"/>
    <m/>
    <n v="247142150"/>
    <s v=" "/>
    <n v="34889709"/>
    <n v="29689272"/>
    <n v="29689272"/>
    <n v="29689272"/>
    <n v="29689272"/>
    <n v="29689272"/>
    <n v="29689272"/>
    <n v="34116809"/>
    <n v="247142150"/>
    <n v="0"/>
    <s v="CONTRATACIÓN ALIMENTOS - DPI"/>
    <b v="1"/>
    <n v="0"/>
    <b v="1"/>
    <n v="0"/>
    <x v="1"/>
    <m/>
  </r>
  <r>
    <x v="1"/>
    <s v="LOTE 2"/>
    <x v="1"/>
    <x v="1"/>
    <x v="2"/>
    <x v="0"/>
    <s v="CRA 87 39 10 BARRIO MACHADO"/>
    <s v="521200024156"/>
    <s v="CAMPANITAS"/>
    <n v="1"/>
    <n v="60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251331000"/>
    <n v="0.02"/>
    <n v="5026620"/>
    <m/>
    <n v="17"/>
    <n v="251331000"/>
    <n v="256357620"/>
    <s v=" "/>
    <m/>
    <m/>
    <m/>
    <n v="5288580"/>
    <n v="4502580"/>
    <n v="0"/>
    <n v="241539840"/>
    <m/>
    <n v="251331000"/>
    <s v=" "/>
    <n v="35481060"/>
    <n v="30192480"/>
    <n v="30192480"/>
    <n v="30192480"/>
    <n v="30192480"/>
    <n v="30192480"/>
    <n v="30192480"/>
    <n v="34695060"/>
    <n v="251331000"/>
    <n v="0"/>
    <s v="CONTRATACIÓN ALIMENTOS - DPI"/>
    <b v="1"/>
    <n v="0"/>
    <b v="1"/>
    <n v="0"/>
    <x v="1"/>
    <m/>
  </r>
  <r>
    <x v="1"/>
    <s v="LOTE 2"/>
    <x v="1"/>
    <x v="1"/>
    <x v="1"/>
    <x v="0"/>
    <s v="PEÑOLCITO"/>
    <s v="521200084963"/>
    <s v="CER PEÑOLCITO"/>
    <n v="1"/>
    <n v="13"/>
    <m/>
    <n v="1887"/>
    <s v="ARTÍCULO 34 CONTRATACIÓN CON EL REGISTRO ÚNICO DE OFERENTES"/>
    <m/>
    <m/>
    <x v="0"/>
    <x v="0"/>
    <x v="1"/>
    <x v="1"/>
    <n v="228985"/>
    <n v="15146"/>
    <n v="90725"/>
    <s v=" "/>
    <s v=" "/>
    <m/>
    <n v="19750965"/>
    <n v="0.02"/>
    <n v="395019.3"/>
    <m/>
    <n v="18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ACIÓN ALIMENTOS - DPI"/>
    <b v="1"/>
    <n v="0"/>
    <b v="1"/>
    <n v="0"/>
    <x v="1"/>
    <m/>
  </r>
  <r>
    <x v="2"/>
    <s v="LOTE 2"/>
    <x v="2"/>
    <x v="2"/>
    <x v="3"/>
    <x v="0"/>
    <s v="KR 63 C 96 A 362"/>
    <s v="500100020315"/>
    <s v="TRICENTENARIO"/>
    <n v="1"/>
    <n v="91"/>
    <m/>
    <n v="1888"/>
    <s v="ARTÍCULO 34 CONTRATACIÓN CON EL REGISTRO ÚNICO DE OFERENTES"/>
    <m/>
    <m/>
    <x v="0"/>
    <x v="0"/>
    <x v="2"/>
    <x v="2"/>
    <n v="228987"/>
    <n v="15168"/>
    <n v="91025"/>
    <n v="6"/>
    <n v="490"/>
    <m/>
    <n v="381185350"/>
    <n v="0.02"/>
    <n v="7623707"/>
    <m/>
    <n v="1"/>
    <n v="381185350"/>
    <n v="388809057"/>
    <n v="2053520364"/>
    <n v="41070407"/>
    <n v="2094590771"/>
    <n v="1442.5854330874604"/>
    <n v="8021013"/>
    <n v="6828913"/>
    <n v="0"/>
    <n v="366335424"/>
    <m/>
    <n v="381185350"/>
    <n v="2053520364"/>
    <n v="53812941"/>
    <n v="45791928"/>
    <n v="45791928"/>
    <n v="45791928"/>
    <n v="45791928"/>
    <n v="45791928"/>
    <n v="45791928"/>
    <n v="52620841"/>
    <n v="381185350"/>
    <n v="0"/>
    <s v="CONTRATO COSTEADO CON ALIMENTACION"/>
    <b v="1"/>
    <n v="0"/>
    <b v="1"/>
    <n v="0"/>
    <x v="1"/>
    <m/>
  </r>
  <r>
    <x v="2"/>
    <s v="LOTE 2"/>
    <x v="2"/>
    <x v="2"/>
    <x v="4"/>
    <x v="0"/>
    <s v="KR 78 103 07"/>
    <s v="500100067267"/>
    <s v="DOCE DE OCTUBRE"/>
    <n v="1"/>
    <n v="7"/>
    <m/>
    <n v="1888"/>
    <s v="ARTÍCULO 34 CONTRATACIÓN CON EL REGISTRO ÚNICO DE OFERENTES"/>
    <m/>
    <m/>
    <x v="0"/>
    <x v="0"/>
    <x v="2"/>
    <x v="2"/>
    <n v="228987"/>
    <n v="15168"/>
    <n v="91025"/>
    <s v=" "/>
    <s v=" "/>
    <m/>
    <n v="30305814"/>
    <n v="0.02"/>
    <n v="606116.28"/>
    <m/>
    <n v="2"/>
    <n v="30305814"/>
    <n v="30911930.280000001"/>
    <s v=" "/>
    <m/>
    <m/>
    <m/>
    <n v="617001"/>
    <n v="525301"/>
    <n v="0"/>
    <n v="29163512"/>
    <m/>
    <n v="30305814"/>
    <s v=" "/>
    <n v="4262440"/>
    <n v="3645439"/>
    <n v="3645439"/>
    <n v="3645439"/>
    <n v="3645439"/>
    <n v="3645439"/>
    <n v="3645439"/>
    <n v="4170740"/>
    <n v="30305814"/>
    <n v="0"/>
    <s v="CONTRATO COSTEADO CON ALIMENTACION"/>
    <b v="1"/>
    <n v="0"/>
    <b v="1"/>
    <n v="0"/>
    <x v="1"/>
    <m/>
  </r>
  <r>
    <x v="2"/>
    <s v="LOTE 2"/>
    <x v="2"/>
    <x v="2"/>
    <x v="3"/>
    <x v="0"/>
    <s v="CL 77 C 88 21 VILLA DE LA CANDELARIA"/>
    <s v="500100075073"/>
    <s v="HOGAR INFANTIL VILLA DE LA CANDELARIA"/>
    <n v="1"/>
    <n v="210"/>
    <m/>
    <n v="1888"/>
    <s v="ARTÍCULO 34 CONTRATACIÓN CON EL REGISTRO ÚNICO DE OFERENTES"/>
    <m/>
    <m/>
    <x v="0"/>
    <x v="0"/>
    <x v="2"/>
    <x v="2"/>
    <n v="228987"/>
    <n v="15168"/>
    <n v="91025"/>
    <s v=" "/>
    <s v=" "/>
    <m/>
    <n v="879658500"/>
    <n v="0.02"/>
    <n v="17593170"/>
    <m/>
    <n v="3"/>
    <n v="879658500"/>
    <n v="897251670"/>
    <s v=" "/>
    <m/>
    <m/>
    <m/>
    <n v="18510030"/>
    <n v="15759030"/>
    <n v="0"/>
    <n v="845389440"/>
    <m/>
    <n v="879658500"/>
    <s v=" "/>
    <n v="124183710"/>
    <n v="105673680"/>
    <n v="105673680"/>
    <n v="105673680"/>
    <n v="105673680"/>
    <n v="105673680"/>
    <n v="105673680"/>
    <n v="121432710"/>
    <n v="879658500"/>
    <n v="0"/>
    <s v="CONTRATO COSTEADO CON ALIMENTACION"/>
    <b v="1"/>
    <n v="0"/>
    <b v="1"/>
    <n v="0"/>
    <x v="1"/>
    <m/>
  </r>
  <r>
    <x v="2"/>
    <s v="LOTE 2"/>
    <x v="2"/>
    <x v="2"/>
    <x v="3"/>
    <x v="0"/>
    <s v="CL 105 A 71 A 83"/>
    <s v="500100080101"/>
    <s v="HOGAR INFANTIL JUAN MATACHIN"/>
    <n v="1"/>
    <n v="87"/>
    <m/>
    <n v="1888"/>
    <s v="ARTÍCULO 34 CONTRATACIÓN CON EL REGISTRO ÚNICO DE OFERENTES"/>
    <m/>
    <m/>
    <x v="0"/>
    <x v="0"/>
    <x v="2"/>
    <x v="2"/>
    <n v="228987"/>
    <n v="15168"/>
    <n v="91025"/>
    <s v=" "/>
    <s v=" "/>
    <m/>
    <n v="364429950"/>
    <n v="0.02"/>
    <n v="7288599"/>
    <m/>
    <n v="4"/>
    <n v="364429950"/>
    <n v="371718549"/>
    <s v=" "/>
    <m/>
    <m/>
    <m/>
    <n v="7668441"/>
    <n v="6528741"/>
    <n v="0"/>
    <n v="350232768"/>
    <m/>
    <n v="364429950"/>
    <s v=" "/>
    <n v="51447537"/>
    <n v="43779096"/>
    <n v="43779096"/>
    <n v="43779096"/>
    <n v="43779096"/>
    <n v="43779096"/>
    <n v="43779096"/>
    <n v="50307837"/>
    <n v="364429950"/>
    <n v="0"/>
    <s v="CONTRATO COSTEADO CON ALIMENTACION"/>
    <b v="1"/>
    <n v="0"/>
    <b v="1"/>
    <n v="0"/>
    <x v="1"/>
    <m/>
  </r>
  <r>
    <x v="2"/>
    <s v="LOTE 2"/>
    <x v="2"/>
    <x v="2"/>
    <x v="3"/>
    <x v="0"/>
    <s v="KR 83 AA 94 A 5"/>
    <s v="500100080502"/>
    <s v="HOGAR INFANTIL GIRASOLES"/>
    <n v="1"/>
    <n v="28"/>
    <m/>
    <n v="1888"/>
    <s v="ARTÍCULO 34 CONTRATACIÓN CON EL REGISTRO ÚNICO DE OFERENTES"/>
    <m/>
    <m/>
    <x v="0"/>
    <x v="0"/>
    <x v="2"/>
    <x v="2"/>
    <n v="228987"/>
    <n v="15168"/>
    <n v="91025"/>
    <s v=" "/>
    <s v=" "/>
    <m/>
    <n v="117287800"/>
    <n v="0.02"/>
    <n v="2345756"/>
    <m/>
    <n v="5"/>
    <n v="117287800"/>
    <n v="119633556"/>
    <s v=" "/>
    <m/>
    <m/>
    <m/>
    <n v="2468004"/>
    <n v="2101204"/>
    <n v="0"/>
    <n v="112718592"/>
    <m/>
    <n v="117287800"/>
    <s v=" "/>
    <n v="16557828"/>
    <n v="14089824"/>
    <n v="14089824"/>
    <n v="14089824"/>
    <n v="14089824"/>
    <n v="14089824"/>
    <n v="14089824"/>
    <n v="16191028"/>
    <n v="117287800"/>
    <n v="0"/>
    <s v="CONTRATO COSTEADO CON ALIMENTACION"/>
    <b v="1"/>
    <n v="0"/>
    <b v="1"/>
    <n v="0"/>
    <x v="1"/>
    <m/>
  </r>
  <r>
    <x v="2"/>
    <s v="LOTE 2"/>
    <x v="2"/>
    <x v="2"/>
    <x v="3"/>
    <x v="0"/>
    <s v="CL 94 AA 82 A 45"/>
    <s v="500100082829"/>
    <s v="HOGAR INFANTIL PAN PRINCIPIANTES "/>
    <n v="1"/>
    <n v="67"/>
    <m/>
    <n v="1888"/>
    <s v="ARTÍCULO 34 CONTRATACIÓN CON EL REGISTRO ÚNICO DE OFERENTES"/>
    <m/>
    <m/>
    <x v="0"/>
    <x v="0"/>
    <x v="2"/>
    <x v="2"/>
    <n v="228987"/>
    <n v="15168"/>
    <n v="91025"/>
    <s v=" "/>
    <s v=" "/>
    <m/>
    <n v="280652950"/>
    <n v="0.02"/>
    <n v="5613059"/>
    <m/>
    <n v="6"/>
    <n v="280652950"/>
    <n v="286266009"/>
    <s v=" "/>
    <m/>
    <m/>
    <m/>
    <n v="5905581"/>
    <n v="5027881"/>
    <n v="0"/>
    <n v="269719488"/>
    <m/>
    <n v="280652950"/>
    <s v=" "/>
    <n v="39620517"/>
    <n v="33714936"/>
    <n v="33714936"/>
    <n v="33714936"/>
    <n v="33714936"/>
    <n v="33714936"/>
    <n v="33714936"/>
    <n v="38742817"/>
    <n v="280652950"/>
    <n v="0"/>
    <s v="CONTRATO COSTEADO CON ALIMENTACION"/>
    <b v="1"/>
    <n v="0"/>
    <b v="1"/>
    <n v="0"/>
    <x v="1"/>
    <m/>
  </r>
  <r>
    <x v="3"/>
    <s v="LOTE 2"/>
    <x v="3"/>
    <x v="2"/>
    <x v="4"/>
    <x v="0"/>
    <s v="CL 78 48 A 38"/>
    <s v="500100018291"/>
    <s v="SOLINA GALLEGO"/>
    <n v="1"/>
    <n v="22"/>
    <m/>
    <n v="1889"/>
    <s v="ARTÍCULO 34 CONTRATACIÓN CON EL REGISTRO ÚNICO DE OFERENTES"/>
    <m/>
    <m/>
    <x v="0"/>
    <x v="0"/>
    <x v="3"/>
    <x v="3"/>
    <n v="228989"/>
    <n v="15178"/>
    <n v="82025"/>
    <n v="13"/>
    <n v="682"/>
    <m/>
    <n v="95246844"/>
    <n v="0.02"/>
    <n v="1904936.8800000001"/>
    <m/>
    <n v="1"/>
    <n v="95246844"/>
    <n v="97151780.879999995"/>
    <n v="2908237732"/>
    <n v="58164755"/>
    <n v="2966402487"/>
    <n v="2043.0191303126098"/>
    <n v="1939146"/>
    <n v="1650946"/>
    <n v="0"/>
    <n v="91656752"/>
    <m/>
    <n v="95246844"/>
    <n v="2908237732"/>
    <n v="13396240"/>
    <n v="11457094"/>
    <n v="11457094"/>
    <n v="11457094"/>
    <n v="11457094"/>
    <n v="11457094"/>
    <n v="11457094"/>
    <n v="13108040"/>
    <n v="95246844"/>
    <n v="0"/>
    <s v="CONTRATO COSTEADO CON ALIMENTACION"/>
    <b v="1"/>
    <n v="0"/>
    <b v="1"/>
    <n v="0"/>
    <x v="1"/>
    <m/>
  </r>
  <r>
    <x v="3"/>
    <s v="LOTE 2"/>
    <x v="3"/>
    <x v="2"/>
    <x v="2"/>
    <x v="0"/>
    <s v="KR 43 85 152"/>
    <s v="500100019984"/>
    <s v="MAMBRU"/>
    <n v="1"/>
    <n v="170"/>
    <m/>
    <n v="1889"/>
    <s v="ARTÍCULO 34 CONTRATACIÓN CON EL REGISTRO ÚNICO DE OFERENTES"/>
    <m/>
    <m/>
    <x v="0"/>
    <x v="0"/>
    <x v="3"/>
    <x v="3"/>
    <n v="228989"/>
    <n v="15178"/>
    <n v="82025"/>
    <s v=" "/>
    <s v=" "/>
    <m/>
    <n v="712104500"/>
    <n v="0.02"/>
    <n v="14242090"/>
    <m/>
    <n v="2"/>
    <n v="712104500"/>
    <n v="726346590"/>
    <s v=" "/>
    <m/>
    <m/>
    <m/>
    <n v="14984310"/>
    <n v="12757310"/>
    <n v="0"/>
    <n v="684362880"/>
    <m/>
    <n v="712104500"/>
    <s v=" "/>
    <n v="100529670"/>
    <n v="85545360"/>
    <n v="85545360"/>
    <n v="85545360"/>
    <n v="85545360"/>
    <n v="85545360"/>
    <n v="85545360"/>
    <n v="98302670"/>
    <n v="712104500"/>
    <n v="0"/>
    <s v="CONTRATO COSTEADO CON ALIMENTACION"/>
    <b v="1"/>
    <n v="0"/>
    <b v="1"/>
    <n v="0"/>
    <x v="1"/>
    <m/>
  </r>
  <r>
    <x v="3"/>
    <s v="LOTE 2"/>
    <x v="3"/>
    <x v="2"/>
    <x v="4"/>
    <x v="0"/>
    <s v="KR 58 85 B 35"/>
    <s v="500100048906"/>
    <s v="BALANCINES"/>
    <n v="1"/>
    <n v="111"/>
    <m/>
    <n v="1889"/>
    <s v="ARTÍCULO 34 CONTRATACIÓN CON EL REGISTRO ÚNICO DE OFERENTES"/>
    <m/>
    <m/>
    <x v="0"/>
    <x v="0"/>
    <x v="3"/>
    <x v="3"/>
    <n v="228989"/>
    <n v="15178"/>
    <n v="82025"/>
    <s v=" "/>
    <s v=" "/>
    <m/>
    <n v="480563622"/>
    <n v="0.02"/>
    <n v="9611272.4399999995"/>
    <m/>
    <n v="3"/>
    <n v="480563622"/>
    <n v="490174894.44"/>
    <s v=" "/>
    <m/>
    <m/>
    <m/>
    <n v="9783873"/>
    <n v="8329773"/>
    <n v="0"/>
    <n v="462449976"/>
    <m/>
    <n v="480563622"/>
    <s v=" "/>
    <n v="67590120"/>
    <n v="57806247"/>
    <n v="57806247"/>
    <n v="57806247"/>
    <n v="57806247"/>
    <n v="57806247"/>
    <n v="57806247"/>
    <n v="66136020"/>
    <n v="480563622"/>
    <n v="0"/>
    <s v="CONTRATO COSTEADO CON ALIMENTACION"/>
    <b v="1"/>
    <n v="0"/>
    <b v="1"/>
    <n v="0"/>
    <x v="1"/>
    <m/>
  </r>
  <r>
    <x v="3"/>
    <s v="LOTE 2"/>
    <x v="3"/>
    <x v="2"/>
    <x v="4"/>
    <x v="0"/>
    <s v="KR 42 B BIS B 120 32"/>
    <s v="500100048923"/>
    <s v="HI BURBUJAS"/>
    <n v="1"/>
    <n v="26"/>
    <m/>
    <n v="1889"/>
    <s v="ARTÍCULO 34 CONTRATACIÓN CON EL REGISTRO ÚNICO DE OFERENTES"/>
    <m/>
    <m/>
    <x v="0"/>
    <x v="0"/>
    <x v="3"/>
    <x v="3"/>
    <n v="228989"/>
    <n v="15178"/>
    <n v="82025"/>
    <s v=" "/>
    <s v=" "/>
    <m/>
    <n v="112564452"/>
    <n v="0.02"/>
    <n v="2251289.04"/>
    <m/>
    <n v="4"/>
    <n v="112564452"/>
    <n v="114815741.04000001"/>
    <s v=" "/>
    <m/>
    <m/>
    <m/>
    <n v="2291718"/>
    <n v="1951118"/>
    <n v="0"/>
    <n v="108321616"/>
    <m/>
    <n v="112564452"/>
    <s v=" "/>
    <n v="15831920"/>
    <n v="13540202"/>
    <n v="13540202"/>
    <n v="13540202"/>
    <n v="13540202"/>
    <n v="13540202"/>
    <n v="13540202"/>
    <n v="15491320"/>
    <n v="112564452"/>
    <n v="0"/>
    <s v="CONTRATO COSTEADO CON ALIMENTACION"/>
    <b v="1"/>
    <n v="0"/>
    <b v="1"/>
    <n v="0"/>
    <x v="1"/>
    <m/>
  </r>
  <r>
    <x v="3"/>
    <s v="LOTE 2"/>
    <x v="3"/>
    <x v="2"/>
    <x v="4"/>
    <x v="0"/>
    <s v="CL 120 48 88"/>
    <s v="500100048948"/>
    <s v="HI CRI CRI "/>
    <n v="1"/>
    <n v="18"/>
    <m/>
    <n v="1889"/>
    <s v="ARTÍCULO 34 CONTRATACIÓN CON EL REGISTRO ÚNICO DE OFERENTES"/>
    <m/>
    <m/>
    <x v="0"/>
    <x v="0"/>
    <x v="3"/>
    <x v="3"/>
    <n v="228989"/>
    <n v="15178"/>
    <n v="82025"/>
    <s v=" "/>
    <s v=" "/>
    <m/>
    <n v="77929236"/>
    <n v="0.02"/>
    <n v="1558584.72"/>
    <m/>
    <n v="5"/>
    <n v="77929236"/>
    <n v="79487820.719999999"/>
    <s v=" "/>
    <m/>
    <m/>
    <m/>
    <n v="1586574"/>
    <n v="1350774"/>
    <n v="0"/>
    <n v="74991888"/>
    <m/>
    <n v="77929236"/>
    <s v=" "/>
    <n v="10960560"/>
    <n v="9373986"/>
    <n v="9373986"/>
    <n v="9373986"/>
    <n v="9373986"/>
    <n v="9373986"/>
    <n v="9373986"/>
    <n v="10724760"/>
    <n v="77929236"/>
    <n v="0"/>
    <s v="CONTRATO COSTEADO CON ALIMENTACION"/>
    <b v="1"/>
    <n v="0"/>
    <b v="1"/>
    <n v="0"/>
    <x v="1"/>
    <m/>
  </r>
  <r>
    <x v="3"/>
    <s v="LOTE 2"/>
    <x v="3"/>
    <x v="2"/>
    <x v="4"/>
    <x v="0"/>
    <s v="KR 39 A 104 30"/>
    <s v="500100048957"/>
    <s v="HI TRAVESURAS"/>
    <n v="1"/>
    <n v="21"/>
    <m/>
    <n v="1889"/>
    <s v="ARTÍCULO 34 CONTRATACIÓN CON EL REGISTRO ÚNICO DE OFERENTES"/>
    <m/>
    <m/>
    <x v="0"/>
    <x v="0"/>
    <x v="3"/>
    <x v="3"/>
    <n v="228989"/>
    <n v="15178"/>
    <n v="82025"/>
    <s v=" "/>
    <s v=" "/>
    <m/>
    <n v="90917442"/>
    <n v="0.02"/>
    <n v="1818348.84"/>
    <m/>
    <n v="6"/>
    <n v="90917442"/>
    <n v="92735790.840000004"/>
    <s v=" "/>
    <m/>
    <m/>
    <m/>
    <n v="1851003"/>
    <n v="1575903"/>
    <n v="0"/>
    <n v="87490536"/>
    <m/>
    <n v="90917442"/>
    <s v=" "/>
    <n v="12787320"/>
    <n v="10936317"/>
    <n v="10936317"/>
    <n v="10936317"/>
    <n v="10936317"/>
    <n v="10936317"/>
    <n v="10936317"/>
    <n v="12512220"/>
    <n v="90917442"/>
    <n v="0"/>
    <s v="CONTRATO COSTEADO CON ALIMENTACION"/>
    <b v="1"/>
    <n v="0"/>
    <b v="1"/>
    <n v="0"/>
    <x v="1"/>
    <m/>
  </r>
  <r>
    <x v="3"/>
    <s v="LOTE 2"/>
    <x v="3"/>
    <x v="2"/>
    <x v="4"/>
    <x v="0"/>
    <s v="KR 43 118 B 79"/>
    <s v="500100048993"/>
    <s v="HOGAR INFANTIL EL BARQUITO"/>
    <n v="1"/>
    <n v="23"/>
    <m/>
    <n v="1889"/>
    <s v="ARTÍCULO 34 CONTRATACIÓN CON EL REGISTRO ÚNICO DE OFERENTES"/>
    <m/>
    <m/>
    <x v="0"/>
    <x v="0"/>
    <x v="3"/>
    <x v="3"/>
    <n v="228989"/>
    <n v="15178"/>
    <n v="82025"/>
    <s v=" "/>
    <s v=" "/>
    <m/>
    <n v="99576246"/>
    <n v="0.02"/>
    <n v="1991524.92"/>
    <m/>
    <n v="7"/>
    <n v="99576246"/>
    <n v="101567770.92"/>
    <s v=" "/>
    <m/>
    <m/>
    <m/>
    <n v="2027289"/>
    <n v="1725989"/>
    <n v="0"/>
    <n v="95822968"/>
    <m/>
    <n v="99576246"/>
    <s v=" "/>
    <n v="14005160"/>
    <n v="11977871"/>
    <n v="11977871"/>
    <n v="11977871"/>
    <n v="11977871"/>
    <n v="11977871"/>
    <n v="11977871"/>
    <n v="13703860"/>
    <n v="99576246"/>
    <n v="0"/>
    <s v="CONTRATO COSTEADO CON ALIMENTACION"/>
    <b v="1"/>
    <n v="0"/>
    <b v="1"/>
    <n v="0"/>
    <x v="1"/>
    <m/>
  </r>
  <r>
    <x v="3"/>
    <s v="LOTE 2"/>
    <x v="3"/>
    <x v="2"/>
    <x v="4"/>
    <x v="0"/>
    <s v="KR 30 111 68"/>
    <s v="500100050435"/>
    <s v="HOGAR INFANTIL CHISPITAS"/>
    <n v="1"/>
    <n v="5"/>
    <m/>
    <n v="1889"/>
    <s v="ARTÍCULO 34 CONTRATACIÓN CON EL REGISTRO ÚNICO DE OFERENTES"/>
    <m/>
    <m/>
    <x v="0"/>
    <x v="0"/>
    <x v="3"/>
    <x v="3"/>
    <n v="228989"/>
    <n v="15178"/>
    <n v="82025"/>
    <s v=" "/>
    <s v=" "/>
    <m/>
    <n v="21647010"/>
    <n v="0.02"/>
    <n v="432940.2"/>
    <m/>
    <n v="8"/>
    <n v="21647010"/>
    <n v="22079950.199999999"/>
    <s v=" "/>
    <m/>
    <m/>
    <m/>
    <n v="440715"/>
    <n v="375215"/>
    <n v="0"/>
    <n v="20831080"/>
    <m/>
    <n v="21647010"/>
    <s v=" "/>
    <n v="3044600"/>
    <n v="2603885"/>
    <n v="2603885"/>
    <n v="2603885"/>
    <n v="2603885"/>
    <n v="2603885"/>
    <n v="2603885"/>
    <n v="2979100"/>
    <n v="21647010"/>
    <n v="0"/>
    <s v="CONTRATO COSTEADO CON ALIMENTACION"/>
    <b v="1"/>
    <n v="0"/>
    <b v="1"/>
    <n v="0"/>
    <x v="1"/>
    <m/>
  </r>
  <r>
    <x v="3"/>
    <s v="LOTE 2"/>
    <x v="3"/>
    <x v="2"/>
    <x v="4"/>
    <x v="0"/>
    <s v="CL 63 A 46 33"/>
    <s v="500100050840"/>
    <s v="HOGAR INFANTIL CAMILO TORRES"/>
    <n v="1"/>
    <n v="57"/>
    <m/>
    <n v="1889"/>
    <s v="ARTÍCULO 34 CONTRATACIÓN CON EL REGISTRO ÚNICO DE OFERENTES"/>
    <m/>
    <m/>
    <x v="0"/>
    <x v="0"/>
    <x v="3"/>
    <x v="3"/>
    <n v="228989"/>
    <n v="15178"/>
    <n v="82025"/>
    <s v=" "/>
    <s v=" "/>
    <m/>
    <n v="246775914"/>
    <n v="0.02"/>
    <n v="4935518.28"/>
    <m/>
    <n v="9"/>
    <n v="246775914"/>
    <n v="251711432.28"/>
    <s v=" "/>
    <m/>
    <m/>
    <m/>
    <n v="5024151"/>
    <n v="4277451"/>
    <n v="0"/>
    <n v="237474312"/>
    <m/>
    <n v="246775914"/>
    <s v=" "/>
    <n v="34708440"/>
    <n v="29684289"/>
    <n v="29684289"/>
    <n v="29684289"/>
    <n v="29684289"/>
    <n v="29684289"/>
    <n v="29684289"/>
    <n v="33961740"/>
    <n v="246775914"/>
    <n v="0"/>
    <s v="CONTRATO COSTEADO CON ALIMENTACION"/>
    <b v="1"/>
    <n v="0"/>
    <b v="1"/>
    <n v="0"/>
    <x v="1"/>
    <m/>
  </r>
  <r>
    <x v="3"/>
    <s v="LOTE 2"/>
    <x v="3"/>
    <x v="2"/>
    <x v="4"/>
    <x v="0"/>
    <s v="KR 48 104 A 05"/>
    <s v="500100050852"/>
    <s v="HOGAR INFANTIL RATONCITO TIN TIN"/>
    <n v="1"/>
    <n v="61"/>
    <m/>
    <n v="1889"/>
    <s v="ARTÍCULO 34 CONTRATACIÓN CON EL REGISTRO ÚNICO DE OFERENTES"/>
    <m/>
    <m/>
    <x v="0"/>
    <x v="0"/>
    <x v="3"/>
    <x v="3"/>
    <n v="228989"/>
    <n v="15178"/>
    <n v="82025"/>
    <s v=" "/>
    <s v=" "/>
    <m/>
    <n v="264093522"/>
    <n v="0.02"/>
    <n v="5281870.4400000004"/>
    <m/>
    <n v="10"/>
    <n v="264093522"/>
    <n v="269375392.44"/>
    <s v=" "/>
    <m/>
    <m/>
    <m/>
    <n v="5376723"/>
    <n v="4577623"/>
    <n v="0"/>
    <n v="254139176"/>
    <m/>
    <n v="264093522"/>
    <s v=" "/>
    <n v="37144120"/>
    <n v="31767397"/>
    <n v="31767397"/>
    <n v="31767397"/>
    <n v="31767397"/>
    <n v="31767397"/>
    <n v="31767397"/>
    <n v="36345020"/>
    <n v="264093522"/>
    <n v="0"/>
    <s v="CONTRATO COSTEADO CON ALIMENTACION"/>
    <b v="1"/>
    <n v="0"/>
    <b v="1"/>
    <n v="0"/>
    <x v="1"/>
    <m/>
  </r>
  <r>
    <x v="3"/>
    <s v="LOTE 2"/>
    <x v="3"/>
    <x v="2"/>
    <x v="2"/>
    <x v="0"/>
    <s v="KR 40 70 86"/>
    <s v="500100051433"/>
    <s v="HOGAR INFANTIL MICHINGOS"/>
    <n v="1"/>
    <n v="104"/>
    <m/>
    <n v="1889"/>
    <s v="ARTÍCULO 34 CONTRATACIÓN CON EL REGISTRO ÚNICO DE OFERENTES"/>
    <m/>
    <m/>
    <x v="0"/>
    <x v="0"/>
    <x v="3"/>
    <x v="3"/>
    <n v="228989"/>
    <n v="15178"/>
    <n v="82025"/>
    <s v=" "/>
    <s v=" "/>
    <m/>
    <n v="435640400"/>
    <n v="0.02"/>
    <n v="8712808"/>
    <m/>
    <n v="11"/>
    <n v="435640400"/>
    <n v="444353208"/>
    <s v=" "/>
    <m/>
    <m/>
    <m/>
    <n v="9166872"/>
    <n v="7804472"/>
    <n v="0"/>
    <n v="418669056"/>
    <m/>
    <n v="435640400"/>
    <s v=" "/>
    <n v="61500504"/>
    <n v="52333632"/>
    <n v="52333632"/>
    <n v="52333632"/>
    <n v="52333632"/>
    <n v="52333632"/>
    <n v="52333632"/>
    <n v="60138104"/>
    <n v="435640400"/>
    <n v="0"/>
    <s v="CONTRATO COSTEADO CON ALIMENTACION"/>
    <b v="1"/>
    <n v="0"/>
    <b v="1"/>
    <n v="0"/>
    <x v="1"/>
    <m/>
  </r>
  <r>
    <x v="3"/>
    <s v="LOTE 2"/>
    <x v="3"/>
    <x v="2"/>
    <x v="2"/>
    <x v="0"/>
    <s v="CL 102 B 32 A 42"/>
    <s v="500100051464"/>
    <s v="HOGAR INFANTIL CARAMELO"/>
    <n v="1"/>
    <n v="42"/>
    <m/>
    <n v="1889"/>
    <s v="ARTÍCULO 34 CONTRATACIÓN CON EL REGISTRO ÚNICO DE OFERENTES"/>
    <m/>
    <m/>
    <x v="0"/>
    <x v="0"/>
    <x v="3"/>
    <x v="3"/>
    <n v="228989"/>
    <n v="15178"/>
    <n v="82025"/>
    <s v=" "/>
    <s v=" "/>
    <m/>
    <n v="175931700"/>
    <n v="0.02"/>
    <n v="3518634"/>
    <m/>
    <n v="12"/>
    <n v="175931700"/>
    <n v="179450334"/>
    <s v=" "/>
    <m/>
    <m/>
    <m/>
    <n v="3702006"/>
    <n v="3151806"/>
    <n v="0"/>
    <n v="169077888"/>
    <m/>
    <n v="175931700"/>
    <s v=" "/>
    <n v="24836742"/>
    <n v="21134736"/>
    <n v="21134736"/>
    <n v="21134736"/>
    <n v="21134736"/>
    <n v="21134736"/>
    <n v="21134736"/>
    <n v="24286542"/>
    <n v="175931700"/>
    <n v="0"/>
    <s v="CONTRATO COSTEADO CON ALIMENTACION"/>
    <b v="1"/>
    <n v="0"/>
    <b v="1"/>
    <n v="0"/>
    <x v="1"/>
    <m/>
  </r>
  <r>
    <x v="3"/>
    <s v="LOTE 2"/>
    <x v="3"/>
    <x v="2"/>
    <x v="4"/>
    <x v="0"/>
    <s v="CL 75 D 30 38"/>
    <s v="500100051494"/>
    <s v="HOGAR INFANTIL RAIZAL"/>
    <n v="1"/>
    <n v="22"/>
    <m/>
    <n v="1889"/>
    <s v="ARTÍCULO 34 CONTRATACIÓN CON EL REGISTRO ÚNICO DE OFERENTES"/>
    <m/>
    <m/>
    <x v="0"/>
    <x v="0"/>
    <x v="3"/>
    <x v="3"/>
    <n v="228989"/>
    <n v="15178"/>
    <n v="82025"/>
    <s v=" "/>
    <s v=" "/>
    <m/>
    <n v="95246844"/>
    <n v="0.02"/>
    <n v="1904936.8800000001"/>
    <m/>
    <n v="13"/>
    <n v="95246844"/>
    <n v="97151780.879999995"/>
    <s v=" "/>
    <m/>
    <m/>
    <m/>
    <n v="1939146"/>
    <n v="1650946"/>
    <n v="0"/>
    <n v="91656752"/>
    <m/>
    <n v="95246844"/>
    <s v=" "/>
    <n v="13396240"/>
    <n v="11457094"/>
    <n v="11457094"/>
    <n v="11457094"/>
    <n v="11457094"/>
    <n v="11457094"/>
    <n v="11457094"/>
    <n v="13108040"/>
    <n v="95246844"/>
    <n v="0"/>
    <s v="CONTRATO COSTEADO CON ALIMENTACION"/>
    <b v="1"/>
    <n v="0"/>
    <b v="1"/>
    <n v="0"/>
    <x v="1"/>
    <m/>
  </r>
  <r>
    <x v="4"/>
    <s v="LOTE 2"/>
    <x v="4"/>
    <x v="3"/>
    <x v="1"/>
    <x v="0"/>
    <s v="VEREDA EL ABEJERO"/>
    <n v="51011115085"/>
    <s v="COLEGIO EL ABEJERO"/>
    <n v="1"/>
    <n v="13"/>
    <m/>
    <n v="1890"/>
    <s v="ARTÍCULO 34 CONTRATACIÓN CON EL REGISTRO ÚNICO DE OFERENTES"/>
    <m/>
    <m/>
    <x v="0"/>
    <x v="0"/>
    <x v="4"/>
    <x v="4"/>
    <n v="228990"/>
    <n v="15150"/>
    <n v="90625"/>
    <n v="27"/>
    <n v="810"/>
    <m/>
    <n v="19750965"/>
    <n v="0.02"/>
    <n v="395019.3"/>
    <m/>
    <n v="1"/>
    <n v="19750965"/>
    <n v="20145984.300000001"/>
    <n v="1719163785"/>
    <n v="34383276"/>
    <n v="1753547061"/>
    <n v="1207.7019915700737"/>
    <n v="607672"/>
    <n v="491933"/>
    <n v="0"/>
    <n v="18651360"/>
    <m/>
    <n v="19750965"/>
    <n v="1719163785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890"/>
  </r>
  <r>
    <x v="4"/>
    <s v="LOTE 2"/>
    <x v="4"/>
    <x v="3"/>
    <x v="1"/>
    <x v="0"/>
    <s v="VEREDA ALTO DE LOS JARAMILLOS"/>
    <n v="51011115088"/>
    <s v="COLEGIO ALTO DE JARAMILLOS"/>
    <n v="1"/>
    <n v="20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30386100"/>
    <n v="0.02"/>
    <n v="607722"/>
    <m/>
    <n v="2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890"/>
  </r>
  <r>
    <x v="4"/>
    <s v="LOTE 2"/>
    <x v="4"/>
    <x v="3"/>
    <x v="1"/>
    <x v="0"/>
    <s v="CORREGIMIENTO ALFONSO LOPEZ"/>
    <n v="51011115092"/>
    <s v="C COMUNAL ALFONSO LOPEZ"/>
    <n v="1"/>
    <n v="38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57733590"/>
    <n v="0.02"/>
    <n v="1154671.8"/>
    <m/>
    <n v="3"/>
    <n v="57733590"/>
    <n v="58888261.799999997"/>
    <s v=" "/>
    <m/>
    <m/>
    <m/>
    <n v="1776272"/>
    <n v="1437958"/>
    <n v="0"/>
    <n v="54519360"/>
    <m/>
    <n v="57733590"/>
    <s v=" "/>
    <n v="8591192"/>
    <n v="6814920"/>
    <n v="6814920"/>
    <n v="6814920"/>
    <n v="6814920"/>
    <n v="6814920"/>
    <n v="6814920"/>
    <n v="8252878"/>
    <n v="57733590"/>
    <n v="57249584"/>
    <s v="CONTRATO ADICIONAL POR ALIMENTACION"/>
    <b v="1"/>
    <n v="0"/>
    <b v="1"/>
    <n v="0"/>
    <x v="1"/>
    <n v="1890"/>
  </r>
  <r>
    <x v="4"/>
    <s v="LOTE 2"/>
    <x v="4"/>
    <x v="3"/>
    <x v="1"/>
    <x v="0"/>
    <s v="BOLIVAR ARRIBA LOS MEDIOS"/>
    <n v="51011115095"/>
    <s v="COLEGIO LOS MEDIOS"/>
    <n v="1"/>
    <n v="9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13673745"/>
    <n v="0.02"/>
    <n v="273474.90000000002"/>
    <m/>
    <n v="4"/>
    <n v="13673745"/>
    <n v="13947219.9"/>
    <s v=" "/>
    <m/>
    <m/>
    <m/>
    <n v="420696"/>
    <n v="340569"/>
    <n v="0"/>
    <n v="12912480"/>
    <m/>
    <n v="13673745"/>
    <s v=" "/>
    <n v="2034756"/>
    <n v="1614060"/>
    <n v="1614060"/>
    <n v="1614060"/>
    <n v="1614060"/>
    <n v="1614060"/>
    <n v="1614060"/>
    <n v="1954629"/>
    <n v="13673745"/>
    <n v="13559112"/>
    <s v="CONTRATO ADICIONAL POR ALIMENTACION"/>
    <b v="1"/>
    <n v="0"/>
    <b v="1"/>
    <n v="0"/>
    <x v="1"/>
    <n v="1890"/>
  </r>
  <r>
    <x v="4"/>
    <s v="LOTE 2"/>
    <x v="4"/>
    <x v="3"/>
    <x v="1"/>
    <x v="0"/>
    <s v="CL 49 42 23 LA FLORESTA"/>
    <n v="51011115102"/>
    <s v="SEDE DIMF LA FLORESTA"/>
    <n v="1"/>
    <n v="71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107870655"/>
    <n v="0.02"/>
    <n v="2157413.1"/>
    <m/>
    <n v="5"/>
    <n v="107870655"/>
    <n v="110028068.09999999"/>
    <s v=" "/>
    <m/>
    <m/>
    <m/>
    <n v="3318824"/>
    <n v="2686711"/>
    <n v="0"/>
    <n v="101865120"/>
    <m/>
    <n v="107870655"/>
    <s v=" "/>
    <n v="16051964"/>
    <n v="12733140"/>
    <n v="12733140"/>
    <n v="12733140"/>
    <n v="12733140"/>
    <n v="12733140"/>
    <n v="12733140"/>
    <n v="15419851"/>
    <n v="107870655"/>
    <n v="106966328"/>
    <s v="CONTRATO ADICIONAL POR ALIMENTACION"/>
    <b v="1"/>
    <n v="0"/>
    <b v="1"/>
    <n v="0"/>
    <x v="1"/>
    <n v="1890"/>
  </r>
  <r>
    <x v="4"/>
    <s v="LOTE 2"/>
    <x v="4"/>
    <x v="3"/>
    <x v="1"/>
    <x v="0"/>
    <s v="LA LINDA"/>
    <n v="51011115107"/>
    <s v="C COMUNAL LA LINDA_CIUDAD BOLIVAR"/>
    <n v="1"/>
    <n v="40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60772200"/>
    <n v="0.02"/>
    <n v="1215444"/>
    <m/>
    <n v="6"/>
    <n v="60772200"/>
    <n v="61987644"/>
    <s v=" "/>
    <m/>
    <m/>
    <m/>
    <n v="1869760"/>
    <n v="1513640"/>
    <n v="0"/>
    <n v="57388800"/>
    <m/>
    <n v="60772200"/>
    <s v=" "/>
    <n v="9043360"/>
    <n v="7173600"/>
    <n v="7173600"/>
    <n v="7173600"/>
    <n v="7173600"/>
    <n v="7173600"/>
    <n v="7173600"/>
    <n v="8687240"/>
    <n v="60772200"/>
    <n v="60262720"/>
    <s v="CONTRATO ADICIONAL POR ALIMENTACION"/>
    <b v="1"/>
    <n v="0"/>
    <b v="1"/>
    <n v="0"/>
    <x v="1"/>
    <n v="1890"/>
  </r>
  <r>
    <x v="4"/>
    <s v="LOTE 2"/>
    <x v="4"/>
    <x v="3"/>
    <x v="1"/>
    <x v="0"/>
    <s v="BOLIVAR ARRIBA EL CABRERO"/>
    <n v="51011115109"/>
    <s v="COLEGIO EL CABRERO"/>
    <n v="1"/>
    <n v="19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28866795"/>
    <n v="0.02"/>
    <n v="577335.9"/>
    <m/>
    <n v="7"/>
    <n v="28866795"/>
    <n v="29444130.899999999"/>
    <s v=" "/>
    <m/>
    <m/>
    <m/>
    <n v="888136"/>
    <n v="718979"/>
    <n v="0"/>
    <n v="27259680"/>
    <m/>
    <n v="28866795"/>
    <s v=" "/>
    <n v="4295596"/>
    <n v="3407460"/>
    <n v="3407460"/>
    <n v="3407460"/>
    <n v="3407460"/>
    <n v="3407460"/>
    <n v="3407460"/>
    <n v="4126439"/>
    <n v="28866795"/>
    <n v="28624792"/>
    <s v="CONTRATO ADICIONAL POR ALIMENTACION"/>
    <b v="1"/>
    <n v="0"/>
    <b v="1"/>
    <n v="0"/>
    <x v="1"/>
    <n v="1890"/>
  </r>
  <r>
    <x v="4"/>
    <s v="LOTE 2"/>
    <x v="4"/>
    <x v="3"/>
    <x v="1"/>
    <x v="0"/>
    <s v="EL MANZANILLO"/>
    <n v="51011134626"/>
    <s v="COLEGIO EL MANZANILLO"/>
    <n v="1"/>
    <n v="20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30386100"/>
    <n v="0.02"/>
    <n v="607722"/>
    <m/>
    <n v="8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890"/>
  </r>
  <r>
    <x v="4"/>
    <s v="LOTE 2"/>
    <x v="4"/>
    <x v="3"/>
    <x v="1"/>
    <x v="0"/>
    <s v="CORREGIMIENTO SAN BERNARDO DE LOS FARALLONES"/>
    <n v="51011134646"/>
    <s v="COLEGIO IER FARALLONES"/>
    <n v="1"/>
    <n v="29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44059845"/>
    <n v="0.02"/>
    <n v="881196.9"/>
    <m/>
    <n v="9"/>
    <n v="44059845"/>
    <n v="44941041.899999999"/>
    <s v=" "/>
    <m/>
    <m/>
    <m/>
    <n v="1355576"/>
    <n v="1097389"/>
    <n v="0"/>
    <n v="41606880"/>
    <m/>
    <n v="44059845"/>
    <s v=" "/>
    <n v="6556436"/>
    <n v="5200860"/>
    <n v="5200860"/>
    <n v="5200860"/>
    <n v="5200860"/>
    <n v="5200860"/>
    <n v="5200860"/>
    <n v="6298249"/>
    <n v="44059845"/>
    <n v="43690472"/>
    <s v="CONTRATO ADICIONAL POR ALIMENTACION"/>
    <b v="1"/>
    <n v="0"/>
    <b v="1"/>
    <n v="0"/>
    <x v="1"/>
    <n v="1890"/>
  </r>
  <r>
    <x v="4"/>
    <s v="LOTE 2"/>
    <x v="4"/>
    <x v="3"/>
    <x v="1"/>
    <x v="0"/>
    <s v="CL 49 36 298 LA CARMINA"/>
    <n v="51011134705"/>
    <s v="SEDE DIMF HOSPITAL LA CARMINA"/>
    <n v="1"/>
    <n v="48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72926640"/>
    <n v="0.02"/>
    <n v="1458532.8"/>
    <m/>
    <n v="10"/>
    <n v="72926640"/>
    <n v="74385172.799999997"/>
    <s v=" "/>
    <m/>
    <m/>
    <m/>
    <n v="2243712"/>
    <n v="1816368"/>
    <n v="0"/>
    <n v="68866560"/>
    <m/>
    <n v="72926640"/>
    <s v=" "/>
    <n v="10852032"/>
    <n v="8608320"/>
    <n v="8608320"/>
    <n v="8608320"/>
    <n v="8608320"/>
    <n v="8608320"/>
    <n v="8608320"/>
    <n v="10424688"/>
    <n v="72926640"/>
    <n v="72315264"/>
    <s v="CONTRATO ADICIONAL POR ALIMENTACION"/>
    <b v="1"/>
    <n v="0"/>
    <b v="1"/>
    <n v="0"/>
    <x v="1"/>
    <n v="1890"/>
  </r>
  <r>
    <x v="4"/>
    <s v="LOTE 2"/>
    <x v="4"/>
    <x v="3"/>
    <x v="1"/>
    <x v="0"/>
    <s v="VEREDA PUNTA BRAVA"/>
    <n v="51011134738"/>
    <s v="CAPILLA PUNTA BRAVA"/>
    <n v="1"/>
    <n v="29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44059845"/>
    <n v="0.02"/>
    <n v="881196.9"/>
    <m/>
    <n v="11"/>
    <n v="44059845"/>
    <n v="44941041.899999999"/>
    <s v=" "/>
    <m/>
    <m/>
    <m/>
    <n v="1355576"/>
    <n v="1097389"/>
    <n v="0"/>
    <n v="41606880"/>
    <m/>
    <n v="44059845"/>
    <s v=" "/>
    <n v="6556436"/>
    <n v="5200860"/>
    <n v="5200860"/>
    <n v="5200860"/>
    <n v="5200860"/>
    <n v="5200860"/>
    <n v="5200860"/>
    <n v="6298249"/>
    <n v="44059845"/>
    <n v="43690472"/>
    <s v="CONTRATO ADICIONAL POR ALIMENTACION"/>
    <b v="1"/>
    <n v="0"/>
    <b v="1"/>
    <n v="0"/>
    <x v="1"/>
    <n v="1890"/>
  </r>
  <r>
    <x v="4"/>
    <s v="LOTE 2"/>
    <x v="4"/>
    <x v="3"/>
    <x v="1"/>
    <x v="0"/>
    <s v="VEREDA VENTORRILLO"/>
    <n v="51011134745"/>
    <s v="CAPILLA VENTORRILLO"/>
    <n v="1"/>
    <n v="12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18231660"/>
    <n v="0.02"/>
    <n v="364633.2"/>
    <m/>
    <n v="12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890"/>
  </r>
  <r>
    <x v="4"/>
    <s v="LOTE 2"/>
    <x v="4"/>
    <x v="3"/>
    <x v="1"/>
    <x v="0"/>
    <s v="VEREDA LA ANGOSTURA"/>
    <n v="51011134767"/>
    <s v="C COMUNAL LA ANGOSTURA"/>
    <n v="1"/>
    <n v="14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21270270"/>
    <n v="0.02"/>
    <n v="425405.4"/>
    <m/>
    <n v="13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890"/>
  </r>
  <r>
    <x v="4"/>
    <s v="LOTE 2"/>
    <x v="4"/>
    <x v="3"/>
    <x v="1"/>
    <x v="0"/>
    <s v="VEREDA BUENA VISTA"/>
    <n v="51011134783"/>
    <s v="COLEGIO BUENA VISTA"/>
    <n v="1"/>
    <n v="9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13673745"/>
    <n v="0.02"/>
    <n v="273474.90000000002"/>
    <m/>
    <n v="14"/>
    <n v="13673745"/>
    <n v="13947219.9"/>
    <s v=" "/>
    <m/>
    <m/>
    <m/>
    <n v="420696"/>
    <n v="340569"/>
    <n v="0"/>
    <n v="12912480"/>
    <m/>
    <n v="13673745"/>
    <s v=" "/>
    <n v="2034756"/>
    <n v="1614060"/>
    <n v="1614060"/>
    <n v="1614060"/>
    <n v="1614060"/>
    <n v="1614060"/>
    <n v="1614060"/>
    <n v="1954629"/>
    <n v="13673745"/>
    <n v="13559112"/>
    <s v="CONTRATO ADICIONAL POR ALIMENTACION"/>
    <b v="1"/>
    <n v="0"/>
    <b v="1"/>
    <n v="0"/>
    <x v="1"/>
    <n v="1890"/>
  </r>
  <r>
    <x v="4"/>
    <s v="LOTE 2"/>
    <x v="4"/>
    <x v="3"/>
    <x v="1"/>
    <x v="0"/>
    <s v="VEREDA EL CHINCHERO"/>
    <n v="51011134788"/>
    <s v="COLEGIO EL CHINCHERO"/>
    <n v="1"/>
    <n v="4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6077220"/>
    <n v="0.02"/>
    <n v="121544.40000000001"/>
    <m/>
    <n v="15"/>
    <n v="6077220"/>
    <n v="6198764.4000000004"/>
    <s v=" "/>
    <m/>
    <m/>
    <m/>
    <n v="186976"/>
    <n v="151364"/>
    <n v="0"/>
    <n v="5738880"/>
    <m/>
    <n v="6077220"/>
    <s v=" "/>
    <n v="904336"/>
    <n v="717360"/>
    <n v="717360"/>
    <n v="717360"/>
    <n v="717360"/>
    <n v="717360"/>
    <n v="717360"/>
    <n v="868724"/>
    <n v="6077220"/>
    <n v="6026272"/>
    <s v="CONTRATO ADICIONAL POR ALIMENTACION"/>
    <b v="1"/>
    <n v="0"/>
    <b v="1"/>
    <n v="0"/>
    <x v="1"/>
    <n v="1890"/>
  </r>
  <r>
    <x v="4"/>
    <s v="LOTE 2"/>
    <x v="4"/>
    <x v="3"/>
    <x v="1"/>
    <x v="0"/>
    <s v="VEREDA EL RETIRO"/>
    <n v="51011134818"/>
    <s v="C COMUNAL EL RETIRO"/>
    <n v="1"/>
    <n v="9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13673745"/>
    <n v="0.02"/>
    <n v="273474.90000000002"/>
    <m/>
    <n v="16"/>
    <n v="13673745"/>
    <n v="13947219.9"/>
    <s v=" "/>
    <m/>
    <m/>
    <m/>
    <n v="420696"/>
    <n v="340569"/>
    <n v="0"/>
    <n v="12912480"/>
    <m/>
    <n v="13673745"/>
    <s v=" "/>
    <n v="2034756"/>
    <n v="1614060"/>
    <n v="1614060"/>
    <n v="1614060"/>
    <n v="1614060"/>
    <n v="1614060"/>
    <n v="1614060"/>
    <n v="1954629"/>
    <n v="13673745"/>
    <n v="13559112"/>
    <s v="CONTRATO ADICIONAL POR ALIMENTACION"/>
    <b v="1"/>
    <n v="0"/>
    <b v="1"/>
    <n v="0"/>
    <x v="1"/>
    <n v="1890"/>
  </r>
  <r>
    <x v="4"/>
    <s v="LOTE 2"/>
    <x v="4"/>
    <x v="3"/>
    <x v="1"/>
    <x v="0"/>
    <s v="VEREDA SAMARIA"/>
    <n v="51011134844"/>
    <s v="COLEGIO SAMARIA"/>
    <n v="1"/>
    <n v="12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18231660"/>
    <n v="0.02"/>
    <n v="364633.2"/>
    <m/>
    <n v="17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890"/>
  </r>
  <r>
    <x v="4"/>
    <s v="LOTE 2"/>
    <x v="4"/>
    <x v="3"/>
    <x v="1"/>
    <x v="0"/>
    <s v="VEREDA SANTA ROSA"/>
    <n v="51011134851"/>
    <s v="COLEGIO SANTA ROSA"/>
    <n v="1"/>
    <n v="19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28866795"/>
    <n v="0.02"/>
    <n v="577335.9"/>
    <m/>
    <n v="18"/>
    <n v="28866795"/>
    <n v="29444130.899999999"/>
    <s v=" "/>
    <m/>
    <m/>
    <m/>
    <n v="888136"/>
    <n v="718979"/>
    <n v="0"/>
    <n v="27259680"/>
    <m/>
    <n v="28866795"/>
    <s v=" "/>
    <n v="4295596"/>
    <n v="3407460"/>
    <n v="3407460"/>
    <n v="3407460"/>
    <n v="3407460"/>
    <n v="3407460"/>
    <n v="3407460"/>
    <n v="4126439"/>
    <n v="28866795"/>
    <n v="28624792"/>
    <s v="CONTRATO ADICIONAL POR ALIMENTACION"/>
    <b v="1"/>
    <n v="0"/>
    <b v="1"/>
    <n v="0"/>
    <x v="1"/>
    <n v="1890"/>
  </r>
  <r>
    <x v="4"/>
    <s v="LOTE 2"/>
    <x v="4"/>
    <x v="3"/>
    <x v="1"/>
    <x v="0"/>
    <s v="VEREDA SUCIA LA MARIA"/>
    <n v="51011134856"/>
    <s v="COLEGIO SUCIA LA MARIA"/>
    <n v="1"/>
    <n v="19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28866795"/>
    <n v="0.02"/>
    <n v="577335.9"/>
    <m/>
    <n v="19"/>
    <n v="28866795"/>
    <n v="29444130.899999999"/>
    <s v=" "/>
    <m/>
    <m/>
    <m/>
    <n v="888136"/>
    <n v="718979"/>
    <n v="0"/>
    <n v="27259680"/>
    <m/>
    <n v="28866795"/>
    <s v=" "/>
    <n v="4295596"/>
    <n v="3407460"/>
    <n v="3407460"/>
    <n v="3407460"/>
    <n v="3407460"/>
    <n v="3407460"/>
    <n v="3407460"/>
    <n v="4126439"/>
    <n v="28866795"/>
    <n v="28624792"/>
    <s v="CONTRATO ADICIONAL POR ALIMENTACION"/>
    <b v="1"/>
    <n v="0"/>
    <b v="1"/>
    <n v="0"/>
    <x v="1"/>
    <n v="1890"/>
  </r>
  <r>
    <x v="4"/>
    <s v="LOTE 2"/>
    <x v="4"/>
    <x v="3"/>
    <x v="1"/>
    <x v="0"/>
    <s v="RESGUARDO INDIGENA HERMENEGILDO CHAKIAMA"/>
    <n v="51011134862"/>
    <s v="LOCAL RESGUARDO INDIGENA"/>
    <n v="1"/>
    <n v="24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36463320"/>
    <n v="0.02"/>
    <n v="729266.4"/>
    <m/>
    <n v="20"/>
    <n v="36463320"/>
    <n v="37192586.399999999"/>
    <s v=" "/>
    <m/>
    <m/>
    <m/>
    <n v="1121856"/>
    <n v="908184"/>
    <n v="0"/>
    <n v="34433280"/>
    <m/>
    <n v="36463320"/>
    <s v=" "/>
    <n v="5426016"/>
    <n v="4304160"/>
    <n v="4304160"/>
    <n v="4304160"/>
    <n v="4304160"/>
    <n v="4304160"/>
    <n v="4304160"/>
    <n v="5212344"/>
    <n v="36463320"/>
    <n v="36157632"/>
    <s v="CONTRATO ADICIONAL POR ALIMENTACION"/>
    <b v="1"/>
    <n v="0"/>
    <b v="1"/>
    <n v="0"/>
    <x v="1"/>
    <n v="1890"/>
  </r>
  <r>
    <x v="4"/>
    <s v="LOTE 2"/>
    <x v="4"/>
    <x v="3"/>
    <x v="1"/>
    <x v="0"/>
    <s v="VEREDA LAS MERCEDES BOLÍVAR ARRIBA"/>
    <n v="51011151172"/>
    <s v="C COMUNAL LAS MERCEDES"/>
    <n v="1"/>
    <n v="17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25828185"/>
    <n v="0.02"/>
    <n v="516563.7"/>
    <m/>
    <n v="21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890"/>
  </r>
  <r>
    <x v="4"/>
    <s v="LOTE 2"/>
    <x v="4"/>
    <x v="3"/>
    <x v="1"/>
    <x v="0"/>
    <s v="VEREDA LOS MONOS"/>
    <n v="51011152980"/>
    <s v="COLEGIO LAZARO URIBE"/>
    <n v="1"/>
    <n v="4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6077220"/>
    <n v="0.02"/>
    <n v="121544.40000000001"/>
    <m/>
    <n v="22"/>
    <n v="6077220"/>
    <n v="6198764.4000000004"/>
    <s v=" "/>
    <m/>
    <m/>
    <m/>
    <n v="186976"/>
    <n v="151364"/>
    <n v="0"/>
    <n v="5738880"/>
    <m/>
    <n v="6077220"/>
    <s v=" "/>
    <n v="904336"/>
    <n v="717360"/>
    <n v="717360"/>
    <n v="717360"/>
    <n v="717360"/>
    <n v="717360"/>
    <n v="717360"/>
    <n v="868724"/>
    <n v="6077220"/>
    <n v="6026272"/>
    <s v="CONTRATO ADICIONAL POR ALIMENTACION"/>
    <b v="1"/>
    <n v="0"/>
    <b v="1"/>
    <n v="0"/>
    <x v="1"/>
    <n v="1890"/>
  </r>
  <r>
    <x v="4"/>
    <s v="LOTE 2"/>
    <x v="4"/>
    <x v="3"/>
    <x v="2"/>
    <x v="0"/>
    <s v="CL 50 59 116 BLOQ 3 APT 121"/>
    <n v="510100020746"/>
    <s v="CENTRO DE DESARROLLO INFANTIL CIUDAD BOLIVAR"/>
    <n v="1"/>
    <n v="183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766559550"/>
    <n v="0.02"/>
    <n v="15331191"/>
    <m/>
    <n v="23"/>
    <n v="766559550"/>
    <n v="781890741"/>
    <s v=" "/>
    <m/>
    <m/>
    <m/>
    <n v="16130169"/>
    <n v="13732869"/>
    <n v="0"/>
    <n v="736696512"/>
    <m/>
    <n v="766559550"/>
    <s v=" "/>
    <n v="108217233"/>
    <n v="92087064"/>
    <n v="92087064"/>
    <n v="92087064"/>
    <n v="92087064"/>
    <n v="92087064"/>
    <n v="92087064"/>
    <n v="105819933"/>
    <n v="766559550"/>
    <n v="0"/>
    <s v="CONTRATO COSTEADO CON ALIMENTACION"/>
    <b v="1"/>
    <n v="0"/>
    <b v="1"/>
    <n v="0"/>
    <x v="1"/>
    <n v="1890"/>
  </r>
  <r>
    <x v="4"/>
    <s v="LOTE 2"/>
    <x v="4"/>
    <x v="3"/>
    <x v="1"/>
    <x v="0"/>
    <s v="VEREDA LA ARBOLEDA"/>
    <n v="510100100030"/>
    <s v="C COMUNAL LA ARBOLEDA"/>
    <n v="1"/>
    <n v="10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15193050"/>
    <n v="0.02"/>
    <n v="303861"/>
    <m/>
    <n v="24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O ADICIONAL POR ALIMENTACION"/>
    <b v="1"/>
    <n v="0"/>
    <b v="1"/>
    <n v="0"/>
    <x v="1"/>
    <n v="1890"/>
  </r>
  <r>
    <x v="4"/>
    <s v="LOTE 2"/>
    <x v="5"/>
    <x v="4"/>
    <x v="1"/>
    <x v="0"/>
    <s v="VEREDA SAN NICOLAS"/>
    <n v="53761117971"/>
    <s v="PEQUEÑOS GIGANTES"/>
    <n v="1"/>
    <n v="38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57733590"/>
    <n v="0.02"/>
    <n v="1154671.8"/>
    <m/>
    <n v="25"/>
    <n v="57733590"/>
    <n v="58888261.799999997"/>
    <s v=" "/>
    <m/>
    <m/>
    <m/>
    <n v="1776272"/>
    <n v="1437958"/>
    <n v="0"/>
    <n v="54519360"/>
    <m/>
    <n v="57733590"/>
    <s v=" "/>
    <n v="8591192"/>
    <n v="6814920"/>
    <n v="6814920"/>
    <n v="6814920"/>
    <n v="6814920"/>
    <n v="6814920"/>
    <n v="6814920"/>
    <n v="8252878"/>
    <n v="57733590"/>
    <n v="57249584"/>
    <s v="CONTRATO ADICIONAL POR ALIMENTACION"/>
    <b v="1"/>
    <n v="0"/>
    <b v="1"/>
    <n v="0"/>
    <x v="1"/>
    <n v="1890"/>
  </r>
  <r>
    <x v="4"/>
    <s v="LOTE 2"/>
    <x v="5"/>
    <x v="4"/>
    <x v="1"/>
    <x v="0"/>
    <s v="VEREDA SAN JOSE"/>
    <n v="53761152918"/>
    <s v="DEJANDO HUELLAS"/>
    <n v="1"/>
    <n v="50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75965250"/>
    <n v="0.02"/>
    <n v="1519305"/>
    <m/>
    <n v="26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890"/>
  </r>
  <r>
    <x v="4"/>
    <s v="LOTE 2"/>
    <x v="5"/>
    <x v="4"/>
    <x v="1"/>
    <x v="0"/>
    <s v="VEREDA GUAMITO"/>
    <n v="537600120528"/>
    <s v="CRECIENDO CON AMOR"/>
    <n v="1"/>
    <n v="50"/>
    <m/>
    <n v="1890"/>
    <s v="ARTÍCULO 34 CONTRATACIÓN CON EL REGISTRO ÚNICO DE OFERENTES"/>
    <m/>
    <m/>
    <x v="0"/>
    <x v="0"/>
    <x v="4"/>
    <x v="4"/>
    <n v="228990"/>
    <n v="15150"/>
    <n v="90625"/>
    <s v=" "/>
    <s v=" "/>
    <m/>
    <n v="75965250"/>
    <n v="0.02"/>
    <n v="1519305"/>
    <m/>
    <n v="27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890"/>
  </r>
  <r>
    <x v="5"/>
    <s v="LOTE 2"/>
    <x v="6"/>
    <x v="5"/>
    <x v="5"/>
    <x v="0"/>
    <s v="EL YERBAL"/>
    <n v="50931114929"/>
    <s v="C COMUNAL EL YERBAL"/>
    <n v="1"/>
    <n v="21"/>
    <m/>
    <n v="1892"/>
    <s v="ARTÍCULO 34 CONTRATACIÓN CON EL REGISTRO ÚNICO DE OFERENTES"/>
    <m/>
    <m/>
    <x v="0"/>
    <x v="0"/>
    <x v="5"/>
    <x v="5"/>
    <n v="228992"/>
    <n v="15170"/>
    <n v="91125"/>
    <n v="28"/>
    <n v="558"/>
    <m/>
    <n v="45784053"/>
    <n v="0.02"/>
    <n v="915681.06"/>
    <m/>
    <n v="1"/>
    <n v="45784053"/>
    <n v="46699734.060000002"/>
    <n v="1216547694"/>
    <n v="24330954"/>
    <n v="1240878648"/>
    <n v="854.61727713382504"/>
    <n v="1036896"/>
    <n v="861609"/>
    <n v="611100"/>
    <n v="43274448"/>
    <m/>
    <n v="45784053"/>
    <n v="1216547694"/>
    <n v="7057302"/>
    <n v="5409306"/>
    <n v="5409306"/>
    <n v="5409306"/>
    <n v="5409306"/>
    <n v="5409306"/>
    <n v="5409306"/>
    <n v="6270915"/>
    <n v="45784053"/>
    <n v="30304344"/>
    <s v="CONTRATACIÓN ALIMENTOS - DPI"/>
    <b v="1"/>
    <n v="0"/>
    <b v="1"/>
    <n v="0"/>
    <x v="1"/>
    <m/>
  </r>
  <r>
    <x v="5"/>
    <s v="LOTE 2"/>
    <x v="6"/>
    <x v="5"/>
    <x v="5"/>
    <x v="0"/>
    <s v="EL TOSTADO"/>
    <n v="50931114934"/>
    <s v="CER EL TOSTADO"/>
    <n v="1"/>
    <n v="16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34883088"/>
    <n v="0.02"/>
    <n v="697661.76"/>
    <m/>
    <n v="2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1"/>
    <m/>
  </r>
  <r>
    <x v="5"/>
    <s v="LOTE 2"/>
    <x v="6"/>
    <x v="5"/>
    <x v="5"/>
    <x v="0"/>
    <s v="LA MINA"/>
    <n v="50931114936"/>
    <s v="CER LA MINA"/>
    <n v="1"/>
    <n v="24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52324632"/>
    <n v="0.02"/>
    <n v="1046492.64"/>
    <m/>
    <n v="3"/>
    <n v="52324632"/>
    <n v="53371124.640000001"/>
    <s v=" "/>
    <m/>
    <m/>
    <m/>
    <n v="1185024"/>
    <n v="984696"/>
    <n v="698400"/>
    <n v="49456512"/>
    <m/>
    <n v="52324632"/>
    <s v=" "/>
    <n v="8065488"/>
    <n v="6182064"/>
    <n v="6182064"/>
    <n v="6182064"/>
    <n v="6182064"/>
    <n v="6182064"/>
    <n v="6182064"/>
    <n v="7166760"/>
    <n v="52324632"/>
    <n v="34633536"/>
    <s v="CONTRATACIÓN ALIMENTOS - DPI"/>
    <b v="1"/>
    <n v="0"/>
    <b v="1"/>
    <n v="0"/>
    <x v="1"/>
    <m/>
  </r>
  <r>
    <x v="5"/>
    <s v="LOTE 2"/>
    <x v="6"/>
    <x v="5"/>
    <x v="5"/>
    <x v="0"/>
    <s v="LA VARGAS"/>
    <n v="50931114939"/>
    <s v="CER LA VARGAS"/>
    <n v="1"/>
    <n v="29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63225597"/>
    <n v="0.02"/>
    <n v="1264511.94"/>
    <m/>
    <n v="4"/>
    <n v="63225597"/>
    <n v="64490108.939999998"/>
    <s v=" "/>
    <m/>
    <m/>
    <m/>
    <n v="1431904"/>
    <n v="1189841"/>
    <n v="843900"/>
    <n v="59759952"/>
    <m/>
    <n v="63225597"/>
    <s v=" "/>
    <n v="9745798"/>
    <n v="7469994"/>
    <n v="7469994"/>
    <n v="7469994"/>
    <n v="7469994"/>
    <n v="7469994"/>
    <n v="7469994"/>
    <n v="8659835"/>
    <n v="63225597"/>
    <n v="41848856"/>
    <s v="CONTRATACIÓN ALIMENTOS - DPI"/>
    <b v="1"/>
    <n v="0"/>
    <b v="1"/>
    <n v="0"/>
    <x v="1"/>
    <m/>
  </r>
  <r>
    <x v="5"/>
    <s v="LOTE 2"/>
    <x v="6"/>
    <x v="5"/>
    <x v="5"/>
    <x v="0"/>
    <s v="EL LEON"/>
    <n v="50931114940"/>
    <s v="C COMUNAL EL LEON"/>
    <n v="1"/>
    <n v="16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34883088"/>
    <n v="0.02"/>
    <n v="697661.76"/>
    <m/>
    <n v="5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1"/>
    <m/>
  </r>
  <r>
    <x v="5"/>
    <s v="LOTE 2"/>
    <x v="6"/>
    <x v="5"/>
    <x v="5"/>
    <x v="0"/>
    <s v="LA GUAMALA"/>
    <n v="50931114941"/>
    <s v="C COMUNAL LA GUAMALA"/>
    <n v="1"/>
    <n v="20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43603860"/>
    <n v="0.02"/>
    <n v="872077.20000000007"/>
    <m/>
    <n v="6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1"/>
    <m/>
  </r>
  <r>
    <x v="5"/>
    <s v="LOTE 2"/>
    <x v="6"/>
    <x v="5"/>
    <x v="5"/>
    <x v="0"/>
    <s v="LA QUIEBRA"/>
    <n v="50931114943"/>
    <s v="CER LA QUIEBRA_BETULIA"/>
    <n v="1"/>
    <n v="31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67585983"/>
    <n v="0.02"/>
    <n v="1351719.66"/>
    <m/>
    <n v="7"/>
    <n v="67585983"/>
    <n v="68937702.659999996"/>
    <s v=" "/>
    <m/>
    <m/>
    <m/>
    <n v="1530656"/>
    <n v="1271899"/>
    <n v="902100"/>
    <n v="63881328"/>
    <m/>
    <n v="67585983"/>
    <s v=" "/>
    <n v="10417922"/>
    <n v="7985166"/>
    <n v="7985166"/>
    <n v="7985166"/>
    <n v="7985166"/>
    <n v="7985166"/>
    <n v="7985166"/>
    <n v="9257065"/>
    <n v="67585983"/>
    <n v="44734984"/>
    <s v="CONTRATACIÓN ALIMENTOS - DPI"/>
    <b v="1"/>
    <n v="0"/>
    <b v="1"/>
    <n v="0"/>
    <x v="1"/>
    <m/>
  </r>
  <r>
    <x v="5"/>
    <s v="LOTE 2"/>
    <x v="6"/>
    <x v="5"/>
    <x v="5"/>
    <x v="0"/>
    <s v="VEREDA CEIBALA"/>
    <n v="50931114945"/>
    <s v="CASETA COMUNAL CEIBALA"/>
    <n v="1"/>
    <n v="12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26162316"/>
    <n v="0.02"/>
    <n v="523246.32"/>
    <m/>
    <n v="8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ACIÓN ALIMENTOS - DPI"/>
    <b v="1"/>
    <n v="0"/>
    <b v="1"/>
    <n v="0"/>
    <x v="1"/>
    <m/>
  </r>
  <r>
    <x v="5"/>
    <s v="LOTE 2"/>
    <x v="6"/>
    <x v="5"/>
    <x v="5"/>
    <x v="0"/>
    <s v="CLARO VERDE"/>
    <n v="50931136087"/>
    <s v="C COMUNAL CLARO VERDE"/>
    <n v="1"/>
    <n v="20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43603860"/>
    <n v="0.02"/>
    <n v="872077.20000000007"/>
    <m/>
    <n v="9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1"/>
    <m/>
  </r>
  <r>
    <x v="5"/>
    <s v="LOTE 2"/>
    <x v="6"/>
    <x v="5"/>
    <x v="5"/>
    <x v="0"/>
    <s v="GUAMALITA"/>
    <n v="50931136092"/>
    <s v="CER GUAMALITA"/>
    <n v="1"/>
    <n v="29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63225597"/>
    <n v="0.02"/>
    <n v="1264511.94"/>
    <m/>
    <n v="10"/>
    <n v="63225597"/>
    <n v="64490108.939999998"/>
    <s v=" "/>
    <m/>
    <m/>
    <m/>
    <n v="1431904"/>
    <n v="1189841"/>
    <n v="843900"/>
    <n v="59759952"/>
    <m/>
    <n v="63225597"/>
    <s v=" "/>
    <n v="9745798"/>
    <n v="7469994"/>
    <n v="7469994"/>
    <n v="7469994"/>
    <n v="7469994"/>
    <n v="7469994"/>
    <n v="7469994"/>
    <n v="8659835"/>
    <n v="63225597"/>
    <n v="41848856"/>
    <s v="CONTRATACIÓN ALIMENTOS - DPI"/>
    <b v="1"/>
    <n v="0"/>
    <b v="1"/>
    <n v="0"/>
    <x v="1"/>
    <m/>
  </r>
  <r>
    <x v="5"/>
    <s v="LOTE 2"/>
    <x v="6"/>
    <x v="5"/>
    <x v="5"/>
    <x v="0"/>
    <s v="VEREDA SAN ANTONIO"/>
    <n v="50931136099"/>
    <s v="CASETA COMUNAL SAN ANTONIO"/>
    <n v="1"/>
    <n v="20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43603860"/>
    <n v="0.02"/>
    <n v="872077.20000000007"/>
    <m/>
    <n v="11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1"/>
    <m/>
  </r>
  <r>
    <x v="5"/>
    <s v="LOTE 2"/>
    <x v="6"/>
    <x v="5"/>
    <x v="5"/>
    <x v="0"/>
    <s v="LOS ANIMES"/>
    <n v="50931136104"/>
    <s v="CER LOS ANIMES"/>
    <n v="1"/>
    <n v="15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32702895"/>
    <n v="0.02"/>
    <n v="654057.9"/>
    <m/>
    <n v="12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5"/>
    <s v="LOTE 2"/>
    <x v="6"/>
    <x v="5"/>
    <x v="5"/>
    <x v="0"/>
    <s v="PIÑONAL"/>
    <n v="50931136106"/>
    <s v="C COMUNAL PIÑONAL"/>
    <n v="1"/>
    <n v="18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39243474"/>
    <n v="0.02"/>
    <n v="784869.48"/>
    <m/>
    <n v="13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1"/>
    <m/>
  </r>
  <r>
    <x v="5"/>
    <s v="LOTE 2"/>
    <x v="6"/>
    <x v="5"/>
    <x v="5"/>
    <x v="0"/>
    <s v="QUEBRADA ARRIBA"/>
    <n v="50931136110"/>
    <s v="C COMUNAL QUEBRADA ARRIBA_BETULIA"/>
    <n v="1"/>
    <n v="20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43603860"/>
    <n v="0.02"/>
    <n v="872077.20000000007"/>
    <m/>
    <n v="1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1"/>
    <m/>
  </r>
  <r>
    <x v="5"/>
    <s v="LOTE 2"/>
    <x v="6"/>
    <x v="5"/>
    <x v="5"/>
    <x v="0"/>
    <s v="LA URRAEÑA"/>
    <n v="50931136120"/>
    <s v="C COMUNAL LA URRAEÑA"/>
    <n v="1"/>
    <n v="18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39243474"/>
    <n v="0.02"/>
    <n v="784869.48"/>
    <m/>
    <n v="15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1"/>
    <m/>
  </r>
  <r>
    <x v="5"/>
    <s v="LOTE 2"/>
    <x v="6"/>
    <x v="5"/>
    <x v="5"/>
    <x v="0"/>
    <s v="LA CIBELES"/>
    <n v="50931136124"/>
    <s v="IE SAN JOSE SEDE LA CIBELES"/>
    <n v="1"/>
    <n v="20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43603860"/>
    <n v="0.02"/>
    <n v="872077.20000000007"/>
    <m/>
    <n v="16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1"/>
    <m/>
  </r>
  <r>
    <x v="5"/>
    <s v="LOTE 2"/>
    <x v="6"/>
    <x v="5"/>
    <x v="5"/>
    <x v="0"/>
    <s v="PUEBLO DURO"/>
    <n v="50931136127"/>
    <s v="IE SAN JOSE PUEBLO DURO"/>
    <n v="1"/>
    <n v="12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26162316"/>
    <n v="0.02"/>
    <n v="523246.32"/>
    <m/>
    <n v="17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ACIÓN ALIMENTOS - DPI"/>
    <b v="1"/>
    <n v="0"/>
    <b v="1"/>
    <n v="0"/>
    <x v="1"/>
    <m/>
  </r>
  <r>
    <x v="5"/>
    <s v="LOTE 2"/>
    <x v="6"/>
    <x v="5"/>
    <x v="5"/>
    <x v="0"/>
    <s v="EL INDIO"/>
    <n v="50931139719"/>
    <s v="SALON DEL SAT EL INDIO"/>
    <n v="1"/>
    <n v="30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65405790"/>
    <n v="0.02"/>
    <n v="1308115.8"/>
    <m/>
    <n v="18"/>
    <n v="65405790"/>
    <n v="66713905.799999997"/>
    <s v=" "/>
    <m/>
    <m/>
    <m/>
    <n v="1481280"/>
    <n v="1230870"/>
    <n v="873000"/>
    <n v="61820640"/>
    <m/>
    <n v="65405790"/>
    <s v=" "/>
    <n v="10081860"/>
    <n v="7727580"/>
    <n v="7727580"/>
    <n v="7727580"/>
    <n v="7727580"/>
    <n v="7727580"/>
    <n v="7727580"/>
    <n v="8958450"/>
    <n v="65405790"/>
    <n v="43291920"/>
    <s v="CONTRATACIÓN ALIMENTOS - DPI"/>
    <b v="1"/>
    <n v="0"/>
    <b v="1"/>
    <n v="0"/>
    <x v="1"/>
    <m/>
  </r>
  <r>
    <x v="5"/>
    <s v="LOTE 2"/>
    <x v="6"/>
    <x v="5"/>
    <x v="5"/>
    <x v="0"/>
    <s v="LA FLORIDA"/>
    <n v="50931143938"/>
    <s v="C COMUNAL LA FLORIDA"/>
    <n v="1"/>
    <n v="25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54504825"/>
    <n v="0.02"/>
    <n v="1090096.5"/>
    <m/>
    <n v="19"/>
    <n v="54504825"/>
    <n v="55594921.5"/>
    <s v=" "/>
    <m/>
    <m/>
    <m/>
    <n v="1234400"/>
    <n v="1025725"/>
    <n v="727500"/>
    <n v="51517200"/>
    <m/>
    <n v="54504825"/>
    <s v=" "/>
    <n v="8401550"/>
    <n v="6439650"/>
    <n v="6439650"/>
    <n v="6439650"/>
    <n v="6439650"/>
    <n v="6439650"/>
    <n v="6439650"/>
    <n v="7465375"/>
    <n v="54504825"/>
    <n v="36076600"/>
    <s v="CONTRATACIÓN ALIMENTOS - DPI"/>
    <b v="1"/>
    <n v="0"/>
    <b v="1"/>
    <n v="0"/>
    <x v="1"/>
    <m/>
  </r>
  <r>
    <x v="5"/>
    <s v="LOTE 2"/>
    <x v="6"/>
    <x v="5"/>
    <x v="5"/>
    <x v="0"/>
    <s v="VEREDA  SALADITOS"/>
    <n v="50931151948"/>
    <s v="I.E. SAN JOSE CER EL GUAMAL_SALADITOS"/>
    <n v="1"/>
    <n v="9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19621737"/>
    <n v="0.02"/>
    <n v="392434.74"/>
    <m/>
    <n v="20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ACIÓN ALIMENTOS - DPI"/>
    <b v="1"/>
    <n v="0"/>
    <b v="1"/>
    <n v="0"/>
    <x v="1"/>
    <m/>
  </r>
  <r>
    <x v="5"/>
    <s v="LOTE 2"/>
    <x v="6"/>
    <x v="5"/>
    <x v="5"/>
    <x v="0"/>
    <s v="LA MANGUITA"/>
    <n v="50931152082"/>
    <s v="CER LA MANGUITA BETULIA"/>
    <n v="1"/>
    <n v="30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65405790"/>
    <n v="0.02"/>
    <n v="1308115.8"/>
    <m/>
    <n v="21"/>
    <n v="65405790"/>
    <n v="66713905.799999997"/>
    <s v=" "/>
    <m/>
    <m/>
    <m/>
    <n v="1481280"/>
    <n v="1230870"/>
    <n v="873000"/>
    <n v="61820640"/>
    <m/>
    <n v="65405790"/>
    <s v=" "/>
    <n v="10081860"/>
    <n v="7727580"/>
    <n v="7727580"/>
    <n v="7727580"/>
    <n v="7727580"/>
    <n v="7727580"/>
    <n v="7727580"/>
    <n v="8958450"/>
    <n v="65405790"/>
    <n v="43291920"/>
    <s v="CONTRATACIÓN ALIMENTOS - DPI"/>
    <b v="1"/>
    <n v="0"/>
    <b v="1"/>
    <n v="0"/>
    <x v="1"/>
    <m/>
  </r>
  <r>
    <x v="5"/>
    <s v="LOTE 2"/>
    <x v="6"/>
    <x v="5"/>
    <x v="5"/>
    <x v="0"/>
    <s v="LAS ANIMAS"/>
    <n v="50931152083"/>
    <s v="CER LAS ANIMAS BETULIA"/>
    <n v="1"/>
    <n v="15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32702895"/>
    <n v="0.02"/>
    <n v="654057.9"/>
    <m/>
    <n v="22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5"/>
    <s v="LOTE 2"/>
    <x v="6"/>
    <x v="5"/>
    <x v="5"/>
    <x v="0"/>
    <s v="ALTAMIRA"/>
    <n v="50931152084"/>
    <s v="IE FRANCISCO CESAR"/>
    <n v="1"/>
    <n v="16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34883088"/>
    <n v="0.02"/>
    <n v="697661.76"/>
    <m/>
    <n v="23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1"/>
    <m/>
  </r>
  <r>
    <x v="5"/>
    <s v="LOTE 2"/>
    <x v="6"/>
    <x v="5"/>
    <x v="5"/>
    <x v="0"/>
    <s v="CER SAN MATEO"/>
    <n v="50931155721"/>
    <s v="CER SAN MATEO"/>
    <n v="1"/>
    <n v="18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39243474"/>
    <n v="0.02"/>
    <n v="784869.48"/>
    <m/>
    <n v="24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1"/>
    <m/>
  </r>
  <r>
    <x v="5"/>
    <s v="LOTE 2"/>
    <x v="6"/>
    <x v="5"/>
    <x v="5"/>
    <x v="0"/>
    <s v="CER LA TARQUI"/>
    <n v="50931155723"/>
    <s v="CER LA TARQUI"/>
    <n v="1"/>
    <n v="17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37063281"/>
    <n v="0.02"/>
    <n v="741265.62"/>
    <m/>
    <n v="25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1"/>
    <m/>
  </r>
  <r>
    <x v="5"/>
    <s v="LOTE 2"/>
    <x v="6"/>
    <x v="5"/>
    <x v="5"/>
    <x v="0"/>
    <s v="GUAMAL_SALADITOS"/>
    <n v="50931155724"/>
    <s v="I.E. SAN JOSE CER EL GUAMAL SALADITOS"/>
    <n v="1"/>
    <n v="9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19621737"/>
    <n v="0.02"/>
    <n v="392434.74"/>
    <m/>
    <n v="26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ACIÓN ALIMENTOS - DPI"/>
    <b v="1"/>
    <n v="0"/>
    <b v="1"/>
    <n v="0"/>
    <x v="1"/>
    <m/>
  </r>
  <r>
    <x v="5"/>
    <s v="LOTE 2"/>
    <x v="6"/>
    <x v="5"/>
    <x v="5"/>
    <x v="0"/>
    <s v="VEREDA AGUACATAL"/>
    <n v="509300081703"/>
    <s v="AGUACATAL CASA FAMILIA  BEDOYA VARGAS"/>
    <n v="1"/>
    <n v="23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50144439"/>
    <n v="0.02"/>
    <n v="1002888.78"/>
    <m/>
    <n v="27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ACIÓN ALIMENTOS - DPI"/>
    <b v="1"/>
    <n v="0"/>
    <b v="1"/>
    <n v="0"/>
    <x v="1"/>
    <m/>
  </r>
  <r>
    <x v="5"/>
    <s v="LOTE 2"/>
    <x v="6"/>
    <x v="5"/>
    <x v="5"/>
    <x v="0"/>
    <s v="VEREDA EL CUCHUCO"/>
    <n v="509300100029"/>
    <s v="CASETA COMUNAL EL CUCHUCO"/>
    <n v="1"/>
    <n v="25"/>
    <m/>
    <n v="1892"/>
    <s v="ARTÍCULO 34 CONTRATACIÓN CON EL REGISTRO ÚNICO DE OFERENTES"/>
    <m/>
    <m/>
    <x v="0"/>
    <x v="0"/>
    <x v="5"/>
    <x v="5"/>
    <n v="228992"/>
    <n v="15170"/>
    <n v="91125"/>
    <s v=" "/>
    <s v=" "/>
    <m/>
    <n v="54504825"/>
    <n v="0.02"/>
    <n v="1090096.5"/>
    <m/>
    <n v="28"/>
    <n v="54504825"/>
    <n v="55594921.5"/>
    <s v=" "/>
    <m/>
    <m/>
    <m/>
    <n v="1234400"/>
    <n v="1025725"/>
    <n v="727500"/>
    <n v="51517200"/>
    <m/>
    <n v="54504825"/>
    <s v=" "/>
    <n v="8401550"/>
    <n v="6439650"/>
    <n v="6439650"/>
    <n v="6439650"/>
    <n v="6439650"/>
    <n v="6439650"/>
    <n v="6439650"/>
    <n v="7465375"/>
    <n v="54504825"/>
    <n v="36076600"/>
    <s v="CONTRATACIÓN ALIMENTOS - DPI"/>
    <b v="1"/>
    <n v="0"/>
    <b v="1"/>
    <n v="0"/>
    <x v="1"/>
    <m/>
  </r>
  <r>
    <x v="6"/>
    <s v="LOTE 2"/>
    <x v="4"/>
    <x v="6"/>
    <x v="1"/>
    <x v="0"/>
    <s v="VEREDA  ESTRELLA VIEJA"/>
    <n v="53681119903"/>
    <s v="CER ESTRELLA VIEJA"/>
    <n v="1"/>
    <n v="9"/>
    <m/>
    <n v="1893"/>
    <s v="ARTÍCULO 34 CONTRATACIÓN CON EL REGISTRO ÚNICO DE OFERENTES"/>
    <m/>
    <m/>
    <x v="0"/>
    <x v="0"/>
    <x v="6"/>
    <x v="6"/>
    <n v="228995"/>
    <n v="15182"/>
    <n v="91425"/>
    <n v="13"/>
    <n v="307"/>
    <m/>
    <n v="13673745"/>
    <n v="0.02"/>
    <n v="273474.90000000002"/>
    <m/>
    <n v="1"/>
    <n v="13673745"/>
    <n v="13947219.9"/>
    <n v="821555303"/>
    <n v="16431106"/>
    <n v="837986409"/>
    <n v="577.13755040393391"/>
    <n v="420696"/>
    <n v="340569"/>
    <n v="0"/>
    <n v="12912480"/>
    <m/>
    <n v="13673745"/>
    <n v="821555303"/>
    <n v="2034756"/>
    <n v="1614060"/>
    <n v="1614060"/>
    <n v="1614060"/>
    <n v="1614060"/>
    <n v="1614060"/>
    <n v="1614060"/>
    <n v="1954629"/>
    <n v="13673745"/>
    <n v="13559112"/>
    <s v="CONTRATO ADICIONAL POR ALIMENTACION"/>
    <b v="1"/>
    <n v="0"/>
    <b v="1"/>
    <n v="0"/>
    <x v="1"/>
    <n v="1893"/>
  </r>
  <r>
    <x v="6"/>
    <s v="LOTE 2"/>
    <x v="4"/>
    <x v="6"/>
    <x v="1"/>
    <x v="0"/>
    <s v="VEREDA ESTRELLA NUEVA"/>
    <n v="53681119904"/>
    <s v="CER ESTRELLA NUEVA"/>
    <n v="1"/>
    <n v="12"/>
    <m/>
    <n v="1893"/>
    <s v="ARTÍCULO 34 CONTRATACIÓN CON EL REGISTRO ÚNICO DE OFERENTES"/>
    <m/>
    <m/>
    <x v="0"/>
    <x v="0"/>
    <x v="6"/>
    <x v="6"/>
    <n v="228995"/>
    <n v="15182"/>
    <n v="91425"/>
    <s v=" "/>
    <s v=" "/>
    <m/>
    <n v="18231660"/>
    <n v="0.02"/>
    <n v="364633.2"/>
    <m/>
    <n v="2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893"/>
  </r>
  <r>
    <x v="6"/>
    <s v="LOTE 2"/>
    <x v="4"/>
    <x v="6"/>
    <x v="1"/>
    <x v="0"/>
    <s v="KR 5 9 57"/>
    <n v="53681137331"/>
    <s v="SEDE DIMF HOSPITALCR5"/>
    <n v="1"/>
    <n v="20"/>
    <m/>
    <n v="1893"/>
    <s v="ARTÍCULO 34 CONTRATACIÓN CON EL REGISTRO ÚNICO DE OFERENTES"/>
    <m/>
    <m/>
    <x v="0"/>
    <x v="0"/>
    <x v="6"/>
    <x v="6"/>
    <n v="228995"/>
    <n v="15182"/>
    <n v="91425"/>
    <s v=" "/>
    <s v=" "/>
    <m/>
    <n v="30386100"/>
    <n v="0.02"/>
    <n v="607722"/>
    <m/>
    <n v="3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893"/>
  </r>
  <r>
    <x v="6"/>
    <s v="LOTE 2"/>
    <x v="4"/>
    <x v="6"/>
    <x v="6"/>
    <x v="0"/>
    <s v="VEREDA LA SOLEDAD"/>
    <n v="53681137490"/>
    <s v="CER LA SOLEDAD_JERICO"/>
    <n v="1"/>
    <n v="16"/>
    <m/>
    <n v="1893"/>
    <s v="ARTÍCULO 34 CONTRATACIÓN CON EL REGISTRO ÚNICO DE OFERENTES"/>
    <m/>
    <m/>
    <x v="0"/>
    <x v="0"/>
    <x v="6"/>
    <x v="6"/>
    <n v="228995"/>
    <n v="15182"/>
    <n v="91425"/>
    <s v=" "/>
    <s v=" "/>
    <m/>
    <n v="48413968"/>
    <n v="0.02"/>
    <n v="968279.36"/>
    <m/>
    <n v="4"/>
    <n v="48413968"/>
    <n v="49382247.359999999"/>
    <s v=" "/>
    <m/>
    <m/>
    <m/>
    <n v="747904"/>
    <n v="605456"/>
    <n v="0"/>
    <n v="47060608"/>
    <m/>
    <n v="48413968"/>
    <s v=" "/>
    <n v="6630480"/>
    <n v="5882576"/>
    <n v="5882576"/>
    <n v="5882576"/>
    <n v="5882576"/>
    <n v="5882576"/>
    <n v="5882576"/>
    <n v="6488032"/>
    <n v="48413968"/>
    <n v="0"/>
    <s v="CONTRATO COSTEADO CON ALIMENTACION"/>
    <b v="1"/>
    <n v="0"/>
    <b v="1"/>
    <n v="0"/>
    <x v="1"/>
    <n v="1893"/>
  </r>
  <r>
    <x v="6"/>
    <s v="LOTE 2"/>
    <x v="4"/>
    <x v="6"/>
    <x v="1"/>
    <x v="0"/>
    <s v="VEREDA  PALENQUE"/>
    <n v="53681137491"/>
    <s v="CER PALENQUE"/>
    <n v="1"/>
    <n v="13"/>
    <m/>
    <n v="1893"/>
    <s v="ARTÍCULO 34 CONTRATACIÓN CON EL REGISTRO ÚNICO DE OFERENTES"/>
    <m/>
    <m/>
    <x v="0"/>
    <x v="0"/>
    <x v="6"/>
    <x v="6"/>
    <n v="228995"/>
    <n v="15182"/>
    <n v="91425"/>
    <s v=" "/>
    <s v=" "/>
    <m/>
    <n v="19750965"/>
    <n v="0.02"/>
    <n v="395019.3"/>
    <m/>
    <n v="5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893"/>
  </r>
  <r>
    <x v="6"/>
    <s v="LOTE 2"/>
    <x v="4"/>
    <x v="6"/>
    <x v="1"/>
    <x v="0"/>
    <s v="VEREDA CASTALIA"/>
    <n v="53681137492"/>
    <s v="CER CASTALIA"/>
    <n v="1"/>
    <n v="36"/>
    <m/>
    <n v="1893"/>
    <s v="ARTÍCULO 34 CONTRATACIÓN CON EL REGISTRO ÚNICO DE OFERENTES"/>
    <m/>
    <m/>
    <x v="0"/>
    <x v="0"/>
    <x v="6"/>
    <x v="6"/>
    <n v="228995"/>
    <n v="15182"/>
    <n v="91425"/>
    <s v=" "/>
    <s v=" "/>
    <m/>
    <n v="54694980"/>
    <n v="0.02"/>
    <n v="1093899.6000000001"/>
    <m/>
    <n v="6"/>
    <n v="54694980"/>
    <n v="55788879.600000001"/>
    <s v=" "/>
    <m/>
    <m/>
    <m/>
    <n v="1682784"/>
    <n v="1362276"/>
    <n v="0"/>
    <n v="51649920"/>
    <m/>
    <n v="54694980"/>
    <s v=" "/>
    <n v="8139024"/>
    <n v="6456240"/>
    <n v="6456240"/>
    <n v="6456240"/>
    <n v="6456240"/>
    <n v="6456240"/>
    <n v="6456240"/>
    <n v="7818516"/>
    <n v="54694980"/>
    <n v="54236448"/>
    <s v="CONTRATO ADICIONAL POR ALIMENTACION"/>
    <b v="1"/>
    <n v="0"/>
    <b v="1"/>
    <n v="0"/>
    <x v="1"/>
    <n v="1893"/>
  </r>
  <r>
    <x v="6"/>
    <s v="LOTE 2"/>
    <x v="4"/>
    <x v="6"/>
    <x v="1"/>
    <x v="0"/>
    <s v="VEREDA  PALO CABILDO"/>
    <n v="53681137493"/>
    <s v="C COMUNAL PALO CABILDO"/>
    <n v="1"/>
    <n v="16"/>
    <m/>
    <n v="1893"/>
    <s v="ARTÍCULO 34 CONTRATACIÓN CON EL REGISTRO ÚNICO DE OFERENTES"/>
    <m/>
    <m/>
    <x v="0"/>
    <x v="0"/>
    <x v="6"/>
    <x v="6"/>
    <n v="228995"/>
    <n v="15182"/>
    <n v="91425"/>
    <s v=" "/>
    <s v=" "/>
    <m/>
    <n v="24308880"/>
    <n v="0.02"/>
    <n v="486177.60000000003"/>
    <m/>
    <n v="7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893"/>
  </r>
  <r>
    <x v="6"/>
    <s v="LOTE 2"/>
    <x v="4"/>
    <x v="6"/>
    <x v="1"/>
    <x v="0"/>
    <s v="VEREDA LAS PLAYAS"/>
    <n v="53681151115"/>
    <s v="SEDE LAS PLAYAS"/>
    <n v="1"/>
    <n v="18"/>
    <m/>
    <n v="1893"/>
    <s v="ARTÍCULO 34 CONTRATACIÓN CON EL REGISTRO ÚNICO DE OFERENTES"/>
    <m/>
    <m/>
    <x v="0"/>
    <x v="0"/>
    <x v="6"/>
    <x v="6"/>
    <n v="228995"/>
    <n v="15182"/>
    <n v="91425"/>
    <s v=" "/>
    <s v=" "/>
    <m/>
    <n v="27347490"/>
    <n v="0.02"/>
    <n v="546949.80000000005"/>
    <m/>
    <n v="8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893"/>
  </r>
  <r>
    <x v="6"/>
    <s v="LOTE 2"/>
    <x v="4"/>
    <x v="6"/>
    <x v="1"/>
    <x v="0"/>
    <s v="VEREDA LA QUEBRADONA"/>
    <n v="53681152441"/>
    <s v="CER QUEBRADONA"/>
    <n v="1"/>
    <n v="11"/>
    <m/>
    <n v="1893"/>
    <s v="ARTÍCULO 34 CONTRATACIÓN CON EL REGISTRO ÚNICO DE OFERENTES"/>
    <m/>
    <m/>
    <x v="0"/>
    <x v="0"/>
    <x v="6"/>
    <x v="6"/>
    <n v="228995"/>
    <n v="15182"/>
    <n v="91425"/>
    <s v=" "/>
    <s v=" "/>
    <m/>
    <n v="16712355"/>
    <n v="0.02"/>
    <n v="334247.10000000003"/>
    <m/>
    <n v="9"/>
    <n v="16712355"/>
    <n v="17046602.100000001"/>
    <s v=" "/>
    <m/>
    <m/>
    <m/>
    <n v="514184"/>
    <n v="416251"/>
    <n v="0"/>
    <n v="15781920"/>
    <m/>
    <n v="16712355"/>
    <s v=" "/>
    <n v="2486924"/>
    <n v="1972740"/>
    <n v="1972740"/>
    <n v="1972740"/>
    <n v="1972740"/>
    <n v="1972740"/>
    <n v="1972740"/>
    <n v="2388991"/>
    <n v="16712355"/>
    <n v="16572248"/>
    <s v="CONTRATO ADICIONAL POR ALIMENTACION"/>
    <b v="1"/>
    <n v="0"/>
    <b v="1"/>
    <n v="0"/>
    <x v="1"/>
    <n v="1893"/>
  </r>
  <r>
    <x v="6"/>
    <s v="LOTE 2"/>
    <x v="4"/>
    <x v="6"/>
    <x v="1"/>
    <x v="0"/>
    <s v="VEREDA LOS PATIOS"/>
    <n v="53681153054"/>
    <s v="JAC LOS PATIOS"/>
    <n v="1"/>
    <n v="14"/>
    <m/>
    <n v="1893"/>
    <s v="ARTÍCULO 34 CONTRATACIÓN CON EL REGISTRO ÚNICO DE OFERENTES"/>
    <m/>
    <m/>
    <x v="0"/>
    <x v="0"/>
    <x v="6"/>
    <x v="6"/>
    <n v="228995"/>
    <n v="15182"/>
    <n v="91425"/>
    <s v=" "/>
    <s v=" "/>
    <m/>
    <n v="21270270"/>
    <n v="0.02"/>
    <n v="425405.4"/>
    <m/>
    <n v="10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893"/>
  </r>
  <r>
    <x v="6"/>
    <s v="LOTE 2"/>
    <x v="4"/>
    <x v="6"/>
    <x v="2"/>
    <x v="0"/>
    <s v="CARRERA 5 PARQUE LOS FUNDADORES AL FRENTE DEL HOSPITAL"/>
    <n v="536800021812"/>
    <s v="CENTRO DE DESARROLLO INFANTIL JERICO"/>
    <n v="1"/>
    <n v="39"/>
    <m/>
    <n v="1893"/>
    <s v="ARTÍCULO 34 CONTRATACIÓN CON EL REGISTRO ÚNICO DE OFERENTES"/>
    <m/>
    <m/>
    <x v="0"/>
    <x v="0"/>
    <x v="6"/>
    <x v="6"/>
    <n v="228995"/>
    <n v="15182"/>
    <n v="91425"/>
    <s v=" "/>
    <s v=" "/>
    <m/>
    <n v="163365150"/>
    <n v="0.02"/>
    <n v="3267303"/>
    <m/>
    <n v="11"/>
    <n v="163365150"/>
    <n v="166632453"/>
    <s v=" "/>
    <m/>
    <m/>
    <m/>
    <n v="3437577"/>
    <n v="2926677"/>
    <n v="0"/>
    <n v="157000896"/>
    <m/>
    <n v="163365150"/>
    <s v=" "/>
    <n v="23062689"/>
    <n v="19625112"/>
    <n v="19625112"/>
    <n v="19625112"/>
    <n v="19625112"/>
    <n v="19625112"/>
    <n v="19625112"/>
    <n v="22551789"/>
    <n v="163365150"/>
    <n v="0"/>
    <s v="CONTRATO COSTEADO CON ALIMENTACION"/>
    <b v="1"/>
    <n v="0"/>
    <b v="1"/>
    <n v="0"/>
    <x v="1"/>
    <n v="1893"/>
  </r>
  <r>
    <x v="6"/>
    <s v="LOTE 2"/>
    <x v="4"/>
    <x v="6"/>
    <x v="1"/>
    <x v="0"/>
    <s v="VEREDA LOS PATIOS"/>
    <n v="536800021892"/>
    <s v="CER LOS PATIOS"/>
    <n v="1"/>
    <n v="18"/>
    <m/>
    <n v="1893"/>
    <s v="ARTÍCULO 34 CONTRATACIÓN CON EL REGISTRO ÚNICO DE OFERENTES"/>
    <m/>
    <m/>
    <x v="0"/>
    <x v="0"/>
    <x v="6"/>
    <x v="6"/>
    <n v="228995"/>
    <n v="15182"/>
    <n v="91425"/>
    <s v=" "/>
    <s v=" "/>
    <m/>
    <n v="27347490"/>
    <n v="0.02"/>
    <n v="546949.80000000005"/>
    <m/>
    <n v="12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893"/>
  </r>
  <r>
    <x v="6"/>
    <s v="LOTE 2"/>
    <x v="4"/>
    <x v="6"/>
    <x v="2"/>
    <x v="0"/>
    <s v="KR 2 4 10"/>
    <n v="536800024349"/>
    <s v="RONDIN"/>
    <n v="1"/>
    <n v="85"/>
    <m/>
    <n v="1893"/>
    <s v="ARTÍCULO 34 CONTRATACIÓN CON EL REGISTRO ÚNICO DE OFERENTES"/>
    <m/>
    <m/>
    <x v="0"/>
    <x v="0"/>
    <x v="6"/>
    <x v="6"/>
    <n v="228995"/>
    <n v="15182"/>
    <n v="91425"/>
    <s v=" "/>
    <s v=" "/>
    <m/>
    <n v="356052250"/>
    <n v="0.02"/>
    <n v="7121045"/>
    <m/>
    <n v="13"/>
    <n v="356052250"/>
    <n v="363173295"/>
    <s v=" "/>
    <m/>
    <m/>
    <m/>
    <n v="7492155"/>
    <n v="6378655"/>
    <n v="0"/>
    <n v="342181440"/>
    <m/>
    <n v="356052250"/>
    <s v=" "/>
    <n v="50264835"/>
    <n v="42772680"/>
    <n v="42772680"/>
    <n v="42772680"/>
    <n v="42772680"/>
    <n v="42772680"/>
    <n v="42772680"/>
    <n v="49151335"/>
    <n v="356052250"/>
    <n v="0"/>
    <s v="CONTRATO COSTEADO CON ALIMENTACION"/>
    <b v="1"/>
    <n v="0"/>
    <b v="1"/>
    <n v="0"/>
    <x v="1"/>
    <n v="1893"/>
  </r>
  <r>
    <x v="7"/>
    <s v="LOTE 2"/>
    <x v="4"/>
    <x v="7"/>
    <x v="1"/>
    <x v="0"/>
    <s v="RESGUARDO INDIGENA BERNARDINO PANCHI"/>
    <n v="55761119923"/>
    <s v="SALON SOCIAL VERNARDINO PANCHI"/>
    <n v="1"/>
    <n v="17"/>
    <m/>
    <n v="1895"/>
    <s v="ARTÍCULO 34 CONTRATACIÓN CON EL REGISTRO ÚNICO DE OFERENTES"/>
    <m/>
    <m/>
    <x v="0"/>
    <x v="0"/>
    <x v="7"/>
    <x v="7"/>
    <n v="228998"/>
    <n v="15153"/>
    <n v="90825"/>
    <n v="9"/>
    <n v="228"/>
    <m/>
    <n v="25828185"/>
    <n v="0.02"/>
    <n v="516563.7"/>
    <m/>
    <n v="1"/>
    <n v="25828185"/>
    <n v="26344748.699999999"/>
    <n v="602069861"/>
    <n v="12041397"/>
    <n v="614111258"/>
    <n v="422.95037653670528"/>
    <n v="794648"/>
    <n v="643297"/>
    <n v="0"/>
    <n v="24390240"/>
    <m/>
    <n v="25828185"/>
    <n v="602069861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895"/>
  </r>
  <r>
    <x v="7"/>
    <s v="LOTE 2"/>
    <x v="4"/>
    <x v="7"/>
    <x v="1"/>
    <x v="0"/>
    <s v="VEREDA CALIFORNIA"/>
    <n v="55761134734"/>
    <s v="CER CALIFORNIA_PUEBLORRICO"/>
    <n v="1"/>
    <n v="14"/>
    <m/>
    <n v="1895"/>
    <s v="ARTÍCULO 34 CONTRATACIÓN CON EL REGISTRO ÚNICO DE OFERENTES"/>
    <m/>
    <m/>
    <x v="0"/>
    <x v="0"/>
    <x v="7"/>
    <x v="7"/>
    <n v="228998"/>
    <n v="15153"/>
    <n v="90825"/>
    <s v=" "/>
    <s v=" "/>
    <m/>
    <n v="21270270"/>
    <n v="0.02"/>
    <n v="425405.4"/>
    <m/>
    <n v="2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895"/>
  </r>
  <r>
    <x v="7"/>
    <s v="LOTE 2"/>
    <x v="4"/>
    <x v="7"/>
    <x v="1"/>
    <x v="0"/>
    <s v="VEREDA CORINTO"/>
    <n v="55761134758"/>
    <s v="ESCUELA RURAL CORINTO"/>
    <n v="1"/>
    <n v="20"/>
    <m/>
    <n v="1895"/>
    <s v="ARTÍCULO 34 CONTRATACIÓN CON EL REGISTRO ÚNICO DE OFERENTES"/>
    <m/>
    <m/>
    <x v="0"/>
    <x v="0"/>
    <x v="7"/>
    <x v="7"/>
    <n v="228998"/>
    <n v="15153"/>
    <n v="90825"/>
    <s v=" "/>
    <s v=" "/>
    <m/>
    <n v="30386100"/>
    <n v="0.02"/>
    <n v="607722"/>
    <m/>
    <n v="3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895"/>
  </r>
  <r>
    <x v="7"/>
    <s v="LOTE 2"/>
    <x v="4"/>
    <x v="7"/>
    <x v="1"/>
    <x v="0"/>
    <s v="VEREDA SINAI"/>
    <n v="55761134789"/>
    <s v="IE SINAI"/>
    <n v="1"/>
    <n v="30"/>
    <m/>
    <n v="1895"/>
    <s v="ARTÍCULO 34 CONTRATACIÓN CON EL REGISTRO ÚNICO DE OFERENTES"/>
    <m/>
    <m/>
    <x v="0"/>
    <x v="0"/>
    <x v="7"/>
    <x v="7"/>
    <n v="228998"/>
    <n v="15153"/>
    <n v="90825"/>
    <s v=" "/>
    <s v=" "/>
    <m/>
    <n v="45579150"/>
    <n v="0.02"/>
    <n v="911583"/>
    <m/>
    <n v="4"/>
    <n v="45579150"/>
    <n v="46490733"/>
    <s v=" "/>
    <m/>
    <m/>
    <m/>
    <n v="1402320"/>
    <n v="1135230"/>
    <n v="0"/>
    <n v="43041600"/>
    <m/>
    <n v="45579150"/>
    <s v=" "/>
    <n v="6782520"/>
    <n v="5380200"/>
    <n v="5380200"/>
    <n v="5380200"/>
    <n v="5380200"/>
    <n v="5380200"/>
    <n v="5380200"/>
    <n v="6515430"/>
    <n v="45579150"/>
    <n v="45197040"/>
    <s v="CONTRATO ADICIONAL POR ALIMENTACION"/>
    <b v="1"/>
    <n v="0"/>
    <b v="1"/>
    <n v="0"/>
    <x v="1"/>
    <n v="1895"/>
  </r>
  <r>
    <x v="7"/>
    <s v="LOTE 2"/>
    <x v="4"/>
    <x v="7"/>
    <x v="1"/>
    <x v="0"/>
    <s v="VEREDA LOURDES"/>
    <n v="55761144990"/>
    <s v="CER LOURDES"/>
    <n v="1"/>
    <n v="12"/>
    <m/>
    <n v="1895"/>
    <s v="ARTÍCULO 34 CONTRATACIÓN CON EL REGISTRO ÚNICO DE OFERENTES"/>
    <m/>
    <m/>
    <x v="0"/>
    <x v="0"/>
    <x v="7"/>
    <x v="7"/>
    <n v="228998"/>
    <n v="15153"/>
    <n v="90825"/>
    <s v=" "/>
    <s v=" "/>
    <m/>
    <n v="18231660"/>
    <n v="0.02"/>
    <n v="364633.2"/>
    <m/>
    <n v="5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895"/>
  </r>
  <r>
    <x v="7"/>
    <s v="LOTE 2"/>
    <x v="4"/>
    <x v="7"/>
    <x v="1"/>
    <x v="0"/>
    <s v="CL 29 32 01"/>
    <n v="55761153111"/>
    <s v="SEDE URBANA CENTRO VIDA U"/>
    <n v="1"/>
    <n v="20"/>
    <m/>
    <n v="1895"/>
    <s v="ARTÍCULO 34 CONTRATACIÓN CON EL REGISTRO ÚNICO DE OFERENTES"/>
    <m/>
    <m/>
    <x v="0"/>
    <x v="0"/>
    <x v="7"/>
    <x v="7"/>
    <n v="228998"/>
    <n v="15153"/>
    <n v="90825"/>
    <s v=" "/>
    <s v=" "/>
    <m/>
    <n v="30386100"/>
    <n v="0.02"/>
    <n v="607722"/>
    <m/>
    <n v="6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895"/>
  </r>
  <r>
    <x v="7"/>
    <s v="LOTE 2"/>
    <x v="4"/>
    <x v="7"/>
    <x v="6"/>
    <x v="0"/>
    <s v="MORRON"/>
    <n v="55761154372"/>
    <s v="CER MORRON"/>
    <n v="1"/>
    <n v="12"/>
    <m/>
    <n v="1895"/>
    <s v="ARTÍCULO 34 CONTRATACIÓN CON EL REGISTRO ÚNICO DE OFERENTES"/>
    <m/>
    <m/>
    <x v="0"/>
    <x v="0"/>
    <x v="7"/>
    <x v="7"/>
    <n v="228998"/>
    <n v="15153"/>
    <n v="90825"/>
    <s v=" "/>
    <s v=" "/>
    <m/>
    <n v="36310476"/>
    <n v="0.02"/>
    <n v="726209.52"/>
    <m/>
    <n v="7"/>
    <n v="36310476"/>
    <n v="37036685.520000003"/>
    <s v=" "/>
    <m/>
    <m/>
    <m/>
    <n v="560928"/>
    <n v="454092"/>
    <n v="0"/>
    <n v="35295456"/>
    <m/>
    <n v="36310476"/>
    <s v=" "/>
    <n v="4972860"/>
    <n v="4411932"/>
    <n v="4411932"/>
    <n v="4411932"/>
    <n v="4411932"/>
    <n v="4411932"/>
    <n v="4411932"/>
    <n v="4866024"/>
    <n v="36310476"/>
    <n v="0"/>
    <s v="CONTRATO COSTEADO CON ALIMENTACION"/>
    <b v="1"/>
    <n v="0"/>
    <b v="1"/>
    <n v="0"/>
    <x v="1"/>
    <n v="1895"/>
  </r>
  <r>
    <x v="7"/>
    <s v="LOTE 2"/>
    <x v="4"/>
    <x v="7"/>
    <x v="1"/>
    <x v="0"/>
    <s v="VEREDA BARCINO"/>
    <n v="557600021903"/>
    <s v="SALON SOCIAL EL BARCINO"/>
    <n v="1"/>
    <n v="14"/>
    <m/>
    <n v="1895"/>
    <s v="ARTÍCULO 34 CONTRATACIÓN CON EL REGISTRO ÚNICO DE OFERENTES"/>
    <m/>
    <m/>
    <x v="0"/>
    <x v="0"/>
    <x v="7"/>
    <x v="7"/>
    <n v="228998"/>
    <n v="15153"/>
    <n v="90825"/>
    <s v=" "/>
    <s v=" "/>
    <m/>
    <n v="21270270"/>
    <n v="0.02"/>
    <n v="425405.4"/>
    <m/>
    <n v="8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895"/>
  </r>
  <r>
    <x v="7"/>
    <s v="LOTE 2"/>
    <x v="4"/>
    <x v="7"/>
    <x v="2"/>
    <x v="0"/>
    <s v="CL 30 25 77 SECTOR LA PRADERA"/>
    <n v="557600130582"/>
    <s v="CENTRO DE DESARROLLO INFANTIL PUEBLORRICO"/>
    <n v="1"/>
    <n v="89"/>
    <m/>
    <n v="1895"/>
    <s v="ARTÍCULO 34 CONTRATACIÓN CON EL REGISTRO ÚNICO DE OFERENTES"/>
    <m/>
    <m/>
    <x v="0"/>
    <x v="0"/>
    <x v="7"/>
    <x v="7"/>
    <n v="228998"/>
    <n v="15153"/>
    <n v="90825"/>
    <s v=" "/>
    <s v=" "/>
    <m/>
    <n v="372807650"/>
    <n v="0.02"/>
    <n v="7456153"/>
    <m/>
    <n v="9"/>
    <n v="372807650"/>
    <n v="380263803"/>
    <s v=" "/>
    <m/>
    <m/>
    <m/>
    <n v="7844727"/>
    <n v="6678827"/>
    <n v="0"/>
    <n v="358284096"/>
    <m/>
    <n v="372807650"/>
    <s v=" "/>
    <n v="52630239"/>
    <n v="44785512"/>
    <n v="44785512"/>
    <n v="44785512"/>
    <n v="44785512"/>
    <n v="44785512"/>
    <n v="44785512"/>
    <n v="51464339"/>
    <n v="372807650"/>
    <n v="0"/>
    <s v="CONTRATO COSTEADO CON ALIMENTACION"/>
    <b v="1"/>
    <n v="0"/>
    <b v="1"/>
    <n v="0"/>
    <x v="1"/>
    <n v="1895"/>
  </r>
  <r>
    <x v="8"/>
    <s v="LOTE 2"/>
    <x v="6"/>
    <x v="8"/>
    <x v="3"/>
    <x v="0"/>
    <s v="KR 31 27 17"/>
    <n v="584700088411"/>
    <s v="HOGAR INFANTIL PILATUNAS"/>
    <n v="1"/>
    <n v="83"/>
    <m/>
    <n v="1896"/>
    <s v="ARTÍCULO 34 CONTRATACIÓN CON EL REGISTRO ÚNICO DE OFERENTES"/>
    <m/>
    <m/>
    <x v="0"/>
    <x v="0"/>
    <x v="8"/>
    <x v="8"/>
    <n v="229060"/>
    <n v="15174"/>
    <n v="81925"/>
    <n v="4"/>
    <n v="385"/>
    <m/>
    <n v="347674550"/>
    <n v="0.02"/>
    <n v="6953491"/>
    <m/>
    <n v="1"/>
    <n v="347674550"/>
    <n v="354628041"/>
    <n v="1655153954"/>
    <n v="33103079"/>
    <n v="1688257033"/>
    <n v="1162.735478749561"/>
    <n v="7315869"/>
    <n v="6228569"/>
    <n v="0"/>
    <n v="334130112"/>
    <m/>
    <n v="347674550"/>
    <n v="1655153954"/>
    <n v="49082133"/>
    <n v="41766264"/>
    <n v="41766264"/>
    <n v="41766264"/>
    <n v="41766264"/>
    <n v="41766264"/>
    <n v="41766264"/>
    <n v="47994833"/>
    <n v="347674550"/>
    <n v="0"/>
    <s v="CONTRATO COSTEADO CON ALIMENTACION"/>
    <b v="1"/>
    <n v="0"/>
    <b v="1"/>
    <n v="0"/>
    <x v="1"/>
    <m/>
  </r>
  <r>
    <x v="8"/>
    <s v="LOTE 2"/>
    <x v="6"/>
    <x v="8"/>
    <x v="4"/>
    <x v="0"/>
    <s v="KR 32 28 N 23  LA RONDA"/>
    <n v="584700105330"/>
    <s v="LOS EXPLORADORES"/>
    <n v="1"/>
    <n v="120"/>
    <m/>
    <n v="1896"/>
    <s v="ARTÍCULO 34 CONTRATACIÓN CON EL REGISTRO ÚNICO DE OFERENTES"/>
    <m/>
    <m/>
    <x v="0"/>
    <x v="0"/>
    <x v="8"/>
    <x v="8"/>
    <n v="229060"/>
    <n v="15174"/>
    <n v="81925"/>
    <s v=" "/>
    <s v=" "/>
    <m/>
    <n v="519528240"/>
    <n v="0.02"/>
    <n v="10390564.800000001"/>
    <m/>
    <n v="2"/>
    <n v="519528240"/>
    <n v="529918804.80000001"/>
    <s v=" "/>
    <m/>
    <m/>
    <m/>
    <n v="10577160"/>
    <n v="9005160"/>
    <n v="0"/>
    <n v="499945920"/>
    <m/>
    <n v="519528240"/>
    <s v=" "/>
    <n v="73070400"/>
    <n v="62493240"/>
    <n v="62493240"/>
    <n v="62493240"/>
    <n v="62493240"/>
    <n v="62493240"/>
    <n v="62493240"/>
    <n v="71498400"/>
    <n v="519528240"/>
    <n v="0"/>
    <s v="CONTRATO COSTEADO CON ALIMENTACION"/>
    <b v="1"/>
    <n v="0"/>
    <b v="1"/>
    <n v="0"/>
    <x v="1"/>
    <m/>
  </r>
  <r>
    <x v="8"/>
    <s v="LOTE 2"/>
    <x v="6"/>
    <x v="8"/>
    <x v="4"/>
    <x v="0"/>
    <s v="KR 31 N 22 84  PLAZUELA"/>
    <n v="584700105331"/>
    <s v="LOS CREADORES"/>
    <n v="1"/>
    <n v="92"/>
    <m/>
    <n v="1896"/>
    <s v="ARTÍCULO 34 CONTRATACIÓN CON EL REGISTRO ÚNICO DE OFERENTES"/>
    <m/>
    <m/>
    <x v="0"/>
    <x v="0"/>
    <x v="8"/>
    <x v="8"/>
    <n v="229060"/>
    <n v="15174"/>
    <n v="81925"/>
    <s v=" "/>
    <s v=" "/>
    <m/>
    <n v="398304984"/>
    <n v="0.02"/>
    <n v="7966099.6799999997"/>
    <m/>
    <n v="3"/>
    <n v="398304984"/>
    <n v="406271083.68000001"/>
    <s v=" "/>
    <m/>
    <m/>
    <m/>
    <n v="8109156"/>
    <n v="6903956"/>
    <n v="0"/>
    <n v="383291872"/>
    <m/>
    <n v="398304984"/>
    <s v=" "/>
    <n v="56020640"/>
    <n v="47911484"/>
    <n v="47911484"/>
    <n v="47911484"/>
    <n v="47911484"/>
    <n v="47911484"/>
    <n v="47911484"/>
    <n v="54815440"/>
    <n v="398304984"/>
    <n v="0"/>
    <s v="CONTRATO COSTEADO CON ALIMENTACION"/>
    <b v="1"/>
    <n v="0"/>
    <b v="1"/>
    <n v="0"/>
    <x v="1"/>
    <m/>
  </r>
  <r>
    <x v="8"/>
    <s v="LOTE 2"/>
    <x v="6"/>
    <x v="8"/>
    <x v="4"/>
    <x v="0"/>
    <s v="CL 40 22 181 JAIPERA"/>
    <n v="584700116476"/>
    <s v="IMAGINADORES"/>
    <n v="1"/>
    <n v="90"/>
    <m/>
    <n v="1896"/>
    <s v="ARTÍCULO 34 CONTRATACIÓN CON EL REGISTRO ÚNICO DE OFERENTES"/>
    <m/>
    <m/>
    <x v="0"/>
    <x v="0"/>
    <x v="8"/>
    <x v="8"/>
    <n v="229060"/>
    <n v="15174"/>
    <n v="81925"/>
    <s v=" "/>
    <s v=" "/>
    <m/>
    <n v="389646180"/>
    <n v="0.02"/>
    <n v="7792923.6000000006"/>
    <m/>
    <n v="4"/>
    <n v="389646180"/>
    <n v="397439103.60000002"/>
    <s v=" "/>
    <m/>
    <m/>
    <m/>
    <n v="7932870"/>
    <n v="6753870"/>
    <n v="0"/>
    <n v="374959440"/>
    <m/>
    <n v="389646180"/>
    <s v=" "/>
    <n v="54802800"/>
    <n v="46869930"/>
    <n v="46869930"/>
    <n v="46869930"/>
    <n v="46869930"/>
    <n v="46869930"/>
    <n v="46869930"/>
    <n v="53623800"/>
    <n v="389646180"/>
    <n v="0"/>
    <s v="CONTRATO COSTEADO CON ALIMENTACION"/>
    <b v="1"/>
    <n v="0"/>
    <b v="1"/>
    <n v="0"/>
    <x v="1"/>
    <m/>
  </r>
  <r>
    <x v="9"/>
    <s v="LOTE 2"/>
    <x v="6"/>
    <x v="8"/>
    <x v="5"/>
    <x v="0"/>
    <s v="OROBUGO MEDIO"/>
    <n v="58471119737"/>
    <s v="C COMUNAL OROBUGO MEDIO"/>
    <n v="1"/>
    <n v="21"/>
    <m/>
    <n v="1897"/>
    <s v="ARTÍCULO 34 CONTRATACIÓN CON EL REGISTRO ÚNICO DE OFERENTES"/>
    <m/>
    <m/>
    <x v="0"/>
    <x v="0"/>
    <x v="9"/>
    <x v="9"/>
    <n v="229183"/>
    <n v="16469"/>
    <n v="95625"/>
    <n v="37"/>
    <n v="955"/>
    <m/>
    <n v="45784053"/>
    <n v="0.02"/>
    <n v="915681.06"/>
    <m/>
    <n v="1"/>
    <n v="45784053"/>
    <n v="46699734.060000002"/>
    <n v="2082084315"/>
    <n v="41641686"/>
    <n v="2123726001"/>
    <n v="1462.6514330874604"/>
    <n v="1036896"/>
    <n v="861609"/>
    <n v="611100"/>
    <n v="43274448"/>
    <m/>
    <n v="45784053"/>
    <n v="2082084315"/>
    <n v="7057302"/>
    <n v="5409306"/>
    <n v="5409306"/>
    <n v="5409306"/>
    <n v="5409306"/>
    <n v="5409306"/>
    <n v="5409306"/>
    <n v="6270915"/>
    <n v="45784053"/>
    <n v="30304344"/>
    <s v="CONTRATACIÓN ALIMENTOS - DPI"/>
    <b v="1"/>
    <n v="0"/>
    <b v="1"/>
    <n v="0"/>
    <x v="2"/>
    <m/>
  </r>
  <r>
    <x v="9"/>
    <s v="LOTE 2"/>
    <x v="6"/>
    <x v="8"/>
    <x v="5"/>
    <x v="0"/>
    <s v="LA CARTAGENA"/>
    <n v="58471119739"/>
    <s v="C COMUNAL LA CARTAGENA 1"/>
    <n v="1"/>
    <n v="14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30522702"/>
    <n v="0.02"/>
    <n v="610454.04"/>
    <m/>
    <n v="2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2"/>
    <m/>
  </r>
  <r>
    <x v="9"/>
    <s v="LOTE 2"/>
    <x v="6"/>
    <x v="8"/>
    <x v="5"/>
    <x v="0"/>
    <s v="LA HONDA"/>
    <n v="58471119740"/>
    <s v="C COMUNAL LA HONDA_URRAO"/>
    <n v="1"/>
    <n v="16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34883088"/>
    <n v="0.02"/>
    <n v="697661.76"/>
    <m/>
    <n v="3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2"/>
    <m/>
  </r>
  <r>
    <x v="9"/>
    <s v="LOTE 2"/>
    <x v="6"/>
    <x v="8"/>
    <x v="5"/>
    <x v="0"/>
    <s v="LA LOMA"/>
    <n v="58471119742"/>
    <s v="C COMUNAL LA LOMA_URRAO"/>
    <n v="1"/>
    <n v="22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47964246"/>
    <n v="0.02"/>
    <n v="959284.92"/>
    <m/>
    <n v="4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ACIÓN ALIMENTOS - DPI"/>
    <b v="1"/>
    <n v="0"/>
    <b v="1"/>
    <n v="0"/>
    <x v="2"/>
    <m/>
  </r>
  <r>
    <x v="9"/>
    <s v="LOTE 2"/>
    <x v="6"/>
    <x v="8"/>
    <x v="5"/>
    <x v="0"/>
    <s v="SAN MATIAS"/>
    <n v="58471119743"/>
    <s v="C COMUNAL SAN MATIAS 1"/>
    <n v="1"/>
    <n v="20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43603860"/>
    <n v="0.02"/>
    <n v="872077.20000000007"/>
    <m/>
    <n v="5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2"/>
    <m/>
  </r>
  <r>
    <x v="9"/>
    <s v="LOTE 2"/>
    <x v="6"/>
    <x v="8"/>
    <x v="5"/>
    <x v="0"/>
    <s v="VIA MUNICIPIO BETULIA"/>
    <n v="58471119744"/>
    <s v="SAN CARLOS CASA DE ELENITA"/>
    <n v="1"/>
    <n v="11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23982123"/>
    <n v="0.02"/>
    <n v="479642.46"/>
    <m/>
    <n v="6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ACIÓN ALIMENTOS - DPI"/>
    <b v="1"/>
    <n v="0"/>
    <b v="1"/>
    <n v="0"/>
    <x v="2"/>
    <m/>
  </r>
  <r>
    <x v="9"/>
    <s v="LOTE 2"/>
    <x v="6"/>
    <x v="8"/>
    <x v="5"/>
    <x v="0"/>
    <s v="VIA EL CORREGIMIENTO LA ENCARNACIÓN"/>
    <n v="58471136588"/>
    <s v="LOS BARRANCOS CASA DEL SEÑOR ANDRES HERRERA"/>
    <n v="1"/>
    <n v="22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47964246"/>
    <n v="0.02"/>
    <n v="959284.92"/>
    <m/>
    <n v="7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ACIÓN ALIMENTOS - DPI"/>
    <b v="1"/>
    <n v="0"/>
    <b v="1"/>
    <n v="0"/>
    <x v="2"/>
    <m/>
  </r>
  <r>
    <x v="9"/>
    <s v="LOTE 2"/>
    <x v="6"/>
    <x v="8"/>
    <x v="5"/>
    <x v="0"/>
    <s v="PAVÓN"/>
    <n v="58471136589"/>
    <s v="C COMUNAL PAVÓN CONCENTRACIÓN"/>
    <n v="1"/>
    <n v="21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45784053"/>
    <n v="0.02"/>
    <n v="915681.06"/>
    <m/>
    <n v="8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ACIÓN ALIMENTOS - DPI"/>
    <b v="1"/>
    <n v="0"/>
    <b v="1"/>
    <n v="0"/>
    <x v="2"/>
    <m/>
  </r>
  <r>
    <x v="9"/>
    <s v="LOTE 2"/>
    <x v="6"/>
    <x v="8"/>
    <x v="5"/>
    <x v="0"/>
    <s v="ORILLA DE CARRETERA VEREDA LA QUIEBRA"/>
    <n v="58471136598"/>
    <s v="CASETA COMUNAL LA QUIEBRA"/>
    <n v="1"/>
    <n v="41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89387913"/>
    <n v="0.02"/>
    <n v="1787758.26"/>
    <m/>
    <n v="9"/>
    <n v="89387913"/>
    <n v="91175671.260000005"/>
    <s v=" "/>
    <m/>
    <m/>
    <m/>
    <n v="2024416"/>
    <n v="1682189"/>
    <n v="1193100"/>
    <n v="84488208"/>
    <m/>
    <n v="89387913"/>
    <s v=" "/>
    <n v="13778542"/>
    <n v="10561026"/>
    <n v="10561026"/>
    <n v="10561026"/>
    <n v="10561026"/>
    <n v="10561026"/>
    <n v="10561026"/>
    <n v="12243215"/>
    <n v="89387913"/>
    <n v="59165624"/>
    <s v="CONTRATACIÓN ALIMENTOS - DPI"/>
    <b v="1"/>
    <n v="0"/>
    <b v="1"/>
    <n v="0"/>
    <x v="2"/>
    <m/>
  </r>
  <r>
    <x v="9"/>
    <s v="LOTE 2"/>
    <x v="6"/>
    <x v="8"/>
    <x v="5"/>
    <x v="0"/>
    <s v="GUAPANTAL"/>
    <n v="58471136602"/>
    <s v="C COMUNAL GUAPANTAL"/>
    <n v="1"/>
    <n v="16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34883088"/>
    <n v="0.02"/>
    <n v="697661.76"/>
    <m/>
    <n v="10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2"/>
    <m/>
  </r>
  <r>
    <x v="9"/>
    <s v="LOTE 2"/>
    <x v="6"/>
    <x v="8"/>
    <x v="5"/>
    <x v="0"/>
    <s v="PAVÓN EL PORVENIR"/>
    <n v="58471136604"/>
    <s v="C COMUNAL PAVÓN PORVENIR"/>
    <n v="1"/>
    <n v="12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26162316"/>
    <n v="0.02"/>
    <n v="523246.32"/>
    <m/>
    <n v="11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ACIÓN ALIMENTOS - DPI"/>
    <b v="1"/>
    <n v="0"/>
    <b v="1"/>
    <n v="0"/>
    <x v="2"/>
    <m/>
  </r>
  <r>
    <x v="9"/>
    <s v="LOTE 2"/>
    <x v="6"/>
    <x v="8"/>
    <x v="5"/>
    <x v="0"/>
    <s v="ARENALES"/>
    <n v="58471136605"/>
    <s v="C COMUNAL ARENALES"/>
    <n v="1"/>
    <n v="26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56685018"/>
    <n v="0.02"/>
    <n v="1133700.3600000001"/>
    <m/>
    <n v="12"/>
    <n v="56685018"/>
    <n v="57818718.359999999"/>
    <s v=" "/>
    <m/>
    <m/>
    <m/>
    <n v="1283776"/>
    <n v="1066754"/>
    <n v="756600"/>
    <n v="53577888"/>
    <m/>
    <n v="56685018"/>
    <s v=" "/>
    <n v="8737612"/>
    <n v="6697236"/>
    <n v="6697236"/>
    <n v="6697236"/>
    <n v="6697236"/>
    <n v="6697236"/>
    <n v="6697236"/>
    <n v="7763990"/>
    <n v="56685018"/>
    <n v="37519664"/>
    <s v="CONTRATACIÓN ALIMENTOS - DPI"/>
    <b v="1"/>
    <n v="0"/>
    <b v="1"/>
    <n v="0"/>
    <x v="2"/>
    <m/>
  </r>
  <r>
    <x v="9"/>
    <s v="LOTE 2"/>
    <x v="6"/>
    <x v="8"/>
    <x v="5"/>
    <x v="0"/>
    <s v="QUEBRADA EL SALADO ARRIBA"/>
    <n v="58471136609"/>
    <s v="C COMUNAL QUEBRADA SALADO ARRIBA"/>
    <n v="1"/>
    <n v="9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19621737"/>
    <n v="0.02"/>
    <n v="392434.74"/>
    <m/>
    <n v="13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ACIÓN ALIMENTOS - DPI"/>
    <b v="1"/>
    <n v="0"/>
    <b v="1"/>
    <n v="0"/>
    <x v="2"/>
    <m/>
  </r>
  <r>
    <x v="9"/>
    <s v="LOTE 2"/>
    <x v="6"/>
    <x v="8"/>
    <x v="5"/>
    <x v="0"/>
    <s v="PRINGAMOSAL"/>
    <n v="58471136612"/>
    <s v="C COMUNAL PRINGAMOSAL"/>
    <n v="1"/>
    <n v="20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43603860"/>
    <n v="0.02"/>
    <n v="872077.20000000007"/>
    <m/>
    <n v="1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2"/>
    <m/>
  </r>
  <r>
    <x v="9"/>
    <s v="LOTE 2"/>
    <x v="6"/>
    <x v="8"/>
    <x v="5"/>
    <x v="0"/>
    <s v="LA VENTA"/>
    <n v="58471136617"/>
    <s v="C COMUNAL LA VENTA"/>
    <n v="1"/>
    <n v="23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50144439"/>
    <n v="0.02"/>
    <n v="1002888.78"/>
    <m/>
    <n v="15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ACIÓN ALIMENTOS - DPI"/>
    <b v="1"/>
    <n v="0"/>
    <b v="1"/>
    <n v="0"/>
    <x v="2"/>
    <m/>
  </r>
  <r>
    <x v="9"/>
    <s v="LOTE 2"/>
    <x v="6"/>
    <x v="8"/>
    <x v="5"/>
    <x v="0"/>
    <s v="LOS QUEMADOS"/>
    <n v="58471136618"/>
    <s v="C COMUNAL LOS QUEMADOS"/>
    <n v="1"/>
    <n v="13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28342509"/>
    <n v="0.02"/>
    <n v="566850.18000000005"/>
    <m/>
    <n v="16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ACIÓN ALIMENTOS - DPI"/>
    <b v="1"/>
    <n v="0"/>
    <b v="1"/>
    <n v="0"/>
    <x v="2"/>
    <m/>
  </r>
  <r>
    <x v="9"/>
    <s v="LOTE 2"/>
    <x v="6"/>
    <x v="8"/>
    <x v="5"/>
    <x v="0"/>
    <s v="SANTA CATALINA"/>
    <n v="58471136624"/>
    <s v="C COMUNAL SANTA CATALINA"/>
    <n v="1"/>
    <n v="23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50144439"/>
    <n v="0.02"/>
    <n v="1002888.78"/>
    <m/>
    <n v="17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ACIÓN ALIMENTOS - DPI"/>
    <b v="1"/>
    <n v="0"/>
    <b v="1"/>
    <n v="0"/>
    <x v="2"/>
    <m/>
  </r>
  <r>
    <x v="9"/>
    <s v="LOTE 2"/>
    <x v="6"/>
    <x v="8"/>
    <x v="5"/>
    <x v="0"/>
    <s v="SANTA ISABEL"/>
    <n v="58471136630"/>
    <s v="C COMUNAL SANTA ISABEL_URRAO"/>
    <n v="1"/>
    <n v="8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17441544"/>
    <n v="0.02"/>
    <n v="348830.88"/>
    <m/>
    <n v="18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ACIÓN ALIMENTOS - DPI"/>
    <b v="1"/>
    <n v="0"/>
    <b v="1"/>
    <n v="0"/>
    <x v="2"/>
    <m/>
  </r>
  <r>
    <x v="9"/>
    <s v="LOTE 2"/>
    <x v="6"/>
    <x v="8"/>
    <x v="5"/>
    <x v="0"/>
    <s v="SAN JOSÉ ARRIBA"/>
    <n v="58471136668"/>
    <s v="CER MONTAÑITAS"/>
    <n v="1"/>
    <n v="11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23982123"/>
    <n v="0.02"/>
    <n v="479642.46"/>
    <m/>
    <n v="19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ACIÓN ALIMENTOS - DPI"/>
    <b v="1"/>
    <n v="0"/>
    <b v="1"/>
    <n v="0"/>
    <x v="2"/>
    <m/>
  </r>
  <r>
    <x v="9"/>
    <s v="LOTE 2"/>
    <x v="6"/>
    <x v="8"/>
    <x v="5"/>
    <x v="0"/>
    <s v="VIA EL SIRENO"/>
    <n v="58471136670"/>
    <s v="C COMUNAL SABANAS"/>
    <n v="1"/>
    <n v="19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41423667"/>
    <n v="0.02"/>
    <n v="828473.34"/>
    <m/>
    <n v="20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ACIÓN ALIMENTOS - DPI"/>
    <b v="1"/>
    <n v="0"/>
    <b v="1"/>
    <n v="0"/>
    <x v="2"/>
    <m/>
  </r>
  <r>
    <x v="9"/>
    <s v="LOTE 2"/>
    <x v="6"/>
    <x v="8"/>
    <x v="5"/>
    <x v="0"/>
    <s v="LA CARTAGENA"/>
    <n v="58471136694"/>
    <s v="C COMUNAL CARTAGENA 2"/>
    <n v="1"/>
    <n v="21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45784053"/>
    <n v="0.02"/>
    <n v="915681.06"/>
    <m/>
    <n v="21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ACIÓN ALIMENTOS - DPI"/>
    <b v="1"/>
    <n v="0"/>
    <b v="1"/>
    <n v="0"/>
    <x v="2"/>
    <m/>
  </r>
  <r>
    <x v="9"/>
    <s v="LOTE 2"/>
    <x v="6"/>
    <x v="8"/>
    <x v="5"/>
    <x v="0"/>
    <s v="EL VOLCÁN"/>
    <n v="58471136696"/>
    <s v="CER VOLCAN"/>
    <n v="1"/>
    <n v="9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19621737"/>
    <n v="0.02"/>
    <n v="392434.74"/>
    <m/>
    <n v="22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ACIÓN ALIMENTOS - DPI"/>
    <b v="1"/>
    <n v="0"/>
    <b v="1"/>
    <n v="0"/>
    <x v="2"/>
    <m/>
  </r>
  <r>
    <x v="9"/>
    <s v="LOTE 2"/>
    <x v="6"/>
    <x v="8"/>
    <x v="5"/>
    <x v="0"/>
    <s v="SAN LUIS"/>
    <n v="58471136753"/>
    <s v="C COMUNAL SAN LUIS 1"/>
    <n v="1"/>
    <n v="20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43603860"/>
    <n v="0.02"/>
    <n v="872077.20000000007"/>
    <m/>
    <n v="23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2"/>
    <m/>
  </r>
  <r>
    <x v="9"/>
    <s v="LOTE 2"/>
    <x v="6"/>
    <x v="8"/>
    <x v="5"/>
    <x v="0"/>
    <s v="LA SAN JOSE"/>
    <n v="58471143636"/>
    <s v="C COMUNAL LA SAN JOSE"/>
    <n v="1"/>
    <n v="18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39243474"/>
    <n v="0.02"/>
    <n v="784869.48"/>
    <m/>
    <n v="24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2"/>
    <m/>
  </r>
  <r>
    <x v="9"/>
    <s v="LOTE 2"/>
    <x v="6"/>
    <x v="8"/>
    <x v="5"/>
    <x v="0"/>
    <s v="EL SIRENO"/>
    <n v="58471143696"/>
    <s v="C COMUNAL EL SIRENO"/>
    <n v="1"/>
    <n v="23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50144439"/>
    <n v="0.02"/>
    <n v="1002888.78"/>
    <m/>
    <n v="25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ACIÓN ALIMENTOS - DPI"/>
    <b v="1"/>
    <n v="0"/>
    <b v="1"/>
    <n v="0"/>
    <x v="2"/>
    <m/>
  </r>
  <r>
    <x v="9"/>
    <s v="LOTE 2"/>
    <x v="6"/>
    <x v="8"/>
    <x v="5"/>
    <x v="0"/>
    <s v="VIA EL SIRENO"/>
    <n v="58471144412"/>
    <s v="C COMUNAL EL MARAVILLO"/>
    <n v="1"/>
    <n v="13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28342509"/>
    <n v="0.02"/>
    <n v="566850.18000000005"/>
    <m/>
    <n v="26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ACIÓN ALIMENTOS - DPI"/>
    <b v="1"/>
    <n v="0"/>
    <b v="1"/>
    <n v="0"/>
    <x v="2"/>
    <m/>
  </r>
  <r>
    <x v="9"/>
    <s v="LOTE 2"/>
    <x v="6"/>
    <x v="8"/>
    <x v="5"/>
    <x v="0"/>
    <s v="LA HONDA"/>
    <n v="58471148728"/>
    <s v="C COMUNAL EL SALVADOR 2"/>
    <n v="1"/>
    <n v="11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23982123"/>
    <n v="0.02"/>
    <n v="479642.46"/>
    <m/>
    <n v="27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ACIÓN ALIMENTOS - DPI"/>
    <b v="1"/>
    <n v="0"/>
    <b v="1"/>
    <n v="0"/>
    <x v="2"/>
    <m/>
  </r>
  <r>
    <x v="9"/>
    <s v="LOTE 2"/>
    <x v="6"/>
    <x v="8"/>
    <x v="5"/>
    <x v="0"/>
    <s v="VEREDA EL CHUSCAL VIA CAICEDO"/>
    <n v="58471152968"/>
    <s v="C COMUNAL EL CHUSCAL"/>
    <n v="1"/>
    <n v="15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32702895"/>
    <n v="0.02"/>
    <n v="654057.9"/>
    <m/>
    <n v="28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2"/>
    <m/>
  </r>
  <r>
    <x v="9"/>
    <s v="LOTE 2"/>
    <x v="6"/>
    <x v="8"/>
    <x v="5"/>
    <x v="0"/>
    <s v="VIA AL COREGIMIENTO DE LA ENCANACIÓN"/>
    <n v="58471152969"/>
    <s v="C COMUNAL LA ENCARNACIÓN"/>
    <n v="1"/>
    <n v="19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41423667"/>
    <n v="0.02"/>
    <n v="828473.34"/>
    <m/>
    <n v="29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ACIÓN ALIMENTOS - DPI"/>
    <b v="1"/>
    <n v="0"/>
    <b v="1"/>
    <n v="0"/>
    <x v="2"/>
    <m/>
  </r>
  <r>
    <x v="9"/>
    <s v="LOTE 2"/>
    <x v="6"/>
    <x v="8"/>
    <x v="5"/>
    <x v="0"/>
    <s v="VEREDA SALVADOR VIA CORREGIMIENTO ALTAMIRA"/>
    <n v="58471152970"/>
    <s v="C COMUNAL EL SALVADOR"/>
    <n v="1"/>
    <n v="12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26162316"/>
    <n v="0.02"/>
    <n v="523246.32"/>
    <m/>
    <n v="30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ACIÓN ALIMENTOS - DPI"/>
    <b v="1"/>
    <n v="0"/>
    <b v="1"/>
    <n v="0"/>
    <x v="2"/>
    <m/>
  </r>
  <r>
    <x v="9"/>
    <s v="LOTE 2"/>
    <x v="6"/>
    <x v="8"/>
    <x v="5"/>
    <x v="0"/>
    <s v="VEREDA EL PASO VIA CAICEDO"/>
    <n v="58471152984"/>
    <s v="C COMUNAL EL PASO"/>
    <n v="1"/>
    <n v="20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43603860"/>
    <n v="0.02"/>
    <n v="872077.20000000007"/>
    <m/>
    <n v="31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2"/>
    <m/>
  </r>
  <r>
    <x v="9"/>
    <s v="LOTE 2"/>
    <x v="6"/>
    <x v="8"/>
    <x v="5"/>
    <x v="0"/>
    <s v="VIA AL TUNAL CORREGIMIENTO LA ENCARNACIÓN"/>
    <n v="58471152985"/>
    <s v="C COMUNAL EL TUNAL"/>
    <n v="1"/>
    <n v="22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47964246"/>
    <n v="0.02"/>
    <n v="959284.92"/>
    <m/>
    <n v="32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ACIÓN ALIMENTOS - DPI"/>
    <b v="1"/>
    <n v="0"/>
    <b v="1"/>
    <n v="0"/>
    <x v="2"/>
    <m/>
  </r>
  <r>
    <x v="9"/>
    <s v="LOTE 2"/>
    <x v="6"/>
    <x v="8"/>
    <x v="5"/>
    <x v="0"/>
    <s v="VEREDA LA ANA VIA A CAICEDO"/>
    <n v="58471152988"/>
    <s v="C COMUNAL LA ANA"/>
    <n v="1"/>
    <n v="11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23982123"/>
    <n v="0.02"/>
    <n v="479642.46"/>
    <m/>
    <n v="33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ACIÓN ALIMENTOS - DPI"/>
    <b v="1"/>
    <n v="0"/>
    <b v="1"/>
    <n v="0"/>
    <x v="2"/>
    <m/>
  </r>
  <r>
    <x v="9"/>
    <s v="LOTE 2"/>
    <x v="6"/>
    <x v="8"/>
    <x v="5"/>
    <x v="0"/>
    <s v="VEREDA EL SALADITO"/>
    <n v="58471153055"/>
    <s v="C COMUNAL EL SALADITO"/>
    <n v="1"/>
    <n v="9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19621737"/>
    <n v="0.02"/>
    <n v="392434.74"/>
    <m/>
    <n v="34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ACIÓN ALIMENTOS - DPI"/>
    <b v="1"/>
    <n v="0"/>
    <b v="1"/>
    <n v="0"/>
    <x v="2"/>
    <m/>
  </r>
  <r>
    <x v="9"/>
    <s v="LOTE 2"/>
    <x v="6"/>
    <x v="8"/>
    <x v="5"/>
    <x v="0"/>
    <s v="GUABINA INDIGENA"/>
    <n v="58471155778"/>
    <s v="GUABINA INDIGENA "/>
    <n v="1"/>
    <n v="103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224559879"/>
    <n v="0.02"/>
    <n v="4491197.58"/>
    <m/>
    <n v="35"/>
    <n v="224559879"/>
    <n v="229051076.58000001"/>
    <s v=" "/>
    <m/>
    <m/>
    <m/>
    <n v="5085728"/>
    <n v="4225987"/>
    <n v="2997300"/>
    <n v="212250864"/>
    <m/>
    <n v="224559879"/>
    <s v=" "/>
    <n v="34614386"/>
    <n v="26531358"/>
    <n v="26531358"/>
    <n v="26531358"/>
    <n v="26531358"/>
    <n v="26531358"/>
    <n v="26531358"/>
    <n v="30757345"/>
    <n v="224559879"/>
    <n v="148635592"/>
    <s v="CONTRATACIÓN ALIMENTOS - DPI"/>
    <b v="1"/>
    <n v="0"/>
    <b v="1"/>
    <n v="0"/>
    <x v="2"/>
    <m/>
  </r>
  <r>
    <x v="9"/>
    <s v="LOTE 2"/>
    <x v="6"/>
    <x v="8"/>
    <x v="5"/>
    <x v="0"/>
    <s v="MANDE"/>
    <n v="58471155779"/>
    <s v="MANDE "/>
    <n v="1"/>
    <n v="106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231100458"/>
    <n v="0.02"/>
    <n v="4622009.16"/>
    <m/>
    <n v="36"/>
    <n v="231100458"/>
    <n v="235722467.16"/>
    <s v=" "/>
    <m/>
    <m/>
    <m/>
    <n v="5233856"/>
    <n v="4349074"/>
    <n v="3084600"/>
    <n v="218432928"/>
    <m/>
    <n v="231100458"/>
    <s v=" "/>
    <n v="35622572"/>
    <n v="27304116"/>
    <n v="27304116"/>
    <n v="27304116"/>
    <n v="27304116"/>
    <n v="27304116"/>
    <n v="27304116"/>
    <n v="31653190"/>
    <n v="231100458"/>
    <n v="152964784"/>
    <s v="CONTRATACIÓN ALIMENTOS - DPI"/>
    <b v="1"/>
    <n v="0"/>
    <b v="1"/>
    <n v="0"/>
    <x v="2"/>
    <m/>
  </r>
  <r>
    <x v="9"/>
    <s v="LOTE 2"/>
    <x v="6"/>
    <x v="8"/>
    <x v="5"/>
    <x v="0"/>
    <s v="NOCONDÓ"/>
    <n v="58471155780"/>
    <s v="NOCONDÓ"/>
    <n v="1"/>
    <n v="155"/>
    <m/>
    <n v="1897"/>
    <s v="ARTÍCULO 34 CONTRATACIÓN CON EL REGISTRO ÚNICO DE OFERENTES"/>
    <m/>
    <m/>
    <x v="0"/>
    <x v="0"/>
    <x v="9"/>
    <x v="9"/>
    <n v="229183"/>
    <n v="16469"/>
    <n v="95625"/>
    <s v=" "/>
    <s v=" "/>
    <m/>
    <n v="337929915"/>
    <n v="0.02"/>
    <n v="6758598.2999999998"/>
    <m/>
    <n v="37"/>
    <n v="337929915"/>
    <n v="344688513.30000001"/>
    <s v=" "/>
    <m/>
    <m/>
    <m/>
    <n v="7653280"/>
    <n v="6359495"/>
    <n v="4510500"/>
    <n v="319406640"/>
    <m/>
    <n v="337929915"/>
    <s v=" "/>
    <n v="52089610"/>
    <n v="39925830"/>
    <n v="39925830"/>
    <n v="39925830"/>
    <n v="39925830"/>
    <n v="39925830"/>
    <n v="39925830"/>
    <n v="46285325"/>
    <n v="337929915"/>
    <n v="223674920"/>
    <s v="CONTRATACIÓN ALIMENTOS - DPI"/>
    <b v="1"/>
    <n v="0"/>
    <b v="1"/>
    <n v="0"/>
    <x v="2"/>
    <m/>
  </r>
  <r>
    <x v="10"/>
    <s v="LOTE 2"/>
    <x v="7"/>
    <x v="9"/>
    <x v="5"/>
    <x v="0"/>
    <s v="VEREDA MUSINGUITA"/>
    <n v="52841119128"/>
    <s v="ESCUELA MUSINGUITA"/>
    <n v="1"/>
    <n v="13"/>
    <m/>
    <n v="1899"/>
    <s v="ARTÍCULO 34 CONTRATACIÓN CON EL REGISTRO ÚNICO DE OFERENTES"/>
    <m/>
    <m/>
    <x v="0"/>
    <x v="0"/>
    <x v="10"/>
    <x v="10"/>
    <n v="229952"/>
    <e v="#N/A"/>
    <e v="#N/A"/>
    <n v="27"/>
    <n v="659"/>
    <m/>
    <n v="28342509"/>
    <n v="0.02"/>
    <n v="566850.18000000005"/>
    <m/>
    <n v="1"/>
    <n v="28342509"/>
    <n v="28909359.18"/>
    <n v="1769874582"/>
    <n v="35397492"/>
    <n v="1805272074"/>
    <n v="1243.3260147523708"/>
    <n v="641888"/>
    <n v="533377"/>
    <n v="378300"/>
    <n v="26788944"/>
    <m/>
    <n v="28342509"/>
    <n v="1769874582"/>
    <n v="4368806"/>
    <n v="3348618"/>
    <n v="3348618"/>
    <n v="3348618"/>
    <n v="3348618"/>
    <n v="3348618"/>
    <n v="3348618"/>
    <n v="3881995"/>
    <n v="28342509"/>
    <n v="18759832"/>
    <s v="CONTRATACIÓN ALIMENTOS - DPI"/>
    <b v="1"/>
    <n v="0"/>
    <b v="1"/>
    <n v="0"/>
    <x v="0"/>
    <m/>
  </r>
  <r>
    <x v="10"/>
    <s v="LOTE 2"/>
    <x v="7"/>
    <x v="9"/>
    <x v="5"/>
    <x v="0"/>
    <s v="VEREDA EL RAYO"/>
    <n v="52841119130"/>
    <s v="CASA DE FAMILIA EL RAYO"/>
    <n v="1"/>
    <n v="13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28342509"/>
    <n v="0.02"/>
    <n v="566850.18000000005"/>
    <m/>
    <n v="2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ACIÓN ALIMENTOS - DPI"/>
    <b v="1"/>
    <n v="0"/>
    <b v="1"/>
    <n v="0"/>
    <x v="0"/>
    <m/>
  </r>
  <r>
    <x v="10"/>
    <s v="LOTE 2"/>
    <x v="7"/>
    <x v="9"/>
    <x v="5"/>
    <x v="0"/>
    <s v="VEREDA  EL BORDO"/>
    <n v="52841119131"/>
    <s v="CIUDADELA EL BORDO"/>
    <n v="1"/>
    <n v="39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85027527"/>
    <n v="0.02"/>
    <n v="1700550.54"/>
    <m/>
    <n v="3"/>
    <n v="85027527"/>
    <n v="86728077.540000007"/>
    <s v=" "/>
    <m/>
    <m/>
    <m/>
    <n v="1925664"/>
    <n v="1600131"/>
    <n v="1134900"/>
    <n v="80366832"/>
    <m/>
    <n v="85027527"/>
    <s v=" "/>
    <n v="13106418"/>
    <n v="10045854"/>
    <n v="10045854"/>
    <n v="10045854"/>
    <n v="10045854"/>
    <n v="10045854"/>
    <n v="10045854"/>
    <n v="11645985"/>
    <n v="85027527"/>
    <n v="56279496"/>
    <s v="CONTRATACIÓN ALIMENTOS - DPI"/>
    <b v="1"/>
    <n v="0"/>
    <b v="1"/>
    <n v="0"/>
    <x v="0"/>
    <m/>
  </r>
  <r>
    <x v="10"/>
    <s v="LOTE 2"/>
    <x v="7"/>
    <x v="9"/>
    <x v="5"/>
    <x v="0"/>
    <s v="VEREDA MADRE LAURA"/>
    <n v="52841119132"/>
    <s v="C COMUNAL MADRE LAURA"/>
    <n v="1"/>
    <n v="16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34883088"/>
    <n v="0.02"/>
    <n v="697661.76"/>
    <m/>
    <n v="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0"/>
    <m/>
  </r>
  <r>
    <x v="10"/>
    <s v="LOTE 2"/>
    <x v="7"/>
    <x v="9"/>
    <x v="5"/>
    <x v="0"/>
    <s v="VEREDA PEGADO CENTRO"/>
    <n v="52841136873"/>
    <s v="CASA DE LA GOBERNACION CENTRO"/>
    <n v="1"/>
    <n v="54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117730422"/>
    <n v="0.02"/>
    <n v="2354608.44"/>
    <m/>
    <n v="5"/>
    <n v="117730422"/>
    <n v="120085030.44"/>
    <s v=" "/>
    <m/>
    <m/>
    <m/>
    <n v="2666304"/>
    <n v="2215566"/>
    <n v="1571400"/>
    <n v="111277152"/>
    <m/>
    <n v="117730422"/>
    <s v=" "/>
    <n v="18147348"/>
    <n v="13909644"/>
    <n v="13909644"/>
    <n v="13909644"/>
    <n v="13909644"/>
    <n v="13909644"/>
    <n v="13909644"/>
    <n v="16125210"/>
    <n v="117730422"/>
    <n v="77925456"/>
    <s v="CONTRATACIÓN ALIMENTOS - DPI"/>
    <b v="1"/>
    <n v="0"/>
    <b v="1"/>
    <n v="0"/>
    <x v="0"/>
    <m/>
  </r>
  <r>
    <x v="10"/>
    <s v="LOTE 2"/>
    <x v="7"/>
    <x v="9"/>
    <x v="5"/>
    <x v="0"/>
    <s v="VEREDA CHONTADURO"/>
    <n v="52841136874"/>
    <s v="C COMUNAL CHONTADURO"/>
    <n v="1"/>
    <n v="16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34883088"/>
    <n v="0.02"/>
    <n v="697661.76"/>
    <m/>
    <n v="6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0"/>
    <m/>
  </r>
  <r>
    <x v="10"/>
    <s v="LOTE 2"/>
    <x v="7"/>
    <x v="9"/>
    <x v="5"/>
    <x v="0"/>
    <s v="VEREDA BARRANCAS"/>
    <n v="52841136878"/>
    <s v="C COMUNAL BARRANCAS"/>
    <n v="1"/>
    <n v="16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34883088"/>
    <n v="0.02"/>
    <n v="697661.76"/>
    <m/>
    <n v="7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0"/>
    <m/>
  </r>
  <r>
    <x v="10"/>
    <s v="LOTE 2"/>
    <x v="7"/>
    <x v="9"/>
    <x v="5"/>
    <x v="0"/>
    <s v="VEREDA FUEMIA"/>
    <n v="52841136879"/>
    <s v="ESCUELA FUEMIA"/>
    <n v="1"/>
    <n v="12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26162316"/>
    <n v="0.02"/>
    <n v="523246.32"/>
    <m/>
    <n v="8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ACIÓN ALIMENTOS - DPI"/>
    <b v="1"/>
    <n v="0"/>
    <b v="1"/>
    <n v="0"/>
    <x v="0"/>
    <m/>
  </r>
  <r>
    <x v="10"/>
    <s v="LOTE 2"/>
    <x v="7"/>
    <x v="9"/>
    <x v="5"/>
    <x v="0"/>
    <s v="VEREDA EL PASO"/>
    <n v="52841136880"/>
    <s v="ESCUELA EL PASO"/>
    <n v="1"/>
    <n v="23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50144439"/>
    <n v="0.02"/>
    <n v="1002888.78"/>
    <m/>
    <n v="9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ACIÓN ALIMENTOS - DPI"/>
    <b v="1"/>
    <n v="0"/>
    <b v="1"/>
    <n v="0"/>
    <x v="0"/>
    <m/>
  </r>
  <r>
    <x v="10"/>
    <s v="LOTE 2"/>
    <x v="7"/>
    <x v="9"/>
    <x v="5"/>
    <x v="0"/>
    <s v="VEREDA CURADIENTE"/>
    <n v="52841136881"/>
    <s v="C COMUNAL CURADIENTE"/>
    <n v="1"/>
    <n v="12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26162316"/>
    <n v="0.02"/>
    <n v="523246.32"/>
    <m/>
    <n v="10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ACIÓN ALIMENTOS - DPI"/>
    <b v="1"/>
    <n v="0"/>
    <b v="1"/>
    <n v="0"/>
    <x v="0"/>
    <m/>
  </r>
  <r>
    <x v="10"/>
    <s v="LOTE 2"/>
    <x v="7"/>
    <x v="9"/>
    <x v="5"/>
    <x v="0"/>
    <s v="VEREDA PIEDRAS"/>
    <n v="52841136883"/>
    <s v="ESCUELA PIEDRAS BLANCAS"/>
    <n v="1"/>
    <n v="9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19621737"/>
    <n v="0.02"/>
    <n v="392434.74"/>
    <m/>
    <n v="11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ACIÓN ALIMENTOS - DPI"/>
    <b v="1"/>
    <n v="0"/>
    <b v="1"/>
    <n v="0"/>
    <x v="0"/>
    <m/>
  </r>
  <r>
    <x v="10"/>
    <s v="LOTE 2"/>
    <x v="7"/>
    <x v="9"/>
    <x v="5"/>
    <x v="0"/>
    <s v="VEREDA EL CERRO"/>
    <n v="52841136884"/>
    <s v="C COMUNAL CERRO"/>
    <n v="1"/>
    <n v="13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28342509"/>
    <n v="0.02"/>
    <n v="566850.18000000005"/>
    <m/>
    <n v="12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ACIÓN ALIMENTOS - DPI"/>
    <b v="1"/>
    <n v="0"/>
    <b v="1"/>
    <n v="0"/>
    <x v="0"/>
    <m/>
  </r>
  <r>
    <x v="10"/>
    <s v="LOTE 2"/>
    <x v="7"/>
    <x v="9"/>
    <x v="5"/>
    <x v="0"/>
    <s v="VEREDA NORE"/>
    <n v="52841136885"/>
    <s v="CASA DE FAMILIA NORE"/>
    <n v="1"/>
    <n v="12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26162316"/>
    <n v="0.02"/>
    <n v="523246.32"/>
    <m/>
    <n v="13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ACIÓN ALIMENTOS - DPI"/>
    <b v="1"/>
    <n v="0"/>
    <b v="1"/>
    <n v="0"/>
    <x v="0"/>
    <m/>
  </r>
  <r>
    <x v="10"/>
    <s v="LOTE 2"/>
    <x v="7"/>
    <x v="9"/>
    <x v="5"/>
    <x v="0"/>
    <s v="VEREDA LA HERRADURA"/>
    <n v="52841136886"/>
    <s v="C COMUNAL HERRADURA"/>
    <n v="1"/>
    <n v="11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23982123"/>
    <n v="0.02"/>
    <n v="479642.46"/>
    <m/>
    <n v="14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ACIÓN ALIMENTOS - DPI"/>
    <b v="1"/>
    <n v="0"/>
    <b v="1"/>
    <n v="0"/>
    <x v="0"/>
    <m/>
  </r>
  <r>
    <x v="10"/>
    <s v="LOTE 2"/>
    <x v="7"/>
    <x v="9"/>
    <x v="5"/>
    <x v="0"/>
    <s v="VEREDA LAS CRUCES"/>
    <n v="52841136887"/>
    <s v="ESCUELA LAS CRUCES"/>
    <n v="1"/>
    <n v="17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37063281"/>
    <n v="0.02"/>
    <n v="741265.62"/>
    <m/>
    <n v="15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0"/>
    <m/>
  </r>
  <r>
    <x v="10"/>
    <s v="LOTE 2"/>
    <x v="7"/>
    <x v="9"/>
    <x v="5"/>
    <x v="0"/>
    <s v="VEREDA NUSIDO"/>
    <n v="52841144515"/>
    <s v="ESCUELA INDIGENA DE NUSIDO"/>
    <n v="1"/>
    <n v="26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56685018"/>
    <n v="0.02"/>
    <n v="1133700.3600000001"/>
    <m/>
    <n v="16"/>
    <n v="56685018"/>
    <n v="57818718.359999999"/>
    <s v=" "/>
    <m/>
    <m/>
    <m/>
    <n v="1283776"/>
    <n v="1066754"/>
    <n v="756600"/>
    <n v="53577888"/>
    <m/>
    <n v="56685018"/>
    <s v=" "/>
    <n v="8737612"/>
    <n v="6697236"/>
    <n v="6697236"/>
    <n v="6697236"/>
    <n v="6697236"/>
    <n v="6697236"/>
    <n v="6697236"/>
    <n v="7763990"/>
    <n v="56685018"/>
    <n v="37519664"/>
    <s v="CONTRATACIÓN ALIMENTOS - DPI"/>
    <b v="1"/>
    <n v="0"/>
    <b v="1"/>
    <n v="0"/>
    <x v="0"/>
    <m/>
  </r>
  <r>
    <x v="10"/>
    <s v="LOTE 2"/>
    <x v="7"/>
    <x v="9"/>
    <x v="5"/>
    <x v="0"/>
    <s v="MURRI CHONTADURO ALTO"/>
    <n v="52841144517"/>
    <s v="ESCUELA INDIGENA CHONTADURO ALTO"/>
    <n v="1"/>
    <n v="33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71946369"/>
    <n v="0.02"/>
    <n v="1438927.3800000001"/>
    <m/>
    <n v="17"/>
    <n v="71946369"/>
    <n v="73385296.379999995"/>
    <s v=" "/>
    <m/>
    <m/>
    <m/>
    <n v="1629408"/>
    <n v="1353957"/>
    <n v="960300"/>
    <n v="68002704"/>
    <m/>
    <n v="71946369"/>
    <s v=" "/>
    <n v="11090046"/>
    <n v="8500338"/>
    <n v="8500338"/>
    <n v="8500338"/>
    <n v="8500338"/>
    <n v="8500338"/>
    <n v="8500338"/>
    <n v="9854295"/>
    <n v="71946369"/>
    <n v="47621112"/>
    <s v="CONTRATACIÓN ALIMENTOS - DPI"/>
    <b v="1"/>
    <n v="0"/>
    <b v="1"/>
    <n v="0"/>
    <x v="0"/>
    <m/>
  </r>
  <r>
    <x v="10"/>
    <s v="LOTE 2"/>
    <x v="7"/>
    <x v="9"/>
    <x v="5"/>
    <x v="0"/>
    <s v="SAN LAZARO"/>
    <n v="52841148717"/>
    <s v="ESCUELA SAN LÁZARO"/>
    <n v="1"/>
    <n v="18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39243474"/>
    <n v="0.02"/>
    <n v="784869.48"/>
    <m/>
    <n v="18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0"/>
    <m/>
  </r>
  <r>
    <x v="10"/>
    <s v="LOTE 2"/>
    <x v="7"/>
    <x v="9"/>
    <x v="5"/>
    <x v="0"/>
    <s v="VEREDA ALTOS DE MURRI"/>
    <n v="52841151513"/>
    <s v="ACCION COMUNAL ALTOS DE MURRI"/>
    <n v="1"/>
    <n v="39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85027527"/>
    <n v="0.02"/>
    <n v="1700550.54"/>
    <m/>
    <n v="19"/>
    <n v="85027527"/>
    <n v="86728077.540000007"/>
    <s v=" "/>
    <m/>
    <m/>
    <m/>
    <n v="1925664"/>
    <n v="1600131"/>
    <n v="1134900"/>
    <n v="80366832"/>
    <m/>
    <n v="85027527"/>
    <s v=" "/>
    <n v="13106418"/>
    <n v="10045854"/>
    <n v="10045854"/>
    <n v="10045854"/>
    <n v="10045854"/>
    <n v="10045854"/>
    <n v="10045854"/>
    <n v="11645985"/>
    <n v="85027527"/>
    <n v="56279496"/>
    <s v="CONTRATACIÓN ALIMENTOS - DPI"/>
    <b v="1"/>
    <n v="0"/>
    <b v="1"/>
    <n v="0"/>
    <x v="0"/>
    <m/>
  </r>
  <r>
    <x v="10"/>
    <s v="LOTE 2"/>
    <x v="7"/>
    <x v="9"/>
    <x v="5"/>
    <x v="0"/>
    <s v="VEREDA CHUSCAL DE MUSINGA"/>
    <n v="52841152154"/>
    <s v="C COMUNAL CHUSCAL MUSINGA"/>
    <n v="1"/>
    <n v="12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26162316"/>
    <n v="0.02"/>
    <n v="523246.32"/>
    <m/>
    <n v="20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ACIÓN ALIMENTOS - DPI"/>
    <b v="1"/>
    <n v="0"/>
    <b v="1"/>
    <n v="0"/>
    <x v="0"/>
    <m/>
  </r>
  <r>
    <x v="10"/>
    <s v="LOTE 2"/>
    <x v="7"/>
    <x v="9"/>
    <x v="5"/>
    <x v="0"/>
    <s v="VEREDA PEÑITAS"/>
    <n v="52841152155"/>
    <s v="CASA DE FAMILIA PEÑITAS MURRI"/>
    <n v="1"/>
    <n v="23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50144439"/>
    <n v="0.02"/>
    <n v="1002888.78"/>
    <m/>
    <n v="21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ACIÓN ALIMENTOS - DPI"/>
    <b v="1"/>
    <n v="0"/>
    <b v="1"/>
    <n v="0"/>
    <x v="0"/>
    <m/>
  </r>
  <r>
    <x v="10"/>
    <s v="LOTE 2"/>
    <x v="7"/>
    <x v="9"/>
    <x v="5"/>
    <x v="0"/>
    <s v="VEREDA EL RAYO"/>
    <n v="52841152431"/>
    <s v="CASA DE FAMILIA LA PALMA"/>
    <n v="1"/>
    <n v="14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30522702"/>
    <n v="0.02"/>
    <n v="610454.04"/>
    <m/>
    <n v="22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0"/>
    <m/>
  </r>
  <r>
    <x v="10"/>
    <s v="LOTE 2"/>
    <x v="7"/>
    <x v="9"/>
    <x v="5"/>
    <x v="0"/>
    <s v="VEREDA LLANOS DE MUSINGA"/>
    <n v="52841152482"/>
    <s v="C COMUNAL LLANO DE MUSINGA"/>
    <n v="1"/>
    <n v="16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34883088"/>
    <n v="0.02"/>
    <n v="697661.76"/>
    <m/>
    <n v="23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0"/>
    <m/>
  </r>
  <r>
    <x v="10"/>
    <s v="LOTE 2"/>
    <x v="7"/>
    <x v="9"/>
    <x v="5"/>
    <x v="0"/>
    <s v="VEREDA EL MADERO"/>
    <n v="52841152911"/>
    <s v="C COMUNAL EL MADERO"/>
    <n v="1"/>
    <n v="12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26162316"/>
    <n v="0.02"/>
    <n v="523246.32"/>
    <m/>
    <n v="24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ACIÓN ALIMENTOS - DPI"/>
    <b v="1"/>
    <n v="0"/>
    <b v="1"/>
    <n v="0"/>
    <x v="0"/>
    <m/>
  </r>
  <r>
    <x v="10"/>
    <s v="LOTE 2"/>
    <x v="7"/>
    <x v="9"/>
    <x v="5"/>
    <x v="0"/>
    <s v="VEREDA NOBOGA"/>
    <n v="52841152913"/>
    <s v="C COMUNAL NOBOGA"/>
    <n v="1"/>
    <n v="15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32702895"/>
    <n v="0.02"/>
    <n v="654057.9"/>
    <m/>
    <n v="25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0"/>
    <m/>
  </r>
  <r>
    <x v="10"/>
    <s v="LOTE 2"/>
    <x v="7"/>
    <x v="9"/>
    <x v="5"/>
    <x v="0"/>
    <s v="VEREDA PONTÓN"/>
    <n v="528400085430"/>
    <s v="ESCUELA PONTON"/>
    <n v="1"/>
    <n v="20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43603860"/>
    <n v="0.02"/>
    <n v="872077.20000000007"/>
    <m/>
    <n v="26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0"/>
    <m/>
  </r>
  <r>
    <x v="10"/>
    <s v="LOTE 2"/>
    <x v="7"/>
    <x v="9"/>
    <x v="4"/>
    <x v="0"/>
    <s v="KR 30 N 34 58"/>
    <n v="528400099972"/>
    <s v="LA PRAGUITA"/>
    <n v="1"/>
    <n v="155"/>
    <m/>
    <n v="1899"/>
    <s v="ARTÍCULO 34 CONTRATACIÓN CON EL REGISTRO ÚNICO DE OFERENTES"/>
    <m/>
    <m/>
    <x v="0"/>
    <x v="0"/>
    <x v="10"/>
    <x v="10"/>
    <n v="229952"/>
    <e v="#N/A"/>
    <e v="#N/A"/>
    <s v=" "/>
    <s v=" "/>
    <m/>
    <n v="671057310"/>
    <n v="0.02"/>
    <n v="13421146.200000001"/>
    <m/>
    <n v="27"/>
    <n v="671057310"/>
    <n v="684478456.20000005"/>
    <s v=" "/>
    <m/>
    <m/>
    <m/>
    <n v="13662165"/>
    <n v="11631665"/>
    <n v="0"/>
    <n v="645763480"/>
    <m/>
    <n v="671057310"/>
    <s v=" "/>
    <n v="94382600"/>
    <n v="80720435"/>
    <n v="80720435"/>
    <n v="80720435"/>
    <n v="80720435"/>
    <n v="80720435"/>
    <n v="80720435"/>
    <n v="92352100"/>
    <n v="671057310"/>
    <n v="0"/>
    <s v="CONTRATO COSTEADO CON ALIMENTACION"/>
    <b v="1"/>
    <n v="0"/>
    <b v="1"/>
    <n v="0"/>
    <x v="0"/>
    <m/>
  </r>
  <r>
    <x v="11"/>
    <s v="LOTE 2"/>
    <x v="0"/>
    <x v="10"/>
    <x v="7"/>
    <x v="0"/>
    <s v="CL 94 92 34"/>
    <n v="50451113616"/>
    <s v="SUEÑOS DE COMPARTIR CAROLINA"/>
    <n v="1"/>
    <n v="200"/>
    <m/>
    <n v="1900"/>
    <s v="ARTÍCULO 34 CONTRATACIÓN CON EL REGISTRO ÚNICO DE OFERENTES"/>
    <m/>
    <m/>
    <x v="0"/>
    <x v="0"/>
    <x v="11"/>
    <x v="11"/>
    <n v="229062"/>
    <n v="15184"/>
    <n v="91625"/>
    <n v="3"/>
    <n v="853"/>
    <m/>
    <n v="591341200"/>
    <n v="0.02"/>
    <n v="11826824"/>
    <m/>
    <n v="1"/>
    <n v="591341200"/>
    <n v="603168024"/>
    <n v="2522070218"/>
    <n v="50441404"/>
    <n v="2572511622"/>
    <n v="1771.7388254302775"/>
    <n v="17628600"/>
    <n v="15008600"/>
    <n v="0"/>
    <n v="558704000"/>
    <m/>
    <n v="591341200"/>
    <n v="2522070218"/>
    <n v="87466600"/>
    <n v="69838000"/>
    <n v="69838000"/>
    <n v="69838000"/>
    <n v="69838000"/>
    <n v="69838000"/>
    <n v="69838000"/>
    <n v="84846600"/>
    <n v="591341200"/>
    <n v="246428800"/>
    <s v="CONTRATO ADICIONAL POR ALIMENTACION"/>
    <b v="1"/>
    <n v="0"/>
    <b v="1"/>
    <n v="0"/>
    <x v="1"/>
    <n v="1900"/>
  </r>
  <r>
    <x v="11"/>
    <s v="LOTE 2"/>
    <x v="0"/>
    <x v="10"/>
    <x v="7"/>
    <x v="0"/>
    <s v="KR 74 102 B 02"/>
    <n v="50451148748"/>
    <s v="CDI SEMILLITAS DEL FUTURO"/>
    <n v="1"/>
    <n v="393"/>
    <m/>
    <n v="1900"/>
    <s v="ARTÍCULO 34 CONTRATACIÓN CON EL REGISTRO ÚNICO DE OFERENTES"/>
    <m/>
    <m/>
    <x v="0"/>
    <x v="0"/>
    <x v="11"/>
    <x v="11"/>
    <n v="229062"/>
    <n v="15184"/>
    <n v="91625"/>
    <s v=" "/>
    <s v=" "/>
    <m/>
    <n v="1161985458"/>
    <n v="0.02"/>
    <n v="23239709.16"/>
    <m/>
    <n v="2"/>
    <n v="1161985458"/>
    <n v="1185225167.1600001"/>
    <s v=" "/>
    <m/>
    <m/>
    <m/>
    <n v="34640199"/>
    <n v="29491899"/>
    <n v="0"/>
    <n v="1097853360"/>
    <m/>
    <n v="1161985458"/>
    <s v=" "/>
    <n v="171871869"/>
    <n v="137231670"/>
    <n v="137231670"/>
    <n v="137231670"/>
    <n v="137231670"/>
    <n v="137231670"/>
    <n v="137231670"/>
    <n v="166723569"/>
    <n v="1161985458"/>
    <n v="484232592"/>
    <s v="CONTRATO ADICIONAL POR ALIMENTACION"/>
    <b v="1"/>
    <n v="0"/>
    <b v="1"/>
    <n v="0"/>
    <x v="1"/>
    <n v="1900"/>
  </r>
  <r>
    <x v="11"/>
    <s v="LOTE 2"/>
    <x v="0"/>
    <x v="10"/>
    <x v="7"/>
    <x v="0"/>
    <s v="KR 84 102 A 34 OBRERO BLOQUE V"/>
    <n v="504500099516"/>
    <s v="SUEÑOS DE COMPARTIR APARTADO"/>
    <n v="1"/>
    <n v="260"/>
    <m/>
    <n v="1900"/>
    <s v="ARTÍCULO 34 CONTRATACIÓN CON EL REGISTRO ÚNICO DE OFERENTES"/>
    <m/>
    <m/>
    <x v="0"/>
    <x v="0"/>
    <x v="11"/>
    <x v="11"/>
    <n v="229062"/>
    <n v="15184"/>
    <n v="91625"/>
    <s v=" "/>
    <s v=" "/>
    <m/>
    <n v="768743560"/>
    <n v="0.02"/>
    <n v="15374871.200000001"/>
    <m/>
    <n v="3"/>
    <n v="768743560"/>
    <n v="784118431.20000005"/>
    <s v=" "/>
    <m/>
    <m/>
    <m/>
    <n v="22917180"/>
    <n v="19511180"/>
    <n v="0"/>
    <n v="726315200"/>
    <m/>
    <n v="768743560"/>
    <s v=" "/>
    <n v="113706580"/>
    <n v="90789400"/>
    <n v="90789400"/>
    <n v="90789400"/>
    <n v="90789400"/>
    <n v="90789400"/>
    <n v="90789400"/>
    <n v="110300580"/>
    <n v="768743560"/>
    <n v="320357440"/>
    <s v="CONTRATO ADICIONAL POR ALIMENTACION"/>
    <b v="1"/>
    <n v="0"/>
    <b v="1"/>
    <n v="0"/>
    <x v="1"/>
    <n v="1900"/>
  </r>
  <r>
    <x v="12"/>
    <s v="LOTE 2"/>
    <x v="0"/>
    <x v="10"/>
    <x v="7"/>
    <x v="0"/>
    <s v="CL 103 89 A 30  BARRIO OBRERO"/>
    <n v="50451147396"/>
    <s v="CDI ALEGRES GIRASOLES"/>
    <n v="1"/>
    <n v="389"/>
    <m/>
    <n v="1901"/>
    <s v="ARTÍCULO 34 CONTRATACIÓN CON EL REGISTRO ÚNICO DE OFERENTES"/>
    <m/>
    <m/>
    <x v="0"/>
    <x v="0"/>
    <x v="12"/>
    <x v="12"/>
    <n v="229063"/>
    <n v="15158"/>
    <n v="90925"/>
    <n v="3"/>
    <n v="564"/>
    <m/>
    <n v="1150158634"/>
    <n v="0.02"/>
    <n v="23003172.68"/>
    <m/>
    <n v="1"/>
    <n v="1150158634"/>
    <n v="1173161806.6800001"/>
    <n v="1907803984"/>
    <n v="38156080"/>
    <n v="1945960064"/>
    <n v="1340.2205718299965"/>
    <n v="34287627"/>
    <n v="29191727"/>
    <n v="0"/>
    <n v="1086679280"/>
    <m/>
    <n v="1150158634"/>
    <n v="1907803984"/>
    <n v="170122537"/>
    <n v="135834910"/>
    <n v="135834910"/>
    <n v="135834910"/>
    <n v="135834910"/>
    <n v="135834910"/>
    <n v="135834910"/>
    <n v="165026637"/>
    <n v="1150158634"/>
    <n v="479304016"/>
    <s v="CONTRATO ADICIONAL POR ALIMENTACION"/>
    <b v="1"/>
    <n v="0"/>
    <b v="1"/>
    <n v="0"/>
    <x v="1"/>
    <n v="1901"/>
  </r>
  <r>
    <x v="12"/>
    <s v="LOTE 2"/>
    <x v="0"/>
    <x v="10"/>
    <x v="4"/>
    <x v="0"/>
    <s v="CL 103 89 A 102  BARRIO OBRERO BLOQUE 2"/>
    <n v="504500070715"/>
    <s v="CDI BUEN COMIENZO OBRERO"/>
    <n v="1"/>
    <n v="100"/>
    <m/>
    <n v="1901"/>
    <s v="ARTÍCULO 34 CONTRATACIÓN CON EL REGISTRO ÚNICO DE OFERENTES"/>
    <m/>
    <m/>
    <x v="0"/>
    <x v="0"/>
    <x v="12"/>
    <x v="12"/>
    <n v="229063"/>
    <n v="15158"/>
    <n v="90925"/>
    <s v=" "/>
    <s v=" "/>
    <m/>
    <n v="432940200"/>
    <n v="0.02"/>
    <n v="8658804"/>
    <m/>
    <n v="2"/>
    <n v="432940200"/>
    <n v="441599004"/>
    <s v=" "/>
    <m/>
    <m/>
    <m/>
    <n v="8814300"/>
    <n v="7504300"/>
    <n v="0"/>
    <n v="416621600"/>
    <m/>
    <n v="432940200"/>
    <s v=" "/>
    <n v="60892000"/>
    <n v="52077700"/>
    <n v="52077700"/>
    <n v="52077700"/>
    <n v="52077700"/>
    <n v="52077700"/>
    <n v="52077700"/>
    <n v="59582000"/>
    <n v="432940200"/>
    <n v="0"/>
    <s v="CONTRATO COSTEADO CON ALIMENTACION"/>
    <b v="1"/>
    <n v="0"/>
    <b v="1"/>
    <n v="0"/>
    <x v="1"/>
    <n v="1901"/>
  </r>
  <r>
    <x v="12"/>
    <s v="LOTE 2"/>
    <x v="0"/>
    <x v="10"/>
    <x v="4"/>
    <x v="0"/>
    <s v="CL 101 N 97 A 88"/>
    <n v="504500087184"/>
    <s v="CHIQUITIN"/>
    <n v="1"/>
    <n v="75"/>
    <m/>
    <n v="1901"/>
    <s v="ARTÍCULO 34 CONTRATACIÓN CON EL REGISTRO ÚNICO DE OFERENTES"/>
    <m/>
    <m/>
    <x v="0"/>
    <x v="0"/>
    <x v="12"/>
    <x v="12"/>
    <n v="229063"/>
    <n v="15158"/>
    <n v="90925"/>
    <s v=" "/>
    <s v=" "/>
    <m/>
    <n v="324705150"/>
    <n v="0.02"/>
    <n v="6494103"/>
    <m/>
    <n v="3"/>
    <n v="324705150"/>
    <n v="331199253"/>
    <s v=" "/>
    <m/>
    <m/>
    <m/>
    <n v="6610725"/>
    <n v="5628225"/>
    <n v="0"/>
    <n v="312466200"/>
    <m/>
    <n v="324705150"/>
    <s v=" "/>
    <n v="45669000"/>
    <n v="39058275"/>
    <n v="39058275"/>
    <n v="39058275"/>
    <n v="39058275"/>
    <n v="39058275"/>
    <n v="39058275"/>
    <n v="44686500"/>
    <n v="324705150"/>
    <n v="0"/>
    <s v="CONTRATO COSTEADO CON ALIMENTACION"/>
    <b v="1"/>
    <n v="0"/>
    <b v="1"/>
    <n v="0"/>
    <x v="1"/>
    <n v="1901"/>
  </r>
  <r>
    <x v="13"/>
    <s v="LOTE 2"/>
    <x v="8"/>
    <x v="11"/>
    <x v="1"/>
    <x v="0"/>
    <s v="VEREDA SARDINAS"/>
    <n v="51421136634"/>
    <s v="CER RAYITOS DE SOL"/>
    <n v="1"/>
    <n v="13"/>
    <m/>
    <n v="1902"/>
    <s v="ARTÍCULO 34 CONTRATACIÓN CON EL REGISTRO ÚNICO DE OFERENTES"/>
    <m/>
    <m/>
    <x v="0"/>
    <x v="0"/>
    <x v="13"/>
    <x v="13"/>
    <n v="229066"/>
    <n v="15177"/>
    <n v="91325"/>
    <n v="20"/>
    <n v="307"/>
    <m/>
    <n v="19750965"/>
    <n v="0.02"/>
    <n v="395019.3"/>
    <m/>
    <n v="1"/>
    <n v="19750965"/>
    <n v="20145984.300000001"/>
    <n v="466426635"/>
    <n v="9328533"/>
    <n v="475755168"/>
    <n v="327.66184404636459"/>
    <n v="607672"/>
    <n v="491933"/>
    <n v="0"/>
    <n v="18651360"/>
    <m/>
    <n v="19750965"/>
    <n v="466426635"/>
    <n v="2939092"/>
    <n v="2331420"/>
    <n v="2331420"/>
    <n v="2331420"/>
    <n v="2331420"/>
    <n v="2331420"/>
    <n v="2331420"/>
    <n v="2823353"/>
    <n v="19750965"/>
    <n v="19585384"/>
    <s v="CONTRATACIÓN ALIMENTOS - DPI"/>
    <b v="1"/>
    <n v="0"/>
    <b v="1"/>
    <n v="0"/>
    <x v="1"/>
    <m/>
  </r>
  <r>
    <x v="13"/>
    <s v="LOTE 2"/>
    <x v="8"/>
    <x v="11"/>
    <x v="1"/>
    <x v="0"/>
    <s v="BOTIJAS"/>
    <n v="51421136636"/>
    <s v="FINCA LOS EXPLORADORES"/>
    <n v="1"/>
    <n v="11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16712355"/>
    <n v="0.02"/>
    <n v="334247.10000000003"/>
    <m/>
    <n v="2"/>
    <n v="16712355"/>
    <n v="17046602.100000001"/>
    <s v=" "/>
    <m/>
    <m/>
    <m/>
    <n v="514184"/>
    <n v="416251"/>
    <n v="0"/>
    <n v="15781920"/>
    <m/>
    <n v="16712355"/>
    <s v=" "/>
    <n v="2486924"/>
    <n v="1972740"/>
    <n v="1972740"/>
    <n v="1972740"/>
    <n v="1972740"/>
    <n v="1972740"/>
    <n v="1972740"/>
    <n v="2388991"/>
    <n v="16712355"/>
    <n v="16572248"/>
    <s v="CONTRATACIÓN ALIMENTOS - DPI"/>
    <b v="1"/>
    <n v="0"/>
    <b v="1"/>
    <n v="0"/>
    <x v="1"/>
    <m/>
  </r>
  <r>
    <x v="13"/>
    <s v="LOTE 2"/>
    <x v="8"/>
    <x v="11"/>
    <x v="1"/>
    <x v="0"/>
    <s v="VEREDA LA MARIA"/>
    <n v="51421147662"/>
    <s v="CER SEMILLITAS"/>
    <n v="1"/>
    <n v="21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31905405"/>
    <n v="0.02"/>
    <n v="638108.1"/>
    <m/>
    <n v="3"/>
    <n v="31905405"/>
    <n v="32543513.100000001"/>
    <s v=" "/>
    <m/>
    <m/>
    <m/>
    <n v="981624"/>
    <n v="794661"/>
    <n v="0"/>
    <n v="30129120"/>
    <m/>
    <n v="31905405"/>
    <s v=" "/>
    <n v="4747764"/>
    <n v="3766140"/>
    <n v="3766140"/>
    <n v="3766140"/>
    <n v="3766140"/>
    <n v="3766140"/>
    <n v="3766140"/>
    <n v="4560801"/>
    <n v="31905405"/>
    <n v="31637928"/>
    <s v="CONTRATACIÓN ALIMENTOS - DPI"/>
    <b v="1"/>
    <n v="0"/>
    <b v="1"/>
    <n v="0"/>
    <x v="1"/>
    <m/>
  </r>
  <r>
    <x v="13"/>
    <s v="LOTE 2"/>
    <x v="8"/>
    <x v="11"/>
    <x v="1"/>
    <x v="0"/>
    <s v="VEREDA CANALONES"/>
    <n v="51421152804"/>
    <s v="CER CANALONES"/>
    <n v="1"/>
    <n v="10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15193050"/>
    <n v="0.02"/>
    <n v="303861"/>
    <m/>
    <n v="4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ACIÓN ALIMENTOS - DPI"/>
    <b v="1"/>
    <n v="0"/>
    <b v="1"/>
    <n v="0"/>
    <x v="1"/>
    <m/>
  </r>
  <r>
    <x v="13"/>
    <s v="LOTE 2"/>
    <x v="8"/>
    <x v="11"/>
    <x v="1"/>
    <x v="0"/>
    <s v="EL 62"/>
    <n v="514200080519"/>
    <s v="CER PEQUENAUTAS"/>
    <n v="1"/>
    <n v="15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22789575"/>
    <n v="0.02"/>
    <n v="455791.5"/>
    <m/>
    <n v="5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ACIÓN ALIMENTOS - DPI"/>
    <b v="1"/>
    <n v="0"/>
    <b v="1"/>
    <n v="0"/>
    <x v="1"/>
    <m/>
  </r>
  <r>
    <x v="13"/>
    <s v="LOTE 2"/>
    <x v="8"/>
    <x v="12"/>
    <x v="1"/>
    <x v="0"/>
    <s v="LA UNION"/>
    <n v="54251117893"/>
    <s v="CER LA UNION MANITOS DE COLORES"/>
    <n v="1"/>
    <n v="14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21270270"/>
    <n v="0.02"/>
    <n v="425405.4"/>
    <m/>
    <n v="6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ACIÓN ALIMENTOS - DPI"/>
    <b v="1"/>
    <n v="0"/>
    <b v="1"/>
    <n v="0"/>
    <x v="1"/>
    <m/>
  </r>
  <r>
    <x v="13"/>
    <s v="LOTE 2"/>
    <x v="8"/>
    <x v="12"/>
    <x v="1"/>
    <x v="0"/>
    <s v="EL INGENIO C.E.R EL INGENIO"/>
    <n v="54251136546"/>
    <s v="CER EL INGENIO.PEQUEÑOS GIGANTES"/>
    <n v="1"/>
    <n v="13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19750965"/>
    <n v="0.02"/>
    <n v="395019.3"/>
    <m/>
    <n v="7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ACIÓN ALIMENTOS - DPI"/>
    <b v="1"/>
    <n v="0"/>
    <b v="1"/>
    <n v="0"/>
    <x v="1"/>
    <m/>
  </r>
  <r>
    <x v="13"/>
    <s v="LOTE 2"/>
    <x v="8"/>
    <x v="12"/>
    <x v="1"/>
    <x v="0"/>
    <s v="SAN LAUREANO"/>
    <n v="54251136549"/>
    <s v="CER SAN LAUREANO NIÑOS DE CORAZON"/>
    <n v="1"/>
    <n v="14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21270270"/>
    <n v="0.02"/>
    <n v="425405.4"/>
    <m/>
    <n v="8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ACIÓN ALIMENTOS - DPI"/>
    <b v="1"/>
    <n v="0"/>
    <b v="1"/>
    <n v="0"/>
    <x v="1"/>
    <m/>
  </r>
  <r>
    <x v="13"/>
    <s v="LOTE 2"/>
    <x v="8"/>
    <x v="12"/>
    <x v="1"/>
    <x v="0"/>
    <s v="CERCA A MAQUINA VIEJA"/>
    <n v="54251136558"/>
    <s v="SALON PARROQUIAL GOTAS DE AMOR"/>
    <n v="1"/>
    <n v="22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33424710"/>
    <n v="0.02"/>
    <n v="668494.20000000007"/>
    <m/>
    <n v="9"/>
    <n v="33424710"/>
    <n v="34093204.200000003"/>
    <s v=" "/>
    <m/>
    <m/>
    <m/>
    <n v="1028368"/>
    <n v="832502"/>
    <n v="0"/>
    <n v="31563840"/>
    <m/>
    <n v="33424710"/>
    <s v=" "/>
    <n v="4973848"/>
    <n v="3945480"/>
    <n v="3945480"/>
    <n v="3945480"/>
    <n v="3945480"/>
    <n v="3945480"/>
    <n v="3945480"/>
    <n v="4777982"/>
    <n v="33424710"/>
    <n v="33144496"/>
    <s v="CONTRATACIÓN ALIMENTOS - DPI"/>
    <b v="1"/>
    <n v="0"/>
    <b v="1"/>
    <n v="0"/>
    <x v="1"/>
    <m/>
  </r>
  <r>
    <x v="13"/>
    <s v="LOTE 2"/>
    <x v="8"/>
    <x v="12"/>
    <x v="1"/>
    <x v="0"/>
    <s v="ALTO DOLORES AL FRENTE DE LA ENTRADA AL MUNICIPIO DE MACEO"/>
    <n v="54251152801"/>
    <s v="CER ALTO DOLORES"/>
    <n v="1"/>
    <n v="14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21270270"/>
    <n v="0.02"/>
    <n v="425405.4"/>
    <m/>
    <n v="10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ACIÓN ALIMENTOS - DPI"/>
    <b v="1"/>
    <n v="0"/>
    <b v="1"/>
    <n v="0"/>
    <x v="1"/>
    <m/>
  </r>
  <r>
    <x v="13"/>
    <s v="LOTE 2"/>
    <x v="8"/>
    <x v="12"/>
    <x v="1"/>
    <x v="0"/>
    <s v="CORREGIMIENTO LA SUSANA  I.E.R CRISTO REY"/>
    <n v="542500038374"/>
    <s v="IER CRISTO REY HUELLAS D ESPERANZA"/>
    <n v="1"/>
    <n v="22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33424710"/>
    <n v="0.02"/>
    <n v="668494.20000000007"/>
    <m/>
    <n v="11"/>
    <n v="33424710"/>
    <n v="34093204.200000003"/>
    <s v=" "/>
    <m/>
    <m/>
    <m/>
    <n v="1028368"/>
    <n v="832502"/>
    <n v="0"/>
    <n v="31563840"/>
    <m/>
    <n v="33424710"/>
    <s v=" "/>
    <n v="4973848"/>
    <n v="3945480"/>
    <n v="3945480"/>
    <n v="3945480"/>
    <n v="3945480"/>
    <n v="3945480"/>
    <n v="3945480"/>
    <n v="4777982"/>
    <n v="33424710"/>
    <n v="33144496"/>
    <s v="CONTRATACIÓN ALIMENTOS - DPI"/>
    <b v="1"/>
    <n v="0"/>
    <b v="1"/>
    <n v="0"/>
    <x v="1"/>
    <m/>
  </r>
  <r>
    <x v="13"/>
    <s v="LOTE 2"/>
    <x v="8"/>
    <x v="13"/>
    <x v="1"/>
    <x v="0"/>
    <s v="VEREDA LOS DELIRIOS"/>
    <n v="55851117914"/>
    <s v="CASETA PEQUEÑOS GENIOS EL DELIRIO"/>
    <n v="1"/>
    <n v="16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24308880"/>
    <n v="0.02"/>
    <n v="486177.60000000003"/>
    <m/>
    <n v="12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ACIÓN ALIMENTOS - DPI"/>
    <b v="1"/>
    <n v="0"/>
    <b v="1"/>
    <n v="0"/>
    <x v="1"/>
    <m/>
  </r>
  <r>
    <x v="13"/>
    <s v="LOTE 2"/>
    <x v="8"/>
    <x v="13"/>
    <x v="1"/>
    <x v="0"/>
    <s v="LA PESCA"/>
    <n v="55851136922"/>
    <s v="CASETA PEQUEÑOS GENIOS PESCA 1"/>
    <n v="1"/>
    <n v="13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19750965"/>
    <n v="0.02"/>
    <n v="395019.3"/>
    <m/>
    <n v="13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ACIÓN ALIMENTOS - DPI"/>
    <b v="1"/>
    <n v="0"/>
    <b v="1"/>
    <n v="0"/>
    <x v="1"/>
    <m/>
  </r>
  <r>
    <x v="13"/>
    <s v="LOTE 2"/>
    <x v="8"/>
    <x v="13"/>
    <x v="1"/>
    <x v="0"/>
    <s v="LA UNION"/>
    <n v="55851136930"/>
    <s v="ESCUELA MI MUNDO LLENO DECOLOR UNION"/>
    <n v="1"/>
    <n v="15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22789575"/>
    <n v="0.02"/>
    <n v="455791.5"/>
    <m/>
    <n v="14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ACIÓN ALIMENTOS - DPI"/>
    <b v="1"/>
    <n v="0"/>
    <b v="1"/>
    <n v="0"/>
    <x v="1"/>
    <m/>
  </r>
  <r>
    <x v="13"/>
    <s v="LOTE 2"/>
    <x v="8"/>
    <x v="13"/>
    <x v="1"/>
    <x v="0"/>
    <s v="LA ARABIA"/>
    <n v="55851136932"/>
    <s v="ESCUELA MIMUNDO LLENODE COLORES ARABIA"/>
    <n v="1"/>
    <n v="10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15193050"/>
    <n v="0.02"/>
    <n v="303861"/>
    <m/>
    <n v="15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ACIÓN ALIMENTOS - DPI"/>
    <b v="1"/>
    <n v="0"/>
    <b v="1"/>
    <n v="0"/>
    <x v="1"/>
    <m/>
  </r>
  <r>
    <x v="13"/>
    <s v="LOTE 2"/>
    <x v="8"/>
    <x v="13"/>
    <x v="1"/>
    <x v="0"/>
    <s v="LA MINA"/>
    <n v="55851148783"/>
    <s v="CASETA MI MUNDO LLENODECOLORES LAMINA"/>
    <n v="1"/>
    <n v="16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24308880"/>
    <n v="0.02"/>
    <n v="486177.60000000003"/>
    <m/>
    <n v="16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ACIÓN ALIMENTOS - DPI"/>
    <b v="1"/>
    <n v="0"/>
    <b v="1"/>
    <n v="0"/>
    <x v="1"/>
    <m/>
  </r>
  <r>
    <x v="13"/>
    <s v="LOTE 2"/>
    <x v="8"/>
    <x v="13"/>
    <x v="1"/>
    <x v="0"/>
    <s v="LA SIERRA"/>
    <n v="55851148786"/>
    <s v="SEDE SENA"/>
    <n v="1"/>
    <n v="12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18231660"/>
    <n v="0.02"/>
    <n v="364633.2"/>
    <m/>
    <n v="17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ACIÓN ALIMENTOS - DPI"/>
    <b v="1"/>
    <n v="0"/>
    <b v="1"/>
    <n v="0"/>
    <x v="1"/>
    <m/>
  </r>
  <r>
    <x v="13"/>
    <s v="LOTE 2"/>
    <x v="8"/>
    <x v="13"/>
    <x v="1"/>
    <x v="0"/>
    <s v="VEREDA LA MOYA CERCA A LA PETROLERA"/>
    <n v="55851152808"/>
    <s v="CASETA LA MOYA"/>
    <n v="1"/>
    <n v="17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25828185"/>
    <n v="0.02"/>
    <n v="516563.7"/>
    <m/>
    <n v="18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ACIÓN ALIMENTOS - DPI"/>
    <b v="1"/>
    <n v="0"/>
    <b v="1"/>
    <n v="0"/>
    <x v="1"/>
    <m/>
  </r>
  <r>
    <x v="13"/>
    <s v="LOTE 2"/>
    <x v="8"/>
    <x v="13"/>
    <x v="1"/>
    <x v="0"/>
    <s v="KR 2 45 42 PARQUE EDUCATIVO"/>
    <n v="55851155811"/>
    <s v="CARITA DE ANGEL"/>
    <n v="1"/>
    <n v="25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37982625"/>
    <n v="0.02"/>
    <n v="759652.5"/>
    <m/>
    <n v="19"/>
    <n v="37982625"/>
    <n v="38742277.5"/>
    <s v=" "/>
    <m/>
    <m/>
    <m/>
    <n v="1168600"/>
    <n v="946025"/>
    <n v="0"/>
    <n v="35868000"/>
    <m/>
    <n v="37982625"/>
    <s v=" "/>
    <n v="5652100"/>
    <n v="4483500"/>
    <n v="4483500"/>
    <n v="4483500"/>
    <n v="4483500"/>
    <n v="4483500"/>
    <n v="4483500"/>
    <n v="5429525"/>
    <n v="37982625"/>
    <n v="37664200"/>
    <s v="CONTRATACIÓN ALIMENTOS - DPI"/>
    <b v="1"/>
    <n v="0"/>
    <b v="1"/>
    <n v="0"/>
    <x v="1"/>
    <m/>
  </r>
  <r>
    <x v="13"/>
    <s v="LOTE 2"/>
    <x v="8"/>
    <x v="13"/>
    <x v="1"/>
    <x v="0"/>
    <s v="CORREGIMIENTO LA UNION"/>
    <n v="558500103729"/>
    <s v="CASETA MIMUNDO LLENO DECOLORES UNION2"/>
    <n v="1"/>
    <n v="14"/>
    <m/>
    <n v="1902"/>
    <s v="ARTÍCULO 34 CONTRATACIÓN CON EL REGISTRO ÚNICO DE OFERENTES"/>
    <m/>
    <m/>
    <x v="0"/>
    <x v="0"/>
    <x v="13"/>
    <x v="13"/>
    <n v="229066"/>
    <n v="15177"/>
    <n v="91325"/>
    <s v=" "/>
    <s v=" "/>
    <m/>
    <n v="21270270"/>
    <n v="0.02"/>
    <n v="425405.4"/>
    <m/>
    <n v="20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ACIÓN ALIMENTOS - DPI"/>
    <b v="1"/>
    <n v="0"/>
    <b v="1"/>
    <n v="0"/>
    <x v="1"/>
    <m/>
  </r>
  <r>
    <x v="14"/>
    <s v="LOTE 2"/>
    <x v="5"/>
    <x v="14"/>
    <x v="1"/>
    <x v="0"/>
    <s v="EL SALTO"/>
    <n v="55411115255"/>
    <s v="MUNDO FANTASTICO"/>
    <n v="1"/>
    <n v="50"/>
    <m/>
    <n v="1903"/>
    <s v="ARTÍCULO 34 CONTRATACIÓN CON EL REGISTRO ÚNICO DE OFERENTES"/>
    <m/>
    <m/>
    <x v="0"/>
    <x v="0"/>
    <x v="14"/>
    <x v="14"/>
    <n v="229067"/>
    <n v="15188"/>
    <n v="82325"/>
    <n v="10"/>
    <n v="633"/>
    <m/>
    <n v="75965250"/>
    <n v="0.02"/>
    <n v="1519305"/>
    <m/>
    <n v="1"/>
    <n v="75965250"/>
    <n v="77484555"/>
    <n v="1743896750"/>
    <n v="34877935"/>
    <n v="1778774685"/>
    <n v="1225.0767474534598"/>
    <n v="2337200"/>
    <n v="1892050"/>
    <n v="0"/>
    <n v="71736000"/>
    <m/>
    <n v="75965250"/>
    <n v="1743896750"/>
    <n v="11304200"/>
    <n v="8967000"/>
    <n v="8967000"/>
    <n v="8967000"/>
    <n v="8967000"/>
    <n v="8967000"/>
    <n v="8967000"/>
    <n v="10859050"/>
    <n v="75965250"/>
    <n v="75328400"/>
    <s v="CONTRATACIÓN ALIMENTOS - DPI"/>
    <b v="1"/>
    <n v="0"/>
    <b v="1"/>
    <n v="0"/>
    <x v="1"/>
    <m/>
  </r>
  <r>
    <x v="14"/>
    <s v="LOTE 2"/>
    <x v="5"/>
    <x v="14"/>
    <x v="1"/>
    <x v="0"/>
    <s v="SANTA INES"/>
    <n v="55411115260"/>
    <s v="CAMINITOS DORADOS"/>
    <n v="1"/>
    <n v="49"/>
    <m/>
    <n v="1903"/>
    <s v="ARTÍCULO 34 CONTRATACIÓN CON EL REGISTRO ÚNICO DE OFERENTES"/>
    <m/>
    <m/>
    <x v="0"/>
    <x v="0"/>
    <x v="15"/>
    <x v="14"/>
    <n v="229067"/>
    <n v="15188"/>
    <n v="82325"/>
    <s v=" "/>
    <s v=" "/>
    <m/>
    <n v="74445945"/>
    <n v="0.02"/>
    <n v="1488918.9000000001"/>
    <m/>
    <n v="2"/>
    <n v="74445945"/>
    <n v="75934863.900000006"/>
    <s v=" "/>
    <m/>
    <m/>
    <m/>
    <n v="2290456"/>
    <n v="1854209"/>
    <n v="0"/>
    <n v="70301280"/>
    <m/>
    <n v="74445945"/>
    <s v=" "/>
    <n v="11078116"/>
    <n v="8787660"/>
    <n v="8787660"/>
    <n v="8787660"/>
    <n v="8787660"/>
    <n v="8787660"/>
    <n v="8787660"/>
    <n v="10641869"/>
    <n v="74445945"/>
    <n v="73821832"/>
    <s v="CONTRATACIÓN ALIMENTOS - DPI"/>
    <b v="1"/>
    <n v="0"/>
    <b v="1"/>
    <n v="0"/>
    <x v="1"/>
    <m/>
  </r>
  <r>
    <x v="14"/>
    <s v="LOTE 2"/>
    <x v="5"/>
    <x v="14"/>
    <x v="2"/>
    <x v="0"/>
    <s v="LA MESETA"/>
    <n v="55411115263"/>
    <s v="LA MESETA"/>
    <n v="1"/>
    <n v="24"/>
    <m/>
    <n v="1903"/>
    <s v="ARTÍCULO 34 CONTRATACIÓN CON EL REGISTRO ÚNICO DE OFERENTES"/>
    <m/>
    <m/>
    <x v="0"/>
    <x v="0"/>
    <x v="15"/>
    <x v="14"/>
    <n v="229067"/>
    <n v="15188"/>
    <n v="82325"/>
    <s v=" "/>
    <s v=" "/>
    <m/>
    <n v="100532400"/>
    <n v="0.02"/>
    <n v="2010648"/>
    <m/>
    <n v="3"/>
    <n v="100532400"/>
    <n v="102543048"/>
    <s v=" "/>
    <m/>
    <m/>
    <m/>
    <n v="2115432"/>
    <n v="1801032"/>
    <n v="0"/>
    <n v="96615936"/>
    <m/>
    <n v="100532400"/>
    <s v=" "/>
    <n v="14192424"/>
    <n v="12076992"/>
    <n v="12076992"/>
    <n v="12076992"/>
    <n v="12076992"/>
    <n v="12076992"/>
    <n v="12076992"/>
    <n v="13878024"/>
    <n v="100532400"/>
    <n v="0"/>
    <s v="CONTRATO COSTEADO CON ALIMENTACION"/>
    <b v="1"/>
    <n v="0"/>
    <b v="1"/>
    <n v="0"/>
    <x v="1"/>
    <m/>
  </r>
  <r>
    <x v="14"/>
    <s v="LOTE 2"/>
    <x v="5"/>
    <x v="14"/>
    <x v="2"/>
    <x v="0"/>
    <s v="TV 6 19 08 EDF GERONTOLGICO"/>
    <n v="55411121817"/>
    <s v="SUEÑOS Y SONRISAS"/>
    <n v="1"/>
    <n v="70"/>
    <m/>
    <n v="1903"/>
    <s v="ARTÍCULO 34 CONTRATACIÓN CON EL REGISTRO ÚNICO DE OFERENTES"/>
    <m/>
    <m/>
    <x v="0"/>
    <x v="0"/>
    <x v="15"/>
    <x v="14"/>
    <n v="229067"/>
    <n v="15188"/>
    <n v="82325"/>
    <s v=" "/>
    <s v=" "/>
    <m/>
    <n v="293219500"/>
    <n v="0.02"/>
    <n v="5864390"/>
    <m/>
    <n v="4"/>
    <n v="293219500"/>
    <n v="299083890"/>
    <s v=" "/>
    <m/>
    <m/>
    <m/>
    <n v="6170010"/>
    <n v="5253010"/>
    <n v="0"/>
    <n v="281796480"/>
    <m/>
    <n v="293219500"/>
    <s v=" "/>
    <n v="41394570"/>
    <n v="35224560"/>
    <n v="35224560"/>
    <n v="35224560"/>
    <n v="35224560"/>
    <n v="35224560"/>
    <n v="35224560"/>
    <n v="40477570"/>
    <n v="293219500"/>
    <n v="0"/>
    <s v="CONTRATO COSTEADO CON ALIMENTACION"/>
    <b v="1"/>
    <n v="0"/>
    <b v="1"/>
    <n v="0"/>
    <x v="1"/>
    <m/>
  </r>
  <r>
    <x v="14"/>
    <s v="LOTE 2"/>
    <x v="5"/>
    <x v="14"/>
    <x v="1"/>
    <x v="0"/>
    <s v="GUAMITO"/>
    <n v="55411138031"/>
    <s v=" PEQUEÑO ARCOIRIS"/>
    <n v="1"/>
    <n v="48"/>
    <m/>
    <n v="1903"/>
    <s v="ARTÍCULO 34 CONTRATACIÓN CON EL REGISTRO ÚNICO DE OFERENTES"/>
    <m/>
    <m/>
    <x v="0"/>
    <x v="0"/>
    <x v="15"/>
    <x v="14"/>
    <n v="229067"/>
    <n v="15188"/>
    <n v="82325"/>
    <s v=" "/>
    <s v=" "/>
    <m/>
    <n v="72926640"/>
    <n v="0.02"/>
    <n v="1458532.8"/>
    <m/>
    <n v="5"/>
    <n v="72926640"/>
    <n v="74385172.799999997"/>
    <s v=" "/>
    <m/>
    <m/>
    <m/>
    <n v="2243712"/>
    <n v="1816368"/>
    <n v="0"/>
    <n v="68866560"/>
    <m/>
    <n v="72926640"/>
    <s v=" "/>
    <n v="10852032"/>
    <n v="8608320"/>
    <n v="8608320"/>
    <n v="8608320"/>
    <n v="8608320"/>
    <n v="8608320"/>
    <n v="8608320"/>
    <n v="10424688"/>
    <n v="72926640"/>
    <n v="72315264"/>
    <s v="CONTRATACIÓN ALIMENTOS - DPI"/>
    <b v="1"/>
    <n v="0"/>
    <b v="1"/>
    <n v="0"/>
    <x v="1"/>
    <m/>
  </r>
  <r>
    <x v="14"/>
    <s v="LOTE 2"/>
    <x v="5"/>
    <x v="14"/>
    <x v="1"/>
    <x v="0"/>
    <s v="PALMIRA"/>
    <n v="55411138039"/>
    <s v="HUELLITAS DE AMOR"/>
    <n v="1"/>
    <n v="50"/>
    <m/>
    <n v="1903"/>
    <s v="ARTÍCULO 34 CONTRATACIÓN CON EL REGISTRO ÚNICO DE OFERENTES"/>
    <m/>
    <m/>
    <x v="0"/>
    <x v="0"/>
    <x v="15"/>
    <x v="14"/>
    <n v="229067"/>
    <n v="15188"/>
    <n v="82325"/>
    <s v=" "/>
    <s v=" "/>
    <m/>
    <n v="75965250"/>
    <n v="0.02"/>
    <n v="1519305"/>
    <m/>
    <n v="6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ACIÓN ALIMENTOS - DPI"/>
    <b v="1"/>
    <n v="0"/>
    <b v="1"/>
    <n v="0"/>
    <x v="1"/>
    <m/>
  </r>
  <r>
    <x v="14"/>
    <s v="LOTE 2"/>
    <x v="5"/>
    <x v="14"/>
    <x v="1"/>
    <x v="0"/>
    <s v="PUENTE HONDITA"/>
    <n v="55411144588"/>
    <s v="MUNDO ENCANTADO"/>
    <n v="1"/>
    <n v="45"/>
    <m/>
    <n v="1903"/>
    <s v="ARTÍCULO 34 CONTRATACIÓN CON EL REGISTRO ÚNICO DE OFERENTES"/>
    <m/>
    <m/>
    <x v="0"/>
    <x v="0"/>
    <x v="15"/>
    <x v="14"/>
    <n v="229067"/>
    <n v="15188"/>
    <n v="82325"/>
    <s v=" "/>
    <s v=" "/>
    <m/>
    <n v="68368725"/>
    <n v="0.02"/>
    <n v="1367374.5"/>
    <m/>
    <n v="7"/>
    <n v="68368725"/>
    <n v="69736099.5"/>
    <s v=" "/>
    <m/>
    <m/>
    <m/>
    <n v="2103480"/>
    <n v="1702845"/>
    <n v="0"/>
    <n v="64562400"/>
    <m/>
    <n v="68368725"/>
    <s v=" "/>
    <n v="10173780"/>
    <n v="8070300"/>
    <n v="8070300"/>
    <n v="8070300"/>
    <n v="8070300"/>
    <n v="8070300"/>
    <n v="8070300"/>
    <n v="9773145"/>
    <n v="68368725"/>
    <n v="67795560"/>
    <s v="CONTRATACIÓN ALIMENTOS - DPI"/>
    <b v="1"/>
    <n v="0"/>
    <b v="1"/>
    <n v="0"/>
    <x v="1"/>
    <m/>
  </r>
  <r>
    <x v="14"/>
    <s v="LOTE 2"/>
    <x v="5"/>
    <x v="14"/>
    <x v="1"/>
    <x v="0"/>
    <s v="KR 22 C 15 B 06"/>
    <n v="55411148648"/>
    <s v="CONSTRUYENDO SUEÑOS"/>
    <n v="1"/>
    <n v="48"/>
    <m/>
    <n v="1903"/>
    <s v="ARTÍCULO 34 CONTRATACIÓN CON EL REGISTRO ÚNICO DE OFERENTES"/>
    <m/>
    <m/>
    <x v="0"/>
    <x v="0"/>
    <x v="15"/>
    <x v="14"/>
    <n v="229067"/>
    <n v="15188"/>
    <n v="82325"/>
    <s v=" "/>
    <s v=" "/>
    <m/>
    <n v="72926640"/>
    <n v="0.02"/>
    <n v="1458532.8"/>
    <m/>
    <n v="8"/>
    <n v="72926640"/>
    <n v="74385172.799999997"/>
    <s v=" "/>
    <m/>
    <m/>
    <m/>
    <n v="2243712"/>
    <n v="1816368"/>
    <n v="0"/>
    <n v="68866560"/>
    <m/>
    <n v="72926640"/>
    <s v=" "/>
    <n v="10852032"/>
    <n v="8608320"/>
    <n v="8608320"/>
    <n v="8608320"/>
    <n v="8608320"/>
    <n v="8608320"/>
    <n v="8608320"/>
    <n v="10424688"/>
    <n v="72926640"/>
    <n v="72315264"/>
    <s v="CONTRATACIÓN ALIMENTOS - DPI"/>
    <b v="1"/>
    <n v="0"/>
    <b v="1"/>
    <n v="0"/>
    <x v="1"/>
    <m/>
  </r>
  <r>
    <x v="14"/>
    <s v="LOTE 2"/>
    <x v="5"/>
    <x v="14"/>
    <x v="1"/>
    <x v="0"/>
    <s v="CHILCO"/>
    <n v="554100112889"/>
    <s v="ABEJITAS"/>
    <n v="1"/>
    <n v="50"/>
    <m/>
    <n v="1903"/>
    <s v="ARTÍCULO 34 CONTRATACIÓN CON EL REGISTRO ÚNICO DE OFERENTES"/>
    <m/>
    <m/>
    <x v="0"/>
    <x v="0"/>
    <x v="15"/>
    <x v="14"/>
    <n v="229067"/>
    <n v="15188"/>
    <n v="82325"/>
    <s v=" "/>
    <s v=" "/>
    <m/>
    <n v="75965250"/>
    <n v="0.02"/>
    <n v="1519305"/>
    <m/>
    <n v="9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ACIÓN ALIMENTOS - DPI"/>
    <b v="1"/>
    <n v="0"/>
    <b v="1"/>
    <n v="0"/>
    <x v="1"/>
    <m/>
  </r>
  <r>
    <x v="14"/>
    <s v="LOTE 2"/>
    <x v="5"/>
    <x v="14"/>
    <x v="2"/>
    <x v="0"/>
    <s v="TV 06 22 12"/>
    <n v="554100112942"/>
    <s v="SEMILLITAS DE AMOR"/>
    <n v="1"/>
    <n v="199"/>
    <m/>
    <n v="1903"/>
    <s v="ARTÍCULO 34 CONTRATACIÓN CON EL REGISTRO ÚNICO DE OFERENTES"/>
    <m/>
    <m/>
    <x v="0"/>
    <x v="0"/>
    <x v="15"/>
    <x v="14"/>
    <n v="229067"/>
    <n v="15188"/>
    <n v="82325"/>
    <s v=" "/>
    <s v=" "/>
    <m/>
    <n v="833581150"/>
    <n v="0.02"/>
    <n v="16671623"/>
    <m/>
    <n v="10"/>
    <n v="833581150"/>
    <n v="850252773"/>
    <s v=" "/>
    <m/>
    <m/>
    <m/>
    <n v="17540457"/>
    <n v="14933557"/>
    <n v="0"/>
    <n v="801107136"/>
    <m/>
    <n v="833581150"/>
    <s v=" "/>
    <n v="117678849"/>
    <n v="100138392"/>
    <n v="100138392"/>
    <n v="100138392"/>
    <n v="100138392"/>
    <n v="100138392"/>
    <n v="100138392"/>
    <n v="115071949"/>
    <n v="833581150"/>
    <n v="0"/>
    <s v="CONTRATO COSTEADO CON ALIMENTACION"/>
    <b v="1"/>
    <n v="0"/>
    <b v="1"/>
    <n v="0"/>
    <x v="1"/>
    <m/>
  </r>
  <r>
    <x v="15"/>
    <s v="LOTE 2"/>
    <x v="5"/>
    <x v="15"/>
    <x v="2"/>
    <x v="0"/>
    <s v="CL 53 42 10"/>
    <n v="50021134958"/>
    <s v="CDI GOTITAS DE AMOR"/>
    <n v="1"/>
    <n v="70"/>
    <m/>
    <n v="1904"/>
    <s v="ARTÍCULO 34 CONTRATACIÓN CON EL REGISTRO ÚNICO DE OFERENTES"/>
    <m/>
    <m/>
    <x v="0"/>
    <x v="0"/>
    <x v="15"/>
    <x v="14"/>
    <n v="229068"/>
    <n v="15166"/>
    <n v="87225"/>
    <n v="14"/>
    <n v="759"/>
    <m/>
    <n v="293219500"/>
    <n v="0.02"/>
    <n v="5864390"/>
    <m/>
    <n v="1"/>
    <n v="293219500"/>
    <n v="299083890"/>
    <n v="1976151607"/>
    <n v="39523032"/>
    <n v="2015674639"/>
    <n v="1388.2343568668773"/>
    <n v="6170010"/>
    <n v="5253010"/>
    <n v="0"/>
    <n v="281796480"/>
    <m/>
    <n v="293219500"/>
    <n v="1976151607"/>
    <n v="41394570"/>
    <n v="35224560"/>
    <n v="35224560"/>
    <n v="35224560"/>
    <n v="35224560"/>
    <n v="35224560"/>
    <n v="35224560"/>
    <n v="40477570"/>
    <n v="293219500"/>
    <n v="0"/>
    <s v="CONTRATO COSTEADO CON ALIMENTACION"/>
    <b v="1"/>
    <n v="0"/>
    <b v="1"/>
    <n v="0"/>
    <x v="1"/>
    <n v="1904"/>
  </r>
  <r>
    <x v="15"/>
    <s v="LOTE 2"/>
    <x v="5"/>
    <x v="15"/>
    <x v="5"/>
    <x v="0"/>
    <s v="ESCUELA VIEJA PURIMA DESPUÉS DE LA CASETA DE ACCIÓN COMUNAL"/>
    <n v="50021143038"/>
    <s v="DEJANDO HUELLAS"/>
    <n v="1"/>
    <n v="50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109009650"/>
    <n v="0.02"/>
    <n v="2180193"/>
    <m/>
    <n v="2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04"/>
  </r>
  <r>
    <x v="15"/>
    <s v="LOTE 2"/>
    <x v="5"/>
    <x v="15"/>
    <x v="5"/>
    <x v="0"/>
    <s v="VEREDA CHAGUAL"/>
    <n v="50021143039"/>
    <s v="SEMBRADORES DEL FUTURO"/>
    <n v="1"/>
    <n v="50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109009650"/>
    <n v="0.02"/>
    <n v="2180193"/>
    <m/>
    <n v="3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04"/>
  </r>
  <r>
    <x v="15"/>
    <s v="LOTE 2"/>
    <x v="5"/>
    <x v="15"/>
    <x v="5"/>
    <x v="0"/>
    <s v="ACCIÓN COMUNAL &quot;EL PROYECTO&quot; QUE QUEDA AL LADO DE LA CAPILLA DEL SEÑOR DE LOS MILAGROS"/>
    <n v="50021143040"/>
    <s v="CONSTRUYENDO SONRISAS"/>
    <n v="1"/>
    <n v="50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109009650"/>
    <n v="0.02"/>
    <n v="2180193"/>
    <m/>
    <n v="4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04"/>
  </r>
  <r>
    <x v="15"/>
    <s v="LOTE 2"/>
    <x v="5"/>
    <x v="15"/>
    <x v="5"/>
    <x v="0"/>
    <s v="VEREDA PURINA"/>
    <n v="50021143041"/>
    <s v="RETOÑOS DE AMOR"/>
    <n v="1"/>
    <n v="50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109009650"/>
    <n v="0.02"/>
    <n v="2180193"/>
    <m/>
    <n v="5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04"/>
  </r>
  <r>
    <x v="15"/>
    <s v="LOTE 2"/>
    <x v="5"/>
    <x v="15"/>
    <x v="5"/>
    <x v="0"/>
    <s v="VEREDA QUEBRADANEGRA"/>
    <n v="50021143042"/>
    <s v="SOÑADORES DEL MAÑANA"/>
    <n v="1"/>
    <n v="50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109009650"/>
    <n v="0.02"/>
    <n v="2180193"/>
    <m/>
    <n v="6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04"/>
  </r>
  <r>
    <x v="15"/>
    <s v="LOTE 2"/>
    <x v="5"/>
    <x v="15"/>
    <x v="5"/>
    <x v="0"/>
    <s v="VEREDA SANTA CATALINA"/>
    <n v="50021143043"/>
    <s v="SENDEROS DE AMOR"/>
    <n v="1"/>
    <n v="50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109009650"/>
    <n v="0.02"/>
    <n v="2180193"/>
    <m/>
    <n v="7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04"/>
  </r>
  <r>
    <x v="15"/>
    <s v="LOTE 2"/>
    <x v="5"/>
    <x v="15"/>
    <x v="5"/>
    <x v="0"/>
    <s v="VEREDA SAN PEDRO"/>
    <n v="50021143044"/>
    <s v="PEQUEÑOS EXPLORADORES"/>
    <n v="1"/>
    <n v="50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109009650"/>
    <n v="0.02"/>
    <n v="2180193"/>
    <m/>
    <n v="8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04"/>
  </r>
  <r>
    <x v="15"/>
    <s v="LOTE 2"/>
    <x v="5"/>
    <x v="15"/>
    <x v="5"/>
    <x v="0"/>
    <s v="VEREDA LA PRIMAVERA"/>
    <n v="50021143045"/>
    <s v="PEQUEÑOS CREADORES"/>
    <n v="1"/>
    <n v="50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109009650"/>
    <n v="0.02"/>
    <n v="2180193"/>
    <m/>
    <n v="9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04"/>
  </r>
  <r>
    <x v="15"/>
    <s v="LOTE 2"/>
    <x v="5"/>
    <x v="15"/>
    <x v="5"/>
    <x v="0"/>
    <s v="VEREDA LA FLORIDA"/>
    <n v="50021143046"/>
    <s v="JARDÍN DE LOS SUEÑOS"/>
    <n v="1"/>
    <n v="50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109009650"/>
    <n v="0.02"/>
    <n v="2180193"/>
    <m/>
    <n v="10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04"/>
  </r>
  <r>
    <x v="15"/>
    <s v="LOTE 2"/>
    <x v="5"/>
    <x v="15"/>
    <x v="5"/>
    <x v="0"/>
    <s v="VEREDA SAN LUIS"/>
    <n v="50021143047"/>
    <s v="MUNDO DE TRAVESURAS"/>
    <n v="1"/>
    <n v="49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106829457"/>
    <n v="0.02"/>
    <n v="2136589.14"/>
    <m/>
    <n v="11"/>
    <n v="106829457"/>
    <n v="108966046.14"/>
    <s v=" "/>
    <m/>
    <m/>
    <m/>
    <n v="2419424"/>
    <n v="2010421"/>
    <n v="1425900"/>
    <n v="100973712"/>
    <m/>
    <n v="106829457"/>
    <s v=" "/>
    <n v="16467038"/>
    <n v="12621714"/>
    <n v="12621714"/>
    <n v="12621714"/>
    <n v="12621714"/>
    <n v="12621714"/>
    <n v="12621714"/>
    <n v="14632135"/>
    <n v="106829457"/>
    <n v="70710136"/>
    <s v="CONTRATO ADICIONAL POR ALIMENTACION"/>
    <b v="1"/>
    <n v="0"/>
    <b v="1"/>
    <n v="0"/>
    <x v="1"/>
    <n v="1904"/>
  </r>
  <r>
    <x v="15"/>
    <s v="LOTE 2"/>
    <x v="5"/>
    <x v="15"/>
    <x v="5"/>
    <x v="0"/>
    <s v="VEREDA EL MORRON"/>
    <n v="50021143048"/>
    <s v="CRECIENDO JUNTOS"/>
    <n v="1"/>
    <n v="50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109009650"/>
    <n v="0.02"/>
    <n v="2180193"/>
    <m/>
    <n v="12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04"/>
  </r>
  <r>
    <x v="15"/>
    <s v="LOTE 2"/>
    <x v="5"/>
    <x v="15"/>
    <x v="5"/>
    <x v="0"/>
    <s v="VEREDA EL MORRON"/>
    <n v="50021143049"/>
    <s v="TEJIENDO SUEÑOS EN FAMILIA"/>
    <n v="1"/>
    <n v="50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109009650"/>
    <n v="0.02"/>
    <n v="2180193"/>
    <m/>
    <n v="13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04"/>
  </r>
  <r>
    <x v="15"/>
    <s v="LOTE 2"/>
    <x v="5"/>
    <x v="15"/>
    <x v="2"/>
    <x v="0"/>
    <s v="KR 51 49 03"/>
    <n v="500200089244"/>
    <s v="CARICIAS"/>
    <n v="1"/>
    <n v="90"/>
    <m/>
    <n v="1904"/>
    <s v="ARTÍCULO 34 CONTRATACIÓN CON EL REGISTRO ÚNICO DE OFERENTES"/>
    <m/>
    <m/>
    <x v="0"/>
    <x v="0"/>
    <x v="15"/>
    <x v="14"/>
    <n v="229068"/>
    <n v="15166"/>
    <n v="87225"/>
    <s v=" "/>
    <s v=" "/>
    <m/>
    <n v="376996500"/>
    <n v="0.02"/>
    <n v="7539930"/>
    <m/>
    <n v="14"/>
    <n v="376996500"/>
    <n v="384536430"/>
    <s v=" "/>
    <m/>
    <m/>
    <m/>
    <n v="7932870"/>
    <n v="6753870"/>
    <n v="0"/>
    <n v="362309760"/>
    <m/>
    <n v="376996500"/>
    <s v=" "/>
    <n v="53221590"/>
    <n v="45288720"/>
    <n v="45288720"/>
    <n v="45288720"/>
    <n v="45288720"/>
    <n v="45288720"/>
    <n v="45288720"/>
    <n v="52042590"/>
    <n v="376996500"/>
    <n v="0"/>
    <s v="CONTRATO COSTEADO CON ALIMENTACION"/>
    <b v="1"/>
    <n v="0"/>
    <b v="1"/>
    <n v="0"/>
    <x v="1"/>
    <n v="1904"/>
  </r>
  <r>
    <x v="16"/>
    <s v="LOTE 2"/>
    <x v="7"/>
    <x v="16"/>
    <x v="1"/>
    <x v="0"/>
    <s v="VEREDA TIMOTEA"/>
    <n v="50041136552"/>
    <s v="C COMUNAL TIMOTEA"/>
    <n v="1"/>
    <n v="11"/>
    <m/>
    <n v="1905"/>
    <s v="ARTÍCULO 34 CONTRATACIÓN CON EL REGISTRO ÚNICO DE OFERENTES"/>
    <m/>
    <m/>
    <x v="0"/>
    <x v="0"/>
    <x v="16"/>
    <x v="15"/>
    <n v="229071"/>
    <n v="15180"/>
    <n v="82125"/>
    <n v="35"/>
    <n v="626"/>
    <m/>
    <n v="16712355"/>
    <n v="0.02"/>
    <n v="334247.10000000003"/>
    <m/>
    <n v="1"/>
    <n v="16712355"/>
    <n v="17046602.100000001"/>
    <n v="1258082605"/>
    <n v="25161652"/>
    <n v="1283244257"/>
    <n v="883.79529680365295"/>
    <n v="514184"/>
    <n v="416251"/>
    <n v="0"/>
    <n v="15781920"/>
    <m/>
    <n v="16712355"/>
    <n v="1258082605"/>
    <n v="2486924"/>
    <n v="1972740"/>
    <n v="1972740"/>
    <n v="1972740"/>
    <n v="1972740"/>
    <n v="1972740"/>
    <n v="1972740"/>
    <n v="2388991"/>
    <n v="16712355"/>
    <n v="16572248"/>
    <s v="CONTRATO ADICIONAL POR ALIMENTACION"/>
    <b v="1"/>
    <n v="0"/>
    <b v="1"/>
    <n v="0"/>
    <x v="1"/>
    <n v="1905"/>
  </r>
  <r>
    <x v="16"/>
    <s v="LOTE 2"/>
    <x v="7"/>
    <x v="16"/>
    <x v="1"/>
    <x v="0"/>
    <s v="VEREDA CORCOVADO"/>
    <n v="50041136557"/>
    <s v="IE LA MILAGROSA SEDE CORCOVADO"/>
    <n v="1"/>
    <n v="12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8231660"/>
    <n v="0.02"/>
    <n v="364633.2"/>
    <m/>
    <n v="2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05"/>
  </r>
  <r>
    <x v="16"/>
    <s v="LOTE 2"/>
    <x v="7"/>
    <x v="16"/>
    <x v="1"/>
    <x v="0"/>
    <s v="VEREDA POTREROS"/>
    <n v="50041136559"/>
    <s v="IE LA MILAGROSA SEDE POTREROS"/>
    <n v="1"/>
    <n v="12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8231660"/>
    <n v="0.02"/>
    <n v="364633.2"/>
    <m/>
    <n v="3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05"/>
  </r>
  <r>
    <x v="16"/>
    <s v="LOTE 2"/>
    <x v="7"/>
    <x v="16"/>
    <x v="1"/>
    <x v="0"/>
    <s v="VEREDA NANCUI 2"/>
    <n v="50041136562"/>
    <s v="IE LA MILAGROSA SEDE LA NANCUI 2"/>
    <n v="1"/>
    <n v="16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24308880"/>
    <n v="0.02"/>
    <n v="486177.60000000003"/>
    <m/>
    <n v="4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05"/>
  </r>
  <r>
    <x v="16"/>
    <s v="LOTE 2"/>
    <x v="7"/>
    <x v="16"/>
    <x v="1"/>
    <x v="0"/>
    <s v="VEREDA SANTA TERESA"/>
    <n v="50041151145"/>
    <s v="C COMUNAL SANTA TERESA"/>
    <n v="1"/>
    <n v="12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8231660"/>
    <n v="0.02"/>
    <n v="364633.2"/>
    <m/>
    <n v="5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05"/>
  </r>
  <r>
    <x v="16"/>
    <s v="LOTE 2"/>
    <x v="7"/>
    <x v="16"/>
    <x v="1"/>
    <x v="0"/>
    <s v="VEREDA LOS MONOS"/>
    <n v="500400085427"/>
    <s v="C COMUNAL MONOS"/>
    <n v="1"/>
    <n v="14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21270270"/>
    <n v="0.02"/>
    <n v="425405.4"/>
    <m/>
    <n v="6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905"/>
  </r>
  <r>
    <x v="16"/>
    <s v="LOTE 2"/>
    <x v="7"/>
    <x v="17"/>
    <x v="1"/>
    <x v="0"/>
    <s v="VEREDA VERSALLES"/>
    <n v="51381119220"/>
    <s v="C COMUNAL VERSALLES_CAÑASGORDAS"/>
    <n v="1"/>
    <n v="13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9750965"/>
    <n v="0.02"/>
    <n v="395019.3"/>
    <m/>
    <n v="7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05"/>
  </r>
  <r>
    <x v="16"/>
    <s v="LOTE 2"/>
    <x v="7"/>
    <x v="17"/>
    <x v="1"/>
    <x v="0"/>
    <s v="VEREDA GUADUAL"/>
    <n v="51381119221"/>
    <s v="CASA GUADUAL TITO HENAO"/>
    <n v="1"/>
    <n v="18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27347490"/>
    <n v="0.02"/>
    <n v="546949.80000000005"/>
    <m/>
    <n v="8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05"/>
  </r>
  <r>
    <x v="16"/>
    <s v="LOTE 2"/>
    <x v="7"/>
    <x v="17"/>
    <x v="1"/>
    <x v="0"/>
    <s v="VEREDA SAN LUIS"/>
    <n v="51381119222"/>
    <s v="CASA SAN LUIS ELKIN MIRA"/>
    <n v="1"/>
    <n v="15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22789575"/>
    <n v="0.02"/>
    <n v="455791.5"/>
    <m/>
    <n v="9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O ADICIONAL POR ALIMENTACION"/>
    <b v="1"/>
    <n v="0"/>
    <b v="1"/>
    <n v="0"/>
    <x v="1"/>
    <n v="1905"/>
  </r>
  <r>
    <x v="16"/>
    <s v="LOTE 2"/>
    <x v="7"/>
    <x v="17"/>
    <x v="1"/>
    <x v="0"/>
    <s v="VEREDA BUENOS AIRES"/>
    <n v="51381119475"/>
    <s v="C COMUNAL BUENOS AIRES"/>
    <n v="1"/>
    <n v="16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24308880"/>
    <n v="0.02"/>
    <n v="486177.60000000003"/>
    <m/>
    <n v="10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05"/>
  </r>
  <r>
    <x v="16"/>
    <s v="LOTE 2"/>
    <x v="7"/>
    <x v="17"/>
    <x v="1"/>
    <x v="0"/>
    <s v="VEREDA LOMA DE LA ALEGRIA"/>
    <n v="51381119482"/>
    <s v="ESCUELA LA LOMA DE LA ALEGRIA"/>
    <n v="1"/>
    <n v="20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30386100"/>
    <n v="0.02"/>
    <n v="607722"/>
    <m/>
    <n v="11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905"/>
  </r>
  <r>
    <x v="16"/>
    <s v="LOTE 2"/>
    <x v="7"/>
    <x v="17"/>
    <x v="1"/>
    <x v="0"/>
    <s v="KR BOLIVAR"/>
    <n v="51381119483"/>
    <s v="CASA CURAL SANTO CRISTO"/>
    <n v="1"/>
    <n v="27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41021235"/>
    <n v="0.02"/>
    <n v="820424.70000000007"/>
    <m/>
    <n v="12"/>
    <n v="41021235"/>
    <n v="41841659.700000003"/>
    <s v=" "/>
    <m/>
    <m/>
    <m/>
    <n v="1262088"/>
    <n v="1021707"/>
    <n v="0"/>
    <n v="38737440"/>
    <m/>
    <n v="41021235"/>
    <s v=" "/>
    <n v="6104268"/>
    <n v="4842180"/>
    <n v="4842180"/>
    <n v="4842180"/>
    <n v="4842180"/>
    <n v="4842180"/>
    <n v="4842180"/>
    <n v="5863887"/>
    <n v="41021235"/>
    <n v="40677336"/>
    <s v="CONTRATO ADICIONAL POR ALIMENTACION"/>
    <b v="1"/>
    <n v="0"/>
    <b v="1"/>
    <n v="0"/>
    <x v="1"/>
    <n v="1905"/>
  </r>
  <r>
    <x v="16"/>
    <s v="LOTE 2"/>
    <x v="7"/>
    <x v="17"/>
    <x v="1"/>
    <x v="0"/>
    <s v="VEREDA LA SOLEDAD"/>
    <n v="51381136702"/>
    <s v="C COMUNAL LA SOLEDAD_CAÑASGORDAS"/>
    <n v="1"/>
    <n v="10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5193050"/>
    <n v="0.02"/>
    <n v="303861"/>
    <m/>
    <n v="13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O ADICIONAL POR ALIMENTACION"/>
    <b v="1"/>
    <n v="0"/>
    <b v="1"/>
    <n v="0"/>
    <x v="1"/>
    <n v="1905"/>
  </r>
  <r>
    <x v="16"/>
    <s v="LOTE 2"/>
    <x v="7"/>
    <x v="17"/>
    <x v="1"/>
    <x v="0"/>
    <s v="VEREDA LA MALENA"/>
    <n v="51381136703"/>
    <s v="ESCUELA LA MALENA"/>
    <n v="1"/>
    <n v="14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21270270"/>
    <n v="0.02"/>
    <n v="425405.4"/>
    <m/>
    <n v="14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905"/>
  </r>
  <r>
    <x v="16"/>
    <s v="LOTE 2"/>
    <x v="7"/>
    <x v="17"/>
    <x v="1"/>
    <x v="0"/>
    <s v="VEREDA SANTO CRISTO"/>
    <n v="51381136704"/>
    <s v="C COMUNAL SANTO CRISTO"/>
    <n v="1"/>
    <n v="12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8231660"/>
    <n v="0.02"/>
    <n v="364633.2"/>
    <m/>
    <n v="15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05"/>
  </r>
  <r>
    <x v="16"/>
    <s v="LOTE 2"/>
    <x v="7"/>
    <x v="17"/>
    <x v="1"/>
    <x v="0"/>
    <s v="VEREDA EL CAFE"/>
    <n v="51381136707"/>
    <s v="ESCUELA EL CAFE"/>
    <n v="1"/>
    <n v="13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9750965"/>
    <n v="0.02"/>
    <n v="395019.3"/>
    <m/>
    <n v="16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05"/>
  </r>
  <r>
    <x v="16"/>
    <s v="LOTE 2"/>
    <x v="7"/>
    <x v="17"/>
    <x v="1"/>
    <x v="0"/>
    <s v="VEREDA INSOR"/>
    <n v="51381136708"/>
    <s v="C COMUNAL INSOR"/>
    <n v="1"/>
    <n v="17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25828185"/>
    <n v="0.02"/>
    <n v="516563.7"/>
    <m/>
    <n v="17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05"/>
  </r>
  <r>
    <x v="16"/>
    <s v="LOTE 2"/>
    <x v="7"/>
    <x v="17"/>
    <x v="1"/>
    <x v="0"/>
    <s v="VEREDA EL ROBLE"/>
    <n v="51381136710"/>
    <s v="C COMUNAL EL ROBLE"/>
    <n v="1"/>
    <n v="6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9115830"/>
    <n v="0.02"/>
    <n v="182316.6"/>
    <m/>
    <n v="18"/>
    <n v="9115830"/>
    <n v="9298146.5999999996"/>
    <s v=" "/>
    <m/>
    <m/>
    <m/>
    <n v="280464"/>
    <n v="227046"/>
    <n v="0"/>
    <n v="8608320"/>
    <m/>
    <n v="9115830"/>
    <s v=" "/>
    <n v="1356504"/>
    <n v="1076040"/>
    <n v="1076040"/>
    <n v="1076040"/>
    <n v="1076040"/>
    <n v="1076040"/>
    <n v="1076040"/>
    <n v="1303086"/>
    <n v="9115830"/>
    <n v="9039408"/>
    <s v="CONTRATO ADICIONAL POR ALIMENTACION"/>
    <b v="1"/>
    <n v="0"/>
    <b v="1"/>
    <n v="0"/>
    <x v="1"/>
    <n v="1905"/>
  </r>
  <r>
    <x v="16"/>
    <s v="LOTE 2"/>
    <x v="7"/>
    <x v="17"/>
    <x v="1"/>
    <x v="0"/>
    <s v="VEREDA CIRIGUAN"/>
    <n v="51381136714"/>
    <s v="C COMUNAL CIRIGUAN"/>
    <n v="1"/>
    <n v="13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9750965"/>
    <n v="0.02"/>
    <n v="395019.3"/>
    <m/>
    <n v="19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05"/>
  </r>
  <r>
    <x v="16"/>
    <s v="LOTE 2"/>
    <x v="7"/>
    <x v="17"/>
    <x v="1"/>
    <x v="0"/>
    <s v="VEREDA LA BALSITA"/>
    <n v="51381136715"/>
    <s v="C COMUNAL LA BALSITA"/>
    <n v="1"/>
    <n v="22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33424710"/>
    <n v="0.02"/>
    <n v="668494.20000000007"/>
    <m/>
    <n v="20"/>
    <n v="33424710"/>
    <n v="34093204.200000003"/>
    <s v=" "/>
    <m/>
    <m/>
    <m/>
    <n v="1028368"/>
    <n v="832502"/>
    <n v="0"/>
    <n v="31563840"/>
    <m/>
    <n v="33424710"/>
    <s v=" "/>
    <n v="4973848"/>
    <n v="3945480"/>
    <n v="3945480"/>
    <n v="3945480"/>
    <n v="3945480"/>
    <n v="3945480"/>
    <n v="3945480"/>
    <n v="4777982"/>
    <n v="33424710"/>
    <n v="33144496"/>
    <s v="CONTRATO ADICIONAL POR ALIMENTACION"/>
    <b v="1"/>
    <n v="0"/>
    <b v="1"/>
    <n v="0"/>
    <x v="1"/>
    <n v="1905"/>
  </r>
  <r>
    <x v="16"/>
    <s v="LOTE 2"/>
    <x v="7"/>
    <x v="17"/>
    <x v="1"/>
    <x v="0"/>
    <s v="VEREDA JUNTAS DE URAMITA"/>
    <n v="51381136718"/>
    <s v="HOGAR JUVENIL JUNTAS DE URAMITA"/>
    <n v="1"/>
    <n v="20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30386100"/>
    <n v="0.02"/>
    <n v="607722"/>
    <m/>
    <n v="21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905"/>
  </r>
  <r>
    <x v="16"/>
    <s v="LOTE 2"/>
    <x v="7"/>
    <x v="17"/>
    <x v="1"/>
    <x v="0"/>
    <s v="VEREDA LA MANGA"/>
    <n v="51381136721"/>
    <s v="ESCUELA LA MANGA"/>
    <n v="1"/>
    <n v="12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8231660"/>
    <n v="0.02"/>
    <n v="364633.2"/>
    <m/>
    <n v="22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05"/>
  </r>
  <r>
    <x v="16"/>
    <s v="LOTE 2"/>
    <x v="7"/>
    <x v="17"/>
    <x v="1"/>
    <x v="0"/>
    <s v="CORREGIMIENTO SAN PASCUAL"/>
    <n v="51381136724"/>
    <s v="ESCUELA SAN PASCUAL"/>
    <n v="1"/>
    <n v="18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27347490"/>
    <n v="0.02"/>
    <n v="546949.80000000005"/>
    <m/>
    <n v="23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05"/>
  </r>
  <r>
    <x v="16"/>
    <s v="LOTE 2"/>
    <x v="7"/>
    <x v="17"/>
    <x v="1"/>
    <x v="0"/>
    <s v="VEREDA LA CURVA"/>
    <n v="51381137041"/>
    <s v="ESCUELA LA CURVA"/>
    <n v="1"/>
    <n v="9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3673745"/>
    <n v="0.02"/>
    <n v="273474.90000000002"/>
    <m/>
    <n v="24"/>
    <n v="13673745"/>
    <n v="13947219.9"/>
    <s v=" "/>
    <m/>
    <m/>
    <m/>
    <n v="420696"/>
    <n v="340569"/>
    <n v="0"/>
    <n v="12912480"/>
    <m/>
    <n v="13673745"/>
    <s v=" "/>
    <n v="2034756"/>
    <n v="1614060"/>
    <n v="1614060"/>
    <n v="1614060"/>
    <n v="1614060"/>
    <n v="1614060"/>
    <n v="1614060"/>
    <n v="1954629"/>
    <n v="13673745"/>
    <n v="13559112"/>
    <s v="CONTRATO ADICIONAL POR ALIMENTACION"/>
    <b v="1"/>
    <n v="0"/>
    <b v="1"/>
    <n v="0"/>
    <x v="1"/>
    <n v="1905"/>
  </r>
  <r>
    <x v="16"/>
    <s v="LOTE 2"/>
    <x v="7"/>
    <x v="17"/>
    <x v="1"/>
    <x v="0"/>
    <s v="VEREDA JUNTAS DE URAMITA"/>
    <n v="51381148729"/>
    <s v="CASA DE LA CULTURA JUNTAS DE URAMITA"/>
    <n v="1"/>
    <n v="16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24308880"/>
    <n v="0.02"/>
    <n v="486177.60000000003"/>
    <m/>
    <n v="25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05"/>
  </r>
  <r>
    <x v="16"/>
    <s v="LOTE 2"/>
    <x v="7"/>
    <x v="17"/>
    <x v="1"/>
    <x v="0"/>
    <s v="VEREDA CESTILLAL"/>
    <n v="51381148730"/>
    <s v="CASETA SAN MIGUEL CESTILLAL"/>
    <n v="1"/>
    <n v="12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8231660"/>
    <n v="0.02"/>
    <n v="364633.2"/>
    <m/>
    <n v="26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05"/>
  </r>
  <r>
    <x v="16"/>
    <s v="LOTE 2"/>
    <x v="7"/>
    <x v="17"/>
    <x v="1"/>
    <x v="0"/>
    <s v="KR 31 33 A 1"/>
    <n v="51381148731"/>
    <s v="SALON PARQUE EDUCATIVO"/>
    <n v="1"/>
    <n v="23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34944015"/>
    <n v="0.02"/>
    <n v="698880.3"/>
    <m/>
    <n v="27"/>
    <n v="34944015"/>
    <n v="35642895.299999997"/>
    <s v=" "/>
    <m/>
    <m/>
    <m/>
    <n v="1075112"/>
    <n v="870343"/>
    <n v="0"/>
    <n v="32998560"/>
    <m/>
    <n v="34944015"/>
    <s v=" "/>
    <n v="5199932"/>
    <n v="4124820"/>
    <n v="4124820"/>
    <n v="4124820"/>
    <n v="4124820"/>
    <n v="4124820"/>
    <n v="4124820"/>
    <n v="4995163"/>
    <n v="34944015"/>
    <n v="34651064"/>
    <s v="CONTRATO ADICIONAL POR ALIMENTACION"/>
    <b v="1"/>
    <n v="0"/>
    <b v="1"/>
    <n v="0"/>
    <x v="1"/>
    <n v="1905"/>
  </r>
  <r>
    <x v="16"/>
    <s v="LOTE 2"/>
    <x v="7"/>
    <x v="17"/>
    <x v="1"/>
    <x v="0"/>
    <s v="VEREDA EL CANELITO"/>
    <n v="51381150452"/>
    <s v="ESCUELA EL CANELITO"/>
    <n v="1"/>
    <n v="13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9750965"/>
    <n v="0.02"/>
    <n v="395019.3"/>
    <m/>
    <n v="28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05"/>
  </r>
  <r>
    <x v="16"/>
    <s v="LOTE 2"/>
    <x v="7"/>
    <x v="17"/>
    <x v="1"/>
    <x v="0"/>
    <s v="CORREGIMIENTO DE CESTILLAL-SECTOR EDUCATIVO"/>
    <n v="51381150453"/>
    <s v="COLISEO CESTILLAL"/>
    <n v="1"/>
    <n v="21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31905405"/>
    <n v="0.02"/>
    <n v="638108.1"/>
    <m/>
    <n v="29"/>
    <n v="31905405"/>
    <n v="32543513.100000001"/>
    <s v=" "/>
    <m/>
    <m/>
    <m/>
    <n v="981624"/>
    <n v="794661"/>
    <n v="0"/>
    <n v="30129120"/>
    <m/>
    <n v="31905405"/>
    <s v=" "/>
    <n v="4747764"/>
    <n v="3766140"/>
    <n v="3766140"/>
    <n v="3766140"/>
    <n v="3766140"/>
    <n v="3766140"/>
    <n v="3766140"/>
    <n v="4560801"/>
    <n v="31905405"/>
    <n v="31637928"/>
    <s v="CONTRATO ADICIONAL POR ALIMENTACION"/>
    <b v="1"/>
    <n v="0"/>
    <b v="1"/>
    <n v="0"/>
    <x v="1"/>
    <n v="1905"/>
  </r>
  <r>
    <x v="16"/>
    <s v="LOTE 2"/>
    <x v="7"/>
    <x v="17"/>
    <x v="1"/>
    <x v="0"/>
    <s v="VEREDA LA ESPERANZA"/>
    <n v="51381152914"/>
    <s v="CASA JUAN TORRES LA ESPERANZA"/>
    <n v="1"/>
    <n v="17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25828185"/>
    <n v="0.02"/>
    <n v="516563.7"/>
    <m/>
    <n v="30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05"/>
  </r>
  <r>
    <x v="16"/>
    <s v="LOTE 2"/>
    <x v="7"/>
    <x v="17"/>
    <x v="1"/>
    <x v="0"/>
    <s v="VEREDA EL CANELO"/>
    <n v="51381152990"/>
    <s v="C COMUNAL EL CANELO"/>
    <n v="1"/>
    <n v="23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34944015"/>
    <n v="0.02"/>
    <n v="698880.3"/>
    <m/>
    <n v="31"/>
    <n v="34944015"/>
    <n v="35642895.299999997"/>
    <s v=" "/>
    <m/>
    <m/>
    <m/>
    <n v="1075112"/>
    <n v="870343"/>
    <n v="0"/>
    <n v="32998560"/>
    <m/>
    <n v="34944015"/>
    <s v=" "/>
    <n v="5199932"/>
    <n v="4124820"/>
    <n v="4124820"/>
    <n v="4124820"/>
    <n v="4124820"/>
    <n v="4124820"/>
    <n v="4124820"/>
    <n v="4995163"/>
    <n v="34944015"/>
    <n v="34651064"/>
    <s v="CONTRATO ADICIONAL POR ALIMENTACION"/>
    <b v="1"/>
    <n v="0"/>
    <b v="1"/>
    <n v="0"/>
    <x v="1"/>
    <n v="1905"/>
  </r>
  <r>
    <x v="16"/>
    <s v="LOTE 2"/>
    <x v="7"/>
    <x v="17"/>
    <x v="2"/>
    <x v="0"/>
    <s v="CORREGIMIENTO CESTILLAL"/>
    <n v="513800080717"/>
    <s v="CESTILLAL"/>
    <n v="1"/>
    <n v="35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46609750"/>
    <n v="0.02"/>
    <n v="2932195"/>
    <m/>
    <n v="32"/>
    <n v="146609750"/>
    <n v="149541945"/>
    <s v=" "/>
    <m/>
    <m/>
    <m/>
    <n v="3085005"/>
    <n v="2626505"/>
    <n v="0"/>
    <n v="140898240"/>
    <m/>
    <n v="146609750"/>
    <s v=" "/>
    <n v="20697285"/>
    <n v="17612280"/>
    <n v="17612280"/>
    <n v="17612280"/>
    <n v="17612280"/>
    <n v="17612280"/>
    <n v="17612280"/>
    <n v="20238785"/>
    <n v="146609750"/>
    <n v="0"/>
    <s v="CONTRATO COSTEADO CON ALIMENTACION"/>
    <b v="1"/>
    <n v="0"/>
    <b v="1"/>
    <n v="0"/>
    <x v="1"/>
    <n v="1905"/>
  </r>
  <r>
    <x v="16"/>
    <s v="LOTE 2"/>
    <x v="7"/>
    <x v="17"/>
    <x v="2"/>
    <x v="0"/>
    <s v="KR SUCRE N 33 20"/>
    <n v="513800080721"/>
    <s v="PIMPONES DE COLORES"/>
    <n v="1"/>
    <n v="80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335108000"/>
    <n v="0.02"/>
    <n v="6702160"/>
    <m/>
    <n v="33"/>
    <n v="335108000"/>
    <n v="341810160"/>
    <s v=" "/>
    <m/>
    <m/>
    <m/>
    <n v="7051440"/>
    <n v="6003440"/>
    <n v="0"/>
    <n v="322053120"/>
    <m/>
    <n v="335108000"/>
    <s v=" "/>
    <n v="47308080"/>
    <n v="40256640"/>
    <n v="40256640"/>
    <n v="40256640"/>
    <n v="40256640"/>
    <n v="40256640"/>
    <n v="40256640"/>
    <n v="46260080"/>
    <n v="335108000"/>
    <n v="0"/>
    <s v="CONTRATO COSTEADO CON ALIMENTACION"/>
    <b v="1"/>
    <n v="0"/>
    <b v="1"/>
    <n v="0"/>
    <x v="1"/>
    <n v="1905"/>
  </r>
  <r>
    <x v="16"/>
    <s v="LOTE 2"/>
    <x v="7"/>
    <x v="17"/>
    <x v="1"/>
    <x v="0"/>
    <s v="CASETA COMUNAL LOS NARANJOS"/>
    <n v="513800085428"/>
    <s v="C COMUNAL LOS NARANJOS"/>
    <n v="1"/>
    <n v="21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31905405"/>
    <n v="0.02"/>
    <n v="638108.1"/>
    <m/>
    <n v="34"/>
    <n v="31905405"/>
    <n v="32543513.100000001"/>
    <s v=" "/>
    <m/>
    <m/>
    <m/>
    <n v="981624"/>
    <n v="794661"/>
    <n v="0"/>
    <n v="30129120"/>
    <m/>
    <n v="31905405"/>
    <s v=" "/>
    <n v="4747764"/>
    <n v="3766140"/>
    <n v="3766140"/>
    <n v="3766140"/>
    <n v="3766140"/>
    <n v="3766140"/>
    <n v="3766140"/>
    <n v="4560801"/>
    <n v="31905405"/>
    <n v="31637928"/>
    <s v="CONTRATO ADICIONAL POR ALIMENTACION"/>
    <b v="1"/>
    <n v="0"/>
    <b v="1"/>
    <n v="0"/>
    <x v="1"/>
    <n v="1905"/>
  </r>
  <r>
    <x v="16"/>
    <s v="LOTE 2"/>
    <x v="7"/>
    <x v="17"/>
    <x v="1"/>
    <x v="0"/>
    <s v="VEREDA LA LOMA"/>
    <n v="513800104902"/>
    <s v="C COMUNAL LA LOMA_CAÑASGORDAS"/>
    <n v="1"/>
    <n v="13"/>
    <m/>
    <n v="1905"/>
    <s v="ARTÍCULO 34 CONTRATACIÓN CON EL REGISTRO ÚNICO DE OFERENTES"/>
    <m/>
    <m/>
    <x v="0"/>
    <x v="0"/>
    <x v="16"/>
    <x v="15"/>
    <n v="229071"/>
    <n v="15180"/>
    <n v="82125"/>
    <s v=" "/>
    <s v=" "/>
    <m/>
    <n v="19750965"/>
    <n v="0.02"/>
    <n v="395019.3"/>
    <m/>
    <n v="35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05"/>
  </r>
  <r>
    <x v="17"/>
    <s v="LOTE 2"/>
    <x v="9"/>
    <x v="18"/>
    <x v="1"/>
    <x v="0"/>
    <s v="CAMILO C EL TRINCHO"/>
    <n v="50301115003"/>
    <s v="C COMUNAL 1"/>
    <n v="1"/>
    <n v="24"/>
    <m/>
    <n v="1907"/>
    <s v="ARTÍCULO 34 CONTRATACIÓN CON EL REGISTRO ÚNICO DE OFERENTES"/>
    <m/>
    <m/>
    <x v="0"/>
    <x v="0"/>
    <x v="17"/>
    <x v="16"/>
    <n v="229072"/>
    <n v="15192"/>
    <n v="82725"/>
    <n v="10"/>
    <n v="494"/>
    <m/>
    <n v="36463320"/>
    <n v="0.02"/>
    <n v="729266.4"/>
    <m/>
    <n v="1"/>
    <n v="36463320"/>
    <n v="37192586.399999999"/>
    <n v="1028169350"/>
    <n v="20563387"/>
    <n v="1048732737"/>
    <n v="722.28264840182646"/>
    <n v="1121856"/>
    <n v="908184"/>
    <n v="0"/>
    <n v="34433280"/>
    <m/>
    <n v="36463320"/>
    <n v="1028169350"/>
    <n v="5426016"/>
    <n v="4304160"/>
    <n v="4304160"/>
    <n v="4304160"/>
    <n v="4304160"/>
    <n v="4304160"/>
    <n v="4304160"/>
    <n v="5212344"/>
    <n v="36463320"/>
    <n v="36157632"/>
    <s v="CONTRATO ADICIONAL POR ALIMENTACION"/>
    <b v="1"/>
    <n v="0"/>
    <b v="1"/>
    <n v="0"/>
    <x v="1"/>
    <n v="1907"/>
  </r>
  <r>
    <x v="17"/>
    <s v="LOTE 2"/>
    <x v="9"/>
    <x v="18"/>
    <x v="1"/>
    <x v="0"/>
    <s v="KR 51 ESCUELA MARIA AUXILIADORA 1 1"/>
    <n v="50301115005"/>
    <s v="ESCUELA MARIA AUXILIADORA"/>
    <n v="1"/>
    <n v="140"/>
    <m/>
    <n v="1907"/>
    <s v="ARTÍCULO 34 CONTRATACIÓN CON EL REGISTRO ÚNICO DE OFERENTES"/>
    <m/>
    <m/>
    <x v="0"/>
    <x v="0"/>
    <x v="17"/>
    <x v="16"/>
    <n v="229072"/>
    <n v="15192"/>
    <n v="82725"/>
    <s v=" "/>
    <s v=" "/>
    <m/>
    <n v="212702700"/>
    <n v="0.02"/>
    <n v="4254054"/>
    <m/>
    <n v="2"/>
    <n v="212702700"/>
    <n v="216956754"/>
    <s v=" "/>
    <m/>
    <m/>
    <m/>
    <n v="6544160"/>
    <n v="5297740"/>
    <n v="0"/>
    <n v="200860800"/>
    <m/>
    <n v="212702700"/>
    <s v=" "/>
    <n v="31651760"/>
    <n v="25107600"/>
    <n v="25107600"/>
    <n v="25107600"/>
    <n v="25107600"/>
    <n v="25107600"/>
    <n v="25107600"/>
    <n v="30405340"/>
    <n v="212702700"/>
    <n v="210919520"/>
    <s v="CONTRATO ADICIONAL POR ALIMENTACION"/>
    <b v="1"/>
    <n v="0"/>
    <b v="1"/>
    <n v="0"/>
    <x v="1"/>
    <n v="1907"/>
  </r>
  <r>
    <x v="17"/>
    <s v="LOTE 2"/>
    <x v="9"/>
    <x v="18"/>
    <x v="1"/>
    <x v="0"/>
    <s v="LA FERRERIA"/>
    <n v="50301115008"/>
    <s v="FERRERIA"/>
    <n v="1"/>
    <n v="31"/>
    <m/>
    <n v="1907"/>
    <s v="ARTÍCULO 34 CONTRATACIÓN CON EL REGISTRO ÚNICO DE OFERENTES"/>
    <m/>
    <m/>
    <x v="0"/>
    <x v="0"/>
    <x v="17"/>
    <x v="16"/>
    <n v="229072"/>
    <n v="15192"/>
    <n v="82725"/>
    <s v=" "/>
    <s v=" "/>
    <m/>
    <n v="47098455"/>
    <n v="0.02"/>
    <n v="941969.1"/>
    <m/>
    <n v="3"/>
    <n v="47098455"/>
    <n v="48040424.100000001"/>
    <s v=" "/>
    <m/>
    <m/>
    <m/>
    <n v="1449064"/>
    <n v="1173071"/>
    <n v="0"/>
    <n v="44476320"/>
    <m/>
    <n v="47098455"/>
    <s v=" "/>
    <n v="7008604"/>
    <n v="5559540"/>
    <n v="5559540"/>
    <n v="5559540"/>
    <n v="5559540"/>
    <n v="5559540"/>
    <n v="5559540"/>
    <n v="6732611"/>
    <n v="47098455"/>
    <n v="46703608"/>
    <s v="CONTRATO ADICIONAL POR ALIMENTACION"/>
    <b v="1"/>
    <n v="0"/>
    <b v="1"/>
    <n v="0"/>
    <x v="1"/>
    <n v="1907"/>
  </r>
  <r>
    <x v="17"/>
    <s v="LOTE 2"/>
    <x v="9"/>
    <x v="18"/>
    <x v="1"/>
    <x v="0"/>
    <s v="MINAS"/>
    <n v="50301115010"/>
    <s v="MINAS"/>
    <n v="1"/>
    <n v="56"/>
    <m/>
    <n v="1907"/>
    <s v="ARTÍCULO 34 CONTRATACIÓN CON EL REGISTRO ÚNICO DE OFERENTES"/>
    <m/>
    <m/>
    <x v="0"/>
    <x v="0"/>
    <x v="17"/>
    <x v="16"/>
    <n v="229072"/>
    <n v="15192"/>
    <n v="82725"/>
    <s v=" "/>
    <s v=" "/>
    <m/>
    <n v="85081080"/>
    <n v="0.02"/>
    <n v="1701621.6"/>
    <m/>
    <n v="4"/>
    <n v="85081080"/>
    <n v="86782701.599999994"/>
    <s v=" "/>
    <m/>
    <m/>
    <m/>
    <n v="2617664"/>
    <n v="2119096"/>
    <n v="0"/>
    <n v="80344320"/>
    <m/>
    <n v="85081080"/>
    <s v=" "/>
    <n v="12660704"/>
    <n v="10043040"/>
    <n v="10043040"/>
    <n v="10043040"/>
    <n v="10043040"/>
    <n v="10043040"/>
    <n v="10043040"/>
    <n v="12162136"/>
    <n v="85081080"/>
    <n v="84367808"/>
    <s v="CONTRATO ADICIONAL POR ALIMENTACION"/>
    <b v="1"/>
    <n v="0"/>
    <b v="1"/>
    <n v="0"/>
    <x v="1"/>
    <n v="1907"/>
  </r>
  <r>
    <x v="17"/>
    <s v="LOTE 2"/>
    <x v="9"/>
    <x v="18"/>
    <x v="1"/>
    <x v="0"/>
    <s v="VEREDA PIEDECUESTA"/>
    <n v="50301135978"/>
    <s v="PIEDECUESTA"/>
    <n v="1"/>
    <n v="50"/>
    <m/>
    <n v="1907"/>
    <s v="ARTÍCULO 34 CONTRATACIÓN CON EL REGISTRO ÚNICO DE OFERENTES"/>
    <m/>
    <m/>
    <x v="0"/>
    <x v="0"/>
    <x v="17"/>
    <x v="16"/>
    <n v="229072"/>
    <n v="15192"/>
    <n v="82725"/>
    <s v=" "/>
    <s v=" "/>
    <m/>
    <n v="75965250"/>
    <n v="0.02"/>
    <n v="1519305"/>
    <m/>
    <n v="5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07"/>
  </r>
  <r>
    <x v="17"/>
    <s v="LOTE 2"/>
    <x v="9"/>
    <x v="18"/>
    <x v="1"/>
    <x v="0"/>
    <s v="CAMILO C LA POLKA"/>
    <n v="50301136051"/>
    <s v="SALON PARROQUIAL_AMAGA"/>
    <n v="1"/>
    <n v="30"/>
    <m/>
    <n v="1907"/>
    <s v="ARTÍCULO 34 CONTRATACIÓN CON EL REGISTRO ÚNICO DE OFERENTES"/>
    <m/>
    <m/>
    <x v="0"/>
    <x v="0"/>
    <x v="17"/>
    <x v="16"/>
    <n v="229072"/>
    <n v="15192"/>
    <n v="82725"/>
    <s v=" "/>
    <s v=" "/>
    <m/>
    <n v="45579150"/>
    <n v="0.02"/>
    <n v="911583"/>
    <m/>
    <n v="6"/>
    <n v="45579150"/>
    <n v="46490733"/>
    <s v=" "/>
    <m/>
    <m/>
    <m/>
    <n v="1402320"/>
    <n v="1135230"/>
    <n v="0"/>
    <n v="43041600"/>
    <m/>
    <n v="45579150"/>
    <s v=" "/>
    <n v="6782520"/>
    <n v="5380200"/>
    <n v="5380200"/>
    <n v="5380200"/>
    <n v="5380200"/>
    <n v="5380200"/>
    <n v="5380200"/>
    <n v="6515430"/>
    <n v="45579150"/>
    <n v="45197040"/>
    <s v="CONTRATO ADICIONAL POR ALIMENTACION"/>
    <b v="1"/>
    <n v="0"/>
    <b v="1"/>
    <n v="0"/>
    <x v="1"/>
    <n v="1907"/>
  </r>
  <r>
    <x v="17"/>
    <s v="LOTE 2"/>
    <x v="9"/>
    <x v="18"/>
    <x v="1"/>
    <x v="0"/>
    <s v="MINAS LA CLARITA"/>
    <n v="50301136064"/>
    <s v="MINAS LA CLARITA"/>
    <n v="1"/>
    <n v="26"/>
    <m/>
    <n v="1907"/>
    <s v="ARTÍCULO 34 CONTRATACIÓN CON EL REGISTRO ÚNICO DE OFERENTES"/>
    <m/>
    <m/>
    <x v="0"/>
    <x v="0"/>
    <x v="17"/>
    <x v="16"/>
    <n v="229072"/>
    <n v="15192"/>
    <n v="82725"/>
    <s v=" "/>
    <s v=" "/>
    <m/>
    <n v="39501930"/>
    <n v="0.02"/>
    <n v="790038.6"/>
    <m/>
    <n v="7"/>
    <n v="39501930"/>
    <n v="40291968.600000001"/>
    <s v=" "/>
    <m/>
    <m/>
    <m/>
    <n v="1215344"/>
    <n v="983866"/>
    <n v="0"/>
    <n v="37302720"/>
    <m/>
    <n v="39501930"/>
    <s v=" "/>
    <n v="5878184"/>
    <n v="4662840"/>
    <n v="4662840"/>
    <n v="4662840"/>
    <n v="4662840"/>
    <n v="4662840"/>
    <n v="4662840"/>
    <n v="5646706"/>
    <n v="39501930"/>
    <n v="39170768"/>
    <s v="CONTRATO ADICIONAL POR ALIMENTACION"/>
    <b v="1"/>
    <n v="0"/>
    <b v="1"/>
    <n v="0"/>
    <x v="1"/>
    <n v="1907"/>
  </r>
  <r>
    <x v="17"/>
    <s v="LOTE 2"/>
    <x v="9"/>
    <x v="18"/>
    <x v="1"/>
    <x v="0"/>
    <s v="EL CEDRO"/>
    <n v="50301144849"/>
    <s v="EL CEDRO"/>
    <n v="1"/>
    <n v="16"/>
    <m/>
    <n v="1907"/>
    <s v="ARTÍCULO 34 CONTRATACIÓN CON EL REGISTRO ÚNICO DE OFERENTES"/>
    <m/>
    <m/>
    <x v="0"/>
    <x v="0"/>
    <x v="17"/>
    <x v="16"/>
    <n v="229072"/>
    <n v="15192"/>
    <n v="82725"/>
    <s v=" "/>
    <s v=" "/>
    <m/>
    <n v="24308880"/>
    <n v="0.02"/>
    <n v="486177.60000000003"/>
    <m/>
    <n v="8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07"/>
  </r>
  <r>
    <x v="17"/>
    <s v="LOTE 2"/>
    <x v="9"/>
    <x v="18"/>
    <x v="1"/>
    <x v="0"/>
    <s v="VEREDA PUEBLITO DE LOS SANCHEZ"/>
    <n v="50301148663"/>
    <s v="ESCUELA PUEBLITO DE LOS SANCHEZ"/>
    <n v="1"/>
    <n v="17"/>
    <m/>
    <n v="1907"/>
    <s v="ARTÍCULO 34 CONTRATACIÓN CON EL REGISTRO ÚNICO DE OFERENTES"/>
    <m/>
    <m/>
    <x v="0"/>
    <x v="0"/>
    <x v="17"/>
    <x v="16"/>
    <n v="229072"/>
    <n v="15192"/>
    <n v="82725"/>
    <s v=" "/>
    <s v=" "/>
    <m/>
    <n v="25828185"/>
    <n v="0.02"/>
    <n v="516563.7"/>
    <m/>
    <n v="9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07"/>
  </r>
  <r>
    <x v="17"/>
    <s v="LOTE 2"/>
    <x v="9"/>
    <x v="18"/>
    <x v="2"/>
    <x v="0"/>
    <s v="CAMPIÑAS DE SAN FERNANDO-BOYACA CLL 52 # 54-101"/>
    <n v="503000038688"/>
    <s v="GOTICAS DE AMOR "/>
    <n v="1"/>
    <n v="104"/>
    <m/>
    <n v="1907"/>
    <s v="ARTÍCULO 34 CONTRATACIÓN CON EL REGISTRO ÚNICO DE OFERENTES"/>
    <m/>
    <m/>
    <x v="0"/>
    <x v="0"/>
    <x v="17"/>
    <x v="16"/>
    <n v="229072"/>
    <n v="15192"/>
    <n v="82725"/>
    <s v=" "/>
    <s v=" "/>
    <m/>
    <n v="435640400"/>
    <n v="0.02"/>
    <n v="8712808"/>
    <m/>
    <n v="10"/>
    <n v="435640400"/>
    <n v="444353208"/>
    <s v=" "/>
    <m/>
    <m/>
    <m/>
    <n v="9166872"/>
    <n v="7804472"/>
    <n v="0"/>
    <n v="418669056"/>
    <m/>
    <n v="435640400"/>
    <s v=" "/>
    <n v="61500504"/>
    <n v="52333632"/>
    <n v="52333632"/>
    <n v="52333632"/>
    <n v="52333632"/>
    <n v="52333632"/>
    <n v="52333632"/>
    <n v="60138104"/>
    <n v="435640400"/>
    <n v="0"/>
    <s v="CONTRATO COSTEADO CON ALIMENTACION"/>
    <b v="1"/>
    <n v="0"/>
    <b v="1"/>
    <n v="0"/>
    <x v="1"/>
    <n v="1907"/>
  </r>
  <r>
    <x v="18"/>
    <s v="LOTE 2"/>
    <x v="10"/>
    <x v="19"/>
    <x v="5"/>
    <x v="0"/>
    <s v="VEREDA GUAYABITO"/>
    <n v="50311117948"/>
    <s v="C COMUNAL GUAYABITO"/>
    <n v="1"/>
    <n v="24"/>
    <m/>
    <n v="1908"/>
    <s v="ARTÍCULO 34 CONTRATACIÓN CON EL REGISTRO ÚNICO DE OFERENTES"/>
    <m/>
    <m/>
    <x v="0"/>
    <x v="0"/>
    <x v="18"/>
    <x v="17"/>
    <n v="229073"/>
    <n v="15172"/>
    <n v="91225"/>
    <n v="13"/>
    <n v="481"/>
    <m/>
    <n v="52324632"/>
    <n v="0.02"/>
    <n v="1046492.64"/>
    <m/>
    <n v="1"/>
    <n v="52324632"/>
    <n v="53371124.640000001"/>
    <n v="1609917799"/>
    <n v="32198356"/>
    <n v="1642116155"/>
    <n v="1130.9573579206183"/>
    <n v="1185024"/>
    <n v="984696"/>
    <n v="698400"/>
    <n v="49456512"/>
    <m/>
    <n v="52324632"/>
    <n v="1609917799"/>
    <n v="8065488"/>
    <n v="6182064"/>
    <n v="6182064"/>
    <n v="6182064"/>
    <n v="6182064"/>
    <n v="6182064"/>
    <n v="6182064"/>
    <n v="7166760"/>
    <n v="52324632"/>
    <n v="34633536"/>
    <s v="CONTRATO ADICIONAL POR ALIMENTACION"/>
    <b v="1"/>
    <n v="0"/>
    <b v="1"/>
    <n v="0"/>
    <x v="1"/>
    <n v="1908"/>
  </r>
  <r>
    <x v="18"/>
    <s v="LOTE 2"/>
    <x v="10"/>
    <x v="19"/>
    <x v="5"/>
    <x v="0"/>
    <s v="CASETA COMUNAL MONTEBELLO"/>
    <n v="50311117951"/>
    <s v="C COMUNAL MONTEBELLO"/>
    <n v="1"/>
    <n v="11"/>
    <m/>
    <n v="1908"/>
    <s v="ARTÍCULO 34 CONTRATACIÓN CON EL REGISTRO ÚNICO DE OFERENTES"/>
    <m/>
    <m/>
    <x v="0"/>
    <x v="0"/>
    <x v="18"/>
    <x v="17"/>
    <n v="229073"/>
    <n v="15172"/>
    <n v="91225"/>
    <s v=" "/>
    <s v=" "/>
    <m/>
    <n v="23982123"/>
    <n v="0.02"/>
    <n v="479642.46"/>
    <m/>
    <n v="2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08"/>
  </r>
  <r>
    <x v="18"/>
    <s v="LOTE 2"/>
    <x v="10"/>
    <x v="19"/>
    <x v="5"/>
    <x v="0"/>
    <s v="CASETA COMUNAL LAS ANIMAS"/>
    <n v="50311117954"/>
    <s v="C COMUNAL LAS ANIMAS"/>
    <n v="1"/>
    <n v="19"/>
    <m/>
    <n v="1908"/>
    <s v="ARTÍCULO 34 CONTRATACIÓN CON EL REGISTRO ÚNICO DE OFERENTES"/>
    <m/>
    <m/>
    <x v="0"/>
    <x v="0"/>
    <x v="18"/>
    <x v="17"/>
    <n v="229073"/>
    <n v="15172"/>
    <n v="91225"/>
    <s v=" "/>
    <s v=" "/>
    <m/>
    <n v="41423667"/>
    <n v="0.02"/>
    <n v="828473.34"/>
    <m/>
    <n v="3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1908"/>
  </r>
  <r>
    <x v="18"/>
    <s v="LOTE 2"/>
    <x v="10"/>
    <x v="19"/>
    <x v="5"/>
    <x v="0"/>
    <s v="VEREDA MONOS"/>
    <n v="50311135148"/>
    <s v="ESCUELA MONOS"/>
    <n v="1"/>
    <n v="13"/>
    <m/>
    <n v="1908"/>
    <s v="ARTÍCULO 34 CONTRATACIÓN CON EL REGISTRO ÚNICO DE OFERENTES"/>
    <m/>
    <m/>
    <x v="0"/>
    <x v="0"/>
    <x v="18"/>
    <x v="17"/>
    <n v="229073"/>
    <n v="15172"/>
    <n v="91225"/>
    <s v=" "/>
    <s v=" "/>
    <m/>
    <n v="28342509"/>
    <n v="0.02"/>
    <n v="566850.18000000005"/>
    <m/>
    <n v="4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08"/>
  </r>
  <r>
    <x v="18"/>
    <s v="LOTE 2"/>
    <x v="10"/>
    <x v="19"/>
    <x v="5"/>
    <x v="0"/>
    <s v="CASETA COMUNAL EL SILENCIO"/>
    <n v="50311135191"/>
    <s v="C COMUNAL EL SILENCIO"/>
    <n v="1"/>
    <n v="8"/>
    <m/>
    <n v="1908"/>
    <s v="ARTÍCULO 34 CONTRATACIÓN CON EL REGISTRO ÚNICO DE OFERENTES"/>
    <m/>
    <m/>
    <x v="0"/>
    <x v="0"/>
    <x v="18"/>
    <x v="17"/>
    <n v="229073"/>
    <n v="15172"/>
    <n v="91225"/>
    <s v=" "/>
    <s v=" "/>
    <m/>
    <n v="17441544"/>
    <n v="0.02"/>
    <n v="348830.88"/>
    <m/>
    <n v="5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O ADICIONAL POR ALIMENTACION"/>
    <b v="1"/>
    <n v="0"/>
    <b v="1"/>
    <n v="0"/>
    <x v="1"/>
    <n v="1908"/>
  </r>
  <r>
    <x v="18"/>
    <s v="LOTE 2"/>
    <x v="10"/>
    <x v="19"/>
    <x v="5"/>
    <x v="0"/>
    <s v="CASETA COMUNAL LA MANGUITA"/>
    <n v="50311135204"/>
    <s v="C COMUNAL LA MANGUITA"/>
    <n v="1"/>
    <n v="13"/>
    <m/>
    <n v="1908"/>
    <s v="ARTÍCULO 34 CONTRATACIÓN CON EL REGISTRO ÚNICO DE OFERENTES"/>
    <m/>
    <m/>
    <x v="0"/>
    <x v="0"/>
    <x v="18"/>
    <x v="17"/>
    <n v="229073"/>
    <n v="15172"/>
    <n v="91225"/>
    <s v=" "/>
    <s v=" "/>
    <m/>
    <n v="28342509"/>
    <n v="0.02"/>
    <n v="566850.18000000005"/>
    <m/>
    <n v="6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08"/>
  </r>
  <r>
    <x v="18"/>
    <s v="LOTE 2"/>
    <x v="10"/>
    <x v="19"/>
    <x v="5"/>
    <x v="0"/>
    <s v="CASETA COMUNAL EL ENCANTO"/>
    <n v="50311135206"/>
    <s v="C COMUNAL EL ENCANTO"/>
    <n v="1"/>
    <n v="5"/>
    <m/>
    <n v="1908"/>
    <s v="ARTÍCULO 34 CONTRATACIÓN CON EL REGISTRO ÚNICO DE OFERENTES"/>
    <m/>
    <m/>
    <x v="0"/>
    <x v="0"/>
    <x v="18"/>
    <x v="17"/>
    <n v="229073"/>
    <n v="15172"/>
    <n v="91225"/>
    <s v=" "/>
    <s v=" "/>
    <m/>
    <n v="10900965"/>
    <n v="0.02"/>
    <n v="218019.30000000002"/>
    <m/>
    <n v="7"/>
    <n v="10900965"/>
    <n v="11118984.300000001"/>
    <s v=" "/>
    <m/>
    <m/>
    <m/>
    <n v="246880"/>
    <n v="205145"/>
    <n v="145500"/>
    <n v="10303440"/>
    <m/>
    <n v="10900965"/>
    <s v=" "/>
    <n v="1680310"/>
    <n v="1287930"/>
    <n v="1287930"/>
    <n v="1287930"/>
    <n v="1287930"/>
    <n v="1287930"/>
    <n v="1287930"/>
    <n v="1493075"/>
    <n v="10900965"/>
    <n v="7215320"/>
    <s v="CONTRATO ADICIONAL POR ALIMENTACION"/>
    <b v="1"/>
    <n v="0"/>
    <b v="1"/>
    <n v="0"/>
    <x v="1"/>
    <n v="1908"/>
  </r>
  <r>
    <x v="18"/>
    <s v="LOTE 2"/>
    <x v="10"/>
    <x v="19"/>
    <x v="8"/>
    <x v="0"/>
    <s v="KR MOSQUERA 30 26  2"/>
    <n v="50311147301"/>
    <s v="CIUDADELA ASPIRANDO AL MAÑANA"/>
    <n v="1"/>
    <n v="40"/>
    <m/>
    <n v="1908"/>
    <s v="ARTÍCULO 34 CONTRATACIÓN CON EL REGISTRO ÚNICO DE OFERENTES"/>
    <m/>
    <m/>
    <x v="0"/>
    <x v="0"/>
    <x v="18"/>
    <x v="17"/>
    <n v="229073"/>
    <n v="15172"/>
    <n v="91225"/>
    <s v=" "/>
    <s v=" "/>
    <m/>
    <n v="90046040"/>
    <n v="0.02"/>
    <n v="1800920.8"/>
    <m/>
    <n v="8"/>
    <n v="90046040"/>
    <n v="91846960.799999997"/>
    <s v=" "/>
    <m/>
    <m/>
    <m/>
    <n v="2058520"/>
    <n v="1724640"/>
    <n v="1164000"/>
    <n v="85098880"/>
    <m/>
    <n v="90046040"/>
    <s v=" "/>
    <n v="13859880"/>
    <n v="10637360"/>
    <n v="10637360"/>
    <n v="10637360"/>
    <n v="10637360"/>
    <n v="10637360"/>
    <n v="10637360"/>
    <n v="12362000"/>
    <n v="90046040"/>
    <n v="57722560"/>
    <s v="CONTRATO ADICIONAL POR ALIMENTACION"/>
    <b v="1"/>
    <n v="0"/>
    <b v="1"/>
    <n v="0"/>
    <x v="1"/>
    <n v="1908"/>
  </r>
  <r>
    <x v="18"/>
    <s v="LOTE 2"/>
    <x v="10"/>
    <x v="19"/>
    <x v="5"/>
    <x v="0"/>
    <s v="VEREDA EL GUAICO"/>
    <n v="50311148678"/>
    <s v="IER MATIAS TRUJILLO"/>
    <n v="1"/>
    <n v="13"/>
    <m/>
    <n v="1908"/>
    <s v="ARTÍCULO 34 CONTRATACIÓN CON EL REGISTRO ÚNICO DE OFERENTES"/>
    <m/>
    <m/>
    <x v="0"/>
    <x v="0"/>
    <x v="18"/>
    <x v="17"/>
    <n v="229073"/>
    <n v="15172"/>
    <n v="91225"/>
    <s v=" "/>
    <s v=" "/>
    <m/>
    <n v="28342509"/>
    <n v="0.02"/>
    <n v="566850.18000000005"/>
    <m/>
    <n v="9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08"/>
  </r>
  <r>
    <x v="18"/>
    <s v="LOTE 2"/>
    <x v="10"/>
    <x v="19"/>
    <x v="5"/>
    <x v="0"/>
    <s v="VEREDA LA GOMEZ"/>
    <n v="50311150175"/>
    <s v="C COMUNAL LA GOMEZ"/>
    <n v="1"/>
    <n v="20"/>
    <m/>
    <n v="1908"/>
    <s v="ARTÍCULO 34 CONTRATACIÓN CON EL REGISTRO ÚNICO DE OFERENTES"/>
    <m/>
    <m/>
    <x v="0"/>
    <x v="0"/>
    <x v="18"/>
    <x v="17"/>
    <n v="229073"/>
    <n v="15172"/>
    <n v="91225"/>
    <s v=" "/>
    <s v=" "/>
    <m/>
    <n v="43603860"/>
    <n v="0.02"/>
    <n v="872077.20000000007"/>
    <m/>
    <n v="10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08"/>
  </r>
  <r>
    <x v="18"/>
    <s v="LOTE 2"/>
    <x v="10"/>
    <x v="19"/>
    <x v="5"/>
    <x v="0"/>
    <s v="CORREGIMIENTO PORTACHUELO"/>
    <n v="50311150485"/>
    <s v="HOGAR PORTACHUELO"/>
    <n v="1"/>
    <n v="18"/>
    <m/>
    <n v="1908"/>
    <s v="ARTÍCULO 34 CONTRATACIÓN CON EL REGISTRO ÚNICO DE OFERENTES"/>
    <m/>
    <m/>
    <x v="0"/>
    <x v="0"/>
    <x v="18"/>
    <x v="17"/>
    <n v="229073"/>
    <n v="15172"/>
    <n v="91225"/>
    <s v=" "/>
    <s v=" "/>
    <m/>
    <n v="39243474"/>
    <n v="0.02"/>
    <n v="784869.48"/>
    <m/>
    <n v="11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1"/>
    <n v="1908"/>
  </r>
  <r>
    <x v="18"/>
    <s v="LOTE 2"/>
    <x v="10"/>
    <x v="19"/>
    <x v="5"/>
    <x v="0"/>
    <s v="VEREDA LA MARIA"/>
    <n v="50311152427"/>
    <s v="C COMUNAL LA MARIA AMALFI"/>
    <n v="1"/>
    <n v="19"/>
    <m/>
    <n v="1908"/>
    <s v="ARTÍCULO 34 CONTRATACIÓN CON EL REGISTRO ÚNICO DE OFERENTES"/>
    <m/>
    <m/>
    <x v="0"/>
    <x v="0"/>
    <x v="18"/>
    <x v="17"/>
    <n v="229073"/>
    <n v="15172"/>
    <n v="91225"/>
    <s v=" "/>
    <s v=" "/>
    <m/>
    <n v="41423667"/>
    <n v="0.02"/>
    <n v="828473.34"/>
    <m/>
    <n v="12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1908"/>
  </r>
  <r>
    <x v="18"/>
    <s v="LOTE 2"/>
    <x v="10"/>
    <x v="19"/>
    <x v="2"/>
    <x v="0"/>
    <s v="KR 23 ZEA CALLE COLOMBIA  N 23 49 SECTOR HOSPITAL"/>
    <n v="503100122021"/>
    <s v="SANTA MADRE LAURA"/>
    <n v="1"/>
    <n v="278"/>
    <m/>
    <n v="1908"/>
    <s v="ARTÍCULO 34 CONTRATACIÓN CON EL REGISTRO ÚNICO DE OFERENTES"/>
    <m/>
    <m/>
    <x v="0"/>
    <x v="0"/>
    <x v="18"/>
    <x v="17"/>
    <n v="229073"/>
    <n v="15172"/>
    <n v="91225"/>
    <s v=" "/>
    <s v=" "/>
    <m/>
    <n v="1164500300"/>
    <n v="0.02"/>
    <n v="23290006"/>
    <m/>
    <n v="13"/>
    <n v="1164500300"/>
    <n v="1187790306"/>
    <s v=" "/>
    <m/>
    <m/>
    <m/>
    <n v="24503754"/>
    <n v="20861954"/>
    <n v="0"/>
    <n v="1119134592"/>
    <m/>
    <n v="1164500300"/>
    <s v=" "/>
    <n v="164395578"/>
    <n v="139891824"/>
    <n v="139891824"/>
    <n v="139891824"/>
    <n v="139891824"/>
    <n v="139891824"/>
    <n v="139891824"/>
    <n v="160753778"/>
    <n v="1164500300"/>
    <n v="0"/>
    <s v="CONTRATO COSTEADO CON ALIMENTACION"/>
    <b v="1"/>
    <n v="0"/>
    <b v="1"/>
    <n v="0"/>
    <x v="1"/>
    <n v="1908"/>
  </r>
  <r>
    <x v="19"/>
    <s v="LOTE 2"/>
    <x v="4"/>
    <x v="20"/>
    <x v="1"/>
    <x v="0"/>
    <s v="VEREDA ALTO CAÑAVERAL"/>
    <n v="50341114791"/>
    <s v="CER ALTO CAÑAVERAL"/>
    <n v="1"/>
    <n v="10"/>
    <m/>
    <n v="1909"/>
    <s v="ARTÍCULO 34 CONTRATACIÓN CON EL REGISTRO ÚNICO DE OFERENTES"/>
    <m/>
    <m/>
    <x v="0"/>
    <x v="0"/>
    <x v="8"/>
    <x v="8"/>
    <n v="229074"/>
    <n v="15181"/>
    <n v="82225"/>
    <n v="27"/>
    <n v="668"/>
    <m/>
    <n v="15193050"/>
    <n v="0.02"/>
    <n v="303861"/>
    <m/>
    <n v="1"/>
    <n v="15193050"/>
    <n v="15496911"/>
    <n v="1639008948"/>
    <n v="32780179"/>
    <n v="1671789127"/>
    <n v="1151.3937112750264"/>
    <n v="467440"/>
    <n v="378410"/>
    <n v="0"/>
    <n v="14347200"/>
    <m/>
    <n v="15193050"/>
    <n v="1639008948"/>
    <n v="2260840"/>
    <n v="1793400"/>
    <n v="1793400"/>
    <n v="1793400"/>
    <n v="1793400"/>
    <n v="1793400"/>
    <n v="1793400"/>
    <n v="2171810"/>
    <n v="15193050"/>
    <n v="15065680"/>
    <s v="CONTRATO ADICIONAL POR ALIMENTACION"/>
    <b v="1"/>
    <n v="0"/>
    <b v="1"/>
    <n v="0"/>
    <x v="1"/>
    <n v="1909"/>
  </r>
  <r>
    <x v="19"/>
    <s v="LOTE 2"/>
    <x v="4"/>
    <x v="20"/>
    <x v="1"/>
    <x v="0"/>
    <s v="VEREDA RISARALDA"/>
    <n v="50341114836"/>
    <s v="CER RISARALDA"/>
    <n v="1"/>
    <n v="28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42540540"/>
    <n v="0.02"/>
    <n v="850810.8"/>
    <m/>
    <n v="2"/>
    <n v="42540540"/>
    <n v="43391350.799999997"/>
    <s v=" "/>
    <m/>
    <m/>
    <m/>
    <n v="1308832"/>
    <n v="1059548"/>
    <n v="0"/>
    <n v="40172160"/>
    <m/>
    <n v="42540540"/>
    <s v=" "/>
    <n v="6330352"/>
    <n v="5021520"/>
    <n v="5021520"/>
    <n v="5021520"/>
    <n v="5021520"/>
    <n v="5021520"/>
    <n v="5021520"/>
    <n v="6081068"/>
    <n v="42540540"/>
    <n v="42183904"/>
    <s v="CONTRATO ADICIONAL POR ALIMENTACION"/>
    <b v="1"/>
    <n v="0"/>
    <b v="1"/>
    <n v="0"/>
    <x v="1"/>
    <n v="1909"/>
  </r>
  <r>
    <x v="19"/>
    <s v="LOTE 2"/>
    <x v="4"/>
    <x v="20"/>
    <x v="1"/>
    <x v="0"/>
    <s v="VEREDA SAN ANTONIO"/>
    <n v="50341114840"/>
    <s v="CER SAN ANTONIO_ANDES"/>
    <n v="1"/>
    <n v="18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27347490"/>
    <n v="0.02"/>
    <n v="546949.80000000005"/>
    <m/>
    <n v="3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09"/>
  </r>
  <r>
    <x v="19"/>
    <s v="LOTE 2"/>
    <x v="4"/>
    <x v="20"/>
    <x v="1"/>
    <x v="0"/>
    <s v="CORREGIMIENTO BUENOS AIRES"/>
    <n v="50341114845"/>
    <s v="CER BUENOS AIRES"/>
    <n v="1"/>
    <n v="19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28866795"/>
    <n v="0.02"/>
    <n v="577335.9"/>
    <m/>
    <n v="4"/>
    <n v="28866795"/>
    <n v="29444130.899999999"/>
    <s v=" "/>
    <m/>
    <m/>
    <m/>
    <n v="888136"/>
    <n v="718979"/>
    <n v="0"/>
    <n v="27259680"/>
    <m/>
    <n v="28866795"/>
    <s v=" "/>
    <n v="4295596"/>
    <n v="3407460"/>
    <n v="3407460"/>
    <n v="3407460"/>
    <n v="3407460"/>
    <n v="3407460"/>
    <n v="3407460"/>
    <n v="4126439"/>
    <n v="28866795"/>
    <n v="28624792"/>
    <s v="CONTRATO ADICIONAL POR ALIMENTACION"/>
    <b v="1"/>
    <n v="0"/>
    <b v="1"/>
    <n v="0"/>
    <x v="1"/>
    <n v="1909"/>
  </r>
  <r>
    <x v="19"/>
    <s v="LOTE 2"/>
    <x v="4"/>
    <x v="20"/>
    <x v="1"/>
    <x v="0"/>
    <s v="VEREDA VALLEUMBRIA"/>
    <n v="50341114847"/>
    <s v="CER VALLEUMBRIA"/>
    <n v="1"/>
    <n v="20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30386100"/>
    <n v="0.02"/>
    <n v="607722"/>
    <m/>
    <n v="5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909"/>
  </r>
  <r>
    <x v="19"/>
    <s v="LOTE 2"/>
    <x v="4"/>
    <x v="20"/>
    <x v="1"/>
    <x v="0"/>
    <s v="VEREDA SAN PEDRO"/>
    <n v="50341114849"/>
    <s v="CER SAN PEDRO_ANDES"/>
    <n v="1"/>
    <n v="26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39501930"/>
    <n v="0.02"/>
    <n v="790038.6"/>
    <m/>
    <n v="6"/>
    <n v="39501930"/>
    <n v="40291968.600000001"/>
    <s v=" "/>
    <m/>
    <m/>
    <m/>
    <n v="1215344"/>
    <n v="983866"/>
    <n v="0"/>
    <n v="37302720"/>
    <m/>
    <n v="39501930"/>
    <s v=" "/>
    <n v="5878184"/>
    <n v="4662840"/>
    <n v="4662840"/>
    <n v="4662840"/>
    <n v="4662840"/>
    <n v="4662840"/>
    <n v="4662840"/>
    <n v="5646706"/>
    <n v="39501930"/>
    <n v="39170768"/>
    <s v="CONTRATO ADICIONAL POR ALIMENTACION"/>
    <b v="1"/>
    <n v="0"/>
    <b v="1"/>
    <n v="0"/>
    <x v="1"/>
    <n v="1909"/>
  </r>
  <r>
    <x v="19"/>
    <s v="LOTE 2"/>
    <x v="4"/>
    <x v="20"/>
    <x v="1"/>
    <x v="0"/>
    <s v="LA PIDERA"/>
    <n v="50341135518"/>
    <s v="CASA DOJURO"/>
    <n v="1"/>
    <n v="30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45579150"/>
    <n v="0.02"/>
    <n v="911583"/>
    <m/>
    <n v="7"/>
    <n v="45579150"/>
    <n v="46490733"/>
    <s v=" "/>
    <m/>
    <m/>
    <m/>
    <n v="1402320"/>
    <n v="1135230"/>
    <n v="0"/>
    <n v="43041600"/>
    <m/>
    <n v="45579150"/>
    <s v=" "/>
    <n v="6782520"/>
    <n v="5380200"/>
    <n v="5380200"/>
    <n v="5380200"/>
    <n v="5380200"/>
    <n v="5380200"/>
    <n v="5380200"/>
    <n v="6515430"/>
    <n v="45579150"/>
    <n v="45197040"/>
    <s v="CONTRATO ADICIONAL POR ALIMENTACION"/>
    <b v="1"/>
    <n v="0"/>
    <b v="1"/>
    <n v="0"/>
    <x v="1"/>
    <n v="1909"/>
  </r>
  <r>
    <x v="19"/>
    <s v="LOTE 2"/>
    <x v="4"/>
    <x v="20"/>
    <x v="1"/>
    <x v="0"/>
    <s v="ALTO DEL RAYO"/>
    <n v="50341135519"/>
    <s v="CER ALTO DEL RAYO"/>
    <n v="1"/>
    <n v="17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25828185"/>
    <n v="0.02"/>
    <n v="516563.7"/>
    <m/>
    <n v="8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09"/>
  </r>
  <r>
    <x v="19"/>
    <s v="LOTE 2"/>
    <x v="4"/>
    <x v="20"/>
    <x v="1"/>
    <x v="0"/>
    <s v="CASCAJERO"/>
    <n v="50341135521"/>
    <s v="CER CASCAJERO"/>
    <n v="1"/>
    <n v="18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27347490"/>
    <n v="0.02"/>
    <n v="546949.80000000005"/>
    <m/>
    <n v="9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09"/>
  </r>
  <r>
    <x v="19"/>
    <s v="LOTE 2"/>
    <x v="4"/>
    <x v="20"/>
    <x v="1"/>
    <x v="0"/>
    <s v="EL LIBANO"/>
    <n v="50341135522"/>
    <s v="CER EL LIBANO_ANDES"/>
    <n v="1"/>
    <n v="14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21270270"/>
    <n v="0.02"/>
    <n v="425405.4"/>
    <m/>
    <n v="10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909"/>
  </r>
  <r>
    <x v="19"/>
    <s v="LOTE 2"/>
    <x v="4"/>
    <x v="20"/>
    <x v="1"/>
    <x v="0"/>
    <s v="EL TAPAO"/>
    <n v="50341135523"/>
    <s v="CER EL TAPAO"/>
    <n v="1"/>
    <n v="13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19750965"/>
    <n v="0.02"/>
    <n v="395019.3"/>
    <m/>
    <n v="11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09"/>
  </r>
  <r>
    <x v="19"/>
    <s v="LOTE 2"/>
    <x v="4"/>
    <x v="20"/>
    <x v="1"/>
    <x v="0"/>
    <s v="LA AGUADA"/>
    <n v="50341135524"/>
    <s v="CER AGUADA"/>
    <n v="1"/>
    <n v="28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42540540"/>
    <n v="0.02"/>
    <n v="850810.8"/>
    <m/>
    <n v="12"/>
    <n v="42540540"/>
    <n v="43391350.799999997"/>
    <s v=" "/>
    <m/>
    <m/>
    <m/>
    <n v="1308832"/>
    <n v="1059548"/>
    <n v="0"/>
    <n v="40172160"/>
    <m/>
    <n v="42540540"/>
    <s v=" "/>
    <n v="6330352"/>
    <n v="5021520"/>
    <n v="5021520"/>
    <n v="5021520"/>
    <n v="5021520"/>
    <n v="5021520"/>
    <n v="5021520"/>
    <n v="6081068"/>
    <n v="42540540"/>
    <n v="42183904"/>
    <s v="CONTRATO ADICIONAL POR ALIMENTACION"/>
    <b v="1"/>
    <n v="0"/>
    <b v="1"/>
    <n v="0"/>
    <x v="1"/>
    <n v="1909"/>
  </r>
  <r>
    <x v="19"/>
    <s v="LOTE 2"/>
    <x v="4"/>
    <x v="20"/>
    <x v="1"/>
    <x v="0"/>
    <s v="MEDIA LUNA"/>
    <n v="50341135526"/>
    <s v="CER MEDIA LUNA"/>
    <n v="1"/>
    <n v="11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16712355"/>
    <n v="0.02"/>
    <n v="334247.10000000003"/>
    <m/>
    <n v="13"/>
    <n v="16712355"/>
    <n v="17046602.100000001"/>
    <s v=" "/>
    <m/>
    <m/>
    <m/>
    <n v="514184"/>
    <n v="416251"/>
    <n v="0"/>
    <n v="15781920"/>
    <m/>
    <n v="16712355"/>
    <s v=" "/>
    <n v="2486924"/>
    <n v="1972740"/>
    <n v="1972740"/>
    <n v="1972740"/>
    <n v="1972740"/>
    <n v="1972740"/>
    <n v="1972740"/>
    <n v="2388991"/>
    <n v="16712355"/>
    <n v="16572248"/>
    <s v="CONTRATO ADICIONAL POR ALIMENTACION"/>
    <b v="1"/>
    <n v="0"/>
    <b v="1"/>
    <n v="0"/>
    <x v="1"/>
    <n v="1909"/>
  </r>
  <r>
    <x v="19"/>
    <s v="LOTE 2"/>
    <x v="4"/>
    <x v="20"/>
    <x v="1"/>
    <x v="0"/>
    <s v="PALESTINA"/>
    <n v="50341135527"/>
    <s v="CER PALESTINA_ANDES"/>
    <n v="1"/>
    <n v="17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25828185"/>
    <n v="0.02"/>
    <n v="516563.7"/>
    <m/>
    <n v="14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09"/>
  </r>
  <r>
    <x v="19"/>
    <s v="LOTE 2"/>
    <x v="4"/>
    <x v="20"/>
    <x v="1"/>
    <x v="0"/>
    <s v="SAN BARTOLO"/>
    <n v="50341135529"/>
    <s v="CER SAN BARTOLO"/>
    <n v="1"/>
    <n v="14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21270270"/>
    <n v="0.02"/>
    <n v="425405.4"/>
    <m/>
    <n v="15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909"/>
  </r>
  <r>
    <x v="19"/>
    <s v="LOTE 2"/>
    <x v="4"/>
    <x v="20"/>
    <x v="1"/>
    <x v="0"/>
    <s v="MONTEVERDE"/>
    <n v="50341135534"/>
    <s v="CER MONTE VERDE"/>
    <n v="1"/>
    <n v="14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21270270"/>
    <n v="0.02"/>
    <n v="425405.4"/>
    <m/>
    <n v="16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909"/>
  </r>
  <r>
    <x v="19"/>
    <s v="LOTE 2"/>
    <x v="4"/>
    <x v="20"/>
    <x v="1"/>
    <x v="0"/>
    <s v="PEÑAS AZULES"/>
    <n v="50341135535"/>
    <s v="CER PEÑAS AZULES"/>
    <n v="1"/>
    <n v="33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50137065"/>
    <n v="0.02"/>
    <n v="1002741.3"/>
    <m/>
    <n v="17"/>
    <n v="50137065"/>
    <n v="51139806.299999997"/>
    <s v=" "/>
    <m/>
    <m/>
    <m/>
    <n v="1542552"/>
    <n v="1248753"/>
    <n v="0"/>
    <n v="47345760"/>
    <m/>
    <n v="50137065"/>
    <s v=" "/>
    <n v="7460772"/>
    <n v="5918220"/>
    <n v="5918220"/>
    <n v="5918220"/>
    <n v="5918220"/>
    <n v="5918220"/>
    <n v="5918220"/>
    <n v="7166973"/>
    <n v="50137065"/>
    <n v="49716744"/>
    <s v="CONTRATO ADICIONAL POR ALIMENTACION"/>
    <b v="1"/>
    <n v="0"/>
    <b v="1"/>
    <n v="0"/>
    <x v="1"/>
    <n v="1909"/>
  </r>
  <r>
    <x v="19"/>
    <s v="LOTE 2"/>
    <x v="4"/>
    <x v="20"/>
    <x v="1"/>
    <x v="0"/>
    <s v="SAN PERUCHITO"/>
    <n v="50341135537"/>
    <s v="CER SAN PERUCHITO"/>
    <n v="1"/>
    <n v="18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27347490"/>
    <n v="0.02"/>
    <n v="546949.80000000005"/>
    <m/>
    <n v="18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09"/>
  </r>
  <r>
    <x v="19"/>
    <s v="LOTE 2"/>
    <x v="4"/>
    <x v="20"/>
    <x v="1"/>
    <x v="0"/>
    <s v="CORREGIMIENTO SAN JOSE"/>
    <n v="50341152824"/>
    <s v="CER SAN JOSE"/>
    <n v="1"/>
    <n v="13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19750965"/>
    <n v="0.02"/>
    <n v="395019.3"/>
    <m/>
    <n v="19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09"/>
  </r>
  <r>
    <x v="19"/>
    <s v="LOTE 2"/>
    <x v="4"/>
    <x v="20"/>
    <x v="1"/>
    <x v="0"/>
    <s v="CORREGIMIENTO TAPARTO"/>
    <n v="50341152825"/>
    <s v="CER TAPARTO"/>
    <n v="1"/>
    <n v="31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47098455"/>
    <n v="0.02"/>
    <n v="941969.1"/>
    <m/>
    <n v="20"/>
    <n v="47098455"/>
    <n v="48040424.100000001"/>
    <s v=" "/>
    <m/>
    <m/>
    <m/>
    <n v="1449064"/>
    <n v="1173071"/>
    <n v="0"/>
    <n v="44476320"/>
    <m/>
    <n v="47098455"/>
    <s v=" "/>
    <n v="7008604"/>
    <n v="5559540"/>
    <n v="5559540"/>
    <n v="5559540"/>
    <n v="5559540"/>
    <n v="5559540"/>
    <n v="5559540"/>
    <n v="6732611"/>
    <n v="47098455"/>
    <n v="46703608"/>
    <s v="CONTRATO ADICIONAL POR ALIMENTACION"/>
    <b v="1"/>
    <n v="0"/>
    <b v="1"/>
    <n v="0"/>
    <x v="1"/>
    <n v="1909"/>
  </r>
  <r>
    <x v="19"/>
    <s v="LOTE 2"/>
    <x v="4"/>
    <x v="20"/>
    <x v="1"/>
    <x v="0"/>
    <s v="VEREDA LA LEJIA"/>
    <n v="50341153519"/>
    <s v="CASETA COMUNAL LA LEJIA"/>
    <n v="1"/>
    <n v="15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22789575"/>
    <n v="0.02"/>
    <n v="455791.5"/>
    <m/>
    <n v="21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O ADICIONAL POR ALIMENTACION"/>
    <b v="1"/>
    <n v="0"/>
    <b v="1"/>
    <n v="0"/>
    <x v="1"/>
    <n v="1909"/>
  </r>
  <r>
    <x v="19"/>
    <s v="LOTE 2"/>
    <x v="4"/>
    <x v="20"/>
    <x v="2"/>
    <x v="0"/>
    <s v="SC PARQUE PRINCIPAL AL LADO DE LA COOPERATIVA DE CAFICULORES"/>
    <n v="503400020789"/>
    <s v="CENTRO DE DESARROLLO INFANTIL SANTA RITA"/>
    <n v="1"/>
    <n v="18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75399300"/>
    <n v="0.02"/>
    <n v="1507986"/>
    <m/>
    <n v="22"/>
    <n v="75399300"/>
    <n v="76907286"/>
    <s v=" "/>
    <m/>
    <m/>
    <m/>
    <n v="1586574"/>
    <n v="1350774"/>
    <n v="0"/>
    <n v="72461952"/>
    <m/>
    <n v="75399300"/>
    <s v=" "/>
    <n v="10644318"/>
    <n v="9057744"/>
    <n v="9057744"/>
    <n v="9057744"/>
    <n v="9057744"/>
    <n v="9057744"/>
    <n v="9057744"/>
    <n v="10408518"/>
    <n v="75399300"/>
    <n v="0"/>
    <s v="CONTRATO COSTEADO CON ALIMENTACION"/>
    <b v="1"/>
    <n v="0"/>
    <b v="1"/>
    <n v="0"/>
    <x v="1"/>
    <n v="1909"/>
  </r>
  <r>
    <x v="19"/>
    <s v="LOTE 2"/>
    <x v="4"/>
    <x v="20"/>
    <x v="1"/>
    <x v="0"/>
    <s v="VEREDA CALIFORNIA"/>
    <n v="503400021879"/>
    <s v="CER CALIFORNIA_ANDES"/>
    <n v="1"/>
    <n v="17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25828185"/>
    <n v="0.02"/>
    <n v="516563.7"/>
    <m/>
    <n v="23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09"/>
  </r>
  <r>
    <x v="19"/>
    <s v="LOTE 2"/>
    <x v="4"/>
    <x v="20"/>
    <x v="2"/>
    <x v="0"/>
    <s v="PLAZA DE FERIAS 1"/>
    <n v="503400024228"/>
    <s v="CAFETERITOS 1"/>
    <n v="1"/>
    <n v="123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515228550"/>
    <n v="0.02"/>
    <n v="10304571"/>
    <m/>
    <n v="24"/>
    <n v="515228550"/>
    <n v="525533121"/>
    <s v=" "/>
    <m/>
    <m/>
    <m/>
    <n v="10841589"/>
    <n v="9230289"/>
    <n v="0"/>
    <n v="495156672"/>
    <m/>
    <n v="515228550"/>
    <s v=" "/>
    <n v="72736173"/>
    <n v="61894584"/>
    <n v="61894584"/>
    <n v="61894584"/>
    <n v="61894584"/>
    <n v="61894584"/>
    <n v="61894584"/>
    <n v="71124873"/>
    <n v="515228550"/>
    <n v="0"/>
    <s v="CONTRATO COSTEADO CON ALIMENTACION"/>
    <b v="1"/>
    <n v="0"/>
    <b v="1"/>
    <n v="0"/>
    <x v="1"/>
    <n v="1909"/>
  </r>
  <r>
    <x v="19"/>
    <s v="LOTE 2"/>
    <x v="4"/>
    <x v="20"/>
    <x v="2"/>
    <x v="0"/>
    <s v="SECTOR LA CUARENTA"/>
    <n v="503400100084"/>
    <s v="CENTRO DE DESARROLLO INFANTIL TAPARTÓ"/>
    <n v="1"/>
    <n v="57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238764450"/>
    <n v="0.02"/>
    <n v="4775289"/>
    <m/>
    <n v="25"/>
    <n v="238764450"/>
    <n v="243539739"/>
    <s v=" "/>
    <m/>
    <m/>
    <m/>
    <n v="5024151"/>
    <n v="4277451"/>
    <n v="0"/>
    <n v="229462848"/>
    <m/>
    <n v="238764450"/>
    <s v=" "/>
    <n v="33707007"/>
    <n v="28682856"/>
    <n v="28682856"/>
    <n v="28682856"/>
    <n v="28682856"/>
    <n v="28682856"/>
    <n v="28682856"/>
    <n v="32960307"/>
    <n v="238764450"/>
    <n v="0"/>
    <s v="CONTRATO COSTEADO CON ALIMENTACION"/>
    <b v="1"/>
    <n v="0"/>
    <b v="1"/>
    <n v="0"/>
    <x v="1"/>
    <n v="1909"/>
  </r>
  <r>
    <x v="19"/>
    <s v="LOTE 2"/>
    <x v="4"/>
    <x v="20"/>
    <x v="4"/>
    <x v="0"/>
    <s v="SC PARQUE PRINCIPAL AL LADO DE LA COOPERATIVA DE CAFICULTORES"/>
    <n v="503400100275"/>
    <s v="CENTRO DE DESARROLLO INFANTIL SANTA RITA 2"/>
    <n v="1"/>
    <n v="34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147199668"/>
    <n v="0.02"/>
    <n v="2943993.36"/>
    <m/>
    <n v="26"/>
    <n v="147199668"/>
    <n v="150143661.36000001"/>
    <s v=" "/>
    <m/>
    <m/>
    <m/>
    <n v="2996862"/>
    <n v="2551462"/>
    <n v="0"/>
    <n v="141651344"/>
    <m/>
    <n v="147199668"/>
    <s v=" "/>
    <n v="20703280"/>
    <n v="17706418"/>
    <n v="17706418"/>
    <n v="17706418"/>
    <n v="17706418"/>
    <n v="17706418"/>
    <n v="17706418"/>
    <n v="20257880"/>
    <n v="147199668"/>
    <n v="0"/>
    <s v="CONTRATO COSTEADO CON ALIMENTACION"/>
    <b v="1"/>
    <n v="0"/>
    <b v="1"/>
    <n v="0"/>
    <x v="1"/>
    <n v="1909"/>
  </r>
  <r>
    <x v="19"/>
    <s v="LOTE 2"/>
    <x v="4"/>
    <x v="20"/>
    <x v="1"/>
    <x v="0"/>
    <s v="VEREDA SANTA ISABEL"/>
    <n v="503400101970"/>
    <s v="C COMUNAL SANTA ISABEL_ANDES"/>
    <n v="1"/>
    <n v="12"/>
    <m/>
    <n v="1909"/>
    <s v="ARTÍCULO 34 CONTRATACIÓN CON EL REGISTRO ÚNICO DE OFERENTES"/>
    <m/>
    <m/>
    <x v="0"/>
    <x v="0"/>
    <x v="8"/>
    <x v="8"/>
    <n v="229074"/>
    <n v="15181"/>
    <n v="82225"/>
    <s v=" "/>
    <s v=" "/>
    <m/>
    <n v="18231660"/>
    <n v="0.02"/>
    <n v="364633.2"/>
    <m/>
    <n v="27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09"/>
  </r>
  <r>
    <x v="20"/>
    <s v="LOTE 2"/>
    <x v="4"/>
    <x v="20"/>
    <x v="3"/>
    <x v="0"/>
    <s v="CL 55 53 02 BARRIO SAN PEDRO"/>
    <n v="503400063478"/>
    <s v="H.I PAYASOS"/>
    <n v="1"/>
    <n v="108"/>
    <m/>
    <n v="1910"/>
    <s v="ARTÍCULO 34 CONTRATACIÓN CON EL REGISTRO ÚNICO DE OFERENTES"/>
    <m/>
    <m/>
    <x v="0"/>
    <x v="0"/>
    <x v="7"/>
    <x v="7"/>
    <n v="229092"/>
    <n v="15195"/>
    <n v="83025"/>
    <n v="1"/>
    <n v="108"/>
    <m/>
    <n v="452395800"/>
    <n v="0.02"/>
    <n v="9047916"/>
    <m/>
    <n v="1"/>
    <n v="452395800"/>
    <n v="461443716"/>
    <n v="452395800"/>
    <n v="9047916"/>
    <n v="461443716"/>
    <n v="317.80526870389883"/>
    <n v="9519444"/>
    <n v="8104644"/>
    <n v="0"/>
    <n v="434771712"/>
    <m/>
    <n v="452395800"/>
    <n v="452395800"/>
    <n v="63865908"/>
    <n v="54346464"/>
    <n v="54346464"/>
    <n v="54346464"/>
    <n v="54346464"/>
    <n v="54346464"/>
    <n v="54346464"/>
    <n v="62451108"/>
    <n v="452395800"/>
    <n v="0"/>
    <s v="CONTRATO COSTEADO CON ALIMENTACION"/>
    <b v="1"/>
    <n v="0"/>
    <b v="1"/>
    <n v="0"/>
    <x v="1"/>
    <m/>
  </r>
  <r>
    <x v="21"/>
    <s v="LOTE 2"/>
    <x v="10"/>
    <x v="21"/>
    <x v="5"/>
    <x v="0"/>
    <s v="VEREDA CRUCES"/>
    <n v="50401136236"/>
    <s v="C COMUNAL CRUCES_ANORI"/>
    <n v="1"/>
    <n v="20"/>
    <m/>
    <n v="1913"/>
    <s v="ARTÍCULO 34 CONTRATACIÓN CON EL REGISTRO ÚNICO DE OFERENTES"/>
    <m/>
    <m/>
    <x v="0"/>
    <x v="0"/>
    <x v="19"/>
    <x v="18"/>
    <n v="229093"/>
    <n v="15187"/>
    <n v="87425"/>
    <n v="23"/>
    <n v="667"/>
    <m/>
    <n v="43603860"/>
    <n v="0.02"/>
    <n v="872077.20000000007"/>
    <m/>
    <n v="1"/>
    <n v="43603860"/>
    <n v="44475937.200000003"/>
    <n v="1566737800"/>
    <n v="31334756"/>
    <n v="1598072556"/>
    <n v="1100.6236740428521"/>
    <n v="987520"/>
    <n v="820580"/>
    <n v="582000"/>
    <n v="41213760"/>
    <m/>
    <n v="43603860"/>
    <n v="1566737800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13"/>
  </r>
  <r>
    <x v="21"/>
    <s v="LOTE 2"/>
    <x v="10"/>
    <x v="21"/>
    <x v="5"/>
    <x v="0"/>
    <s v="VEREDA LA PRIMAVERA"/>
    <n v="50401136248"/>
    <s v="C COMUNAL PRIMAVERA"/>
    <n v="1"/>
    <n v="10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21801930"/>
    <n v="0.02"/>
    <n v="436038.60000000003"/>
    <m/>
    <n v="2"/>
    <n v="21801930"/>
    <n v="22237968.600000001"/>
    <s v=" "/>
    <m/>
    <m/>
    <m/>
    <n v="493760"/>
    <n v="410290"/>
    <n v="291000"/>
    <n v="20606880"/>
    <m/>
    <n v="21801930"/>
    <s v=" "/>
    <n v="3360620"/>
    <n v="2575860"/>
    <n v="2575860"/>
    <n v="2575860"/>
    <n v="2575860"/>
    <n v="2575860"/>
    <n v="2575860"/>
    <n v="2986150"/>
    <n v="21801930"/>
    <n v="14430640"/>
    <s v="CONTRATO ADICIONAL POR ALIMENTACION"/>
    <b v="1"/>
    <n v="0"/>
    <b v="1"/>
    <n v="0"/>
    <x v="1"/>
    <n v="1913"/>
  </r>
  <r>
    <x v="21"/>
    <s v="LOTE 2"/>
    <x v="10"/>
    <x v="21"/>
    <x v="5"/>
    <x v="0"/>
    <s v="VEREDA LA MESETA"/>
    <n v="50401136249"/>
    <s v="C COMUNAL MESETA"/>
    <n v="1"/>
    <n v="28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61045404"/>
    <n v="0.02"/>
    <n v="1220908.08"/>
    <m/>
    <n v="3"/>
    <n v="61045404"/>
    <n v="62266312.079999998"/>
    <s v=" "/>
    <m/>
    <m/>
    <m/>
    <n v="1382528"/>
    <n v="1148812"/>
    <n v="814800"/>
    <n v="57699264"/>
    <m/>
    <n v="61045404"/>
    <s v=" "/>
    <n v="9409736"/>
    <n v="7212408"/>
    <n v="7212408"/>
    <n v="7212408"/>
    <n v="7212408"/>
    <n v="7212408"/>
    <n v="7212408"/>
    <n v="8361220"/>
    <n v="61045404"/>
    <n v="40405792"/>
    <s v="CONTRATO ADICIONAL POR ALIMENTACION"/>
    <b v="1"/>
    <n v="0"/>
    <b v="1"/>
    <n v="0"/>
    <x v="1"/>
    <n v="1913"/>
  </r>
  <r>
    <x v="21"/>
    <s v="LOTE 2"/>
    <x v="10"/>
    <x v="21"/>
    <x v="5"/>
    <x v="0"/>
    <s v="VEREDA EL LIMON"/>
    <n v="50401136261"/>
    <s v="CER EL LIMON"/>
    <n v="1"/>
    <n v="12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26162316"/>
    <n v="0.02"/>
    <n v="523246.32"/>
    <m/>
    <n v="4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1913"/>
  </r>
  <r>
    <x v="21"/>
    <s v="LOTE 2"/>
    <x v="10"/>
    <x v="21"/>
    <x v="5"/>
    <x v="0"/>
    <s v="VEREDA LAS ANIMAS"/>
    <n v="50401144273"/>
    <s v="CER LAS ANIMAS_ANORI"/>
    <n v="1"/>
    <n v="4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8720772"/>
    <n v="0.02"/>
    <n v="174415.44"/>
    <m/>
    <n v="5"/>
    <n v="8720772"/>
    <n v="8895187.4399999995"/>
    <s v=" "/>
    <m/>
    <m/>
    <m/>
    <n v="197504"/>
    <n v="164116"/>
    <n v="116400"/>
    <n v="8242752"/>
    <m/>
    <n v="8720772"/>
    <s v=" "/>
    <n v="1344248"/>
    <n v="1030344"/>
    <n v="1030344"/>
    <n v="1030344"/>
    <n v="1030344"/>
    <n v="1030344"/>
    <n v="1030344"/>
    <n v="1194460"/>
    <n v="8720772"/>
    <n v="5772256"/>
    <s v="CONTRATO ADICIONAL POR ALIMENTACION"/>
    <b v="1"/>
    <n v="0"/>
    <b v="1"/>
    <n v="0"/>
    <x v="1"/>
    <n v="1913"/>
  </r>
  <r>
    <x v="21"/>
    <s v="LOTE 2"/>
    <x v="10"/>
    <x v="21"/>
    <x v="5"/>
    <x v="0"/>
    <s v="VEREDA EL RETIRO"/>
    <n v="50401148652"/>
    <s v="ESCUELA RURAL EL RETIRO "/>
    <n v="1"/>
    <n v="9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19621737"/>
    <n v="0.02"/>
    <n v="392434.74"/>
    <m/>
    <n v="6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O ADICIONAL POR ALIMENTACION"/>
    <b v="1"/>
    <n v="0"/>
    <b v="1"/>
    <n v="0"/>
    <x v="1"/>
    <n v="1913"/>
  </r>
  <r>
    <x v="21"/>
    <s v="LOTE 2"/>
    <x v="10"/>
    <x v="21"/>
    <x v="5"/>
    <x v="0"/>
    <s v="VEREDA SAN LORENZO"/>
    <n v="50401148653"/>
    <s v="C COMUNAL SAN LORENZO"/>
    <n v="1"/>
    <n v="12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26162316"/>
    <n v="0.02"/>
    <n v="523246.32"/>
    <m/>
    <n v="7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1913"/>
  </r>
  <r>
    <x v="21"/>
    <s v="LOTE 2"/>
    <x v="10"/>
    <x v="21"/>
    <x v="5"/>
    <x v="0"/>
    <s v="VEREDA MADRESECA"/>
    <n v="50401148883"/>
    <s v="CASA FAMILIAR YASMID HERNANDEZ "/>
    <n v="1"/>
    <n v="36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78486948"/>
    <n v="0.02"/>
    <n v="1569738.96"/>
    <m/>
    <n v="8"/>
    <n v="78486948"/>
    <n v="80056686.959999993"/>
    <s v=" "/>
    <m/>
    <m/>
    <m/>
    <n v="1777536"/>
    <n v="1477044"/>
    <n v="1047600"/>
    <n v="74184768"/>
    <m/>
    <n v="78486948"/>
    <s v=" "/>
    <n v="12098232"/>
    <n v="9273096"/>
    <n v="9273096"/>
    <n v="9273096"/>
    <n v="9273096"/>
    <n v="9273096"/>
    <n v="9273096"/>
    <n v="10750140"/>
    <n v="78486948"/>
    <n v="51950304"/>
    <s v="CONTRATO ADICIONAL POR ALIMENTACION"/>
    <b v="1"/>
    <n v="0"/>
    <b v="1"/>
    <n v="0"/>
    <x v="1"/>
    <n v="1913"/>
  </r>
  <r>
    <x v="21"/>
    <s v="LOTE 2"/>
    <x v="10"/>
    <x v="21"/>
    <x v="5"/>
    <x v="0"/>
    <s v="VEREDA EL BANCO"/>
    <n v="50401151171"/>
    <s v="CER EL BANCO "/>
    <n v="1"/>
    <n v="16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34883088"/>
    <n v="0.02"/>
    <n v="697661.76"/>
    <m/>
    <n v="9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13"/>
  </r>
  <r>
    <x v="21"/>
    <s v="LOTE 2"/>
    <x v="10"/>
    <x v="21"/>
    <x v="5"/>
    <x v="0"/>
    <s v="VEREDA EL CARMIN"/>
    <n v="50401152033"/>
    <s v="C COMUNAL EL CARMÍN"/>
    <n v="1"/>
    <n v="11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23982123"/>
    <n v="0.02"/>
    <n v="479642.46"/>
    <m/>
    <n v="10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13"/>
  </r>
  <r>
    <x v="21"/>
    <s v="LOTE 2"/>
    <x v="10"/>
    <x v="21"/>
    <x v="5"/>
    <x v="0"/>
    <s v="VEREDA RIO NECHI"/>
    <n v="50401152034"/>
    <s v="CER LA CHIQUITA BARCINO"/>
    <n v="1"/>
    <n v="9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19621737"/>
    <n v="0.02"/>
    <n v="392434.74"/>
    <m/>
    <n v="11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O ADICIONAL POR ALIMENTACION"/>
    <b v="1"/>
    <n v="0"/>
    <b v="1"/>
    <n v="0"/>
    <x v="1"/>
    <n v="1913"/>
  </r>
  <r>
    <x v="21"/>
    <s v="LOTE 2"/>
    <x v="10"/>
    <x v="21"/>
    <x v="5"/>
    <x v="0"/>
    <s v="VEREDA MONTEBELLO"/>
    <n v="50401152035"/>
    <s v="C COMUNAL MONTEBELLO ANORI"/>
    <n v="1"/>
    <n v="14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30522702"/>
    <n v="0.02"/>
    <n v="610454.04"/>
    <m/>
    <n v="12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13"/>
  </r>
  <r>
    <x v="21"/>
    <s v="LOTE 2"/>
    <x v="10"/>
    <x v="21"/>
    <x v="5"/>
    <x v="0"/>
    <s v="VEREDA EL ROBLE"/>
    <n v="50401152143"/>
    <s v="CER LA HONDONA ANORI"/>
    <n v="1"/>
    <n v="17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37063281"/>
    <n v="0.02"/>
    <n v="741265.62"/>
    <m/>
    <n v="13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13"/>
  </r>
  <r>
    <x v="21"/>
    <s v="LOTE 2"/>
    <x v="10"/>
    <x v="21"/>
    <x v="5"/>
    <x v="0"/>
    <s v="VEREDA PAJONAL"/>
    <n v="50401152444"/>
    <s v="C COMUNAL LA CANCHA PAJONAL"/>
    <n v="1"/>
    <n v="9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19621737"/>
    <n v="0.02"/>
    <n v="392434.74"/>
    <m/>
    <n v="14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O ADICIONAL POR ALIMENTACION"/>
    <b v="1"/>
    <n v="0"/>
    <b v="1"/>
    <n v="0"/>
    <x v="1"/>
    <n v="1913"/>
  </r>
  <r>
    <x v="21"/>
    <s v="LOTE 2"/>
    <x v="10"/>
    <x v="21"/>
    <x v="5"/>
    <x v="0"/>
    <s v="VEREDA SAN ISIDRO"/>
    <n v="50401152445"/>
    <s v="C COMUNAL SAN ISIDRO ANORI"/>
    <n v="1"/>
    <n v="11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23982123"/>
    <n v="0.02"/>
    <n v="479642.46"/>
    <m/>
    <n v="15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13"/>
  </r>
  <r>
    <x v="21"/>
    <s v="LOTE 2"/>
    <x v="10"/>
    <x v="21"/>
    <x v="5"/>
    <x v="0"/>
    <s v="VEREDA EL CARMEN"/>
    <n v="50401153124"/>
    <s v="C COMUNAL EL CARMEN_ANORI"/>
    <n v="1"/>
    <n v="8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17441544"/>
    <n v="0.02"/>
    <n v="348830.88"/>
    <m/>
    <n v="16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O ADICIONAL POR ALIMENTACION"/>
    <b v="1"/>
    <n v="0"/>
    <b v="1"/>
    <n v="0"/>
    <x v="1"/>
    <n v="1913"/>
  </r>
  <r>
    <x v="21"/>
    <s v="LOTE 2"/>
    <x v="10"/>
    <x v="21"/>
    <x v="5"/>
    <x v="0"/>
    <s v="VEREDA TABACAL ARRIBA"/>
    <n v="50401153125"/>
    <s v="C COMUNAL TABACAL ARRIBA"/>
    <n v="1"/>
    <n v="15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32702895"/>
    <n v="0.02"/>
    <n v="654057.9"/>
    <m/>
    <n v="17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1913"/>
  </r>
  <r>
    <x v="21"/>
    <s v="LOTE 2"/>
    <x v="10"/>
    <x v="21"/>
    <x v="5"/>
    <x v="0"/>
    <s v="VEREDA LA TERESITA"/>
    <n v="50401153126"/>
    <s v="CASA FAMILIA DANIELA LOPEZ"/>
    <n v="1"/>
    <n v="8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17441544"/>
    <n v="0.02"/>
    <n v="348830.88"/>
    <m/>
    <n v="18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O ADICIONAL POR ALIMENTACION"/>
    <b v="1"/>
    <n v="0"/>
    <b v="1"/>
    <n v="0"/>
    <x v="1"/>
    <n v="1913"/>
  </r>
  <r>
    <x v="21"/>
    <s v="LOTE 2"/>
    <x v="10"/>
    <x v="21"/>
    <x v="5"/>
    <x v="0"/>
    <s v="VEREDA SANTO DOMINGO"/>
    <n v="50401153146"/>
    <s v="C COMUNAL VEREDA SANTO DOMINGO"/>
    <n v="1"/>
    <n v="13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28342509"/>
    <n v="0.02"/>
    <n v="566850.18000000005"/>
    <m/>
    <n v="19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13"/>
  </r>
  <r>
    <x v="21"/>
    <s v="LOTE 2"/>
    <x v="10"/>
    <x v="21"/>
    <x v="8"/>
    <x v="0"/>
    <s v="DG 35 34 02 BARRIO LA PLAYITA"/>
    <n v="50401153147"/>
    <s v="ESCUELA LA PLAYITA"/>
    <n v="1"/>
    <n v="262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589801562"/>
    <n v="0.02"/>
    <n v="11796031.24"/>
    <m/>
    <n v="20"/>
    <n v="589801562"/>
    <n v="601597593.24000001"/>
    <s v=" "/>
    <m/>
    <m/>
    <m/>
    <n v="13483306"/>
    <n v="11296392"/>
    <n v="7624200"/>
    <n v="557397664"/>
    <m/>
    <n v="589801562"/>
    <s v=" "/>
    <n v="90782214"/>
    <n v="69674708"/>
    <n v="69674708"/>
    <n v="69674708"/>
    <n v="69674708"/>
    <n v="69674708"/>
    <n v="69674708"/>
    <n v="80971100"/>
    <n v="589801562"/>
    <n v="378082768"/>
    <s v="CONTRATO ADICIONAL POR ALIMENTACION"/>
    <b v="1"/>
    <n v="0"/>
    <b v="1"/>
    <n v="0"/>
    <x v="1"/>
    <n v="1913"/>
  </r>
  <r>
    <x v="21"/>
    <s v="LOTE 2"/>
    <x v="10"/>
    <x v="21"/>
    <x v="7"/>
    <x v="0"/>
    <s v="BARRIO LAS LOMAS"/>
    <n v="504000054605"/>
    <s v="CDI LAS LOMAS"/>
    <n v="1"/>
    <n v="69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204012714"/>
    <n v="0.02"/>
    <n v="4080254.2800000003"/>
    <m/>
    <n v="21"/>
    <n v="204012714"/>
    <n v="208092968.28"/>
    <s v=" "/>
    <m/>
    <m/>
    <m/>
    <n v="6081867"/>
    <n v="5177967"/>
    <n v="0"/>
    <n v="192752880"/>
    <m/>
    <n v="204012714"/>
    <s v=" "/>
    <n v="30175977"/>
    <n v="24094110"/>
    <n v="24094110"/>
    <n v="24094110"/>
    <n v="24094110"/>
    <n v="24094110"/>
    <n v="24094110"/>
    <n v="29272077"/>
    <n v="204012714"/>
    <n v="85017936"/>
    <s v="CONTRATO ADICIONAL POR ALIMENTACION"/>
    <b v="1"/>
    <n v="0"/>
    <b v="1"/>
    <n v="0"/>
    <x v="1"/>
    <n v="1913"/>
  </r>
  <r>
    <x v="21"/>
    <s v="LOTE 2"/>
    <x v="10"/>
    <x v="21"/>
    <x v="5"/>
    <x v="0"/>
    <s v="VEREDA CHAGUALO ARRIBA"/>
    <n v="504000070664"/>
    <s v="CASA DE FAMILIA OVIDIO ARBOLEDA"/>
    <n v="1"/>
    <n v="22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47964246"/>
    <n v="0.02"/>
    <n v="959284.92"/>
    <m/>
    <n v="22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1"/>
    <n v="1913"/>
  </r>
  <r>
    <x v="21"/>
    <s v="LOTE 2"/>
    <x v="10"/>
    <x v="21"/>
    <x v="7"/>
    <x v="0"/>
    <s v="BARRIO EL ARENAL"/>
    <n v="504000124601"/>
    <s v="CDI EL REY DAVID"/>
    <n v="1"/>
    <n v="52"/>
    <m/>
    <n v="1913"/>
    <s v="ARTÍCULO 34 CONTRATACIÓN CON EL REGISTRO ÚNICO DE OFERENTES"/>
    <m/>
    <m/>
    <x v="0"/>
    <x v="0"/>
    <x v="19"/>
    <x v="18"/>
    <n v="229093"/>
    <n v="15187"/>
    <n v="87425"/>
    <s v=" "/>
    <s v=" "/>
    <m/>
    <n v="153748712"/>
    <n v="0.02"/>
    <n v="3074974.24"/>
    <m/>
    <n v="23"/>
    <n v="153748712"/>
    <n v="156823686.24000001"/>
    <s v=" "/>
    <m/>
    <m/>
    <m/>
    <n v="4583436"/>
    <n v="3902236"/>
    <n v="0"/>
    <n v="145263040"/>
    <m/>
    <n v="153748712"/>
    <s v=" "/>
    <n v="22741316"/>
    <n v="18157880"/>
    <n v="18157880"/>
    <n v="18157880"/>
    <n v="18157880"/>
    <n v="18157880"/>
    <n v="18157880"/>
    <n v="22060116"/>
    <n v="153748712"/>
    <n v="64071488"/>
    <s v="CONTRATO ADICIONAL POR ALIMENTACION"/>
    <b v="1"/>
    <n v="0"/>
    <b v="1"/>
    <n v="0"/>
    <x v="1"/>
    <n v="1913"/>
  </r>
  <r>
    <x v="22"/>
    <s v="LOTE 2"/>
    <x v="0"/>
    <x v="10"/>
    <x v="5"/>
    <x v="0"/>
    <s v="VEREDA LA BALSA"/>
    <n v="50451113537"/>
    <s v="CL SONRISAS TIERNAS"/>
    <n v="1"/>
    <n v="50"/>
    <m/>
    <n v="1914"/>
    <s v="ARTÍCULO 34 CONTRATACIÓN CON EL REGISTRO ÚNICO DE OFERENTES"/>
    <m/>
    <m/>
    <x v="0"/>
    <x v="0"/>
    <x v="20"/>
    <x v="19"/>
    <n v="229953"/>
    <e v="#N/A"/>
    <e v="#N/A"/>
    <n v="26"/>
    <n v="915"/>
    <m/>
    <n v="109009650"/>
    <n v="0.02"/>
    <n v="2180193"/>
    <m/>
    <n v="1"/>
    <n v="109009650"/>
    <n v="111189843"/>
    <n v="1994876595"/>
    <n v="39897532"/>
    <n v="2034774127"/>
    <n v="1401.388545837724"/>
    <n v="2468800"/>
    <n v="2051450"/>
    <n v="1455000"/>
    <n v="103034400"/>
    <m/>
    <n v="109009650"/>
    <n v="1994876595"/>
    <n v="16803100"/>
    <n v="12879300"/>
    <n v="12879300"/>
    <n v="12879300"/>
    <n v="12879300"/>
    <n v="12879300"/>
    <n v="12879300"/>
    <n v="14930750"/>
    <n v="109009650"/>
    <n v="72153200"/>
    <s v="CONTRATACIÓN ALIMENTOS - DPI"/>
    <b v="1"/>
    <n v="0"/>
    <b v="1"/>
    <n v="0"/>
    <x v="0"/>
    <m/>
  </r>
  <r>
    <x v="22"/>
    <s v="LOTE 2"/>
    <x v="0"/>
    <x v="10"/>
    <x v="5"/>
    <x v="0"/>
    <s v="ESCUELA LAS BRISAS"/>
    <n v="50451113570"/>
    <s v="LOS POLLITOS ALEGRES"/>
    <n v="1"/>
    <n v="50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109009650"/>
    <n v="0.02"/>
    <n v="2180193"/>
    <m/>
    <n v="2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ACIÓN ALIMENTOS - DPI"/>
    <b v="1"/>
    <n v="0"/>
    <b v="1"/>
    <n v="0"/>
    <x v="0"/>
    <m/>
  </r>
  <r>
    <x v="22"/>
    <s v="LOTE 2"/>
    <x v="0"/>
    <x v="10"/>
    <x v="5"/>
    <x v="0"/>
    <s v="NARANJALES"/>
    <n v="50451113581"/>
    <s v="SEMILLITAS DE AMOR"/>
    <n v="1"/>
    <n v="79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172235247"/>
    <n v="0.02"/>
    <n v="3444704.94"/>
    <m/>
    <n v="3"/>
    <n v="172235247"/>
    <n v="175679951.94"/>
    <s v=" "/>
    <m/>
    <m/>
    <m/>
    <n v="3900704"/>
    <n v="3241291"/>
    <n v="2298900"/>
    <n v="162794352"/>
    <m/>
    <n v="172235247"/>
    <s v=" "/>
    <n v="26548898"/>
    <n v="20349294"/>
    <n v="20349294"/>
    <n v="20349294"/>
    <n v="20349294"/>
    <n v="20349294"/>
    <n v="20349294"/>
    <n v="23590585"/>
    <n v="172235247"/>
    <n v="114002056"/>
    <s v="CONTRATACIÓN ALIMENTOS - DPI"/>
    <b v="1"/>
    <n v="0"/>
    <b v="1"/>
    <n v="0"/>
    <x v="0"/>
    <m/>
  </r>
  <r>
    <x v="22"/>
    <s v="LOTE 2"/>
    <x v="0"/>
    <x v="10"/>
    <x v="5"/>
    <x v="0"/>
    <s v="RESGUARDO INDIGENA LAS PALMAS"/>
    <n v="50451113587"/>
    <s v="TERNURA INFANTIL "/>
    <n v="1"/>
    <n v="50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109009650"/>
    <n v="0.02"/>
    <n v="2180193"/>
    <m/>
    <n v="4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ACIÓN ALIMENTOS - DPI"/>
    <b v="1"/>
    <n v="0"/>
    <b v="1"/>
    <n v="0"/>
    <x v="0"/>
    <m/>
  </r>
  <r>
    <x v="22"/>
    <s v="LOTE 2"/>
    <x v="0"/>
    <x v="10"/>
    <x v="5"/>
    <x v="0"/>
    <s v="COMEDOR DEL 20 DE ENERO"/>
    <n v="50451113604"/>
    <s v="ALEGRIA INFANTIL "/>
    <n v="1"/>
    <n v="50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109009650"/>
    <n v="0.02"/>
    <n v="2180193"/>
    <m/>
    <n v="5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ACIÓN ALIMENTOS - DPI"/>
    <b v="1"/>
    <n v="0"/>
    <b v="1"/>
    <n v="0"/>
    <x v="0"/>
    <m/>
  </r>
  <r>
    <x v="22"/>
    <s v="LOTE 2"/>
    <x v="0"/>
    <x v="10"/>
    <x v="5"/>
    <x v="0"/>
    <s v="LOMA VERDE"/>
    <n v="50451113609"/>
    <s v="CORAZON LATINO"/>
    <n v="1"/>
    <n v="50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109009650"/>
    <n v="0.02"/>
    <n v="2180193"/>
    <m/>
    <n v="6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ACIÓN ALIMENTOS - DPI"/>
    <b v="1"/>
    <n v="0"/>
    <b v="1"/>
    <n v="0"/>
    <x v="0"/>
    <m/>
  </r>
  <r>
    <x v="22"/>
    <s v="LOTE 2"/>
    <x v="0"/>
    <x v="10"/>
    <x v="5"/>
    <x v="0"/>
    <s v="CASETA COMUNAL CHURIDÓ"/>
    <n v="50451113613"/>
    <s v="SONRISAS MAGICAS "/>
    <n v="1"/>
    <n v="50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109009650"/>
    <n v="0.02"/>
    <n v="2180193"/>
    <m/>
    <n v="7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ACIÓN ALIMENTOS - DPI"/>
    <b v="1"/>
    <n v="0"/>
    <b v="1"/>
    <n v="0"/>
    <x v="0"/>
    <m/>
  </r>
  <r>
    <x v="22"/>
    <s v="LOTE 2"/>
    <x v="0"/>
    <x v="10"/>
    <x v="5"/>
    <x v="0"/>
    <s v="BILLAR DONDE LOPEZ"/>
    <n v="50451113796"/>
    <s v="MIS PEQUEÑOS ANGELITOS "/>
    <n v="1"/>
    <n v="50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109009650"/>
    <n v="0.02"/>
    <n v="2180193"/>
    <m/>
    <n v="8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ACIÓN ALIMENTOS - DPI"/>
    <b v="1"/>
    <n v="0"/>
    <b v="1"/>
    <n v="0"/>
    <x v="0"/>
    <m/>
  </r>
  <r>
    <x v="22"/>
    <s v="LOTE 2"/>
    <x v="0"/>
    <x v="10"/>
    <x v="5"/>
    <x v="0"/>
    <s v="VEREDA NARANJALES"/>
    <n v="50451119146"/>
    <s v="CASA FAMILIA EVER PESTANA"/>
    <n v="1"/>
    <n v="52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113370036"/>
    <n v="0.02"/>
    <n v="2267400.7200000002"/>
    <m/>
    <n v="9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ACIÓN ALIMENTOS - DPI"/>
    <b v="1"/>
    <n v="0"/>
    <b v="1"/>
    <n v="0"/>
    <x v="0"/>
    <m/>
  </r>
  <r>
    <x v="22"/>
    <s v="LOTE 2"/>
    <x v="0"/>
    <x v="10"/>
    <x v="5"/>
    <x v="0"/>
    <s v="VEREDA SAN MARTIN"/>
    <n v="50451119148"/>
    <s v="C COMUNAL SAN MARTIN"/>
    <n v="1"/>
    <n v="18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39243474"/>
    <n v="0.02"/>
    <n v="784869.48"/>
    <m/>
    <n v="10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0"/>
    <m/>
  </r>
  <r>
    <x v="22"/>
    <s v="LOTE 2"/>
    <x v="0"/>
    <x v="10"/>
    <x v="5"/>
    <x v="0"/>
    <s v="VÌA NUEVA COLONIA VEREDA EL DIAMANTE"/>
    <n v="50451119152"/>
    <s v="C COMUNAL EL DIAMANTE_APARTADO"/>
    <n v="1"/>
    <n v="19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41423667"/>
    <n v="0.02"/>
    <n v="828473.34"/>
    <m/>
    <n v="11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ACIÓN ALIMENTOS - DPI"/>
    <b v="1"/>
    <n v="0"/>
    <b v="1"/>
    <n v="0"/>
    <x v="0"/>
    <m/>
  </r>
  <r>
    <x v="22"/>
    <s v="LOTE 2"/>
    <x v="0"/>
    <x v="10"/>
    <x v="5"/>
    <x v="0"/>
    <s v="VEREDA EL TIGRE"/>
    <n v="50451119154"/>
    <s v="IE EL TIGRE"/>
    <n v="1"/>
    <n v="16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34883088"/>
    <n v="0.02"/>
    <n v="697661.76"/>
    <m/>
    <n v="12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0"/>
    <m/>
  </r>
  <r>
    <x v="22"/>
    <s v="LOTE 2"/>
    <x v="0"/>
    <x v="10"/>
    <x v="5"/>
    <x v="0"/>
    <s v="LOMA VERDE"/>
    <n v="50451119155"/>
    <s v="CASA DE FAMILIA REBECA LOMA VERDE"/>
    <n v="1"/>
    <n v="72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156973896"/>
    <n v="0.02"/>
    <n v="3139477.92"/>
    <m/>
    <n v="13"/>
    <n v="156973896"/>
    <n v="160113373.91999999"/>
    <s v=" "/>
    <m/>
    <m/>
    <m/>
    <n v="3555072"/>
    <n v="2954088"/>
    <n v="2095200"/>
    <n v="148369536"/>
    <m/>
    <n v="156973896"/>
    <s v=" "/>
    <n v="24196464"/>
    <n v="18546192"/>
    <n v="18546192"/>
    <n v="18546192"/>
    <n v="18546192"/>
    <n v="18546192"/>
    <n v="18546192"/>
    <n v="21500280"/>
    <n v="156973896"/>
    <n v="103900608"/>
    <s v="CONTRATACIÓN ALIMENTOS - DPI"/>
    <b v="1"/>
    <n v="0"/>
    <b v="1"/>
    <n v="0"/>
    <x v="0"/>
    <m/>
  </r>
  <r>
    <x v="22"/>
    <s v="LOTE 2"/>
    <x v="0"/>
    <x v="10"/>
    <x v="5"/>
    <x v="0"/>
    <s v="VEREDA SAN PABLO"/>
    <n v="50451119187"/>
    <s v="C COMUNAL SAN PABLO_APARTADO"/>
    <n v="1"/>
    <n v="17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37063281"/>
    <n v="0.02"/>
    <n v="741265.62"/>
    <m/>
    <n v="14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0"/>
    <m/>
  </r>
  <r>
    <x v="22"/>
    <s v="LOTE 2"/>
    <x v="0"/>
    <x v="10"/>
    <x v="5"/>
    <x v="0"/>
    <s v="VEREDA PUNTO ROJO"/>
    <n v="50451135545"/>
    <s v="C COMUNAL PUNTO ROJO"/>
    <n v="1"/>
    <n v="16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34883088"/>
    <n v="0.02"/>
    <n v="697661.76"/>
    <m/>
    <n v="15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0"/>
    <m/>
  </r>
  <r>
    <x v="22"/>
    <s v="LOTE 2"/>
    <x v="0"/>
    <x v="10"/>
    <x v="5"/>
    <x v="0"/>
    <s v="VEREDA EL GUINEO"/>
    <n v="50451135556"/>
    <s v="C COMUNAL EL GUINEO"/>
    <n v="1"/>
    <n v="16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34883088"/>
    <n v="0.02"/>
    <n v="697661.76"/>
    <m/>
    <n v="16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0"/>
    <m/>
  </r>
  <r>
    <x v="22"/>
    <s v="LOTE 2"/>
    <x v="0"/>
    <x v="10"/>
    <x v="5"/>
    <x v="0"/>
    <s v="VEREDA BAJO DEL OSO"/>
    <n v="50451135889"/>
    <s v="CASA FAMILIAR BAJO DEL OSO"/>
    <n v="1"/>
    <n v="11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23982123"/>
    <n v="0.02"/>
    <n v="479642.46"/>
    <m/>
    <n v="17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ACIÓN ALIMENTOS - DPI"/>
    <b v="1"/>
    <n v="0"/>
    <b v="1"/>
    <n v="0"/>
    <x v="0"/>
    <m/>
  </r>
  <r>
    <x v="22"/>
    <s v="LOTE 2"/>
    <x v="0"/>
    <x v="10"/>
    <x v="5"/>
    <x v="0"/>
    <s v="VEREDA BALSA BAJA"/>
    <n v="50451148845"/>
    <s v="IGLESIA RESTAURACIÓN REY JESUCRISTO"/>
    <n v="1"/>
    <n v="37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80667141"/>
    <n v="0.02"/>
    <n v="1613342.82"/>
    <m/>
    <n v="18"/>
    <n v="80667141"/>
    <n v="82280483.819999993"/>
    <s v=" "/>
    <m/>
    <m/>
    <m/>
    <n v="1826912"/>
    <n v="1518073"/>
    <n v="1076700"/>
    <n v="76245456"/>
    <m/>
    <n v="80667141"/>
    <s v=" "/>
    <n v="12434294"/>
    <n v="9530682"/>
    <n v="9530682"/>
    <n v="9530682"/>
    <n v="9530682"/>
    <n v="9530682"/>
    <n v="9530682"/>
    <n v="11048755"/>
    <n v="80667141"/>
    <n v="53393368"/>
    <s v="CONTRATACIÓN ALIMENTOS - DPI"/>
    <b v="1"/>
    <n v="0"/>
    <b v="1"/>
    <n v="0"/>
    <x v="0"/>
    <m/>
  </r>
  <r>
    <x v="22"/>
    <s v="LOTE 2"/>
    <x v="0"/>
    <x v="10"/>
    <x v="5"/>
    <x v="0"/>
    <s v="VEREDA LOS MANDARINOS CERCA AL COLEGIO"/>
    <n v="50451151107"/>
    <s v="C COMUNAL LOS MANDARINOS"/>
    <n v="1"/>
    <n v="16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34883088"/>
    <n v="0.02"/>
    <n v="697661.76"/>
    <m/>
    <n v="19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0"/>
    <m/>
  </r>
  <r>
    <x v="22"/>
    <s v="LOTE 2"/>
    <x v="0"/>
    <x v="10"/>
    <x v="5"/>
    <x v="0"/>
    <s v="VEREDA CHURIDO ALTO"/>
    <n v="50451152310"/>
    <s v="CHURIDO ALTO"/>
    <n v="1"/>
    <n v="20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43603860"/>
    <n v="0.02"/>
    <n v="872077.20000000007"/>
    <m/>
    <n v="20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0"/>
    <m/>
  </r>
  <r>
    <x v="22"/>
    <s v="LOTE 2"/>
    <x v="0"/>
    <x v="10"/>
    <x v="5"/>
    <x v="0"/>
    <s v="VEREDA SALSIPUEDES"/>
    <n v="50451152313"/>
    <s v="SALSIPUEDES"/>
    <n v="1"/>
    <n v="20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43603860"/>
    <n v="0.02"/>
    <n v="872077.20000000007"/>
    <m/>
    <n v="21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0"/>
    <m/>
  </r>
  <r>
    <x v="22"/>
    <s v="LOTE 2"/>
    <x v="0"/>
    <x v="10"/>
    <x v="5"/>
    <x v="0"/>
    <s v="VEREDA CHURIDO"/>
    <n v="50451152315"/>
    <s v="CHURIDO 1"/>
    <n v="1"/>
    <n v="20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43603860"/>
    <n v="0.02"/>
    <n v="872077.20000000007"/>
    <m/>
    <n v="22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0"/>
    <m/>
  </r>
  <r>
    <x v="22"/>
    <s v="LOTE 2"/>
    <x v="0"/>
    <x v="10"/>
    <x v="5"/>
    <x v="0"/>
    <s v="VEREDA CHURIDO"/>
    <n v="50451152317"/>
    <s v="CHURIDO 2"/>
    <n v="1"/>
    <n v="20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43603860"/>
    <n v="0.02"/>
    <n v="872077.20000000007"/>
    <m/>
    <n v="23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0"/>
    <m/>
  </r>
  <r>
    <x v="22"/>
    <s v="LOTE 2"/>
    <x v="0"/>
    <x v="10"/>
    <x v="5"/>
    <x v="0"/>
    <s v="VEREDA EL SALTO DIAGONAL AL BILLAR EL SALTO"/>
    <n v="50451153057"/>
    <s v="C COMUNAL EL SALTO_APARTADO"/>
    <n v="1"/>
    <n v="16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34883088"/>
    <n v="0.02"/>
    <n v="697661.76"/>
    <m/>
    <n v="2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0"/>
    <m/>
  </r>
  <r>
    <x v="22"/>
    <s v="LOTE 2"/>
    <x v="0"/>
    <x v="10"/>
    <x v="5"/>
    <x v="0"/>
    <s v="VEREDA LA VICTORIA"/>
    <n v="504500115641"/>
    <s v="SONRISAS LATINAS "/>
    <n v="1"/>
    <n v="50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109009650"/>
    <n v="0.02"/>
    <n v="2180193"/>
    <m/>
    <n v="25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ACIÓN ALIMENTOS - DPI"/>
    <b v="1"/>
    <n v="0"/>
    <b v="1"/>
    <n v="0"/>
    <x v="0"/>
    <m/>
  </r>
  <r>
    <x v="22"/>
    <s v="LOTE 2"/>
    <x v="0"/>
    <x v="10"/>
    <x v="5"/>
    <x v="0"/>
    <s v="CASETA COMUNAL OBRERO"/>
    <n v="504500115645"/>
    <s v="MUNDO DE NIÑOS "/>
    <n v="1"/>
    <n v="50"/>
    <m/>
    <n v="1914"/>
    <s v="ARTÍCULO 34 CONTRATACIÓN CON EL REGISTRO ÚNICO DE OFERENTES"/>
    <m/>
    <m/>
    <x v="0"/>
    <x v="0"/>
    <x v="20"/>
    <x v="19"/>
    <n v="229953"/>
    <e v="#N/A"/>
    <e v="#N/A"/>
    <s v=" "/>
    <s v=" "/>
    <m/>
    <n v="109009650"/>
    <n v="0.02"/>
    <n v="2180193"/>
    <m/>
    <n v="26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ACIÓN ALIMENTOS - DPI"/>
    <b v="1"/>
    <n v="0"/>
    <b v="1"/>
    <n v="0"/>
    <x v="0"/>
    <m/>
  </r>
  <r>
    <x v="23"/>
    <s v="LOTE 2"/>
    <x v="0"/>
    <x v="10"/>
    <x v="8"/>
    <x v="0"/>
    <s v="ET 107 LC 57 SERRANIA"/>
    <n v="50451113534"/>
    <s v="MANANTIAL DE AMOR "/>
    <n v="1"/>
    <n v="100"/>
    <m/>
    <n v="1915"/>
    <s v="ARTÍCULO 34 CONTRATACIÓN CON EL REGISTRO ÚNICO DE OFERENTES"/>
    <m/>
    <m/>
    <x v="0"/>
    <x v="0"/>
    <x v="21"/>
    <x v="20"/>
    <n v="229094"/>
    <n v="15183"/>
    <n v="91525"/>
    <n v="20"/>
    <n v="1044"/>
    <m/>
    <n v="225115100"/>
    <n v="0.02"/>
    <n v="4502302"/>
    <m/>
    <n v="1"/>
    <n v="225115100"/>
    <n v="229617402"/>
    <n v="2350201644"/>
    <n v="47004033"/>
    <n v="2397205677"/>
    <n v="1651.0022086406743"/>
    <n v="5146300"/>
    <n v="4311600"/>
    <n v="2910000"/>
    <n v="212747200"/>
    <m/>
    <n v="225115100"/>
    <n v="2350201644"/>
    <n v="34649700"/>
    <n v="26593400"/>
    <n v="26593400"/>
    <n v="26593400"/>
    <n v="26593400"/>
    <n v="26593400"/>
    <n v="26593400"/>
    <n v="30905000"/>
    <n v="225115100"/>
    <n v="144306400"/>
    <s v="CONTRATACIÓN ALIMENTOS - DPI"/>
    <b v="1"/>
    <n v="0"/>
    <b v="1"/>
    <n v="0"/>
    <x v="1"/>
    <m/>
  </r>
  <r>
    <x v="23"/>
    <s v="LOTE 2"/>
    <x v="0"/>
    <x v="10"/>
    <x v="8"/>
    <x v="0"/>
    <s v="EN LA SEGUNDA CALLE AL FONDO ASERRIO ANTIGUO"/>
    <n v="50451113548"/>
    <s v="DEJANDO HUELLAS CONLATINA"/>
    <n v="1"/>
    <n v="50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112557550"/>
    <n v="0.02"/>
    <n v="2251151"/>
    <m/>
    <n v="2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ACIÓN ALIMENTOS - DPI"/>
    <b v="1"/>
    <n v="0"/>
    <b v="1"/>
    <n v="0"/>
    <x v="1"/>
    <m/>
  </r>
  <r>
    <x v="23"/>
    <s v="LOTE 2"/>
    <x v="0"/>
    <x v="10"/>
    <x v="8"/>
    <x v="0"/>
    <s v="EL REPOSO"/>
    <n v="50451119149"/>
    <s v="C COMUNAL BARRIO EL JAZMÍN"/>
    <n v="1"/>
    <n v="52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117059852"/>
    <n v="0.02"/>
    <n v="2341197.04"/>
    <m/>
    <n v="3"/>
    <n v="117059852"/>
    <n v="119401049.04000001"/>
    <s v=" "/>
    <m/>
    <m/>
    <m/>
    <n v="2676076"/>
    <n v="2242032"/>
    <n v="1513200"/>
    <n v="110628544"/>
    <m/>
    <n v="117059852"/>
    <s v=" "/>
    <n v="18017844"/>
    <n v="13828568"/>
    <n v="13828568"/>
    <n v="13828568"/>
    <n v="13828568"/>
    <n v="13828568"/>
    <n v="13828568"/>
    <n v="16070600"/>
    <n v="117059852"/>
    <n v="75039328"/>
    <s v="CONTRATACIÓN ALIMENTOS - DPI"/>
    <b v="1"/>
    <n v="0"/>
    <b v="1"/>
    <n v="0"/>
    <x v="1"/>
    <m/>
  </r>
  <r>
    <x v="23"/>
    <s v="LOTE 2"/>
    <x v="0"/>
    <x v="10"/>
    <x v="8"/>
    <x v="0"/>
    <s v="CALLE PRINCIPAL DETRAS DE LA IGLESIA LAS 3 M 1RO DE MAYO"/>
    <n v="50451119150"/>
    <s v="C COMUNAL 1 DE MAYO"/>
    <n v="1"/>
    <n v="39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87794889"/>
    <n v="0.02"/>
    <n v="1755897.78"/>
    <m/>
    <n v="4"/>
    <n v="87794889"/>
    <n v="89550786.780000001"/>
    <s v=" "/>
    <m/>
    <m/>
    <m/>
    <n v="2007057"/>
    <n v="1681524"/>
    <n v="1134900"/>
    <n v="82971408"/>
    <m/>
    <n v="87794889"/>
    <s v=" "/>
    <n v="13513383"/>
    <n v="10371426"/>
    <n v="10371426"/>
    <n v="10371426"/>
    <n v="10371426"/>
    <n v="10371426"/>
    <n v="10371426"/>
    <n v="12052950"/>
    <n v="87794889"/>
    <n v="56279496"/>
    <s v="CONTRATACIÓN ALIMENTOS - DPI"/>
    <b v="1"/>
    <n v="0"/>
    <b v="1"/>
    <n v="0"/>
    <x v="1"/>
    <m/>
  </r>
  <r>
    <x v="23"/>
    <s v="LOTE 2"/>
    <x v="0"/>
    <x v="10"/>
    <x v="8"/>
    <x v="0"/>
    <s v="CORREGIMIENTO SAN JOSE"/>
    <n v="50451119188"/>
    <s v="AUDITORIO CENTRO DE SALUD SAN JOSE"/>
    <n v="1"/>
    <n v="52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117059852"/>
    <n v="0.02"/>
    <n v="2341197.04"/>
    <m/>
    <n v="5"/>
    <n v="117059852"/>
    <n v="119401049.04000001"/>
    <s v=" "/>
    <m/>
    <m/>
    <m/>
    <n v="2676076"/>
    <n v="2242032"/>
    <n v="1513200"/>
    <n v="110628544"/>
    <m/>
    <n v="117059852"/>
    <s v=" "/>
    <n v="18017844"/>
    <n v="13828568"/>
    <n v="13828568"/>
    <n v="13828568"/>
    <n v="13828568"/>
    <n v="13828568"/>
    <n v="13828568"/>
    <n v="16070600"/>
    <n v="117059852"/>
    <n v="75039328"/>
    <s v="CONTRATACIÓN ALIMENTOS - DPI"/>
    <b v="1"/>
    <n v="0"/>
    <b v="1"/>
    <n v="0"/>
    <x v="1"/>
    <m/>
  </r>
  <r>
    <x v="23"/>
    <s v="LOTE 2"/>
    <x v="0"/>
    <x v="10"/>
    <x v="8"/>
    <x v="0"/>
    <s v="REPOSO"/>
    <n v="50451119190"/>
    <s v="C COMUNAL 3 DE FEBRERO"/>
    <n v="1"/>
    <n v="69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155329419"/>
    <n v="0.02"/>
    <n v="3106588.38"/>
    <m/>
    <n v="6"/>
    <n v="155329419"/>
    <n v="158436007.38"/>
    <s v=" "/>
    <m/>
    <m/>
    <m/>
    <n v="3550947"/>
    <n v="2975004"/>
    <n v="2007900"/>
    <n v="146795568"/>
    <m/>
    <n v="155329419"/>
    <s v=" "/>
    <n v="23908293"/>
    <n v="18349446"/>
    <n v="18349446"/>
    <n v="18349446"/>
    <n v="18349446"/>
    <n v="18349446"/>
    <n v="18349446"/>
    <n v="21324450"/>
    <n v="155329419"/>
    <n v="99571416"/>
    <s v="CONTRATACIÓN ALIMENTOS - DPI"/>
    <b v="1"/>
    <n v="0"/>
    <b v="1"/>
    <n v="0"/>
    <x v="1"/>
    <m/>
  </r>
  <r>
    <x v="23"/>
    <s v="LOTE 2"/>
    <x v="0"/>
    <x v="10"/>
    <x v="8"/>
    <x v="0"/>
    <s v="KR 114 N 82 38"/>
    <n v="50451119194"/>
    <s v="CASA MADRE ARELIS DEL TORO EL SALVADOR"/>
    <n v="1"/>
    <n v="117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263384667"/>
    <n v="0.02"/>
    <n v="5267693.34"/>
    <m/>
    <n v="7"/>
    <n v="263384667"/>
    <n v="268652360.33999997"/>
    <s v=" "/>
    <m/>
    <m/>
    <m/>
    <n v="6021171"/>
    <n v="5044572"/>
    <n v="3404700"/>
    <n v="248914224"/>
    <m/>
    <n v="263384667"/>
    <s v=" "/>
    <n v="40540149"/>
    <n v="31114278"/>
    <n v="31114278"/>
    <n v="31114278"/>
    <n v="31114278"/>
    <n v="31114278"/>
    <n v="31114278"/>
    <n v="36158850"/>
    <n v="263384667"/>
    <n v="168838488"/>
    <s v="CONTRATACIÓN ALIMENTOS - DPI"/>
    <b v="1"/>
    <n v="0"/>
    <b v="1"/>
    <n v="0"/>
    <x v="1"/>
    <m/>
  </r>
  <r>
    <x v="23"/>
    <s v="LOTE 2"/>
    <x v="0"/>
    <x v="10"/>
    <x v="8"/>
    <x v="0"/>
    <s v="BARRIO SAN FERNANDO PRIMERA CALLE"/>
    <n v="50451135231"/>
    <s v="IE SAN PEDRO CLAVER SEDE BRISAS"/>
    <n v="1"/>
    <n v="36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81041436"/>
    <n v="0.02"/>
    <n v="1620828.72"/>
    <m/>
    <n v="8"/>
    <n v="81041436"/>
    <n v="82662264.719999999"/>
    <s v=" "/>
    <m/>
    <m/>
    <m/>
    <n v="1852668"/>
    <n v="1552176"/>
    <n v="1047600"/>
    <n v="76588992"/>
    <m/>
    <n v="81041436"/>
    <s v=" "/>
    <n v="12473892"/>
    <n v="9573624"/>
    <n v="9573624"/>
    <n v="9573624"/>
    <n v="9573624"/>
    <n v="9573624"/>
    <n v="9573624"/>
    <n v="11125800"/>
    <n v="81041436"/>
    <n v="51950304"/>
    <s v="CONTRATACIÓN ALIMENTOS - DPI"/>
    <b v="1"/>
    <n v="0"/>
    <b v="1"/>
    <n v="0"/>
    <x v="1"/>
    <m/>
  </r>
  <r>
    <x v="23"/>
    <s v="LOTE 2"/>
    <x v="0"/>
    <x v="10"/>
    <x v="8"/>
    <x v="0"/>
    <s v="CL 102 C 74 5"/>
    <n v="50451135393"/>
    <s v="COMEDOR COMUNITARIO 20 DE ENERO"/>
    <n v="1"/>
    <n v="40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90046040"/>
    <n v="0.02"/>
    <n v="1800920.8"/>
    <m/>
    <n v="9"/>
    <n v="90046040"/>
    <n v="91846960.799999997"/>
    <s v=" "/>
    <m/>
    <m/>
    <m/>
    <n v="2058520"/>
    <n v="1724640"/>
    <n v="1164000"/>
    <n v="85098880"/>
    <m/>
    <n v="90046040"/>
    <s v=" "/>
    <n v="13859880"/>
    <n v="10637360"/>
    <n v="10637360"/>
    <n v="10637360"/>
    <n v="10637360"/>
    <n v="10637360"/>
    <n v="10637360"/>
    <n v="12362000"/>
    <n v="90046040"/>
    <n v="57722560"/>
    <s v="CONTRATACIÓN ALIMENTOS - DPI"/>
    <b v="1"/>
    <n v="0"/>
    <b v="1"/>
    <n v="0"/>
    <x v="1"/>
    <m/>
  </r>
  <r>
    <x v="23"/>
    <s v="LOTE 2"/>
    <x v="0"/>
    <x v="10"/>
    <x v="8"/>
    <x v="0"/>
    <s v="CORREGIMIENTO VIJAGUAL"/>
    <n v="50451135554"/>
    <s v="LOCAL SR EDGAR MAURICIO BARRIO LAS MARIAS"/>
    <n v="1"/>
    <n v="83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186845533"/>
    <n v="0.02"/>
    <n v="3736910.66"/>
    <m/>
    <n v="10"/>
    <n v="186845533"/>
    <n v="190582443.66"/>
    <s v=" "/>
    <m/>
    <m/>
    <m/>
    <n v="4271429"/>
    <n v="3578628"/>
    <n v="2415300"/>
    <n v="176580176"/>
    <m/>
    <n v="186845533"/>
    <s v=" "/>
    <n v="28759251"/>
    <n v="22072522"/>
    <n v="22072522"/>
    <n v="22072522"/>
    <n v="22072522"/>
    <n v="22072522"/>
    <n v="22072522"/>
    <n v="25651150"/>
    <n v="186845533"/>
    <n v="119774312"/>
    <s v="CONTRATACIÓN ALIMENTOS - DPI"/>
    <b v="1"/>
    <n v="0"/>
    <b v="1"/>
    <n v="0"/>
    <x v="1"/>
    <m/>
  </r>
  <r>
    <x v="23"/>
    <s v="LOTE 2"/>
    <x v="0"/>
    <x v="10"/>
    <x v="8"/>
    <x v="0"/>
    <s v="JUNTA DE ACCION COMUNAL DEL BARRIO OBRERO"/>
    <n v="50451135558"/>
    <s v="JAC BARRIO OBRERO"/>
    <n v="1"/>
    <n v="100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225115100"/>
    <n v="0.02"/>
    <n v="4502302"/>
    <m/>
    <n v="11"/>
    <n v="225115100"/>
    <n v="229617402"/>
    <s v=" "/>
    <m/>
    <m/>
    <m/>
    <n v="5146300"/>
    <n v="4311600"/>
    <n v="2910000"/>
    <n v="212747200"/>
    <m/>
    <n v="225115100"/>
    <s v=" "/>
    <n v="34649700"/>
    <n v="26593400"/>
    <n v="26593400"/>
    <n v="26593400"/>
    <n v="26593400"/>
    <n v="26593400"/>
    <n v="26593400"/>
    <n v="30905000"/>
    <n v="225115100"/>
    <n v="144306400"/>
    <s v="CONTRATACIÓN ALIMENTOS - DPI"/>
    <b v="1"/>
    <n v="0"/>
    <b v="1"/>
    <n v="0"/>
    <x v="1"/>
    <m/>
  </r>
  <r>
    <x v="23"/>
    <s v="LOTE 2"/>
    <x v="0"/>
    <x v="10"/>
    <x v="8"/>
    <x v="0"/>
    <s v="BARRIO LA PAZ"/>
    <n v="50451135860"/>
    <s v="C COMUNAL BARRIO LA PAZ"/>
    <n v="1"/>
    <n v="17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38269567"/>
    <n v="0.02"/>
    <n v="765391.34"/>
    <m/>
    <n v="12"/>
    <n v="38269567"/>
    <n v="39034958.340000004"/>
    <s v=" "/>
    <m/>
    <m/>
    <m/>
    <n v="874871"/>
    <n v="732972"/>
    <n v="494700"/>
    <n v="36167024"/>
    <m/>
    <n v="38269567"/>
    <s v=" "/>
    <n v="5890449"/>
    <n v="4520878"/>
    <n v="4520878"/>
    <n v="4520878"/>
    <n v="4520878"/>
    <n v="4520878"/>
    <n v="4520878"/>
    <n v="5253850"/>
    <n v="38269567"/>
    <n v="24532088"/>
    <s v="CONTRATACIÓN ALIMENTOS - DPI"/>
    <b v="1"/>
    <n v="0"/>
    <b v="1"/>
    <n v="0"/>
    <x v="1"/>
    <m/>
  </r>
  <r>
    <x v="23"/>
    <s v="LOTE 2"/>
    <x v="0"/>
    <x v="10"/>
    <x v="8"/>
    <x v="0"/>
    <s v="BARRIO MATEGUADUA"/>
    <n v="50451135891"/>
    <s v="C COMUNAL MATEGUADUA"/>
    <n v="1"/>
    <n v="16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36018416"/>
    <n v="0.02"/>
    <n v="720368.32000000007"/>
    <m/>
    <n v="13"/>
    <n v="36018416"/>
    <n v="36738784.32"/>
    <s v=" "/>
    <m/>
    <m/>
    <m/>
    <n v="823408"/>
    <n v="689856"/>
    <n v="465600"/>
    <n v="34039552"/>
    <m/>
    <n v="36018416"/>
    <s v=" "/>
    <n v="5543952"/>
    <n v="4254944"/>
    <n v="4254944"/>
    <n v="4254944"/>
    <n v="4254944"/>
    <n v="4254944"/>
    <n v="4254944"/>
    <n v="4944800"/>
    <n v="36018416"/>
    <n v="23089024"/>
    <s v="CONTRATACIÓN ALIMENTOS - DPI"/>
    <b v="1"/>
    <n v="0"/>
    <b v="1"/>
    <n v="0"/>
    <x v="1"/>
    <m/>
  </r>
  <r>
    <x v="23"/>
    <s v="LOTE 2"/>
    <x v="0"/>
    <x v="10"/>
    <x v="8"/>
    <x v="0"/>
    <s v="BARRIO LAS COLINAS"/>
    <n v="50451135894"/>
    <s v="C COMUNAL BARRIO LAS COLINAS"/>
    <n v="1"/>
    <n v="34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76539134"/>
    <n v="0.02"/>
    <n v="1530782.68"/>
    <m/>
    <n v="14"/>
    <n v="76539134"/>
    <n v="78069916.680000007"/>
    <s v=" "/>
    <m/>
    <m/>
    <m/>
    <n v="1749742"/>
    <n v="1465944"/>
    <n v="989400"/>
    <n v="72334048"/>
    <m/>
    <n v="76539134"/>
    <s v=" "/>
    <n v="11780898"/>
    <n v="9041756"/>
    <n v="9041756"/>
    <n v="9041756"/>
    <n v="9041756"/>
    <n v="9041756"/>
    <n v="9041756"/>
    <n v="10507700"/>
    <n v="76539134"/>
    <n v="49064176"/>
    <s v="CONTRATACIÓN ALIMENTOS - DPI"/>
    <b v="1"/>
    <n v="0"/>
    <b v="1"/>
    <n v="0"/>
    <x v="1"/>
    <m/>
  </r>
  <r>
    <x v="23"/>
    <s v="LOTE 2"/>
    <x v="0"/>
    <x v="10"/>
    <x v="8"/>
    <x v="0"/>
    <s v="CL 87 41 B 2"/>
    <n v="50451135897"/>
    <s v="C COMUNAL BARRIO LA ESPERANZA"/>
    <n v="1"/>
    <n v="51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114808701"/>
    <n v="0.02"/>
    <n v="2296174.02"/>
    <m/>
    <n v="15"/>
    <n v="114808701"/>
    <n v="117104875.02"/>
    <s v=" "/>
    <m/>
    <m/>
    <m/>
    <n v="2624613"/>
    <n v="2198916"/>
    <n v="1484100"/>
    <n v="108501072"/>
    <m/>
    <n v="114808701"/>
    <s v=" "/>
    <n v="17671347"/>
    <n v="13562634"/>
    <n v="13562634"/>
    <n v="13562634"/>
    <n v="13562634"/>
    <n v="13562634"/>
    <n v="13562634"/>
    <n v="15761550"/>
    <n v="114808701"/>
    <n v="73596264"/>
    <s v="CONTRATACIÓN ALIMENTOS - DPI"/>
    <b v="1"/>
    <n v="0"/>
    <b v="1"/>
    <n v="0"/>
    <x v="1"/>
    <m/>
  </r>
  <r>
    <x v="23"/>
    <s v="LOTE 2"/>
    <x v="0"/>
    <x v="10"/>
    <x v="8"/>
    <x v="0"/>
    <s v="BARRIO LA ALBORADA"/>
    <n v="50451136651"/>
    <s v="IGLESIA PACTOS DE PAZ B. ALBORADA"/>
    <n v="1"/>
    <n v="37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83292587"/>
    <n v="0.02"/>
    <n v="1665851.74"/>
    <m/>
    <n v="16"/>
    <n v="83292587"/>
    <n v="84958438.739999995"/>
    <s v=" "/>
    <m/>
    <m/>
    <m/>
    <n v="1904131"/>
    <n v="1595292"/>
    <n v="1076700"/>
    <n v="78716464"/>
    <m/>
    <n v="83292587"/>
    <s v=" "/>
    <n v="12820389"/>
    <n v="9839558"/>
    <n v="9839558"/>
    <n v="9839558"/>
    <n v="9839558"/>
    <n v="9839558"/>
    <n v="9839558"/>
    <n v="11434850"/>
    <n v="83292587"/>
    <n v="53393368"/>
    <s v="CONTRATACIÓN ALIMENTOS - DPI"/>
    <b v="1"/>
    <n v="0"/>
    <b v="1"/>
    <n v="0"/>
    <x v="1"/>
    <m/>
  </r>
  <r>
    <x v="23"/>
    <s v="LOTE 2"/>
    <x v="0"/>
    <x v="10"/>
    <x v="8"/>
    <x v="0"/>
    <s v="CORREGIMIENTO EL REPOSO"/>
    <n v="50451140536"/>
    <s v="CASA FAMILIAR GLADYS ESTRADA"/>
    <n v="1"/>
    <n v="16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36018416"/>
    <n v="0.02"/>
    <n v="720368.32000000007"/>
    <m/>
    <n v="17"/>
    <n v="36018416"/>
    <n v="36738784.32"/>
    <s v=" "/>
    <m/>
    <m/>
    <m/>
    <n v="823408"/>
    <n v="689856"/>
    <n v="465600"/>
    <n v="34039552"/>
    <m/>
    <n v="36018416"/>
    <s v=" "/>
    <n v="5543952"/>
    <n v="4254944"/>
    <n v="4254944"/>
    <n v="4254944"/>
    <n v="4254944"/>
    <n v="4254944"/>
    <n v="4254944"/>
    <n v="4944800"/>
    <n v="36018416"/>
    <n v="23089024"/>
    <s v="CONTRATACIÓN ALIMENTOS - DPI"/>
    <b v="1"/>
    <n v="0"/>
    <b v="1"/>
    <n v="0"/>
    <x v="1"/>
    <m/>
  </r>
  <r>
    <x v="23"/>
    <s v="LOTE 2"/>
    <x v="0"/>
    <x v="10"/>
    <x v="8"/>
    <x v="0"/>
    <s v="CORREGIMIENTO CHURIDO PUEBLO"/>
    <n v="504500104130"/>
    <s v="CASA DE LA CULTURA CHURIDO"/>
    <n v="1"/>
    <n v="35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78790285"/>
    <n v="0.02"/>
    <n v="1575805.7"/>
    <m/>
    <n v="18"/>
    <n v="78790285"/>
    <n v="80366090.700000003"/>
    <s v=" "/>
    <m/>
    <m/>
    <m/>
    <n v="1801205"/>
    <n v="1509060"/>
    <n v="1018500"/>
    <n v="74461520"/>
    <m/>
    <n v="78790285"/>
    <s v=" "/>
    <n v="12127395"/>
    <n v="9307690"/>
    <n v="9307690"/>
    <n v="9307690"/>
    <n v="9307690"/>
    <n v="9307690"/>
    <n v="9307690"/>
    <n v="10816750"/>
    <n v="78790285"/>
    <n v="50507240"/>
    <s v="CONTRATACIÓN ALIMENTOS - DPI"/>
    <b v="1"/>
    <n v="0"/>
    <b v="1"/>
    <n v="0"/>
    <x v="1"/>
    <m/>
  </r>
  <r>
    <x v="23"/>
    <s v="LOTE 2"/>
    <x v="0"/>
    <x v="10"/>
    <x v="8"/>
    <x v="0"/>
    <s v="MZ 10 CS 87 20 DE ENERO"/>
    <n v="504500115642"/>
    <s v="MIS PEQUEÑOS LATINOS "/>
    <n v="1"/>
    <n v="50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112557550"/>
    <n v="0.02"/>
    <n v="2251151"/>
    <m/>
    <n v="19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ACIÓN ALIMENTOS - DPI"/>
    <b v="1"/>
    <n v="0"/>
    <b v="1"/>
    <n v="0"/>
    <x v="1"/>
    <m/>
  </r>
  <r>
    <x v="23"/>
    <s v="LOTE 2"/>
    <x v="0"/>
    <x v="10"/>
    <x v="8"/>
    <x v="0"/>
    <s v="MZ 102 LT 10 EL REPOSO"/>
    <n v="504500115647"/>
    <s v="DULCE AMOR "/>
    <n v="1"/>
    <n v="50"/>
    <m/>
    <n v="1915"/>
    <s v="ARTÍCULO 34 CONTRATACIÓN CON EL REGISTRO ÚNICO DE OFERENTES"/>
    <m/>
    <m/>
    <x v="0"/>
    <x v="0"/>
    <x v="21"/>
    <x v="20"/>
    <n v="229094"/>
    <n v="15183"/>
    <n v="91525"/>
    <s v=" "/>
    <s v=" "/>
    <m/>
    <n v="112557550"/>
    <n v="0.02"/>
    <n v="2251151"/>
    <m/>
    <n v="20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ACIÓN ALIMENTOS - DPI"/>
    <b v="1"/>
    <n v="0"/>
    <b v="1"/>
    <n v="0"/>
    <x v="1"/>
    <m/>
  </r>
  <r>
    <x v="24"/>
    <s v="LOTE 2"/>
    <x v="0"/>
    <x v="22"/>
    <x v="7"/>
    <x v="0"/>
    <s v="CL 25 29 A 21  FRENTE AL COLEGIO"/>
    <n v="50511121808"/>
    <s v="CDI MIS PRIMEROS PASOS"/>
    <n v="1"/>
    <n v="191"/>
    <m/>
    <n v="1916"/>
    <s v="ARTÍCULO 34 CONTRATACIÓN CON EL REGISTRO ÚNICO DE OFERENTES"/>
    <m/>
    <m/>
    <x v="0"/>
    <x v="0"/>
    <x v="21"/>
    <x v="20"/>
    <n v="229095"/>
    <n v="15199"/>
    <n v="83425"/>
    <n v="5"/>
    <n v="526"/>
    <m/>
    <n v="564730846"/>
    <n v="0.02"/>
    <n v="11294616.92"/>
    <m/>
    <n v="1"/>
    <n v="564730846"/>
    <n v="576025462.91999996"/>
    <n v="1498782956"/>
    <n v="29975659"/>
    <n v="1528758615"/>
    <n v="1052.885813839129"/>
    <n v="16835313"/>
    <n v="14333213"/>
    <n v="0"/>
    <n v="533562320"/>
    <m/>
    <n v="564730846"/>
    <n v="1498782956"/>
    <n v="83530603"/>
    <n v="66695290"/>
    <n v="66695290"/>
    <n v="66695290"/>
    <n v="66695290"/>
    <n v="66695290"/>
    <n v="66695290"/>
    <n v="81028503"/>
    <n v="564730846"/>
    <n v="235339504"/>
    <s v="CONTRATO ADICIONAL POR ALIMENTACION"/>
    <b v="1"/>
    <n v="0"/>
    <b v="1"/>
    <n v="0"/>
    <x v="1"/>
    <n v="1916"/>
  </r>
  <r>
    <x v="24"/>
    <s v="LOTE 2"/>
    <x v="0"/>
    <x v="22"/>
    <x v="7"/>
    <x v="0"/>
    <s v="EL MINUTO DE DIOS"/>
    <n v="50511127060"/>
    <s v="CDI SUEÑOS DE COMPARTIR ARBOLETES "/>
    <n v="1"/>
    <n v="60"/>
    <m/>
    <n v="1916"/>
    <s v="ARTÍCULO 34 CONTRATACIÓN CON EL REGISTRO ÚNICO DE OFERENTES"/>
    <m/>
    <m/>
    <x v="0"/>
    <x v="0"/>
    <x v="21"/>
    <x v="20"/>
    <n v="229095"/>
    <n v="15199"/>
    <n v="83425"/>
    <s v=" "/>
    <s v=" "/>
    <m/>
    <n v="177402360"/>
    <n v="0.02"/>
    <n v="3548047.2"/>
    <m/>
    <n v="2"/>
    <n v="177402360"/>
    <n v="180950407.19999999"/>
    <s v=" "/>
    <m/>
    <m/>
    <m/>
    <n v="5288580"/>
    <n v="4502580"/>
    <n v="0"/>
    <n v="167611200"/>
    <m/>
    <n v="177402360"/>
    <s v=" "/>
    <n v="26239980"/>
    <n v="20951400"/>
    <n v="20951400"/>
    <n v="20951400"/>
    <n v="20951400"/>
    <n v="20951400"/>
    <n v="20951400"/>
    <n v="25453980"/>
    <n v="177402360"/>
    <n v="73928640"/>
    <s v="CONTRATO ADICIONAL POR ALIMENTACION"/>
    <b v="1"/>
    <n v="0"/>
    <b v="1"/>
    <n v="0"/>
    <x v="1"/>
    <n v="1916"/>
  </r>
  <r>
    <x v="24"/>
    <s v="LOTE 2"/>
    <x v="0"/>
    <x v="22"/>
    <x v="8"/>
    <x v="0"/>
    <s v="CL 30 23 28"/>
    <n v="50511150324"/>
    <s v="AULA CDI CASTILLO DE MIS SUEÑOS"/>
    <n v="1"/>
    <n v="50"/>
    <m/>
    <n v="1916"/>
    <s v="ARTÍCULO 34 CONTRATACIÓN CON EL REGISTRO ÚNICO DE OFERENTES"/>
    <m/>
    <m/>
    <x v="0"/>
    <x v="0"/>
    <x v="21"/>
    <x v="20"/>
    <n v="229095"/>
    <n v="15199"/>
    <n v="83425"/>
    <s v=" "/>
    <s v=" "/>
    <m/>
    <n v="112557550"/>
    <n v="0.02"/>
    <n v="2251151"/>
    <m/>
    <n v="3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1916"/>
  </r>
  <r>
    <x v="24"/>
    <s v="LOTE 2"/>
    <x v="0"/>
    <x v="22"/>
    <x v="8"/>
    <x v="0"/>
    <s v="CL 30 12 A 16"/>
    <n v="50511152982"/>
    <s v="C COMUNAL VILLA DIANA"/>
    <n v="1"/>
    <n v="30"/>
    <m/>
    <n v="1916"/>
    <s v="ARTÍCULO 34 CONTRATACIÓN CON EL REGISTRO ÚNICO DE OFERENTES"/>
    <m/>
    <m/>
    <x v="0"/>
    <x v="0"/>
    <x v="21"/>
    <x v="20"/>
    <n v="229095"/>
    <n v="15199"/>
    <n v="83425"/>
    <s v=" "/>
    <s v=" "/>
    <m/>
    <n v="67534530"/>
    <n v="0.02"/>
    <n v="1350690.6"/>
    <m/>
    <n v="4"/>
    <n v="67534530"/>
    <n v="68885220.599999994"/>
    <s v=" "/>
    <m/>
    <m/>
    <m/>
    <n v="1543890"/>
    <n v="1293480"/>
    <n v="873000"/>
    <n v="63824160"/>
    <m/>
    <n v="67534530"/>
    <s v=" "/>
    <n v="10394910"/>
    <n v="7978020"/>
    <n v="7978020"/>
    <n v="7978020"/>
    <n v="7978020"/>
    <n v="7978020"/>
    <n v="7978020"/>
    <n v="9271500"/>
    <n v="67534530"/>
    <n v="43291920"/>
    <s v="CONTRATO ADICIONAL POR ALIMENTACION"/>
    <b v="1"/>
    <n v="0"/>
    <b v="1"/>
    <n v="0"/>
    <x v="1"/>
    <n v="1916"/>
  </r>
  <r>
    <x v="24"/>
    <s v="LOTE 2"/>
    <x v="0"/>
    <x v="22"/>
    <x v="7"/>
    <x v="0"/>
    <s v="CL 26 24 35 BARRIO SAN ISIDRO"/>
    <n v="505100103039"/>
    <s v="CDI CASTILLITO DE MIS SUEÑOS"/>
    <n v="1"/>
    <n v="195"/>
    <m/>
    <n v="1916"/>
    <s v="ARTÍCULO 34 CONTRATACIÓN CON EL REGISTRO ÚNICO DE OFERENTES"/>
    <m/>
    <m/>
    <x v="0"/>
    <x v="0"/>
    <x v="21"/>
    <x v="20"/>
    <n v="229095"/>
    <n v="15199"/>
    <n v="83425"/>
    <s v=" "/>
    <s v=" "/>
    <m/>
    <n v="576557670"/>
    <n v="0.02"/>
    <n v="11531153.4"/>
    <m/>
    <n v="5"/>
    <n v="576557670"/>
    <n v="588088823.39999998"/>
    <s v=" "/>
    <m/>
    <m/>
    <m/>
    <n v="17187885"/>
    <n v="14633385"/>
    <n v="0"/>
    <n v="544736400"/>
    <m/>
    <n v="576557670"/>
    <s v=" "/>
    <n v="85279935"/>
    <n v="68092050"/>
    <n v="68092050"/>
    <n v="68092050"/>
    <n v="68092050"/>
    <n v="68092050"/>
    <n v="68092050"/>
    <n v="82725435"/>
    <n v="576557670"/>
    <n v="240268080"/>
    <s v="CONTRATO ADICIONAL POR ALIMENTACION"/>
    <b v="1"/>
    <n v="0"/>
    <b v="1"/>
    <n v="0"/>
    <x v="1"/>
    <n v="1916"/>
  </r>
  <r>
    <x v="25"/>
    <s v="LOTE 2"/>
    <x v="0"/>
    <x v="22"/>
    <x v="5"/>
    <x v="0"/>
    <s v="COMUNIDAD INDIGENA NUEVO CANIME"/>
    <n v="50511114619"/>
    <s v="CENTRO EDUCATIVO NUEVO CANIME"/>
    <n v="1"/>
    <n v="31"/>
    <m/>
    <n v="1917"/>
    <s v="ARTÍCULO 34 CONTRATACIÓN CON EL REGISTRO ÚNICO DE OFERENTES"/>
    <m/>
    <m/>
    <x v="0"/>
    <x v="0"/>
    <x v="22"/>
    <x v="21"/>
    <n v="229096"/>
    <n v="15355"/>
    <n v="87725"/>
    <n v="31"/>
    <n v="1067"/>
    <m/>
    <n v="67585983"/>
    <n v="0.02"/>
    <n v="1351719.66"/>
    <m/>
    <n v="1"/>
    <n v="67585983"/>
    <n v="68937702.659999996"/>
    <n v="2403140718"/>
    <n v="48062814"/>
    <n v="2451203532"/>
    <n v="1688.1915827186513"/>
    <n v="1530656"/>
    <n v="1271899"/>
    <n v="902100"/>
    <n v="63881328"/>
    <m/>
    <n v="67585983"/>
    <n v="2403140718"/>
    <n v="10417922"/>
    <n v="7985166"/>
    <n v="7985166"/>
    <n v="7985166"/>
    <n v="7985166"/>
    <n v="7985166"/>
    <n v="7985166"/>
    <n v="9257065"/>
    <n v="67585983"/>
    <n v="44734984"/>
    <s v="CONTRATO ADICIONAL POR ALIMENTACION"/>
    <b v="1"/>
    <n v="0"/>
    <b v="1"/>
    <n v="0"/>
    <x v="1"/>
    <n v="1917"/>
  </r>
  <r>
    <x v="25"/>
    <s v="LOTE 2"/>
    <x v="0"/>
    <x v="22"/>
    <x v="5"/>
    <x v="0"/>
    <s v="VEREDA LOS CAJONES"/>
    <n v="50511114668"/>
    <s v="CER LOS CAJONES"/>
    <n v="1"/>
    <n v="19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41423667"/>
    <n v="0.02"/>
    <n v="828473.34"/>
    <m/>
    <n v="2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1917"/>
  </r>
  <r>
    <x v="25"/>
    <s v="LOTE 2"/>
    <x v="0"/>
    <x v="22"/>
    <x v="5"/>
    <x v="0"/>
    <s v="CORREGIMIENTO GUADUAL"/>
    <n v="50511114669"/>
    <s v="CASA COMUNAL GUADUAL ARRIBA"/>
    <n v="1"/>
    <n v="24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52324632"/>
    <n v="0.02"/>
    <n v="1046492.64"/>
    <m/>
    <n v="3"/>
    <n v="52324632"/>
    <n v="53371124.640000001"/>
    <s v=" "/>
    <m/>
    <m/>
    <m/>
    <n v="1185024"/>
    <n v="984696"/>
    <n v="698400"/>
    <n v="49456512"/>
    <m/>
    <n v="52324632"/>
    <s v=" "/>
    <n v="8065488"/>
    <n v="6182064"/>
    <n v="6182064"/>
    <n v="6182064"/>
    <n v="6182064"/>
    <n v="6182064"/>
    <n v="6182064"/>
    <n v="7166760"/>
    <n v="52324632"/>
    <n v="34633536"/>
    <s v="CONTRATO ADICIONAL POR ALIMENTACION"/>
    <b v="1"/>
    <n v="0"/>
    <b v="1"/>
    <n v="0"/>
    <x v="1"/>
    <n v="1917"/>
  </r>
  <r>
    <x v="25"/>
    <s v="LOTE 2"/>
    <x v="0"/>
    <x v="22"/>
    <x v="5"/>
    <x v="0"/>
    <s v="VEREDA EL BAJO DE LA ARENOSA - KILOMETRO 22"/>
    <n v="50511114672"/>
    <s v="CASA COMUNAL BAJO LA ARENOSA"/>
    <n v="1"/>
    <n v="19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41423667"/>
    <n v="0.02"/>
    <n v="828473.34"/>
    <m/>
    <n v="4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1917"/>
  </r>
  <r>
    <x v="25"/>
    <s v="LOTE 2"/>
    <x v="0"/>
    <x v="22"/>
    <x v="5"/>
    <x v="0"/>
    <s v="CORREGIMIENTO EL CARMELO"/>
    <n v="50511114751"/>
    <s v="CASA COMUNAL EL CARMELO"/>
    <n v="1"/>
    <n v="3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65405790"/>
    <n v="0.02"/>
    <n v="1308115.8"/>
    <m/>
    <n v="5"/>
    <n v="65405790"/>
    <n v="66713905.799999997"/>
    <s v=" "/>
    <m/>
    <m/>
    <m/>
    <n v="1481280"/>
    <n v="1230870"/>
    <n v="873000"/>
    <n v="61820640"/>
    <m/>
    <n v="65405790"/>
    <s v=" "/>
    <n v="10081860"/>
    <n v="7727580"/>
    <n v="7727580"/>
    <n v="7727580"/>
    <n v="7727580"/>
    <n v="7727580"/>
    <n v="7727580"/>
    <n v="8958450"/>
    <n v="65405790"/>
    <n v="43291920"/>
    <s v="CONTRATO ADICIONAL POR ALIMENTACION"/>
    <b v="1"/>
    <n v="0"/>
    <b v="1"/>
    <n v="0"/>
    <x v="1"/>
    <n v="1917"/>
  </r>
  <r>
    <x v="25"/>
    <s v="LOTE 2"/>
    <x v="0"/>
    <x v="22"/>
    <x v="5"/>
    <x v="0"/>
    <s v="CORREGIMIENTO BUENOS AIRES"/>
    <n v="50511114753"/>
    <s v="CASA FAMILIAR BUENOS AIRES 2"/>
    <n v="1"/>
    <n v="5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109009650"/>
    <n v="0.02"/>
    <n v="2180193"/>
    <m/>
    <n v="6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17"/>
  </r>
  <r>
    <x v="25"/>
    <s v="LOTE 2"/>
    <x v="0"/>
    <x v="22"/>
    <x v="5"/>
    <x v="0"/>
    <s v="CORREGIMIENTO SANTA FE DE LAS PLATAS"/>
    <n v="50511114759"/>
    <s v="CASA FAMILIAR LAS PLATAS"/>
    <n v="1"/>
    <n v="17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37063281"/>
    <n v="0.02"/>
    <n v="741265.62"/>
    <m/>
    <n v="7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17"/>
  </r>
  <r>
    <x v="25"/>
    <s v="LOTE 2"/>
    <x v="0"/>
    <x v="22"/>
    <x v="5"/>
    <x v="0"/>
    <s v="VEREDA NUEVA ESTRELLA"/>
    <n v="50511136213"/>
    <s v="CASA FAMILIAR VEREDA NUEVA ESTRELLA"/>
    <n v="1"/>
    <n v="5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109009650"/>
    <n v="0.02"/>
    <n v="2180193"/>
    <m/>
    <n v="8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17"/>
  </r>
  <r>
    <x v="25"/>
    <s v="LOTE 2"/>
    <x v="0"/>
    <x v="22"/>
    <x v="5"/>
    <x v="0"/>
    <s v="VEREDA EL YESO"/>
    <n v="50511136215"/>
    <s v="CASA COMUNAL EL YESO"/>
    <n v="1"/>
    <n v="3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65405790"/>
    <n v="0.02"/>
    <n v="1308115.8"/>
    <m/>
    <n v="9"/>
    <n v="65405790"/>
    <n v="66713905.799999997"/>
    <s v=" "/>
    <m/>
    <m/>
    <m/>
    <n v="1481280"/>
    <n v="1230870"/>
    <n v="873000"/>
    <n v="61820640"/>
    <m/>
    <n v="65405790"/>
    <s v=" "/>
    <n v="10081860"/>
    <n v="7727580"/>
    <n v="7727580"/>
    <n v="7727580"/>
    <n v="7727580"/>
    <n v="7727580"/>
    <n v="7727580"/>
    <n v="8958450"/>
    <n v="65405790"/>
    <n v="43291920"/>
    <s v="CONTRATO ADICIONAL POR ALIMENTACION"/>
    <b v="1"/>
    <n v="0"/>
    <b v="1"/>
    <n v="0"/>
    <x v="1"/>
    <n v="1917"/>
  </r>
  <r>
    <x v="25"/>
    <s v="LOTE 2"/>
    <x v="0"/>
    <x v="22"/>
    <x v="5"/>
    <x v="0"/>
    <s v="VEREDA LA ATOYOSA"/>
    <n v="50511136221"/>
    <s v="CER LA ATOYOSA"/>
    <n v="1"/>
    <n v="3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65405790"/>
    <n v="0.02"/>
    <n v="1308115.8"/>
    <m/>
    <n v="10"/>
    <n v="65405790"/>
    <n v="66713905.799999997"/>
    <s v=" "/>
    <m/>
    <m/>
    <m/>
    <n v="1481280"/>
    <n v="1230870"/>
    <n v="873000"/>
    <n v="61820640"/>
    <m/>
    <n v="65405790"/>
    <s v=" "/>
    <n v="10081860"/>
    <n v="7727580"/>
    <n v="7727580"/>
    <n v="7727580"/>
    <n v="7727580"/>
    <n v="7727580"/>
    <n v="7727580"/>
    <n v="8958450"/>
    <n v="65405790"/>
    <n v="43291920"/>
    <s v="CONTRATO ADICIONAL POR ALIMENTACION"/>
    <b v="1"/>
    <n v="0"/>
    <b v="1"/>
    <n v="0"/>
    <x v="1"/>
    <n v="1917"/>
  </r>
  <r>
    <x v="25"/>
    <s v="LOTE 2"/>
    <x v="0"/>
    <x v="22"/>
    <x v="5"/>
    <x v="0"/>
    <s v="VEREDA PIEDRESITA KILOMETRO 20"/>
    <n v="50511136385"/>
    <s v="CER PIEDRESITA"/>
    <n v="1"/>
    <n v="2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43603860"/>
    <n v="0.02"/>
    <n v="872077.20000000007"/>
    <m/>
    <n v="11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17"/>
  </r>
  <r>
    <x v="25"/>
    <s v="LOTE 2"/>
    <x v="0"/>
    <x v="22"/>
    <x v="5"/>
    <x v="0"/>
    <s v="VEREDA EL PORVENIR"/>
    <n v="50511136567"/>
    <s v="CASA COMUNAL PORVENIR"/>
    <n v="1"/>
    <n v="5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109009650"/>
    <n v="0.02"/>
    <n v="2180193"/>
    <m/>
    <n v="12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17"/>
  </r>
  <r>
    <x v="25"/>
    <s v="LOTE 2"/>
    <x v="0"/>
    <x v="22"/>
    <x v="5"/>
    <x v="0"/>
    <s v="VEREDA LOS PATICOS"/>
    <n v="50511136578"/>
    <s v="CASA FAMILIAR VEREDA LOS PATICOS"/>
    <n v="1"/>
    <n v="5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109009650"/>
    <n v="0.02"/>
    <n v="2180193"/>
    <m/>
    <n v="13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17"/>
  </r>
  <r>
    <x v="25"/>
    <s v="LOTE 2"/>
    <x v="0"/>
    <x v="22"/>
    <x v="5"/>
    <x v="0"/>
    <s v="COMUNIDAD INDIGENA LA CEIBA"/>
    <n v="50511136765"/>
    <s v="CER LA CEIBA_ARBOLETES"/>
    <n v="1"/>
    <n v="3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65405790"/>
    <n v="0.02"/>
    <n v="1308115.8"/>
    <m/>
    <n v="14"/>
    <n v="65405790"/>
    <n v="66713905.799999997"/>
    <s v=" "/>
    <m/>
    <m/>
    <m/>
    <n v="1481280"/>
    <n v="1230870"/>
    <n v="873000"/>
    <n v="61820640"/>
    <m/>
    <n v="65405790"/>
    <s v=" "/>
    <n v="10081860"/>
    <n v="7727580"/>
    <n v="7727580"/>
    <n v="7727580"/>
    <n v="7727580"/>
    <n v="7727580"/>
    <n v="7727580"/>
    <n v="8958450"/>
    <n v="65405790"/>
    <n v="43291920"/>
    <s v="CONTRATO ADICIONAL POR ALIMENTACION"/>
    <b v="1"/>
    <n v="0"/>
    <b v="1"/>
    <n v="0"/>
    <x v="1"/>
    <n v="1917"/>
  </r>
  <r>
    <x v="25"/>
    <s v="LOTE 2"/>
    <x v="0"/>
    <x v="22"/>
    <x v="5"/>
    <x v="0"/>
    <s v="VEREDA LA LANA"/>
    <n v="50511143706"/>
    <s v="CASA COMUNAL LAS LANAS"/>
    <n v="1"/>
    <n v="23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50144439"/>
    <n v="0.02"/>
    <n v="1002888.78"/>
    <m/>
    <n v="15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O ADICIONAL POR ALIMENTACION"/>
    <b v="1"/>
    <n v="0"/>
    <b v="1"/>
    <n v="0"/>
    <x v="1"/>
    <n v="1917"/>
  </r>
  <r>
    <x v="25"/>
    <s v="LOTE 2"/>
    <x v="0"/>
    <x v="22"/>
    <x v="5"/>
    <x v="0"/>
    <s v="VEREDA RIO HOBO"/>
    <n v="50511144594"/>
    <s v="CASA FAMILIAR VEREDA RIO HOBO"/>
    <n v="1"/>
    <n v="5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109009650"/>
    <n v="0.02"/>
    <n v="2180193"/>
    <m/>
    <n v="16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17"/>
  </r>
  <r>
    <x v="25"/>
    <s v="LOTE 2"/>
    <x v="0"/>
    <x v="22"/>
    <x v="5"/>
    <x v="0"/>
    <s v="VEREDA CANIME"/>
    <n v="50511148806"/>
    <s v="CER EL CANIME"/>
    <n v="1"/>
    <n v="5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109009650"/>
    <n v="0.02"/>
    <n v="2180193"/>
    <m/>
    <n v="17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17"/>
  </r>
  <r>
    <x v="25"/>
    <s v="LOTE 2"/>
    <x v="0"/>
    <x v="22"/>
    <x v="5"/>
    <x v="0"/>
    <s v="KILOMETRO 5 LAS PAVITAS"/>
    <n v="50511150325"/>
    <s v="CASA FAMILIAR LAS PAVITAS"/>
    <n v="1"/>
    <n v="5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109009650"/>
    <n v="0.02"/>
    <n v="2180193"/>
    <m/>
    <n v="18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17"/>
  </r>
  <r>
    <x v="25"/>
    <s v="LOTE 2"/>
    <x v="0"/>
    <x v="22"/>
    <x v="5"/>
    <x v="0"/>
    <s v="CORREGIMIENTO PAJILLAL"/>
    <n v="50511150326"/>
    <s v="CASA FAMILIAR PAJILLAL"/>
    <n v="1"/>
    <n v="5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109009650"/>
    <n v="0.02"/>
    <n v="2180193"/>
    <m/>
    <n v="19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17"/>
  </r>
  <r>
    <x v="25"/>
    <s v="LOTE 2"/>
    <x v="0"/>
    <x v="22"/>
    <x v="5"/>
    <x v="0"/>
    <s v="VEREDA SIETE HERMANAS"/>
    <n v="50511150327"/>
    <s v="CASA FAMILIAR SIETE HERMANAS"/>
    <n v="1"/>
    <n v="26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56685018"/>
    <n v="0.02"/>
    <n v="1133700.3600000001"/>
    <m/>
    <n v="20"/>
    <n v="56685018"/>
    <n v="57818718.359999999"/>
    <s v=" "/>
    <m/>
    <m/>
    <m/>
    <n v="1283776"/>
    <n v="1066754"/>
    <n v="756600"/>
    <n v="53577888"/>
    <m/>
    <n v="56685018"/>
    <s v=" "/>
    <n v="8737612"/>
    <n v="6697236"/>
    <n v="6697236"/>
    <n v="6697236"/>
    <n v="6697236"/>
    <n v="6697236"/>
    <n v="6697236"/>
    <n v="7763990"/>
    <n v="56685018"/>
    <n v="37519664"/>
    <s v="CONTRATO ADICIONAL POR ALIMENTACION"/>
    <b v="1"/>
    <n v="0"/>
    <b v="1"/>
    <n v="0"/>
    <x v="1"/>
    <n v="1917"/>
  </r>
  <r>
    <x v="25"/>
    <s v="LOTE 2"/>
    <x v="0"/>
    <x v="22"/>
    <x v="5"/>
    <x v="0"/>
    <s v="CORREGIMIENTO LAS NARANJITAS"/>
    <n v="50511150328"/>
    <s v="CASETA PUESTO DE SALUD NARANJITAS"/>
    <n v="1"/>
    <n v="27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58865211"/>
    <n v="0.02"/>
    <n v="1177304.22"/>
    <m/>
    <n v="21"/>
    <n v="58865211"/>
    <n v="60042515.219999999"/>
    <s v=" "/>
    <m/>
    <m/>
    <m/>
    <n v="1333152"/>
    <n v="1107783"/>
    <n v="785700"/>
    <n v="55638576"/>
    <m/>
    <n v="58865211"/>
    <s v=" "/>
    <n v="9073674"/>
    <n v="6954822"/>
    <n v="6954822"/>
    <n v="6954822"/>
    <n v="6954822"/>
    <n v="6954822"/>
    <n v="6954822"/>
    <n v="8062605"/>
    <n v="58865211"/>
    <n v="38962728"/>
    <s v="CONTRATO ADICIONAL POR ALIMENTACION"/>
    <b v="1"/>
    <n v="0"/>
    <b v="1"/>
    <n v="0"/>
    <x v="1"/>
    <n v="1917"/>
  </r>
  <r>
    <x v="25"/>
    <s v="LOTE 2"/>
    <x v="0"/>
    <x v="22"/>
    <x v="5"/>
    <x v="0"/>
    <s v="CORREGIMIENTO LA TRINIDAD"/>
    <n v="50511150329"/>
    <s v="CASA FAMILIAR LA TRINIDAD"/>
    <n v="1"/>
    <n v="5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109009650"/>
    <n v="0.02"/>
    <n v="2180193"/>
    <m/>
    <n v="22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17"/>
  </r>
  <r>
    <x v="25"/>
    <s v="LOTE 2"/>
    <x v="0"/>
    <x v="22"/>
    <x v="5"/>
    <x v="0"/>
    <s v="CORREGIMIENTO BUENOS AIRES 1"/>
    <n v="50511150331"/>
    <s v="IGLESIA CATOLICA BUENOS AIRES 1"/>
    <n v="1"/>
    <n v="5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109009650"/>
    <n v="0.02"/>
    <n v="2180193"/>
    <m/>
    <n v="23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17"/>
  </r>
  <r>
    <x v="25"/>
    <s v="LOTE 2"/>
    <x v="0"/>
    <x v="22"/>
    <x v="5"/>
    <x v="0"/>
    <s v="VEREDA EL VOLCANCITO"/>
    <n v="50511150332"/>
    <s v="CASA COMUNAL VOLCANCITO"/>
    <n v="1"/>
    <n v="16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34883088"/>
    <n v="0.02"/>
    <n v="697661.76"/>
    <m/>
    <n v="2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17"/>
  </r>
  <r>
    <x v="25"/>
    <s v="LOTE 2"/>
    <x v="0"/>
    <x v="22"/>
    <x v="5"/>
    <x v="0"/>
    <s v="VEREDA PLATAS DEL MEDIO"/>
    <n v="50511150333"/>
    <s v="IER PLATAS DEL MEDIO"/>
    <n v="1"/>
    <n v="17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37063281"/>
    <n v="0.02"/>
    <n v="741265.62"/>
    <m/>
    <n v="25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17"/>
  </r>
  <r>
    <x v="25"/>
    <s v="LOTE 2"/>
    <x v="0"/>
    <x v="22"/>
    <x v="5"/>
    <x v="0"/>
    <s v="VEREDA LA ARENOSA"/>
    <n v="50511150335"/>
    <s v="CASA FAMILIAR LA ARENOSA"/>
    <n v="1"/>
    <n v="2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43603860"/>
    <n v="0.02"/>
    <n v="872077.20000000007"/>
    <m/>
    <n v="26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17"/>
  </r>
  <r>
    <x v="25"/>
    <s v="LOTE 2"/>
    <x v="0"/>
    <x v="22"/>
    <x v="5"/>
    <x v="0"/>
    <s v="VEREDA BAJO LA ARENOSA - KILOMETRO 21"/>
    <n v="50511150336"/>
    <s v="CER INDIGENA BAJO LA ARENOSA"/>
    <n v="1"/>
    <n v="3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65405790"/>
    <n v="0.02"/>
    <n v="1308115.8"/>
    <m/>
    <n v="27"/>
    <n v="65405790"/>
    <n v="66713905.799999997"/>
    <s v=" "/>
    <m/>
    <m/>
    <m/>
    <n v="1481280"/>
    <n v="1230870"/>
    <n v="873000"/>
    <n v="61820640"/>
    <m/>
    <n v="65405790"/>
    <s v=" "/>
    <n v="10081860"/>
    <n v="7727580"/>
    <n v="7727580"/>
    <n v="7727580"/>
    <n v="7727580"/>
    <n v="7727580"/>
    <n v="7727580"/>
    <n v="8958450"/>
    <n v="65405790"/>
    <n v="43291920"/>
    <s v="CONTRATO ADICIONAL POR ALIMENTACION"/>
    <b v="1"/>
    <n v="0"/>
    <b v="1"/>
    <n v="0"/>
    <x v="1"/>
    <n v="1917"/>
  </r>
  <r>
    <x v="25"/>
    <s v="LOTE 2"/>
    <x v="0"/>
    <x v="22"/>
    <x v="5"/>
    <x v="0"/>
    <s v="VEREDA LA BARRANCUDA"/>
    <n v="50511152983"/>
    <s v="CER LA BARRANCUDA"/>
    <n v="1"/>
    <n v="19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41423667"/>
    <n v="0.02"/>
    <n v="828473.34"/>
    <m/>
    <n v="28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1917"/>
  </r>
  <r>
    <x v="25"/>
    <s v="LOTE 2"/>
    <x v="0"/>
    <x v="22"/>
    <x v="9"/>
    <x v="0"/>
    <s v="CL 2 0 0 BARRIO SAN ISIDRO"/>
    <n v="505100071727"/>
    <s v="HOGAR INFANTIL MI BOTECITO"/>
    <n v="1"/>
    <n v="99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292713894"/>
    <n v="0.02"/>
    <n v="5854277.8799999999"/>
    <m/>
    <n v="29"/>
    <n v="292713894"/>
    <n v="298568171.88"/>
    <s v=" "/>
    <m/>
    <m/>
    <m/>
    <n v="8726157"/>
    <n v="7429257"/>
    <n v="0"/>
    <n v="276558480"/>
    <m/>
    <n v="292713894"/>
    <s v=" "/>
    <n v="43295967"/>
    <n v="34569810"/>
    <n v="34569810"/>
    <n v="34569810"/>
    <n v="34569810"/>
    <n v="34569810"/>
    <n v="34569810"/>
    <n v="41999067"/>
    <n v="292713894"/>
    <n v="121982256"/>
    <s v="CONTRATO ADICIONAL POR ALIMENTACION"/>
    <b v="1"/>
    <n v="0"/>
    <b v="1"/>
    <n v="0"/>
    <x v="1"/>
    <n v="1917"/>
  </r>
  <r>
    <x v="25"/>
    <s v="LOTE 2"/>
    <x v="0"/>
    <x v="22"/>
    <x v="5"/>
    <x v="0"/>
    <s v="VEREDA PUEBLO CHINO"/>
    <n v="505100103041"/>
    <s v="CASA COMUNAL PUEBLO CHINO"/>
    <n v="1"/>
    <n v="2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43603860"/>
    <n v="0.02"/>
    <n v="872077.20000000007"/>
    <m/>
    <n v="30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17"/>
  </r>
  <r>
    <x v="25"/>
    <s v="LOTE 2"/>
    <x v="0"/>
    <x v="22"/>
    <x v="5"/>
    <x v="0"/>
    <s v="VEREDA CRUZ DEL GUAYABO"/>
    <n v="505100103044"/>
    <s v="C COMUNAL CRUZ DEL GUAYABO"/>
    <n v="1"/>
    <n v="20"/>
    <m/>
    <n v="1917"/>
    <s v="ARTÍCULO 34 CONTRATACIÓN CON EL REGISTRO ÚNICO DE OFERENTES"/>
    <m/>
    <m/>
    <x v="0"/>
    <x v="0"/>
    <x v="22"/>
    <x v="21"/>
    <n v="229096"/>
    <n v="15355"/>
    <n v="87725"/>
    <s v=" "/>
    <s v=" "/>
    <m/>
    <n v="43603860"/>
    <n v="0.02"/>
    <n v="872077.20000000007"/>
    <m/>
    <n v="31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17"/>
  </r>
  <r>
    <x v="26"/>
    <s v="LOTE 2"/>
    <x v="9"/>
    <x v="23"/>
    <x v="1"/>
    <x v="0"/>
    <s v="VEREDA LA HERRADURA"/>
    <n v="50591136265"/>
    <s v="C COMUNAL CORAZONES UNIDO"/>
    <n v="1"/>
    <n v="23"/>
    <m/>
    <n v="1919"/>
    <s v="ARTÍCULO 34 CONTRATACIÓN CON EL REGISTRO ÚNICO DE OFERENTES"/>
    <m/>
    <m/>
    <x v="0"/>
    <x v="0"/>
    <x v="23"/>
    <x v="22"/>
    <n v="229097"/>
    <n v="15190"/>
    <n v="82525"/>
    <n v="10"/>
    <n v="186"/>
    <m/>
    <n v="34944015"/>
    <n v="0.02"/>
    <n v="698880.3"/>
    <m/>
    <n v="1"/>
    <n v="34944015"/>
    <n v="35642895.299999997"/>
    <n v="282590730"/>
    <n v="5651815"/>
    <n v="288242545"/>
    <n v="198.51825079030559"/>
    <n v="1075112"/>
    <n v="870343"/>
    <n v="0"/>
    <n v="32998560"/>
    <m/>
    <n v="34944015"/>
    <n v="282590730"/>
    <n v="5199932"/>
    <n v="4124820"/>
    <n v="4124820"/>
    <n v="4124820"/>
    <n v="4124820"/>
    <n v="4124820"/>
    <n v="4124820"/>
    <n v="4995163"/>
    <n v="34944015"/>
    <n v="34651064"/>
    <s v="CONTRATO ADICIONAL POR ALIMENTACION"/>
    <b v="1"/>
    <n v="0"/>
    <b v="1"/>
    <n v="0"/>
    <x v="1"/>
    <n v="1919"/>
  </r>
  <r>
    <x v="26"/>
    <s v="LOTE 2"/>
    <x v="9"/>
    <x v="23"/>
    <x v="1"/>
    <x v="0"/>
    <s v="VEREDA LA QUIEBRA - CERCA A LA ESCUELA"/>
    <n v="50591152085"/>
    <s v="C COMUNAL LA QUIEBRA ARMENIA"/>
    <n v="1"/>
    <n v="10"/>
    <m/>
    <n v="1919"/>
    <s v="ARTÍCULO 34 CONTRATACIÓN CON EL REGISTRO ÚNICO DE OFERENTES"/>
    <m/>
    <m/>
    <x v="0"/>
    <x v="0"/>
    <x v="23"/>
    <x v="22"/>
    <n v="229097"/>
    <n v="15190"/>
    <n v="82525"/>
    <s v=" "/>
    <s v=" "/>
    <m/>
    <n v="15193050"/>
    <n v="0.02"/>
    <n v="303861"/>
    <m/>
    <n v="2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O ADICIONAL POR ALIMENTACION"/>
    <b v="1"/>
    <n v="0"/>
    <b v="1"/>
    <n v="0"/>
    <x v="1"/>
    <n v="1919"/>
  </r>
  <r>
    <x v="26"/>
    <s v="LOTE 2"/>
    <x v="9"/>
    <x v="23"/>
    <x v="1"/>
    <x v="0"/>
    <s v="CL 10 A 9 20"/>
    <n v="505900099526"/>
    <s v="CASA CULTURAL"/>
    <n v="1"/>
    <n v="63"/>
    <m/>
    <n v="1919"/>
    <s v="ARTÍCULO 34 CONTRATACIÓN CON EL REGISTRO ÚNICO DE OFERENTES"/>
    <m/>
    <m/>
    <x v="0"/>
    <x v="0"/>
    <x v="23"/>
    <x v="22"/>
    <n v="229097"/>
    <n v="15190"/>
    <n v="82525"/>
    <s v=" "/>
    <s v=" "/>
    <m/>
    <n v="95716215"/>
    <n v="0.02"/>
    <n v="1914324.3"/>
    <m/>
    <n v="3"/>
    <n v="95716215"/>
    <n v="97630539.299999997"/>
    <s v=" "/>
    <m/>
    <m/>
    <m/>
    <n v="2944872"/>
    <n v="2383983"/>
    <n v="0"/>
    <n v="90387360"/>
    <m/>
    <n v="95716215"/>
    <s v=" "/>
    <n v="14243292"/>
    <n v="11298420"/>
    <n v="11298420"/>
    <n v="11298420"/>
    <n v="11298420"/>
    <n v="11298420"/>
    <n v="11298420"/>
    <n v="13682403"/>
    <n v="95716215"/>
    <n v="94913784"/>
    <s v="CONTRATO ADICIONAL POR ALIMENTACION"/>
    <b v="1"/>
    <n v="0"/>
    <b v="1"/>
    <n v="0"/>
    <x v="1"/>
    <n v="1919"/>
  </r>
  <r>
    <x v="26"/>
    <s v="LOTE 2"/>
    <x v="9"/>
    <x v="24"/>
    <x v="1"/>
    <x v="0"/>
    <s v="CORREGIMIENTO LA ALBANIA"/>
    <n v="58091136200"/>
    <s v="IE CARACOLES DE COLORES"/>
    <n v="1"/>
    <n v="15"/>
    <m/>
    <n v="1919"/>
    <s v="ARTÍCULO 34 CONTRATACIÓN CON EL REGISTRO ÚNICO DE OFERENTES"/>
    <m/>
    <m/>
    <x v="0"/>
    <x v="0"/>
    <x v="23"/>
    <x v="22"/>
    <n v="229097"/>
    <n v="15190"/>
    <n v="82525"/>
    <s v=" "/>
    <s v=" "/>
    <m/>
    <n v="22789575"/>
    <n v="0.02"/>
    <n v="455791.5"/>
    <m/>
    <n v="4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O ADICIONAL POR ALIMENTACION"/>
    <b v="1"/>
    <n v="0"/>
    <b v="1"/>
    <n v="0"/>
    <x v="1"/>
    <n v="1919"/>
  </r>
  <r>
    <x v="26"/>
    <s v="LOTE 2"/>
    <x v="9"/>
    <x v="24"/>
    <x v="1"/>
    <x v="0"/>
    <s v="VEREDA PORVENIR"/>
    <n v="58091136201"/>
    <s v="CASA EL PORVENIR LOS ANGELITOS"/>
    <n v="1"/>
    <n v="8"/>
    <m/>
    <n v="1919"/>
    <s v="ARTÍCULO 34 CONTRATACIÓN CON EL REGISTRO ÚNICO DE OFERENTES"/>
    <m/>
    <m/>
    <x v="0"/>
    <x v="0"/>
    <x v="23"/>
    <x v="22"/>
    <n v="229097"/>
    <n v="15190"/>
    <n v="82525"/>
    <s v=" "/>
    <s v=" "/>
    <m/>
    <n v="12154440"/>
    <n v="0.02"/>
    <n v="243088.80000000002"/>
    <m/>
    <n v="5"/>
    <n v="12154440"/>
    <n v="12397528.800000001"/>
    <s v=" "/>
    <m/>
    <m/>
    <m/>
    <n v="373952"/>
    <n v="302728"/>
    <n v="0"/>
    <n v="11477760"/>
    <m/>
    <n v="12154440"/>
    <s v=" "/>
    <n v="1808672"/>
    <n v="1434720"/>
    <n v="1434720"/>
    <n v="1434720"/>
    <n v="1434720"/>
    <n v="1434720"/>
    <n v="1434720"/>
    <n v="1737448"/>
    <n v="12154440"/>
    <n v="12052544"/>
    <s v="CONTRATO ADICIONAL POR ALIMENTACION"/>
    <b v="1"/>
    <n v="0"/>
    <b v="1"/>
    <n v="0"/>
    <x v="1"/>
    <n v="1919"/>
  </r>
  <r>
    <x v="26"/>
    <s v="LOTE 2"/>
    <x v="9"/>
    <x v="24"/>
    <x v="1"/>
    <x v="0"/>
    <s v="VEREDA CORCOVADO"/>
    <n v="58091136203"/>
    <s v="CER CORCOVADO CONSTRUYENDO SONRISAS"/>
    <n v="1"/>
    <n v="12"/>
    <m/>
    <n v="1919"/>
    <s v="ARTÍCULO 34 CONTRATACIÓN CON EL REGISTRO ÚNICO DE OFERENTES"/>
    <m/>
    <m/>
    <x v="0"/>
    <x v="0"/>
    <x v="23"/>
    <x v="22"/>
    <n v="229097"/>
    <n v="15190"/>
    <n v="82525"/>
    <s v=" "/>
    <s v=" "/>
    <m/>
    <n v="18231660"/>
    <n v="0.02"/>
    <n v="364633.2"/>
    <m/>
    <n v="6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19"/>
  </r>
  <r>
    <x v="26"/>
    <s v="LOTE 2"/>
    <x v="9"/>
    <x v="24"/>
    <x v="1"/>
    <x v="0"/>
    <s v="CORREGIMIENTO SITIO VIEJO"/>
    <n v="58091136204"/>
    <s v="CER SITIO VIEJO SEMILLAS DE AMOR"/>
    <n v="1"/>
    <n v="18"/>
    <m/>
    <n v="1919"/>
    <s v="ARTÍCULO 34 CONTRATACIÓN CON EL REGISTRO ÚNICO DE OFERENTES"/>
    <m/>
    <m/>
    <x v="0"/>
    <x v="0"/>
    <x v="23"/>
    <x v="22"/>
    <n v="229097"/>
    <n v="15190"/>
    <n v="82525"/>
    <s v=" "/>
    <s v=" "/>
    <m/>
    <n v="27347490"/>
    <n v="0.02"/>
    <n v="546949.80000000005"/>
    <m/>
    <n v="7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19"/>
  </r>
  <r>
    <x v="26"/>
    <s v="LOTE 2"/>
    <x v="9"/>
    <x v="24"/>
    <x v="1"/>
    <x v="0"/>
    <s v="VEREDA PUERTO ESCONDIDO"/>
    <n v="58091136208"/>
    <s v="CASA PUERTO UNIDOS POR UNA CAUSA"/>
    <n v="1"/>
    <n v="13"/>
    <m/>
    <n v="1919"/>
    <s v="ARTÍCULO 34 CONTRATACIÓN CON EL REGISTRO ÚNICO DE OFERENTES"/>
    <m/>
    <m/>
    <x v="0"/>
    <x v="0"/>
    <x v="23"/>
    <x v="22"/>
    <n v="229097"/>
    <n v="15190"/>
    <n v="82525"/>
    <s v=" "/>
    <s v=" "/>
    <m/>
    <n v="19750965"/>
    <n v="0.02"/>
    <n v="395019.3"/>
    <m/>
    <n v="8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19"/>
  </r>
  <r>
    <x v="26"/>
    <s v="LOTE 2"/>
    <x v="9"/>
    <x v="24"/>
    <x v="1"/>
    <x v="0"/>
    <s v="VEREDA EL VOLCÁN"/>
    <n v="58091148658"/>
    <s v="CER VOLCANCITOS"/>
    <n v="1"/>
    <n v="10"/>
    <m/>
    <n v="1919"/>
    <s v="ARTÍCULO 34 CONTRATACIÓN CON EL REGISTRO ÚNICO DE OFERENTES"/>
    <m/>
    <m/>
    <x v="0"/>
    <x v="0"/>
    <x v="23"/>
    <x v="22"/>
    <n v="229097"/>
    <n v="15190"/>
    <n v="82525"/>
    <s v=" "/>
    <s v=" "/>
    <m/>
    <n v="15193050"/>
    <n v="0.02"/>
    <n v="303861"/>
    <m/>
    <n v="9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O ADICIONAL POR ALIMENTACION"/>
    <b v="1"/>
    <n v="0"/>
    <b v="1"/>
    <n v="0"/>
    <x v="1"/>
    <n v="1919"/>
  </r>
  <r>
    <x v="26"/>
    <s v="LOTE 2"/>
    <x v="9"/>
    <x v="24"/>
    <x v="1"/>
    <x v="0"/>
    <s v="VEREDA LOS MICOS"/>
    <n v="58091153056"/>
    <s v="CASA MALECON DE LOS SUEÑOS"/>
    <n v="1"/>
    <n v="14"/>
    <m/>
    <n v="1919"/>
    <s v="ARTÍCULO 34 CONTRATACIÓN CON EL REGISTRO ÚNICO DE OFERENTES"/>
    <m/>
    <m/>
    <x v="0"/>
    <x v="0"/>
    <x v="23"/>
    <x v="22"/>
    <n v="229097"/>
    <n v="15190"/>
    <n v="82525"/>
    <s v=" "/>
    <s v=" "/>
    <m/>
    <n v="21270270"/>
    <n v="0.02"/>
    <n v="425405.4"/>
    <m/>
    <n v="10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919"/>
  </r>
  <r>
    <x v="27"/>
    <s v="LOTE 2"/>
    <x v="1"/>
    <x v="25"/>
    <x v="1"/>
    <x v="0"/>
    <s v="VEREDA YARUMITO"/>
    <n v="50791114907"/>
    <s v="C COMUNAL YARUMITO"/>
    <n v="1"/>
    <n v="36"/>
    <m/>
    <n v="1920"/>
    <s v="ARTÍCULO 34 CONTRATACIÓN CON EL REGISTRO ÚNICO DE OFERENTES"/>
    <m/>
    <m/>
    <x v="0"/>
    <x v="0"/>
    <x v="15"/>
    <x v="14"/>
    <n v="229098"/>
    <n v="15185"/>
    <n v="91725"/>
    <n v="20"/>
    <n v="508"/>
    <m/>
    <n v="54694980"/>
    <n v="0.02"/>
    <n v="1093899.6000000001"/>
    <m/>
    <n v="1"/>
    <n v="54694980"/>
    <n v="55788879.600000001"/>
    <n v="771806940"/>
    <n v="15436139"/>
    <n v="787243079"/>
    <n v="542.18963119072703"/>
    <n v="1682784"/>
    <n v="1362276"/>
    <n v="0"/>
    <n v="51649920"/>
    <m/>
    <n v="54694980"/>
    <n v="771806940"/>
    <n v="8139024"/>
    <n v="6456240"/>
    <n v="6456240"/>
    <n v="6456240"/>
    <n v="6456240"/>
    <n v="6456240"/>
    <n v="6456240"/>
    <n v="7818516"/>
    <n v="54694980"/>
    <n v="54236448"/>
    <s v="CONTRATO ADICIONAL POR ALIMENTACION"/>
    <b v="1"/>
    <n v="0"/>
    <b v="1"/>
    <n v="0"/>
    <x v="1"/>
    <n v="1920"/>
  </r>
  <r>
    <x v="27"/>
    <s v="LOTE 2"/>
    <x v="1"/>
    <x v="25"/>
    <x v="1"/>
    <x v="0"/>
    <s v="VEREDA FILO VERDE"/>
    <n v="50791114912"/>
    <s v="CASETA COMUNAL FILO VERDE"/>
    <n v="1"/>
    <n v="22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33424710"/>
    <n v="0.02"/>
    <n v="668494.20000000007"/>
    <m/>
    <n v="2"/>
    <n v="33424710"/>
    <n v="34093204.200000003"/>
    <s v=" "/>
    <m/>
    <m/>
    <m/>
    <n v="1028368"/>
    <n v="832502"/>
    <n v="0"/>
    <n v="31563840"/>
    <m/>
    <n v="33424710"/>
    <s v=" "/>
    <n v="4973848"/>
    <n v="3945480"/>
    <n v="3945480"/>
    <n v="3945480"/>
    <n v="3945480"/>
    <n v="3945480"/>
    <n v="3945480"/>
    <n v="4777982"/>
    <n v="33424710"/>
    <n v="33144496"/>
    <s v="CONTRATO ADICIONAL POR ALIMENTACION"/>
    <b v="1"/>
    <n v="0"/>
    <b v="1"/>
    <n v="0"/>
    <x v="1"/>
    <n v="1920"/>
  </r>
  <r>
    <x v="27"/>
    <s v="LOTE 2"/>
    <x v="1"/>
    <x v="25"/>
    <x v="1"/>
    <x v="0"/>
    <s v="VEREDA GUAYABAL"/>
    <n v="50791114914"/>
    <s v="CER GUAYABAL_BARBOSA"/>
    <n v="1"/>
    <n v="8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12154440"/>
    <n v="0.02"/>
    <n v="243088.80000000002"/>
    <m/>
    <n v="3"/>
    <n v="12154440"/>
    <n v="12397528.800000001"/>
    <s v=" "/>
    <m/>
    <m/>
    <m/>
    <n v="373952"/>
    <n v="302728"/>
    <n v="0"/>
    <n v="11477760"/>
    <m/>
    <n v="12154440"/>
    <s v=" "/>
    <n v="1808672"/>
    <n v="1434720"/>
    <n v="1434720"/>
    <n v="1434720"/>
    <n v="1434720"/>
    <n v="1434720"/>
    <n v="1434720"/>
    <n v="1737448"/>
    <n v="12154440"/>
    <n v="12052544"/>
    <s v="CONTRATO ADICIONAL POR ALIMENTACION"/>
    <b v="1"/>
    <n v="0"/>
    <b v="1"/>
    <n v="0"/>
    <x v="1"/>
    <n v="1920"/>
  </r>
  <r>
    <x v="27"/>
    <s v="LOTE 2"/>
    <x v="1"/>
    <x v="25"/>
    <x v="1"/>
    <x v="0"/>
    <s v="VEREDA PANTANILLO"/>
    <n v="50791136523"/>
    <s v="CER PANTANILLO_BARBOSA"/>
    <n v="1"/>
    <n v="17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25828185"/>
    <n v="0.02"/>
    <n v="516563.7"/>
    <m/>
    <n v="4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20"/>
  </r>
  <r>
    <x v="27"/>
    <s v="LOTE 2"/>
    <x v="1"/>
    <x v="25"/>
    <x v="1"/>
    <x v="0"/>
    <s v="VEREDA LA PRIMAVERA"/>
    <n v="50791136544"/>
    <s v="C COMUNAL LA PRIMAVERA_BARBOSA"/>
    <n v="1"/>
    <n v="34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51656370"/>
    <n v="0.02"/>
    <n v="1033127.4"/>
    <m/>
    <n v="5"/>
    <n v="51656370"/>
    <n v="52689497.399999999"/>
    <s v=" "/>
    <m/>
    <m/>
    <m/>
    <n v="1589296"/>
    <n v="1286594"/>
    <n v="0"/>
    <n v="48780480"/>
    <m/>
    <n v="51656370"/>
    <s v=" "/>
    <n v="7686856"/>
    <n v="6097560"/>
    <n v="6097560"/>
    <n v="6097560"/>
    <n v="6097560"/>
    <n v="6097560"/>
    <n v="6097560"/>
    <n v="7384154"/>
    <n v="51656370"/>
    <n v="51223312"/>
    <s v="CONTRATO ADICIONAL POR ALIMENTACION"/>
    <b v="1"/>
    <n v="0"/>
    <b v="1"/>
    <n v="0"/>
    <x v="1"/>
    <n v="1920"/>
  </r>
  <r>
    <x v="27"/>
    <s v="LOTE 2"/>
    <x v="1"/>
    <x v="25"/>
    <x v="1"/>
    <x v="0"/>
    <s v="VEREDA LA LOMITA 2"/>
    <n v="50791136548"/>
    <s v="CASETA COMUNAL LA LOMITA 2"/>
    <n v="1"/>
    <n v="20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30386100"/>
    <n v="0.02"/>
    <n v="607722"/>
    <m/>
    <n v="6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920"/>
  </r>
  <r>
    <x v="27"/>
    <s v="LOTE 2"/>
    <x v="1"/>
    <x v="25"/>
    <x v="1"/>
    <x v="0"/>
    <s v="VEREDA LA TOLDA"/>
    <n v="50791136560"/>
    <s v="CER LA CRUZ"/>
    <n v="1"/>
    <n v="18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27347490"/>
    <n v="0.02"/>
    <n v="546949.80000000005"/>
    <m/>
    <n v="7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20"/>
  </r>
  <r>
    <x v="27"/>
    <s v="LOTE 2"/>
    <x v="1"/>
    <x v="25"/>
    <x v="1"/>
    <x v="0"/>
    <s v="VEREDA LA HERRADURA"/>
    <n v="50791136563"/>
    <s v="CER HERRADURA"/>
    <n v="1"/>
    <n v="16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24308880"/>
    <n v="0.02"/>
    <n v="486177.60000000003"/>
    <m/>
    <n v="8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20"/>
  </r>
  <r>
    <x v="27"/>
    <s v="LOTE 2"/>
    <x v="1"/>
    <x v="25"/>
    <x v="1"/>
    <x v="0"/>
    <s v="VEREDA LA CHORRERA"/>
    <n v="50791136565"/>
    <s v="CASETA COMUNAL LA CHORRERA "/>
    <n v="1"/>
    <n v="11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16712355"/>
    <n v="0.02"/>
    <n v="334247.10000000003"/>
    <m/>
    <n v="9"/>
    <n v="16712355"/>
    <n v="17046602.100000001"/>
    <s v=" "/>
    <m/>
    <m/>
    <m/>
    <n v="514184"/>
    <n v="416251"/>
    <n v="0"/>
    <n v="15781920"/>
    <m/>
    <n v="16712355"/>
    <s v=" "/>
    <n v="2486924"/>
    <n v="1972740"/>
    <n v="1972740"/>
    <n v="1972740"/>
    <n v="1972740"/>
    <n v="1972740"/>
    <n v="1972740"/>
    <n v="2388991"/>
    <n v="16712355"/>
    <n v="16572248"/>
    <s v="CONTRATO ADICIONAL POR ALIMENTACION"/>
    <b v="1"/>
    <n v="0"/>
    <b v="1"/>
    <n v="0"/>
    <x v="1"/>
    <n v="1920"/>
  </r>
  <r>
    <x v="27"/>
    <s v="LOTE 2"/>
    <x v="1"/>
    <x v="25"/>
    <x v="1"/>
    <x v="0"/>
    <s v="CORREGIMIENTO HATILLO"/>
    <n v="50791136639"/>
    <s v="CASETA COMUNAL HATILLO"/>
    <n v="1"/>
    <n v="18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27347490"/>
    <n v="0.02"/>
    <n v="546949.80000000005"/>
    <m/>
    <n v="10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20"/>
  </r>
  <r>
    <x v="27"/>
    <s v="LOTE 2"/>
    <x v="1"/>
    <x v="25"/>
    <x v="1"/>
    <x v="0"/>
    <s v="VEREDA CORRIENTES"/>
    <n v="50791143601"/>
    <s v="CER ISAZA"/>
    <n v="1"/>
    <n v="17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25828185"/>
    <n v="0.02"/>
    <n v="516563.7"/>
    <m/>
    <n v="11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20"/>
  </r>
  <r>
    <x v="27"/>
    <s v="LOTE 2"/>
    <x v="1"/>
    <x v="25"/>
    <x v="1"/>
    <x v="0"/>
    <s v="VEREDA EL TIGRE"/>
    <n v="50791143605"/>
    <s v="C COMUNAL EL TIGRE "/>
    <n v="1"/>
    <n v="11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16712355"/>
    <n v="0.02"/>
    <n v="334247.10000000003"/>
    <m/>
    <n v="12"/>
    <n v="16712355"/>
    <n v="17046602.100000001"/>
    <s v=" "/>
    <m/>
    <m/>
    <m/>
    <n v="514184"/>
    <n v="416251"/>
    <n v="0"/>
    <n v="15781920"/>
    <m/>
    <n v="16712355"/>
    <s v=" "/>
    <n v="2486924"/>
    <n v="1972740"/>
    <n v="1972740"/>
    <n v="1972740"/>
    <n v="1972740"/>
    <n v="1972740"/>
    <n v="1972740"/>
    <n v="2388991"/>
    <n v="16712355"/>
    <n v="16572248"/>
    <s v="CONTRATO ADICIONAL POR ALIMENTACION"/>
    <b v="1"/>
    <n v="0"/>
    <b v="1"/>
    <n v="0"/>
    <x v="1"/>
    <n v="1920"/>
  </r>
  <r>
    <x v="27"/>
    <s v="LOTE 2"/>
    <x v="1"/>
    <x v="25"/>
    <x v="1"/>
    <x v="0"/>
    <s v="VEREDA PLATANITO"/>
    <n v="50791143606"/>
    <s v="CASETA COMUNAL PLATANITO"/>
    <n v="1"/>
    <n v="17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25828185"/>
    <n v="0.02"/>
    <n v="516563.7"/>
    <m/>
    <n v="13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20"/>
  </r>
  <r>
    <x v="27"/>
    <s v="LOTE 2"/>
    <x v="1"/>
    <x v="25"/>
    <x v="1"/>
    <x v="0"/>
    <s v="VEREDA LA AGUADA"/>
    <n v="50791143642"/>
    <s v="CER LA AGUADA"/>
    <n v="1"/>
    <n v="14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21270270"/>
    <n v="0.02"/>
    <n v="425405.4"/>
    <m/>
    <n v="14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920"/>
  </r>
  <r>
    <x v="27"/>
    <s v="LOTE 2"/>
    <x v="1"/>
    <x v="25"/>
    <x v="1"/>
    <x v="0"/>
    <s v="KR 16 20 C 14"/>
    <n v="50791151116"/>
    <s v="HOGAR JUVENIL CAMPESINO"/>
    <n v="1"/>
    <n v="40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60772200"/>
    <n v="0.02"/>
    <n v="1215444"/>
    <m/>
    <n v="15"/>
    <n v="60772200"/>
    <n v="61987644"/>
    <s v=" "/>
    <m/>
    <m/>
    <m/>
    <n v="1869760"/>
    <n v="1513640"/>
    <n v="0"/>
    <n v="57388800"/>
    <m/>
    <n v="60772200"/>
    <s v=" "/>
    <n v="9043360"/>
    <n v="7173600"/>
    <n v="7173600"/>
    <n v="7173600"/>
    <n v="7173600"/>
    <n v="7173600"/>
    <n v="7173600"/>
    <n v="8687240"/>
    <n v="60772200"/>
    <n v="60262720"/>
    <s v="CONTRATO ADICIONAL POR ALIMENTACION"/>
    <b v="1"/>
    <n v="0"/>
    <b v="1"/>
    <n v="0"/>
    <x v="1"/>
    <n v="1920"/>
  </r>
  <r>
    <x v="27"/>
    <s v="LOTE 2"/>
    <x v="1"/>
    <x v="25"/>
    <x v="1"/>
    <x v="0"/>
    <s v="VEREDA LA GÓMEZ VIA QUE CONDUCE A LA VEREDA LA TOLDA"/>
    <n v="50791152903"/>
    <s v="SALON COMUNAL PORVENIR BARBOSA"/>
    <n v="1"/>
    <n v="13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19750965"/>
    <n v="0.02"/>
    <n v="395019.3"/>
    <m/>
    <n v="16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20"/>
  </r>
  <r>
    <x v="27"/>
    <s v="LOTE 2"/>
    <x v="1"/>
    <x v="25"/>
    <x v="1"/>
    <x v="0"/>
    <s v="VEREDA MONTAÑITA"/>
    <n v="50791155792"/>
    <s v="TALLER CREATIVO"/>
    <n v="1"/>
    <n v="50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75965250"/>
    <n v="0.02"/>
    <n v="1519305"/>
    <m/>
    <n v="17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20"/>
  </r>
  <r>
    <x v="27"/>
    <s v="LOTE 2"/>
    <x v="1"/>
    <x v="25"/>
    <x v="1"/>
    <x v="0"/>
    <s v="VEREDA PLATANITO"/>
    <n v="50791155793"/>
    <s v="NIÑOS DEL FUTURO"/>
    <n v="1"/>
    <n v="50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75965250"/>
    <n v="0.02"/>
    <n v="1519305"/>
    <m/>
    <n v="18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20"/>
  </r>
  <r>
    <x v="27"/>
    <s v="LOTE 2"/>
    <x v="1"/>
    <x v="25"/>
    <x v="1"/>
    <x v="0"/>
    <s v="VEREDA EL TABLAZO"/>
    <n v="50791155794"/>
    <s v="ARCOIRIS DE COLORES"/>
    <n v="1"/>
    <n v="46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69888030"/>
    <n v="0.02"/>
    <n v="1397760.6"/>
    <m/>
    <n v="19"/>
    <n v="69888030"/>
    <n v="71285790.599999994"/>
    <s v=" "/>
    <m/>
    <m/>
    <m/>
    <n v="2150224"/>
    <n v="1740686"/>
    <n v="0"/>
    <n v="65997120"/>
    <m/>
    <n v="69888030"/>
    <s v=" "/>
    <n v="10399864"/>
    <n v="8249640"/>
    <n v="8249640"/>
    <n v="8249640"/>
    <n v="8249640"/>
    <n v="8249640"/>
    <n v="8249640"/>
    <n v="9990326"/>
    <n v="69888030"/>
    <n v="69302128"/>
    <s v="CONTRATO ADICIONAL POR ALIMENTACION"/>
    <b v="1"/>
    <n v="0"/>
    <b v="1"/>
    <n v="0"/>
    <x v="1"/>
    <n v="1920"/>
  </r>
  <r>
    <x v="27"/>
    <s v="LOTE 2"/>
    <x v="1"/>
    <x v="25"/>
    <x v="1"/>
    <x v="0"/>
    <s v="KR 14 132 0"/>
    <n v="50791155795"/>
    <s v="MUNDO DE AVENTURAS"/>
    <n v="1"/>
    <n v="50"/>
    <m/>
    <n v="1920"/>
    <s v="ARTÍCULO 34 CONTRATACIÓN CON EL REGISTRO ÚNICO DE OFERENTES"/>
    <m/>
    <m/>
    <x v="0"/>
    <x v="0"/>
    <x v="15"/>
    <x v="14"/>
    <n v="229098"/>
    <n v="15185"/>
    <n v="91725"/>
    <s v=" "/>
    <s v=" "/>
    <m/>
    <n v="75965250"/>
    <n v="0.02"/>
    <n v="1519305"/>
    <m/>
    <n v="20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20"/>
  </r>
  <r>
    <x v="28"/>
    <s v="LOTE 2"/>
    <x v="11"/>
    <x v="26"/>
    <x v="5"/>
    <x v="0"/>
    <s v="VEREDA RIO MAN"/>
    <n v="51201114784"/>
    <s v="C COMUNAL RIOMAN CORAZONESTIERNOS"/>
    <n v="1"/>
    <n v="18"/>
    <m/>
    <n v="1925"/>
    <s v="ARTÍCULO 34 CONTRATACIÓN CON EL REGISTRO ÚNICO DE OFERENTES"/>
    <m/>
    <m/>
    <x v="0"/>
    <x v="0"/>
    <x v="24"/>
    <x v="23"/>
    <n v="229185"/>
    <n v="16472"/>
    <n v="95525"/>
    <n v="8"/>
    <n v="444"/>
    <m/>
    <n v="39243474"/>
    <n v="0.02"/>
    <n v="784869.48"/>
    <m/>
    <n v="1"/>
    <n v="39243474"/>
    <n v="40028343.479999997"/>
    <n v="1277684193"/>
    <n v="25553684"/>
    <n v="1303237877"/>
    <n v="897.56529188619595"/>
    <n v="888768"/>
    <n v="738522"/>
    <n v="523800"/>
    <n v="37092384"/>
    <m/>
    <n v="39243474"/>
    <n v="1277684193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2"/>
    <n v="1925"/>
  </r>
  <r>
    <x v="28"/>
    <s v="LOTE 2"/>
    <x v="11"/>
    <x v="26"/>
    <x v="5"/>
    <x v="0"/>
    <s v="CORREGIMIENTO PUERTO BELGICA"/>
    <n v="51201135668"/>
    <s v="AULA MLTIPLE PTO BELGICA ESTRECHANDO LAZOS"/>
    <n v="1"/>
    <n v="47"/>
    <m/>
    <n v="1925"/>
    <s v="ARTÍCULO 34 CONTRATACIÓN CON EL REGISTRO ÚNICO DE OFERENTES"/>
    <m/>
    <m/>
    <x v="0"/>
    <x v="0"/>
    <x v="24"/>
    <x v="23"/>
    <n v="229185"/>
    <n v="16472"/>
    <n v="95525"/>
    <s v=" "/>
    <s v=" "/>
    <m/>
    <n v="102469071"/>
    <n v="0.02"/>
    <n v="2049381.4200000002"/>
    <m/>
    <n v="2"/>
    <n v="102469071"/>
    <n v="104518452.42"/>
    <s v=" "/>
    <m/>
    <m/>
    <m/>
    <n v="2320672"/>
    <n v="1928363"/>
    <n v="1367700"/>
    <n v="96852336"/>
    <m/>
    <n v="102469071"/>
    <s v=" "/>
    <n v="15794914"/>
    <n v="12106542"/>
    <n v="12106542"/>
    <n v="12106542"/>
    <n v="12106542"/>
    <n v="12106542"/>
    <n v="12106542"/>
    <n v="14034905"/>
    <n v="102469071"/>
    <n v="67824008"/>
    <s v="CONTRATO ADICIONAL POR ALIMENTACION"/>
    <b v="1"/>
    <n v="0"/>
    <b v="1"/>
    <n v="0"/>
    <x v="2"/>
    <n v="1925"/>
  </r>
  <r>
    <x v="28"/>
    <s v="LOTE 2"/>
    <x v="11"/>
    <x v="26"/>
    <x v="5"/>
    <x v="0"/>
    <s v="VEREDA EL JARDIN"/>
    <n v="51201148680"/>
    <s v="IE GASPAR DE RODAS"/>
    <n v="1"/>
    <n v="101"/>
    <m/>
    <n v="1925"/>
    <s v="ARTÍCULO 34 CONTRATACIÓN CON EL REGISTRO ÚNICO DE OFERENTES"/>
    <m/>
    <m/>
    <x v="0"/>
    <x v="0"/>
    <x v="24"/>
    <x v="23"/>
    <n v="229185"/>
    <n v="16472"/>
    <n v="95525"/>
    <s v=" "/>
    <s v=" "/>
    <m/>
    <n v="220199493"/>
    <n v="0.02"/>
    <n v="4403989.8600000003"/>
    <m/>
    <n v="3"/>
    <n v="220199493"/>
    <n v="224603482.86000001"/>
    <s v=" "/>
    <m/>
    <m/>
    <m/>
    <n v="4986976"/>
    <n v="4143929"/>
    <n v="2939100"/>
    <n v="208129488"/>
    <m/>
    <n v="220199493"/>
    <s v=" "/>
    <n v="33942262"/>
    <n v="26016186"/>
    <n v="26016186"/>
    <n v="26016186"/>
    <n v="26016186"/>
    <n v="26016186"/>
    <n v="26016186"/>
    <n v="30160115"/>
    <n v="220199493"/>
    <n v="145749464"/>
    <s v="CONTRATO ADICIONAL POR ALIMENTACION"/>
    <b v="1"/>
    <n v="0"/>
    <b v="1"/>
    <n v="0"/>
    <x v="2"/>
    <n v="1925"/>
  </r>
  <r>
    <x v="28"/>
    <s v="LOTE 2"/>
    <x v="11"/>
    <x v="26"/>
    <x v="5"/>
    <x v="0"/>
    <s v="EL TIGRE"/>
    <n v="51201148682"/>
    <s v="CENTRO DE SALUD EL TIGRE"/>
    <n v="1"/>
    <n v="34"/>
    <m/>
    <n v="1925"/>
    <s v="ARTÍCULO 34 CONTRATACIÓN CON EL REGISTRO ÚNICO DE OFERENTES"/>
    <m/>
    <m/>
    <x v="0"/>
    <x v="0"/>
    <x v="24"/>
    <x v="23"/>
    <n v="229185"/>
    <n v="16472"/>
    <n v="95525"/>
    <s v=" "/>
    <s v=" "/>
    <m/>
    <n v="74126562"/>
    <n v="0.02"/>
    <n v="1482531.24"/>
    <m/>
    <n v="4"/>
    <n v="74126562"/>
    <n v="75609093.239999995"/>
    <s v=" "/>
    <m/>
    <m/>
    <m/>
    <n v="1678784"/>
    <n v="1394986"/>
    <n v="989400"/>
    <n v="70063392"/>
    <m/>
    <n v="74126562"/>
    <s v=" "/>
    <n v="11426108"/>
    <n v="8757924"/>
    <n v="8757924"/>
    <n v="8757924"/>
    <n v="8757924"/>
    <n v="8757924"/>
    <n v="8757924"/>
    <n v="10152910"/>
    <n v="74126562"/>
    <n v="49064176"/>
    <s v="CONTRATO ADICIONAL POR ALIMENTACION"/>
    <b v="1"/>
    <n v="0"/>
    <b v="1"/>
    <n v="0"/>
    <x v="2"/>
    <n v="1925"/>
  </r>
  <r>
    <x v="28"/>
    <s v="LOTE 2"/>
    <x v="11"/>
    <x v="26"/>
    <x v="5"/>
    <x v="0"/>
    <s v="VEREDA ANARA"/>
    <n v="51201148683"/>
    <s v="C COMUNAL ANARÁ"/>
    <n v="1"/>
    <n v="17"/>
    <m/>
    <n v="1925"/>
    <s v="ARTÍCULO 34 CONTRATACIÓN CON EL REGISTRO ÚNICO DE OFERENTES"/>
    <m/>
    <m/>
    <x v="0"/>
    <x v="0"/>
    <x v="24"/>
    <x v="23"/>
    <n v="229185"/>
    <n v="16472"/>
    <n v="95525"/>
    <s v=" "/>
    <s v=" "/>
    <m/>
    <n v="37063281"/>
    <n v="0.02"/>
    <n v="741265.62"/>
    <m/>
    <n v="5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2"/>
    <n v="1925"/>
  </r>
  <r>
    <x v="28"/>
    <s v="LOTE 2"/>
    <x v="11"/>
    <x v="26"/>
    <x v="5"/>
    <x v="0"/>
    <s v="CORREGIMIENTO DE GUARUMO"/>
    <n v="51201151106"/>
    <s v="IE GUARUMO"/>
    <n v="1"/>
    <n v="51"/>
    <m/>
    <n v="1925"/>
    <s v="ARTÍCULO 34 CONTRATACIÓN CON EL REGISTRO ÚNICO DE OFERENTES"/>
    <m/>
    <m/>
    <x v="0"/>
    <x v="0"/>
    <x v="24"/>
    <x v="23"/>
    <n v="229185"/>
    <n v="16472"/>
    <n v="95525"/>
    <s v=" "/>
    <s v=" "/>
    <m/>
    <n v="111189843"/>
    <n v="0.02"/>
    <n v="2223796.86"/>
    <m/>
    <n v="6"/>
    <n v="111189843"/>
    <n v="113413639.86"/>
    <s v=" "/>
    <m/>
    <m/>
    <m/>
    <n v="2518176"/>
    <n v="2092479"/>
    <n v="1484100"/>
    <n v="105095088"/>
    <m/>
    <n v="111189843"/>
    <s v=" "/>
    <n v="17139162"/>
    <n v="13136886"/>
    <n v="13136886"/>
    <n v="13136886"/>
    <n v="13136886"/>
    <n v="13136886"/>
    <n v="13136886"/>
    <n v="15229365"/>
    <n v="111189843"/>
    <n v="73596264"/>
    <s v="CONTRATO ADICIONAL POR ALIMENTACION"/>
    <b v="1"/>
    <n v="0"/>
    <b v="1"/>
    <n v="0"/>
    <x v="2"/>
    <n v="1925"/>
  </r>
  <r>
    <x v="28"/>
    <s v="LOTE 2"/>
    <x v="11"/>
    <x v="26"/>
    <x v="8"/>
    <x v="0"/>
    <s v="BARRIO LA MAGDALENA - SALIDA AL TIGRE"/>
    <n v="51201151108"/>
    <s v="ANTIGUO SEMINARIO"/>
    <n v="1"/>
    <n v="33"/>
    <m/>
    <n v="1925"/>
    <s v="ARTÍCULO 34 CONTRATACIÓN CON EL REGISTRO ÚNICO DE OFERENTES"/>
    <m/>
    <m/>
    <x v="0"/>
    <x v="0"/>
    <x v="24"/>
    <x v="23"/>
    <n v="229185"/>
    <n v="16472"/>
    <n v="95525"/>
    <s v=" "/>
    <s v=" "/>
    <m/>
    <n v="74287983"/>
    <n v="0.02"/>
    <n v="1485759.66"/>
    <m/>
    <n v="7"/>
    <n v="74287983"/>
    <n v="75773742.659999996"/>
    <s v=" "/>
    <m/>
    <m/>
    <m/>
    <n v="1698279"/>
    <n v="1422828"/>
    <n v="960300"/>
    <n v="70206576"/>
    <m/>
    <n v="74287983"/>
    <s v=" "/>
    <n v="11434401"/>
    <n v="8775822"/>
    <n v="8775822"/>
    <n v="8775822"/>
    <n v="8775822"/>
    <n v="8775822"/>
    <n v="8775822"/>
    <n v="10198650"/>
    <n v="74287983"/>
    <n v="47621112"/>
    <s v="CONTRATO ADICIONAL POR ALIMENTACION"/>
    <b v="1"/>
    <n v="0"/>
    <b v="1"/>
    <n v="0"/>
    <x v="2"/>
    <n v="1925"/>
  </r>
  <r>
    <x v="28"/>
    <s v="LOTE 2"/>
    <x v="11"/>
    <x v="26"/>
    <x v="4"/>
    <x v="0"/>
    <s v="CL 50 52 57"/>
    <n v="512000105664"/>
    <s v="CDI MARIA MAGDALENA CACERES"/>
    <n v="1"/>
    <n v="143"/>
    <m/>
    <n v="1925"/>
    <s v="ARTÍCULO 34 CONTRATACIÓN CON EL REGISTRO ÚNICO DE OFERENTES"/>
    <m/>
    <m/>
    <x v="0"/>
    <x v="0"/>
    <x v="24"/>
    <x v="23"/>
    <n v="229185"/>
    <n v="16472"/>
    <n v="95525"/>
    <s v=" "/>
    <s v=" "/>
    <m/>
    <n v="619104486"/>
    <n v="0.02"/>
    <n v="12382089.720000001"/>
    <m/>
    <n v="8"/>
    <n v="619104486"/>
    <n v="631486575.72000003"/>
    <s v=" "/>
    <m/>
    <m/>
    <m/>
    <n v="12604449"/>
    <n v="10731149"/>
    <n v="0"/>
    <n v="595768888"/>
    <m/>
    <n v="619104486"/>
    <s v=" "/>
    <n v="87075560"/>
    <n v="74471111"/>
    <n v="74471111"/>
    <n v="74471111"/>
    <n v="74471111"/>
    <n v="74471111"/>
    <n v="74471111"/>
    <n v="85202260"/>
    <n v="619104486"/>
    <n v="0"/>
    <s v="CONTRATO COSTEADO CON ALIMENTACION"/>
    <b v="1"/>
    <n v="0"/>
    <b v="1"/>
    <n v="0"/>
    <x v="2"/>
    <n v="1925"/>
  </r>
  <r>
    <x v="29"/>
    <s v="LOTE 2"/>
    <x v="6"/>
    <x v="27"/>
    <x v="2"/>
    <x v="0"/>
    <s v="KR 6 4 6"/>
    <n v="51251113285"/>
    <s v="CDI JUAN FRANCISCO CARDONA GÓMEZ"/>
    <n v="1"/>
    <n v="74"/>
    <m/>
    <n v="1926"/>
    <s v="ARTÍCULO 34 CONTRATACIÓN CON EL REGISTRO ÚNICO DE OFERENTES"/>
    <m/>
    <m/>
    <x v="0"/>
    <x v="0"/>
    <x v="6"/>
    <x v="6"/>
    <n v="229099"/>
    <n v="15204"/>
    <n v="92025"/>
    <n v="19"/>
    <n v="433"/>
    <m/>
    <n v="309974900"/>
    <n v="0.02"/>
    <n v="6199498"/>
    <m/>
    <n v="1"/>
    <n v="309974900"/>
    <n v="316174398"/>
    <n v="1096283045"/>
    <n v="21925661"/>
    <n v="1118208706"/>
    <n v="770.13210045662106"/>
    <n v="6522582"/>
    <n v="5553182"/>
    <n v="0"/>
    <n v="297899136"/>
    <m/>
    <n v="309974900"/>
    <n v="1096283045"/>
    <n v="43759974"/>
    <n v="37237392"/>
    <n v="37237392"/>
    <n v="37237392"/>
    <n v="37237392"/>
    <n v="37237392"/>
    <n v="37237392"/>
    <n v="42790574"/>
    <n v="309974900"/>
    <n v="0"/>
    <s v="CONTRATO COSTEADO CON ALIMENTACION"/>
    <b v="1"/>
    <n v="0"/>
    <b v="1"/>
    <n v="0"/>
    <x v="1"/>
    <n v="1926"/>
  </r>
  <r>
    <x v="29"/>
    <s v="LOTE 2"/>
    <x v="6"/>
    <x v="27"/>
    <x v="5"/>
    <x v="0"/>
    <s v="VEREDA LA GARCIA"/>
    <n v="51251119138"/>
    <s v="CER LA GARCIA"/>
    <n v="1"/>
    <n v="36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78486948"/>
    <n v="0.02"/>
    <n v="1569738.96"/>
    <m/>
    <n v="2"/>
    <n v="78486948"/>
    <n v="80056686.959999993"/>
    <s v=" "/>
    <m/>
    <m/>
    <m/>
    <n v="1777536"/>
    <n v="1477044"/>
    <n v="1047600"/>
    <n v="74184768"/>
    <m/>
    <n v="78486948"/>
    <s v=" "/>
    <n v="12098232"/>
    <n v="9273096"/>
    <n v="9273096"/>
    <n v="9273096"/>
    <n v="9273096"/>
    <n v="9273096"/>
    <n v="9273096"/>
    <n v="10750140"/>
    <n v="78486948"/>
    <n v="51950304"/>
    <s v="CONTRATO ADICIONAL POR ALIMENTACION"/>
    <b v="1"/>
    <n v="0"/>
    <b v="1"/>
    <n v="0"/>
    <x v="1"/>
    <n v="1926"/>
  </r>
  <r>
    <x v="29"/>
    <s v="LOTE 2"/>
    <x v="6"/>
    <x v="27"/>
    <x v="5"/>
    <x v="0"/>
    <s v="VEREDA LA ANACOSCA"/>
    <n v="51251119139"/>
    <s v="C COMUNAL ANOCOSCA"/>
    <n v="1"/>
    <n v="21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45784053"/>
    <n v="0.02"/>
    <n v="915681.06"/>
    <m/>
    <n v="3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O ADICIONAL POR ALIMENTACION"/>
    <b v="1"/>
    <n v="0"/>
    <b v="1"/>
    <n v="0"/>
    <x v="1"/>
    <n v="1926"/>
  </r>
  <r>
    <x v="29"/>
    <s v="LOTE 2"/>
    <x v="6"/>
    <x v="27"/>
    <x v="5"/>
    <x v="0"/>
    <s v="VEREDA EL ENCANTO"/>
    <n v="51251119140"/>
    <s v="CER EL ENCANTO_CAICEDO"/>
    <n v="1"/>
    <n v="6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13081158"/>
    <n v="0.02"/>
    <n v="261623.16"/>
    <m/>
    <n v="4"/>
    <n v="13081158"/>
    <n v="13342781.16"/>
    <s v=" "/>
    <m/>
    <m/>
    <m/>
    <n v="296256"/>
    <n v="246174"/>
    <n v="174600"/>
    <n v="12364128"/>
    <m/>
    <n v="13081158"/>
    <s v=" "/>
    <n v="2016372"/>
    <n v="1545516"/>
    <n v="1545516"/>
    <n v="1545516"/>
    <n v="1545516"/>
    <n v="1545516"/>
    <n v="1545516"/>
    <n v="1791690"/>
    <n v="13081158"/>
    <n v="8658384"/>
    <s v="CONTRATO ADICIONAL POR ALIMENTACION"/>
    <b v="1"/>
    <n v="0"/>
    <b v="1"/>
    <n v="0"/>
    <x v="1"/>
    <n v="1926"/>
  </r>
  <r>
    <x v="29"/>
    <s v="LOTE 2"/>
    <x v="6"/>
    <x v="27"/>
    <x v="5"/>
    <x v="0"/>
    <s v="VEREDA EL CHOCHAL"/>
    <n v="51251119141"/>
    <s v="C COMUNAL EL CHOCHAL"/>
    <n v="1"/>
    <n v="11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23982123"/>
    <n v="0.02"/>
    <n v="479642.46"/>
    <m/>
    <n v="5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26"/>
  </r>
  <r>
    <x v="29"/>
    <s v="LOTE 2"/>
    <x v="6"/>
    <x v="27"/>
    <x v="5"/>
    <x v="0"/>
    <s v="VEREDA SAN JUAN"/>
    <n v="51251119142"/>
    <s v="C COMUNAL SAN JUAN"/>
    <n v="1"/>
    <n v="18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39243474"/>
    <n v="0.02"/>
    <n v="784869.48"/>
    <m/>
    <n v="6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1"/>
    <n v="1926"/>
  </r>
  <r>
    <x v="29"/>
    <s v="LOTE 2"/>
    <x v="6"/>
    <x v="27"/>
    <x v="5"/>
    <x v="0"/>
    <s v="VEREDA LA SALAZAR"/>
    <n v="51251135517"/>
    <s v="C COMUNAL LA SALAZAR_CAICEDO"/>
    <n v="1"/>
    <n v="34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74126562"/>
    <n v="0.02"/>
    <n v="1482531.24"/>
    <m/>
    <n v="7"/>
    <n v="74126562"/>
    <n v="75609093.239999995"/>
    <s v=" "/>
    <m/>
    <m/>
    <m/>
    <n v="1678784"/>
    <n v="1394986"/>
    <n v="989400"/>
    <n v="70063392"/>
    <m/>
    <n v="74126562"/>
    <s v=" "/>
    <n v="11426108"/>
    <n v="8757924"/>
    <n v="8757924"/>
    <n v="8757924"/>
    <n v="8757924"/>
    <n v="8757924"/>
    <n v="8757924"/>
    <n v="10152910"/>
    <n v="74126562"/>
    <n v="49064176"/>
    <s v="CONTRATO ADICIONAL POR ALIMENTACION"/>
    <b v="1"/>
    <n v="0"/>
    <b v="1"/>
    <n v="0"/>
    <x v="1"/>
    <n v="1926"/>
  </r>
  <r>
    <x v="29"/>
    <s v="LOTE 2"/>
    <x v="6"/>
    <x v="27"/>
    <x v="5"/>
    <x v="0"/>
    <s v="VEREDA EL TAMBOR"/>
    <n v="51251135890"/>
    <s v="C COMUNAL EL TAMBOR"/>
    <n v="1"/>
    <n v="8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17441544"/>
    <n v="0.02"/>
    <n v="348830.88"/>
    <m/>
    <n v="8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O ADICIONAL POR ALIMENTACION"/>
    <b v="1"/>
    <n v="0"/>
    <b v="1"/>
    <n v="0"/>
    <x v="1"/>
    <n v="1926"/>
  </r>
  <r>
    <x v="29"/>
    <s v="LOTE 2"/>
    <x v="6"/>
    <x v="27"/>
    <x v="5"/>
    <x v="0"/>
    <s v="VEREDA BELLA AGUADA"/>
    <n v="51251135898"/>
    <s v="C COMUNAL BELLA AGUADA"/>
    <n v="1"/>
    <n v="12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26162316"/>
    <n v="0.02"/>
    <n v="523246.32"/>
    <m/>
    <n v="9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1926"/>
  </r>
  <r>
    <x v="29"/>
    <s v="LOTE 2"/>
    <x v="6"/>
    <x v="27"/>
    <x v="5"/>
    <x v="0"/>
    <s v="VEREDA LA CASCAJALA"/>
    <n v="51251135903"/>
    <s v="SALON COMUNITARIO LA CASCAJALA"/>
    <n v="1"/>
    <n v="14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30522702"/>
    <n v="0.02"/>
    <n v="610454.04"/>
    <m/>
    <n v="10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26"/>
  </r>
  <r>
    <x v="29"/>
    <s v="LOTE 2"/>
    <x v="6"/>
    <x v="27"/>
    <x v="5"/>
    <x v="0"/>
    <s v="VEREDA EL HATO"/>
    <n v="51251135904"/>
    <s v="CASETA COMUNAL EL HATO"/>
    <n v="1"/>
    <n v="26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56685018"/>
    <n v="0.02"/>
    <n v="1133700.3600000001"/>
    <m/>
    <n v="11"/>
    <n v="56685018"/>
    <n v="57818718.359999999"/>
    <s v=" "/>
    <m/>
    <m/>
    <m/>
    <n v="1283776"/>
    <n v="1066754"/>
    <n v="756600"/>
    <n v="53577888"/>
    <m/>
    <n v="56685018"/>
    <s v=" "/>
    <n v="8737612"/>
    <n v="6697236"/>
    <n v="6697236"/>
    <n v="6697236"/>
    <n v="6697236"/>
    <n v="6697236"/>
    <n v="6697236"/>
    <n v="7763990"/>
    <n v="56685018"/>
    <n v="37519664"/>
    <s v="CONTRATO ADICIONAL POR ALIMENTACION"/>
    <b v="1"/>
    <n v="0"/>
    <b v="1"/>
    <n v="0"/>
    <x v="1"/>
    <n v="1926"/>
  </r>
  <r>
    <x v="29"/>
    <s v="LOTE 2"/>
    <x v="6"/>
    <x v="27"/>
    <x v="5"/>
    <x v="0"/>
    <s v="VEREDA ROMERAL"/>
    <n v="51251135914"/>
    <s v="CASETA COMUNAL ROMERAL"/>
    <n v="1"/>
    <n v="9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19621737"/>
    <n v="0.02"/>
    <n v="392434.74"/>
    <m/>
    <n v="12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O ADICIONAL POR ALIMENTACION"/>
    <b v="1"/>
    <n v="0"/>
    <b v="1"/>
    <n v="0"/>
    <x v="1"/>
    <n v="1926"/>
  </r>
  <r>
    <x v="29"/>
    <s v="LOTE 2"/>
    <x v="6"/>
    <x v="27"/>
    <x v="5"/>
    <x v="0"/>
    <s v="VEREDA ASESI"/>
    <n v="51251140588"/>
    <s v="IE SAN JUAN BOSCO SEDE ASESI"/>
    <n v="1"/>
    <n v="8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17441544"/>
    <n v="0.02"/>
    <n v="348830.88"/>
    <m/>
    <n v="13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O ADICIONAL POR ALIMENTACION"/>
    <b v="1"/>
    <n v="0"/>
    <b v="1"/>
    <n v="0"/>
    <x v="1"/>
    <n v="1926"/>
  </r>
  <r>
    <x v="29"/>
    <s v="LOTE 2"/>
    <x v="6"/>
    <x v="27"/>
    <x v="5"/>
    <x v="0"/>
    <s v="VEREDA EL PLAYON"/>
    <n v="51251145239"/>
    <s v="C COMUNAL EL PLAYON"/>
    <n v="1"/>
    <n v="20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43603860"/>
    <n v="0.02"/>
    <n v="872077.20000000007"/>
    <m/>
    <n v="1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26"/>
  </r>
  <r>
    <x v="29"/>
    <s v="LOTE 2"/>
    <x v="6"/>
    <x v="27"/>
    <x v="5"/>
    <x v="0"/>
    <s v="VEREDA LA SOLEDAD_ CERCA A LA CANCHA"/>
    <n v="51251148752"/>
    <s v="CASETA COMUNAL LA SOLEDAD"/>
    <n v="1"/>
    <n v="16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34883088"/>
    <n v="0.02"/>
    <n v="697661.76"/>
    <m/>
    <n v="15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26"/>
  </r>
  <r>
    <x v="29"/>
    <s v="LOTE 2"/>
    <x v="6"/>
    <x v="27"/>
    <x v="8"/>
    <x v="0"/>
    <s v="CL 6 3 5 A"/>
    <n v="51251152186"/>
    <s v="PARQUE EDUCATIVO"/>
    <n v="1"/>
    <n v="51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114808701"/>
    <n v="0.02"/>
    <n v="2296174.02"/>
    <m/>
    <n v="16"/>
    <n v="114808701"/>
    <n v="117104875.02"/>
    <s v=" "/>
    <m/>
    <m/>
    <m/>
    <n v="2624613"/>
    <n v="2198916"/>
    <n v="1484100"/>
    <n v="108501072"/>
    <m/>
    <n v="114808701"/>
    <s v=" "/>
    <n v="17671347"/>
    <n v="13562634"/>
    <n v="13562634"/>
    <n v="13562634"/>
    <n v="13562634"/>
    <n v="13562634"/>
    <n v="13562634"/>
    <n v="15761550"/>
    <n v="114808701"/>
    <n v="73596264"/>
    <s v="CONTRATO ADICIONAL POR ALIMENTACION"/>
    <b v="1"/>
    <n v="0"/>
    <b v="1"/>
    <n v="0"/>
    <x v="1"/>
    <n v="1926"/>
  </r>
  <r>
    <x v="29"/>
    <s v="LOTE 2"/>
    <x v="6"/>
    <x v="27"/>
    <x v="5"/>
    <x v="0"/>
    <s v="VEREDA NOQUE_ CERCA A LA CANCHA"/>
    <n v="51251152189"/>
    <s v="CASETA COMUNAL NOQUE"/>
    <n v="1"/>
    <n v="9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19621737"/>
    <n v="0.02"/>
    <n v="392434.74"/>
    <m/>
    <n v="17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O ADICIONAL POR ALIMENTACION"/>
    <b v="1"/>
    <n v="0"/>
    <b v="1"/>
    <n v="0"/>
    <x v="1"/>
    <n v="1926"/>
  </r>
  <r>
    <x v="29"/>
    <s v="LOTE 2"/>
    <x v="6"/>
    <x v="27"/>
    <x v="5"/>
    <x v="0"/>
    <s v="VEREDA LOS SAUCES_ SECTOR LAS PARTIDAS"/>
    <n v="51251152190"/>
    <s v="CASETA COMUNAL LOS SAUCES"/>
    <n v="1"/>
    <n v="31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67585983"/>
    <n v="0.02"/>
    <n v="1351719.66"/>
    <m/>
    <n v="18"/>
    <n v="67585983"/>
    <n v="68937702.659999996"/>
    <s v=" "/>
    <m/>
    <m/>
    <m/>
    <n v="1530656"/>
    <n v="1271899"/>
    <n v="902100"/>
    <n v="63881328"/>
    <m/>
    <n v="67585983"/>
    <s v=" "/>
    <n v="10417922"/>
    <n v="7985166"/>
    <n v="7985166"/>
    <n v="7985166"/>
    <n v="7985166"/>
    <n v="7985166"/>
    <n v="7985166"/>
    <n v="9257065"/>
    <n v="67585983"/>
    <n v="44734984"/>
    <s v="CONTRATO ADICIONAL POR ALIMENTACION"/>
    <b v="1"/>
    <n v="0"/>
    <b v="1"/>
    <n v="0"/>
    <x v="1"/>
    <n v="1926"/>
  </r>
  <r>
    <x v="29"/>
    <s v="LOTE 2"/>
    <x v="6"/>
    <x v="27"/>
    <x v="5"/>
    <x v="0"/>
    <s v="VEREDA ALTAVISTA"/>
    <n v="512500077623"/>
    <s v="C COMUNAL ALTAVISTA"/>
    <n v="1"/>
    <n v="29"/>
    <m/>
    <n v="1926"/>
    <s v="ARTÍCULO 34 CONTRATACIÓN CON EL REGISTRO ÚNICO DE OFERENTES"/>
    <m/>
    <m/>
    <x v="0"/>
    <x v="0"/>
    <x v="6"/>
    <x v="6"/>
    <n v="229099"/>
    <n v="15204"/>
    <n v="92025"/>
    <s v=" "/>
    <s v=" "/>
    <m/>
    <n v="63225597"/>
    <n v="0.02"/>
    <n v="1264511.94"/>
    <m/>
    <n v="19"/>
    <n v="63225597"/>
    <n v="64490108.939999998"/>
    <s v=" "/>
    <m/>
    <m/>
    <m/>
    <n v="1431904"/>
    <n v="1189841"/>
    <n v="843900"/>
    <n v="59759952"/>
    <m/>
    <n v="63225597"/>
    <s v=" "/>
    <n v="9745798"/>
    <n v="7469994"/>
    <n v="7469994"/>
    <n v="7469994"/>
    <n v="7469994"/>
    <n v="7469994"/>
    <n v="7469994"/>
    <n v="8659835"/>
    <n v="63225597"/>
    <n v="41848856"/>
    <s v="CONTRATO ADICIONAL POR ALIMENTACION"/>
    <b v="1"/>
    <n v="0"/>
    <b v="1"/>
    <n v="0"/>
    <x v="1"/>
    <n v="1926"/>
  </r>
  <r>
    <x v="30"/>
    <s v="LOTE 2"/>
    <x v="0"/>
    <x v="28"/>
    <x v="2"/>
    <x v="0"/>
    <s v="CL 73 C 73 B 30"/>
    <n v="51471121810"/>
    <s v="CDI OCAMA"/>
    <n v="1"/>
    <n v="200"/>
    <m/>
    <n v="1929"/>
    <s v="ARTÍCULO 34 CONTRATACIÓN CON EL REGISTRO ÚNICO DE OFERENTES"/>
    <m/>
    <m/>
    <x v="0"/>
    <x v="0"/>
    <x v="25"/>
    <x v="24"/>
    <n v="229100"/>
    <n v="15193"/>
    <n v="82825"/>
    <n v="4"/>
    <n v="645"/>
    <m/>
    <n v="837770000"/>
    <n v="0.02"/>
    <n v="16755400"/>
    <m/>
    <n v="1"/>
    <n v="837770000"/>
    <n v="854525400"/>
    <n v="2701808250"/>
    <n v="54036165"/>
    <n v="2755844415"/>
    <n v="1898.0036880927291"/>
    <n v="17628600"/>
    <n v="15008600"/>
    <n v="0"/>
    <n v="805132800"/>
    <m/>
    <n v="837770000"/>
    <n v="2701808250"/>
    <n v="118270200"/>
    <n v="100641600"/>
    <n v="100641600"/>
    <n v="100641600"/>
    <n v="100641600"/>
    <n v="100641600"/>
    <n v="100641600"/>
    <n v="115650200"/>
    <n v="837770000"/>
    <n v="0"/>
    <s v="CONTRATO COSTEADO CON ALIMENTACION"/>
    <b v="1"/>
    <n v="0"/>
    <b v="1"/>
    <n v="0"/>
    <x v="1"/>
    <m/>
  </r>
  <r>
    <x v="30"/>
    <s v="LOTE 2"/>
    <x v="0"/>
    <x v="28"/>
    <x v="2"/>
    <x v="0"/>
    <s v="KR 66 77 16 BARRIO SAN MARINO"/>
    <n v="504500027492"/>
    <s v="CDI SAN MARINO"/>
    <n v="1"/>
    <n v="205"/>
    <m/>
    <n v="1929"/>
    <s v="ARTÍCULO 34 CONTRATACIÓN CON EL REGISTRO ÚNICO DE OFERENTES"/>
    <m/>
    <m/>
    <x v="0"/>
    <x v="0"/>
    <x v="25"/>
    <x v="24"/>
    <n v="229100"/>
    <n v="15193"/>
    <n v="82825"/>
    <s v=" "/>
    <s v=" "/>
    <m/>
    <n v="858714250"/>
    <n v="0.02"/>
    <n v="17174285"/>
    <m/>
    <n v="2"/>
    <n v="858714250"/>
    <n v="875888535"/>
    <s v=" "/>
    <m/>
    <m/>
    <m/>
    <n v="18069315"/>
    <n v="15383815"/>
    <n v="0"/>
    <n v="825261120"/>
    <m/>
    <n v="858714250"/>
    <s v=" "/>
    <n v="121226955"/>
    <n v="103157640"/>
    <n v="103157640"/>
    <n v="103157640"/>
    <n v="103157640"/>
    <n v="103157640"/>
    <n v="103157640"/>
    <n v="118541455"/>
    <n v="858714250"/>
    <n v="0"/>
    <s v="CONTRATO COSTEADO CON ALIMENTACION"/>
    <b v="1"/>
    <n v="0"/>
    <b v="1"/>
    <n v="0"/>
    <x v="1"/>
    <m/>
  </r>
  <r>
    <x v="30"/>
    <s v="LOTE 2"/>
    <x v="0"/>
    <x v="28"/>
    <x v="2"/>
    <x v="0"/>
    <s v="CL 83 66 17 BARRIO JARDIN"/>
    <n v="514700047398"/>
    <s v="CDI JARDIN"/>
    <n v="1"/>
    <n v="100"/>
    <m/>
    <n v="1929"/>
    <s v="ARTÍCULO 34 CONTRATACIÓN CON EL REGISTRO ÚNICO DE OFERENTES"/>
    <m/>
    <m/>
    <x v="0"/>
    <x v="0"/>
    <x v="25"/>
    <x v="24"/>
    <n v="229100"/>
    <n v="15193"/>
    <n v="82825"/>
    <s v=" "/>
    <s v=" "/>
    <m/>
    <n v="418885000"/>
    <n v="0.02"/>
    <n v="8377700"/>
    <m/>
    <n v="3"/>
    <n v="418885000"/>
    <n v="427262700"/>
    <s v=" "/>
    <m/>
    <m/>
    <m/>
    <n v="8814300"/>
    <n v="7504300"/>
    <n v="0"/>
    <n v="402566400"/>
    <m/>
    <n v="418885000"/>
    <s v=" "/>
    <n v="59135100"/>
    <n v="50320800"/>
    <n v="50320800"/>
    <n v="50320800"/>
    <n v="50320800"/>
    <n v="50320800"/>
    <n v="50320800"/>
    <n v="57825100"/>
    <n v="418885000"/>
    <n v="0"/>
    <s v="CONTRATO COSTEADO CON ALIMENTACION"/>
    <b v="1"/>
    <n v="0"/>
    <b v="1"/>
    <n v="0"/>
    <x v="1"/>
    <m/>
  </r>
  <r>
    <x v="30"/>
    <s v="LOTE 2"/>
    <x v="0"/>
    <x v="28"/>
    <x v="2"/>
    <x v="0"/>
    <s v="PUEBLO NUEVO"/>
    <n v="514700047461"/>
    <s v="CDI LOS SUEÑOS DE MI INFANCIA"/>
    <n v="1"/>
    <n v="140"/>
    <m/>
    <n v="1929"/>
    <s v="ARTÍCULO 34 CONTRATACIÓN CON EL REGISTRO ÚNICO DE OFERENTES"/>
    <m/>
    <m/>
    <x v="0"/>
    <x v="0"/>
    <x v="25"/>
    <x v="24"/>
    <n v="229100"/>
    <n v="15193"/>
    <n v="82825"/>
    <s v=" "/>
    <s v=" "/>
    <m/>
    <n v="586439000"/>
    <n v="0.02"/>
    <n v="11728780"/>
    <m/>
    <n v="4"/>
    <n v="586439000"/>
    <n v="598167780"/>
    <s v=" "/>
    <m/>
    <m/>
    <m/>
    <n v="12340020"/>
    <n v="10506020"/>
    <n v="0"/>
    <n v="563592960"/>
    <m/>
    <n v="586439000"/>
    <s v=" "/>
    <n v="82789140"/>
    <n v="70449120"/>
    <n v="70449120"/>
    <n v="70449120"/>
    <n v="70449120"/>
    <n v="70449120"/>
    <n v="70449120"/>
    <n v="80955140"/>
    <n v="586439000"/>
    <n v="0"/>
    <s v="CONTRATO COSTEADO CON ALIMENTACION"/>
    <b v="1"/>
    <n v="0"/>
    <b v="1"/>
    <n v="0"/>
    <x v="1"/>
    <m/>
  </r>
  <r>
    <x v="31"/>
    <s v="LOTE 2"/>
    <x v="0"/>
    <x v="28"/>
    <x v="5"/>
    <x v="0"/>
    <s v="VEREDA BELENCITO"/>
    <n v="51471112689"/>
    <s v="CORAZONES TIERNOS"/>
    <n v="1"/>
    <n v="50"/>
    <m/>
    <n v="1930"/>
    <s v="ARTÍCULO 34 CONTRATACIÓN CON EL REGISTRO ÚNICO DE OFERENTES"/>
    <m/>
    <m/>
    <x v="0"/>
    <x v="0"/>
    <x v="26"/>
    <x v="25"/>
    <n v="229101"/>
    <n v="15186"/>
    <n v="87625"/>
    <n v="37"/>
    <n v="1047"/>
    <m/>
    <n v="109009650"/>
    <n v="0.02"/>
    <n v="2180193"/>
    <m/>
    <n v="1"/>
    <n v="109009650"/>
    <n v="111189843"/>
    <n v="2282662071"/>
    <n v="45653241"/>
    <n v="2328315312"/>
    <n v="1603.5560737618546"/>
    <n v="2468800"/>
    <n v="2051450"/>
    <n v="1455000"/>
    <n v="103034400"/>
    <m/>
    <n v="109009650"/>
    <n v="2282662071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30"/>
  </r>
  <r>
    <x v="31"/>
    <s v="LOTE 2"/>
    <x v="0"/>
    <x v="28"/>
    <x v="5"/>
    <x v="0"/>
    <s v="PIEDRAS BLANCAS"/>
    <n v="51471112710"/>
    <s v="CRECIENDO JUNTOS"/>
    <n v="1"/>
    <n v="50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109009650"/>
    <n v="0.02"/>
    <n v="2180193"/>
    <m/>
    <n v="2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30"/>
  </r>
  <r>
    <x v="31"/>
    <s v="LOTE 2"/>
    <x v="0"/>
    <x v="28"/>
    <x v="5"/>
    <x v="0"/>
    <s v="CASETA COMUNAL"/>
    <n v="51471112720"/>
    <s v="SUEÑOS DE INFANCIA"/>
    <n v="1"/>
    <n v="50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109009650"/>
    <n v="0.02"/>
    <n v="2180193"/>
    <m/>
    <n v="3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30"/>
  </r>
  <r>
    <x v="31"/>
    <s v="LOTE 2"/>
    <x v="0"/>
    <x v="28"/>
    <x v="5"/>
    <x v="0"/>
    <s v="VEREDA BELENCITO"/>
    <n v="51471112747"/>
    <s v="EXPLORADORES"/>
    <n v="1"/>
    <n v="48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104649264"/>
    <n v="0.02"/>
    <n v="2092985.28"/>
    <m/>
    <n v="4"/>
    <n v="104649264"/>
    <n v="106742249.28"/>
    <s v=" "/>
    <m/>
    <m/>
    <m/>
    <n v="2370048"/>
    <n v="1969392"/>
    <n v="1396800"/>
    <n v="98913024"/>
    <m/>
    <n v="104649264"/>
    <s v=" "/>
    <n v="16130976"/>
    <n v="12364128"/>
    <n v="12364128"/>
    <n v="12364128"/>
    <n v="12364128"/>
    <n v="12364128"/>
    <n v="12364128"/>
    <n v="14333520"/>
    <n v="104649264"/>
    <n v="69267072"/>
    <s v="CONTRATO ADICIONAL POR ALIMENTACION"/>
    <b v="1"/>
    <n v="0"/>
    <b v="1"/>
    <n v="0"/>
    <x v="1"/>
    <n v="1930"/>
  </r>
  <r>
    <x v="31"/>
    <s v="LOTE 2"/>
    <x v="0"/>
    <x v="28"/>
    <x v="5"/>
    <x v="0"/>
    <s v="VEREDA NUEVA ESPERANZA"/>
    <n v="51471112750"/>
    <s v="PINCELES Y COLORES"/>
    <n v="1"/>
    <n v="50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109009650"/>
    <n v="0.02"/>
    <n v="2180193"/>
    <m/>
    <n v="5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30"/>
  </r>
  <r>
    <x v="31"/>
    <s v="LOTE 2"/>
    <x v="0"/>
    <x v="28"/>
    <x v="5"/>
    <x v="0"/>
    <s v="ZUNGO EMBARCADERO"/>
    <n v="51471112752"/>
    <s v="PEQUEÑOS GIGANTES"/>
    <n v="1"/>
    <n v="50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109009650"/>
    <n v="0.02"/>
    <n v="2180193"/>
    <m/>
    <n v="6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30"/>
  </r>
  <r>
    <x v="31"/>
    <s v="LOTE 2"/>
    <x v="0"/>
    <x v="28"/>
    <x v="5"/>
    <x v="0"/>
    <s v="VIA ZUNGO EMBARCADERO VEREDA NUEVA ESPERANZA"/>
    <n v="51471118946"/>
    <s v="CASA DE FAMLIA VEREDA NUEVA ESPERANZA"/>
    <n v="1"/>
    <n v="18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9243474"/>
    <n v="0.02"/>
    <n v="784869.48"/>
    <m/>
    <n v="7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1"/>
    <n v="1930"/>
  </r>
  <r>
    <x v="31"/>
    <s v="LOTE 2"/>
    <x v="0"/>
    <x v="28"/>
    <x v="5"/>
    <x v="0"/>
    <s v="VIA EL SILENCIO CASA DE FAMILIA BOCAS DE CHIGORODO"/>
    <n v="51471118948"/>
    <s v="CASA DE FAMILIA BOCAS DE CHIGORODO"/>
    <n v="1"/>
    <n v="16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4883088"/>
    <n v="0.02"/>
    <n v="697661.76"/>
    <m/>
    <n v="8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30"/>
  </r>
  <r>
    <x v="31"/>
    <s v="LOTE 2"/>
    <x v="0"/>
    <x v="28"/>
    <x v="5"/>
    <x v="0"/>
    <s v="VÍA EL SILENCIO, FINCA PATACÓN AL FONDO"/>
    <n v="51471118950"/>
    <s v="CASETA LOS INDIOS VEREDA ENCANTO1"/>
    <n v="1"/>
    <n v="50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109009650"/>
    <n v="0.02"/>
    <n v="2180193"/>
    <m/>
    <n v="9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30"/>
  </r>
  <r>
    <x v="31"/>
    <s v="LOTE 2"/>
    <x v="0"/>
    <x v="28"/>
    <x v="5"/>
    <x v="0"/>
    <s v="VIA EL SILENCIO CASETA VEREDA LAS FLORES"/>
    <n v="51471118951"/>
    <s v="CASETA VEREDA LAS FLORES"/>
    <n v="1"/>
    <n v="36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78486948"/>
    <n v="0.02"/>
    <n v="1569738.96"/>
    <m/>
    <n v="10"/>
    <n v="78486948"/>
    <n v="80056686.959999993"/>
    <s v=" "/>
    <m/>
    <m/>
    <m/>
    <n v="1777536"/>
    <n v="1477044"/>
    <n v="1047600"/>
    <n v="74184768"/>
    <m/>
    <n v="78486948"/>
    <s v=" "/>
    <n v="12098232"/>
    <n v="9273096"/>
    <n v="9273096"/>
    <n v="9273096"/>
    <n v="9273096"/>
    <n v="9273096"/>
    <n v="9273096"/>
    <n v="10750140"/>
    <n v="78486948"/>
    <n v="51950304"/>
    <s v="CONTRATO ADICIONAL POR ALIMENTACION"/>
    <b v="1"/>
    <n v="0"/>
    <b v="1"/>
    <n v="0"/>
    <x v="1"/>
    <n v="1930"/>
  </r>
  <r>
    <x v="31"/>
    <s v="LOTE 2"/>
    <x v="0"/>
    <x v="28"/>
    <x v="5"/>
    <x v="0"/>
    <s v="CASETA COMUNAL"/>
    <n v="51471118953"/>
    <s v="CASA PRESDNT JUNTA 25 DE AGOSTO"/>
    <n v="1"/>
    <n v="50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109009650"/>
    <n v="0.02"/>
    <n v="2180193"/>
    <m/>
    <n v="11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30"/>
  </r>
  <r>
    <x v="31"/>
    <s v="LOTE 2"/>
    <x v="0"/>
    <x v="28"/>
    <x v="5"/>
    <x v="0"/>
    <s v="VIA ZUNGO CARRETERA CASETA VEREDA ALMENDROS"/>
    <n v="51471118957"/>
    <s v="CASETA VEREDA LOS ALMENDROS 2"/>
    <n v="1"/>
    <n v="16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4883088"/>
    <n v="0.02"/>
    <n v="697661.76"/>
    <m/>
    <n v="12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30"/>
  </r>
  <r>
    <x v="31"/>
    <s v="LOTE 2"/>
    <x v="0"/>
    <x v="28"/>
    <x v="5"/>
    <x v="0"/>
    <s v="VIA ZUNGO CARRETERA CASETA VEREDA PRIMAVERA"/>
    <n v="51471118958"/>
    <s v="CASETA VEREDA PRIMAVERA"/>
    <n v="1"/>
    <n v="15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2702895"/>
    <n v="0.02"/>
    <n v="654057.9"/>
    <m/>
    <n v="13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1930"/>
  </r>
  <r>
    <x v="31"/>
    <s v="LOTE 2"/>
    <x v="0"/>
    <x v="28"/>
    <x v="5"/>
    <x v="0"/>
    <s v="VIA PIEDRAS BLANCAS IGLESIA"/>
    <n v="51471136458"/>
    <s v="SALON D LA IGLESIA VERED EL CERRO"/>
    <n v="1"/>
    <n v="16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4883088"/>
    <n v="0.02"/>
    <n v="697661.76"/>
    <m/>
    <n v="1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30"/>
  </r>
  <r>
    <x v="31"/>
    <s v="LOTE 2"/>
    <x v="0"/>
    <x v="28"/>
    <x v="5"/>
    <x v="0"/>
    <s v="VIA PIEDRAS BLANCAS CASETA"/>
    <n v="51471136459"/>
    <s v="C COMUNAL VEREDA EL PLAYON"/>
    <n v="1"/>
    <n v="20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43603860"/>
    <n v="0.02"/>
    <n v="872077.20000000007"/>
    <m/>
    <n v="15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30"/>
  </r>
  <r>
    <x v="31"/>
    <s v="LOTE 2"/>
    <x v="0"/>
    <x v="28"/>
    <x v="5"/>
    <x v="0"/>
    <s v="VIA EL SILENCIO CASA"/>
    <n v="51471136461"/>
    <s v="CASA DE FAMILIA VEREDA IPANKAI"/>
    <n v="1"/>
    <n v="14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0522702"/>
    <n v="0.02"/>
    <n v="610454.04"/>
    <m/>
    <n v="16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30"/>
  </r>
  <r>
    <x v="31"/>
    <s v="LOTE 2"/>
    <x v="0"/>
    <x v="28"/>
    <x v="5"/>
    <x v="0"/>
    <s v="VIA ZUNGO EMBARCADERO CASETA"/>
    <n v="51471136462"/>
    <s v="CASETA VEREDA LAS TRESCIENTAS"/>
    <n v="1"/>
    <n v="14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0522702"/>
    <n v="0.02"/>
    <n v="610454.04"/>
    <m/>
    <n v="17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30"/>
  </r>
  <r>
    <x v="31"/>
    <s v="LOTE 2"/>
    <x v="0"/>
    <x v="28"/>
    <x v="5"/>
    <x v="0"/>
    <s v="VIA PIEDRAS BLANCAS ESCUELA"/>
    <n v="51471136465"/>
    <s v="ESCUELA VEREDA PALMAR"/>
    <n v="1"/>
    <n v="17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7063281"/>
    <n v="0.02"/>
    <n v="741265.62"/>
    <m/>
    <n v="18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30"/>
  </r>
  <r>
    <x v="31"/>
    <s v="LOTE 2"/>
    <x v="0"/>
    <x v="28"/>
    <x v="5"/>
    <x v="0"/>
    <s v="VIA ZUNGO EMBARCADERO CASETA COMUNAL"/>
    <n v="51471136467"/>
    <s v="C COMUNAL VEREDA PUEBL NUEVO"/>
    <n v="1"/>
    <n v="13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28342509"/>
    <n v="0.02"/>
    <n v="566850.18000000005"/>
    <m/>
    <n v="19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30"/>
  </r>
  <r>
    <x v="31"/>
    <s v="LOTE 2"/>
    <x v="0"/>
    <x v="28"/>
    <x v="5"/>
    <x v="0"/>
    <s v="VIA ZUNGO CARRETERA CASA FAMILIAR ALMENDROS"/>
    <n v="51471137227"/>
    <s v="CASA FAMILIAR ALMEDROS 2"/>
    <n v="1"/>
    <n v="36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78486948"/>
    <n v="0.02"/>
    <n v="1569738.96"/>
    <m/>
    <n v="20"/>
    <n v="78486948"/>
    <n v="80056686.959999993"/>
    <s v=" "/>
    <m/>
    <m/>
    <m/>
    <n v="1777536"/>
    <n v="1477044"/>
    <n v="1047600"/>
    <n v="74184768"/>
    <m/>
    <n v="78486948"/>
    <s v=" "/>
    <n v="12098232"/>
    <n v="9273096"/>
    <n v="9273096"/>
    <n v="9273096"/>
    <n v="9273096"/>
    <n v="9273096"/>
    <n v="9273096"/>
    <n v="10750140"/>
    <n v="78486948"/>
    <n v="51950304"/>
    <s v="CONTRATO ADICIONAL POR ALIMENTACION"/>
    <b v="1"/>
    <n v="0"/>
    <b v="1"/>
    <n v="0"/>
    <x v="1"/>
    <n v="1930"/>
  </r>
  <r>
    <x v="31"/>
    <s v="LOTE 2"/>
    <x v="0"/>
    <x v="28"/>
    <x v="5"/>
    <x v="0"/>
    <s v="VEREDA ZAISITA"/>
    <n v="51471137228"/>
    <s v="CASA FAMILIAR ZAISITA"/>
    <n v="1"/>
    <n v="17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7063281"/>
    <n v="0.02"/>
    <n v="741265.62"/>
    <m/>
    <n v="21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30"/>
  </r>
  <r>
    <x v="31"/>
    <s v="LOTE 2"/>
    <x v="0"/>
    <x v="28"/>
    <x v="5"/>
    <x v="0"/>
    <s v="VEREDA 11 DE NOVIEMBRE"/>
    <n v="51471137230"/>
    <s v="CASETA VEREDA 11 NOVIEMBRE"/>
    <n v="1"/>
    <n v="33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71946369"/>
    <n v="0.02"/>
    <n v="1438927.3800000001"/>
    <m/>
    <n v="22"/>
    <n v="71946369"/>
    <n v="73385296.379999995"/>
    <s v=" "/>
    <m/>
    <m/>
    <m/>
    <n v="1629408"/>
    <n v="1353957"/>
    <n v="960300"/>
    <n v="68002704"/>
    <m/>
    <n v="71946369"/>
    <s v=" "/>
    <n v="11090046"/>
    <n v="8500338"/>
    <n v="8500338"/>
    <n v="8500338"/>
    <n v="8500338"/>
    <n v="8500338"/>
    <n v="8500338"/>
    <n v="9854295"/>
    <n v="71946369"/>
    <n v="47621112"/>
    <s v="CONTRATO ADICIONAL POR ALIMENTACION"/>
    <b v="1"/>
    <n v="0"/>
    <b v="1"/>
    <n v="0"/>
    <x v="1"/>
    <n v="1930"/>
  </r>
  <r>
    <x v="31"/>
    <s v="LOTE 2"/>
    <x v="0"/>
    <x v="28"/>
    <x v="5"/>
    <x v="0"/>
    <s v="VEREDA EUCALIPTO ENTRADADA POR LA FINA EL PATACON"/>
    <n v="51471137232"/>
    <s v="CASA DE FAMILIA VEREDA EUCALIPTO 2"/>
    <n v="1"/>
    <n v="18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9243474"/>
    <n v="0.02"/>
    <n v="784869.48"/>
    <m/>
    <n v="23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1"/>
    <n v="1930"/>
  </r>
  <r>
    <x v="31"/>
    <s v="LOTE 2"/>
    <x v="0"/>
    <x v="28"/>
    <x v="5"/>
    <x v="0"/>
    <s v="VEREDA EL ENCANTO"/>
    <n v="51471137233"/>
    <s v="CASA DE FAMILIA VEREDA EL ENCANTO 2"/>
    <n v="1"/>
    <n v="50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109009650"/>
    <n v="0.02"/>
    <n v="2180193"/>
    <m/>
    <n v="24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30"/>
  </r>
  <r>
    <x v="31"/>
    <s v="LOTE 2"/>
    <x v="0"/>
    <x v="28"/>
    <x v="5"/>
    <x v="0"/>
    <s v="VIA PIEDRAS BLANCAS"/>
    <n v="51471137472"/>
    <s v="C COMUNAL VEREDA PIEDRS BLANC"/>
    <n v="1"/>
    <n v="17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7063281"/>
    <n v="0.02"/>
    <n v="741265.62"/>
    <m/>
    <n v="25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30"/>
  </r>
  <r>
    <x v="31"/>
    <s v="LOTE 2"/>
    <x v="0"/>
    <x v="28"/>
    <x v="5"/>
    <x v="0"/>
    <s v="VEREDA UNION QUINCE VIA EL SILENCIO"/>
    <n v="51471144518"/>
    <s v="CASA FAMILIAR VEREDA UNION QUINCE"/>
    <n v="1"/>
    <n v="15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2702895"/>
    <n v="0.02"/>
    <n v="654057.9"/>
    <m/>
    <n v="26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1930"/>
  </r>
  <r>
    <x v="31"/>
    <s v="LOTE 2"/>
    <x v="0"/>
    <x v="28"/>
    <x v="5"/>
    <x v="0"/>
    <s v="ZAISITA"/>
    <n v="51471144519"/>
    <s v="CASA FAMILIAR VEREDA ZAISITA"/>
    <n v="1"/>
    <n v="37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80667141"/>
    <n v="0.02"/>
    <n v="1613342.82"/>
    <m/>
    <n v="27"/>
    <n v="80667141"/>
    <n v="82280483.819999993"/>
    <s v=" "/>
    <m/>
    <m/>
    <m/>
    <n v="1826912"/>
    <n v="1518073"/>
    <n v="1076700"/>
    <n v="76245456"/>
    <m/>
    <n v="80667141"/>
    <s v=" "/>
    <n v="12434294"/>
    <n v="9530682"/>
    <n v="9530682"/>
    <n v="9530682"/>
    <n v="9530682"/>
    <n v="9530682"/>
    <n v="9530682"/>
    <n v="11048755"/>
    <n v="80667141"/>
    <n v="53393368"/>
    <s v="CONTRATO ADICIONAL POR ALIMENTACION"/>
    <b v="1"/>
    <n v="0"/>
    <b v="1"/>
    <n v="0"/>
    <x v="1"/>
    <n v="1930"/>
  </r>
  <r>
    <x v="31"/>
    <s v="LOTE 2"/>
    <x v="0"/>
    <x v="28"/>
    <x v="5"/>
    <x v="0"/>
    <s v="VIA CORREGIMIENTO PIEDRAS BLANCAS"/>
    <n v="51471148815"/>
    <s v="CASETA VEREDA ZAISITA 4"/>
    <n v="1"/>
    <n v="20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43603860"/>
    <n v="0.02"/>
    <n v="872077.20000000007"/>
    <m/>
    <n v="28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30"/>
  </r>
  <r>
    <x v="31"/>
    <s v="LOTE 2"/>
    <x v="0"/>
    <x v="28"/>
    <x v="5"/>
    <x v="0"/>
    <s v="CORREGIMIENTO PIEDRAS BLANCAS"/>
    <n v="51471152328"/>
    <s v="PIEDRAS BLANCAS"/>
    <n v="1"/>
    <n v="16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4883088"/>
    <n v="0.02"/>
    <n v="697661.76"/>
    <m/>
    <n v="29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30"/>
  </r>
  <r>
    <x v="31"/>
    <s v="LOTE 2"/>
    <x v="0"/>
    <x v="28"/>
    <x v="5"/>
    <x v="0"/>
    <s v="CORREGIMIENTO CAREPITA PROMESCOL"/>
    <n v="51471152332"/>
    <s v="CAREPITA PROMESCOL"/>
    <n v="1"/>
    <n v="16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4883088"/>
    <n v="0.02"/>
    <n v="697661.76"/>
    <m/>
    <n v="30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30"/>
  </r>
  <r>
    <x v="31"/>
    <s v="LOTE 2"/>
    <x v="0"/>
    <x v="28"/>
    <x v="5"/>
    <x v="0"/>
    <s v="VEREDA CARACOLÍ"/>
    <n v="51471152334"/>
    <s v="CARACOLÍ"/>
    <n v="1"/>
    <n v="16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4883088"/>
    <n v="0.02"/>
    <n v="697661.76"/>
    <m/>
    <n v="31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30"/>
  </r>
  <r>
    <x v="31"/>
    <s v="LOTE 2"/>
    <x v="0"/>
    <x v="28"/>
    <x v="5"/>
    <x v="0"/>
    <s v="CORREGIMIENTO ZUNGO EMBARCADERO"/>
    <n v="51471152337"/>
    <s v="11 DE NOVIEMBRE"/>
    <n v="1"/>
    <n v="16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4883088"/>
    <n v="0.02"/>
    <n v="697661.76"/>
    <m/>
    <n v="32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30"/>
  </r>
  <r>
    <x v="31"/>
    <s v="LOTE 2"/>
    <x v="0"/>
    <x v="28"/>
    <x v="5"/>
    <x v="0"/>
    <s v="VEREDA 9 DE ENERO"/>
    <n v="51471152338"/>
    <s v="EL SILENCIO"/>
    <n v="1"/>
    <n v="16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4883088"/>
    <n v="0.02"/>
    <n v="697661.76"/>
    <m/>
    <n v="33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30"/>
  </r>
  <r>
    <x v="31"/>
    <s v="LOTE 2"/>
    <x v="0"/>
    <x v="28"/>
    <x v="5"/>
    <x v="0"/>
    <s v="VEREDA LA ESMERALDA VIA CORREGIMIENTO PIEDRAS BLANCAS"/>
    <n v="51471153408"/>
    <s v="C COMUNAL VEREDA LA ESMERALDA"/>
    <n v="1"/>
    <n v="14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0522702"/>
    <n v="0.02"/>
    <n v="610454.04"/>
    <m/>
    <n v="34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30"/>
  </r>
  <r>
    <x v="31"/>
    <s v="LOTE 2"/>
    <x v="0"/>
    <x v="28"/>
    <x v="5"/>
    <x v="0"/>
    <s v="VIA EL SILENCIO VEREDA EUCALIPTO ENTRATA POR LA FICA EL PATACON"/>
    <n v="514700111684"/>
    <s v="CASA DE FAMILIA VEREDA EUCALIPTO 1"/>
    <n v="1"/>
    <n v="17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37063281"/>
    <n v="0.02"/>
    <n v="741265.62"/>
    <m/>
    <n v="35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30"/>
  </r>
  <r>
    <x v="31"/>
    <s v="LOTE 2"/>
    <x v="0"/>
    <x v="28"/>
    <x v="5"/>
    <x v="0"/>
    <s v="CASETA COMUNAL"/>
    <n v="514700115632"/>
    <s v="CARITAS SONRIENTES"/>
    <n v="1"/>
    <n v="50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109009650"/>
    <n v="0.02"/>
    <n v="2180193"/>
    <m/>
    <n v="36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30"/>
  </r>
  <r>
    <x v="31"/>
    <s v="LOTE 2"/>
    <x v="0"/>
    <x v="28"/>
    <x v="5"/>
    <x v="0"/>
    <s v="EL SILENCIO"/>
    <n v="514700115633"/>
    <s v="SEMILLAS DEL FUTURO"/>
    <n v="1"/>
    <n v="50"/>
    <m/>
    <n v="1930"/>
    <s v="ARTÍCULO 34 CONTRATACIÓN CON EL REGISTRO ÚNICO DE OFERENTES"/>
    <m/>
    <m/>
    <x v="0"/>
    <x v="0"/>
    <x v="26"/>
    <x v="25"/>
    <n v="229101"/>
    <n v="15186"/>
    <n v="87625"/>
    <s v=" "/>
    <s v=" "/>
    <m/>
    <n v="109009650"/>
    <n v="0.02"/>
    <n v="2180193"/>
    <m/>
    <n v="37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30"/>
  </r>
  <r>
    <x v="32"/>
    <s v="LOTE 2"/>
    <x v="0"/>
    <x v="28"/>
    <x v="8"/>
    <x v="0"/>
    <s v="CL 81 A 65 A 17 BARRIO EL MILAGRO"/>
    <n v="51471112338"/>
    <s v="ESTRELLITAS LATINAS"/>
    <n v="1"/>
    <n v="50"/>
    <m/>
    <n v="1931"/>
    <s v="ARTÍCULO 34 CONTRATACIÓN CON EL REGISTRO ÚNICO DE OFERENTES"/>
    <m/>
    <m/>
    <x v="0"/>
    <x v="0"/>
    <x v="27"/>
    <x v="26"/>
    <n v="229102"/>
    <n v="15208"/>
    <n v="92425"/>
    <n v="6"/>
    <n v="287"/>
    <m/>
    <n v="112557550"/>
    <n v="0.02"/>
    <n v="2251151"/>
    <m/>
    <n v="1"/>
    <n v="112557550"/>
    <n v="114808701"/>
    <n v="646080337"/>
    <n v="12921607"/>
    <n v="659001944"/>
    <n v="453.86746540217774"/>
    <n v="2573150"/>
    <n v="2155800"/>
    <n v="1455000"/>
    <n v="106373600"/>
    <m/>
    <n v="112557550"/>
    <n v="646080337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1931"/>
  </r>
  <r>
    <x v="32"/>
    <s v="LOTE 2"/>
    <x v="0"/>
    <x v="28"/>
    <x v="8"/>
    <x v="0"/>
    <s v="PT SAICITA S SUR 12 P 12 NORTE POR EL BILLAR"/>
    <n v="51471112728"/>
    <s v="GOTITAS DE AMOR"/>
    <n v="1"/>
    <n v="50"/>
    <m/>
    <n v="1931"/>
    <s v="ARTÍCULO 34 CONTRATACIÓN CON EL REGISTRO ÚNICO DE OFERENTES"/>
    <m/>
    <m/>
    <x v="0"/>
    <x v="0"/>
    <x v="27"/>
    <x v="26"/>
    <n v="229102"/>
    <n v="15208"/>
    <n v="92425"/>
    <s v=" "/>
    <s v=" "/>
    <m/>
    <n v="112557550"/>
    <n v="0.02"/>
    <n v="2251151"/>
    <m/>
    <n v="2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1931"/>
  </r>
  <r>
    <x v="32"/>
    <s v="LOTE 2"/>
    <x v="0"/>
    <x v="28"/>
    <x v="8"/>
    <x v="0"/>
    <s v="BARRIO OBRERO"/>
    <n v="51471112757"/>
    <s v="RAYITOS DE MIL COLORES"/>
    <n v="1"/>
    <n v="50"/>
    <m/>
    <n v="1931"/>
    <s v="ARTÍCULO 34 CONTRATACIÓN CON EL REGISTRO ÚNICO DE OFERENTES"/>
    <m/>
    <m/>
    <x v="0"/>
    <x v="0"/>
    <x v="27"/>
    <x v="26"/>
    <n v="229102"/>
    <n v="15208"/>
    <n v="92425"/>
    <s v=" "/>
    <s v=" "/>
    <m/>
    <n v="112557550"/>
    <n v="0.02"/>
    <n v="2251151"/>
    <m/>
    <n v="3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1931"/>
  </r>
  <r>
    <x v="32"/>
    <s v="LOTE 2"/>
    <x v="0"/>
    <x v="28"/>
    <x v="8"/>
    <x v="0"/>
    <s v="ZUNGO EMBARCADERO"/>
    <n v="514700101047"/>
    <s v="CASA DE FAMILIA VEREDA EL SILENCIO"/>
    <n v="1"/>
    <n v="37"/>
    <m/>
    <n v="1931"/>
    <s v="ARTÍCULO 34 CONTRATACIÓN CON EL REGISTRO ÚNICO DE OFERENTES"/>
    <m/>
    <m/>
    <x v="0"/>
    <x v="0"/>
    <x v="27"/>
    <x v="26"/>
    <n v="229102"/>
    <n v="15208"/>
    <n v="92425"/>
    <s v=" "/>
    <s v=" "/>
    <m/>
    <n v="83292587"/>
    <n v="0.02"/>
    <n v="1665851.74"/>
    <m/>
    <n v="4"/>
    <n v="83292587"/>
    <n v="84958438.739999995"/>
    <s v=" "/>
    <m/>
    <m/>
    <m/>
    <n v="1904131"/>
    <n v="1595292"/>
    <n v="1076700"/>
    <n v="78716464"/>
    <m/>
    <n v="83292587"/>
    <s v=" "/>
    <n v="12820389"/>
    <n v="9839558"/>
    <n v="9839558"/>
    <n v="9839558"/>
    <n v="9839558"/>
    <n v="9839558"/>
    <n v="9839558"/>
    <n v="11434850"/>
    <n v="83292587"/>
    <n v="53393368"/>
    <s v="CONTRATO ADICIONAL POR ALIMENTACION"/>
    <b v="1"/>
    <n v="0"/>
    <b v="1"/>
    <n v="0"/>
    <x v="1"/>
    <n v="1931"/>
  </r>
  <r>
    <x v="32"/>
    <s v="LOTE 2"/>
    <x v="0"/>
    <x v="28"/>
    <x v="8"/>
    <x v="0"/>
    <s v="CL 70 72 72"/>
    <n v="514700115637"/>
    <s v="LOS LATINOS"/>
    <n v="1"/>
    <n v="50"/>
    <m/>
    <n v="1931"/>
    <s v="ARTÍCULO 34 CONTRATACIÓN CON EL REGISTRO ÚNICO DE OFERENTES"/>
    <m/>
    <m/>
    <x v="0"/>
    <x v="0"/>
    <x v="27"/>
    <x v="26"/>
    <n v="229102"/>
    <n v="15208"/>
    <n v="92425"/>
    <s v=" "/>
    <s v=" "/>
    <m/>
    <n v="112557550"/>
    <n v="0.02"/>
    <n v="2251151"/>
    <m/>
    <n v="5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1931"/>
  </r>
  <r>
    <x v="32"/>
    <s v="LOTE 2"/>
    <x v="0"/>
    <x v="28"/>
    <x v="8"/>
    <x v="0"/>
    <s v="KR 72 7430 PRADERA ESTE 12 NORTE IGLESIA PENTE COSTAL"/>
    <n v="514700115638"/>
    <s v="ANGELES DEL FUTURO"/>
    <n v="1"/>
    <n v="50"/>
    <m/>
    <n v="1931"/>
    <s v="ARTÍCULO 34 CONTRATACIÓN CON EL REGISTRO ÚNICO DE OFERENTES"/>
    <m/>
    <m/>
    <x v="0"/>
    <x v="0"/>
    <x v="27"/>
    <x v="26"/>
    <n v="229102"/>
    <n v="15208"/>
    <n v="92425"/>
    <s v=" "/>
    <s v=" "/>
    <m/>
    <n v="112557550"/>
    <n v="0.02"/>
    <n v="2251151"/>
    <m/>
    <n v="6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1931"/>
  </r>
  <r>
    <x v="33"/>
    <s v="LOTE 2"/>
    <x v="11"/>
    <x v="29"/>
    <x v="7"/>
    <x v="0"/>
    <s v="CALLE 3E N° 4 LAS MALVINAS"/>
    <n v="515400066652"/>
    <s v="VILLA TATIANA"/>
    <n v="1"/>
    <n v="85"/>
    <m/>
    <n v="1933"/>
    <s v="ARTÍCULO 34 CONTRATACIÓN CON EL REGISTRO ÚNICO DE OFERENTES"/>
    <m/>
    <m/>
    <x v="0"/>
    <x v="0"/>
    <x v="28"/>
    <x v="27"/>
    <n v="229103"/>
    <n v="15196"/>
    <n v="83125"/>
    <n v="4"/>
    <n v="715"/>
    <m/>
    <n v="251320010"/>
    <n v="0.02"/>
    <n v="5026400.2"/>
    <m/>
    <n v="1"/>
    <n v="251320010"/>
    <n v="256346410.19999999"/>
    <n v="2255432478"/>
    <n v="45108650"/>
    <n v="2300541128"/>
    <n v="1584.4274520547945"/>
    <n v="7492155"/>
    <n v="6378655"/>
    <n v="0"/>
    <n v="237449200"/>
    <m/>
    <n v="251320010"/>
    <n v="2255432478"/>
    <n v="37173305"/>
    <n v="29681150"/>
    <n v="29681150"/>
    <n v="29681150"/>
    <n v="29681150"/>
    <n v="29681150"/>
    <n v="29681150"/>
    <n v="36059805"/>
    <n v="251320010"/>
    <n v="104732240"/>
    <s v="CONTRATO ADICIONAL POR ALIMENTACION"/>
    <b v="1"/>
    <n v="0"/>
    <b v="1"/>
    <n v="0"/>
    <x v="1"/>
    <n v="1933"/>
  </r>
  <r>
    <x v="33"/>
    <s v="LOTE 2"/>
    <x v="11"/>
    <x v="29"/>
    <x v="7"/>
    <x v="0"/>
    <s v="SC LAS MALVINAS DETRAS DEL SOS PAN ZENU VIA EL BAGRE"/>
    <n v="515400102348"/>
    <s v="HOJA DE OLIVO"/>
    <n v="1"/>
    <n v="219"/>
    <m/>
    <n v="1933"/>
    <s v="ARTÍCULO 34 CONTRATACIÓN CON EL REGISTRO ÚNICO DE OFERENTES"/>
    <m/>
    <m/>
    <x v="0"/>
    <x v="0"/>
    <x v="28"/>
    <x v="27"/>
    <n v="229103"/>
    <n v="15196"/>
    <n v="83125"/>
    <s v=" "/>
    <s v=" "/>
    <m/>
    <n v="647518614"/>
    <n v="0.02"/>
    <n v="12950372.280000001"/>
    <m/>
    <n v="2"/>
    <n v="647518614"/>
    <n v="660468986.27999997"/>
    <s v=" "/>
    <m/>
    <m/>
    <m/>
    <n v="19303317"/>
    <n v="16434417"/>
    <n v="0"/>
    <n v="611780880"/>
    <m/>
    <n v="647518614"/>
    <s v=" "/>
    <n v="95775927"/>
    <n v="76472610"/>
    <n v="76472610"/>
    <n v="76472610"/>
    <n v="76472610"/>
    <n v="76472610"/>
    <n v="76472610"/>
    <n v="92907027"/>
    <n v="647518614"/>
    <n v="269839536"/>
    <s v="CONTRATO ADICIONAL POR ALIMENTACION"/>
    <b v="1"/>
    <n v="0"/>
    <b v="1"/>
    <n v="0"/>
    <x v="1"/>
    <n v="1933"/>
  </r>
  <r>
    <x v="33"/>
    <s v="LOTE 2"/>
    <x v="11"/>
    <x v="29"/>
    <x v="4"/>
    <x v="0"/>
    <s v="KR 20 N 8 16 TRONCAL EQUINA"/>
    <n v="515400105716"/>
    <s v="CDI MARA CAUCASIA"/>
    <n v="1"/>
    <n v="103"/>
    <m/>
    <n v="1933"/>
    <s v="ARTÍCULO 34 CONTRATACIÓN CON EL REGISTRO ÚNICO DE OFERENTES"/>
    <m/>
    <m/>
    <x v="0"/>
    <x v="0"/>
    <x v="28"/>
    <x v="27"/>
    <n v="229103"/>
    <n v="15196"/>
    <n v="83125"/>
    <s v=" "/>
    <s v=" "/>
    <m/>
    <n v="445928406"/>
    <n v="0.02"/>
    <n v="8918568.120000001"/>
    <m/>
    <n v="3"/>
    <n v="445928406"/>
    <n v="454846974.12"/>
    <s v=" "/>
    <m/>
    <m/>
    <m/>
    <n v="9078729"/>
    <n v="7729429"/>
    <n v="0"/>
    <n v="429120248"/>
    <m/>
    <n v="445928406"/>
    <s v=" "/>
    <n v="62718760"/>
    <n v="53640031"/>
    <n v="53640031"/>
    <n v="53640031"/>
    <n v="53640031"/>
    <n v="53640031"/>
    <n v="53640031"/>
    <n v="61369460"/>
    <n v="445928406"/>
    <n v="0"/>
    <s v="CONTRATO COSTEADO CON ALIMENTACION"/>
    <b v="1"/>
    <n v="0"/>
    <b v="1"/>
    <n v="0"/>
    <x v="1"/>
    <n v="1933"/>
  </r>
  <r>
    <x v="33"/>
    <s v="LOTE 2"/>
    <x v="11"/>
    <x v="29"/>
    <x v="7"/>
    <x v="0"/>
    <s v="KR 29 A 28 C 10  BARRIO EL CAMELLO"/>
    <n v="515400122299"/>
    <s v="CDI LOS CAMELLITOS"/>
    <n v="1"/>
    <n v="308"/>
    <m/>
    <n v="1933"/>
    <s v="ARTÍCULO 34 CONTRATACIÓN CON EL REGISTRO ÚNICO DE OFERENTES"/>
    <m/>
    <m/>
    <x v="0"/>
    <x v="0"/>
    <x v="28"/>
    <x v="27"/>
    <n v="229103"/>
    <n v="15196"/>
    <n v="83125"/>
    <s v=" "/>
    <s v=" "/>
    <m/>
    <n v="910665448"/>
    <n v="0.02"/>
    <n v="18213308.960000001"/>
    <m/>
    <n v="4"/>
    <n v="910665448"/>
    <n v="928878756.96000004"/>
    <s v=" "/>
    <m/>
    <m/>
    <m/>
    <n v="27148044"/>
    <n v="23113244"/>
    <n v="0"/>
    <n v="860404160"/>
    <m/>
    <n v="910665448"/>
    <s v=" "/>
    <n v="134698564"/>
    <n v="107550520"/>
    <n v="107550520"/>
    <n v="107550520"/>
    <n v="107550520"/>
    <n v="107550520"/>
    <n v="107550520"/>
    <n v="130663764"/>
    <n v="910665448"/>
    <n v="379500352"/>
    <s v="CONTRATO ADICIONAL POR ALIMENTACION"/>
    <b v="1"/>
    <n v="0"/>
    <b v="1"/>
    <n v="0"/>
    <x v="1"/>
    <n v="1933"/>
  </r>
  <r>
    <x v="34"/>
    <s v="LOTE 2"/>
    <x v="11"/>
    <x v="29"/>
    <x v="7"/>
    <x v="0"/>
    <s v="KILOMETRO 2 TRONCAL OCCIDENTE"/>
    <n v="51541135194"/>
    <s v="CDI EL TESORO"/>
    <n v="1"/>
    <n v="56"/>
    <m/>
    <n v="1934"/>
    <s v="ARTÍCULO 34 CONTRATACIÓN CON EL REGISTRO ÚNICO DE OFERENTES"/>
    <m/>
    <m/>
    <x v="0"/>
    <x v="0"/>
    <x v="29"/>
    <x v="28"/>
    <n v="229104"/>
    <n v="15189"/>
    <n v="82425"/>
    <n v="7"/>
    <n v="727"/>
    <m/>
    <n v="165575536"/>
    <n v="0.02"/>
    <n v="3311510.72"/>
    <m/>
    <n v="1"/>
    <n v="165575536"/>
    <n v="168887046.72"/>
    <n v="2985497126"/>
    <n v="59709943"/>
    <n v="3045207069"/>
    <n v="2097.2933796979278"/>
    <n v="4936008"/>
    <n v="4202408"/>
    <n v="0"/>
    <n v="156437120"/>
    <m/>
    <n v="165575536"/>
    <n v="2985497126"/>
    <n v="24490648"/>
    <n v="19554640"/>
    <n v="19554640"/>
    <n v="19554640"/>
    <n v="19554640"/>
    <n v="19554640"/>
    <n v="19554640"/>
    <n v="23757048"/>
    <n v="165575536"/>
    <n v="69000064"/>
    <s v="CONTRATO ADICIONAL POR ALIMENTACION"/>
    <b v="1"/>
    <n v="0"/>
    <b v="1"/>
    <n v="0"/>
    <x v="1"/>
    <n v="1934"/>
  </r>
  <r>
    <x v="34"/>
    <s v="LOTE 2"/>
    <x v="11"/>
    <x v="29"/>
    <x v="4"/>
    <x v="0"/>
    <s v="VEREDA EL PANDO"/>
    <n v="51541146462"/>
    <s v="CDI EL PANDO"/>
    <n v="1"/>
    <n v="20"/>
    <m/>
    <n v="1934"/>
    <s v="ARTÍCULO 34 CONTRATACIÓN CON EL REGISTRO ÚNICO DE OFERENTES"/>
    <m/>
    <m/>
    <x v="0"/>
    <x v="0"/>
    <x v="29"/>
    <x v="28"/>
    <n v="229104"/>
    <n v="15189"/>
    <n v="82425"/>
    <s v=" "/>
    <s v=" "/>
    <m/>
    <n v="86588040"/>
    <n v="0.02"/>
    <n v="1731760.8"/>
    <m/>
    <n v="2"/>
    <n v="86588040"/>
    <n v="88319800.799999997"/>
    <s v=" "/>
    <m/>
    <m/>
    <m/>
    <n v="1762860"/>
    <n v="1500860"/>
    <n v="0"/>
    <n v="83324320"/>
    <m/>
    <n v="86588040"/>
    <s v=" "/>
    <n v="12178400"/>
    <n v="10415540"/>
    <n v="10415540"/>
    <n v="10415540"/>
    <n v="10415540"/>
    <n v="10415540"/>
    <n v="10415540"/>
    <n v="11916400"/>
    <n v="86588040"/>
    <n v="0"/>
    <s v="CONTRATO COSTEADO CON ALIMENTACION"/>
    <b v="1"/>
    <n v="0"/>
    <b v="1"/>
    <n v="0"/>
    <x v="1"/>
    <n v="1934"/>
  </r>
  <r>
    <x v="34"/>
    <s v="LOTE 2"/>
    <x v="11"/>
    <x v="29"/>
    <x v="4"/>
    <x v="0"/>
    <s v="CL 8A CR 24 - 25"/>
    <n v="51541151691"/>
    <s v="GARABATEANDO"/>
    <n v="1"/>
    <n v="200"/>
    <m/>
    <n v="1934"/>
    <s v="ARTÍCULO 34 CONTRATACIÓN CON EL REGISTRO ÚNICO DE OFERENTES"/>
    <m/>
    <m/>
    <x v="0"/>
    <x v="0"/>
    <x v="29"/>
    <x v="28"/>
    <n v="229104"/>
    <n v="15189"/>
    <n v="82425"/>
    <s v=" "/>
    <s v=" "/>
    <m/>
    <n v="865880400"/>
    <n v="0.02"/>
    <n v="17317608"/>
    <m/>
    <n v="3"/>
    <n v="865880400"/>
    <n v="883198008"/>
    <s v=" "/>
    <m/>
    <m/>
    <m/>
    <n v="17628600"/>
    <n v="15008600"/>
    <n v="0"/>
    <n v="833243200"/>
    <m/>
    <n v="865880400"/>
    <s v=" "/>
    <n v="121784000"/>
    <n v="104155400"/>
    <n v="104155400"/>
    <n v="104155400"/>
    <n v="104155400"/>
    <n v="104155400"/>
    <n v="104155400"/>
    <n v="119164000"/>
    <n v="865880400"/>
    <n v="0"/>
    <s v="CONTRATO COSTEADO CON ALIMENTACION"/>
    <b v="1"/>
    <n v="0"/>
    <b v="1"/>
    <n v="0"/>
    <x v="1"/>
    <n v="1934"/>
  </r>
  <r>
    <x v="34"/>
    <s v="LOTE 2"/>
    <x v="11"/>
    <x v="29"/>
    <x v="7"/>
    <x v="0"/>
    <s v="CL 11 16 48 BARRIO LAS BRISAS"/>
    <n v="515400066673"/>
    <s v="CDI CASITA DE SUEÑOS"/>
    <n v="1"/>
    <n v="62"/>
    <m/>
    <n v="1934"/>
    <s v="ARTÍCULO 34 CONTRATACIÓN CON EL REGISTRO ÚNICO DE OFERENTES"/>
    <m/>
    <m/>
    <x v="0"/>
    <x v="0"/>
    <x v="29"/>
    <x v="28"/>
    <n v="229104"/>
    <n v="15189"/>
    <n v="82425"/>
    <s v=" "/>
    <s v=" "/>
    <m/>
    <n v="183315772"/>
    <n v="0.02"/>
    <n v="3666315.44"/>
    <m/>
    <n v="4"/>
    <n v="183315772"/>
    <n v="186982087.44"/>
    <s v=" "/>
    <m/>
    <m/>
    <m/>
    <n v="5464866"/>
    <n v="4652666"/>
    <n v="0"/>
    <n v="173198240"/>
    <m/>
    <n v="183315772"/>
    <s v=" "/>
    <n v="27114646"/>
    <n v="21649780"/>
    <n v="21649780"/>
    <n v="21649780"/>
    <n v="21649780"/>
    <n v="21649780"/>
    <n v="21649780"/>
    <n v="26302446"/>
    <n v="183315772"/>
    <n v="76392928"/>
    <s v="CONTRATO ADICIONAL POR ALIMENTACION"/>
    <b v="1"/>
    <n v="0"/>
    <b v="1"/>
    <n v="0"/>
    <x v="1"/>
    <n v="1934"/>
  </r>
  <r>
    <x v="34"/>
    <s v="LOTE 2"/>
    <x v="11"/>
    <x v="29"/>
    <x v="4"/>
    <x v="0"/>
    <s v="CR 18 31 -19 EL PALMAR"/>
    <n v="515400066714"/>
    <s v="LAURA CAMILA"/>
    <n v="1"/>
    <n v="100"/>
    <m/>
    <n v="1934"/>
    <s v="ARTÍCULO 34 CONTRATACIÓN CON EL REGISTRO ÚNICO DE OFERENTES"/>
    <m/>
    <m/>
    <x v="0"/>
    <x v="0"/>
    <x v="29"/>
    <x v="28"/>
    <n v="229104"/>
    <n v="15189"/>
    <n v="82425"/>
    <s v=" "/>
    <s v=" "/>
    <m/>
    <n v="432940200"/>
    <n v="0.02"/>
    <n v="8658804"/>
    <m/>
    <n v="5"/>
    <n v="432940200"/>
    <n v="441599004"/>
    <s v=" "/>
    <m/>
    <m/>
    <m/>
    <n v="8814300"/>
    <n v="7504300"/>
    <n v="0"/>
    <n v="416621600"/>
    <m/>
    <n v="432940200"/>
    <s v=" "/>
    <n v="60892000"/>
    <n v="52077700"/>
    <n v="52077700"/>
    <n v="52077700"/>
    <n v="52077700"/>
    <n v="52077700"/>
    <n v="52077700"/>
    <n v="59582000"/>
    <n v="432940200"/>
    <n v="0"/>
    <s v="CONTRATO COSTEADO CON ALIMENTACION"/>
    <b v="1"/>
    <n v="0"/>
    <b v="1"/>
    <n v="0"/>
    <x v="1"/>
    <n v="1934"/>
  </r>
  <r>
    <x v="34"/>
    <s v="LOTE 2"/>
    <x v="11"/>
    <x v="29"/>
    <x v="4"/>
    <x v="0"/>
    <s v="CL 4 A SUR 5 06"/>
    <n v="515400104082"/>
    <s v="CDI LA FINQUITA"/>
    <n v="1"/>
    <n v="122"/>
    <m/>
    <n v="1934"/>
    <s v="ARTÍCULO 34 CONTRATACIÓN CON EL REGISTRO ÚNICO DE OFERENTES"/>
    <m/>
    <m/>
    <x v="0"/>
    <x v="0"/>
    <x v="29"/>
    <x v="28"/>
    <n v="229104"/>
    <n v="15189"/>
    <n v="82425"/>
    <s v=" "/>
    <s v=" "/>
    <m/>
    <n v="528187044"/>
    <n v="0.02"/>
    <n v="10563740.880000001"/>
    <m/>
    <n v="6"/>
    <n v="528187044"/>
    <n v="538750784.88"/>
    <s v=" "/>
    <m/>
    <m/>
    <m/>
    <n v="10753446"/>
    <n v="9155246"/>
    <n v="0"/>
    <n v="508278352"/>
    <m/>
    <n v="528187044"/>
    <s v=" "/>
    <n v="74288240"/>
    <n v="63534794"/>
    <n v="63534794"/>
    <n v="63534794"/>
    <n v="63534794"/>
    <n v="63534794"/>
    <n v="63534794"/>
    <n v="72690040"/>
    <n v="528187044"/>
    <n v="0"/>
    <s v="CONTRATO COSTEADO CON ALIMENTACION"/>
    <b v="1"/>
    <n v="0"/>
    <b v="1"/>
    <n v="0"/>
    <x v="1"/>
    <n v="1934"/>
  </r>
  <r>
    <x v="34"/>
    <s v="LOTE 2"/>
    <x v="11"/>
    <x v="29"/>
    <x v="4"/>
    <x v="0"/>
    <s v="CALLE 8 N° 19-38 PUEBLO NUEVO"/>
    <n v="515400105690"/>
    <s v="CDI RINCON MAGICO"/>
    <n v="1"/>
    <n v="167"/>
    <m/>
    <n v="1934"/>
    <s v="ARTÍCULO 34 CONTRATACIÓN CON EL REGISTRO ÚNICO DE OFERENTES"/>
    <m/>
    <m/>
    <x v="0"/>
    <x v="0"/>
    <x v="29"/>
    <x v="28"/>
    <n v="229104"/>
    <n v="15189"/>
    <n v="82425"/>
    <s v=" "/>
    <s v=" "/>
    <m/>
    <n v="723010134"/>
    <n v="0.02"/>
    <n v="14460202.68"/>
    <m/>
    <n v="7"/>
    <n v="723010134"/>
    <n v="737470336.67999995"/>
    <s v=" "/>
    <m/>
    <m/>
    <m/>
    <n v="14719881"/>
    <n v="12532181"/>
    <n v="0"/>
    <n v="695758072"/>
    <m/>
    <n v="723010134"/>
    <s v=" "/>
    <n v="101689640"/>
    <n v="86969759"/>
    <n v="86969759"/>
    <n v="86969759"/>
    <n v="86969759"/>
    <n v="86969759"/>
    <n v="86969759"/>
    <n v="99501940"/>
    <n v="723010134"/>
    <n v="0"/>
    <s v="CONTRATO COSTEADO CON ALIMENTACION"/>
    <b v="1"/>
    <n v="0"/>
    <b v="1"/>
    <n v="0"/>
    <x v="1"/>
    <n v="1934"/>
  </r>
  <r>
    <x v="35"/>
    <s v="LOTE 2"/>
    <x v="11"/>
    <x v="29"/>
    <x v="5"/>
    <x v="0"/>
    <s v="CUTURU"/>
    <n v="51541115126"/>
    <s v="SALON COMUNAL CUTURU1 ESPERANZA Y FUTURO"/>
    <n v="1"/>
    <n v="36"/>
    <m/>
    <n v="1935"/>
    <s v="ARTÍCULO 34 CONTRATACIÓN CON EL REGISTRO ÚNICO DE OFERENTES"/>
    <m/>
    <m/>
    <x v="0"/>
    <x v="0"/>
    <x v="30"/>
    <x v="29"/>
    <n v="229954"/>
    <e v="#N/A"/>
    <e v="#N/A"/>
    <n v="36"/>
    <n v="741"/>
    <m/>
    <n v="78486948"/>
    <n v="0.02"/>
    <n v="1569738.96"/>
    <m/>
    <n v="1"/>
    <n v="78486948"/>
    <n v="80056686.959999993"/>
    <n v="1615523013"/>
    <n v="32310460"/>
    <n v="1647833473"/>
    <n v="1134.89498630137"/>
    <n v="1777536"/>
    <n v="1477044"/>
    <n v="1047600"/>
    <n v="74184768"/>
    <m/>
    <n v="78486948"/>
    <n v="1615523013"/>
    <n v="12098232"/>
    <n v="9273096"/>
    <n v="9273096"/>
    <n v="9273096"/>
    <n v="9273096"/>
    <n v="9273096"/>
    <n v="9273096"/>
    <n v="10750140"/>
    <n v="78486948"/>
    <n v="51950304"/>
    <s v="CONTRATACIÓN ALIMENTOS - DPI"/>
    <b v="1"/>
    <n v="0"/>
    <b v="1"/>
    <n v="0"/>
    <x v="0"/>
    <m/>
  </r>
  <r>
    <x v="35"/>
    <s v="LOTE 2"/>
    <x v="11"/>
    <x v="29"/>
    <x v="5"/>
    <x v="0"/>
    <s v="TIGRE 1"/>
    <n v="51541115133"/>
    <s v="C COMUNAL TIGRE 1 ESTRELLITAS CREADORAS"/>
    <n v="1"/>
    <n v="33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71946369"/>
    <n v="0.02"/>
    <n v="1438927.3800000001"/>
    <m/>
    <n v="2"/>
    <n v="71946369"/>
    <n v="73385296.379999995"/>
    <s v=" "/>
    <m/>
    <m/>
    <m/>
    <n v="1629408"/>
    <n v="1353957"/>
    <n v="960300"/>
    <n v="68002704"/>
    <m/>
    <n v="71946369"/>
    <s v=" "/>
    <n v="11090046"/>
    <n v="8500338"/>
    <n v="8500338"/>
    <n v="8500338"/>
    <n v="8500338"/>
    <n v="8500338"/>
    <n v="8500338"/>
    <n v="9854295"/>
    <n v="71946369"/>
    <n v="47621112"/>
    <s v="CONTRATACIÓN ALIMENTOS - DPI"/>
    <b v="1"/>
    <n v="0"/>
    <b v="1"/>
    <n v="0"/>
    <x v="0"/>
    <m/>
  </r>
  <r>
    <x v="35"/>
    <s v="LOTE 2"/>
    <x v="11"/>
    <x v="29"/>
    <x v="5"/>
    <x v="0"/>
    <s v="CORREGIMIENTO DE RIO VIEJO"/>
    <n v="51541115139"/>
    <s v="CASA FLIA RIO VIEJO HUELLITAS DE AMOR"/>
    <n v="1"/>
    <n v="17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7063281"/>
    <n v="0.02"/>
    <n v="741265.62"/>
    <m/>
    <n v="3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0"/>
    <m/>
  </r>
  <r>
    <x v="35"/>
    <s v="LOTE 2"/>
    <x v="11"/>
    <x v="29"/>
    <x v="5"/>
    <x v="0"/>
    <s v="CORREGIMIENTO CACERÍ"/>
    <n v="51541115147"/>
    <s v="C COMUNAL CACERI MIS PRIMEROS PASOS"/>
    <n v="1"/>
    <n v="33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71946369"/>
    <n v="0.02"/>
    <n v="1438927.3800000001"/>
    <m/>
    <n v="4"/>
    <n v="71946369"/>
    <n v="73385296.379999995"/>
    <s v=" "/>
    <m/>
    <m/>
    <m/>
    <n v="1629408"/>
    <n v="1353957"/>
    <n v="960300"/>
    <n v="68002704"/>
    <m/>
    <n v="71946369"/>
    <s v=" "/>
    <n v="11090046"/>
    <n v="8500338"/>
    <n v="8500338"/>
    <n v="8500338"/>
    <n v="8500338"/>
    <n v="8500338"/>
    <n v="8500338"/>
    <n v="9854295"/>
    <n v="71946369"/>
    <n v="47621112"/>
    <s v="CONTRATACIÓN ALIMENTOS - DPI"/>
    <b v="1"/>
    <n v="0"/>
    <b v="1"/>
    <n v="0"/>
    <x v="0"/>
    <m/>
  </r>
  <r>
    <x v="35"/>
    <s v="LOTE 2"/>
    <x v="11"/>
    <x v="29"/>
    <x v="5"/>
    <x v="0"/>
    <s v="VEREDA MARGENTO"/>
    <n v="51541115148"/>
    <s v="KIOSCO FLIA MARGENTO PIES DESCALZOS"/>
    <n v="1"/>
    <n v="20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43603860"/>
    <n v="0.02"/>
    <n v="872077.20000000007"/>
    <m/>
    <n v="5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0"/>
    <m/>
  </r>
  <r>
    <x v="35"/>
    <s v="LOTE 2"/>
    <x v="11"/>
    <x v="29"/>
    <x v="5"/>
    <x v="0"/>
    <s v="QUEBRADONA MEDIO"/>
    <n v="51541115154"/>
    <s v="CASA FLIA QUEBRADONA MUNDO MAGICO"/>
    <n v="1"/>
    <n v="16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4883088"/>
    <n v="0.02"/>
    <n v="697661.76"/>
    <m/>
    <n v="6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0"/>
    <m/>
  </r>
  <r>
    <x v="35"/>
    <s v="LOTE 2"/>
    <x v="11"/>
    <x v="29"/>
    <x v="5"/>
    <x v="0"/>
    <s v="VEREDA MANZANARES"/>
    <n v="51541115160"/>
    <s v="C COMUNAL MANZANARES SUEÑOS YSONRISAS"/>
    <n v="1"/>
    <n v="10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21801930"/>
    <n v="0.02"/>
    <n v="436038.60000000003"/>
    <m/>
    <n v="7"/>
    <n v="21801930"/>
    <n v="22237968.600000001"/>
    <s v=" "/>
    <m/>
    <m/>
    <m/>
    <n v="493760"/>
    <n v="410290"/>
    <n v="291000"/>
    <n v="20606880"/>
    <m/>
    <n v="21801930"/>
    <s v=" "/>
    <n v="3360620"/>
    <n v="2575860"/>
    <n v="2575860"/>
    <n v="2575860"/>
    <n v="2575860"/>
    <n v="2575860"/>
    <n v="2575860"/>
    <n v="2986150"/>
    <n v="21801930"/>
    <n v="14430640"/>
    <s v="CONTRATACIÓN ALIMENTOS - DPI"/>
    <b v="1"/>
    <n v="0"/>
    <b v="1"/>
    <n v="0"/>
    <x v="0"/>
    <m/>
  </r>
  <r>
    <x v="35"/>
    <s v="LOTE 2"/>
    <x v="11"/>
    <x v="29"/>
    <x v="5"/>
    <x v="0"/>
    <s v="VEREDA PALANCA"/>
    <n v="51541135121"/>
    <s v="KIOSCO PALANCA UNA NUEVA AVENTURA"/>
    <n v="1"/>
    <n v="19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41423667"/>
    <n v="0.02"/>
    <n v="828473.34"/>
    <m/>
    <n v="8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ACIÓN ALIMENTOS - DPI"/>
    <b v="1"/>
    <n v="0"/>
    <b v="1"/>
    <n v="0"/>
    <x v="0"/>
    <m/>
  </r>
  <r>
    <x v="35"/>
    <s v="LOTE 2"/>
    <x v="11"/>
    <x v="29"/>
    <x v="5"/>
    <x v="0"/>
    <s v="VEREDA VILLA DEL SOCORRO"/>
    <n v="51541136833"/>
    <s v="KIOSCO COMUNAL VILLA DEL SOCORRO CONSTR FUTU"/>
    <n v="1"/>
    <n v="50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109009650"/>
    <n v="0.02"/>
    <n v="2180193"/>
    <m/>
    <n v="9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ACIÓN ALIMENTOS - DPI"/>
    <b v="1"/>
    <n v="0"/>
    <b v="1"/>
    <n v="0"/>
    <x v="0"/>
    <m/>
  </r>
  <r>
    <x v="35"/>
    <s v="LOTE 2"/>
    <x v="11"/>
    <x v="29"/>
    <x v="5"/>
    <x v="0"/>
    <s v="CORREGIMIENTO PUERTO TRIANA"/>
    <n v="51541136846"/>
    <s v="C COMUNAL PTO TRIANA GOTITAS DE AMOR"/>
    <n v="1"/>
    <n v="20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43603860"/>
    <n v="0.02"/>
    <n v="872077.20000000007"/>
    <m/>
    <n v="10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0"/>
    <m/>
  </r>
  <r>
    <x v="35"/>
    <s v="LOTE 2"/>
    <x v="11"/>
    <x v="29"/>
    <x v="5"/>
    <x v="0"/>
    <s v="VEREDA LA UNION"/>
    <n v="51541136847"/>
    <s v="AULA PADAGOGICA LA UNION NUEVO DESPERTA"/>
    <n v="1"/>
    <n v="28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61045404"/>
    <n v="0.02"/>
    <n v="1220908.08"/>
    <m/>
    <n v="11"/>
    <n v="61045404"/>
    <n v="62266312.079999998"/>
    <s v=" "/>
    <m/>
    <m/>
    <m/>
    <n v="1382528"/>
    <n v="1148812"/>
    <n v="814800"/>
    <n v="57699264"/>
    <m/>
    <n v="61045404"/>
    <s v=" "/>
    <n v="9409736"/>
    <n v="7212408"/>
    <n v="7212408"/>
    <n v="7212408"/>
    <n v="7212408"/>
    <n v="7212408"/>
    <n v="7212408"/>
    <n v="8361220"/>
    <n v="61045404"/>
    <n v="40405792"/>
    <s v="CONTRATACIÓN ALIMENTOS - DPI"/>
    <b v="1"/>
    <n v="0"/>
    <b v="1"/>
    <n v="0"/>
    <x v="0"/>
    <m/>
  </r>
  <r>
    <x v="35"/>
    <s v="LOTE 2"/>
    <x v="11"/>
    <x v="29"/>
    <x v="5"/>
    <x v="0"/>
    <s v="PUERTO ESPAÑA"/>
    <n v="51541136849"/>
    <s v="SALON COMUNAL RAYITOS DE LUZ PTO ESPAÑA"/>
    <n v="1"/>
    <n v="17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7063281"/>
    <n v="0.02"/>
    <n v="741265.62"/>
    <m/>
    <n v="12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0"/>
    <m/>
  </r>
  <r>
    <x v="35"/>
    <s v="LOTE 2"/>
    <x v="11"/>
    <x v="29"/>
    <x v="5"/>
    <x v="0"/>
    <s v="VEREDA PUERTO GAITAN"/>
    <n v="51541137864"/>
    <s v="CASA FLIA PTO GAITAN COLORES DE LA MONTAÑA"/>
    <n v="1"/>
    <n v="18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9243474"/>
    <n v="0.02"/>
    <n v="784869.48"/>
    <m/>
    <n v="13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0"/>
    <m/>
  </r>
  <r>
    <x v="35"/>
    <s v="LOTE 2"/>
    <x v="11"/>
    <x v="29"/>
    <x v="5"/>
    <x v="0"/>
    <s v="SAN JOSE"/>
    <n v="51541143947"/>
    <s v="KIOSCO FLIA SAN JOSE HUELLITAS DE AMOR"/>
    <n v="1"/>
    <n v="14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0522702"/>
    <n v="0.02"/>
    <n v="610454.04"/>
    <m/>
    <n v="14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0"/>
    <m/>
  </r>
  <r>
    <x v="35"/>
    <s v="LOTE 2"/>
    <x v="11"/>
    <x v="29"/>
    <x v="5"/>
    <x v="0"/>
    <s v="KILOMETRO 18"/>
    <n v="51541143955"/>
    <s v="ESC ANTIGUA KILOMETRO18SUEÑOS Y SONRISA"/>
    <n v="1"/>
    <n v="9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19621737"/>
    <n v="0.02"/>
    <n v="392434.74"/>
    <m/>
    <n v="15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ACIÓN ALIMENTOS - DPI"/>
    <b v="1"/>
    <n v="0"/>
    <b v="1"/>
    <n v="0"/>
    <x v="0"/>
    <m/>
  </r>
  <r>
    <x v="35"/>
    <s v="LOTE 2"/>
    <x v="11"/>
    <x v="29"/>
    <x v="5"/>
    <x v="0"/>
    <s v="SANTO DOMINGO"/>
    <n v="51541143965"/>
    <s v="C COMUNALSANTODOMINGOSUEÑOS YSONRISAS"/>
    <n v="1"/>
    <n v="19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41423667"/>
    <n v="0.02"/>
    <n v="828473.34"/>
    <m/>
    <n v="16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ACIÓN ALIMENTOS - DPI"/>
    <b v="1"/>
    <n v="0"/>
    <b v="1"/>
    <n v="0"/>
    <x v="0"/>
    <m/>
  </r>
  <r>
    <x v="35"/>
    <s v="LOTE 2"/>
    <x v="11"/>
    <x v="29"/>
    <x v="5"/>
    <x v="0"/>
    <s v="TIGRE 3"/>
    <n v="51541143970"/>
    <s v="C COMUNAL TIGRE 3 PEQ ARTISTAS"/>
    <n v="1"/>
    <n v="33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71946369"/>
    <n v="0.02"/>
    <n v="1438927.3800000001"/>
    <m/>
    <n v="17"/>
    <n v="71946369"/>
    <n v="73385296.379999995"/>
    <s v=" "/>
    <m/>
    <m/>
    <m/>
    <n v="1629408"/>
    <n v="1353957"/>
    <n v="960300"/>
    <n v="68002704"/>
    <m/>
    <n v="71946369"/>
    <s v=" "/>
    <n v="11090046"/>
    <n v="8500338"/>
    <n v="8500338"/>
    <n v="8500338"/>
    <n v="8500338"/>
    <n v="8500338"/>
    <n v="8500338"/>
    <n v="9854295"/>
    <n v="71946369"/>
    <n v="47621112"/>
    <s v="CONTRATACIÓN ALIMENTOS - DPI"/>
    <b v="1"/>
    <n v="0"/>
    <b v="1"/>
    <n v="0"/>
    <x v="0"/>
    <m/>
  </r>
  <r>
    <x v="35"/>
    <s v="LOTE 2"/>
    <x v="11"/>
    <x v="29"/>
    <x v="5"/>
    <x v="0"/>
    <s v="PALOMAR"/>
    <n v="51541143973"/>
    <s v="KIOSCO COMUNAL PALOMAR PIES DESCALZOS"/>
    <n v="1"/>
    <n v="9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19621737"/>
    <n v="0.02"/>
    <n v="392434.74"/>
    <m/>
    <n v="18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ACIÓN ALIMENTOS - DPI"/>
    <b v="1"/>
    <n v="0"/>
    <b v="1"/>
    <n v="0"/>
    <x v="0"/>
    <m/>
  </r>
  <r>
    <x v="35"/>
    <s v="LOTE 2"/>
    <x v="11"/>
    <x v="29"/>
    <x v="5"/>
    <x v="0"/>
    <s v="LA RAYA"/>
    <n v="51541143977"/>
    <s v="KIOSCO FLIA LA RAYA SEMILLITAS ALEGRES"/>
    <n v="1"/>
    <n v="15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2702895"/>
    <n v="0.02"/>
    <n v="654057.9"/>
    <m/>
    <n v="19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0"/>
    <m/>
  </r>
  <r>
    <x v="35"/>
    <s v="LOTE 2"/>
    <x v="11"/>
    <x v="29"/>
    <x v="5"/>
    <x v="0"/>
    <s v="VEREDA TREJOS"/>
    <n v="51541143978"/>
    <s v="CER TREJOS UNA NUEVA AVENTURA"/>
    <n v="1"/>
    <n v="18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9243474"/>
    <n v="0.02"/>
    <n v="784869.48"/>
    <m/>
    <n v="20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0"/>
    <m/>
  </r>
  <r>
    <x v="35"/>
    <s v="LOTE 2"/>
    <x v="11"/>
    <x v="29"/>
    <x v="5"/>
    <x v="0"/>
    <s v="VEREDA BARRANQUILLITA"/>
    <n v="51541143979"/>
    <s v="C COMUNAL BQUILLITA UNANUEVAAVENTURA"/>
    <n v="1"/>
    <n v="14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0522702"/>
    <n v="0.02"/>
    <n v="610454.04"/>
    <m/>
    <n v="21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0"/>
    <m/>
  </r>
  <r>
    <x v="35"/>
    <s v="LOTE 2"/>
    <x v="11"/>
    <x v="29"/>
    <x v="5"/>
    <x v="0"/>
    <s v="APARTADA DE CUTURÚ"/>
    <n v="51541143980"/>
    <s v="CASA FLIA APDA DE CUTURÚ MISPRIMEROSPASOS"/>
    <n v="1"/>
    <n v="14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0522702"/>
    <n v="0.02"/>
    <n v="610454.04"/>
    <m/>
    <n v="22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0"/>
    <m/>
  </r>
  <r>
    <x v="35"/>
    <s v="LOTE 2"/>
    <x v="11"/>
    <x v="29"/>
    <x v="5"/>
    <x v="0"/>
    <s v="SANTA ROSITA"/>
    <n v="51541143982"/>
    <s v="KIOSCO FLIA SANTA ROSITA FLOCIENDOCONAMOR"/>
    <n v="1"/>
    <n v="34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74126562"/>
    <n v="0.02"/>
    <n v="1482531.24"/>
    <m/>
    <n v="23"/>
    <n v="74126562"/>
    <n v="75609093.239999995"/>
    <s v=" "/>
    <m/>
    <m/>
    <m/>
    <n v="1678784"/>
    <n v="1394986"/>
    <n v="989400"/>
    <n v="70063392"/>
    <m/>
    <n v="74126562"/>
    <s v=" "/>
    <n v="11426108"/>
    <n v="8757924"/>
    <n v="8757924"/>
    <n v="8757924"/>
    <n v="8757924"/>
    <n v="8757924"/>
    <n v="8757924"/>
    <n v="10152910"/>
    <n v="74126562"/>
    <n v="49064176"/>
    <s v="CONTRATACIÓN ALIMENTOS - DPI"/>
    <b v="1"/>
    <n v="0"/>
    <b v="1"/>
    <n v="0"/>
    <x v="0"/>
    <m/>
  </r>
  <r>
    <x v="35"/>
    <s v="LOTE 2"/>
    <x v="11"/>
    <x v="29"/>
    <x v="5"/>
    <x v="0"/>
    <s v="VEREDA PUEBLO SANTO"/>
    <n v="51541143983"/>
    <s v="CER PUEBLO SANTO NUEVO DESPERTAR"/>
    <n v="1"/>
    <n v="20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43603860"/>
    <n v="0.02"/>
    <n v="872077.20000000007"/>
    <m/>
    <n v="2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0"/>
    <m/>
  </r>
  <r>
    <x v="35"/>
    <s v="LOTE 2"/>
    <x v="11"/>
    <x v="29"/>
    <x v="5"/>
    <x v="0"/>
    <s v="VILLA DEL SOCORRO VÍA NECHÍ"/>
    <n v="51541148672"/>
    <s v="KIOSCO FAMILIAR PIES DESCALZOS"/>
    <n v="1"/>
    <n v="20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43603860"/>
    <n v="0.02"/>
    <n v="872077.20000000007"/>
    <m/>
    <n v="25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0"/>
    <m/>
  </r>
  <r>
    <x v="35"/>
    <s v="LOTE 2"/>
    <x v="11"/>
    <x v="29"/>
    <x v="5"/>
    <x v="0"/>
    <s v="VEREDA LA CASETA"/>
    <n v="51541148711"/>
    <s v="CASA COMUNAL LA CASETA MUNDO MAGICO"/>
    <n v="1"/>
    <n v="20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43603860"/>
    <n v="0.02"/>
    <n v="872077.20000000007"/>
    <m/>
    <n v="26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0"/>
    <m/>
  </r>
  <r>
    <x v="35"/>
    <s v="LOTE 2"/>
    <x v="11"/>
    <x v="29"/>
    <x v="5"/>
    <x v="0"/>
    <s v="LA GARRAPATA"/>
    <n v="51541148733"/>
    <s v="CASA FLIA GOTICAS DE AMOR LA GARRAPATA"/>
    <n v="1"/>
    <n v="11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23982123"/>
    <n v="0.02"/>
    <n v="479642.46"/>
    <m/>
    <n v="27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ACIÓN ALIMENTOS - DPI"/>
    <b v="1"/>
    <n v="0"/>
    <b v="1"/>
    <n v="0"/>
    <x v="0"/>
    <m/>
  </r>
  <r>
    <x v="35"/>
    <s v="LOTE 2"/>
    <x v="11"/>
    <x v="29"/>
    <x v="5"/>
    <x v="0"/>
    <s v="VEREDA EL CINCUENTA"/>
    <n v="51541148734"/>
    <s v="CASA FLIA GOTICAS DE AMOR EL CINCUENTA"/>
    <n v="1"/>
    <n v="17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7063281"/>
    <n v="0.02"/>
    <n v="741265.62"/>
    <m/>
    <n v="28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0"/>
    <m/>
  </r>
  <r>
    <x v="35"/>
    <s v="LOTE 2"/>
    <x v="11"/>
    <x v="29"/>
    <x v="5"/>
    <x v="0"/>
    <s v="VEREDA PARAGUAY"/>
    <n v="51541148774"/>
    <s v="KIOSCO FLIA ESTRELLITAS CREADORAS PARAGUAY"/>
    <n v="1"/>
    <n v="19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41423667"/>
    <n v="0.02"/>
    <n v="828473.34"/>
    <m/>
    <n v="29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ACIÓN ALIMENTOS - DPI"/>
    <b v="1"/>
    <n v="0"/>
    <b v="1"/>
    <n v="0"/>
    <x v="0"/>
    <m/>
  </r>
  <r>
    <x v="35"/>
    <s v="LOTE 2"/>
    <x v="11"/>
    <x v="29"/>
    <x v="5"/>
    <x v="0"/>
    <s v="LAS MALVINAS VIA AL BAGRE"/>
    <n v="51541148787"/>
    <s v="IGLESIA C. RAYITOS DE LUZ V. GLORIA"/>
    <n v="1"/>
    <n v="45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98108685"/>
    <n v="0.02"/>
    <n v="1962173.7"/>
    <m/>
    <n v="30"/>
    <n v="98108685"/>
    <n v="100070858.7"/>
    <s v=" "/>
    <m/>
    <m/>
    <m/>
    <n v="2221920"/>
    <n v="1846305"/>
    <n v="1309500"/>
    <n v="92730960"/>
    <m/>
    <n v="98108685"/>
    <s v=" "/>
    <n v="15122790"/>
    <n v="11591370"/>
    <n v="11591370"/>
    <n v="11591370"/>
    <n v="11591370"/>
    <n v="11591370"/>
    <n v="11591370"/>
    <n v="13437675"/>
    <n v="98108685"/>
    <n v="64937880"/>
    <s v="CONTRATACIÓN ALIMENTOS - DPI"/>
    <b v="1"/>
    <n v="0"/>
    <b v="1"/>
    <n v="0"/>
    <x v="0"/>
    <m/>
  </r>
  <r>
    <x v="35"/>
    <s v="LOTE 2"/>
    <x v="11"/>
    <x v="29"/>
    <x v="5"/>
    <x v="0"/>
    <s v="VEREDA EL PANDO"/>
    <n v="51541151140"/>
    <s v="C COMUNAL EL PANDO SEMILLITAS ALEGRES"/>
    <n v="1"/>
    <n v="16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4883088"/>
    <n v="0.02"/>
    <n v="697661.76"/>
    <m/>
    <n v="31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0"/>
    <m/>
  </r>
  <r>
    <x v="35"/>
    <s v="LOTE 2"/>
    <x v="11"/>
    <x v="29"/>
    <x v="5"/>
    <x v="0"/>
    <s v="VEREDA TREJO LA ESTACA"/>
    <n v="51541151142"/>
    <s v="IGLESIA TREJOLA ESTACA MENTES SOÑADORAS"/>
    <n v="1"/>
    <n v="17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7063281"/>
    <n v="0.02"/>
    <n v="741265.62"/>
    <m/>
    <n v="32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0"/>
    <m/>
  </r>
  <r>
    <x v="35"/>
    <s v="LOTE 2"/>
    <x v="11"/>
    <x v="29"/>
    <x v="5"/>
    <x v="0"/>
    <s v="VIA POR LAS MALVINAS"/>
    <n v="51541151912"/>
    <s v="C COMUNAL EL KIRIKI"/>
    <n v="1"/>
    <n v="18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9243474"/>
    <n v="0.02"/>
    <n v="784869.48"/>
    <m/>
    <n v="33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0"/>
    <m/>
  </r>
  <r>
    <x v="35"/>
    <s v="LOTE 2"/>
    <x v="11"/>
    <x v="29"/>
    <x v="5"/>
    <x v="0"/>
    <s v="VEREDA EL KIRIKI"/>
    <n v="51541152151"/>
    <s v="IGLESIA EL KIRIKI"/>
    <n v="1"/>
    <n v="16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34883088"/>
    <n v="0.02"/>
    <n v="697661.76"/>
    <m/>
    <n v="3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0"/>
    <m/>
  </r>
  <r>
    <x v="35"/>
    <s v="LOTE 2"/>
    <x v="11"/>
    <x v="29"/>
    <x v="5"/>
    <x v="0"/>
    <s v="CORREJIMIENTO CAMPO ALEGRE VIA ANTIOQUIA"/>
    <n v="51541152153"/>
    <s v="C COMUNAL CAMPO ALEGRE CAUCASIA"/>
    <n v="1"/>
    <n v="13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28342509"/>
    <n v="0.02"/>
    <n v="566850.18000000005"/>
    <m/>
    <n v="35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ACIÓN ALIMENTOS - DPI"/>
    <b v="1"/>
    <n v="0"/>
    <b v="1"/>
    <n v="0"/>
    <x v="0"/>
    <m/>
  </r>
  <r>
    <x v="35"/>
    <s v="LOTE 2"/>
    <x v="11"/>
    <x v="29"/>
    <x v="5"/>
    <x v="0"/>
    <s v="VEREDA TIGRE 3"/>
    <n v="515400095572"/>
    <s v="SEDE INDIGENA TIGRE 2B PEQUEÑOS ARTISTAS"/>
    <n v="1"/>
    <n v="13"/>
    <m/>
    <n v="1935"/>
    <s v="ARTÍCULO 34 CONTRATACIÓN CON EL REGISTRO ÚNICO DE OFERENTES"/>
    <m/>
    <m/>
    <x v="0"/>
    <x v="0"/>
    <x v="30"/>
    <x v="29"/>
    <n v="229954"/>
    <e v="#N/A"/>
    <e v="#N/A"/>
    <s v=" "/>
    <s v=" "/>
    <m/>
    <n v="28342509"/>
    <n v="0.02"/>
    <n v="566850.18000000005"/>
    <m/>
    <n v="36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ACIÓN ALIMENTOS - DPI"/>
    <b v="1"/>
    <n v="0"/>
    <b v="1"/>
    <n v="0"/>
    <x v="0"/>
    <m/>
  </r>
  <r>
    <x v="36"/>
    <s v="LOTE 2"/>
    <x v="0"/>
    <x v="30"/>
    <x v="2"/>
    <x v="0"/>
    <s v="KR 109 92 A 09 BARRIO LOS BALSOS"/>
    <n v="51721113618"/>
    <s v="SUEÑOS DE COMPARTIR LOS BALSOS"/>
    <n v="1"/>
    <n v="248"/>
    <m/>
    <n v="1936"/>
    <s v="ARTÍCULO 34 CONTRATACIÓN CON EL REGISTRO ÚNICO DE OFERENTES"/>
    <m/>
    <m/>
    <x v="0"/>
    <x v="0"/>
    <x v="31"/>
    <x v="30"/>
    <n v="229105"/>
    <n v="15210"/>
    <n v="85925"/>
    <n v="3"/>
    <n v="608"/>
    <m/>
    <n v="1038834800"/>
    <n v="0.02"/>
    <n v="20776696"/>
    <m/>
    <n v="1"/>
    <n v="1038834800"/>
    <n v="1059611496"/>
    <n v="2546820800"/>
    <n v="50936416"/>
    <n v="2597757216"/>
    <n v="1789.1259571478749"/>
    <n v="21859464"/>
    <n v="18610664"/>
    <n v="0"/>
    <n v="998364672"/>
    <m/>
    <n v="1038834800"/>
    <n v="2546820800"/>
    <n v="146655048"/>
    <n v="124795584"/>
    <n v="124795584"/>
    <n v="124795584"/>
    <n v="124795584"/>
    <n v="124795584"/>
    <n v="124795584"/>
    <n v="143406248"/>
    <n v="1038834800"/>
    <n v="0"/>
    <s v="CONTRATO COSTEADO CON ALIMENTACION"/>
    <b v="1"/>
    <n v="0"/>
    <b v="1"/>
    <n v="0"/>
    <x v="1"/>
    <m/>
  </r>
  <r>
    <x v="36"/>
    <s v="LOTE 2"/>
    <x v="0"/>
    <x v="30"/>
    <x v="2"/>
    <x v="0"/>
    <s v="KR 101 A 108 06 LOS LIBERTADORES"/>
    <n v="51721118847"/>
    <s v="SUEÑOS DE COMPARTIR CHIGORODO"/>
    <n v="1"/>
    <n v="200"/>
    <m/>
    <n v="1936"/>
    <s v="ARTÍCULO 34 CONTRATACIÓN CON EL REGISTRO ÚNICO DE OFERENTES"/>
    <m/>
    <m/>
    <x v="0"/>
    <x v="0"/>
    <x v="31"/>
    <x v="30"/>
    <n v="229105"/>
    <n v="15210"/>
    <n v="85925"/>
    <s v=" "/>
    <s v=" "/>
    <m/>
    <n v="837770000"/>
    <n v="0.02"/>
    <n v="16755400"/>
    <m/>
    <n v="2"/>
    <n v="837770000"/>
    <n v="854525400"/>
    <s v=" "/>
    <m/>
    <m/>
    <m/>
    <n v="17628600"/>
    <n v="15008600"/>
    <n v="0"/>
    <n v="805132800"/>
    <m/>
    <n v="837770000"/>
    <s v=" "/>
    <n v="118270200"/>
    <n v="100641600"/>
    <n v="100641600"/>
    <n v="100641600"/>
    <n v="100641600"/>
    <n v="100641600"/>
    <n v="100641600"/>
    <n v="115650200"/>
    <n v="837770000"/>
    <n v="0"/>
    <s v="CONTRATO COSTEADO CON ALIMENTACION"/>
    <b v="1"/>
    <n v="0"/>
    <b v="1"/>
    <n v="0"/>
    <x v="1"/>
    <m/>
  </r>
  <r>
    <x v="36"/>
    <s v="LOTE 2"/>
    <x v="0"/>
    <x v="30"/>
    <x v="2"/>
    <x v="0"/>
    <s v="KR 89 A 96 BIS 44 FRENTE A LA PLACA DEPORTIVA"/>
    <n v="517200111683"/>
    <s v="CDI GUAYABAL INSTITUCIONAL"/>
    <n v="1"/>
    <n v="160"/>
    <m/>
    <n v="1936"/>
    <s v="ARTÍCULO 34 CONTRATACIÓN CON EL REGISTRO ÚNICO DE OFERENTES"/>
    <m/>
    <m/>
    <x v="0"/>
    <x v="0"/>
    <x v="31"/>
    <x v="30"/>
    <n v="229105"/>
    <n v="15210"/>
    <n v="85925"/>
    <s v=" "/>
    <s v=" "/>
    <m/>
    <n v="670216000"/>
    <n v="0.02"/>
    <n v="13404320"/>
    <m/>
    <n v="3"/>
    <n v="670216000"/>
    <n v="683620320"/>
    <s v=" "/>
    <m/>
    <m/>
    <m/>
    <n v="14102880"/>
    <n v="12006880"/>
    <n v="0"/>
    <n v="644106240"/>
    <m/>
    <n v="670216000"/>
    <s v=" "/>
    <n v="94616160"/>
    <n v="80513280"/>
    <n v="80513280"/>
    <n v="80513280"/>
    <n v="80513280"/>
    <n v="80513280"/>
    <n v="80513280"/>
    <n v="92520160"/>
    <n v="670216000"/>
    <n v="0"/>
    <s v="CONTRATO COSTEADO CON ALIMENTACION"/>
    <b v="1"/>
    <n v="0"/>
    <b v="1"/>
    <n v="0"/>
    <x v="1"/>
    <m/>
  </r>
  <r>
    <x v="37"/>
    <s v="LOTE 2"/>
    <x v="0"/>
    <x v="30"/>
    <x v="5"/>
    <x v="0"/>
    <s v="KR 102 85 55"/>
    <n v="51721113767"/>
    <s v="UNIDAD 5"/>
    <n v="1"/>
    <n v="52"/>
    <m/>
    <n v="1937"/>
    <s v="ARTÍCULO 34 CONTRATACIÓN CON EL REGISTRO ÚNICO DE OFERENTES"/>
    <m/>
    <m/>
    <x v="0"/>
    <x v="0"/>
    <x v="32"/>
    <x v="31"/>
    <n v="229106"/>
    <n v="15197"/>
    <n v="83225"/>
    <n v="32"/>
    <n v="1027"/>
    <m/>
    <n v="113370036"/>
    <n v="0.02"/>
    <n v="2267400.7200000002"/>
    <m/>
    <n v="1"/>
    <n v="113370036"/>
    <n v="115637436.72"/>
    <n v="2239058211"/>
    <n v="44781164"/>
    <n v="2283839375"/>
    <n v="1572.9246301369863"/>
    <n v="2567552"/>
    <n v="2133508"/>
    <n v="1513200"/>
    <n v="107155776"/>
    <m/>
    <n v="113370036"/>
    <n v="2239058211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1"/>
    <n v="1937"/>
  </r>
  <r>
    <x v="37"/>
    <s v="LOTE 2"/>
    <x v="0"/>
    <x v="30"/>
    <x v="5"/>
    <x v="0"/>
    <s v="CL 88 105"/>
    <n v="51721113857"/>
    <s v="UNIDAD 7"/>
    <n v="1"/>
    <n v="52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113370036"/>
    <n v="0.02"/>
    <n v="2267400.7200000002"/>
    <m/>
    <n v="2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1"/>
    <n v="1937"/>
  </r>
  <r>
    <x v="37"/>
    <s v="LOTE 2"/>
    <x v="0"/>
    <x v="30"/>
    <x v="5"/>
    <x v="0"/>
    <s v="KR 94 84 95 52"/>
    <n v="51721113876"/>
    <s v="UNIDAD 8"/>
    <n v="1"/>
    <n v="52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113370036"/>
    <n v="0.02"/>
    <n v="2267400.7200000002"/>
    <m/>
    <n v="3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1"/>
    <n v="1937"/>
  </r>
  <r>
    <x v="37"/>
    <s v="LOTE 2"/>
    <x v="0"/>
    <x v="30"/>
    <x v="5"/>
    <x v="0"/>
    <s v="TIERRA SANTA"/>
    <n v="51721113891"/>
    <s v="UNIDAD 10"/>
    <n v="1"/>
    <n v="52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113370036"/>
    <n v="0.02"/>
    <n v="2267400.7200000002"/>
    <m/>
    <n v="4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1"/>
    <n v="1937"/>
  </r>
  <r>
    <x v="37"/>
    <s v="LOTE 2"/>
    <x v="0"/>
    <x v="30"/>
    <x v="5"/>
    <x v="0"/>
    <s v="CL 96 93 A 10"/>
    <n v="51721113909"/>
    <s v="UNIDAD 12"/>
    <n v="1"/>
    <n v="52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113370036"/>
    <n v="0.02"/>
    <n v="2267400.7200000002"/>
    <m/>
    <n v="5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1"/>
    <n v="1937"/>
  </r>
  <r>
    <x v="37"/>
    <s v="LOTE 2"/>
    <x v="0"/>
    <x v="30"/>
    <x v="5"/>
    <x v="0"/>
    <s v="CL 96 93 A 10"/>
    <n v="51721113933"/>
    <s v="UNIDAD 14"/>
    <n v="1"/>
    <n v="51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111189843"/>
    <n v="0.02"/>
    <n v="2223796.86"/>
    <m/>
    <n v="6"/>
    <n v="111189843"/>
    <n v="113413639.86"/>
    <s v=" "/>
    <m/>
    <m/>
    <m/>
    <n v="2518176"/>
    <n v="2092479"/>
    <n v="1484100"/>
    <n v="105095088"/>
    <m/>
    <n v="111189843"/>
    <s v=" "/>
    <n v="17139162"/>
    <n v="13136886"/>
    <n v="13136886"/>
    <n v="13136886"/>
    <n v="13136886"/>
    <n v="13136886"/>
    <n v="13136886"/>
    <n v="15229365"/>
    <n v="111189843"/>
    <n v="73596264"/>
    <s v="CONTRATO ADICIONAL POR ALIMENTACION"/>
    <b v="1"/>
    <n v="0"/>
    <b v="1"/>
    <n v="0"/>
    <x v="1"/>
    <n v="1937"/>
  </r>
  <r>
    <x v="37"/>
    <s v="LOTE 2"/>
    <x v="0"/>
    <x v="30"/>
    <x v="5"/>
    <x v="0"/>
    <s v="CL 82 97 04"/>
    <n v="51721114432"/>
    <s v="UNIDAD 6"/>
    <n v="1"/>
    <n v="52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113370036"/>
    <n v="0.02"/>
    <n v="2267400.7200000002"/>
    <m/>
    <n v="7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1"/>
    <n v="1937"/>
  </r>
  <r>
    <x v="37"/>
    <s v="LOTE 2"/>
    <x v="0"/>
    <x v="30"/>
    <x v="5"/>
    <x v="0"/>
    <s v="BARRANQUILLITA"/>
    <n v="51721115038"/>
    <s v="C COMUNAL BARRANQUILLITA 1Y2"/>
    <n v="1"/>
    <n v="15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32702895"/>
    <n v="0.02"/>
    <n v="654057.9"/>
    <m/>
    <n v="8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1937"/>
  </r>
  <r>
    <x v="37"/>
    <s v="LOTE 2"/>
    <x v="0"/>
    <x v="30"/>
    <x v="5"/>
    <x v="0"/>
    <s v="VEREDA GUAPA CARRETERA"/>
    <n v="51721135812"/>
    <s v="CASETA GUAPA CARRETERA 1,2 3"/>
    <n v="1"/>
    <n v="59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128631387"/>
    <n v="0.02"/>
    <n v="2572627.7400000002"/>
    <m/>
    <n v="9"/>
    <n v="128631387"/>
    <n v="131204014.73999999"/>
    <s v=" "/>
    <m/>
    <m/>
    <m/>
    <n v="2913184"/>
    <n v="2420711"/>
    <n v="1716900"/>
    <n v="121580592"/>
    <m/>
    <n v="128631387"/>
    <s v=" "/>
    <n v="19827658"/>
    <n v="15197574"/>
    <n v="15197574"/>
    <n v="15197574"/>
    <n v="15197574"/>
    <n v="15197574"/>
    <n v="15197574"/>
    <n v="17618285"/>
    <n v="128631387"/>
    <n v="85140776"/>
    <s v="CONTRATO ADICIONAL POR ALIMENTACION"/>
    <b v="1"/>
    <n v="0"/>
    <b v="1"/>
    <n v="0"/>
    <x v="1"/>
    <n v="1937"/>
  </r>
  <r>
    <x v="37"/>
    <s v="LOTE 2"/>
    <x v="0"/>
    <x v="30"/>
    <x v="5"/>
    <x v="0"/>
    <s v="VEREDA CHAMPITA"/>
    <n v="51721135818"/>
    <s v="CASA FAMILIAR CHAMPITA1Y2"/>
    <n v="1"/>
    <n v="65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141712545"/>
    <n v="0.02"/>
    <n v="2834250.9"/>
    <m/>
    <n v="10"/>
    <n v="141712545"/>
    <n v="144546795.90000001"/>
    <s v=" "/>
    <m/>
    <m/>
    <m/>
    <n v="3209440"/>
    <n v="2666885"/>
    <n v="1891500"/>
    <n v="133944720"/>
    <m/>
    <n v="141712545"/>
    <s v=" "/>
    <n v="21844030"/>
    <n v="16743090"/>
    <n v="16743090"/>
    <n v="16743090"/>
    <n v="16743090"/>
    <n v="16743090"/>
    <n v="16743090"/>
    <n v="19409975"/>
    <n v="141712545"/>
    <n v="93799160"/>
    <s v="CONTRATO ADICIONAL POR ALIMENTACION"/>
    <b v="1"/>
    <n v="0"/>
    <b v="1"/>
    <n v="0"/>
    <x v="1"/>
    <n v="1937"/>
  </r>
  <r>
    <x v="37"/>
    <s v="LOTE 2"/>
    <x v="0"/>
    <x v="30"/>
    <x v="5"/>
    <x v="0"/>
    <s v="VEREDA RIPEA"/>
    <n v="51721135854"/>
    <s v="CASA FAMILIAR RIPEA"/>
    <n v="1"/>
    <n v="16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34883088"/>
    <n v="0.02"/>
    <n v="697661.76"/>
    <m/>
    <n v="11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37"/>
  </r>
  <r>
    <x v="37"/>
    <s v="LOTE 2"/>
    <x v="0"/>
    <x v="30"/>
    <x v="5"/>
    <x v="0"/>
    <s v="VEREDA VENADO COHIMBRA"/>
    <n v="51721135857"/>
    <s v="CASA FAMILIAR VENADO C"/>
    <n v="1"/>
    <n v="15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32702895"/>
    <n v="0.02"/>
    <n v="654057.9"/>
    <m/>
    <n v="12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1937"/>
  </r>
  <r>
    <x v="37"/>
    <s v="LOTE 2"/>
    <x v="0"/>
    <x v="30"/>
    <x v="5"/>
    <x v="0"/>
    <s v="VEREDA EL TIGRE"/>
    <n v="51721135863"/>
    <s v="KIOSCO EL TIGRE"/>
    <n v="1"/>
    <n v="16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34883088"/>
    <n v="0.02"/>
    <n v="697661.76"/>
    <m/>
    <n v="13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37"/>
  </r>
  <r>
    <x v="37"/>
    <s v="LOTE 2"/>
    <x v="0"/>
    <x v="30"/>
    <x v="5"/>
    <x v="0"/>
    <s v="VEREDA EL THULE"/>
    <n v="51721135869"/>
    <s v="GANADERIA THULE"/>
    <n v="1"/>
    <n v="20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43603860"/>
    <n v="0.02"/>
    <n v="872077.20000000007"/>
    <m/>
    <n v="1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37"/>
  </r>
  <r>
    <x v="37"/>
    <s v="LOTE 2"/>
    <x v="0"/>
    <x v="30"/>
    <x v="5"/>
    <x v="0"/>
    <s v="VEREDA MALAGON"/>
    <n v="51721135878"/>
    <s v="CASA DE FAMILIA MALAGON"/>
    <n v="1"/>
    <n v="15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32702895"/>
    <n v="0.02"/>
    <n v="654057.9"/>
    <m/>
    <n v="15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1937"/>
  </r>
  <r>
    <x v="37"/>
    <s v="LOTE 2"/>
    <x v="0"/>
    <x v="30"/>
    <x v="5"/>
    <x v="0"/>
    <s v="BARRIO BRISAS DEL RIO"/>
    <n v="51721135879"/>
    <s v="CASA FAMILIAR BRISASDELRIO"/>
    <n v="1"/>
    <n v="34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74126562"/>
    <n v="0.02"/>
    <n v="1482531.24"/>
    <m/>
    <n v="16"/>
    <n v="74126562"/>
    <n v="75609093.239999995"/>
    <s v=" "/>
    <m/>
    <m/>
    <m/>
    <n v="1678784"/>
    <n v="1394986"/>
    <n v="989400"/>
    <n v="70063392"/>
    <m/>
    <n v="74126562"/>
    <s v=" "/>
    <n v="11426108"/>
    <n v="8757924"/>
    <n v="8757924"/>
    <n v="8757924"/>
    <n v="8757924"/>
    <n v="8757924"/>
    <n v="8757924"/>
    <n v="10152910"/>
    <n v="74126562"/>
    <n v="49064176"/>
    <s v="CONTRATO ADICIONAL POR ALIMENTACION"/>
    <b v="1"/>
    <n v="0"/>
    <b v="1"/>
    <n v="0"/>
    <x v="1"/>
    <n v="1937"/>
  </r>
  <r>
    <x v="37"/>
    <s v="LOTE 2"/>
    <x v="0"/>
    <x v="30"/>
    <x v="5"/>
    <x v="0"/>
    <s v="VEREDA BARRANQUILLITA PARCELA 20"/>
    <n v="51721135888"/>
    <s v="CASETA PARCELA KM 25"/>
    <n v="1"/>
    <n v="14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30522702"/>
    <n v="0.02"/>
    <n v="610454.04"/>
    <m/>
    <n v="17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37"/>
  </r>
  <r>
    <x v="37"/>
    <s v="LOTE 2"/>
    <x v="0"/>
    <x v="30"/>
    <x v="5"/>
    <x v="0"/>
    <s v="VEREDA BARRANQUILLITA"/>
    <n v="51721135896"/>
    <s v="TIENDA BARRANQUILLITA KM 30"/>
    <n v="1"/>
    <n v="17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37063281"/>
    <n v="0.02"/>
    <n v="741265.62"/>
    <m/>
    <n v="18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37"/>
  </r>
  <r>
    <x v="37"/>
    <s v="LOTE 2"/>
    <x v="0"/>
    <x v="30"/>
    <x v="5"/>
    <x v="0"/>
    <s v="CASA FAMILIAR BARRIO EL BOSQUE"/>
    <n v="51721135899"/>
    <s v="CASA FAMILIAR BOSQUE 1Y2"/>
    <n v="1"/>
    <n v="52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113370036"/>
    <n v="0.02"/>
    <n v="2267400.7200000002"/>
    <m/>
    <n v="19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1"/>
    <n v="1937"/>
  </r>
  <r>
    <x v="37"/>
    <s v="LOTE 2"/>
    <x v="0"/>
    <x v="30"/>
    <x v="5"/>
    <x v="0"/>
    <s v="LOS OLIVOS"/>
    <n v="51721135905"/>
    <s v="CASA FAMILIAR OLIVOS 1234"/>
    <n v="1"/>
    <n v="30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65405790"/>
    <n v="0.02"/>
    <n v="1308115.8"/>
    <m/>
    <n v="20"/>
    <n v="65405790"/>
    <n v="66713905.799999997"/>
    <s v=" "/>
    <m/>
    <m/>
    <m/>
    <n v="1481280"/>
    <n v="1230870"/>
    <n v="873000"/>
    <n v="61820640"/>
    <m/>
    <n v="65405790"/>
    <s v=" "/>
    <n v="10081860"/>
    <n v="7727580"/>
    <n v="7727580"/>
    <n v="7727580"/>
    <n v="7727580"/>
    <n v="7727580"/>
    <n v="7727580"/>
    <n v="8958450"/>
    <n v="65405790"/>
    <n v="43291920"/>
    <s v="CONTRATO ADICIONAL POR ALIMENTACION"/>
    <b v="1"/>
    <n v="0"/>
    <b v="1"/>
    <n v="0"/>
    <x v="1"/>
    <n v="1937"/>
  </r>
  <r>
    <x v="37"/>
    <s v="LOTE 2"/>
    <x v="0"/>
    <x v="30"/>
    <x v="5"/>
    <x v="0"/>
    <s v="VEREDA EL DOS"/>
    <n v="51721135913"/>
    <s v="CASETA EL DOS 123"/>
    <n v="1"/>
    <n v="28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61045404"/>
    <n v="0.02"/>
    <n v="1220908.08"/>
    <m/>
    <n v="21"/>
    <n v="61045404"/>
    <n v="62266312.079999998"/>
    <s v=" "/>
    <m/>
    <m/>
    <m/>
    <n v="1382528"/>
    <n v="1148812"/>
    <n v="814800"/>
    <n v="57699264"/>
    <m/>
    <n v="61045404"/>
    <s v=" "/>
    <n v="9409736"/>
    <n v="7212408"/>
    <n v="7212408"/>
    <n v="7212408"/>
    <n v="7212408"/>
    <n v="7212408"/>
    <n v="7212408"/>
    <n v="8361220"/>
    <n v="61045404"/>
    <n v="40405792"/>
    <s v="CONTRATO ADICIONAL POR ALIMENTACION"/>
    <b v="1"/>
    <n v="0"/>
    <b v="1"/>
    <n v="0"/>
    <x v="1"/>
    <n v="1937"/>
  </r>
  <r>
    <x v="37"/>
    <s v="LOTE 2"/>
    <x v="0"/>
    <x v="30"/>
    <x v="5"/>
    <x v="0"/>
    <s v="BILLAR VEREDA JURADO"/>
    <n v="51721135918"/>
    <s v="BILLAR JURADO 2"/>
    <n v="1"/>
    <n v="20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43603860"/>
    <n v="0.02"/>
    <n v="872077.20000000007"/>
    <m/>
    <n v="22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37"/>
  </r>
  <r>
    <x v="37"/>
    <s v="LOTE 2"/>
    <x v="0"/>
    <x v="30"/>
    <x v="5"/>
    <x v="0"/>
    <s v="CASA DE FAMILIA VEREDA REMIGIO"/>
    <n v="51721135919"/>
    <s v="CASA FAMILIAR REMIGIO 1"/>
    <n v="1"/>
    <n v="17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37063281"/>
    <n v="0.02"/>
    <n v="741265.62"/>
    <m/>
    <n v="23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37"/>
  </r>
  <r>
    <x v="37"/>
    <s v="LOTE 2"/>
    <x v="0"/>
    <x v="30"/>
    <x v="5"/>
    <x v="0"/>
    <s v="ESCUELA VEREDA REMIGIO"/>
    <n v="51721135920"/>
    <s v="ESCUELA REMIGIO 2"/>
    <n v="1"/>
    <n v="33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71946369"/>
    <n v="0.02"/>
    <n v="1438927.3800000001"/>
    <m/>
    <n v="24"/>
    <n v="71946369"/>
    <n v="73385296.379999995"/>
    <s v=" "/>
    <m/>
    <m/>
    <m/>
    <n v="1629408"/>
    <n v="1353957"/>
    <n v="960300"/>
    <n v="68002704"/>
    <m/>
    <n v="71946369"/>
    <s v=" "/>
    <n v="11090046"/>
    <n v="8500338"/>
    <n v="8500338"/>
    <n v="8500338"/>
    <n v="8500338"/>
    <n v="8500338"/>
    <n v="8500338"/>
    <n v="9854295"/>
    <n v="71946369"/>
    <n v="47621112"/>
    <s v="CONTRATO ADICIONAL POR ALIMENTACION"/>
    <b v="1"/>
    <n v="0"/>
    <b v="1"/>
    <n v="0"/>
    <x v="1"/>
    <n v="1937"/>
  </r>
  <r>
    <x v="37"/>
    <s v="LOTE 2"/>
    <x v="0"/>
    <x v="30"/>
    <x v="5"/>
    <x v="0"/>
    <s v="VEREDA GUAGUA"/>
    <n v="51721136280"/>
    <s v="C COMUNAL GUAGUA 1Y2"/>
    <n v="1"/>
    <n v="39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85027527"/>
    <n v="0.02"/>
    <n v="1700550.54"/>
    <m/>
    <n v="25"/>
    <n v="85027527"/>
    <n v="86728077.540000007"/>
    <s v=" "/>
    <m/>
    <m/>
    <m/>
    <n v="1925664"/>
    <n v="1600131"/>
    <n v="1134900"/>
    <n v="80366832"/>
    <m/>
    <n v="85027527"/>
    <s v=" "/>
    <n v="13106418"/>
    <n v="10045854"/>
    <n v="10045854"/>
    <n v="10045854"/>
    <n v="10045854"/>
    <n v="10045854"/>
    <n v="10045854"/>
    <n v="11645985"/>
    <n v="85027527"/>
    <n v="56279496"/>
    <s v="CONTRATO ADICIONAL POR ALIMENTACION"/>
    <b v="1"/>
    <n v="0"/>
    <b v="1"/>
    <n v="0"/>
    <x v="1"/>
    <n v="1937"/>
  </r>
  <r>
    <x v="37"/>
    <s v="LOTE 2"/>
    <x v="0"/>
    <x v="30"/>
    <x v="5"/>
    <x v="0"/>
    <s v="BARRIO LA CASTELLANA"/>
    <n v="51721136293"/>
    <s v="CASETA CASTELLANA 1Y2"/>
    <n v="1"/>
    <n v="15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32702895"/>
    <n v="0.02"/>
    <n v="654057.9"/>
    <m/>
    <n v="26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1937"/>
  </r>
  <r>
    <x v="37"/>
    <s v="LOTE 2"/>
    <x v="0"/>
    <x v="30"/>
    <x v="5"/>
    <x v="0"/>
    <s v="MINA"/>
    <n v="51721144835"/>
    <s v="CASA FAMILIAR MINA"/>
    <n v="1"/>
    <n v="12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26162316"/>
    <n v="0.02"/>
    <n v="523246.32"/>
    <m/>
    <n v="27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1937"/>
  </r>
  <r>
    <x v="37"/>
    <s v="LOTE 2"/>
    <x v="0"/>
    <x v="30"/>
    <x v="5"/>
    <x v="0"/>
    <s v="VEREDA MALAGON"/>
    <n v="51721152342"/>
    <s v="CARAMBOLO"/>
    <n v="1"/>
    <n v="20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43603860"/>
    <n v="0.02"/>
    <n v="872077.20000000007"/>
    <m/>
    <n v="28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37"/>
  </r>
  <r>
    <x v="37"/>
    <s v="LOTE 2"/>
    <x v="0"/>
    <x v="30"/>
    <x v="5"/>
    <x v="0"/>
    <s v="VERACRUZ - 1"/>
    <n v="51721152343"/>
    <s v="VERACRUZ  1"/>
    <n v="1"/>
    <n v="20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43603860"/>
    <n v="0.02"/>
    <n v="872077.20000000007"/>
    <m/>
    <n v="29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37"/>
  </r>
  <r>
    <x v="37"/>
    <s v="LOTE 2"/>
    <x v="0"/>
    <x v="30"/>
    <x v="5"/>
    <x v="0"/>
    <s v="VEREDA LAS GUAGUAS"/>
    <n v="51721152352"/>
    <s v="VERACRUZ  2"/>
    <n v="1"/>
    <n v="20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43603860"/>
    <n v="0.02"/>
    <n v="872077.20000000007"/>
    <m/>
    <n v="30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37"/>
  </r>
  <r>
    <x v="37"/>
    <s v="LOTE 2"/>
    <x v="0"/>
    <x v="30"/>
    <x v="5"/>
    <x v="0"/>
    <s v="VEREDA EL DOS GUAPA"/>
    <n v="51721152354"/>
    <s v="EL DOS GUAPA"/>
    <n v="1"/>
    <n v="20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43603860"/>
    <n v="0.02"/>
    <n v="872077.20000000007"/>
    <m/>
    <n v="31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37"/>
  </r>
  <r>
    <x v="37"/>
    <s v="LOTE 2"/>
    <x v="0"/>
    <x v="30"/>
    <x v="5"/>
    <x v="0"/>
    <s v="BRISAS DE URABA"/>
    <n v="517200115622"/>
    <s v="UNIDAD 2"/>
    <n v="1"/>
    <n v="52"/>
    <m/>
    <n v="1937"/>
    <s v="ARTÍCULO 34 CONTRATACIÓN CON EL REGISTRO ÚNICO DE OFERENTES"/>
    <m/>
    <m/>
    <x v="0"/>
    <x v="0"/>
    <x v="32"/>
    <x v="31"/>
    <n v="229106"/>
    <n v="15197"/>
    <n v="83225"/>
    <s v=" "/>
    <s v=" "/>
    <m/>
    <n v="113370036"/>
    <n v="0.02"/>
    <n v="2267400.7200000002"/>
    <m/>
    <n v="32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1"/>
    <n v="1937"/>
  </r>
  <r>
    <x v="38"/>
    <s v="LOTE 2"/>
    <x v="0"/>
    <x v="30"/>
    <x v="8"/>
    <x v="0"/>
    <s v="AC 80 98 21"/>
    <n v="51721113881"/>
    <s v="UNIDAD 9"/>
    <n v="1"/>
    <n v="52"/>
    <m/>
    <n v="1938"/>
    <s v="ARTÍCULO 34 CONTRATACIÓN CON EL REGISTRO ÚNICO DE OFERENTES"/>
    <m/>
    <m/>
    <x v="0"/>
    <x v="0"/>
    <x v="33"/>
    <x v="32"/>
    <n v="229107"/>
    <n v="15191"/>
    <n v="82625"/>
    <n v="15"/>
    <n v="683"/>
    <m/>
    <n v="117059852"/>
    <n v="0.02"/>
    <n v="2341197.04"/>
    <m/>
    <n v="1"/>
    <n v="117059852"/>
    <n v="119401049.04000001"/>
    <n v="1537536133"/>
    <n v="30750723"/>
    <n v="1568286856"/>
    <n v="1080.1096824727783"/>
    <n v="2676076"/>
    <n v="2242032"/>
    <n v="1513200"/>
    <n v="110628544"/>
    <m/>
    <n v="117059852"/>
    <n v="1537536133"/>
    <n v="18017844"/>
    <n v="13828568"/>
    <n v="13828568"/>
    <n v="13828568"/>
    <n v="13828568"/>
    <n v="13828568"/>
    <n v="13828568"/>
    <n v="16070600"/>
    <n v="117059852"/>
    <n v="75039328"/>
    <s v="CONTRATO ADICIONAL POR ALIMENTACION"/>
    <b v="1"/>
    <n v="0"/>
    <b v="1"/>
    <n v="0"/>
    <x v="1"/>
    <n v="1938"/>
  </r>
  <r>
    <x v="38"/>
    <s v="LOTE 2"/>
    <x v="0"/>
    <x v="30"/>
    <x v="8"/>
    <x v="0"/>
    <s v="CL 85 94 108"/>
    <n v="51721113907"/>
    <s v="UNIDAD 11"/>
    <n v="1"/>
    <n v="52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117059852"/>
    <n v="0.02"/>
    <n v="2341197.04"/>
    <m/>
    <n v="2"/>
    <n v="117059852"/>
    <n v="119401049.04000001"/>
    <s v=" "/>
    <m/>
    <m/>
    <m/>
    <n v="2676076"/>
    <n v="2242032"/>
    <n v="1513200"/>
    <n v="110628544"/>
    <m/>
    <n v="117059852"/>
    <s v=" "/>
    <n v="18017844"/>
    <n v="13828568"/>
    <n v="13828568"/>
    <n v="13828568"/>
    <n v="13828568"/>
    <n v="13828568"/>
    <n v="13828568"/>
    <n v="16070600"/>
    <n v="117059852"/>
    <n v="75039328"/>
    <s v="CONTRATO ADICIONAL POR ALIMENTACION"/>
    <b v="1"/>
    <n v="0"/>
    <b v="1"/>
    <n v="0"/>
    <x v="1"/>
    <n v="1938"/>
  </r>
  <r>
    <x v="38"/>
    <s v="LOTE 2"/>
    <x v="0"/>
    <x v="30"/>
    <x v="8"/>
    <x v="0"/>
    <s v="KR 102 85"/>
    <n v="51721113912"/>
    <s v="UNIDAD 13"/>
    <n v="1"/>
    <n v="52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117059852"/>
    <n v="0.02"/>
    <n v="2341197.04"/>
    <m/>
    <n v="3"/>
    <n v="117059852"/>
    <n v="119401049.04000001"/>
    <s v=" "/>
    <m/>
    <m/>
    <m/>
    <n v="2676076"/>
    <n v="2242032"/>
    <n v="1513200"/>
    <n v="110628544"/>
    <m/>
    <n v="117059852"/>
    <s v=" "/>
    <n v="18017844"/>
    <n v="13828568"/>
    <n v="13828568"/>
    <n v="13828568"/>
    <n v="13828568"/>
    <n v="13828568"/>
    <n v="13828568"/>
    <n v="16070600"/>
    <n v="117059852"/>
    <n v="75039328"/>
    <s v="CONTRATO ADICIONAL POR ALIMENTACION"/>
    <b v="1"/>
    <n v="0"/>
    <b v="1"/>
    <n v="0"/>
    <x v="1"/>
    <n v="1938"/>
  </r>
  <r>
    <x v="38"/>
    <s v="LOTE 2"/>
    <x v="0"/>
    <x v="30"/>
    <x v="8"/>
    <x v="0"/>
    <s v="KR 95 82 A 25"/>
    <n v="51721115046"/>
    <s v="CASA FAMILIAR BRISAS URA1Y2"/>
    <n v="1"/>
    <n v="36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81041436"/>
    <n v="0.02"/>
    <n v="1620828.72"/>
    <m/>
    <n v="4"/>
    <n v="81041436"/>
    <n v="82662264.719999999"/>
    <s v=" "/>
    <m/>
    <m/>
    <m/>
    <n v="1852668"/>
    <n v="1552176"/>
    <n v="1047600"/>
    <n v="76588992"/>
    <m/>
    <n v="81041436"/>
    <s v=" "/>
    <n v="12473892"/>
    <n v="9573624"/>
    <n v="9573624"/>
    <n v="9573624"/>
    <n v="9573624"/>
    <n v="9573624"/>
    <n v="9573624"/>
    <n v="11125800"/>
    <n v="81041436"/>
    <n v="51950304"/>
    <s v="CONTRATO ADICIONAL POR ALIMENTACION"/>
    <b v="1"/>
    <n v="0"/>
    <b v="1"/>
    <n v="0"/>
    <x v="1"/>
    <n v="1938"/>
  </r>
  <r>
    <x v="38"/>
    <s v="LOTE 2"/>
    <x v="0"/>
    <x v="30"/>
    <x v="8"/>
    <x v="0"/>
    <s v="CL 87 98 70"/>
    <n v="51721135902"/>
    <s v="CASA FAMILIAR LA UNION"/>
    <n v="1"/>
    <n v="35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78790285"/>
    <n v="0.02"/>
    <n v="1575805.7"/>
    <m/>
    <n v="5"/>
    <n v="78790285"/>
    <n v="80366090.700000003"/>
    <s v=" "/>
    <m/>
    <m/>
    <m/>
    <n v="1801205"/>
    <n v="1509060"/>
    <n v="1018500"/>
    <n v="74461520"/>
    <m/>
    <n v="78790285"/>
    <s v=" "/>
    <n v="12127395"/>
    <n v="9307690"/>
    <n v="9307690"/>
    <n v="9307690"/>
    <n v="9307690"/>
    <n v="9307690"/>
    <n v="9307690"/>
    <n v="10816750"/>
    <n v="78790285"/>
    <n v="50507240"/>
    <s v="CONTRATO ADICIONAL POR ALIMENTACION"/>
    <b v="1"/>
    <n v="0"/>
    <b v="1"/>
    <n v="0"/>
    <x v="1"/>
    <n v="1938"/>
  </r>
  <r>
    <x v="38"/>
    <s v="LOTE 2"/>
    <x v="0"/>
    <x v="30"/>
    <x v="8"/>
    <x v="0"/>
    <s v="KR 101 A 83 27"/>
    <n v="51721135909"/>
    <s v="KIOSCO PRADO 12"/>
    <n v="1"/>
    <n v="37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83292587"/>
    <n v="0.02"/>
    <n v="1665851.74"/>
    <m/>
    <n v="6"/>
    <n v="83292587"/>
    <n v="84958438.739999995"/>
    <s v=" "/>
    <m/>
    <m/>
    <m/>
    <n v="1904131"/>
    <n v="1595292"/>
    <n v="1076700"/>
    <n v="78716464"/>
    <m/>
    <n v="83292587"/>
    <s v=" "/>
    <n v="12820389"/>
    <n v="9839558"/>
    <n v="9839558"/>
    <n v="9839558"/>
    <n v="9839558"/>
    <n v="9839558"/>
    <n v="9839558"/>
    <n v="11434850"/>
    <n v="83292587"/>
    <n v="53393368"/>
    <s v="CONTRATO ADICIONAL POR ALIMENTACION"/>
    <b v="1"/>
    <n v="0"/>
    <b v="1"/>
    <n v="0"/>
    <x v="1"/>
    <n v="1938"/>
  </r>
  <r>
    <x v="38"/>
    <s v="LOTE 2"/>
    <x v="0"/>
    <x v="30"/>
    <x v="8"/>
    <x v="0"/>
    <s v="KR 90 96 37 EL GUAYABAL"/>
    <n v="51721144188"/>
    <s v="KIOSCO COMUNA ESQUI VERDE PLAYA1,2"/>
    <n v="1"/>
    <n v="59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132817909"/>
    <n v="0.02"/>
    <n v="2656358.1800000002"/>
    <m/>
    <n v="7"/>
    <n v="132817909"/>
    <n v="135474267.18000001"/>
    <s v=" "/>
    <m/>
    <m/>
    <m/>
    <n v="3036317"/>
    <n v="2543844"/>
    <n v="1716900"/>
    <n v="125520848"/>
    <m/>
    <n v="132817909"/>
    <s v=" "/>
    <n v="20443323"/>
    <n v="15690106"/>
    <n v="15690106"/>
    <n v="15690106"/>
    <n v="15690106"/>
    <n v="15690106"/>
    <n v="15690106"/>
    <n v="18233950"/>
    <n v="132817909"/>
    <n v="85140776"/>
    <s v="CONTRATO ADICIONAL POR ALIMENTACION"/>
    <b v="1"/>
    <n v="0"/>
    <b v="1"/>
    <n v="0"/>
    <x v="1"/>
    <n v="1938"/>
  </r>
  <r>
    <x v="38"/>
    <s v="LOTE 2"/>
    <x v="0"/>
    <x v="30"/>
    <x v="8"/>
    <x v="0"/>
    <s v="CL 88 105 47 KENNEDY"/>
    <n v="51721151877"/>
    <s v="LOCAL FLIA MEDINA BARRIO EL PARAISO"/>
    <n v="1"/>
    <n v="50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112557550"/>
    <n v="0.02"/>
    <n v="2251151"/>
    <m/>
    <n v="8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1938"/>
  </r>
  <r>
    <x v="38"/>
    <s v="LOTE 2"/>
    <x v="0"/>
    <x v="30"/>
    <x v="8"/>
    <x v="0"/>
    <s v="CL 5 87 10"/>
    <n v="51721151879"/>
    <s v="SALON COMUNAL SENDEROS DEL GUAYABAL"/>
    <n v="1"/>
    <n v="64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144073664"/>
    <n v="0.02"/>
    <n v="2881473.2800000003"/>
    <m/>
    <n v="9"/>
    <n v="144073664"/>
    <n v="146955137.28"/>
    <s v=" "/>
    <m/>
    <m/>
    <m/>
    <n v="3293632"/>
    <n v="2759424"/>
    <n v="1862400"/>
    <n v="136158208"/>
    <m/>
    <n v="144073664"/>
    <s v=" "/>
    <n v="22175808"/>
    <n v="17019776"/>
    <n v="17019776"/>
    <n v="17019776"/>
    <n v="17019776"/>
    <n v="17019776"/>
    <n v="17019776"/>
    <n v="19779200"/>
    <n v="144073664"/>
    <n v="92356096"/>
    <s v="CONTRATO ADICIONAL POR ALIMENTACION"/>
    <b v="1"/>
    <n v="0"/>
    <b v="1"/>
    <n v="0"/>
    <x v="1"/>
    <n v="1938"/>
  </r>
  <r>
    <x v="38"/>
    <s v="LOTE 2"/>
    <x v="0"/>
    <x v="30"/>
    <x v="8"/>
    <x v="0"/>
    <s v="CL 93 101 03 BARRIO EL JARDIN"/>
    <n v="51721151880"/>
    <s v="CASA FAMILIAR LINA HENAO"/>
    <n v="1"/>
    <n v="40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90046040"/>
    <n v="0.02"/>
    <n v="1800920.8"/>
    <m/>
    <n v="10"/>
    <n v="90046040"/>
    <n v="91846960.799999997"/>
    <s v=" "/>
    <m/>
    <m/>
    <m/>
    <n v="2058520"/>
    <n v="1724640"/>
    <n v="1164000"/>
    <n v="85098880"/>
    <m/>
    <n v="90046040"/>
    <s v=" "/>
    <n v="13859880"/>
    <n v="10637360"/>
    <n v="10637360"/>
    <n v="10637360"/>
    <n v="10637360"/>
    <n v="10637360"/>
    <n v="10637360"/>
    <n v="12362000"/>
    <n v="90046040"/>
    <n v="57722560"/>
    <s v="CONTRATO ADICIONAL POR ALIMENTACION"/>
    <b v="1"/>
    <n v="0"/>
    <b v="1"/>
    <n v="0"/>
    <x v="1"/>
    <n v="1938"/>
  </r>
  <r>
    <x v="38"/>
    <s v="LOTE 2"/>
    <x v="0"/>
    <x v="30"/>
    <x v="8"/>
    <x v="0"/>
    <s v="KR 109 92 A 25 LOS BALSOS"/>
    <n v="51721151881"/>
    <s v="CASA FAMILIAR SANDRA MAUSA EL JARDIN"/>
    <n v="1"/>
    <n v="21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47274171"/>
    <n v="0.02"/>
    <n v="945483.42"/>
    <m/>
    <n v="11"/>
    <n v="47274171"/>
    <n v="48219654.420000002"/>
    <s v=" "/>
    <m/>
    <m/>
    <m/>
    <n v="1080723"/>
    <n v="905436"/>
    <n v="611100"/>
    <n v="44676912"/>
    <m/>
    <n v="47274171"/>
    <s v=" "/>
    <n v="7276437"/>
    <n v="5584614"/>
    <n v="5584614"/>
    <n v="5584614"/>
    <n v="5584614"/>
    <n v="5584614"/>
    <n v="5584614"/>
    <n v="6490050"/>
    <n v="47274171"/>
    <n v="30304344"/>
    <s v="CONTRATO ADICIONAL POR ALIMENTACION"/>
    <b v="1"/>
    <n v="0"/>
    <b v="1"/>
    <n v="0"/>
    <x v="1"/>
    <n v="1938"/>
  </r>
  <r>
    <x v="38"/>
    <s v="LOTE 2"/>
    <x v="0"/>
    <x v="30"/>
    <x v="8"/>
    <x v="0"/>
    <s v="CL 88 105 47 KENNEDY"/>
    <n v="51721151882"/>
    <s v="CASA FLIA ROSA LIBIN BARRIO EL BOSQUE"/>
    <n v="1"/>
    <n v="27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60781077"/>
    <n v="0.02"/>
    <n v="1215621.54"/>
    <m/>
    <n v="12"/>
    <n v="60781077"/>
    <n v="61996698.539999999"/>
    <s v=" "/>
    <m/>
    <m/>
    <m/>
    <n v="1389501"/>
    <n v="1164132"/>
    <n v="785700"/>
    <n v="57441744"/>
    <m/>
    <n v="60781077"/>
    <s v=" "/>
    <n v="9355419"/>
    <n v="7180218"/>
    <n v="7180218"/>
    <n v="7180218"/>
    <n v="7180218"/>
    <n v="7180218"/>
    <n v="7180218"/>
    <n v="8344350"/>
    <n v="60781077"/>
    <n v="38962728"/>
    <s v="CONTRATO ADICIONAL POR ALIMENTACION"/>
    <b v="1"/>
    <n v="0"/>
    <b v="1"/>
    <n v="0"/>
    <x v="1"/>
    <n v="1938"/>
  </r>
  <r>
    <x v="38"/>
    <s v="LOTE 2"/>
    <x v="0"/>
    <x v="30"/>
    <x v="8"/>
    <x v="0"/>
    <s v="KR 94 84 95 52"/>
    <n v="517200115623"/>
    <s v="UNIDAD 1"/>
    <n v="1"/>
    <n v="52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117059852"/>
    <n v="0.02"/>
    <n v="2341197.04"/>
    <m/>
    <n v="13"/>
    <n v="117059852"/>
    <n v="119401049.04000001"/>
    <s v=" "/>
    <m/>
    <m/>
    <m/>
    <n v="2676076"/>
    <n v="2242032"/>
    <n v="1513200"/>
    <n v="110628544"/>
    <m/>
    <n v="117059852"/>
    <s v=" "/>
    <n v="18017844"/>
    <n v="13828568"/>
    <n v="13828568"/>
    <n v="13828568"/>
    <n v="13828568"/>
    <n v="13828568"/>
    <n v="13828568"/>
    <n v="16070600"/>
    <n v="117059852"/>
    <n v="75039328"/>
    <s v="CONTRATO ADICIONAL POR ALIMENTACION"/>
    <b v="1"/>
    <n v="0"/>
    <b v="1"/>
    <n v="0"/>
    <x v="1"/>
    <n v="1938"/>
  </r>
  <r>
    <x v="38"/>
    <s v="LOTE 2"/>
    <x v="0"/>
    <x v="30"/>
    <x v="8"/>
    <x v="0"/>
    <s v="VERACRUZ"/>
    <n v="517200115627"/>
    <s v="UNIDAD 3"/>
    <n v="1"/>
    <n v="52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117059852"/>
    <n v="0.02"/>
    <n v="2341197.04"/>
    <m/>
    <n v="14"/>
    <n v="117059852"/>
    <n v="119401049.04000001"/>
    <s v=" "/>
    <m/>
    <m/>
    <m/>
    <n v="2676076"/>
    <n v="2242032"/>
    <n v="1513200"/>
    <n v="110628544"/>
    <m/>
    <n v="117059852"/>
    <s v=" "/>
    <n v="18017844"/>
    <n v="13828568"/>
    <n v="13828568"/>
    <n v="13828568"/>
    <n v="13828568"/>
    <n v="13828568"/>
    <n v="13828568"/>
    <n v="16070600"/>
    <n v="117059852"/>
    <n v="75039328"/>
    <s v="CONTRATO ADICIONAL POR ALIMENTACION"/>
    <b v="1"/>
    <n v="0"/>
    <b v="1"/>
    <n v="0"/>
    <x v="1"/>
    <n v="1938"/>
  </r>
  <r>
    <x v="38"/>
    <s v="LOTE 2"/>
    <x v="0"/>
    <x v="30"/>
    <x v="8"/>
    <x v="0"/>
    <s v="CL 90 99 40 JARDIN"/>
    <n v="517200115630"/>
    <s v="UNIDAD 4"/>
    <n v="1"/>
    <n v="54"/>
    <m/>
    <n v="1938"/>
    <s v="ARTÍCULO 34 CONTRATACIÓN CON EL REGISTRO ÚNICO DE OFERENTES"/>
    <m/>
    <m/>
    <x v="0"/>
    <x v="0"/>
    <x v="33"/>
    <x v="32"/>
    <n v="229107"/>
    <n v="15191"/>
    <n v="82625"/>
    <s v=" "/>
    <s v=" "/>
    <m/>
    <n v="121562154"/>
    <n v="0.02"/>
    <n v="2431243.08"/>
    <m/>
    <n v="15"/>
    <n v="121562154"/>
    <n v="123993397.08"/>
    <s v=" "/>
    <m/>
    <m/>
    <m/>
    <n v="2779002"/>
    <n v="2328264"/>
    <n v="1571400"/>
    <n v="114883488"/>
    <m/>
    <n v="121562154"/>
    <s v=" "/>
    <n v="18710838"/>
    <n v="14360436"/>
    <n v="14360436"/>
    <n v="14360436"/>
    <n v="14360436"/>
    <n v="14360436"/>
    <n v="14360436"/>
    <n v="16688700"/>
    <n v="121562154"/>
    <n v="77925456"/>
    <s v="CONTRATO ADICIONAL POR ALIMENTACION"/>
    <b v="1"/>
    <n v="0"/>
    <b v="1"/>
    <n v="0"/>
    <x v="1"/>
    <n v="1938"/>
  </r>
  <r>
    <x v="39"/>
    <s v="LOTE 2"/>
    <x v="10"/>
    <x v="31"/>
    <x v="1"/>
    <x v="0"/>
    <s v="VEREDA EL CADILLO"/>
    <n v="51901118895"/>
    <s v="CER EL CADILLO"/>
    <n v="1"/>
    <n v="19"/>
    <m/>
    <n v="1939"/>
    <s v="ARTÍCULO 34 CONTRATACIÓN CON EL REGISTRO ÚNICO DE OFERENTES"/>
    <m/>
    <m/>
    <x v="0"/>
    <x v="0"/>
    <x v="9"/>
    <x v="9"/>
    <n v="229109"/>
    <n v="15215"/>
    <n v="86425"/>
    <n v="8"/>
    <n v="330"/>
    <m/>
    <n v="28866795"/>
    <n v="0.02"/>
    <n v="577335.9"/>
    <m/>
    <n v="1"/>
    <n v="28866795"/>
    <n v="29444130.899999999"/>
    <n v="501370650"/>
    <n v="10027413"/>
    <n v="511398063"/>
    <n v="352.20979978925186"/>
    <n v="888136"/>
    <n v="718979"/>
    <n v="0"/>
    <n v="27259680"/>
    <m/>
    <n v="28866795"/>
    <n v="501370650"/>
    <n v="4295596"/>
    <n v="3407460"/>
    <n v="3407460"/>
    <n v="3407460"/>
    <n v="3407460"/>
    <n v="3407460"/>
    <n v="3407460"/>
    <n v="4126439"/>
    <n v="28866795"/>
    <n v="28624792"/>
    <s v="CONTRATO ADICIONAL POR ALIMENTACION"/>
    <b v="1"/>
    <n v="0"/>
    <b v="1"/>
    <n v="0"/>
    <x v="1"/>
    <n v="1939"/>
  </r>
  <r>
    <x v="39"/>
    <s v="LOTE 2"/>
    <x v="10"/>
    <x v="31"/>
    <x v="1"/>
    <x v="0"/>
    <s v="VEREDA CAMPO ALEGRE"/>
    <n v="51901118898"/>
    <s v="C COMUNAL CAMPO ALEGRE"/>
    <n v="1"/>
    <n v="7"/>
    <m/>
    <n v="1939"/>
    <s v="ARTÍCULO 34 CONTRATACIÓN CON EL REGISTRO ÚNICO DE OFERENTES"/>
    <m/>
    <m/>
    <x v="0"/>
    <x v="0"/>
    <x v="9"/>
    <x v="9"/>
    <n v="229109"/>
    <n v="15215"/>
    <n v="86425"/>
    <s v=" "/>
    <s v=" "/>
    <m/>
    <n v="10635135"/>
    <n v="0.02"/>
    <n v="212702.7"/>
    <m/>
    <n v="2"/>
    <n v="10635135"/>
    <n v="10847837.699999999"/>
    <s v=" "/>
    <m/>
    <m/>
    <m/>
    <n v="327208"/>
    <n v="264887"/>
    <n v="0"/>
    <n v="10043040"/>
    <m/>
    <n v="10635135"/>
    <s v=" "/>
    <n v="1582588"/>
    <n v="1255380"/>
    <n v="1255380"/>
    <n v="1255380"/>
    <n v="1255380"/>
    <n v="1255380"/>
    <n v="1255380"/>
    <n v="1520267"/>
    <n v="10635135"/>
    <n v="10545976"/>
    <s v="CONTRATO ADICIONAL POR ALIMENTACION"/>
    <b v="1"/>
    <n v="0"/>
    <b v="1"/>
    <n v="0"/>
    <x v="1"/>
    <n v="1939"/>
  </r>
  <r>
    <x v="39"/>
    <s v="LOTE 2"/>
    <x v="10"/>
    <x v="31"/>
    <x v="1"/>
    <x v="0"/>
    <s v="VEREDA EL DOS"/>
    <n v="51901134896"/>
    <s v="C COMUNAL EL DOS"/>
    <n v="1"/>
    <n v="19"/>
    <m/>
    <n v="1939"/>
    <s v="ARTÍCULO 34 CONTRATACIÓN CON EL REGISTRO ÚNICO DE OFERENTES"/>
    <m/>
    <m/>
    <x v="0"/>
    <x v="0"/>
    <x v="9"/>
    <x v="9"/>
    <n v="229109"/>
    <n v="15215"/>
    <n v="86425"/>
    <s v=" "/>
    <s v=" "/>
    <m/>
    <n v="28866795"/>
    <n v="0.02"/>
    <n v="577335.9"/>
    <m/>
    <n v="3"/>
    <n v="28866795"/>
    <n v="29444130.899999999"/>
    <s v=" "/>
    <m/>
    <m/>
    <m/>
    <n v="888136"/>
    <n v="718979"/>
    <n v="0"/>
    <n v="27259680"/>
    <m/>
    <n v="28866795"/>
    <s v=" "/>
    <n v="4295596"/>
    <n v="3407460"/>
    <n v="3407460"/>
    <n v="3407460"/>
    <n v="3407460"/>
    <n v="3407460"/>
    <n v="3407460"/>
    <n v="4126439"/>
    <n v="28866795"/>
    <n v="28624792"/>
    <s v="CONTRATO ADICIONAL POR ALIMENTACION"/>
    <b v="1"/>
    <n v="0"/>
    <b v="1"/>
    <n v="0"/>
    <x v="1"/>
    <n v="1939"/>
  </r>
  <r>
    <x v="39"/>
    <s v="LOTE 2"/>
    <x v="10"/>
    <x v="31"/>
    <x v="1"/>
    <x v="0"/>
    <s v="VEREDA EL SILENCIO"/>
    <n v="51901134898"/>
    <s v="CER EL SILENCIO"/>
    <n v="1"/>
    <n v="6"/>
    <m/>
    <n v="1939"/>
    <s v="ARTÍCULO 34 CONTRATACIÓN CON EL REGISTRO ÚNICO DE OFERENTES"/>
    <m/>
    <m/>
    <x v="0"/>
    <x v="0"/>
    <x v="9"/>
    <x v="9"/>
    <n v="229109"/>
    <n v="15215"/>
    <n v="86425"/>
    <s v=" "/>
    <s v=" "/>
    <m/>
    <n v="9115830"/>
    <n v="0.02"/>
    <n v="182316.6"/>
    <m/>
    <n v="4"/>
    <n v="9115830"/>
    <n v="9298146.5999999996"/>
    <s v=" "/>
    <m/>
    <m/>
    <m/>
    <n v="280464"/>
    <n v="227046"/>
    <n v="0"/>
    <n v="8608320"/>
    <m/>
    <n v="9115830"/>
    <s v=" "/>
    <n v="1356504"/>
    <n v="1076040"/>
    <n v="1076040"/>
    <n v="1076040"/>
    <n v="1076040"/>
    <n v="1076040"/>
    <n v="1076040"/>
    <n v="1303086"/>
    <n v="9115830"/>
    <n v="9039408"/>
    <s v="CONTRATO ADICIONAL POR ALIMENTACION"/>
    <b v="1"/>
    <n v="0"/>
    <b v="1"/>
    <n v="0"/>
    <x v="1"/>
    <n v="1939"/>
  </r>
  <r>
    <x v="39"/>
    <s v="LOTE 2"/>
    <x v="10"/>
    <x v="31"/>
    <x v="1"/>
    <x v="0"/>
    <s v="VEREDA SABANALARGA"/>
    <n v="51901148643"/>
    <s v="CER SABANALARGA"/>
    <n v="1"/>
    <n v="14"/>
    <m/>
    <n v="1939"/>
    <s v="ARTÍCULO 34 CONTRATACIÓN CON EL REGISTRO ÚNICO DE OFERENTES"/>
    <m/>
    <m/>
    <x v="0"/>
    <x v="0"/>
    <x v="9"/>
    <x v="9"/>
    <n v="229109"/>
    <n v="15215"/>
    <n v="86425"/>
    <s v=" "/>
    <s v=" "/>
    <m/>
    <n v="21270270"/>
    <n v="0.02"/>
    <n v="425405.4"/>
    <m/>
    <n v="5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939"/>
  </r>
  <r>
    <x v="39"/>
    <s v="LOTE 2"/>
    <x v="10"/>
    <x v="31"/>
    <x v="1"/>
    <x v="0"/>
    <s v="KR 16 18 48"/>
    <n v="51901148751"/>
    <s v="IE CISNEROSSEDE CONCEPCIÓN RESTREPO"/>
    <n v="1"/>
    <n v="237"/>
    <m/>
    <n v="1939"/>
    <s v="ARTÍCULO 34 CONTRATACIÓN CON EL REGISTRO ÚNICO DE OFERENTES"/>
    <m/>
    <m/>
    <x v="0"/>
    <x v="0"/>
    <x v="9"/>
    <x v="9"/>
    <n v="229109"/>
    <n v="15215"/>
    <n v="86425"/>
    <s v=" "/>
    <s v=" "/>
    <m/>
    <n v="360075285"/>
    <n v="0.02"/>
    <n v="7201505.7000000002"/>
    <m/>
    <n v="6"/>
    <n v="360075285"/>
    <n v="367276790.69999999"/>
    <s v=" "/>
    <m/>
    <m/>
    <m/>
    <n v="11078328"/>
    <n v="8968317"/>
    <n v="0"/>
    <n v="340028640"/>
    <m/>
    <n v="360075285"/>
    <s v=" "/>
    <n v="53581908"/>
    <n v="42503580"/>
    <n v="42503580"/>
    <n v="42503580"/>
    <n v="42503580"/>
    <n v="42503580"/>
    <n v="42503580"/>
    <n v="51471897"/>
    <n v="360075285"/>
    <n v="357056616"/>
    <s v="CONTRATO ADICIONAL POR ALIMENTACION"/>
    <b v="1"/>
    <n v="0"/>
    <b v="1"/>
    <n v="0"/>
    <x v="1"/>
    <n v="1939"/>
  </r>
  <r>
    <x v="39"/>
    <s v="LOTE 2"/>
    <x v="10"/>
    <x v="31"/>
    <x v="1"/>
    <x v="0"/>
    <s v="VEREDA EL BRASIL"/>
    <n v="51901152031"/>
    <s v="CER EL BRASIL CISNEROS"/>
    <n v="1"/>
    <n v="3"/>
    <m/>
    <n v="1939"/>
    <s v="ARTÍCULO 34 CONTRATACIÓN CON EL REGISTRO ÚNICO DE OFERENTES"/>
    <m/>
    <m/>
    <x v="0"/>
    <x v="0"/>
    <x v="9"/>
    <x v="9"/>
    <n v="229109"/>
    <n v="15215"/>
    <n v="86425"/>
    <s v=" "/>
    <s v=" "/>
    <m/>
    <n v="4557915"/>
    <n v="0.02"/>
    <n v="91158.3"/>
    <m/>
    <n v="7"/>
    <n v="4557915"/>
    <n v="4649073.3"/>
    <s v=" "/>
    <m/>
    <m/>
    <m/>
    <n v="140232"/>
    <n v="113523"/>
    <n v="0"/>
    <n v="4304160"/>
    <m/>
    <n v="4557915"/>
    <s v=" "/>
    <n v="678252"/>
    <n v="538020"/>
    <n v="538020"/>
    <n v="538020"/>
    <n v="538020"/>
    <n v="538020"/>
    <n v="538020"/>
    <n v="651543"/>
    <n v="4557915"/>
    <n v="4519704"/>
    <s v="CONTRATO ADICIONAL POR ALIMENTACION"/>
    <b v="1"/>
    <n v="0"/>
    <b v="1"/>
    <n v="0"/>
    <x v="1"/>
    <n v="1939"/>
  </r>
  <r>
    <x v="39"/>
    <s v="LOTE 2"/>
    <x v="10"/>
    <x v="31"/>
    <x v="1"/>
    <x v="0"/>
    <s v="VEREDA SAN VICTORINO"/>
    <n v="51901152032"/>
    <s v="C COMUNAL SAN VICTORINO"/>
    <n v="1"/>
    <n v="25"/>
    <m/>
    <n v="1939"/>
    <s v="ARTÍCULO 34 CONTRATACIÓN CON EL REGISTRO ÚNICO DE OFERENTES"/>
    <m/>
    <m/>
    <x v="0"/>
    <x v="0"/>
    <x v="9"/>
    <x v="9"/>
    <n v="229109"/>
    <n v="15215"/>
    <n v="86425"/>
    <s v=" "/>
    <s v=" "/>
    <m/>
    <n v="37982625"/>
    <n v="0.02"/>
    <n v="759652.5"/>
    <m/>
    <n v="8"/>
    <n v="37982625"/>
    <n v="38742277.5"/>
    <s v=" "/>
    <m/>
    <m/>
    <m/>
    <n v="1168600"/>
    <n v="946025"/>
    <n v="0"/>
    <n v="35868000"/>
    <m/>
    <n v="37982625"/>
    <s v=" "/>
    <n v="5652100"/>
    <n v="4483500"/>
    <n v="4483500"/>
    <n v="4483500"/>
    <n v="4483500"/>
    <n v="4483500"/>
    <n v="4483500"/>
    <n v="5429525"/>
    <n v="37982625"/>
    <n v="37664200"/>
    <s v="CONTRATO ADICIONAL POR ALIMENTACION"/>
    <b v="1"/>
    <n v="0"/>
    <b v="1"/>
    <n v="0"/>
    <x v="1"/>
    <n v="1939"/>
  </r>
  <r>
    <x v="40"/>
    <s v="LOTE 2"/>
    <x v="12"/>
    <x v="32"/>
    <x v="5"/>
    <x v="0"/>
    <s v="VEREDA EL MOLINO"/>
    <n v="51971115162"/>
    <s v="CER EL MOLINO"/>
    <n v="1"/>
    <n v="50"/>
    <m/>
    <n v="1940"/>
    <s v="ARTÍCULO 34 CONTRATACIÓN CON EL REGISTRO ÚNICO DE OFERENTES"/>
    <m/>
    <m/>
    <x v="0"/>
    <x v="0"/>
    <x v="11"/>
    <x v="11"/>
    <n v="229110"/>
    <n v="15201"/>
    <n v="83525"/>
    <n v="7"/>
    <n v="504"/>
    <m/>
    <n v="109009650"/>
    <n v="0.02"/>
    <n v="2180193"/>
    <m/>
    <n v="1"/>
    <n v="109009650"/>
    <n v="111189843"/>
    <n v="1724066408"/>
    <n v="34481328"/>
    <n v="1758547736"/>
    <n v="1211.1460540920266"/>
    <n v="2468800"/>
    <n v="2051450"/>
    <n v="1455000"/>
    <n v="103034400"/>
    <m/>
    <n v="109009650"/>
    <n v="1724066408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40"/>
  </r>
  <r>
    <x v="40"/>
    <s v="LOTE 2"/>
    <x v="12"/>
    <x v="32"/>
    <x v="5"/>
    <x v="0"/>
    <s v="VEREDA LA MILAGROSA"/>
    <n v="51971135994"/>
    <s v="CER LA MILAGROSA"/>
    <n v="1"/>
    <n v="50"/>
    <m/>
    <n v="1940"/>
    <s v="ARTÍCULO 34 CONTRATACIÓN CON EL REGISTRO ÚNICO DE OFERENTES"/>
    <m/>
    <m/>
    <x v="0"/>
    <x v="0"/>
    <x v="11"/>
    <x v="11"/>
    <n v="229110"/>
    <n v="15201"/>
    <n v="83525"/>
    <s v=" "/>
    <s v=" "/>
    <m/>
    <n v="109009650"/>
    <n v="0.02"/>
    <n v="2180193"/>
    <m/>
    <n v="2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40"/>
  </r>
  <r>
    <x v="40"/>
    <s v="LOTE 2"/>
    <x v="12"/>
    <x v="32"/>
    <x v="5"/>
    <x v="0"/>
    <s v="VEREDA LAS MERCEDES"/>
    <n v="51971136089"/>
    <s v="CER LAS MERCEDES"/>
    <n v="1"/>
    <n v="50"/>
    <m/>
    <n v="1940"/>
    <s v="ARTÍCULO 34 CONTRATACIÓN CON EL REGISTRO ÚNICO DE OFERENTES"/>
    <m/>
    <m/>
    <x v="0"/>
    <x v="0"/>
    <x v="11"/>
    <x v="11"/>
    <n v="229110"/>
    <n v="15201"/>
    <n v="83525"/>
    <s v=" "/>
    <s v=" "/>
    <m/>
    <n v="109009650"/>
    <n v="0.02"/>
    <n v="2180193"/>
    <m/>
    <n v="3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40"/>
  </r>
  <r>
    <x v="40"/>
    <s v="LOTE 2"/>
    <x v="12"/>
    <x v="32"/>
    <x v="2"/>
    <x v="0"/>
    <s v="KR 21 17 60 SECTOR LA GRANJA"/>
    <n v="519700023613"/>
    <s v="MIS DULCES AÑOS"/>
    <n v="1"/>
    <n v="143"/>
    <m/>
    <n v="1940"/>
    <s v="ARTÍCULO 34 CONTRATACIÓN CON EL REGISTRO ÚNICO DE OFERENTES"/>
    <m/>
    <m/>
    <x v="0"/>
    <x v="0"/>
    <x v="11"/>
    <x v="11"/>
    <n v="229110"/>
    <n v="15201"/>
    <n v="83525"/>
    <s v=" "/>
    <s v=" "/>
    <m/>
    <n v="599005550"/>
    <n v="0.02"/>
    <n v="11980111"/>
    <m/>
    <n v="4"/>
    <n v="599005550"/>
    <n v="610985661"/>
    <s v=" "/>
    <m/>
    <m/>
    <m/>
    <n v="12604449"/>
    <n v="10731149"/>
    <n v="0"/>
    <n v="575669952"/>
    <m/>
    <n v="599005550"/>
    <s v=" "/>
    <n v="84563193"/>
    <n v="71958744"/>
    <n v="71958744"/>
    <n v="71958744"/>
    <n v="71958744"/>
    <n v="71958744"/>
    <n v="71958744"/>
    <n v="82689893"/>
    <n v="599005550"/>
    <n v="0"/>
    <s v="CONTRATO COSTEADO CON ALIMENTACION"/>
    <b v="1"/>
    <n v="0"/>
    <b v="1"/>
    <n v="0"/>
    <x v="1"/>
    <n v="1940"/>
  </r>
  <r>
    <x v="40"/>
    <s v="LOTE 2"/>
    <x v="12"/>
    <x v="32"/>
    <x v="2"/>
    <x v="0"/>
    <s v="VEREDA LA PIÑUELA"/>
    <n v="519700023653"/>
    <s v="MUNDO MAGICO"/>
    <n v="1"/>
    <n v="57"/>
    <m/>
    <n v="1940"/>
    <s v="ARTÍCULO 34 CONTRATACIÓN CON EL REGISTRO ÚNICO DE OFERENTES"/>
    <m/>
    <m/>
    <x v="0"/>
    <x v="0"/>
    <x v="11"/>
    <x v="11"/>
    <n v="229110"/>
    <n v="15201"/>
    <n v="83525"/>
    <s v=" "/>
    <s v=" "/>
    <m/>
    <n v="238764450"/>
    <n v="0.02"/>
    <n v="4775289"/>
    <m/>
    <n v="5"/>
    <n v="238764450"/>
    <n v="243539739"/>
    <s v=" "/>
    <m/>
    <m/>
    <m/>
    <n v="5024151"/>
    <n v="4277451"/>
    <n v="0"/>
    <n v="229462848"/>
    <m/>
    <n v="238764450"/>
    <s v=" "/>
    <n v="33707007"/>
    <n v="28682856"/>
    <n v="28682856"/>
    <n v="28682856"/>
    <n v="28682856"/>
    <n v="28682856"/>
    <n v="28682856"/>
    <n v="32960307"/>
    <n v="238764450"/>
    <n v="0"/>
    <s v="CONTRATO COSTEADO CON ALIMENTACION"/>
    <b v="1"/>
    <n v="0"/>
    <b v="1"/>
    <n v="0"/>
    <x v="1"/>
    <n v="1940"/>
  </r>
  <r>
    <x v="40"/>
    <s v="LOTE 2"/>
    <x v="12"/>
    <x v="32"/>
    <x v="5"/>
    <x v="0"/>
    <s v="VEREDA LAS CRUCES"/>
    <n v="519700059457"/>
    <s v="CER LAS CRUCES"/>
    <n v="1"/>
    <n v="50"/>
    <m/>
    <n v="1940"/>
    <s v="ARTÍCULO 34 CONTRATACIÓN CON EL REGISTRO ÚNICO DE OFERENTES"/>
    <m/>
    <m/>
    <x v="0"/>
    <x v="0"/>
    <x v="11"/>
    <x v="11"/>
    <n v="229110"/>
    <n v="15201"/>
    <n v="83525"/>
    <s v=" "/>
    <s v=" "/>
    <m/>
    <n v="109009650"/>
    <n v="0.02"/>
    <n v="2180193"/>
    <m/>
    <n v="6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40"/>
  </r>
  <r>
    <x v="40"/>
    <s v="LOTE 2"/>
    <x v="12"/>
    <x v="32"/>
    <x v="4"/>
    <x v="0"/>
    <s v="KR 19 21 23  CALLE MANIZALEZ"/>
    <n v="519700072638"/>
    <s v="COCORNA LAS PALOMAS"/>
    <n v="1"/>
    <n v="104"/>
    <m/>
    <n v="1940"/>
    <s v="ARTÍCULO 34 CONTRATACIÓN CON EL REGISTRO ÚNICO DE OFERENTES"/>
    <m/>
    <m/>
    <x v="0"/>
    <x v="0"/>
    <x v="11"/>
    <x v="11"/>
    <n v="229110"/>
    <n v="15201"/>
    <n v="83525"/>
    <s v=" "/>
    <s v=" "/>
    <m/>
    <n v="450257808"/>
    <n v="0.02"/>
    <n v="9005156.1600000001"/>
    <m/>
    <n v="7"/>
    <n v="450257808"/>
    <n v="459262964.16000003"/>
    <s v=" "/>
    <m/>
    <m/>
    <m/>
    <n v="9166872"/>
    <n v="7804472"/>
    <n v="0"/>
    <n v="433286464"/>
    <m/>
    <n v="450257808"/>
    <s v=" "/>
    <n v="63327680"/>
    <n v="54160808"/>
    <n v="54160808"/>
    <n v="54160808"/>
    <n v="54160808"/>
    <n v="54160808"/>
    <n v="54160808"/>
    <n v="61965280"/>
    <n v="450257808"/>
    <n v="0"/>
    <s v="CONTRATO COSTEADO CON ALIMENTACION"/>
    <b v="1"/>
    <n v="0"/>
    <b v="1"/>
    <n v="0"/>
    <x v="1"/>
    <n v="1940"/>
  </r>
  <r>
    <x v="41"/>
    <s v="LOTE 2"/>
    <x v="6"/>
    <x v="33"/>
    <x v="2"/>
    <x v="0"/>
    <s v="CL PRINCIPAL CENTRO"/>
    <n v="52091113292"/>
    <s v="CDI NIÑOS DEL CAFE "/>
    <n v="1"/>
    <n v="17"/>
    <m/>
    <n v="1942"/>
    <s v="ARTÍCULO 34 CONTRATACIÓN CON EL REGISTRO ÚNICO DE OFERENTES"/>
    <m/>
    <m/>
    <x v="0"/>
    <x v="0"/>
    <x v="9"/>
    <x v="9"/>
    <n v="229112"/>
    <n v="15194"/>
    <n v="82925"/>
    <n v="26"/>
    <n v="623"/>
    <m/>
    <n v="71210450"/>
    <n v="0.02"/>
    <n v="1424209"/>
    <m/>
    <n v="1"/>
    <n v="71210450"/>
    <n v="72634659"/>
    <n v="1675628045"/>
    <n v="33512561"/>
    <n v="1709140606"/>
    <n v="1177.1184018264839"/>
    <n v="1498431"/>
    <n v="1275731"/>
    <n v="0"/>
    <n v="68436288"/>
    <m/>
    <n v="71210450"/>
    <n v="1675628045"/>
    <n v="10052967"/>
    <n v="8554536"/>
    <n v="8554536"/>
    <n v="8554536"/>
    <n v="8554536"/>
    <n v="8554536"/>
    <n v="8554536"/>
    <n v="9830267"/>
    <n v="71210450"/>
    <n v="0"/>
    <s v="CONTRATO COSTEADO CON ALIMENTACION"/>
    <b v="1"/>
    <n v="0"/>
    <b v="1"/>
    <n v="0"/>
    <x v="1"/>
    <m/>
  </r>
  <r>
    <x v="41"/>
    <s v="LOTE 2"/>
    <x v="6"/>
    <x v="33"/>
    <x v="2"/>
    <x v="0"/>
    <s v="CL 16 CARRERA AL 17 28  HOYO CALIENTE"/>
    <n v="52091113295"/>
    <s v="CDI HELIODORO ANGEL ECHEVERRY"/>
    <n v="1"/>
    <n v="78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326730300"/>
    <n v="0.02"/>
    <n v="6534606"/>
    <m/>
    <n v="2"/>
    <n v="326730300"/>
    <n v="333264906"/>
    <s v=" "/>
    <m/>
    <m/>
    <m/>
    <n v="6875154"/>
    <n v="5853354"/>
    <n v="0"/>
    <n v="314001792"/>
    <m/>
    <n v="326730300"/>
    <s v=" "/>
    <n v="46125378"/>
    <n v="39250224"/>
    <n v="39250224"/>
    <n v="39250224"/>
    <n v="39250224"/>
    <n v="39250224"/>
    <n v="39250224"/>
    <n v="45103578"/>
    <n v="326730300"/>
    <n v="0"/>
    <s v="CONTRATO COSTEADO CON ALIMENTACION"/>
    <b v="1"/>
    <n v="0"/>
    <b v="1"/>
    <n v="0"/>
    <x v="1"/>
    <m/>
  </r>
  <r>
    <x v="41"/>
    <s v="LOTE 2"/>
    <x v="6"/>
    <x v="33"/>
    <x v="5"/>
    <x v="0"/>
    <s v="MORRON"/>
    <n v="52091119638"/>
    <s v="CER MORRON"/>
    <n v="1"/>
    <n v="9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19621737"/>
    <n v="0.02"/>
    <n v="392434.74"/>
    <m/>
    <n v="3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ACIÓN ALIMENTOS - DPI"/>
    <b v="1"/>
    <n v="0"/>
    <b v="1"/>
    <n v="0"/>
    <x v="1"/>
    <m/>
  </r>
  <r>
    <x v="41"/>
    <s v="LOTE 2"/>
    <x v="6"/>
    <x v="33"/>
    <x v="5"/>
    <x v="0"/>
    <s v="PARTIDAS DE MORELIA"/>
    <n v="52091119639"/>
    <s v="CER PARTIDAS DE MORELIA"/>
    <n v="1"/>
    <n v="31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67585983"/>
    <n v="0.02"/>
    <n v="1351719.66"/>
    <m/>
    <n v="4"/>
    <n v="67585983"/>
    <n v="68937702.659999996"/>
    <s v=" "/>
    <m/>
    <m/>
    <m/>
    <n v="1530656"/>
    <n v="1271899"/>
    <n v="902100"/>
    <n v="63881328"/>
    <m/>
    <n v="67585983"/>
    <s v=" "/>
    <n v="10417922"/>
    <n v="7985166"/>
    <n v="7985166"/>
    <n v="7985166"/>
    <n v="7985166"/>
    <n v="7985166"/>
    <n v="7985166"/>
    <n v="9257065"/>
    <n v="67585983"/>
    <n v="44734984"/>
    <s v="CONTRATACIÓN ALIMENTOS - DPI"/>
    <b v="1"/>
    <n v="0"/>
    <b v="1"/>
    <n v="0"/>
    <x v="1"/>
    <m/>
  </r>
  <r>
    <x v="41"/>
    <s v="LOTE 2"/>
    <x v="6"/>
    <x v="33"/>
    <x v="5"/>
    <x v="0"/>
    <s v="LA AURORA"/>
    <n v="52091119641"/>
    <s v="CER LA AURORA"/>
    <n v="1"/>
    <n v="18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39243474"/>
    <n v="0.02"/>
    <n v="784869.48"/>
    <m/>
    <n v="5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1"/>
    <m/>
  </r>
  <r>
    <x v="41"/>
    <s v="LOTE 2"/>
    <x v="6"/>
    <x v="33"/>
    <x v="5"/>
    <x v="0"/>
    <s v="LLANADITAS"/>
    <n v="52091119644"/>
    <s v="CER LLANADITAS"/>
    <n v="1"/>
    <n v="15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32702895"/>
    <n v="0.02"/>
    <n v="654057.9"/>
    <m/>
    <n v="6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41"/>
    <s v="LOTE 2"/>
    <x v="6"/>
    <x v="33"/>
    <x v="5"/>
    <x v="0"/>
    <s v="ARBOLEDA"/>
    <n v="52091119646"/>
    <s v="CER LA ARBOLEDA_CONCORDIA"/>
    <n v="1"/>
    <n v="31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67585983"/>
    <n v="0.02"/>
    <n v="1351719.66"/>
    <m/>
    <n v="7"/>
    <n v="67585983"/>
    <n v="68937702.659999996"/>
    <s v=" "/>
    <m/>
    <m/>
    <m/>
    <n v="1530656"/>
    <n v="1271899"/>
    <n v="902100"/>
    <n v="63881328"/>
    <m/>
    <n v="67585983"/>
    <s v=" "/>
    <n v="10417922"/>
    <n v="7985166"/>
    <n v="7985166"/>
    <n v="7985166"/>
    <n v="7985166"/>
    <n v="7985166"/>
    <n v="7985166"/>
    <n v="9257065"/>
    <n v="67585983"/>
    <n v="44734984"/>
    <s v="CONTRATACIÓN ALIMENTOS - DPI"/>
    <b v="1"/>
    <n v="0"/>
    <b v="1"/>
    <n v="0"/>
    <x v="1"/>
    <m/>
  </r>
  <r>
    <x v="41"/>
    <s v="LOTE 2"/>
    <x v="6"/>
    <x v="33"/>
    <x v="5"/>
    <x v="0"/>
    <s v="VEREDA SANTA RITA"/>
    <n v="52091135630"/>
    <s v="CER SANTA RITA ABAJO"/>
    <n v="1"/>
    <n v="17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37063281"/>
    <n v="0.02"/>
    <n v="741265.62"/>
    <m/>
    <n v="8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1"/>
    <m/>
  </r>
  <r>
    <x v="41"/>
    <s v="LOTE 2"/>
    <x v="6"/>
    <x v="33"/>
    <x v="5"/>
    <x v="0"/>
    <s v="VEREDA YARUMAL"/>
    <n v="52091135636"/>
    <s v="CER YARUMAL"/>
    <n v="1"/>
    <n v="42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91568106"/>
    <n v="0.02"/>
    <n v="1831362.12"/>
    <m/>
    <n v="9"/>
    <n v="91568106"/>
    <n v="93399468.120000005"/>
    <s v=" "/>
    <m/>
    <m/>
    <m/>
    <n v="2073792"/>
    <n v="1723218"/>
    <n v="1222200"/>
    <n v="86548896"/>
    <m/>
    <n v="91568106"/>
    <s v=" "/>
    <n v="14114604"/>
    <n v="10818612"/>
    <n v="10818612"/>
    <n v="10818612"/>
    <n v="10818612"/>
    <n v="10818612"/>
    <n v="10818612"/>
    <n v="12541830"/>
    <n v="91568106"/>
    <n v="60608688"/>
    <s v="CONTRATACIÓN ALIMENTOS - DPI"/>
    <b v="1"/>
    <n v="0"/>
    <b v="1"/>
    <n v="0"/>
    <x v="1"/>
    <m/>
  </r>
  <r>
    <x v="41"/>
    <s v="LOTE 2"/>
    <x v="6"/>
    <x v="33"/>
    <x v="5"/>
    <x v="0"/>
    <s v="EL GOLPE"/>
    <n v="52091135654"/>
    <s v="CER EL GOLPE"/>
    <n v="1"/>
    <n v="25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54504825"/>
    <n v="0.02"/>
    <n v="1090096.5"/>
    <m/>
    <n v="10"/>
    <n v="54504825"/>
    <n v="55594921.5"/>
    <s v=" "/>
    <m/>
    <m/>
    <m/>
    <n v="1234400"/>
    <n v="1025725"/>
    <n v="727500"/>
    <n v="51517200"/>
    <m/>
    <n v="54504825"/>
    <s v=" "/>
    <n v="8401550"/>
    <n v="6439650"/>
    <n v="6439650"/>
    <n v="6439650"/>
    <n v="6439650"/>
    <n v="6439650"/>
    <n v="6439650"/>
    <n v="7465375"/>
    <n v="54504825"/>
    <n v="36076600"/>
    <s v="CONTRATACIÓN ALIMENTOS - DPI"/>
    <b v="1"/>
    <n v="0"/>
    <b v="1"/>
    <n v="0"/>
    <x v="1"/>
    <m/>
  </r>
  <r>
    <x v="41"/>
    <s v="LOTE 2"/>
    <x v="6"/>
    <x v="33"/>
    <x v="5"/>
    <x v="0"/>
    <s v="LA HONDINA"/>
    <n v="52091135655"/>
    <s v="CER LA HONDINA"/>
    <n v="1"/>
    <n v="14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30522702"/>
    <n v="0.02"/>
    <n v="610454.04"/>
    <m/>
    <n v="11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1"/>
    <m/>
  </r>
  <r>
    <x v="41"/>
    <s v="LOTE 2"/>
    <x v="6"/>
    <x v="33"/>
    <x v="5"/>
    <x v="0"/>
    <s v="BURGOS MEDIO"/>
    <n v="52091135657"/>
    <s v="CER BURGOS MEDIO"/>
    <n v="1"/>
    <n v="15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32702895"/>
    <n v="0.02"/>
    <n v="654057.9"/>
    <m/>
    <n v="12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41"/>
    <s v="LOTE 2"/>
    <x v="6"/>
    <x v="33"/>
    <x v="5"/>
    <x v="0"/>
    <s v="VEREDA MORITOS"/>
    <n v="52091135659"/>
    <s v="CER MORITOS"/>
    <n v="1"/>
    <n v="17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37063281"/>
    <n v="0.02"/>
    <n v="741265.62"/>
    <m/>
    <n v="13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1"/>
    <m/>
  </r>
  <r>
    <x v="41"/>
    <s v="LOTE 2"/>
    <x v="6"/>
    <x v="33"/>
    <x v="5"/>
    <x v="0"/>
    <s v="VEREDA CASA GRANDE"/>
    <n v="52091135663"/>
    <s v="CER CASA GRANDE"/>
    <n v="1"/>
    <n v="21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45784053"/>
    <n v="0.02"/>
    <n v="915681.06"/>
    <m/>
    <n v="14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ACIÓN ALIMENTOS - DPI"/>
    <b v="1"/>
    <n v="0"/>
    <b v="1"/>
    <n v="0"/>
    <x v="1"/>
    <m/>
  </r>
  <r>
    <x v="41"/>
    <s v="LOTE 2"/>
    <x v="6"/>
    <x v="33"/>
    <x v="5"/>
    <x v="0"/>
    <s v="VEREDA LA RAYA"/>
    <n v="52091135669"/>
    <s v="CER LA RAYA"/>
    <n v="1"/>
    <n v="36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78486948"/>
    <n v="0.02"/>
    <n v="1569738.96"/>
    <m/>
    <n v="15"/>
    <n v="78486948"/>
    <n v="80056686.959999993"/>
    <s v=" "/>
    <m/>
    <m/>
    <m/>
    <n v="1777536"/>
    <n v="1477044"/>
    <n v="1047600"/>
    <n v="74184768"/>
    <m/>
    <n v="78486948"/>
    <s v=" "/>
    <n v="12098232"/>
    <n v="9273096"/>
    <n v="9273096"/>
    <n v="9273096"/>
    <n v="9273096"/>
    <n v="9273096"/>
    <n v="9273096"/>
    <n v="10750140"/>
    <n v="78486948"/>
    <n v="51950304"/>
    <s v="CONTRATACIÓN ALIMENTOS - DPI"/>
    <b v="1"/>
    <n v="0"/>
    <b v="1"/>
    <n v="0"/>
    <x v="1"/>
    <m/>
  </r>
  <r>
    <x v="41"/>
    <s v="LOTE 2"/>
    <x v="6"/>
    <x v="33"/>
    <x v="5"/>
    <x v="0"/>
    <s v="VEREDA SANTA RITA"/>
    <n v="52091135673"/>
    <s v="CER SANTA RITA ARRIBA"/>
    <n v="1"/>
    <n v="19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41423667"/>
    <n v="0.02"/>
    <n v="828473.34"/>
    <m/>
    <n v="16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ACIÓN ALIMENTOS - DPI"/>
    <b v="1"/>
    <n v="0"/>
    <b v="1"/>
    <n v="0"/>
    <x v="1"/>
    <m/>
  </r>
  <r>
    <x v="41"/>
    <s v="LOTE 2"/>
    <x v="6"/>
    <x v="33"/>
    <x v="5"/>
    <x v="0"/>
    <s v="VEREDA MORELIA"/>
    <n v="52091135675"/>
    <s v="CER MORELIA"/>
    <n v="1"/>
    <n v="45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98108685"/>
    <n v="0.02"/>
    <n v="1962173.7"/>
    <m/>
    <n v="17"/>
    <n v="98108685"/>
    <n v="100070858.7"/>
    <s v=" "/>
    <m/>
    <m/>
    <m/>
    <n v="2221920"/>
    <n v="1846305"/>
    <n v="1309500"/>
    <n v="92730960"/>
    <m/>
    <n v="98108685"/>
    <s v=" "/>
    <n v="15122790"/>
    <n v="11591370"/>
    <n v="11591370"/>
    <n v="11591370"/>
    <n v="11591370"/>
    <n v="11591370"/>
    <n v="11591370"/>
    <n v="13437675"/>
    <n v="98108685"/>
    <n v="64937880"/>
    <s v="CONTRATACIÓN ALIMENTOS - DPI"/>
    <b v="1"/>
    <n v="0"/>
    <b v="1"/>
    <n v="0"/>
    <x v="1"/>
    <m/>
  </r>
  <r>
    <x v="41"/>
    <s v="LOTE 2"/>
    <x v="6"/>
    <x v="33"/>
    <x v="5"/>
    <x v="0"/>
    <s v="VEREDA EL SOCORRO"/>
    <n v="52091135678"/>
    <s v="CER EL SOCORRO"/>
    <n v="1"/>
    <n v="14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30522702"/>
    <n v="0.02"/>
    <n v="610454.04"/>
    <m/>
    <n v="18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1"/>
    <m/>
  </r>
  <r>
    <x v="41"/>
    <s v="LOTE 2"/>
    <x v="6"/>
    <x v="33"/>
    <x v="5"/>
    <x v="0"/>
    <s v="VEREDA RUMBADERO"/>
    <n v="52091135680"/>
    <s v="C COMUNAL RUMBADERO"/>
    <n v="1"/>
    <n v="18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39243474"/>
    <n v="0.02"/>
    <n v="784869.48"/>
    <m/>
    <n v="19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1"/>
    <m/>
  </r>
  <r>
    <x v="41"/>
    <s v="LOTE 2"/>
    <x v="6"/>
    <x v="33"/>
    <x v="5"/>
    <x v="0"/>
    <s v="LA COSTA"/>
    <n v="52091135684"/>
    <s v="CER LA COSTA"/>
    <n v="1"/>
    <n v="14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30522702"/>
    <n v="0.02"/>
    <n v="610454.04"/>
    <m/>
    <n v="20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1"/>
    <m/>
  </r>
  <r>
    <x v="41"/>
    <s v="LOTE 2"/>
    <x v="6"/>
    <x v="33"/>
    <x v="5"/>
    <x v="0"/>
    <s v="BURGOS ABAJO"/>
    <n v="52091135685"/>
    <s v="CER BURGOS ABAJO"/>
    <n v="1"/>
    <n v="9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19621737"/>
    <n v="0.02"/>
    <n v="392434.74"/>
    <m/>
    <n v="21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ACIÓN ALIMENTOS - DPI"/>
    <b v="1"/>
    <n v="0"/>
    <b v="1"/>
    <n v="0"/>
    <x v="1"/>
    <m/>
  </r>
  <r>
    <x v="41"/>
    <s v="LOTE 2"/>
    <x v="6"/>
    <x v="33"/>
    <x v="5"/>
    <x v="0"/>
    <s v="VEREDA CAUNZAL"/>
    <n v="52091148685"/>
    <s v="CER CAUNZAL"/>
    <n v="1"/>
    <n v="9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19621737"/>
    <n v="0.02"/>
    <n v="392434.74"/>
    <m/>
    <n v="22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ACIÓN ALIMENTOS - DPI"/>
    <b v="1"/>
    <n v="0"/>
    <b v="1"/>
    <n v="0"/>
    <x v="1"/>
    <m/>
  </r>
  <r>
    <x v="41"/>
    <s v="LOTE 2"/>
    <x v="6"/>
    <x v="33"/>
    <x v="5"/>
    <x v="0"/>
    <s v="VEREDA EL CASCAJO"/>
    <n v="52091154499"/>
    <s v="CER EL CASCAJO"/>
    <n v="1"/>
    <n v="13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28342509"/>
    <n v="0.02"/>
    <n v="566850.18000000005"/>
    <m/>
    <n v="23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ACIÓN ALIMENTOS - DPI"/>
    <b v="1"/>
    <n v="0"/>
    <b v="1"/>
    <n v="0"/>
    <x v="1"/>
    <m/>
  </r>
  <r>
    <x v="41"/>
    <s v="LOTE 2"/>
    <x v="6"/>
    <x v="33"/>
    <x v="5"/>
    <x v="0"/>
    <s v="LAS ANIMAS"/>
    <n v="520900077343"/>
    <s v="CER LAS ANIMAS_CONCORDIA"/>
    <n v="1"/>
    <n v="25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54504825"/>
    <n v="0.02"/>
    <n v="1090096.5"/>
    <m/>
    <n v="24"/>
    <n v="54504825"/>
    <n v="55594921.5"/>
    <s v=" "/>
    <m/>
    <m/>
    <m/>
    <n v="1234400"/>
    <n v="1025725"/>
    <n v="727500"/>
    <n v="51517200"/>
    <m/>
    <n v="54504825"/>
    <s v=" "/>
    <n v="8401550"/>
    <n v="6439650"/>
    <n v="6439650"/>
    <n v="6439650"/>
    <n v="6439650"/>
    <n v="6439650"/>
    <n v="6439650"/>
    <n v="7465375"/>
    <n v="54504825"/>
    <n v="36076600"/>
    <s v="CONTRATACIÓN ALIMENTOS - DPI"/>
    <b v="1"/>
    <n v="0"/>
    <b v="1"/>
    <n v="0"/>
    <x v="1"/>
    <m/>
  </r>
  <r>
    <x v="41"/>
    <s v="LOTE 2"/>
    <x v="6"/>
    <x v="33"/>
    <x v="2"/>
    <x v="0"/>
    <s v="KR 17 N 19 66"/>
    <n v="520900078989"/>
    <s v="CDI LUCERITO"/>
    <n v="1"/>
    <n v="63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263897550"/>
    <n v="0.02"/>
    <n v="5277951"/>
    <m/>
    <n v="25"/>
    <n v="263897550"/>
    <n v="269175501"/>
    <s v=" "/>
    <m/>
    <m/>
    <m/>
    <n v="5553009"/>
    <n v="4727709"/>
    <n v="0"/>
    <n v="253616832"/>
    <m/>
    <n v="263897550"/>
    <s v=" "/>
    <n v="37255113"/>
    <n v="31702104"/>
    <n v="31702104"/>
    <n v="31702104"/>
    <n v="31702104"/>
    <n v="31702104"/>
    <n v="31702104"/>
    <n v="36429813"/>
    <n v="263897550"/>
    <n v="0"/>
    <s v="CONTRATO COSTEADO CON ALIMENTACION"/>
    <b v="1"/>
    <n v="0"/>
    <b v="1"/>
    <n v="0"/>
    <x v="1"/>
    <m/>
  </r>
  <r>
    <x v="41"/>
    <s v="LOTE 2"/>
    <x v="6"/>
    <x v="33"/>
    <x v="5"/>
    <x v="0"/>
    <s v="LA MARIA"/>
    <n v="520900101963"/>
    <s v="CER LA MARIA"/>
    <n v="1"/>
    <n v="8"/>
    <m/>
    <n v="1942"/>
    <s v="ARTÍCULO 34 CONTRATACIÓN CON EL REGISTRO ÚNICO DE OFERENTES"/>
    <m/>
    <m/>
    <x v="0"/>
    <x v="0"/>
    <x v="9"/>
    <x v="9"/>
    <n v="229112"/>
    <n v="15194"/>
    <n v="82925"/>
    <s v=" "/>
    <s v=" "/>
    <m/>
    <n v="17441544"/>
    <n v="0.02"/>
    <n v="348830.88"/>
    <m/>
    <n v="26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ACIÓN ALIMENTOS - DPI"/>
    <b v="1"/>
    <n v="0"/>
    <b v="1"/>
    <n v="0"/>
    <x v="1"/>
    <m/>
  </r>
  <r>
    <x v="42"/>
    <s v="LOTE 2"/>
    <x v="7"/>
    <x v="34"/>
    <x v="5"/>
    <x v="0"/>
    <s v="AMPARRADO POPALITO"/>
    <n v="52341119078"/>
    <s v="TAMBO ESCOLAR POPALITO"/>
    <n v="1"/>
    <n v="26"/>
    <m/>
    <n v="1943"/>
    <s v="ARTÍCULO 34 CONTRATACIÓN CON EL REGISTRO ÚNICO DE OFERENTES"/>
    <m/>
    <m/>
    <x v="0"/>
    <x v="0"/>
    <x v="34"/>
    <x v="33"/>
    <e v="#N/A"/>
    <e v="#N/A"/>
    <e v="#N/A"/>
    <n v="43"/>
    <n v="857"/>
    <m/>
    <n v="56685018"/>
    <n v="0.02"/>
    <n v="1133700.3600000001"/>
    <m/>
    <n v="1"/>
    <n v="56685018"/>
    <n v="57818718.359999999"/>
    <n v="2312338598"/>
    <n v="46246772"/>
    <n v="2358585370"/>
    <n v="1624.4036515630489"/>
    <n v="1283776"/>
    <n v="1066754"/>
    <n v="756600"/>
    <n v="53577888"/>
    <m/>
    <n v="56685018"/>
    <n v="2312338598"/>
    <n v="8737612"/>
    <n v="6697236"/>
    <n v="6697236"/>
    <n v="6697236"/>
    <n v="6697236"/>
    <n v="6697236"/>
    <n v="6697236"/>
    <n v="7763990"/>
    <n v="56685018"/>
    <n v="37519664"/>
    <s v="CONTRATO ADICIONAL POR ALIMENTACION"/>
    <b v="1"/>
    <n v="0"/>
    <b v="1"/>
    <n v="0"/>
    <x v="3"/>
    <n v="1943"/>
  </r>
  <r>
    <x v="42"/>
    <s v="LOTE 2"/>
    <x v="7"/>
    <x v="34"/>
    <x v="5"/>
    <x v="0"/>
    <s v="VEREDA VALLESI"/>
    <n v="52341119079"/>
    <s v="ESCUELA VALLESI"/>
    <n v="1"/>
    <n v="19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41423667"/>
    <n v="0.02"/>
    <n v="828473.34"/>
    <m/>
    <n v="2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3"/>
    <n v="1943"/>
  </r>
  <r>
    <x v="42"/>
    <s v="LOTE 2"/>
    <x v="7"/>
    <x v="34"/>
    <x v="5"/>
    <x v="0"/>
    <s v="ARMENIA CAMPARRUISA"/>
    <n v="52341119080"/>
    <s v="C COMUNAL ARMENIA"/>
    <n v="1"/>
    <n v="17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7063281"/>
    <n v="0.02"/>
    <n v="741265.62"/>
    <m/>
    <n v="3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3"/>
    <n v="1943"/>
  </r>
  <r>
    <x v="42"/>
    <s v="LOTE 2"/>
    <x v="7"/>
    <x v="34"/>
    <x v="5"/>
    <x v="0"/>
    <s v="DABEIBA VIEJO"/>
    <n v="52341119081"/>
    <s v="C COMUNAL DABEIBA VIEJO"/>
    <n v="1"/>
    <n v="20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43603860"/>
    <n v="0.02"/>
    <n v="872077.20000000007"/>
    <m/>
    <n v="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3"/>
    <n v="1943"/>
  </r>
  <r>
    <x v="42"/>
    <s v="LOTE 2"/>
    <x v="7"/>
    <x v="34"/>
    <x v="5"/>
    <x v="0"/>
    <s v="CRUCES"/>
    <n v="52341119082"/>
    <s v="C COMUNAL CRUCES_DABEIBA"/>
    <n v="1"/>
    <n v="21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45784053"/>
    <n v="0.02"/>
    <n v="915681.06"/>
    <m/>
    <n v="5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O ADICIONAL POR ALIMENTACION"/>
    <b v="1"/>
    <n v="0"/>
    <b v="1"/>
    <n v="0"/>
    <x v="3"/>
    <n v="1943"/>
  </r>
  <r>
    <x v="42"/>
    <s v="LOTE 2"/>
    <x v="7"/>
    <x v="34"/>
    <x v="5"/>
    <x v="0"/>
    <s v="VERDA CARRA INDIGENA"/>
    <n v="52341119083"/>
    <s v="C COMUNAL CARRA INDIGENA"/>
    <n v="1"/>
    <n v="22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47964246"/>
    <n v="0.02"/>
    <n v="959284.92"/>
    <m/>
    <n v="6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3"/>
    <n v="1943"/>
  </r>
  <r>
    <x v="42"/>
    <s v="LOTE 2"/>
    <x v="7"/>
    <x v="34"/>
    <x v="5"/>
    <x v="0"/>
    <s v="LA BALSITA"/>
    <n v="52341119103"/>
    <s v="CASA FAMILIAR LA BALSITA"/>
    <n v="1"/>
    <n v="18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9243474"/>
    <n v="0.02"/>
    <n v="784869.48"/>
    <m/>
    <n v="7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3"/>
    <n v="1943"/>
  </r>
  <r>
    <x v="42"/>
    <s v="LOTE 2"/>
    <x v="7"/>
    <x v="34"/>
    <x v="5"/>
    <x v="0"/>
    <s v="EL ENCIERRO"/>
    <n v="52341119104"/>
    <s v="ESCUELA EL ENCIERRO"/>
    <n v="1"/>
    <n v="10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21801930"/>
    <n v="0.02"/>
    <n v="436038.60000000003"/>
    <m/>
    <n v="8"/>
    <n v="21801930"/>
    <n v="22237968.600000001"/>
    <s v=" "/>
    <m/>
    <m/>
    <m/>
    <n v="493760"/>
    <n v="410290"/>
    <n v="291000"/>
    <n v="20606880"/>
    <m/>
    <n v="21801930"/>
    <s v=" "/>
    <n v="3360620"/>
    <n v="2575860"/>
    <n v="2575860"/>
    <n v="2575860"/>
    <n v="2575860"/>
    <n v="2575860"/>
    <n v="2575860"/>
    <n v="2986150"/>
    <n v="21801930"/>
    <n v="14430640"/>
    <s v="CONTRATO ADICIONAL POR ALIMENTACION"/>
    <b v="1"/>
    <n v="0"/>
    <b v="1"/>
    <n v="0"/>
    <x v="3"/>
    <n v="1943"/>
  </r>
  <r>
    <x v="42"/>
    <s v="LOTE 2"/>
    <x v="7"/>
    <x v="34"/>
    <x v="5"/>
    <x v="0"/>
    <s v="EL PITAL"/>
    <n v="52341119108"/>
    <s v="ESCUELA EL PITAL"/>
    <n v="1"/>
    <n v="21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45784053"/>
    <n v="0.02"/>
    <n v="915681.06"/>
    <m/>
    <n v="9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O ADICIONAL POR ALIMENTACION"/>
    <b v="1"/>
    <n v="0"/>
    <b v="1"/>
    <n v="0"/>
    <x v="3"/>
    <n v="1943"/>
  </r>
  <r>
    <x v="42"/>
    <s v="LOTE 2"/>
    <x v="7"/>
    <x v="34"/>
    <x v="5"/>
    <x v="0"/>
    <s v="LLANO GRANDE"/>
    <n v="52341119109"/>
    <s v="ESCUELA LLANO GRANDE"/>
    <n v="1"/>
    <n v="22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47964246"/>
    <n v="0.02"/>
    <n v="959284.92"/>
    <m/>
    <n v="10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3"/>
    <n v="1943"/>
  </r>
  <r>
    <x v="42"/>
    <s v="LOTE 2"/>
    <x v="7"/>
    <x v="34"/>
    <x v="5"/>
    <x v="0"/>
    <s v="VEREDA CARRA"/>
    <n v="52341134915"/>
    <s v="ESCUELA CARRA"/>
    <n v="1"/>
    <n v="10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21801930"/>
    <n v="0.02"/>
    <n v="436038.60000000003"/>
    <m/>
    <n v="11"/>
    <n v="21801930"/>
    <n v="22237968.600000001"/>
    <s v=" "/>
    <m/>
    <m/>
    <m/>
    <n v="493760"/>
    <n v="410290"/>
    <n v="291000"/>
    <n v="20606880"/>
    <m/>
    <n v="21801930"/>
    <s v=" "/>
    <n v="3360620"/>
    <n v="2575860"/>
    <n v="2575860"/>
    <n v="2575860"/>
    <n v="2575860"/>
    <n v="2575860"/>
    <n v="2575860"/>
    <n v="2986150"/>
    <n v="21801930"/>
    <n v="14430640"/>
    <s v="CONTRATO ADICIONAL POR ALIMENTACION"/>
    <b v="1"/>
    <n v="0"/>
    <b v="1"/>
    <n v="0"/>
    <x v="3"/>
    <n v="1943"/>
  </r>
  <r>
    <x v="42"/>
    <s v="LOTE 2"/>
    <x v="7"/>
    <x v="34"/>
    <x v="5"/>
    <x v="0"/>
    <s v="VEREDA CHEVERITO"/>
    <n v="52341134917"/>
    <s v="TAMBO FAMILIAR CHEVERITO"/>
    <n v="1"/>
    <n v="14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0522702"/>
    <n v="0.02"/>
    <n v="610454.04"/>
    <m/>
    <n v="12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3"/>
    <n v="1943"/>
  </r>
  <r>
    <x v="42"/>
    <s v="LOTE 2"/>
    <x v="7"/>
    <x v="34"/>
    <x v="5"/>
    <x v="0"/>
    <s v="VEREDA CHOROMNADÓ"/>
    <n v="52341134918"/>
    <s v="TAMBO FAMILIAR CHOROMANDO"/>
    <n v="1"/>
    <n v="12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26162316"/>
    <n v="0.02"/>
    <n v="523246.32"/>
    <m/>
    <n v="13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3"/>
    <n v="1943"/>
  </r>
  <r>
    <x v="42"/>
    <s v="LOTE 2"/>
    <x v="7"/>
    <x v="34"/>
    <x v="5"/>
    <x v="0"/>
    <s v="VEREDA EL RETIRO"/>
    <n v="52341134920"/>
    <s v="CASA FAMILIAR EL RETIRO"/>
    <n v="1"/>
    <n v="16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4883088"/>
    <n v="0.02"/>
    <n v="697661.76"/>
    <m/>
    <n v="1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3"/>
    <n v="1943"/>
  </r>
  <r>
    <x v="42"/>
    <s v="LOTE 2"/>
    <x v="7"/>
    <x v="34"/>
    <x v="5"/>
    <x v="0"/>
    <s v="VEREDA NENDO"/>
    <n v="52341134921"/>
    <s v="TAMBO FAMILIAR NENDO"/>
    <n v="1"/>
    <n v="17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7063281"/>
    <n v="0.02"/>
    <n v="741265.62"/>
    <m/>
    <n v="15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3"/>
    <n v="1943"/>
  </r>
  <r>
    <x v="42"/>
    <s v="LOTE 2"/>
    <x v="7"/>
    <x v="34"/>
    <x v="5"/>
    <x v="0"/>
    <s v="VEREDA LLANO GORDO"/>
    <n v="52341134923"/>
    <s v="TAMBO COMUNITARIO LLANOGORDO"/>
    <n v="1"/>
    <n v="13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28342509"/>
    <n v="0.02"/>
    <n v="566850.18000000005"/>
    <m/>
    <n v="16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3"/>
    <n v="1943"/>
  </r>
  <r>
    <x v="42"/>
    <s v="LOTE 2"/>
    <x v="7"/>
    <x v="34"/>
    <x v="5"/>
    <x v="0"/>
    <s v="VEREDA LOS NARANJOS"/>
    <n v="52341134924"/>
    <s v="ESCUELA LOS NARANJOS"/>
    <n v="1"/>
    <n v="13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28342509"/>
    <n v="0.02"/>
    <n v="566850.18000000005"/>
    <m/>
    <n v="17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3"/>
    <n v="1943"/>
  </r>
  <r>
    <x v="42"/>
    <s v="LOTE 2"/>
    <x v="7"/>
    <x v="34"/>
    <x v="5"/>
    <x v="0"/>
    <s v="VEREDA PAVARANDÓ"/>
    <n v="52341134925"/>
    <s v="TAMBO FAMILIAR PAVARANDO"/>
    <n v="1"/>
    <n v="15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2702895"/>
    <n v="0.02"/>
    <n v="654057.9"/>
    <m/>
    <n v="18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3"/>
    <n v="1943"/>
  </r>
  <r>
    <x v="42"/>
    <s v="LOTE 2"/>
    <x v="7"/>
    <x v="34"/>
    <x v="5"/>
    <x v="0"/>
    <s v="VEREDA PEGADO"/>
    <n v="52341134926"/>
    <s v="C COMUNAL PEGADO"/>
    <n v="1"/>
    <n v="15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2702895"/>
    <n v="0.02"/>
    <n v="654057.9"/>
    <m/>
    <n v="19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3"/>
    <n v="1943"/>
  </r>
  <r>
    <x v="42"/>
    <s v="LOTE 2"/>
    <x v="7"/>
    <x v="34"/>
    <x v="5"/>
    <x v="0"/>
    <s v="VEREDA PIEDRAS BLANCAS"/>
    <n v="52341134927"/>
    <s v="TAMBO FAMILIAR PIEDRA BLANCAS"/>
    <n v="1"/>
    <n v="13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28342509"/>
    <n v="0.02"/>
    <n v="566850.18000000005"/>
    <m/>
    <n v="20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3"/>
    <n v="1943"/>
  </r>
  <r>
    <x v="42"/>
    <s v="LOTE 2"/>
    <x v="7"/>
    <x v="34"/>
    <x v="5"/>
    <x v="0"/>
    <s v="VEREDA SANTA TERESA"/>
    <n v="52341134929"/>
    <s v="TAMBO FAMILIAR SANTA TERESA"/>
    <n v="1"/>
    <n v="5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10900965"/>
    <n v="0.02"/>
    <n v="218019.30000000002"/>
    <m/>
    <n v="21"/>
    <n v="10900965"/>
    <n v="11118984.300000001"/>
    <s v=" "/>
    <m/>
    <m/>
    <m/>
    <n v="246880"/>
    <n v="205145"/>
    <n v="145500"/>
    <n v="10303440"/>
    <m/>
    <n v="10900965"/>
    <s v=" "/>
    <n v="1680310"/>
    <n v="1287930"/>
    <n v="1287930"/>
    <n v="1287930"/>
    <n v="1287930"/>
    <n v="1287930"/>
    <n v="1287930"/>
    <n v="1493075"/>
    <n v="10900965"/>
    <n v="7215320"/>
    <s v="CONTRATO ADICIONAL POR ALIMENTACION"/>
    <b v="1"/>
    <n v="0"/>
    <b v="1"/>
    <n v="0"/>
    <x v="3"/>
    <n v="1943"/>
  </r>
  <r>
    <x v="42"/>
    <s v="LOTE 2"/>
    <x v="7"/>
    <x v="34"/>
    <x v="5"/>
    <x v="0"/>
    <s v="CTGO URAMA"/>
    <n v="52341134930"/>
    <s v="ESCUELA URAMA"/>
    <n v="1"/>
    <n v="20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43603860"/>
    <n v="0.02"/>
    <n v="872077.20000000007"/>
    <m/>
    <n v="22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3"/>
    <n v="1943"/>
  </r>
  <r>
    <x v="42"/>
    <s v="LOTE 2"/>
    <x v="7"/>
    <x v="34"/>
    <x v="5"/>
    <x v="0"/>
    <s v="VEREDA TASCON"/>
    <n v="52341134932"/>
    <s v="TAMBO FAMILIAR TASCON"/>
    <n v="1"/>
    <n v="23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50144439"/>
    <n v="0.02"/>
    <n v="1002888.78"/>
    <m/>
    <n v="23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O ADICIONAL POR ALIMENTACION"/>
    <b v="1"/>
    <n v="0"/>
    <b v="1"/>
    <n v="0"/>
    <x v="3"/>
    <n v="1943"/>
  </r>
  <r>
    <x v="42"/>
    <s v="LOTE 2"/>
    <x v="7"/>
    <x v="34"/>
    <x v="5"/>
    <x v="0"/>
    <s v="VEREDA ANTADO"/>
    <n v="52341135538"/>
    <s v="CASA ANTADO"/>
    <n v="1"/>
    <n v="15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2702895"/>
    <n v="0.02"/>
    <n v="654057.9"/>
    <m/>
    <n v="24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3"/>
    <n v="1943"/>
  </r>
  <r>
    <x v="42"/>
    <s v="LOTE 2"/>
    <x v="7"/>
    <x v="34"/>
    <x v="5"/>
    <x v="0"/>
    <s v="VEREDA BOTON"/>
    <n v="52341135539"/>
    <s v="ESCUELA BOTON"/>
    <n v="1"/>
    <n v="15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2702895"/>
    <n v="0.02"/>
    <n v="654057.9"/>
    <m/>
    <n v="25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3"/>
    <n v="1943"/>
  </r>
  <r>
    <x v="42"/>
    <s v="LOTE 2"/>
    <x v="7"/>
    <x v="34"/>
    <x v="5"/>
    <x v="0"/>
    <s v="VAREDA CARACOLON"/>
    <n v="52341135540"/>
    <s v="C COMUNAL CARACOLON"/>
    <n v="1"/>
    <n v="12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26162316"/>
    <n v="0.02"/>
    <n v="523246.32"/>
    <m/>
    <n v="26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3"/>
    <n v="1943"/>
  </r>
  <r>
    <x v="42"/>
    <s v="LOTE 2"/>
    <x v="7"/>
    <x v="34"/>
    <x v="5"/>
    <x v="0"/>
    <s v="VEREDA FILO DE LA CRUZ"/>
    <n v="52341136232"/>
    <s v="ESCUELA FILO DE LA CRUZ"/>
    <n v="1"/>
    <n v="14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0522702"/>
    <n v="0.02"/>
    <n v="610454.04"/>
    <m/>
    <n v="27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3"/>
    <n v="1943"/>
  </r>
  <r>
    <x v="42"/>
    <s v="LOTE 2"/>
    <x v="7"/>
    <x v="34"/>
    <x v="2"/>
    <x v="0"/>
    <s v="KR 6 5 33"/>
    <n v="52341139957"/>
    <s v="LOS PINGUINOS 2"/>
    <n v="1"/>
    <n v="74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09974900"/>
    <n v="0.02"/>
    <n v="6199498"/>
    <m/>
    <n v="28"/>
    <n v="309974900"/>
    <n v="316174398"/>
    <s v=" "/>
    <m/>
    <m/>
    <m/>
    <n v="6522582"/>
    <n v="5553182"/>
    <n v="0"/>
    <n v="297899136"/>
    <m/>
    <n v="309974900"/>
    <s v=" "/>
    <n v="43759974"/>
    <n v="37237392"/>
    <n v="37237392"/>
    <n v="37237392"/>
    <n v="37237392"/>
    <n v="37237392"/>
    <n v="37237392"/>
    <n v="42790574"/>
    <n v="309974900"/>
    <n v="0"/>
    <s v="CONTRATO COSTEADO CON ALIMENTACION"/>
    <b v="1"/>
    <n v="0"/>
    <b v="1"/>
    <n v="0"/>
    <x v="3"/>
    <n v="1943"/>
  </r>
  <r>
    <x v="42"/>
    <s v="LOTE 2"/>
    <x v="7"/>
    <x v="34"/>
    <x v="2"/>
    <x v="0"/>
    <s v="VEREDA LLANOGRANDE"/>
    <n v="52341148740"/>
    <s v="CDI FORJANDO FUTURO MEXÍCO"/>
    <n v="1"/>
    <n v="9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7699650"/>
    <n v="0.02"/>
    <n v="753993"/>
    <m/>
    <n v="29"/>
    <n v="37699650"/>
    <n v="38453643"/>
    <s v=" "/>
    <m/>
    <m/>
    <m/>
    <n v="793287"/>
    <n v="675387"/>
    <n v="0"/>
    <n v="36230976"/>
    <m/>
    <n v="37699650"/>
    <s v=" "/>
    <n v="5322159"/>
    <n v="4528872"/>
    <n v="4528872"/>
    <n v="4528872"/>
    <n v="4528872"/>
    <n v="4528872"/>
    <n v="4528872"/>
    <n v="5204259"/>
    <n v="37699650"/>
    <n v="0"/>
    <s v="CONTRATO COSTEADO CON ALIMENTACION"/>
    <b v="1"/>
    <n v="0"/>
    <b v="1"/>
    <n v="0"/>
    <x v="3"/>
    <n v="1943"/>
  </r>
  <r>
    <x v="42"/>
    <s v="LOTE 2"/>
    <x v="7"/>
    <x v="34"/>
    <x v="5"/>
    <x v="0"/>
    <s v="VEREDA LA FALDA"/>
    <n v="52341150450"/>
    <s v="C COMUNAL LA FALDA"/>
    <n v="1"/>
    <n v="13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28342509"/>
    <n v="0.02"/>
    <n v="566850.18000000005"/>
    <m/>
    <n v="30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3"/>
    <n v="1943"/>
  </r>
  <r>
    <x v="42"/>
    <s v="LOTE 2"/>
    <x v="7"/>
    <x v="34"/>
    <x v="5"/>
    <x v="0"/>
    <s v="VEREDA CAMPARRUSIA"/>
    <n v="52341151149"/>
    <s v="C COMUNAL CAMPARRUSIA"/>
    <n v="1"/>
    <n v="17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7063281"/>
    <n v="0.02"/>
    <n v="741265.62"/>
    <m/>
    <n v="31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3"/>
    <n v="1943"/>
  </r>
  <r>
    <x v="42"/>
    <s v="LOTE 2"/>
    <x v="7"/>
    <x v="34"/>
    <x v="5"/>
    <x v="0"/>
    <s v="PUENTE NUEVO"/>
    <n v="52341151150"/>
    <s v="C COMUNAL PUENTE NUEVO"/>
    <n v="1"/>
    <n v="18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9243474"/>
    <n v="0.02"/>
    <n v="784869.48"/>
    <m/>
    <n v="32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3"/>
    <n v="1943"/>
  </r>
  <r>
    <x v="42"/>
    <s v="LOTE 2"/>
    <x v="7"/>
    <x v="34"/>
    <x v="5"/>
    <x v="0"/>
    <s v="VEREDA EL BALSO"/>
    <n v="52341151151"/>
    <s v="C COMUNAL EL BALSO"/>
    <n v="1"/>
    <n v="16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4883088"/>
    <n v="0.02"/>
    <n v="697661.76"/>
    <m/>
    <n v="33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3"/>
    <n v="1943"/>
  </r>
  <r>
    <x v="42"/>
    <s v="LOTE 2"/>
    <x v="7"/>
    <x v="34"/>
    <x v="5"/>
    <x v="0"/>
    <s v="VEREDA DABEIBA VIEJO"/>
    <n v="52341151152"/>
    <s v="TAMBO COMUNITARIO DABEIBA VIEJO"/>
    <n v="1"/>
    <n v="26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56685018"/>
    <n v="0.02"/>
    <n v="1133700.3600000001"/>
    <m/>
    <n v="34"/>
    <n v="56685018"/>
    <n v="57818718.359999999"/>
    <s v=" "/>
    <m/>
    <m/>
    <m/>
    <n v="1283776"/>
    <n v="1066754"/>
    <n v="756600"/>
    <n v="53577888"/>
    <m/>
    <n v="56685018"/>
    <s v=" "/>
    <n v="8737612"/>
    <n v="6697236"/>
    <n v="6697236"/>
    <n v="6697236"/>
    <n v="6697236"/>
    <n v="6697236"/>
    <n v="6697236"/>
    <n v="7763990"/>
    <n v="56685018"/>
    <n v="37519664"/>
    <s v="CONTRATO ADICIONAL POR ALIMENTACION"/>
    <b v="1"/>
    <n v="0"/>
    <b v="1"/>
    <n v="0"/>
    <x v="3"/>
    <n v="1943"/>
  </r>
  <r>
    <x v="42"/>
    <s v="LOTE 2"/>
    <x v="7"/>
    <x v="34"/>
    <x v="5"/>
    <x v="0"/>
    <s v="EL PITAL ALTO"/>
    <n v="52341151153"/>
    <s v="TAMBO COMUNITARIO PITAL ALTO"/>
    <n v="1"/>
    <n v="24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52324632"/>
    <n v="0.02"/>
    <n v="1046492.64"/>
    <m/>
    <n v="35"/>
    <n v="52324632"/>
    <n v="53371124.640000001"/>
    <s v=" "/>
    <m/>
    <m/>
    <m/>
    <n v="1185024"/>
    <n v="984696"/>
    <n v="698400"/>
    <n v="49456512"/>
    <m/>
    <n v="52324632"/>
    <s v=" "/>
    <n v="8065488"/>
    <n v="6182064"/>
    <n v="6182064"/>
    <n v="6182064"/>
    <n v="6182064"/>
    <n v="6182064"/>
    <n v="6182064"/>
    <n v="7166760"/>
    <n v="52324632"/>
    <n v="34633536"/>
    <s v="CONTRATO ADICIONAL POR ALIMENTACION"/>
    <b v="1"/>
    <n v="0"/>
    <b v="1"/>
    <n v="0"/>
    <x v="3"/>
    <n v="1943"/>
  </r>
  <r>
    <x v="42"/>
    <s v="LOTE 2"/>
    <x v="7"/>
    <x v="34"/>
    <x v="5"/>
    <x v="0"/>
    <s v="VEREDA TAPARALES"/>
    <n v="52341151154"/>
    <s v="ESCUELA TAPARALES"/>
    <n v="1"/>
    <n v="22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47964246"/>
    <n v="0.02"/>
    <n v="959284.92"/>
    <m/>
    <n v="36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3"/>
    <n v="1943"/>
  </r>
  <r>
    <x v="42"/>
    <s v="LOTE 2"/>
    <x v="7"/>
    <x v="34"/>
    <x v="5"/>
    <x v="0"/>
    <s v="CHOROMANDO BAJO"/>
    <n v="52341151155"/>
    <s v="TAMBO FAMILIAR CHOROMANDO BAJO"/>
    <n v="1"/>
    <n v="8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17441544"/>
    <n v="0.02"/>
    <n v="348830.88"/>
    <m/>
    <n v="37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O ADICIONAL POR ALIMENTACION"/>
    <b v="1"/>
    <n v="0"/>
    <b v="1"/>
    <n v="0"/>
    <x v="3"/>
    <n v="1943"/>
  </r>
  <r>
    <x v="42"/>
    <s v="LOTE 2"/>
    <x v="7"/>
    <x v="34"/>
    <x v="5"/>
    <x v="0"/>
    <s v="EL RODEO"/>
    <n v="52341151156"/>
    <s v="TAMBO FAMILIAR EL RODEO"/>
    <n v="1"/>
    <n v="8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17441544"/>
    <n v="0.02"/>
    <n v="348830.88"/>
    <m/>
    <n v="38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O ADICIONAL POR ALIMENTACION"/>
    <b v="1"/>
    <n v="0"/>
    <b v="1"/>
    <n v="0"/>
    <x v="3"/>
    <n v="1943"/>
  </r>
  <r>
    <x v="42"/>
    <s v="LOTE 2"/>
    <x v="7"/>
    <x v="34"/>
    <x v="5"/>
    <x v="0"/>
    <s v="VEREDA SANTA TERESA"/>
    <n v="52341153053"/>
    <s v="TAMBO FAMILIAR GUATICAMA"/>
    <n v="1"/>
    <n v="15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32702895"/>
    <n v="0.02"/>
    <n v="654057.9"/>
    <m/>
    <n v="39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3"/>
    <n v="1943"/>
  </r>
  <r>
    <x v="42"/>
    <s v="LOTE 2"/>
    <x v="7"/>
    <x v="34"/>
    <x v="2"/>
    <x v="0"/>
    <s v="CL 4 B 20 11"/>
    <n v="52341153571"/>
    <s v="FELICES CHURUMBELES "/>
    <n v="1"/>
    <n v="35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146609750"/>
    <n v="0.02"/>
    <n v="2932195"/>
    <m/>
    <n v="40"/>
    <n v="146609750"/>
    <n v="149541945"/>
    <s v=" "/>
    <m/>
    <m/>
    <m/>
    <n v="3085005"/>
    <n v="2626505"/>
    <n v="0"/>
    <n v="140898240"/>
    <m/>
    <n v="146609750"/>
    <s v=" "/>
    <n v="20697285"/>
    <n v="17612280"/>
    <n v="17612280"/>
    <n v="17612280"/>
    <n v="17612280"/>
    <n v="17612280"/>
    <n v="17612280"/>
    <n v="20238785"/>
    <n v="146609750"/>
    <n v="0"/>
    <s v="CONTRATO COSTEADO CON ALIMENTACION"/>
    <b v="1"/>
    <n v="0"/>
    <b v="1"/>
    <n v="0"/>
    <x v="3"/>
    <n v="1943"/>
  </r>
  <r>
    <x v="42"/>
    <s v="LOTE 2"/>
    <x v="7"/>
    <x v="34"/>
    <x v="5"/>
    <x v="0"/>
    <s v="AGUA LINDA"/>
    <n v="523400100031"/>
    <s v="ESCUELA AGUA LINDA"/>
    <n v="1"/>
    <n v="9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19621737"/>
    <n v="0.02"/>
    <n v="392434.74"/>
    <m/>
    <n v="41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O ADICIONAL POR ALIMENTACION"/>
    <b v="1"/>
    <n v="0"/>
    <b v="1"/>
    <n v="0"/>
    <x v="3"/>
    <n v="1943"/>
  </r>
  <r>
    <x v="42"/>
    <s v="LOTE 2"/>
    <x v="7"/>
    <x v="34"/>
    <x v="2"/>
    <x v="0"/>
    <s v="CL 10 JUAN DEL CORRAL N 11 50"/>
    <n v="523400104903"/>
    <s v="LOS PINGUINOS"/>
    <n v="1"/>
    <n v="103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431451550"/>
    <n v="0.02"/>
    <n v="8629031"/>
    <m/>
    <n v="42"/>
    <n v="431451550"/>
    <n v="440080581"/>
    <s v=" "/>
    <m/>
    <m/>
    <m/>
    <n v="9078729"/>
    <n v="7729429"/>
    <n v="0"/>
    <n v="414643392"/>
    <m/>
    <n v="431451550"/>
    <s v=" "/>
    <n v="60909153"/>
    <n v="51830424"/>
    <n v="51830424"/>
    <n v="51830424"/>
    <n v="51830424"/>
    <n v="51830424"/>
    <n v="51830424"/>
    <n v="59559853"/>
    <n v="431451550"/>
    <n v="0"/>
    <s v="CONTRATO COSTEADO CON ALIMENTACION"/>
    <b v="1"/>
    <n v="0"/>
    <b v="1"/>
    <n v="0"/>
    <x v="3"/>
    <n v="1943"/>
  </r>
  <r>
    <x v="42"/>
    <s v="LOTE 2"/>
    <x v="7"/>
    <x v="34"/>
    <x v="5"/>
    <x v="0"/>
    <s v="VEREDA CHEVER"/>
    <n v="523400112968"/>
    <s v="TAMBO FAMILIAR CHEVER"/>
    <n v="1"/>
    <n v="22"/>
    <m/>
    <n v="1943"/>
    <s v="ARTÍCULO 34 CONTRATACIÓN CON EL REGISTRO ÚNICO DE OFERENTES"/>
    <m/>
    <m/>
    <x v="0"/>
    <x v="0"/>
    <x v="34"/>
    <x v="33"/>
    <e v="#N/A"/>
    <e v="#N/A"/>
    <e v="#N/A"/>
    <s v=" "/>
    <s v=" "/>
    <m/>
    <n v="47964246"/>
    <n v="0.02"/>
    <n v="959284.92"/>
    <m/>
    <n v="43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3"/>
    <n v="1943"/>
  </r>
  <r>
    <x v="43"/>
    <s v="LOTE 2"/>
    <x v="1"/>
    <x v="35"/>
    <x v="4"/>
    <x v="0"/>
    <s v="KR 27 28 02"/>
    <n v="52371117526"/>
    <s v="SALTARINES 2"/>
    <n v="1"/>
    <n v="83"/>
    <m/>
    <n v="1944"/>
    <s v="ARTÍCULO 34 CONTRATACIÓN CON EL REGISTRO ÚNICO DE OFERENTES"/>
    <m/>
    <m/>
    <x v="0"/>
    <x v="0"/>
    <x v="35"/>
    <x v="34"/>
    <n v="229113"/>
    <n v="15219"/>
    <n v="86725"/>
    <n v="21"/>
    <n v="635"/>
    <m/>
    <n v="359340366"/>
    <n v="0.02"/>
    <n v="7186807.3200000003"/>
    <m/>
    <n v="1"/>
    <n v="359340366"/>
    <n v="366527173.31999999"/>
    <n v="1823236236"/>
    <n v="36464725"/>
    <n v="1859700961"/>
    <n v="1280.812248682824"/>
    <n v="7315869"/>
    <n v="6228569"/>
    <n v="0"/>
    <n v="345795928"/>
    <m/>
    <n v="359340366"/>
    <n v="1823236236"/>
    <n v="50540360"/>
    <n v="43224491"/>
    <n v="43224491"/>
    <n v="43224491"/>
    <n v="43224491"/>
    <n v="43224491"/>
    <n v="43224491"/>
    <n v="49453060"/>
    <n v="359340366"/>
    <n v="0"/>
    <s v="CONTRATO COSTEADO CON ALIMENTACION"/>
    <b v="1"/>
    <n v="0"/>
    <b v="1"/>
    <n v="0"/>
    <x v="1"/>
    <n v="1944"/>
  </r>
  <r>
    <x v="43"/>
    <s v="LOTE 2"/>
    <x v="1"/>
    <x v="35"/>
    <x v="1"/>
    <x v="0"/>
    <s v="CORREGIMIENTO BELLAVISTA"/>
    <n v="52371118968"/>
    <s v="CASA DE LA CULTURA BELLAVISTA UDS 1"/>
    <n v="1"/>
    <n v="27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41021235"/>
    <n v="0.02"/>
    <n v="820424.70000000007"/>
    <m/>
    <n v="2"/>
    <n v="41021235"/>
    <n v="41841659.700000003"/>
    <s v=" "/>
    <m/>
    <m/>
    <m/>
    <n v="1262088"/>
    <n v="1021707"/>
    <n v="0"/>
    <n v="38737440"/>
    <m/>
    <n v="41021235"/>
    <s v=" "/>
    <n v="6104268"/>
    <n v="4842180"/>
    <n v="4842180"/>
    <n v="4842180"/>
    <n v="4842180"/>
    <n v="4842180"/>
    <n v="4842180"/>
    <n v="5863887"/>
    <n v="41021235"/>
    <n v="40677336"/>
    <s v="CONTRATO ADICIONAL POR ALIMENTACION"/>
    <b v="1"/>
    <n v="0"/>
    <b v="1"/>
    <n v="0"/>
    <x v="1"/>
    <n v="1944"/>
  </r>
  <r>
    <x v="43"/>
    <s v="LOTE 2"/>
    <x v="1"/>
    <x v="35"/>
    <x v="1"/>
    <x v="0"/>
    <s v="VEREDA LAS ANIMAS"/>
    <n v="52371118969"/>
    <s v="IER BENILDA VALENCIA"/>
    <n v="1"/>
    <n v="7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10635135"/>
    <n v="0.02"/>
    <n v="212702.7"/>
    <m/>
    <n v="3"/>
    <n v="10635135"/>
    <n v="10847837.699999999"/>
    <s v=" "/>
    <m/>
    <m/>
    <m/>
    <n v="327208"/>
    <n v="264887"/>
    <n v="0"/>
    <n v="10043040"/>
    <m/>
    <n v="10635135"/>
    <s v=" "/>
    <n v="1582588"/>
    <n v="1255380"/>
    <n v="1255380"/>
    <n v="1255380"/>
    <n v="1255380"/>
    <n v="1255380"/>
    <n v="1255380"/>
    <n v="1520267"/>
    <n v="10635135"/>
    <n v="10545976"/>
    <s v="CONTRATO ADICIONAL POR ALIMENTACION"/>
    <b v="1"/>
    <n v="0"/>
    <b v="1"/>
    <n v="0"/>
    <x v="1"/>
    <n v="1944"/>
  </r>
  <r>
    <x v="43"/>
    <s v="LOTE 2"/>
    <x v="1"/>
    <x v="35"/>
    <x v="1"/>
    <x v="0"/>
    <s v="VEREDA RIOCHICO"/>
    <n v="52371118970"/>
    <s v="CER RIOCHICO"/>
    <n v="1"/>
    <n v="24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36463320"/>
    <n v="0.02"/>
    <n v="729266.4"/>
    <m/>
    <n v="4"/>
    <n v="36463320"/>
    <n v="37192586.399999999"/>
    <s v=" "/>
    <m/>
    <m/>
    <m/>
    <n v="1121856"/>
    <n v="908184"/>
    <n v="0"/>
    <n v="34433280"/>
    <m/>
    <n v="36463320"/>
    <s v=" "/>
    <n v="5426016"/>
    <n v="4304160"/>
    <n v="4304160"/>
    <n v="4304160"/>
    <n v="4304160"/>
    <n v="4304160"/>
    <n v="4304160"/>
    <n v="5212344"/>
    <n v="36463320"/>
    <n v="36157632"/>
    <s v="CONTRATO ADICIONAL POR ALIMENTACION"/>
    <b v="1"/>
    <n v="0"/>
    <b v="1"/>
    <n v="0"/>
    <x v="1"/>
    <n v="1944"/>
  </r>
  <r>
    <x v="43"/>
    <s v="LOTE 2"/>
    <x v="1"/>
    <x v="35"/>
    <x v="1"/>
    <x v="0"/>
    <s v="VEREDA PIEDRAHITA"/>
    <n v="52371118972"/>
    <s v="C COMUNAL PIEDRAHITA"/>
    <n v="1"/>
    <n v="26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39501930"/>
    <n v="0.02"/>
    <n v="790038.6"/>
    <m/>
    <n v="5"/>
    <n v="39501930"/>
    <n v="40291968.600000001"/>
    <s v=" "/>
    <m/>
    <m/>
    <m/>
    <n v="1215344"/>
    <n v="983866"/>
    <n v="0"/>
    <n v="37302720"/>
    <m/>
    <n v="39501930"/>
    <s v=" "/>
    <n v="5878184"/>
    <n v="4662840"/>
    <n v="4662840"/>
    <n v="4662840"/>
    <n v="4662840"/>
    <n v="4662840"/>
    <n v="4662840"/>
    <n v="5646706"/>
    <n v="39501930"/>
    <n v="39170768"/>
    <s v="CONTRATO ADICIONAL POR ALIMENTACION"/>
    <b v="1"/>
    <n v="0"/>
    <b v="1"/>
    <n v="0"/>
    <x v="1"/>
    <n v="1944"/>
  </r>
  <r>
    <x v="43"/>
    <s v="LOTE 2"/>
    <x v="1"/>
    <x v="35"/>
    <x v="1"/>
    <x v="0"/>
    <s v="VEREDA LA MONTERA"/>
    <n v="52371137095"/>
    <s v="CER FRANCISCO RESTREPO"/>
    <n v="1"/>
    <n v="11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16712355"/>
    <n v="0.02"/>
    <n v="334247.10000000003"/>
    <m/>
    <n v="6"/>
    <n v="16712355"/>
    <n v="17046602.100000001"/>
    <s v=" "/>
    <m/>
    <m/>
    <m/>
    <n v="514184"/>
    <n v="416251"/>
    <n v="0"/>
    <n v="15781920"/>
    <m/>
    <n v="16712355"/>
    <s v=" "/>
    <n v="2486924"/>
    <n v="1972740"/>
    <n v="1972740"/>
    <n v="1972740"/>
    <n v="1972740"/>
    <n v="1972740"/>
    <n v="1972740"/>
    <n v="2388991"/>
    <n v="16712355"/>
    <n v="16572248"/>
    <s v="CONTRATO ADICIONAL POR ALIMENTACION"/>
    <b v="1"/>
    <n v="0"/>
    <b v="1"/>
    <n v="0"/>
    <x v="1"/>
    <n v="1944"/>
  </r>
  <r>
    <x v="43"/>
    <s v="LOTE 2"/>
    <x v="1"/>
    <x v="35"/>
    <x v="1"/>
    <x v="0"/>
    <s v="VEREDA PRADERA"/>
    <n v="52371137096"/>
    <s v="CER LA PRADERA"/>
    <n v="1"/>
    <n v="10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15193050"/>
    <n v="0.02"/>
    <n v="303861"/>
    <m/>
    <n v="7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O ADICIONAL POR ALIMENTACION"/>
    <b v="1"/>
    <n v="0"/>
    <b v="1"/>
    <n v="0"/>
    <x v="1"/>
    <n v="1944"/>
  </r>
  <r>
    <x v="43"/>
    <s v="LOTE 2"/>
    <x v="1"/>
    <x v="35"/>
    <x v="1"/>
    <x v="0"/>
    <s v="VEREDA MIRAFLORES"/>
    <n v="52371137098"/>
    <s v="C COMUNAL MIRAFLORES_DONMATIAS"/>
    <n v="1"/>
    <n v="14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21270270"/>
    <n v="0.02"/>
    <n v="425405.4"/>
    <m/>
    <n v="8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944"/>
  </r>
  <r>
    <x v="43"/>
    <s v="LOTE 2"/>
    <x v="1"/>
    <x v="35"/>
    <x v="1"/>
    <x v="0"/>
    <s v="VEREDA ARRAYANES"/>
    <n v="52371137102"/>
    <s v="CER LOS ARRAYANES UDS 1"/>
    <n v="1"/>
    <n v="11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16712355"/>
    <n v="0.02"/>
    <n v="334247.10000000003"/>
    <m/>
    <n v="9"/>
    <n v="16712355"/>
    <n v="17046602.100000001"/>
    <s v=" "/>
    <m/>
    <m/>
    <m/>
    <n v="514184"/>
    <n v="416251"/>
    <n v="0"/>
    <n v="15781920"/>
    <m/>
    <n v="16712355"/>
    <s v=" "/>
    <n v="2486924"/>
    <n v="1972740"/>
    <n v="1972740"/>
    <n v="1972740"/>
    <n v="1972740"/>
    <n v="1972740"/>
    <n v="1972740"/>
    <n v="2388991"/>
    <n v="16712355"/>
    <n v="16572248"/>
    <s v="CONTRATO ADICIONAL POR ALIMENTACION"/>
    <b v="1"/>
    <n v="0"/>
    <b v="1"/>
    <n v="0"/>
    <x v="1"/>
    <n v="1944"/>
  </r>
  <r>
    <x v="43"/>
    <s v="LOTE 2"/>
    <x v="1"/>
    <x v="35"/>
    <x v="1"/>
    <x v="0"/>
    <s v="VEREDA PANDEAZUCAR"/>
    <n v="52371137108"/>
    <s v="CER PANDEAZÚCAR"/>
    <n v="1"/>
    <n v="10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15193050"/>
    <n v="0.02"/>
    <n v="303861"/>
    <m/>
    <n v="10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O ADICIONAL POR ALIMENTACION"/>
    <b v="1"/>
    <n v="0"/>
    <b v="1"/>
    <n v="0"/>
    <x v="1"/>
    <n v="1944"/>
  </r>
  <r>
    <x v="43"/>
    <s v="LOTE 2"/>
    <x v="1"/>
    <x v="35"/>
    <x v="1"/>
    <x v="0"/>
    <s v="VEREDA RIOGRANDE"/>
    <n v="52371137111"/>
    <s v="CER RIOGRANDE"/>
    <n v="1"/>
    <n v="17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25828185"/>
    <n v="0.02"/>
    <n v="516563.7"/>
    <m/>
    <n v="11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44"/>
  </r>
  <r>
    <x v="43"/>
    <s v="LOTE 2"/>
    <x v="1"/>
    <x v="35"/>
    <x v="1"/>
    <x v="0"/>
    <s v="VEREDA QUEBRADA ARRIBA"/>
    <n v="52371137117"/>
    <s v="C COMUNAL QUEBRADA ARRIBA_DONMATIAS"/>
    <n v="1"/>
    <n v="26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39501930"/>
    <n v="0.02"/>
    <n v="790038.6"/>
    <m/>
    <n v="12"/>
    <n v="39501930"/>
    <n v="40291968.600000001"/>
    <s v=" "/>
    <m/>
    <m/>
    <m/>
    <n v="1215344"/>
    <n v="983866"/>
    <n v="0"/>
    <n v="37302720"/>
    <m/>
    <n v="39501930"/>
    <s v=" "/>
    <n v="5878184"/>
    <n v="4662840"/>
    <n v="4662840"/>
    <n v="4662840"/>
    <n v="4662840"/>
    <n v="4662840"/>
    <n v="4662840"/>
    <n v="5646706"/>
    <n v="39501930"/>
    <n v="39170768"/>
    <s v="CONTRATO ADICIONAL POR ALIMENTACION"/>
    <b v="1"/>
    <n v="0"/>
    <b v="1"/>
    <n v="0"/>
    <x v="1"/>
    <n v="1944"/>
  </r>
  <r>
    <x v="43"/>
    <s v="LOTE 2"/>
    <x v="1"/>
    <x v="35"/>
    <x v="1"/>
    <x v="0"/>
    <s v="VEREDA IBORRA"/>
    <n v="52371137145"/>
    <s v="C COMUNAL IBORRA"/>
    <n v="1"/>
    <n v="10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15193050"/>
    <n v="0.02"/>
    <n v="303861"/>
    <m/>
    <n v="13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O ADICIONAL POR ALIMENTACION"/>
    <b v="1"/>
    <n v="0"/>
    <b v="1"/>
    <n v="0"/>
    <x v="1"/>
    <n v="1944"/>
  </r>
  <r>
    <x v="43"/>
    <s v="LOTE 2"/>
    <x v="1"/>
    <x v="35"/>
    <x v="1"/>
    <x v="0"/>
    <s v="VEREDA ROMAZON"/>
    <n v="52371151109"/>
    <s v="CER FELIX CASTAÑO"/>
    <n v="1"/>
    <n v="10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15193050"/>
    <n v="0.02"/>
    <n v="303861"/>
    <m/>
    <n v="14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O ADICIONAL POR ALIMENTACION"/>
    <b v="1"/>
    <n v="0"/>
    <b v="1"/>
    <n v="0"/>
    <x v="1"/>
    <n v="1944"/>
  </r>
  <r>
    <x v="43"/>
    <s v="LOTE 2"/>
    <x v="1"/>
    <x v="35"/>
    <x v="1"/>
    <x v="0"/>
    <s v="VEREDA BOCATOMA CASA DE FAMILIA USUARIA"/>
    <n v="52371152477"/>
    <s v="CASA DE FAMILIA USUARIA BOCATOMA"/>
    <n v="1"/>
    <n v="16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24308880"/>
    <n v="0.02"/>
    <n v="486177.60000000003"/>
    <m/>
    <n v="15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44"/>
  </r>
  <r>
    <x v="43"/>
    <s v="LOTE 2"/>
    <x v="1"/>
    <x v="35"/>
    <x v="1"/>
    <x v="0"/>
    <s v="INSTITUCIÓN EDUCATIVA JESUS MARIA OSORNO"/>
    <n v="52371152478"/>
    <s v="IER JESUS MARIA OSORNO"/>
    <n v="1"/>
    <n v="14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21270270"/>
    <n v="0.02"/>
    <n v="425405.4"/>
    <m/>
    <n v="16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944"/>
  </r>
  <r>
    <x v="43"/>
    <s v="LOTE 2"/>
    <x v="1"/>
    <x v="35"/>
    <x v="1"/>
    <x v="0"/>
    <s v="CL 31 31 25"/>
    <n v="52371152816"/>
    <s v="ESCUELA LUIS LOPEZ DE MESA"/>
    <n v="1"/>
    <n v="69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104832045"/>
    <n v="0.02"/>
    <n v="2096640.9000000001"/>
    <m/>
    <n v="17"/>
    <n v="104832045"/>
    <n v="106928685.90000001"/>
    <s v=" "/>
    <m/>
    <m/>
    <m/>
    <n v="3225336"/>
    <n v="2611029"/>
    <n v="0"/>
    <n v="98995680"/>
    <m/>
    <n v="104832045"/>
    <s v=" "/>
    <n v="15599796"/>
    <n v="12374460"/>
    <n v="12374460"/>
    <n v="12374460"/>
    <n v="12374460"/>
    <n v="12374460"/>
    <n v="12374460"/>
    <n v="14985489"/>
    <n v="104832045"/>
    <n v="103953192"/>
    <s v="CONTRATO ADICIONAL POR ALIMENTACION"/>
    <b v="1"/>
    <n v="0"/>
    <b v="1"/>
    <n v="0"/>
    <x v="1"/>
    <n v="1944"/>
  </r>
  <r>
    <x v="43"/>
    <s v="LOTE 2"/>
    <x v="1"/>
    <x v="35"/>
    <x v="1"/>
    <x v="0"/>
    <s v="VEREDA COLÓN"/>
    <n v="52371152820"/>
    <s v="CER JUSTINIANO RAMIREZ"/>
    <n v="1"/>
    <n v="7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10635135"/>
    <n v="0.02"/>
    <n v="212702.7"/>
    <m/>
    <n v="18"/>
    <n v="10635135"/>
    <n v="10847837.699999999"/>
    <s v=" "/>
    <m/>
    <m/>
    <m/>
    <n v="327208"/>
    <n v="264887"/>
    <n v="0"/>
    <n v="10043040"/>
    <m/>
    <n v="10635135"/>
    <s v=" "/>
    <n v="1582588"/>
    <n v="1255380"/>
    <n v="1255380"/>
    <n v="1255380"/>
    <n v="1255380"/>
    <n v="1255380"/>
    <n v="1255380"/>
    <n v="1520267"/>
    <n v="10635135"/>
    <n v="10545976"/>
    <s v="CONTRATO ADICIONAL POR ALIMENTACION"/>
    <b v="1"/>
    <n v="0"/>
    <b v="1"/>
    <n v="0"/>
    <x v="1"/>
    <n v="1944"/>
  </r>
  <r>
    <x v="43"/>
    <s v="LOTE 2"/>
    <x v="1"/>
    <x v="35"/>
    <x v="2"/>
    <x v="0"/>
    <s v="KR 29 23 B 22"/>
    <n v="523700023938"/>
    <s v="SALTARINES 1"/>
    <n v="1"/>
    <n v="150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628327500"/>
    <n v="0.02"/>
    <n v="12566550"/>
    <m/>
    <n v="19"/>
    <n v="628327500"/>
    <n v="640894050"/>
    <s v=" "/>
    <m/>
    <m/>
    <m/>
    <n v="13221450"/>
    <n v="11256450"/>
    <n v="0"/>
    <n v="603849600"/>
    <m/>
    <n v="628327500"/>
    <s v=" "/>
    <n v="88702650"/>
    <n v="75481200"/>
    <n v="75481200"/>
    <n v="75481200"/>
    <n v="75481200"/>
    <n v="75481200"/>
    <n v="75481200"/>
    <n v="86737650"/>
    <n v="628327500"/>
    <n v="0"/>
    <s v="CONTRATO COSTEADO CON ALIMENTACION"/>
    <b v="1"/>
    <n v="0"/>
    <b v="1"/>
    <n v="0"/>
    <x v="1"/>
    <n v="1944"/>
  </r>
  <r>
    <x v="43"/>
    <s v="LOTE 2"/>
    <x v="1"/>
    <x v="35"/>
    <x v="4"/>
    <x v="0"/>
    <s v="KR 29 27 56 BARRIO VILLANUEVA"/>
    <n v="523700078365"/>
    <s v="CDI OSITOS"/>
    <n v="1"/>
    <n v="80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346352160"/>
    <n v="0.02"/>
    <n v="6927043.2000000002"/>
    <m/>
    <n v="20"/>
    <n v="346352160"/>
    <n v="353279203.19999999"/>
    <s v=" "/>
    <m/>
    <m/>
    <m/>
    <n v="7051440"/>
    <n v="6003440"/>
    <n v="0"/>
    <n v="333297280"/>
    <m/>
    <n v="346352160"/>
    <s v=" "/>
    <n v="48713600"/>
    <n v="41662160"/>
    <n v="41662160"/>
    <n v="41662160"/>
    <n v="41662160"/>
    <n v="41662160"/>
    <n v="41662160"/>
    <n v="47665600"/>
    <n v="346352160"/>
    <n v="0"/>
    <s v="CONTRATO COSTEADO CON ALIMENTACION"/>
    <b v="1"/>
    <n v="0"/>
    <b v="1"/>
    <n v="0"/>
    <x v="1"/>
    <n v="1944"/>
  </r>
  <r>
    <x v="43"/>
    <s v="LOTE 2"/>
    <x v="1"/>
    <x v="35"/>
    <x v="1"/>
    <x v="0"/>
    <s v="VEREDA LA CORREA"/>
    <n v="523700099364"/>
    <s v="CER MIGUEL ANGEL BUILES"/>
    <n v="1"/>
    <n v="13"/>
    <m/>
    <n v="1944"/>
    <s v="ARTÍCULO 34 CONTRATACIÓN CON EL REGISTRO ÚNICO DE OFERENTES"/>
    <m/>
    <m/>
    <x v="0"/>
    <x v="0"/>
    <x v="35"/>
    <x v="34"/>
    <n v="229113"/>
    <n v="15219"/>
    <n v="86725"/>
    <s v=" "/>
    <s v=" "/>
    <m/>
    <n v="19750965"/>
    <n v="0.02"/>
    <n v="395019.3"/>
    <m/>
    <n v="21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44"/>
  </r>
  <r>
    <x v="44"/>
    <s v="LOTE 2"/>
    <x v="11"/>
    <x v="36"/>
    <x v="8"/>
    <x v="0"/>
    <s v="BARRIO SAN JOSE"/>
    <n v="52501151119"/>
    <s v="CASA FAMILIAR POMPITAS SAN JOSE"/>
    <n v="1"/>
    <n v="12"/>
    <m/>
    <n v="1946"/>
    <s v="ARTÍCULO 34 CONTRATACIÓN CON EL REGISTRO ÚNICO DE OFERENTES"/>
    <m/>
    <m/>
    <x v="0"/>
    <x v="0"/>
    <x v="36"/>
    <x v="35"/>
    <n v="229955"/>
    <e v="#N/A"/>
    <e v="#N/A"/>
    <n v="10"/>
    <n v="713"/>
    <m/>
    <n v="27013812"/>
    <n v="0.02"/>
    <n v="540276.24"/>
    <m/>
    <n v="1"/>
    <n v="27013812"/>
    <n v="27554088.239999998"/>
    <n v="2340561449"/>
    <n v="46811229"/>
    <n v="2387372678"/>
    <n v="1644.2300309097295"/>
    <n v="617556"/>
    <n v="517392"/>
    <n v="349200"/>
    <n v="25529664"/>
    <m/>
    <n v="27013812"/>
    <n v="2340561449"/>
    <n v="4157964"/>
    <n v="3191208"/>
    <n v="3191208"/>
    <n v="3191208"/>
    <n v="3191208"/>
    <n v="3191208"/>
    <n v="3191208"/>
    <n v="3708600"/>
    <n v="27013812"/>
    <n v="17316768"/>
    <s v="CONTRATO ADICIONAL POR ALIMENTACION"/>
    <b v="1"/>
    <n v="0"/>
    <b v="1"/>
    <n v="0"/>
    <x v="0"/>
    <n v="1946"/>
  </r>
  <r>
    <x v="44"/>
    <s v="LOTE 2"/>
    <x v="11"/>
    <x v="36"/>
    <x v="8"/>
    <x v="0"/>
    <s v="BARRIOS COLINAS"/>
    <n v="52501151120"/>
    <s v="CASA FAMILIAR MIS AVENTURAS COLINAS"/>
    <n v="1"/>
    <n v="16"/>
    <m/>
    <n v="1946"/>
    <s v="ARTÍCULO 34 CONTRATACIÓN CON EL REGISTRO ÚNICO DE OFERENTES"/>
    <m/>
    <m/>
    <x v="0"/>
    <x v="0"/>
    <x v="36"/>
    <x v="35"/>
    <n v="229955"/>
    <e v="#N/A"/>
    <e v="#N/A"/>
    <s v=" "/>
    <s v=" "/>
    <m/>
    <n v="36018416"/>
    <n v="0.02"/>
    <n v="720368.32000000007"/>
    <m/>
    <n v="2"/>
    <n v="36018416"/>
    <n v="36738784.32"/>
    <s v=" "/>
    <m/>
    <m/>
    <m/>
    <n v="823408"/>
    <n v="689856"/>
    <n v="465600"/>
    <n v="34039552"/>
    <m/>
    <n v="36018416"/>
    <s v=" "/>
    <n v="5543952"/>
    <n v="4254944"/>
    <n v="4254944"/>
    <n v="4254944"/>
    <n v="4254944"/>
    <n v="4254944"/>
    <n v="4254944"/>
    <n v="4944800"/>
    <n v="36018416"/>
    <n v="23089024"/>
    <s v="CONTRATO ADICIONAL POR ALIMENTACION"/>
    <b v="1"/>
    <n v="0"/>
    <b v="1"/>
    <n v="0"/>
    <x v="0"/>
    <n v="1946"/>
  </r>
  <r>
    <x v="44"/>
    <s v="LOTE 2"/>
    <x v="11"/>
    <x v="36"/>
    <x v="8"/>
    <x v="0"/>
    <s v="CL 41 55 5"/>
    <n v="52501151507"/>
    <s v="KIOSCO VILLA ALEGRIA ECHEVERRI"/>
    <n v="1"/>
    <n v="55"/>
    <m/>
    <n v="1946"/>
    <s v="ARTÍCULO 34 CONTRATACIÓN CON EL REGISTRO ÚNICO DE OFERENTES"/>
    <m/>
    <m/>
    <x v="0"/>
    <x v="0"/>
    <x v="36"/>
    <x v="35"/>
    <n v="229955"/>
    <e v="#N/A"/>
    <e v="#N/A"/>
    <s v=" "/>
    <s v=" "/>
    <m/>
    <n v="123813305"/>
    <n v="0.02"/>
    <n v="2476266.1"/>
    <m/>
    <n v="3"/>
    <n v="123813305"/>
    <n v="126289571.09999999"/>
    <s v=" "/>
    <m/>
    <m/>
    <m/>
    <n v="2830465"/>
    <n v="2371380"/>
    <n v="1600500"/>
    <n v="117010960"/>
    <m/>
    <n v="123813305"/>
    <s v=" "/>
    <n v="19057335"/>
    <n v="14626370"/>
    <n v="14626370"/>
    <n v="14626370"/>
    <n v="14626370"/>
    <n v="14626370"/>
    <n v="14626370"/>
    <n v="16997750"/>
    <n v="123813305"/>
    <n v="79368520"/>
    <s v="CONTRATO ADICIONAL POR ALIMENTACION"/>
    <b v="1"/>
    <n v="0"/>
    <b v="1"/>
    <n v="0"/>
    <x v="0"/>
    <n v="1946"/>
  </r>
  <r>
    <x v="44"/>
    <s v="LOTE 2"/>
    <x v="11"/>
    <x v="36"/>
    <x v="8"/>
    <x v="0"/>
    <s v="CL 70 A 35 28 BARRIO SAN JOSE"/>
    <n v="52501152432"/>
    <s v="CASA FAMILIAR SAN JOSE"/>
    <n v="1"/>
    <n v="55"/>
    <m/>
    <n v="1946"/>
    <s v="ARTÍCULO 34 CONTRATACIÓN CON EL REGISTRO ÚNICO DE OFERENTES"/>
    <m/>
    <m/>
    <x v="0"/>
    <x v="0"/>
    <x v="36"/>
    <x v="35"/>
    <n v="229955"/>
    <e v="#N/A"/>
    <e v="#N/A"/>
    <s v=" "/>
    <s v=" "/>
    <m/>
    <n v="123813305"/>
    <n v="0.02"/>
    <n v="2476266.1"/>
    <m/>
    <n v="4"/>
    <n v="123813305"/>
    <n v="126289571.09999999"/>
    <s v=" "/>
    <m/>
    <m/>
    <m/>
    <n v="2830465"/>
    <n v="2371380"/>
    <n v="1600500"/>
    <n v="117010960"/>
    <m/>
    <n v="123813305"/>
    <s v=" "/>
    <n v="19057335"/>
    <n v="14626370"/>
    <n v="14626370"/>
    <n v="14626370"/>
    <n v="14626370"/>
    <n v="14626370"/>
    <n v="14626370"/>
    <n v="16997750"/>
    <n v="123813305"/>
    <n v="79368520"/>
    <s v="CONTRATO ADICIONAL POR ALIMENTACION"/>
    <b v="1"/>
    <n v="0"/>
    <b v="1"/>
    <n v="0"/>
    <x v="0"/>
    <n v="1946"/>
  </r>
  <r>
    <x v="44"/>
    <s v="LOTE 2"/>
    <x v="11"/>
    <x v="36"/>
    <x v="8"/>
    <x v="0"/>
    <s v="FRENTE AL CDI COLINAS BARRIO COLINAS"/>
    <n v="52501152977"/>
    <s v="KIOSCO LAS COLINAS"/>
    <n v="1"/>
    <n v="48"/>
    <m/>
    <n v="1946"/>
    <s v="ARTÍCULO 34 CONTRATACIÓN CON EL REGISTRO ÚNICO DE OFERENTES"/>
    <m/>
    <m/>
    <x v="0"/>
    <x v="0"/>
    <x v="36"/>
    <x v="35"/>
    <n v="229955"/>
    <e v="#N/A"/>
    <e v="#N/A"/>
    <s v=" "/>
    <s v=" "/>
    <m/>
    <n v="108055248"/>
    <n v="0.02"/>
    <n v="2161104.96"/>
    <m/>
    <n v="5"/>
    <n v="108055248"/>
    <n v="110216352.95999999"/>
    <s v=" "/>
    <m/>
    <m/>
    <m/>
    <n v="2470224"/>
    <n v="2069568"/>
    <n v="1396800"/>
    <n v="102118656"/>
    <m/>
    <n v="108055248"/>
    <s v=" "/>
    <n v="16631856"/>
    <n v="12764832"/>
    <n v="12764832"/>
    <n v="12764832"/>
    <n v="12764832"/>
    <n v="12764832"/>
    <n v="12764832"/>
    <n v="14834400"/>
    <n v="108055248"/>
    <n v="69267072"/>
    <s v="CONTRATO ADICIONAL POR ALIMENTACION"/>
    <b v="1"/>
    <n v="0"/>
    <b v="1"/>
    <n v="0"/>
    <x v="0"/>
    <n v="1946"/>
  </r>
  <r>
    <x v="44"/>
    <s v="LOTE 2"/>
    <x v="11"/>
    <x v="36"/>
    <x v="8"/>
    <x v="0"/>
    <s v="KR 50 54 2 BARRIO PALIZADA"/>
    <n v="52501152981"/>
    <s v="IGLESIA CATOLICA PALIZADA"/>
    <n v="1"/>
    <n v="22"/>
    <m/>
    <n v="1946"/>
    <s v="ARTÍCULO 34 CONTRATACIÓN CON EL REGISTRO ÚNICO DE OFERENTES"/>
    <m/>
    <m/>
    <x v="0"/>
    <x v="0"/>
    <x v="36"/>
    <x v="35"/>
    <n v="229955"/>
    <e v="#N/A"/>
    <e v="#N/A"/>
    <s v=" "/>
    <s v=" "/>
    <m/>
    <n v="49525322"/>
    <n v="0.02"/>
    <n v="990506.44000000006"/>
    <m/>
    <n v="6"/>
    <n v="49525322"/>
    <n v="50515828.439999998"/>
    <s v=" "/>
    <m/>
    <m/>
    <m/>
    <n v="1132186"/>
    <n v="948552"/>
    <n v="640200"/>
    <n v="46804384"/>
    <m/>
    <n v="49525322"/>
    <s v=" "/>
    <n v="7622934"/>
    <n v="5850548"/>
    <n v="5850548"/>
    <n v="5850548"/>
    <n v="5850548"/>
    <n v="5850548"/>
    <n v="5850548"/>
    <n v="6799100"/>
    <n v="49525322"/>
    <n v="31747408"/>
    <s v="CONTRATO ADICIONAL POR ALIMENTACION"/>
    <b v="1"/>
    <n v="0"/>
    <b v="1"/>
    <n v="0"/>
    <x v="0"/>
    <n v="1946"/>
  </r>
  <r>
    <x v="44"/>
    <s v="LOTE 2"/>
    <x v="11"/>
    <x v="36"/>
    <x v="8"/>
    <x v="0"/>
    <s v="EL PROGRESO"/>
    <n v="525000037437"/>
    <s v="CASA FAMILIAR ARCOIRIS DE AMOR"/>
    <n v="1"/>
    <n v="19"/>
    <m/>
    <n v="1946"/>
    <s v="ARTÍCULO 34 CONTRATACIÓN CON EL REGISTRO ÚNICO DE OFERENTES"/>
    <m/>
    <m/>
    <x v="0"/>
    <x v="0"/>
    <x v="36"/>
    <x v="35"/>
    <n v="229955"/>
    <e v="#N/A"/>
    <e v="#N/A"/>
    <s v=" "/>
    <s v=" "/>
    <m/>
    <n v="42771869"/>
    <n v="0.02"/>
    <n v="855437.38"/>
    <m/>
    <n v="7"/>
    <n v="42771869"/>
    <n v="43627306.380000003"/>
    <s v=" "/>
    <m/>
    <m/>
    <m/>
    <n v="977797"/>
    <n v="819204"/>
    <n v="552900"/>
    <n v="40421968"/>
    <m/>
    <n v="42771869"/>
    <s v=" "/>
    <n v="6583443"/>
    <n v="5052746"/>
    <n v="5052746"/>
    <n v="5052746"/>
    <n v="5052746"/>
    <n v="5052746"/>
    <n v="5052746"/>
    <n v="5871950"/>
    <n v="42771869"/>
    <n v="27418216"/>
    <s v="CONTRATO ADICIONAL POR ALIMENTACION"/>
    <b v="1"/>
    <n v="0"/>
    <b v="1"/>
    <n v="0"/>
    <x v="0"/>
    <n v="1946"/>
  </r>
  <r>
    <x v="44"/>
    <s v="LOTE 2"/>
    <x v="11"/>
    <x v="36"/>
    <x v="4"/>
    <x v="0"/>
    <s v="CL 53 NUMERO 42 87"/>
    <n v="525000070911"/>
    <s v="EL BAGRE INSTITUCIONAL"/>
    <n v="1"/>
    <n v="176"/>
    <m/>
    <n v="1946"/>
    <s v="ARTÍCULO 34 CONTRATACIÓN CON EL REGISTRO ÚNICO DE OFERENTES"/>
    <m/>
    <m/>
    <x v="0"/>
    <x v="0"/>
    <x v="36"/>
    <x v="35"/>
    <n v="229955"/>
    <e v="#N/A"/>
    <e v="#N/A"/>
    <s v=" "/>
    <s v=" "/>
    <m/>
    <n v="761974752"/>
    <n v="0.02"/>
    <n v="15239495.040000001"/>
    <m/>
    <n v="8"/>
    <n v="761974752"/>
    <n v="777214247.03999996"/>
    <s v=" "/>
    <m/>
    <m/>
    <m/>
    <n v="15513168"/>
    <n v="13207568"/>
    <n v="0"/>
    <n v="733254016"/>
    <m/>
    <n v="761974752"/>
    <s v=" "/>
    <n v="107169920"/>
    <n v="91656752"/>
    <n v="91656752"/>
    <n v="91656752"/>
    <n v="91656752"/>
    <n v="91656752"/>
    <n v="91656752"/>
    <n v="104864320"/>
    <n v="761974752"/>
    <n v="0"/>
    <s v="CONTRATO COSTEADO CON ALIMENTACION"/>
    <b v="1"/>
    <n v="0"/>
    <b v="1"/>
    <n v="0"/>
    <x v="0"/>
    <n v="1946"/>
  </r>
  <r>
    <x v="44"/>
    <s v="LOTE 2"/>
    <x v="11"/>
    <x v="36"/>
    <x v="7"/>
    <x v="0"/>
    <s v="KR 49 N 48 55 BARRIO METROPOLIS"/>
    <n v="525000077485"/>
    <s v="CDI IGUANITAS DE ORO EL BAGRE"/>
    <n v="1"/>
    <n v="200"/>
    <m/>
    <n v="1946"/>
    <s v="ARTÍCULO 34 CONTRATACIÓN CON EL REGISTRO ÚNICO DE OFERENTES"/>
    <m/>
    <m/>
    <x v="0"/>
    <x v="0"/>
    <x v="36"/>
    <x v="35"/>
    <n v="229955"/>
    <e v="#N/A"/>
    <e v="#N/A"/>
    <s v=" "/>
    <s v=" "/>
    <m/>
    <n v="591341200"/>
    <n v="0.02"/>
    <n v="11826824"/>
    <m/>
    <n v="9"/>
    <n v="591341200"/>
    <n v="603168024"/>
    <s v=" "/>
    <m/>
    <m/>
    <m/>
    <n v="17628600"/>
    <n v="15008600"/>
    <n v="0"/>
    <n v="558704000"/>
    <m/>
    <n v="591341200"/>
    <s v=" "/>
    <n v="87466600"/>
    <n v="69838000"/>
    <n v="69838000"/>
    <n v="69838000"/>
    <n v="69838000"/>
    <n v="69838000"/>
    <n v="69838000"/>
    <n v="84846600"/>
    <n v="591341200"/>
    <n v="246428800"/>
    <s v="CONTRATO ADICIONAL POR ALIMENTACION"/>
    <b v="1"/>
    <n v="0"/>
    <b v="1"/>
    <n v="0"/>
    <x v="0"/>
    <n v="1946"/>
  </r>
  <r>
    <x v="44"/>
    <s v="LOTE 2"/>
    <x v="11"/>
    <x v="36"/>
    <x v="4"/>
    <x v="0"/>
    <s v="CL 53 FRENTE AL PARQUE 0 0 LA FLORESTA"/>
    <n v="525000105765"/>
    <s v="CDI LA FLORESTA EL BAGRE "/>
    <n v="1"/>
    <n v="110"/>
    <m/>
    <n v="1946"/>
    <s v="ARTÍCULO 34 CONTRATACIÓN CON EL REGISTRO ÚNICO DE OFERENTES"/>
    <m/>
    <m/>
    <x v="0"/>
    <x v="0"/>
    <x v="36"/>
    <x v="35"/>
    <n v="229955"/>
    <e v="#N/A"/>
    <e v="#N/A"/>
    <s v=" "/>
    <s v=" "/>
    <m/>
    <n v="476234220"/>
    <n v="0.02"/>
    <n v="9524684.4000000004"/>
    <m/>
    <n v="10"/>
    <n v="476234220"/>
    <n v="485758904.39999998"/>
    <s v=" "/>
    <m/>
    <m/>
    <m/>
    <n v="9695730"/>
    <n v="8254730"/>
    <n v="0"/>
    <n v="458283760"/>
    <m/>
    <n v="476234220"/>
    <s v=" "/>
    <n v="66981200"/>
    <n v="57285470"/>
    <n v="57285470"/>
    <n v="57285470"/>
    <n v="57285470"/>
    <n v="57285470"/>
    <n v="57285470"/>
    <n v="65540200"/>
    <n v="476234220"/>
    <n v="0"/>
    <s v="CONTRATO COSTEADO CON ALIMENTACION"/>
    <b v="1"/>
    <n v="0"/>
    <b v="1"/>
    <n v="0"/>
    <x v="0"/>
    <n v="1946"/>
  </r>
  <r>
    <x v="45"/>
    <s v="LOTE 2"/>
    <x v="11"/>
    <x v="36"/>
    <x v="5"/>
    <x v="0"/>
    <s v="VEREDA CAPILLA 2"/>
    <n v="52501115515"/>
    <s v="C COMUNAL LAS JIRAFITAS"/>
    <n v="1"/>
    <n v="28"/>
    <m/>
    <n v="1947"/>
    <s v="ARTÍCULO 34 CONTRATACIÓN CON EL REGISTRO ÚNICO DE OFERENTES"/>
    <m/>
    <m/>
    <x v="0"/>
    <x v="0"/>
    <x v="24"/>
    <x v="23"/>
    <n v="229956"/>
    <e v="#N/A"/>
    <e v="#N/A"/>
    <n v="23"/>
    <n v="692"/>
    <m/>
    <n v="61045404"/>
    <n v="0.02"/>
    <n v="1220908.08"/>
    <m/>
    <n v="1"/>
    <n v="61045404"/>
    <n v="62266312.079999998"/>
    <n v="1508693556"/>
    <n v="30173871"/>
    <n v="1538867427"/>
    <n v="1059.8479494204425"/>
    <n v="1382528"/>
    <n v="1148812"/>
    <n v="814800"/>
    <n v="57699264"/>
    <m/>
    <n v="61045404"/>
    <n v="1508693556"/>
    <n v="9409736"/>
    <n v="7212408"/>
    <n v="7212408"/>
    <n v="7212408"/>
    <n v="7212408"/>
    <n v="7212408"/>
    <n v="7212408"/>
    <n v="8361220"/>
    <n v="61045404"/>
    <n v="40405792"/>
    <s v="CONTRATO ADICIONAL POR ALIMENTACION"/>
    <b v="1"/>
    <n v="0"/>
    <b v="1"/>
    <n v="0"/>
    <x v="0"/>
    <n v="1947"/>
  </r>
  <r>
    <x v="45"/>
    <s v="LOTE 2"/>
    <x v="11"/>
    <x v="36"/>
    <x v="5"/>
    <x v="0"/>
    <s v="VEREDA EL AGUACATE"/>
    <n v="52501148705"/>
    <s v="SALON COMUNAL SEMILLAS DE AMORPIZ"/>
    <n v="1"/>
    <n v="13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28342509"/>
    <n v="0.02"/>
    <n v="566850.18000000005"/>
    <m/>
    <n v="2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0"/>
    <n v="1947"/>
  </r>
  <r>
    <x v="45"/>
    <s v="LOTE 2"/>
    <x v="11"/>
    <x v="36"/>
    <x v="5"/>
    <x v="0"/>
    <s v="PUERTO CLAVER"/>
    <n v="52501148778"/>
    <s v="CASA FAMILIAR MUNDO FELIZ"/>
    <n v="1"/>
    <n v="53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115550229"/>
    <n v="0.02"/>
    <n v="2311004.58"/>
    <m/>
    <n v="3"/>
    <n v="115550229"/>
    <n v="117861233.58"/>
    <s v=" "/>
    <m/>
    <m/>
    <m/>
    <n v="2616928"/>
    <n v="2174537"/>
    <n v="1542300"/>
    <n v="109216464"/>
    <m/>
    <n v="115550229"/>
    <s v=" "/>
    <n v="17811286"/>
    <n v="13652058"/>
    <n v="13652058"/>
    <n v="13652058"/>
    <n v="13652058"/>
    <n v="13652058"/>
    <n v="13652058"/>
    <n v="15826595"/>
    <n v="115550229"/>
    <n v="76482392"/>
    <s v="CONTRATO ADICIONAL POR ALIMENTACION"/>
    <b v="1"/>
    <n v="0"/>
    <b v="1"/>
    <n v="0"/>
    <x v="0"/>
    <n v="1947"/>
  </r>
  <r>
    <x v="45"/>
    <s v="LOTE 2"/>
    <x v="11"/>
    <x v="36"/>
    <x v="5"/>
    <x v="0"/>
    <s v="CASETA DE ALFABETIZACION LOS ACACIOS"/>
    <n v="52501150545"/>
    <s v="PANORAMA 1"/>
    <n v="1"/>
    <n v="20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43603860"/>
    <n v="0.02"/>
    <n v="872077.20000000007"/>
    <m/>
    <n v="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7"/>
  </r>
  <r>
    <x v="45"/>
    <s v="LOTE 2"/>
    <x v="11"/>
    <x v="36"/>
    <x v="5"/>
    <x v="0"/>
    <s v="CASETA DE ALFABETIZACION LOS ACACIOS"/>
    <n v="52501150546"/>
    <s v="PANORAMA 2"/>
    <n v="1"/>
    <n v="19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41423667"/>
    <n v="0.02"/>
    <n v="828473.34"/>
    <m/>
    <n v="5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0"/>
    <n v="1947"/>
  </r>
  <r>
    <x v="45"/>
    <s v="LOTE 2"/>
    <x v="11"/>
    <x v="36"/>
    <x v="5"/>
    <x v="0"/>
    <s v="CASETA DE ALFABETIZACION LOS ACACIOS"/>
    <n v="52501150547"/>
    <s v="PANORAMA 3"/>
    <n v="1"/>
    <n v="20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43603860"/>
    <n v="0.02"/>
    <n v="872077.20000000007"/>
    <m/>
    <n v="6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7"/>
  </r>
  <r>
    <x v="45"/>
    <s v="LOTE 2"/>
    <x v="11"/>
    <x v="36"/>
    <x v="5"/>
    <x v="0"/>
    <s v="CASETA DE ALFABETIZACION LOS ACACIOS"/>
    <n v="52501150548"/>
    <s v="PANORAMA 4"/>
    <n v="1"/>
    <n v="20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43603860"/>
    <n v="0.02"/>
    <n v="872077.20000000007"/>
    <m/>
    <n v="7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7"/>
  </r>
  <r>
    <x v="45"/>
    <s v="LOTE 2"/>
    <x v="11"/>
    <x v="36"/>
    <x v="5"/>
    <x v="0"/>
    <s v="CASETA DE ALFABETIZACION LOS ACACIOS"/>
    <n v="52501150549"/>
    <s v="PANORAMA 5"/>
    <n v="1"/>
    <n v="20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43603860"/>
    <n v="0.02"/>
    <n v="872077.20000000007"/>
    <m/>
    <n v="8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7"/>
  </r>
  <r>
    <x v="45"/>
    <s v="LOTE 2"/>
    <x v="11"/>
    <x v="36"/>
    <x v="5"/>
    <x v="0"/>
    <s v="CASA FAMILIAR 1"/>
    <n v="52501150550"/>
    <s v="ESPAÑA 1"/>
    <n v="1"/>
    <n v="20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43603860"/>
    <n v="0.02"/>
    <n v="872077.20000000007"/>
    <m/>
    <n v="9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7"/>
  </r>
  <r>
    <x v="45"/>
    <s v="LOTE 2"/>
    <x v="11"/>
    <x v="36"/>
    <x v="5"/>
    <x v="0"/>
    <s v="CASA FAMILIAR 2"/>
    <n v="52501150551"/>
    <s v="ESPAÑA 2"/>
    <n v="1"/>
    <n v="20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43603860"/>
    <n v="0.02"/>
    <n v="872077.20000000007"/>
    <m/>
    <n v="10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7"/>
  </r>
  <r>
    <x v="45"/>
    <s v="LOTE 2"/>
    <x v="11"/>
    <x v="36"/>
    <x v="5"/>
    <x v="0"/>
    <s v="CASA FAMILIAR 3"/>
    <n v="52501150552"/>
    <s v="ESPAÑA 3"/>
    <n v="1"/>
    <n v="20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43603860"/>
    <n v="0.02"/>
    <n v="872077.20000000007"/>
    <m/>
    <n v="11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7"/>
  </r>
  <r>
    <x v="45"/>
    <s v="LOTE 2"/>
    <x v="11"/>
    <x v="36"/>
    <x v="5"/>
    <x v="0"/>
    <s v="CASETA DE ACCIÓN COMUNAL"/>
    <n v="52501150589"/>
    <s v="PERICO 1"/>
    <n v="1"/>
    <n v="20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43603860"/>
    <n v="0.02"/>
    <n v="872077.20000000007"/>
    <m/>
    <n v="12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7"/>
  </r>
  <r>
    <x v="45"/>
    <s v="LOTE 2"/>
    <x v="11"/>
    <x v="36"/>
    <x v="5"/>
    <x v="0"/>
    <s v="FINCA FAMILIAR"/>
    <n v="52501150590"/>
    <s v="ALMENDROS"/>
    <n v="1"/>
    <n v="20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43603860"/>
    <n v="0.02"/>
    <n v="872077.20000000007"/>
    <m/>
    <n v="13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7"/>
  </r>
  <r>
    <x v="45"/>
    <s v="LOTE 2"/>
    <x v="11"/>
    <x v="36"/>
    <x v="5"/>
    <x v="0"/>
    <s v="CASA DEL ADULTO MAYOR 1"/>
    <n v="52501150591"/>
    <s v="PUERTO LOPEZ 1"/>
    <n v="1"/>
    <n v="20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43603860"/>
    <n v="0.02"/>
    <n v="872077.20000000007"/>
    <m/>
    <n v="1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7"/>
  </r>
  <r>
    <x v="45"/>
    <s v="LOTE 2"/>
    <x v="11"/>
    <x v="36"/>
    <x v="5"/>
    <x v="0"/>
    <s v="CASA DEL ADULTO MAYOR 2"/>
    <n v="52501150592"/>
    <s v="PUERTO LOPEZ 2"/>
    <n v="1"/>
    <n v="20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43603860"/>
    <n v="0.02"/>
    <n v="872077.20000000007"/>
    <m/>
    <n v="15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7"/>
  </r>
  <r>
    <x v="45"/>
    <s v="LOTE 2"/>
    <x v="11"/>
    <x v="36"/>
    <x v="5"/>
    <x v="0"/>
    <s v="BARRIO LOS COMODATOS"/>
    <n v="52501152433"/>
    <s v="CASA FINCA GUMERCINDO LOS COMODATOS"/>
    <n v="1"/>
    <n v="65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141712545"/>
    <n v="0.02"/>
    <n v="2834250.9"/>
    <m/>
    <n v="16"/>
    <n v="141712545"/>
    <n v="144546795.90000001"/>
    <s v=" "/>
    <m/>
    <m/>
    <m/>
    <n v="3209440"/>
    <n v="2666885"/>
    <n v="1891500"/>
    <n v="133944720"/>
    <m/>
    <n v="141712545"/>
    <s v=" "/>
    <n v="21844030"/>
    <n v="16743090"/>
    <n v="16743090"/>
    <n v="16743090"/>
    <n v="16743090"/>
    <n v="16743090"/>
    <n v="16743090"/>
    <n v="19409975"/>
    <n v="141712545"/>
    <n v="93799160"/>
    <s v="CONTRATO ADICIONAL POR ALIMENTACION"/>
    <b v="1"/>
    <n v="0"/>
    <b v="1"/>
    <n v="0"/>
    <x v="0"/>
    <n v="1947"/>
  </r>
  <r>
    <x v="45"/>
    <s v="LOTE 2"/>
    <x v="11"/>
    <x v="36"/>
    <x v="5"/>
    <x v="0"/>
    <s v="BARRIO LOS COMODATOS"/>
    <n v="52501152434"/>
    <s v="IGLESIA CRISTIANA LOS COMODATOS"/>
    <n v="1"/>
    <n v="76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165694668"/>
    <n v="0.02"/>
    <n v="3313893.36"/>
    <m/>
    <n v="17"/>
    <n v="165694668"/>
    <n v="169008561.36000001"/>
    <s v=" "/>
    <m/>
    <m/>
    <m/>
    <n v="3752576"/>
    <n v="3118204"/>
    <n v="2211600"/>
    <n v="156612288"/>
    <m/>
    <n v="165694668"/>
    <s v=" "/>
    <n v="25540712"/>
    <n v="19576536"/>
    <n v="19576536"/>
    <n v="19576536"/>
    <n v="19576536"/>
    <n v="19576536"/>
    <n v="19576536"/>
    <n v="22694740"/>
    <n v="165694668"/>
    <n v="109672864"/>
    <s v="CONTRATO ADICIONAL POR ALIMENTACION"/>
    <b v="1"/>
    <n v="0"/>
    <b v="1"/>
    <n v="0"/>
    <x v="0"/>
    <n v="1947"/>
  </r>
  <r>
    <x v="45"/>
    <s v="LOTE 2"/>
    <x v="11"/>
    <x v="36"/>
    <x v="5"/>
    <x v="0"/>
    <s v="BARRIO EL PROGRESO"/>
    <n v="52501152435"/>
    <s v="KIOSCO EL PROGRESO"/>
    <n v="1"/>
    <n v="33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71946369"/>
    <n v="0.02"/>
    <n v="1438927.3800000001"/>
    <m/>
    <n v="18"/>
    <n v="71946369"/>
    <n v="73385296.379999995"/>
    <s v=" "/>
    <m/>
    <m/>
    <m/>
    <n v="1629408"/>
    <n v="1353957"/>
    <n v="960300"/>
    <n v="68002704"/>
    <m/>
    <n v="71946369"/>
    <s v=" "/>
    <n v="11090046"/>
    <n v="8500338"/>
    <n v="8500338"/>
    <n v="8500338"/>
    <n v="8500338"/>
    <n v="8500338"/>
    <n v="8500338"/>
    <n v="9854295"/>
    <n v="71946369"/>
    <n v="47621112"/>
    <s v="CONTRATO ADICIONAL POR ALIMENTACION"/>
    <b v="1"/>
    <n v="0"/>
    <b v="1"/>
    <n v="0"/>
    <x v="0"/>
    <n v="1947"/>
  </r>
  <r>
    <x v="45"/>
    <s v="LOTE 2"/>
    <x v="11"/>
    <x v="36"/>
    <x v="5"/>
    <x v="0"/>
    <s v="VEREDA SARDINA"/>
    <n v="52501152436"/>
    <s v="CASA COMUNAL LA SARDINA"/>
    <n v="1"/>
    <n v="35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76306755"/>
    <n v="0.02"/>
    <n v="1526135.1"/>
    <m/>
    <n v="19"/>
    <n v="76306755"/>
    <n v="77832890.099999994"/>
    <s v=" "/>
    <m/>
    <m/>
    <m/>
    <n v="1728160"/>
    <n v="1436015"/>
    <n v="1018500"/>
    <n v="72124080"/>
    <m/>
    <n v="76306755"/>
    <s v=" "/>
    <n v="11762170"/>
    <n v="9015510"/>
    <n v="9015510"/>
    <n v="9015510"/>
    <n v="9015510"/>
    <n v="9015510"/>
    <n v="9015510"/>
    <n v="10451525"/>
    <n v="76306755"/>
    <n v="50507240"/>
    <s v="CONTRATO ADICIONAL POR ALIMENTACION"/>
    <b v="1"/>
    <n v="0"/>
    <b v="1"/>
    <n v="0"/>
    <x v="0"/>
    <n v="1947"/>
  </r>
  <r>
    <x v="45"/>
    <s v="LOTE 2"/>
    <x v="11"/>
    <x v="36"/>
    <x v="5"/>
    <x v="0"/>
    <s v="VEREDA BAMBA"/>
    <n v="52501152437"/>
    <s v="C COMUNAL BAMBA"/>
    <n v="1"/>
    <n v="15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32702895"/>
    <n v="0.02"/>
    <n v="654057.9"/>
    <m/>
    <n v="20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0"/>
    <n v="1947"/>
  </r>
  <r>
    <x v="45"/>
    <s v="LOTE 2"/>
    <x v="11"/>
    <x v="36"/>
    <x v="5"/>
    <x v="0"/>
    <s v="VEREDA DANTAS"/>
    <n v="52501152439"/>
    <s v="C COMUNAL DANTAS"/>
    <n v="1"/>
    <n v="29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63225597"/>
    <n v="0.02"/>
    <n v="1264511.94"/>
    <m/>
    <n v="21"/>
    <n v="63225597"/>
    <n v="64490108.939999998"/>
    <s v=" "/>
    <m/>
    <m/>
    <m/>
    <n v="1431904"/>
    <n v="1189841"/>
    <n v="843900"/>
    <n v="59759952"/>
    <m/>
    <n v="63225597"/>
    <s v=" "/>
    <n v="9745798"/>
    <n v="7469994"/>
    <n v="7469994"/>
    <n v="7469994"/>
    <n v="7469994"/>
    <n v="7469994"/>
    <n v="7469994"/>
    <n v="8659835"/>
    <n v="63225597"/>
    <n v="41848856"/>
    <s v="CONTRATO ADICIONAL POR ALIMENTACION"/>
    <b v="1"/>
    <n v="0"/>
    <b v="1"/>
    <n v="0"/>
    <x v="0"/>
    <n v="1947"/>
  </r>
  <r>
    <x v="45"/>
    <s v="LOTE 2"/>
    <x v="11"/>
    <x v="36"/>
    <x v="5"/>
    <x v="0"/>
    <s v="VEREDA PUERTO CLAVER"/>
    <n v="52501152909"/>
    <s v="CASA FLIA PEREZ ATENCIA PUERTO CLAVER"/>
    <n v="1"/>
    <n v="53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115550229"/>
    <n v="0.02"/>
    <n v="2311004.58"/>
    <m/>
    <n v="22"/>
    <n v="115550229"/>
    <n v="117861233.58"/>
    <s v=" "/>
    <m/>
    <m/>
    <m/>
    <n v="2616928"/>
    <n v="2174537"/>
    <n v="1542300"/>
    <n v="109216464"/>
    <m/>
    <n v="115550229"/>
    <s v=" "/>
    <n v="17811286"/>
    <n v="13652058"/>
    <n v="13652058"/>
    <n v="13652058"/>
    <n v="13652058"/>
    <n v="13652058"/>
    <n v="13652058"/>
    <n v="15826595"/>
    <n v="115550229"/>
    <n v="76482392"/>
    <s v="CONTRATO ADICIONAL POR ALIMENTACION"/>
    <b v="1"/>
    <n v="0"/>
    <b v="1"/>
    <n v="0"/>
    <x v="0"/>
    <n v="1947"/>
  </r>
  <r>
    <x v="45"/>
    <s v="LOTE 2"/>
    <x v="11"/>
    <x v="36"/>
    <x v="5"/>
    <x v="0"/>
    <s v="VEREDA PUERTO CLAVER"/>
    <n v="52501152912"/>
    <s v="CASA FLIA JARANA PUERTO CLAVER"/>
    <n v="1"/>
    <n v="53"/>
    <m/>
    <n v="1947"/>
    <s v="ARTÍCULO 34 CONTRATACIÓN CON EL REGISTRO ÚNICO DE OFERENTES"/>
    <m/>
    <m/>
    <x v="0"/>
    <x v="0"/>
    <x v="24"/>
    <x v="23"/>
    <n v="229956"/>
    <e v="#N/A"/>
    <e v="#N/A"/>
    <s v=" "/>
    <s v=" "/>
    <m/>
    <n v="115550229"/>
    <n v="0.02"/>
    <n v="2311004.58"/>
    <m/>
    <n v="23"/>
    <n v="115550229"/>
    <n v="117861233.58"/>
    <s v=" "/>
    <m/>
    <m/>
    <m/>
    <n v="2616928"/>
    <n v="2174537"/>
    <n v="1542300"/>
    <n v="109216464"/>
    <m/>
    <n v="115550229"/>
    <s v=" "/>
    <n v="17811286"/>
    <n v="13652058"/>
    <n v="13652058"/>
    <n v="13652058"/>
    <n v="13652058"/>
    <n v="13652058"/>
    <n v="13652058"/>
    <n v="15826595"/>
    <n v="115550229"/>
    <n v="76482392"/>
    <s v="CONTRATO ADICIONAL POR ALIMENTACION"/>
    <b v="1"/>
    <n v="0"/>
    <b v="1"/>
    <n v="0"/>
    <x v="0"/>
    <n v="1947"/>
  </r>
  <r>
    <x v="46"/>
    <s v="LOTE 2"/>
    <x v="11"/>
    <x v="36"/>
    <x v="5"/>
    <x v="0"/>
    <s v="BARRIO PALIZADA"/>
    <n v="52501115216"/>
    <s v="CASA DE INSPECCION HUELLAS DE AMOR"/>
    <n v="1"/>
    <n v="15"/>
    <m/>
    <n v="1948"/>
    <s v="ARTÍCULO 34 CONTRATACIÓN CON EL REGISTRO ÚNICO DE OFERENTES"/>
    <m/>
    <m/>
    <x v="0"/>
    <x v="0"/>
    <x v="37"/>
    <x v="36"/>
    <n v="229957"/>
    <e v="#N/A"/>
    <e v="#N/A"/>
    <n v="26"/>
    <n v="417"/>
    <m/>
    <n v="32702895"/>
    <n v="0.02"/>
    <n v="654057.9"/>
    <m/>
    <n v="1"/>
    <n v="32702895"/>
    <n v="33356952.899999999"/>
    <n v="909140481"/>
    <n v="18182810"/>
    <n v="927323291"/>
    <n v="638.6655995785037"/>
    <n v="740640"/>
    <n v="615435"/>
    <n v="436500"/>
    <n v="30910320"/>
    <m/>
    <n v="32702895"/>
    <n v="909140481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0"/>
    <n v="1948"/>
  </r>
  <r>
    <x v="46"/>
    <s v="LOTE 2"/>
    <x v="11"/>
    <x v="36"/>
    <x v="5"/>
    <x v="0"/>
    <s v="VEREDA SAN JOSE"/>
    <n v="52501143952"/>
    <s v="CASA FAMILIAR LOS TRAVIESOS SAN JOSE"/>
    <n v="1"/>
    <n v="18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9243474"/>
    <n v="0.02"/>
    <n v="784869.48"/>
    <m/>
    <n v="2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0"/>
    <n v="1948"/>
  </r>
  <r>
    <x v="46"/>
    <s v="LOTE 2"/>
    <x v="11"/>
    <x v="36"/>
    <x v="5"/>
    <x v="0"/>
    <s v="VEREDA BROJOLA"/>
    <n v="52501143971"/>
    <s v="C COMUNAL MI MUNDO DE TERNURA BROJOLA"/>
    <n v="1"/>
    <n v="11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23982123"/>
    <n v="0.02"/>
    <n v="479642.46"/>
    <m/>
    <n v="3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0"/>
    <n v="1948"/>
  </r>
  <r>
    <x v="46"/>
    <s v="LOTE 2"/>
    <x v="11"/>
    <x v="36"/>
    <x v="5"/>
    <x v="0"/>
    <s v="VEREDA EL NOVENTA"/>
    <n v="52501143976"/>
    <s v="CASA FAMILIAR LAS JIRAFITAS EL NOVENTA"/>
    <n v="1"/>
    <n v="14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0522702"/>
    <n v="0.02"/>
    <n v="610454.04"/>
    <m/>
    <n v="4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0"/>
    <n v="1948"/>
  </r>
  <r>
    <x v="46"/>
    <s v="LOTE 2"/>
    <x v="11"/>
    <x v="36"/>
    <x v="5"/>
    <x v="0"/>
    <s v="VEREDA LA SOLA"/>
    <n v="52501143985"/>
    <s v="C COMUNAL ARCOIRIS DE AMOR LA SOLA"/>
    <n v="1"/>
    <n v="12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26162316"/>
    <n v="0.02"/>
    <n v="523246.32"/>
    <m/>
    <n v="5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0"/>
    <n v="1948"/>
  </r>
  <r>
    <x v="46"/>
    <s v="LOTE 2"/>
    <x v="11"/>
    <x v="36"/>
    <x v="5"/>
    <x v="0"/>
    <s v="VEREDA BUENOS AIRES"/>
    <n v="52501143986"/>
    <s v="C COMUNAL HUELLAS DE AMOR B. AIRES"/>
    <n v="1"/>
    <n v="19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41423667"/>
    <n v="0.02"/>
    <n v="828473.34"/>
    <m/>
    <n v="6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0"/>
    <n v="1948"/>
  </r>
  <r>
    <x v="46"/>
    <s v="LOTE 2"/>
    <x v="11"/>
    <x v="36"/>
    <x v="5"/>
    <x v="0"/>
    <s v="VEREDA LAS NEGRITAS"/>
    <n v="52501143988"/>
    <s v="C COMUNAL MUNDO DE COLORES NEGRITAS"/>
    <n v="1"/>
    <n v="12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26162316"/>
    <n v="0.02"/>
    <n v="523246.32"/>
    <m/>
    <n v="7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0"/>
    <n v="1948"/>
  </r>
  <r>
    <x v="46"/>
    <s v="LOTE 2"/>
    <x v="11"/>
    <x v="36"/>
    <x v="5"/>
    <x v="0"/>
    <s v="VEREDA LA BORRACHERA"/>
    <n v="52501143989"/>
    <s v="C COMUNAL MUNDO DE COLORES BORRACHERA"/>
    <n v="1"/>
    <n v="9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19621737"/>
    <n v="0.02"/>
    <n v="392434.74"/>
    <m/>
    <n v="8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O ADICIONAL POR ALIMENTACION"/>
    <b v="1"/>
    <n v="0"/>
    <b v="1"/>
    <n v="0"/>
    <x v="0"/>
    <n v="1948"/>
  </r>
  <r>
    <x v="46"/>
    <s v="LOTE 2"/>
    <x v="11"/>
    <x v="36"/>
    <x v="5"/>
    <x v="0"/>
    <s v="VEREDA AGUACATES"/>
    <n v="52501148781"/>
    <s v="CASA COMUNAL SEMILLAS DE AMOR AGU"/>
    <n v="1"/>
    <n v="15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2702895"/>
    <n v="0.02"/>
    <n v="654057.9"/>
    <m/>
    <n v="9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0"/>
    <n v="1948"/>
  </r>
  <r>
    <x v="46"/>
    <s v="LOTE 2"/>
    <x v="11"/>
    <x v="36"/>
    <x v="5"/>
    <x v="0"/>
    <s v="CASETA DE ACCIÓN COMUNAL"/>
    <n v="52501150553"/>
    <s v="RIO VIEJO 1 EL BAGRE"/>
    <n v="1"/>
    <n v="16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4883088"/>
    <n v="0.02"/>
    <n v="697661.76"/>
    <m/>
    <n v="10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48"/>
  </r>
  <r>
    <x v="46"/>
    <s v="LOTE 2"/>
    <x v="11"/>
    <x v="36"/>
    <x v="5"/>
    <x v="0"/>
    <s v="CASETA DE ACCIÓN COMUNAL"/>
    <n v="52501150554"/>
    <s v="RIO VIEJO 2 EL BAGRE"/>
    <n v="1"/>
    <n v="16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4883088"/>
    <n v="0.02"/>
    <n v="697661.76"/>
    <m/>
    <n v="11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48"/>
  </r>
  <r>
    <x v="46"/>
    <s v="LOTE 2"/>
    <x v="11"/>
    <x v="36"/>
    <x v="5"/>
    <x v="0"/>
    <s v="FINCA FAMILIAR"/>
    <n v="52501150555"/>
    <s v="CAÑO CLARO"/>
    <n v="1"/>
    <n v="16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4883088"/>
    <n v="0.02"/>
    <n v="697661.76"/>
    <m/>
    <n v="12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48"/>
  </r>
  <r>
    <x v="46"/>
    <s v="LOTE 2"/>
    <x v="11"/>
    <x v="36"/>
    <x v="5"/>
    <x v="0"/>
    <s v="FINCA FAMILIAR"/>
    <n v="52501150556"/>
    <s v="SANTA ISABEL"/>
    <n v="1"/>
    <n v="16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4883088"/>
    <n v="0.02"/>
    <n v="697661.76"/>
    <m/>
    <n v="13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48"/>
  </r>
  <r>
    <x v="46"/>
    <s v="LOTE 2"/>
    <x v="11"/>
    <x v="36"/>
    <x v="5"/>
    <x v="0"/>
    <s v="CASETA DE ACCIÓN COMUNAL"/>
    <n v="52501150557"/>
    <s v="MUQUI"/>
    <n v="1"/>
    <n v="16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4883088"/>
    <n v="0.02"/>
    <n v="697661.76"/>
    <m/>
    <n v="1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48"/>
  </r>
  <r>
    <x v="46"/>
    <s v="LOTE 2"/>
    <x v="11"/>
    <x v="36"/>
    <x v="5"/>
    <x v="0"/>
    <s v="CASETA DE ACCIÓN COMUNAL"/>
    <n v="52501150558"/>
    <s v="ARENAS BLANCAS "/>
    <n v="1"/>
    <n v="15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2702895"/>
    <n v="0.02"/>
    <n v="654057.9"/>
    <m/>
    <n v="15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0"/>
    <n v="1948"/>
  </r>
  <r>
    <x v="46"/>
    <s v="LOTE 2"/>
    <x v="11"/>
    <x v="36"/>
    <x v="5"/>
    <x v="0"/>
    <s v="IER RURAL LA CORONA"/>
    <n v="52501150559"/>
    <s v="LA CORONA 1"/>
    <n v="1"/>
    <n v="16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4883088"/>
    <n v="0.02"/>
    <n v="697661.76"/>
    <m/>
    <n v="16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48"/>
  </r>
  <r>
    <x v="46"/>
    <s v="LOTE 2"/>
    <x v="11"/>
    <x v="36"/>
    <x v="5"/>
    <x v="0"/>
    <s v="CASETA DE ACCIÓN COMUNAL"/>
    <n v="52501150560"/>
    <s v="LA CORONA 2"/>
    <n v="1"/>
    <n v="16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4883088"/>
    <n v="0.02"/>
    <n v="697661.76"/>
    <m/>
    <n v="17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48"/>
  </r>
  <r>
    <x v="46"/>
    <s v="LOTE 2"/>
    <x v="11"/>
    <x v="36"/>
    <x v="5"/>
    <x v="0"/>
    <s v="IER RURAL"/>
    <n v="52501150561"/>
    <s v="SANTA TEREZA"/>
    <n v="1"/>
    <n v="16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4883088"/>
    <n v="0.02"/>
    <n v="697661.76"/>
    <m/>
    <n v="18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48"/>
  </r>
  <r>
    <x v="46"/>
    <s v="LOTE 2"/>
    <x v="11"/>
    <x v="36"/>
    <x v="5"/>
    <x v="0"/>
    <s v="CASETA DE ACCIÓN COMUNAL"/>
    <n v="52501150562"/>
    <s v="SAN CARLOS"/>
    <n v="1"/>
    <n v="16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4883088"/>
    <n v="0.02"/>
    <n v="697661.76"/>
    <m/>
    <n v="19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48"/>
  </r>
  <r>
    <x v="46"/>
    <s v="LOTE 2"/>
    <x v="11"/>
    <x v="36"/>
    <x v="5"/>
    <x v="0"/>
    <s v="CASA DEL ADULTO MAYOR 3"/>
    <n v="52501150593"/>
    <s v="PUERTO LOPEZ 3"/>
    <n v="1"/>
    <n v="20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43603860"/>
    <n v="0.02"/>
    <n v="872077.20000000007"/>
    <m/>
    <n v="20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8"/>
  </r>
  <r>
    <x v="46"/>
    <s v="LOTE 2"/>
    <x v="11"/>
    <x v="36"/>
    <x v="5"/>
    <x v="0"/>
    <s v="CASA DEL ADULTO MAYOR 4"/>
    <n v="52501150594"/>
    <s v="PUERTO LOPEZ 4"/>
    <n v="1"/>
    <n v="20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43603860"/>
    <n v="0.02"/>
    <n v="872077.20000000007"/>
    <m/>
    <n v="21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8"/>
  </r>
  <r>
    <x v="46"/>
    <s v="LOTE 2"/>
    <x v="11"/>
    <x v="36"/>
    <x v="5"/>
    <x v="0"/>
    <s v="CASA DEL ADULTO MAYOR 5"/>
    <n v="52501150595"/>
    <s v="PUERTO LOPEZ 5"/>
    <n v="1"/>
    <n v="20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43603860"/>
    <n v="0.02"/>
    <n v="872077.20000000007"/>
    <m/>
    <n v="22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8"/>
  </r>
  <r>
    <x v="46"/>
    <s v="LOTE 2"/>
    <x v="11"/>
    <x v="36"/>
    <x v="5"/>
    <x v="0"/>
    <s v="CASA DEL ADULTO MAYOR 6"/>
    <n v="52501150596"/>
    <s v="EL PERICO"/>
    <n v="1"/>
    <n v="20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43603860"/>
    <n v="0.02"/>
    <n v="872077.20000000007"/>
    <m/>
    <n v="23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8"/>
  </r>
  <r>
    <x v="46"/>
    <s v="LOTE 2"/>
    <x v="11"/>
    <x v="36"/>
    <x v="5"/>
    <x v="0"/>
    <s v="VEREDA CORONCORO VIA EL REAL"/>
    <n v="52501151134"/>
    <s v="SALON COMUNAL HUELLAS DE AMOR CORONCORO"/>
    <n v="1"/>
    <n v="14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30522702"/>
    <n v="0.02"/>
    <n v="610454.04"/>
    <m/>
    <n v="24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0"/>
    <n v="1948"/>
  </r>
  <r>
    <x v="46"/>
    <s v="LOTE 2"/>
    <x v="11"/>
    <x v="36"/>
    <x v="5"/>
    <x v="0"/>
    <s v="VEREDA EL REAL"/>
    <n v="52501151135"/>
    <s v="SALON COMUNAL HUELLAS DE AMOR EL REAL"/>
    <n v="1"/>
    <n v="20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43603860"/>
    <n v="0.02"/>
    <n v="872077.20000000007"/>
    <m/>
    <n v="25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48"/>
  </r>
  <r>
    <x v="46"/>
    <s v="LOTE 2"/>
    <x v="11"/>
    <x v="36"/>
    <x v="5"/>
    <x v="0"/>
    <s v="VEREDA PINDORA"/>
    <n v="52501152440"/>
    <s v="KIOSCO PINDORA"/>
    <n v="1"/>
    <n v="19"/>
    <m/>
    <n v="1948"/>
    <s v="ARTÍCULO 34 CONTRATACIÓN CON EL REGISTRO ÚNICO DE OFERENTES"/>
    <m/>
    <m/>
    <x v="0"/>
    <x v="0"/>
    <x v="37"/>
    <x v="36"/>
    <n v="229957"/>
    <e v="#N/A"/>
    <e v="#N/A"/>
    <s v=" "/>
    <s v=" "/>
    <m/>
    <n v="41423667"/>
    <n v="0.02"/>
    <n v="828473.34"/>
    <m/>
    <n v="26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0"/>
    <n v="1948"/>
  </r>
  <r>
    <x v="47"/>
    <s v="LOTE 2"/>
    <x v="12"/>
    <x v="37"/>
    <x v="1"/>
    <x v="0"/>
    <s v="VEREDA ALDANA ARRIBA CONTIGUA AL MUNICIPIO DEL CARMEN"/>
    <n v="56971115445"/>
    <s v="CER PBR JESUS ANTONIO GOMEZ S.ALDANA A"/>
    <n v="1"/>
    <n v="50"/>
    <m/>
    <n v="1949"/>
    <s v="ARTÍCULO 34 CONTRATACIÓN CON EL REGISTRO ÚNICO DE OFERENTES"/>
    <m/>
    <m/>
    <x v="0"/>
    <x v="0"/>
    <x v="38"/>
    <x v="37"/>
    <n v="229114"/>
    <n v="15207"/>
    <n v="92525"/>
    <n v="9"/>
    <n v="746"/>
    <m/>
    <n v="75965250"/>
    <n v="0.02"/>
    <n v="1519305"/>
    <m/>
    <n v="1"/>
    <n v="75965250"/>
    <n v="77484555"/>
    <n v="2659281372"/>
    <n v="53185627"/>
    <n v="2712466999"/>
    <n v="1868.128817702845"/>
    <n v="2337200"/>
    <n v="1892050"/>
    <n v="0"/>
    <n v="71736000"/>
    <m/>
    <n v="75965250"/>
    <n v="2659281372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49"/>
  </r>
  <r>
    <x v="47"/>
    <s v="LOTE 2"/>
    <x v="12"/>
    <x v="37"/>
    <x v="1"/>
    <x v="0"/>
    <s v="VEREDA LA SERRANÍA CONTIGUA A LA VALLE DE MARÍA"/>
    <n v="56971136666"/>
    <s v="CER J.I.B.P SEDE LUIS PINEDA"/>
    <n v="1"/>
    <n v="50"/>
    <m/>
    <n v="1949"/>
    <s v="ARTÍCULO 34 CONTRATACIÓN CON EL REGISTRO ÚNICO DE OFERENTES"/>
    <m/>
    <m/>
    <x v="0"/>
    <x v="0"/>
    <x v="38"/>
    <x v="37"/>
    <n v="229114"/>
    <n v="15207"/>
    <n v="92525"/>
    <s v=" "/>
    <s v=" "/>
    <m/>
    <n v="75965250"/>
    <n v="0.02"/>
    <n v="1519305"/>
    <m/>
    <n v="2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49"/>
  </r>
  <r>
    <x v="47"/>
    <s v="LOTE 2"/>
    <x v="12"/>
    <x v="37"/>
    <x v="1"/>
    <x v="0"/>
    <s v="VEREDA LA PAZ VIA GRANADA"/>
    <n v="56971136680"/>
    <s v="CER JOSE IGNACIO BOTERO PALACIO S.LA PAZ"/>
    <n v="1"/>
    <n v="50"/>
    <m/>
    <n v="1949"/>
    <s v="ARTÍCULO 34 CONTRATACIÓN CON EL REGISTRO ÚNICO DE OFERENTES"/>
    <m/>
    <m/>
    <x v="0"/>
    <x v="0"/>
    <x v="38"/>
    <x v="37"/>
    <n v="229114"/>
    <n v="15207"/>
    <n v="92525"/>
    <s v=" "/>
    <s v=" "/>
    <m/>
    <n v="75965250"/>
    <n v="0.02"/>
    <n v="1519305"/>
    <m/>
    <n v="3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49"/>
  </r>
  <r>
    <x v="47"/>
    <s v="LOTE 2"/>
    <x v="12"/>
    <x v="37"/>
    <x v="1"/>
    <x v="0"/>
    <s v="VEREDA VARGAS"/>
    <n v="56971150390"/>
    <s v="CER MONS FRANCISCO LUIS GOMEZ S. VARGAS"/>
    <n v="1"/>
    <n v="50"/>
    <m/>
    <n v="1949"/>
    <s v="ARTÍCULO 34 CONTRATACIÓN CON EL REGISTRO ÚNICO DE OFERENTES"/>
    <m/>
    <m/>
    <x v="0"/>
    <x v="0"/>
    <x v="38"/>
    <x v="37"/>
    <n v="229114"/>
    <n v="15207"/>
    <n v="92525"/>
    <s v=" "/>
    <s v=" "/>
    <m/>
    <n v="75965250"/>
    <n v="0.02"/>
    <n v="1519305"/>
    <m/>
    <n v="4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49"/>
  </r>
  <r>
    <x v="47"/>
    <s v="LOTE 2"/>
    <x v="12"/>
    <x v="37"/>
    <x v="4"/>
    <x v="0"/>
    <s v="CL 45 B 54 310 AUTOPISTA MEDELLIN  BOGOTA EL SALADITO"/>
    <n v="569700023862"/>
    <s v=" EL SANTUARIO MIS PEQUEÑOS GIGANTES"/>
    <n v="1"/>
    <n v="200"/>
    <m/>
    <n v="1949"/>
    <s v="ARTÍCULO 34 CONTRATACIÓN CON EL REGISTRO ÚNICO DE OFERENTES"/>
    <m/>
    <m/>
    <x v="0"/>
    <x v="0"/>
    <x v="38"/>
    <x v="37"/>
    <n v="229114"/>
    <n v="15207"/>
    <n v="92525"/>
    <s v=" "/>
    <s v=" "/>
    <m/>
    <n v="865880400"/>
    <n v="0.02"/>
    <n v="17317608"/>
    <m/>
    <n v="5"/>
    <n v="865880400"/>
    <n v="883198008"/>
    <s v=" "/>
    <m/>
    <m/>
    <m/>
    <n v="17628600"/>
    <n v="15008600"/>
    <n v="0"/>
    <n v="833243200"/>
    <m/>
    <n v="865880400"/>
    <s v=" "/>
    <n v="121784000"/>
    <n v="104155400"/>
    <n v="104155400"/>
    <n v="104155400"/>
    <n v="104155400"/>
    <n v="104155400"/>
    <n v="104155400"/>
    <n v="119164000"/>
    <n v="865880400"/>
    <n v="0"/>
    <s v="CONTRATO COSTEADO CON ALIMENTACION"/>
    <b v="1"/>
    <n v="0"/>
    <b v="1"/>
    <n v="0"/>
    <x v="1"/>
    <n v="1949"/>
  </r>
  <r>
    <x v="47"/>
    <s v="LOTE 2"/>
    <x v="12"/>
    <x v="37"/>
    <x v="4"/>
    <x v="0"/>
    <s v="KR 45 52 B 32 CDI JARDIN INFANTIL SEMILLITAS"/>
    <n v="569700023881"/>
    <s v="SEMILLITAS"/>
    <n v="1"/>
    <n v="154"/>
    <m/>
    <n v="1949"/>
    <s v="ARTÍCULO 34 CONTRATACIÓN CON EL REGISTRO ÚNICO DE OFERENTES"/>
    <m/>
    <m/>
    <x v="0"/>
    <x v="0"/>
    <x v="38"/>
    <x v="37"/>
    <n v="229114"/>
    <n v="15207"/>
    <n v="92525"/>
    <s v=" "/>
    <s v=" "/>
    <m/>
    <n v="666727908"/>
    <n v="0.02"/>
    <n v="13334558.16"/>
    <m/>
    <n v="6"/>
    <n v="666727908"/>
    <n v="680062466.15999997"/>
    <s v=" "/>
    <m/>
    <m/>
    <m/>
    <n v="13574022"/>
    <n v="11556622"/>
    <n v="0"/>
    <n v="641597264"/>
    <m/>
    <n v="666727908"/>
    <s v=" "/>
    <n v="93773680"/>
    <n v="80199658"/>
    <n v="80199658"/>
    <n v="80199658"/>
    <n v="80199658"/>
    <n v="80199658"/>
    <n v="80199658"/>
    <n v="91756280"/>
    <n v="666727908"/>
    <n v="0"/>
    <s v="CONTRATO COSTEADO CON ALIMENTACION"/>
    <b v="1"/>
    <n v="0"/>
    <b v="1"/>
    <n v="0"/>
    <x v="1"/>
    <n v="1949"/>
  </r>
  <r>
    <x v="47"/>
    <s v="LOTE 2"/>
    <x v="12"/>
    <x v="37"/>
    <x v="4"/>
    <x v="0"/>
    <s v="KR 46 48 A 15 BARRIO EL VERGEL"/>
    <n v="569700023924"/>
    <s v="EL SANTUARIO  EL MUNDO DE LOS SUEÑOS"/>
    <n v="1"/>
    <n v="60"/>
    <m/>
    <n v="1949"/>
    <s v="ARTÍCULO 34 CONTRATACIÓN CON EL REGISTRO ÚNICO DE OFERENTES"/>
    <m/>
    <m/>
    <x v="0"/>
    <x v="0"/>
    <x v="38"/>
    <x v="37"/>
    <n v="229114"/>
    <n v="15207"/>
    <n v="92525"/>
    <s v=" "/>
    <s v=" "/>
    <m/>
    <n v="259764120"/>
    <n v="0.02"/>
    <n v="5195282.4000000004"/>
    <m/>
    <n v="7"/>
    <n v="259764120"/>
    <n v="264959402.40000001"/>
    <s v=" "/>
    <m/>
    <m/>
    <m/>
    <n v="5288580"/>
    <n v="4502580"/>
    <n v="0"/>
    <n v="249972960"/>
    <m/>
    <n v="259764120"/>
    <s v=" "/>
    <n v="36535200"/>
    <n v="31246620"/>
    <n v="31246620"/>
    <n v="31246620"/>
    <n v="31246620"/>
    <n v="31246620"/>
    <n v="31246620"/>
    <n v="35749200"/>
    <n v="259764120"/>
    <n v="0"/>
    <s v="CONTRATO COSTEADO CON ALIMENTACION"/>
    <b v="1"/>
    <n v="0"/>
    <b v="1"/>
    <n v="0"/>
    <x v="1"/>
    <n v="1949"/>
  </r>
  <r>
    <x v="47"/>
    <s v="LOTE 2"/>
    <x v="12"/>
    <x v="37"/>
    <x v="2"/>
    <x v="0"/>
    <s v="CL 43 B 49 B 18 SECTOR SAN VICENTE DE PAUL"/>
    <n v="569700023933"/>
    <s v="PRESBITERO LUIS RODOLFO GOMEZ"/>
    <n v="1"/>
    <n v="60"/>
    <m/>
    <n v="1949"/>
    <s v="ARTÍCULO 34 CONTRATACIÓN CON EL REGISTRO ÚNICO DE OFERENTES"/>
    <m/>
    <m/>
    <x v="0"/>
    <x v="0"/>
    <x v="38"/>
    <x v="37"/>
    <n v="229114"/>
    <n v="15207"/>
    <n v="92525"/>
    <s v=" "/>
    <s v=" "/>
    <m/>
    <n v="251331000"/>
    <n v="0.02"/>
    <n v="5026620"/>
    <m/>
    <n v="8"/>
    <n v="251331000"/>
    <n v="256357620"/>
    <s v=" "/>
    <m/>
    <m/>
    <m/>
    <n v="5288580"/>
    <n v="4502580"/>
    <n v="0"/>
    <n v="241539840"/>
    <m/>
    <n v="251331000"/>
    <s v=" "/>
    <n v="35481060"/>
    <n v="30192480"/>
    <n v="30192480"/>
    <n v="30192480"/>
    <n v="30192480"/>
    <n v="30192480"/>
    <n v="30192480"/>
    <n v="34695060"/>
    <n v="251331000"/>
    <n v="0"/>
    <s v="CONTRATO COSTEADO CON ALIMENTACION"/>
    <b v="1"/>
    <n v="0"/>
    <b v="1"/>
    <n v="0"/>
    <x v="1"/>
    <n v="1949"/>
  </r>
  <r>
    <x v="47"/>
    <s v="LOTE 2"/>
    <x v="5"/>
    <x v="38"/>
    <x v="4"/>
    <x v="0"/>
    <s v="KR 52 44 48   BARRIO BELCHITE"/>
    <n v="561500100375"/>
    <s v="CASA CDI BELCHITE"/>
    <n v="1"/>
    <n v="72"/>
    <m/>
    <n v="1949"/>
    <s v="ARTÍCULO 34 CONTRATACIÓN CON EL REGISTRO ÚNICO DE OFERENTES"/>
    <m/>
    <m/>
    <x v="0"/>
    <x v="0"/>
    <x v="38"/>
    <x v="37"/>
    <n v="229114"/>
    <n v="15207"/>
    <n v="92525"/>
    <s v=" "/>
    <s v=" "/>
    <m/>
    <n v="311716944"/>
    <n v="0.02"/>
    <n v="6234338.8799999999"/>
    <m/>
    <n v="9"/>
    <n v="311716944"/>
    <n v="317951282.88"/>
    <s v=" "/>
    <m/>
    <m/>
    <m/>
    <n v="6346296"/>
    <n v="5403096"/>
    <n v="0"/>
    <n v="299967552"/>
    <m/>
    <n v="311716944"/>
    <s v=" "/>
    <n v="43842240"/>
    <n v="37495944"/>
    <n v="37495944"/>
    <n v="37495944"/>
    <n v="37495944"/>
    <n v="37495944"/>
    <n v="37495944"/>
    <n v="42899040"/>
    <n v="311716944"/>
    <n v="0"/>
    <s v="CONTRATO COSTEADO CON ALIMENTACION"/>
    <b v="1"/>
    <n v="0"/>
    <b v="1"/>
    <n v="0"/>
    <x v="1"/>
    <n v="1949"/>
  </r>
  <r>
    <x v="48"/>
    <s v="LOTE 2"/>
    <x v="9"/>
    <x v="39"/>
    <x v="1"/>
    <x v="0"/>
    <s v="EL UVITAL"/>
    <n v="52821115066"/>
    <s v="JAC EL UVITAL"/>
    <n v="1"/>
    <n v="20"/>
    <m/>
    <n v="1951"/>
    <s v="ARTÍCULO 34 CONTRATACIÓN CON EL REGISTRO ÚNICO DE OFERENTES"/>
    <m/>
    <m/>
    <x v="0"/>
    <x v="0"/>
    <x v="17"/>
    <x v="16"/>
    <n v="229115"/>
    <n v="15198"/>
    <n v="83325"/>
    <n v="18"/>
    <n v="389"/>
    <m/>
    <n v="30386100"/>
    <n v="0.02"/>
    <n v="607722"/>
    <m/>
    <n v="1"/>
    <n v="30386100"/>
    <n v="30993822"/>
    <n v="844196650"/>
    <n v="16883933"/>
    <n v="861080583"/>
    <n v="593.04295749912183"/>
    <n v="934880"/>
    <n v="756820"/>
    <n v="0"/>
    <n v="28694400"/>
    <m/>
    <n v="30386100"/>
    <n v="844196650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951"/>
  </r>
  <r>
    <x v="48"/>
    <s v="LOTE 2"/>
    <x v="9"/>
    <x v="39"/>
    <x v="1"/>
    <x v="0"/>
    <s v="EL MANGO"/>
    <n v="52821115071"/>
    <s v="JDC EL MANGO"/>
    <n v="1"/>
    <n v="16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24308880"/>
    <n v="0.02"/>
    <n v="486177.60000000003"/>
    <m/>
    <n v="2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51"/>
  </r>
  <r>
    <x v="48"/>
    <s v="LOTE 2"/>
    <x v="9"/>
    <x v="39"/>
    <x v="1"/>
    <x v="0"/>
    <s v="LOS PALOMOS"/>
    <n v="52821115074"/>
    <s v="JDC PALOMOS"/>
    <n v="1"/>
    <n v="17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25828185"/>
    <n v="0.02"/>
    <n v="516563.7"/>
    <m/>
    <n v="3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51"/>
  </r>
  <r>
    <x v="48"/>
    <s v="LOTE 2"/>
    <x v="9"/>
    <x v="39"/>
    <x v="1"/>
    <x v="0"/>
    <s v="MURRAPAL"/>
    <n v="52821136774"/>
    <s v="IE MURRAPAL"/>
    <n v="1"/>
    <n v="16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24308880"/>
    <n v="0.02"/>
    <n v="486177.60000000003"/>
    <m/>
    <n v="4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51"/>
  </r>
  <r>
    <x v="48"/>
    <s v="LOTE 2"/>
    <x v="9"/>
    <x v="39"/>
    <x v="1"/>
    <x v="0"/>
    <s v="EL PLAN"/>
    <n v="52821136776"/>
    <s v="IE JOSE MARIA OBANDO"/>
    <n v="1"/>
    <n v="10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15193050"/>
    <n v="0.02"/>
    <n v="303861"/>
    <m/>
    <n v="5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O ADICIONAL POR ALIMENTACION"/>
    <b v="1"/>
    <n v="0"/>
    <b v="1"/>
    <n v="0"/>
    <x v="1"/>
    <n v="1951"/>
  </r>
  <r>
    <x v="48"/>
    <s v="LOTE 2"/>
    <x v="9"/>
    <x v="39"/>
    <x v="1"/>
    <x v="0"/>
    <s v="COMBIA GRANDE"/>
    <n v="52821136779"/>
    <s v="IER MURRAPAL SEDE COMBIA GRANDE"/>
    <n v="1"/>
    <n v="12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18231660"/>
    <n v="0.02"/>
    <n v="364633.2"/>
    <m/>
    <n v="6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51"/>
  </r>
  <r>
    <x v="48"/>
    <s v="LOTE 2"/>
    <x v="9"/>
    <x v="39"/>
    <x v="1"/>
    <x v="0"/>
    <s v="PUENTE IGESIAS"/>
    <n v="52821136781"/>
    <s v="CER ALFONSO PALACIO ARANGO"/>
    <n v="1"/>
    <n v="39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59252895"/>
    <n v="0.02"/>
    <n v="1185057.9000000001"/>
    <m/>
    <n v="7"/>
    <n v="59252895"/>
    <n v="60437952.899999999"/>
    <s v=" "/>
    <m/>
    <m/>
    <m/>
    <n v="1823016"/>
    <n v="1475799"/>
    <n v="0"/>
    <n v="55954080"/>
    <m/>
    <n v="59252895"/>
    <s v=" "/>
    <n v="8817276"/>
    <n v="6994260"/>
    <n v="6994260"/>
    <n v="6994260"/>
    <n v="6994260"/>
    <n v="6994260"/>
    <n v="6994260"/>
    <n v="8470059"/>
    <n v="59252895"/>
    <n v="58756152"/>
    <s v="CONTRATO ADICIONAL POR ALIMENTACION"/>
    <b v="1"/>
    <n v="0"/>
    <b v="1"/>
    <n v="0"/>
    <x v="1"/>
    <n v="1951"/>
  </r>
  <r>
    <x v="48"/>
    <s v="LOTE 2"/>
    <x v="9"/>
    <x v="39"/>
    <x v="1"/>
    <x v="0"/>
    <s v="LA GARRUCHA"/>
    <n v="52821136783"/>
    <s v="C COMUNAL LA GARRUCHA"/>
    <n v="1"/>
    <n v="6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9115830"/>
    <n v="0.02"/>
    <n v="182316.6"/>
    <m/>
    <n v="8"/>
    <n v="9115830"/>
    <n v="9298146.5999999996"/>
    <s v=" "/>
    <m/>
    <m/>
    <m/>
    <n v="280464"/>
    <n v="227046"/>
    <n v="0"/>
    <n v="8608320"/>
    <m/>
    <n v="9115830"/>
    <s v=" "/>
    <n v="1356504"/>
    <n v="1076040"/>
    <n v="1076040"/>
    <n v="1076040"/>
    <n v="1076040"/>
    <n v="1076040"/>
    <n v="1076040"/>
    <n v="1303086"/>
    <n v="9115830"/>
    <n v="9039408"/>
    <s v="CONTRATO ADICIONAL POR ALIMENTACION"/>
    <b v="1"/>
    <n v="0"/>
    <b v="1"/>
    <n v="0"/>
    <x v="1"/>
    <n v="1951"/>
  </r>
  <r>
    <x v="48"/>
    <s v="LOTE 2"/>
    <x v="9"/>
    <x v="39"/>
    <x v="1"/>
    <x v="0"/>
    <s v="MARSELLA"/>
    <n v="52821136785"/>
    <s v="IER LLANO GRANDE"/>
    <n v="1"/>
    <n v="16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24308880"/>
    <n v="0.02"/>
    <n v="486177.60000000003"/>
    <m/>
    <n v="9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51"/>
  </r>
  <r>
    <x v="48"/>
    <s v="LOTE 2"/>
    <x v="9"/>
    <x v="39"/>
    <x v="1"/>
    <x v="0"/>
    <s v="EL ZANCUDO"/>
    <n v="52821136786"/>
    <s v="IER EDELMIRA ALVAREZ"/>
    <n v="1"/>
    <n v="21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31905405"/>
    <n v="0.02"/>
    <n v="638108.1"/>
    <m/>
    <n v="10"/>
    <n v="31905405"/>
    <n v="32543513.100000001"/>
    <s v=" "/>
    <m/>
    <m/>
    <m/>
    <n v="981624"/>
    <n v="794661"/>
    <n v="0"/>
    <n v="30129120"/>
    <m/>
    <n v="31905405"/>
    <s v=" "/>
    <n v="4747764"/>
    <n v="3766140"/>
    <n v="3766140"/>
    <n v="3766140"/>
    <n v="3766140"/>
    <n v="3766140"/>
    <n v="3766140"/>
    <n v="4560801"/>
    <n v="31905405"/>
    <n v="31637928"/>
    <s v="CONTRATO ADICIONAL POR ALIMENTACION"/>
    <b v="1"/>
    <n v="0"/>
    <b v="1"/>
    <n v="0"/>
    <x v="1"/>
    <n v="1951"/>
  </r>
  <r>
    <x v="48"/>
    <s v="LOTE 2"/>
    <x v="9"/>
    <x v="39"/>
    <x v="1"/>
    <x v="0"/>
    <s v="VEREDA SABALETAS"/>
    <n v="52821148646"/>
    <s v="IER SABALETAS"/>
    <n v="1"/>
    <n v="8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12154440"/>
    <n v="0.02"/>
    <n v="243088.80000000002"/>
    <m/>
    <n v="11"/>
    <n v="12154440"/>
    <n v="12397528.800000001"/>
    <s v=" "/>
    <m/>
    <m/>
    <m/>
    <n v="373952"/>
    <n v="302728"/>
    <n v="0"/>
    <n v="11477760"/>
    <m/>
    <n v="12154440"/>
    <s v=" "/>
    <n v="1808672"/>
    <n v="1434720"/>
    <n v="1434720"/>
    <n v="1434720"/>
    <n v="1434720"/>
    <n v="1434720"/>
    <n v="1434720"/>
    <n v="1737448"/>
    <n v="12154440"/>
    <n v="12052544"/>
    <s v="CONTRATO ADICIONAL POR ALIMENTACION"/>
    <b v="1"/>
    <n v="0"/>
    <b v="1"/>
    <n v="0"/>
    <x v="1"/>
    <n v="1951"/>
  </r>
  <r>
    <x v="48"/>
    <s v="LOTE 2"/>
    <x v="9"/>
    <x v="39"/>
    <x v="1"/>
    <x v="0"/>
    <s v="KR 51 48 12 CALLE DEL HOSPITAL"/>
    <n v="52821152251"/>
    <s v="CASA DE LA CULTURA JULIO CÉSAR GARCÍA"/>
    <n v="1"/>
    <n v="70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106351350"/>
    <n v="0.02"/>
    <n v="2127027"/>
    <m/>
    <n v="12"/>
    <n v="106351350"/>
    <n v="108478377"/>
    <s v=" "/>
    <m/>
    <m/>
    <m/>
    <n v="3272080"/>
    <n v="2648870"/>
    <n v="0"/>
    <n v="100430400"/>
    <m/>
    <n v="106351350"/>
    <s v=" "/>
    <n v="15825880"/>
    <n v="12553800"/>
    <n v="12553800"/>
    <n v="12553800"/>
    <n v="12553800"/>
    <n v="12553800"/>
    <n v="12553800"/>
    <n v="15202670"/>
    <n v="106351350"/>
    <n v="105459760"/>
    <s v="CONTRATO ADICIONAL POR ALIMENTACION"/>
    <b v="1"/>
    <n v="0"/>
    <b v="1"/>
    <n v="0"/>
    <x v="1"/>
    <n v="1951"/>
  </r>
  <r>
    <x v="48"/>
    <s v="LOTE 2"/>
    <x v="9"/>
    <x v="39"/>
    <x v="1"/>
    <x v="0"/>
    <s v="CORREGIMIENTO DE LA MINA"/>
    <n v="52821152252"/>
    <s v="SALON PARROQUIAL SANTA MARIA MAGDALENA"/>
    <n v="1"/>
    <n v="16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24308880"/>
    <n v="0.02"/>
    <n v="486177.60000000003"/>
    <m/>
    <n v="13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51"/>
  </r>
  <r>
    <x v="48"/>
    <s v="LOTE 2"/>
    <x v="9"/>
    <x v="39"/>
    <x v="1"/>
    <x v="0"/>
    <s v="VEREDA NARANJAL"/>
    <n v="52821152253"/>
    <s v="CER NARANJAL FREDONIA"/>
    <n v="1"/>
    <n v="12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18231660"/>
    <n v="0.02"/>
    <n v="364633.2"/>
    <m/>
    <n v="14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51"/>
  </r>
  <r>
    <x v="48"/>
    <s v="LOTE 2"/>
    <x v="9"/>
    <x v="39"/>
    <x v="1"/>
    <x v="0"/>
    <s v="LA MARIA"/>
    <n v="528200022902"/>
    <s v="C COMUNAL LA MARIA_FREDONIA"/>
    <n v="1"/>
    <n v="17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25828185"/>
    <n v="0.02"/>
    <n v="516563.7"/>
    <m/>
    <n v="15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51"/>
  </r>
  <r>
    <x v="48"/>
    <s v="LOTE 2"/>
    <x v="9"/>
    <x v="39"/>
    <x v="2"/>
    <x v="0"/>
    <s v="CARRERA 49 #45-44"/>
    <n v="528200048728"/>
    <s v="TRAZOS ALEGRES 1"/>
    <n v="1"/>
    <n v="36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150798600"/>
    <n v="0.02"/>
    <n v="3015972"/>
    <m/>
    <n v="16"/>
    <n v="150798600"/>
    <n v="153814572"/>
    <s v=" "/>
    <m/>
    <m/>
    <m/>
    <n v="3173148"/>
    <n v="2701548"/>
    <n v="0"/>
    <n v="144923904"/>
    <m/>
    <n v="150798600"/>
    <s v=" "/>
    <n v="21288636"/>
    <n v="18115488"/>
    <n v="18115488"/>
    <n v="18115488"/>
    <n v="18115488"/>
    <n v="18115488"/>
    <n v="18115488"/>
    <n v="20817036"/>
    <n v="150798600"/>
    <n v="0"/>
    <s v="CONTRATO COSTEADO CON ALIMENTACION"/>
    <b v="1"/>
    <n v="0"/>
    <b v="1"/>
    <n v="0"/>
    <x v="1"/>
    <n v="1951"/>
  </r>
  <r>
    <x v="48"/>
    <s v="LOTE 2"/>
    <x v="9"/>
    <x v="39"/>
    <x v="4"/>
    <x v="0"/>
    <s v="KR 52 N 51 61 CATAFORA"/>
    <n v="528200104905"/>
    <s v="TRAZOS ALEGRES 2"/>
    <n v="1"/>
    <n v="35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151529070"/>
    <n v="0.02"/>
    <n v="3030581.4"/>
    <m/>
    <n v="17"/>
    <n v="151529070"/>
    <n v="154559651.40000001"/>
    <s v=" "/>
    <m/>
    <m/>
    <m/>
    <n v="3085005"/>
    <n v="2626505"/>
    <n v="0"/>
    <n v="145817560"/>
    <m/>
    <n v="151529070"/>
    <s v=" "/>
    <n v="21312200"/>
    <n v="18227195"/>
    <n v="18227195"/>
    <n v="18227195"/>
    <n v="18227195"/>
    <n v="18227195"/>
    <n v="18227195"/>
    <n v="20853700"/>
    <n v="151529070"/>
    <n v="0"/>
    <s v="CONTRATO COSTEADO CON ALIMENTACION"/>
    <b v="1"/>
    <n v="0"/>
    <b v="1"/>
    <n v="0"/>
    <x v="1"/>
    <n v="1951"/>
  </r>
  <r>
    <x v="48"/>
    <s v="LOTE 2"/>
    <x v="9"/>
    <x v="39"/>
    <x v="2"/>
    <x v="0"/>
    <s v="JUNTA DE ACCIÓN COMUNAL  CORREGIMIENTO PALOMOS"/>
    <n v="528200104906"/>
    <s v="TRAZOS ALEGRES 3"/>
    <n v="1"/>
    <n v="22"/>
    <m/>
    <n v="1951"/>
    <s v="ARTÍCULO 34 CONTRATACIÓN CON EL REGISTRO ÚNICO DE OFERENTES"/>
    <m/>
    <m/>
    <x v="0"/>
    <x v="0"/>
    <x v="17"/>
    <x v="16"/>
    <n v="229115"/>
    <n v="15198"/>
    <n v="83325"/>
    <s v=" "/>
    <s v=" "/>
    <m/>
    <n v="92154700"/>
    <n v="0.02"/>
    <n v="1843094"/>
    <m/>
    <n v="18"/>
    <n v="92154700"/>
    <n v="93997794"/>
    <s v=" "/>
    <m/>
    <m/>
    <m/>
    <n v="1939146"/>
    <n v="1650946"/>
    <n v="0"/>
    <n v="88564608"/>
    <m/>
    <n v="92154700"/>
    <s v=" "/>
    <n v="13009722"/>
    <n v="11070576"/>
    <n v="11070576"/>
    <n v="11070576"/>
    <n v="11070576"/>
    <n v="11070576"/>
    <n v="11070576"/>
    <n v="12721522"/>
    <n v="92154700"/>
    <n v="0"/>
    <s v="CONTRATO COSTEADO CON ALIMENTACION"/>
    <b v="1"/>
    <n v="0"/>
    <b v="1"/>
    <n v="0"/>
    <x v="1"/>
    <n v="1951"/>
  </r>
  <r>
    <x v="49"/>
    <s v="LOTE 2"/>
    <x v="13"/>
    <x v="40"/>
    <x v="5"/>
    <x v="0"/>
    <s v="VEREDA SIERRITA SECTOR COLORADO"/>
    <n v="50441153012"/>
    <s v="C COMUNAL DULCE ARMONIA"/>
    <n v="1"/>
    <n v="11"/>
    <m/>
    <n v="1952"/>
    <s v="ARTÍCULO 34 CONTRATACIÓN CON EL REGISTRO ÚNICO DE OFERENTES"/>
    <m/>
    <m/>
    <x v="0"/>
    <x v="0"/>
    <x v="39"/>
    <x v="38"/>
    <n v="229116"/>
    <n v="15222"/>
    <n v="87525"/>
    <n v="13"/>
    <n v="260"/>
    <m/>
    <n v="23982123"/>
    <n v="0.02"/>
    <n v="479642.46"/>
    <m/>
    <n v="1"/>
    <n v="23982123"/>
    <n v="24461765.460000001"/>
    <n v="738786900"/>
    <n v="14775738"/>
    <n v="753562638"/>
    <n v="518.99325605900947"/>
    <n v="543136"/>
    <n v="451319"/>
    <n v="320100"/>
    <n v="22667568"/>
    <m/>
    <n v="23982123"/>
    <n v="738786900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52"/>
  </r>
  <r>
    <x v="49"/>
    <s v="LOTE 2"/>
    <x v="13"/>
    <x v="40"/>
    <x v="5"/>
    <x v="0"/>
    <s v="VEREDA LA SIERRA"/>
    <n v="53061115456"/>
    <s v="C COMUNAL SEMILLAS DE ESPERANZA"/>
    <n v="1"/>
    <n v="14"/>
    <m/>
    <n v="1952"/>
    <s v="ARTÍCULO 34 CONTRATACIÓN CON EL REGISTRO ÚNICO DE OFERENTES"/>
    <m/>
    <m/>
    <x v="0"/>
    <x v="0"/>
    <x v="39"/>
    <x v="38"/>
    <n v="229116"/>
    <n v="15222"/>
    <n v="87525"/>
    <s v=" "/>
    <s v=" "/>
    <m/>
    <n v="30522702"/>
    <n v="0.02"/>
    <n v="610454.04"/>
    <m/>
    <n v="2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52"/>
  </r>
  <r>
    <x v="49"/>
    <s v="LOTE 2"/>
    <x v="13"/>
    <x v="40"/>
    <x v="5"/>
    <x v="0"/>
    <s v="PEÑITAS"/>
    <n v="53061135671"/>
    <s v="INSPECCION 1 SEMILLAS DE AMOR"/>
    <n v="1"/>
    <n v="22"/>
    <m/>
    <n v="1952"/>
    <s v="ARTÍCULO 34 CONTRATACIÓN CON EL REGISTRO ÚNICO DE OFERENTES"/>
    <m/>
    <m/>
    <x v="0"/>
    <x v="0"/>
    <x v="39"/>
    <x v="38"/>
    <n v="229116"/>
    <n v="15222"/>
    <n v="87525"/>
    <s v=" "/>
    <s v=" "/>
    <m/>
    <n v="47964246"/>
    <n v="0.02"/>
    <n v="959284.92"/>
    <m/>
    <n v="3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1"/>
    <n v="1952"/>
  </r>
  <r>
    <x v="49"/>
    <s v="LOTE 2"/>
    <x v="13"/>
    <x v="40"/>
    <x v="5"/>
    <x v="0"/>
    <s v="VEREDA ROBLAR"/>
    <n v="53061135746"/>
    <s v="C COMUNAL CORAZONES ALEGRES"/>
    <n v="1"/>
    <n v="20"/>
    <m/>
    <n v="1952"/>
    <s v="ARTÍCULO 34 CONTRATACIÓN CON EL REGISTRO ÚNICO DE OFERENTES"/>
    <m/>
    <m/>
    <x v="0"/>
    <x v="0"/>
    <x v="39"/>
    <x v="38"/>
    <n v="229116"/>
    <n v="15222"/>
    <n v="87525"/>
    <s v=" "/>
    <s v=" "/>
    <m/>
    <n v="43603860"/>
    <n v="0.02"/>
    <n v="872077.20000000007"/>
    <m/>
    <n v="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52"/>
  </r>
  <r>
    <x v="49"/>
    <s v="LOTE 2"/>
    <x v="13"/>
    <x v="40"/>
    <x v="5"/>
    <x v="0"/>
    <s v="TOYO,TAMBO"/>
    <n v="53061135911"/>
    <s v="C COMUNAL PEQUEÑOS CAMINANTES"/>
    <n v="1"/>
    <n v="12"/>
    <m/>
    <n v="1952"/>
    <s v="ARTÍCULO 34 CONTRATACIÓN CON EL REGISTRO ÚNICO DE OFERENTES"/>
    <m/>
    <m/>
    <x v="0"/>
    <x v="0"/>
    <x v="39"/>
    <x v="38"/>
    <n v="229116"/>
    <n v="15222"/>
    <n v="87525"/>
    <s v=" "/>
    <s v=" "/>
    <m/>
    <n v="26162316"/>
    <n v="0.02"/>
    <n v="523246.32"/>
    <m/>
    <n v="5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1952"/>
  </r>
  <r>
    <x v="49"/>
    <s v="LOTE 2"/>
    <x v="13"/>
    <x v="40"/>
    <x v="5"/>
    <x v="0"/>
    <s v="VEREDA LA SIERRITA"/>
    <n v="53061135923"/>
    <s v="CASETA COMUNAL HUELLITAS DE AMOR"/>
    <n v="1"/>
    <n v="13"/>
    <m/>
    <n v="1952"/>
    <s v="ARTÍCULO 34 CONTRATACIÓN CON EL REGISTRO ÚNICO DE OFERENTES"/>
    <m/>
    <m/>
    <x v="0"/>
    <x v="0"/>
    <x v="39"/>
    <x v="38"/>
    <n v="229116"/>
    <n v="15222"/>
    <n v="87525"/>
    <s v=" "/>
    <s v=" "/>
    <m/>
    <n v="28342509"/>
    <n v="0.02"/>
    <n v="566850.18000000005"/>
    <m/>
    <n v="6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52"/>
  </r>
  <r>
    <x v="49"/>
    <s v="LOTE 2"/>
    <x v="13"/>
    <x v="40"/>
    <x v="5"/>
    <x v="0"/>
    <s v="VEREDA CUAJARON"/>
    <n v="53061135924"/>
    <s v="ESCUELA FORJADORES DE AMOR"/>
    <n v="1"/>
    <n v="11"/>
    <m/>
    <n v="1952"/>
    <s v="ARTÍCULO 34 CONTRATACIÓN CON EL REGISTRO ÚNICO DE OFERENTES"/>
    <m/>
    <m/>
    <x v="0"/>
    <x v="0"/>
    <x v="39"/>
    <x v="38"/>
    <n v="229116"/>
    <n v="15222"/>
    <n v="87525"/>
    <s v=" "/>
    <s v=" "/>
    <m/>
    <n v="23982123"/>
    <n v="0.02"/>
    <n v="479642.46"/>
    <m/>
    <n v="7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52"/>
  </r>
  <r>
    <x v="49"/>
    <s v="LOTE 2"/>
    <x v="13"/>
    <x v="40"/>
    <x v="5"/>
    <x v="0"/>
    <s v="PLANTA"/>
    <n v="53061143836"/>
    <s v="C COMUNAL UNMUNDO LLENO DEAVENTURAS"/>
    <n v="1"/>
    <n v="23"/>
    <m/>
    <n v="1952"/>
    <s v="ARTÍCULO 34 CONTRATACIÓN CON EL REGISTRO ÚNICO DE OFERENTES"/>
    <m/>
    <m/>
    <x v="0"/>
    <x v="0"/>
    <x v="39"/>
    <x v="38"/>
    <n v="229116"/>
    <n v="15222"/>
    <n v="87525"/>
    <s v=" "/>
    <s v=" "/>
    <m/>
    <n v="50144439"/>
    <n v="0.02"/>
    <n v="1002888.78"/>
    <m/>
    <n v="8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O ADICIONAL POR ALIMENTACION"/>
    <b v="1"/>
    <n v="0"/>
    <b v="1"/>
    <n v="0"/>
    <x v="1"/>
    <n v="1952"/>
  </r>
  <r>
    <x v="49"/>
    <s v="LOTE 2"/>
    <x v="13"/>
    <x v="40"/>
    <x v="5"/>
    <x v="0"/>
    <s v="BALSO"/>
    <n v="53061150339"/>
    <s v="ESCUELA MI PEQUEÑO MUNDO"/>
    <n v="1"/>
    <n v="8"/>
    <m/>
    <n v="1952"/>
    <s v="ARTÍCULO 34 CONTRATACIÓN CON EL REGISTRO ÚNICO DE OFERENTES"/>
    <m/>
    <m/>
    <x v="0"/>
    <x v="0"/>
    <x v="39"/>
    <x v="38"/>
    <n v="229116"/>
    <n v="15222"/>
    <n v="87525"/>
    <s v=" "/>
    <s v=" "/>
    <m/>
    <n v="17441544"/>
    <n v="0.02"/>
    <n v="348830.88"/>
    <m/>
    <n v="9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O ADICIONAL POR ALIMENTACION"/>
    <b v="1"/>
    <n v="0"/>
    <b v="1"/>
    <n v="0"/>
    <x v="1"/>
    <n v="1952"/>
  </r>
  <r>
    <x v="49"/>
    <s v="LOTE 2"/>
    <x v="13"/>
    <x v="40"/>
    <x v="5"/>
    <x v="0"/>
    <s v="CORREGIMIENTO MANGLAR"/>
    <n v="53061152438"/>
    <s v="C COMUNAL 123 AYUDANOS A CRECER"/>
    <n v="1"/>
    <n v="12"/>
    <m/>
    <n v="1952"/>
    <s v="ARTÍCULO 34 CONTRATACIÓN CON EL REGISTRO ÚNICO DE OFERENTES"/>
    <m/>
    <m/>
    <x v="0"/>
    <x v="0"/>
    <x v="39"/>
    <x v="38"/>
    <n v="229116"/>
    <n v="15222"/>
    <n v="87525"/>
    <s v=" "/>
    <s v=" "/>
    <m/>
    <n v="26162316"/>
    <n v="0.02"/>
    <n v="523246.32"/>
    <m/>
    <n v="10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1952"/>
  </r>
  <r>
    <x v="49"/>
    <s v="LOTE 2"/>
    <x v="13"/>
    <x v="40"/>
    <x v="5"/>
    <x v="0"/>
    <s v="VEREDA EL LIMO"/>
    <n v="53061152885"/>
    <s v="CASA UN MUNDO DE SONRISAS"/>
    <n v="1"/>
    <n v="22"/>
    <m/>
    <n v="1952"/>
    <s v="ARTÍCULO 34 CONTRATACIÓN CON EL REGISTRO ÚNICO DE OFERENTES"/>
    <m/>
    <m/>
    <x v="0"/>
    <x v="0"/>
    <x v="39"/>
    <x v="38"/>
    <n v="229116"/>
    <n v="15222"/>
    <n v="87525"/>
    <s v=" "/>
    <s v=" "/>
    <m/>
    <n v="47964246"/>
    <n v="0.02"/>
    <n v="959284.92"/>
    <m/>
    <n v="11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1"/>
    <n v="1952"/>
  </r>
  <r>
    <x v="49"/>
    <s v="LOTE 2"/>
    <x v="13"/>
    <x v="40"/>
    <x v="5"/>
    <x v="0"/>
    <s v="VEREDA TINAJITAS"/>
    <n v="53061153189"/>
    <s v="CASA MIS PRIMEROS PASOS"/>
    <n v="1"/>
    <n v="12"/>
    <m/>
    <n v="1952"/>
    <s v="ARTÍCULO 34 CONTRATACIÓN CON EL REGISTRO ÚNICO DE OFERENTES"/>
    <m/>
    <m/>
    <x v="0"/>
    <x v="0"/>
    <x v="39"/>
    <x v="38"/>
    <n v="229116"/>
    <n v="15222"/>
    <n v="87525"/>
    <s v=" "/>
    <s v=" "/>
    <m/>
    <n v="26162316"/>
    <n v="0.02"/>
    <n v="523246.32"/>
    <m/>
    <n v="12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1952"/>
  </r>
  <r>
    <x v="49"/>
    <s v="LOTE 2"/>
    <x v="13"/>
    <x v="40"/>
    <x v="4"/>
    <x v="0"/>
    <s v="CL 10 07 26 CL PPAL"/>
    <n v="530600102502"/>
    <s v="SEMILLAS DE AMOR"/>
    <n v="1"/>
    <n v="80"/>
    <m/>
    <n v="1952"/>
    <s v="ARTÍCULO 34 CONTRATACIÓN CON EL REGISTRO ÚNICO DE OFERENTES"/>
    <m/>
    <m/>
    <x v="0"/>
    <x v="0"/>
    <x v="39"/>
    <x v="38"/>
    <n v="229116"/>
    <n v="15222"/>
    <n v="87525"/>
    <s v=" "/>
    <s v=" "/>
    <m/>
    <n v="346352160"/>
    <n v="0.02"/>
    <n v="6927043.2000000002"/>
    <m/>
    <n v="13"/>
    <n v="346352160"/>
    <n v="353279203.19999999"/>
    <s v=" "/>
    <m/>
    <m/>
    <m/>
    <n v="7051440"/>
    <n v="6003440"/>
    <n v="0"/>
    <n v="333297280"/>
    <m/>
    <n v="346352160"/>
    <s v=" "/>
    <n v="48713600"/>
    <n v="41662160"/>
    <n v="41662160"/>
    <n v="41662160"/>
    <n v="41662160"/>
    <n v="41662160"/>
    <n v="41662160"/>
    <n v="47665600"/>
    <n v="346352160"/>
    <n v="0"/>
    <s v="CONTRATO COSTEADO CON ALIMENTACION"/>
    <b v="1"/>
    <n v="0"/>
    <b v="1"/>
    <n v="0"/>
    <x v="1"/>
    <n v="1952"/>
  </r>
  <r>
    <x v="50"/>
    <s v="LOTE 2"/>
    <x v="1"/>
    <x v="41"/>
    <x v="1"/>
    <x v="0"/>
    <s v="VEREDA JUAN COJO"/>
    <n v="53081115507"/>
    <s v="ESCUELA JUAN COJO 1_2"/>
    <n v="1"/>
    <n v="27"/>
    <m/>
    <n v="1953"/>
    <s v="ARTÍCULO 34 CONTRATACIÓN CON EL REGISTRO ÚNICO DE OFERENTES"/>
    <m/>
    <m/>
    <x v="0"/>
    <x v="0"/>
    <x v="1"/>
    <x v="1"/>
    <n v="229117"/>
    <n v="15211"/>
    <n v="86025"/>
    <n v="22"/>
    <n v="746"/>
    <m/>
    <n v="41021235"/>
    <n v="0.02"/>
    <n v="820424.70000000007"/>
    <m/>
    <n v="1"/>
    <n v="41021235"/>
    <n v="41841659.700000003"/>
    <n v="1884959568"/>
    <n v="37699191"/>
    <n v="1922658759"/>
    <n v="1324.1725100105375"/>
    <n v="1262088"/>
    <n v="1021707"/>
    <n v="0"/>
    <n v="38737440"/>
    <m/>
    <n v="41021235"/>
    <n v="1884959568"/>
    <n v="6104268"/>
    <n v="4842180"/>
    <n v="4842180"/>
    <n v="4842180"/>
    <n v="4842180"/>
    <n v="4842180"/>
    <n v="4842180"/>
    <n v="5863887"/>
    <n v="41021235"/>
    <n v="40677336"/>
    <s v="CONTRATO ADICIONAL POR ALIMENTACION"/>
    <b v="1"/>
    <n v="0"/>
    <b v="1"/>
    <n v="0"/>
    <x v="1"/>
    <n v="1953"/>
  </r>
  <r>
    <x v="50"/>
    <s v="LOTE 2"/>
    <x v="1"/>
    <x v="41"/>
    <x v="1"/>
    <x v="0"/>
    <s v="VEREDA LAS CUCHILLAS"/>
    <n v="53081115516"/>
    <s v="ACCION COMUNAL LAS CUCHILLAS"/>
    <n v="1"/>
    <n v="13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19750965"/>
    <n v="0.02"/>
    <n v="395019.3"/>
    <m/>
    <n v="2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53"/>
  </r>
  <r>
    <x v="50"/>
    <s v="LOTE 2"/>
    <x v="1"/>
    <x v="41"/>
    <x v="1"/>
    <x v="0"/>
    <s v="VEREDA EL PALMAR"/>
    <n v="53081115519"/>
    <s v="SALON ALTO DEL BARRO EL PALMAR"/>
    <n v="1"/>
    <n v="15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22789575"/>
    <n v="0.02"/>
    <n v="455791.5"/>
    <m/>
    <n v="3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O ADICIONAL POR ALIMENTACION"/>
    <b v="1"/>
    <n v="0"/>
    <b v="1"/>
    <n v="0"/>
    <x v="1"/>
    <n v="1953"/>
  </r>
  <r>
    <x v="50"/>
    <s v="LOTE 2"/>
    <x v="1"/>
    <x v="41"/>
    <x v="1"/>
    <x v="0"/>
    <s v="VEREDA MERCEDES ABREGO"/>
    <n v="53081136388"/>
    <s v="LA ESCUELA MERCEDES ABREGO"/>
    <n v="1"/>
    <n v="19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28866795"/>
    <n v="0.02"/>
    <n v="577335.9"/>
    <m/>
    <n v="4"/>
    <n v="28866795"/>
    <n v="29444130.899999999"/>
    <s v=" "/>
    <m/>
    <m/>
    <m/>
    <n v="888136"/>
    <n v="718979"/>
    <n v="0"/>
    <n v="27259680"/>
    <m/>
    <n v="28866795"/>
    <s v=" "/>
    <n v="4295596"/>
    <n v="3407460"/>
    <n v="3407460"/>
    <n v="3407460"/>
    <n v="3407460"/>
    <n v="3407460"/>
    <n v="3407460"/>
    <n v="4126439"/>
    <n v="28866795"/>
    <n v="28624792"/>
    <s v="CONTRATO ADICIONAL POR ALIMENTACION"/>
    <b v="1"/>
    <n v="0"/>
    <b v="1"/>
    <n v="0"/>
    <x v="1"/>
    <n v="1953"/>
  </r>
  <r>
    <x v="50"/>
    <s v="LOTE 2"/>
    <x v="1"/>
    <x v="41"/>
    <x v="1"/>
    <x v="0"/>
    <s v="VEREDA SAN ESTEBAN CAPILLA"/>
    <n v="53081136441"/>
    <s v="CAPILLA SAN ESTEBAN 1_3"/>
    <n v="1"/>
    <n v="32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48617760"/>
    <n v="0.02"/>
    <n v="972355.20000000007"/>
    <m/>
    <n v="5"/>
    <n v="48617760"/>
    <n v="49590115.200000003"/>
    <s v=" "/>
    <m/>
    <m/>
    <m/>
    <n v="1495808"/>
    <n v="1210912"/>
    <n v="0"/>
    <n v="45911040"/>
    <m/>
    <n v="48617760"/>
    <s v=" "/>
    <n v="7234688"/>
    <n v="5738880"/>
    <n v="5738880"/>
    <n v="5738880"/>
    <n v="5738880"/>
    <n v="5738880"/>
    <n v="5738880"/>
    <n v="6949792"/>
    <n v="48617760"/>
    <n v="48210176"/>
    <s v="CONTRATO ADICIONAL POR ALIMENTACION"/>
    <b v="1"/>
    <n v="0"/>
    <b v="1"/>
    <n v="0"/>
    <x v="1"/>
    <n v="1953"/>
  </r>
  <r>
    <x v="50"/>
    <s v="LOTE 2"/>
    <x v="1"/>
    <x v="41"/>
    <x v="1"/>
    <x v="0"/>
    <s v="VEREDA LOMA DE LOS OCHOA"/>
    <n v="53081136442"/>
    <s v="ACCION COMUNAL LOMA DE LOS OCHOA"/>
    <n v="1"/>
    <n v="12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18231660"/>
    <n v="0.02"/>
    <n v="364633.2"/>
    <m/>
    <n v="6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53"/>
  </r>
  <r>
    <x v="50"/>
    <s v="LOTE 2"/>
    <x v="1"/>
    <x v="41"/>
    <x v="1"/>
    <x v="0"/>
    <s v="VEREDA LA PALMA"/>
    <n v="53081136443"/>
    <s v="ACCION COMUNAL LA PALMA"/>
    <n v="1"/>
    <n v="31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47098455"/>
    <n v="0.02"/>
    <n v="941969.1"/>
    <m/>
    <n v="7"/>
    <n v="47098455"/>
    <n v="48040424.100000001"/>
    <s v=" "/>
    <m/>
    <m/>
    <m/>
    <n v="1449064"/>
    <n v="1173071"/>
    <n v="0"/>
    <n v="44476320"/>
    <m/>
    <n v="47098455"/>
    <s v=" "/>
    <n v="7008604"/>
    <n v="5559540"/>
    <n v="5559540"/>
    <n v="5559540"/>
    <n v="5559540"/>
    <n v="5559540"/>
    <n v="5559540"/>
    <n v="6732611"/>
    <n v="47098455"/>
    <n v="46703608"/>
    <s v="CONTRATO ADICIONAL POR ALIMENTACION"/>
    <b v="1"/>
    <n v="0"/>
    <b v="1"/>
    <n v="0"/>
    <x v="1"/>
    <n v="1953"/>
  </r>
  <r>
    <x v="50"/>
    <s v="LOTE 2"/>
    <x v="1"/>
    <x v="41"/>
    <x v="1"/>
    <x v="0"/>
    <s v="VEREDA SAN DIEGO"/>
    <n v="53081136444"/>
    <s v="ACCION COMUNAL SAN DIEGO"/>
    <n v="1"/>
    <n v="17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25828185"/>
    <n v="0.02"/>
    <n v="516563.7"/>
    <m/>
    <n v="8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53"/>
  </r>
  <r>
    <x v="50"/>
    <s v="LOTE 2"/>
    <x v="1"/>
    <x v="41"/>
    <x v="1"/>
    <x v="0"/>
    <s v="VEREDA MANGA ARRIBA"/>
    <n v="53081136451"/>
    <s v="ACCION COMUNAL MANGA ARRIBA 1_2"/>
    <n v="1"/>
    <n v="17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25828185"/>
    <n v="0.02"/>
    <n v="516563.7"/>
    <m/>
    <n v="9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53"/>
  </r>
  <r>
    <x v="50"/>
    <s v="LOTE 2"/>
    <x v="1"/>
    <x v="41"/>
    <x v="1"/>
    <x v="0"/>
    <s v="VEREDA JAMUNDI"/>
    <n v="53081136454"/>
    <s v="ACCION COMUNAL JAMUNDI 1_3"/>
    <n v="1"/>
    <n v="31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47098455"/>
    <n v="0.02"/>
    <n v="941969.1"/>
    <m/>
    <n v="10"/>
    <n v="47098455"/>
    <n v="48040424.100000001"/>
    <s v=" "/>
    <m/>
    <m/>
    <m/>
    <n v="1449064"/>
    <n v="1173071"/>
    <n v="0"/>
    <n v="44476320"/>
    <m/>
    <n v="47098455"/>
    <s v=" "/>
    <n v="7008604"/>
    <n v="5559540"/>
    <n v="5559540"/>
    <n v="5559540"/>
    <n v="5559540"/>
    <n v="5559540"/>
    <n v="5559540"/>
    <n v="6732611"/>
    <n v="47098455"/>
    <n v="46703608"/>
    <s v="CONTRATO ADICIONAL POR ALIMENTACION"/>
    <b v="1"/>
    <n v="0"/>
    <b v="1"/>
    <n v="0"/>
    <x v="1"/>
    <n v="1953"/>
  </r>
  <r>
    <x v="50"/>
    <s v="LOTE 2"/>
    <x v="1"/>
    <x v="41"/>
    <x v="1"/>
    <x v="0"/>
    <s v="VEREDA JAMUNDI"/>
    <n v="53081136456"/>
    <s v="ACCION COMUNAL EL PARAISO JAMUNDI2"/>
    <n v="1"/>
    <n v="17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25828185"/>
    <n v="0.02"/>
    <n v="516563.7"/>
    <m/>
    <n v="11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53"/>
  </r>
  <r>
    <x v="50"/>
    <s v="LOTE 2"/>
    <x v="1"/>
    <x v="41"/>
    <x v="4"/>
    <x v="0"/>
    <s v="CL 18 CL 07 - 132"/>
    <n v="53081151923"/>
    <s v="MUNDO MAGICO"/>
    <n v="1"/>
    <n v="149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645080898"/>
    <n v="0.02"/>
    <n v="12901617.960000001"/>
    <m/>
    <n v="12"/>
    <n v="645080898"/>
    <n v="657982515.96000004"/>
    <s v=" "/>
    <m/>
    <m/>
    <m/>
    <n v="13133307"/>
    <n v="11181407"/>
    <n v="0"/>
    <n v="620766184"/>
    <m/>
    <n v="645080898"/>
    <s v=" "/>
    <n v="90729080"/>
    <n v="77595773"/>
    <n v="77595773"/>
    <n v="77595773"/>
    <n v="77595773"/>
    <n v="77595773"/>
    <n v="77595773"/>
    <n v="88777180"/>
    <n v="645080898"/>
    <n v="0"/>
    <s v="CONTRATO COSTEADO CON ALIMENTACION"/>
    <b v="1"/>
    <n v="0"/>
    <b v="1"/>
    <n v="0"/>
    <x v="1"/>
    <n v="1953"/>
  </r>
  <r>
    <x v="50"/>
    <s v="LOTE 2"/>
    <x v="1"/>
    <x v="41"/>
    <x v="1"/>
    <x v="0"/>
    <s v="VEREDA SAN ESTEBAN"/>
    <n v="53081152879"/>
    <s v="ACCION COMUNAL SAN ESTEBAN"/>
    <n v="1"/>
    <n v="16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24308880"/>
    <n v="0.02"/>
    <n v="486177.60000000003"/>
    <m/>
    <n v="13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53"/>
  </r>
  <r>
    <x v="50"/>
    <s v="LOTE 2"/>
    <x v="1"/>
    <x v="41"/>
    <x v="1"/>
    <x v="0"/>
    <s v="VEREDA EL SOCORRO"/>
    <n v="53081152880"/>
    <s v="ACCION COMUNAL EL SOCORRO"/>
    <n v="1"/>
    <n v="18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27347490"/>
    <n v="0.02"/>
    <n v="546949.80000000005"/>
    <m/>
    <n v="14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53"/>
  </r>
  <r>
    <x v="50"/>
    <s v="LOTE 2"/>
    <x v="1"/>
    <x v="41"/>
    <x v="1"/>
    <x v="0"/>
    <s v="VEREDA SAN ANDRES"/>
    <n v="53081152882"/>
    <s v="PARQUE VIVO EL SAINETE SAN ANDRES"/>
    <n v="1"/>
    <n v="34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51656370"/>
    <n v="0.02"/>
    <n v="1033127.4"/>
    <m/>
    <n v="15"/>
    <n v="51656370"/>
    <n v="52689497.399999999"/>
    <s v=" "/>
    <m/>
    <m/>
    <m/>
    <n v="1589296"/>
    <n v="1286594"/>
    <n v="0"/>
    <n v="48780480"/>
    <m/>
    <n v="51656370"/>
    <s v=" "/>
    <n v="7686856"/>
    <n v="6097560"/>
    <n v="6097560"/>
    <n v="6097560"/>
    <n v="6097560"/>
    <n v="6097560"/>
    <n v="6097560"/>
    <n v="7384154"/>
    <n v="51656370"/>
    <n v="51223312"/>
    <s v="CONTRATO ADICIONAL POR ALIMENTACION"/>
    <b v="1"/>
    <n v="0"/>
    <b v="1"/>
    <n v="0"/>
    <x v="1"/>
    <n v="1953"/>
  </r>
  <r>
    <x v="50"/>
    <s v="LOTE 2"/>
    <x v="1"/>
    <x v="41"/>
    <x v="1"/>
    <x v="0"/>
    <s v="VEREDA EL TOTUMO"/>
    <n v="53081152883"/>
    <s v="ACCION COMUNAL EL TOTUMO"/>
    <n v="1"/>
    <n v="15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22789575"/>
    <n v="0.02"/>
    <n v="455791.5"/>
    <m/>
    <n v="16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O ADICIONAL POR ALIMENTACION"/>
    <b v="1"/>
    <n v="0"/>
    <b v="1"/>
    <n v="0"/>
    <x v="1"/>
    <n v="1953"/>
  </r>
  <r>
    <x v="50"/>
    <s v="LOTE 2"/>
    <x v="1"/>
    <x v="41"/>
    <x v="1"/>
    <x v="0"/>
    <s v="VEREDA EL BARRO"/>
    <n v="53081152910"/>
    <s v="ESCUELA EL BARRO"/>
    <n v="1"/>
    <n v="32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48617760"/>
    <n v="0.02"/>
    <n v="972355.20000000007"/>
    <m/>
    <n v="17"/>
    <n v="48617760"/>
    <n v="49590115.200000003"/>
    <s v=" "/>
    <m/>
    <m/>
    <m/>
    <n v="1495808"/>
    <n v="1210912"/>
    <n v="0"/>
    <n v="45911040"/>
    <m/>
    <n v="48617760"/>
    <s v=" "/>
    <n v="7234688"/>
    <n v="5738880"/>
    <n v="5738880"/>
    <n v="5738880"/>
    <n v="5738880"/>
    <n v="5738880"/>
    <n v="5738880"/>
    <n v="6949792"/>
    <n v="48617760"/>
    <n v="48210176"/>
    <s v="CONTRATO ADICIONAL POR ALIMENTACION"/>
    <b v="1"/>
    <n v="0"/>
    <b v="1"/>
    <n v="0"/>
    <x v="1"/>
    <n v="1953"/>
  </r>
  <r>
    <x v="50"/>
    <s v="LOTE 2"/>
    <x v="1"/>
    <x v="41"/>
    <x v="1"/>
    <x v="0"/>
    <s v="VEREDA EL YARUMO, SECTOR LA ESCUELA"/>
    <n v="53081155786"/>
    <s v="RETOÑOS DE AMOR "/>
    <n v="1"/>
    <n v="44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66849420"/>
    <n v="0.02"/>
    <n v="1336988.4000000001"/>
    <m/>
    <n v="18"/>
    <n v="66849420"/>
    <n v="68186408.400000006"/>
    <s v=" "/>
    <m/>
    <m/>
    <m/>
    <n v="2056736"/>
    <n v="1665004"/>
    <n v="0"/>
    <n v="63127680"/>
    <m/>
    <n v="66849420"/>
    <s v=" "/>
    <n v="9947696"/>
    <n v="7890960"/>
    <n v="7890960"/>
    <n v="7890960"/>
    <n v="7890960"/>
    <n v="7890960"/>
    <n v="7890960"/>
    <n v="9555964"/>
    <n v="66849420"/>
    <n v="66288992"/>
    <s v="CONTRATO ADICIONAL POR ALIMENTACION"/>
    <b v="1"/>
    <n v="0"/>
    <b v="1"/>
    <n v="0"/>
    <x v="1"/>
    <n v="1953"/>
  </r>
  <r>
    <x v="50"/>
    <s v="LOTE 2"/>
    <x v="1"/>
    <x v="41"/>
    <x v="1"/>
    <x v="0"/>
    <s v="VEREDA LA MESETA"/>
    <n v="53081155787"/>
    <s v="DULCES AVENTURAS"/>
    <n v="1"/>
    <n v="49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74445945"/>
    <n v="0.02"/>
    <n v="1488918.9000000001"/>
    <m/>
    <n v="19"/>
    <n v="74445945"/>
    <n v="75934863.900000006"/>
    <s v=" "/>
    <m/>
    <m/>
    <m/>
    <n v="2290456"/>
    <n v="1854209"/>
    <n v="0"/>
    <n v="70301280"/>
    <m/>
    <n v="74445945"/>
    <s v=" "/>
    <n v="11078116"/>
    <n v="8787660"/>
    <n v="8787660"/>
    <n v="8787660"/>
    <n v="8787660"/>
    <n v="8787660"/>
    <n v="8787660"/>
    <n v="10641869"/>
    <n v="74445945"/>
    <n v="73821832"/>
    <s v="CONTRATO ADICIONAL POR ALIMENTACION"/>
    <b v="1"/>
    <n v="0"/>
    <b v="1"/>
    <n v="0"/>
    <x v="1"/>
    <n v="1953"/>
  </r>
  <r>
    <x v="50"/>
    <s v="LOTE 2"/>
    <x v="1"/>
    <x v="41"/>
    <x v="4"/>
    <x v="0"/>
    <s v="KR 16 9 12 SANTA ANA"/>
    <n v="530800023722"/>
    <s v="CASITA ENCANTADA"/>
    <n v="1"/>
    <n v="70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303058140"/>
    <n v="0.02"/>
    <n v="6061162.7999999998"/>
    <m/>
    <n v="20"/>
    <n v="303058140"/>
    <n v="309119302.80000001"/>
    <s v=" "/>
    <m/>
    <m/>
    <m/>
    <n v="6170010"/>
    <n v="5253010"/>
    <n v="0"/>
    <n v="291635120"/>
    <m/>
    <n v="303058140"/>
    <s v=" "/>
    <n v="42624400"/>
    <n v="36454390"/>
    <n v="36454390"/>
    <n v="36454390"/>
    <n v="36454390"/>
    <n v="36454390"/>
    <n v="36454390"/>
    <n v="41707400"/>
    <n v="303058140"/>
    <n v="0"/>
    <s v="CONTRATO COSTEADO CON ALIMENTACION"/>
    <b v="1"/>
    <n v="0"/>
    <b v="1"/>
    <n v="0"/>
    <x v="1"/>
    <n v="1953"/>
  </r>
  <r>
    <x v="50"/>
    <s v="LOTE 2"/>
    <x v="1"/>
    <x v="41"/>
    <x v="1"/>
    <x v="0"/>
    <s v="VEREDA ENCENILLOS"/>
    <n v="530800084957"/>
    <s v="ACCION COMUNAL ENCENILLOS 1_2"/>
    <n v="1"/>
    <n v="37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56214285"/>
    <n v="0.02"/>
    <n v="1124285.7"/>
    <m/>
    <n v="21"/>
    <n v="56214285"/>
    <n v="57338570.700000003"/>
    <s v=" "/>
    <m/>
    <m/>
    <m/>
    <n v="1729528"/>
    <n v="1400117"/>
    <n v="0"/>
    <n v="53084640"/>
    <m/>
    <n v="56214285"/>
    <s v=" "/>
    <n v="8365108"/>
    <n v="6635580"/>
    <n v="6635580"/>
    <n v="6635580"/>
    <n v="6635580"/>
    <n v="6635580"/>
    <n v="6635580"/>
    <n v="8035697"/>
    <n v="56214285"/>
    <n v="55743016"/>
    <s v="CONTRATO ADICIONAL POR ALIMENTACION"/>
    <b v="1"/>
    <n v="0"/>
    <b v="1"/>
    <n v="0"/>
    <x v="1"/>
    <n v="1953"/>
  </r>
  <r>
    <x v="50"/>
    <s v="LOTE 2"/>
    <x v="1"/>
    <x v="41"/>
    <x v="2"/>
    <x v="0"/>
    <s v="VEREDA LA PALMA, SECTOR LA CALLE"/>
    <n v="530800122015"/>
    <s v="SECTOR LA CALLE"/>
    <n v="1"/>
    <n v="51"/>
    <m/>
    <n v="1953"/>
    <s v="ARTÍCULO 34 CONTRATACIÓN CON EL REGISTRO ÚNICO DE OFERENTES"/>
    <m/>
    <m/>
    <x v="0"/>
    <x v="0"/>
    <x v="1"/>
    <x v="1"/>
    <n v="229117"/>
    <n v="15211"/>
    <n v="86025"/>
    <s v=" "/>
    <s v=" "/>
    <m/>
    <n v="213631350"/>
    <n v="0.02"/>
    <n v="4272627"/>
    <m/>
    <n v="22"/>
    <n v="213631350"/>
    <n v="217903977"/>
    <s v=" "/>
    <m/>
    <m/>
    <m/>
    <n v="4495293"/>
    <n v="3827193"/>
    <n v="0"/>
    <n v="205308864"/>
    <m/>
    <n v="213631350"/>
    <s v=" "/>
    <n v="30158901"/>
    <n v="25663608"/>
    <n v="25663608"/>
    <n v="25663608"/>
    <n v="25663608"/>
    <n v="25663608"/>
    <n v="25663608"/>
    <n v="29490801"/>
    <n v="213631350"/>
    <n v="0"/>
    <s v="CONTRATO COSTEADO CON ALIMENTACION"/>
    <b v="1"/>
    <n v="0"/>
    <b v="1"/>
    <n v="0"/>
    <x v="1"/>
    <n v="1953"/>
  </r>
  <r>
    <x v="51"/>
    <s v="LOTE 2"/>
    <x v="12"/>
    <x v="42"/>
    <x v="5"/>
    <x v="0"/>
    <s v="EL EDEN"/>
    <n v="53131136709"/>
    <s v="CER EL EDEN SEDE PRINCIPAL"/>
    <n v="1"/>
    <n v="50"/>
    <m/>
    <n v="1954"/>
    <s v="ARTÍCULO 34 CONTRATACIÓN CON EL REGISTRO ÚNICO DE OFERENTES"/>
    <m/>
    <m/>
    <x v="0"/>
    <x v="0"/>
    <x v="2"/>
    <x v="2"/>
    <n v="229118"/>
    <n v="15202"/>
    <n v="91825"/>
    <n v="2"/>
    <n v="210"/>
    <m/>
    <n v="109009650"/>
    <n v="0.02"/>
    <n v="2180193"/>
    <m/>
    <n v="1"/>
    <n v="109009650"/>
    <n v="111189843"/>
    <n v="779225650"/>
    <n v="15584513"/>
    <n v="794810163"/>
    <n v="547.40122936424302"/>
    <n v="2468800"/>
    <n v="2051450"/>
    <n v="1455000"/>
    <n v="103034400"/>
    <m/>
    <n v="109009650"/>
    <n v="779225650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54"/>
  </r>
  <r>
    <x v="51"/>
    <s v="LOTE 2"/>
    <x v="12"/>
    <x v="42"/>
    <x v="2"/>
    <x v="0"/>
    <s v="KR 21 A 24 01  SECTOR ASUNCION"/>
    <n v="531300026385"/>
    <s v="FUENTECITAS DEL SABER"/>
    <n v="1"/>
    <n v="160"/>
    <m/>
    <n v="1954"/>
    <s v="ARTÍCULO 34 CONTRATACIÓN CON EL REGISTRO ÚNICO DE OFERENTES"/>
    <m/>
    <m/>
    <x v="0"/>
    <x v="0"/>
    <x v="2"/>
    <x v="2"/>
    <n v="229118"/>
    <n v="15202"/>
    <n v="91825"/>
    <s v=" "/>
    <s v=" "/>
    <m/>
    <n v="670216000"/>
    <n v="0.02"/>
    <n v="13404320"/>
    <m/>
    <n v="2"/>
    <n v="670216000"/>
    <n v="683620320"/>
    <s v=" "/>
    <m/>
    <m/>
    <m/>
    <n v="14102880"/>
    <n v="12006880"/>
    <n v="0"/>
    <n v="644106240"/>
    <m/>
    <n v="670216000"/>
    <s v=" "/>
    <n v="94616160"/>
    <n v="80513280"/>
    <n v="80513280"/>
    <n v="80513280"/>
    <n v="80513280"/>
    <n v="80513280"/>
    <n v="80513280"/>
    <n v="92520160"/>
    <n v="670216000"/>
    <n v="0"/>
    <s v="CONTRATO COSTEADO CON ALIMENTACION"/>
    <b v="1"/>
    <n v="0"/>
    <b v="1"/>
    <n v="0"/>
    <x v="1"/>
    <n v="1954"/>
  </r>
  <r>
    <x v="52"/>
    <s v="LOTE 2"/>
    <x v="5"/>
    <x v="43"/>
    <x v="1"/>
    <x v="0"/>
    <s v="VEREDA BELLAVISTA"/>
    <n v="53181115673"/>
    <s v="MIS PEQUEÑINES"/>
    <n v="1"/>
    <n v="50"/>
    <m/>
    <n v="1956"/>
    <s v="ARTÍCULO 34 CONTRATACIÓN CON EL REGISTRO ÚNICO DE OFERENTES"/>
    <m/>
    <m/>
    <x v="0"/>
    <x v="0"/>
    <x v="24"/>
    <x v="23"/>
    <n v="229119"/>
    <n v="15225"/>
    <n v="83625"/>
    <n v="8"/>
    <n v="471"/>
    <m/>
    <n v="75965250"/>
    <n v="0.02"/>
    <n v="1519305"/>
    <m/>
    <n v="1"/>
    <n v="75965250"/>
    <n v="77484555"/>
    <n v="1201733778"/>
    <n v="24034676"/>
    <n v="1225768454"/>
    <n v="844.21059220231825"/>
    <n v="2337200"/>
    <n v="1892050"/>
    <n v="0"/>
    <n v="71736000"/>
    <m/>
    <n v="75965250"/>
    <n v="1201733778"/>
    <n v="11304200"/>
    <n v="8967000"/>
    <n v="8967000"/>
    <n v="8967000"/>
    <n v="8967000"/>
    <n v="8967000"/>
    <n v="8967000"/>
    <n v="10859050"/>
    <n v="75965250"/>
    <n v="75328400"/>
    <s v="CONTRATACIÓN ALIMENTOS - DPI"/>
    <b v="1"/>
    <n v="0"/>
    <b v="1"/>
    <n v="0"/>
    <x v="1"/>
    <m/>
  </r>
  <r>
    <x v="52"/>
    <s v="LOTE 2"/>
    <x v="5"/>
    <x v="43"/>
    <x v="1"/>
    <x v="0"/>
    <s v="VEREDA TOLDAS"/>
    <n v="53181115674"/>
    <s v="CARRUSEL DE LA ALEGRÍA"/>
    <n v="1"/>
    <n v="50"/>
    <m/>
    <n v="1956"/>
    <s v="ARTÍCULO 34 CONTRATACIÓN CON EL REGISTRO ÚNICO DE OFERENTES"/>
    <m/>
    <m/>
    <x v="0"/>
    <x v="0"/>
    <x v="24"/>
    <x v="23"/>
    <n v="229119"/>
    <n v="15225"/>
    <n v="83625"/>
    <s v=" "/>
    <s v=" "/>
    <m/>
    <n v="75965250"/>
    <n v="0.02"/>
    <n v="1519305"/>
    <m/>
    <n v="2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ACIÓN ALIMENTOS - DPI"/>
    <b v="1"/>
    <n v="0"/>
    <b v="1"/>
    <n v="0"/>
    <x v="1"/>
    <m/>
  </r>
  <r>
    <x v="52"/>
    <s v="LOTE 2"/>
    <x v="5"/>
    <x v="43"/>
    <x v="1"/>
    <x v="0"/>
    <s v="VEREDA ALTO DE LA VIRGEN"/>
    <n v="53181134797"/>
    <s v="GRANDES SOÑADORES"/>
    <n v="1"/>
    <n v="50"/>
    <m/>
    <n v="1956"/>
    <s v="ARTÍCULO 34 CONTRATACIÓN CON EL REGISTRO ÚNICO DE OFERENTES"/>
    <m/>
    <m/>
    <x v="0"/>
    <x v="0"/>
    <x v="24"/>
    <x v="23"/>
    <n v="229119"/>
    <n v="15225"/>
    <n v="83625"/>
    <s v=" "/>
    <s v=" "/>
    <m/>
    <n v="75965250"/>
    <n v="0.02"/>
    <n v="1519305"/>
    <m/>
    <n v="3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ACIÓN ALIMENTOS - DPI"/>
    <b v="1"/>
    <n v="0"/>
    <b v="1"/>
    <n v="0"/>
    <x v="1"/>
    <m/>
  </r>
  <r>
    <x v="52"/>
    <s v="LOTE 2"/>
    <x v="5"/>
    <x v="43"/>
    <x v="1"/>
    <x v="0"/>
    <s v="VEREDA EL SANGO"/>
    <n v="53181134805"/>
    <s v="PEQUEÑOS GIGANTES"/>
    <n v="1"/>
    <n v="42"/>
    <m/>
    <n v="1956"/>
    <s v="ARTÍCULO 34 CONTRATACIÓN CON EL REGISTRO ÚNICO DE OFERENTES"/>
    <m/>
    <m/>
    <x v="0"/>
    <x v="0"/>
    <x v="24"/>
    <x v="23"/>
    <n v="229119"/>
    <n v="15225"/>
    <n v="83625"/>
    <s v=" "/>
    <s v=" "/>
    <m/>
    <n v="63810810"/>
    <n v="0.02"/>
    <n v="1276216.2"/>
    <m/>
    <n v="4"/>
    <n v="63810810"/>
    <n v="65087026.200000003"/>
    <s v=" "/>
    <m/>
    <m/>
    <m/>
    <n v="1963248"/>
    <n v="1589322"/>
    <n v="0"/>
    <n v="60258240"/>
    <m/>
    <n v="63810810"/>
    <s v=" "/>
    <n v="9495528"/>
    <n v="7532280"/>
    <n v="7532280"/>
    <n v="7532280"/>
    <n v="7532280"/>
    <n v="7532280"/>
    <n v="7532280"/>
    <n v="9121602"/>
    <n v="63810810"/>
    <n v="63275856"/>
    <s v="CONTRATACIÓN ALIMENTOS - DPI"/>
    <b v="1"/>
    <n v="0"/>
    <b v="1"/>
    <n v="0"/>
    <x v="1"/>
    <m/>
  </r>
  <r>
    <x v="52"/>
    <s v="LOTE 2"/>
    <x v="5"/>
    <x v="43"/>
    <x v="1"/>
    <x v="0"/>
    <s v="VEREDA LA HONDA"/>
    <n v="53181134815"/>
    <s v="PEQUEÑOS EXPLORADORES"/>
    <n v="1"/>
    <n v="50"/>
    <m/>
    <n v="1956"/>
    <s v="ARTÍCULO 34 CONTRATACIÓN CON EL REGISTRO ÚNICO DE OFERENTES"/>
    <m/>
    <m/>
    <x v="0"/>
    <x v="0"/>
    <x v="24"/>
    <x v="23"/>
    <n v="229119"/>
    <n v="15225"/>
    <n v="83625"/>
    <s v=" "/>
    <s v=" "/>
    <m/>
    <n v="75965250"/>
    <n v="0.02"/>
    <n v="1519305"/>
    <m/>
    <n v="5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ACIÓN ALIMENTOS - DPI"/>
    <b v="1"/>
    <n v="0"/>
    <b v="1"/>
    <n v="0"/>
    <x v="1"/>
    <m/>
  </r>
  <r>
    <x v="52"/>
    <s v="LOTE 2"/>
    <x v="5"/>
    <x v="43"/>
    <x v="1"/>
    <x v="0"/>
    <s v="VEREDA SAN JOSE"/>
    <n v="53181148647"/>
    <s v="PEQUEÑOS GIRASOLES"/>
    <n v="1"/>
    <n v="50"/>
    <m/>
    <n v="1956"/>
    <s v="ARTÍCULO 34 CONTRATACIÓN CON EL REGISTRO ÚNICO DE OFERENTES"/>
    <m/>
    <m/>
    <x v="0"/>
    <x v="0"/>
    <x v="24"/>
    <x v="23"/>
    <n v="229119"/>
    <n v="15225"/>
    <n v="83625"/>
    <s v=" "/>
    <s v=" "/>
    <m/>
    <n v="75965250"/>
    <n v="0.02"/>
    <n v="1519305"/>
    <m/>
    <n v="6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ACIÓN ALIMENTOS - DPI"/>
    <b v="1"/>
    <n v="0"/>
    <b v="1"/>
    <n v="0"/>
    <x v="1"/>
    <m/>
  </r>
  <r>
    <x v="52"/>
    <s v="LOTE 2"/>
    <x v="5"/>
    <x v="43"/>
    <x v="2"/>
    <x v="0"/>
    <s v="CL 56 52 74 A 52 172"/>
    <n v="531800099372"/>
    <s v="CDI CARRUSEL DE LOS SUEÑOS 1"/>
    <n v="1"/>
    <n v="120"/>
    <m/>
    <n v="1956"/>
    <s v="ARTÍCULO 34 CONTRATACIÓN CON EL REGISTRO ÚNICO DE OFERENTES"/>
    <m/>
    <m/>
    <x v="0"/>
    <x v="0"/>
    <x v="24"/>
    <x v="23"/>
    <n v="229119"/>
    <n v="15225"/>
    <n v="83625"/>
    <s v=" "/>
    <s v=" "/>
    <m/>
    <n v="502662000"/>
    <n v="0.02"/>
    <n v="10053240"/>
    <m/>
    <n v="7"/>
    <n v="502662000"/>
    <n v="512715240"/>
    <s v=" "/>
    <m/>
    <m/>
    <m/>
    <n v="10577160"/>
    <n v="9005160"/>
    <n v="0"/>
    <n v="483079680"/>
    <m/>
    <n v="502662000"/>
    <s v=" "/>
    <n v="70962120"/>
    <n v="60384960"/>
    <n v="60384960"/>
    <n v="60384960"/>
    <n v="60384960"/>
    <n v="60384960"/>
    <n v="60384960"/>
    <n v="69390120"/>
    <n v="502662000"/>
    <n v="0"/>
    <s v="CONTRATO COSTEADO CON ALIMENTACION"/>
    <b v="1"/>
    <n v="0"/>
    <b v="1"/>
    <n v="0"/>
    <x v="1"/>
    <m/>
  </r>
  <r>
    <x v="52"/>
    <s v="LOTE 2"/>
    <x v="5"/>
    <x v="43"/>
    <x v="4"/>
    <x v="0"/>
    <s v="CL 55 50 62  SALON ASOCOMUNAL"/>
    <n v="531800113007"/>
    <s v="CDI CARRUSEL DE LOS SUEÑOS 2"/>
    <n v="1"/>
    <n v="59"/>
    <m/>
    <n v="1956"/>
    <s v="ARTÍCULO 34 CONTRATACIÓN CON EL REGISTRO ÚNICO DE OFERENTES"/>
    <m/>
    <m/>
    <x v="0"/>
    <x v="0"/>
    <x v="24"/>
    <x v="23"/>
    <n v="229119"/>
    <n v="15225"/>
    <n v="83625"/>
    <s v=" "/>
    <s v=" "/>
    <m/>
    <n v="255434718"/>
    <n v="0.02"/>
    <n v="5108694.3600000003"/>
    <m/>
    <n v="8"/>
    <n v="255434718"/>
    <n v="260543412.36000001"/>
    <s v=" "/>
    <m/>
    <m/>
    <m/>
    <n v="5200437"/>
    <n v="4427537"/>
    <n v="0"/>
    <n v="245806744"/>
    <m/>
    <n v="255434718"/>
    <s v=" "/>
    <n v="35926280"/>
    <n v="30725843"/>
    <n v="30725843"/>
    <n v="30725843"/>
    <n v="30725843"/>
    <n v="30725843"/>
    <n v="30725843"/>
    <n v="35153380"/>
    <n v="255434718"/>
    <n v="0"/>
    <s v="CONTRATO COSTEADO CON ALIMENTACION"/>
    <b v="1"/>
    <n v="0"/>
    <b v="1"/>
    <n v="0"/>
    <x v="1"/>
    <m/>
  </r>
  <r>
    <x v="53"/>
    <s v="LOTE 2"/>
    <x v="14"/>
    <x v="44"/>
    <x v="5"/>
    <x v="0"/>
    <s v="CORREGIMIENTO SANTA RITA"/>
    <n v="53611115773"/>
    <s v="LUDOTECA SANTA RITA"/>
    <n v="1"/>
    <n v="48"/>
    <m/>
    <n v="1959"/>
    <s v="ARTÍCULO 34 CONTRATACIÓN CON EL REGISTRO ÚNICO DE OFERENTES"/>
    <m/>
    <m/>
    <x v="0"/>
    <x v="0"/>
    <x v="5"/>
    <x v="5"/>
    <n v="229120"/>
    <n v="15214"/>
    <n v="86325"/>
    <n v="34"/>
    <n v="704"/>
    <m/>
    <n v="104649264"/>
    <n v="0.02"/>
    <n v="2092985.28"/>
    <m/>
    <n v="1"/>
    <n v="104649264"/>
    <n v="106742249.28"/>
    <n v="1534855872"/>
    <n v="30697117"/>
    <n v="1565552989"/>
    <n v="1078.2268155953636"/>
    <n v="2370048"/>
    <n v="1969392"/>
    <n v="1396800"/>
    <n v="98913024"/>
    <m/>
    <n v="104649264"/>
    <n v="1534855872"/>
    <n v="16130976"/>
    <n v="12364128"/>
    <n v="12364128"/>
    <n v="12364128"/>
    <n v="12364128"/>
    <n v="12364128"/>
    <n v="12364128"/>
    <n v="14333520"/>
    <n v="104649264"/>
    <n v="69267072"/>
    <s v="CONTRATO ADICIONAL POR ALIMENTACION"/>
    <b v="1"/>
    <n v="0"/>
    <b v="1"/>
    <n v="0"/>
    <x v="1"/>
    <n v="1959"/>
  </r>
  <r>
    <x v="53"/>
    <s v="LOTE 2"/>
    <x v="14"/>
    <x v="44"/>
    <x v="5"/>
    <x v="0"/>
    <s v="VEREDA LA GEORGIA"/>
    <n v="53611115777"/>
    <s v="C COMUNAL GEORGIA"/>
    <n v="1"/>
    <n v="17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37063281"/>
    <n v="0.02"/>
    <n v="741265.62"/>
    <m/>
    <n v="2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59"/>
  </r>
  <r>
    <x v="53"/>
    <s v="LOTE 2"/>
    <x v="14"/>
    <x v="44"/>
    <x v="5"/>
    <x v="0"/>
    <s v="VEREDA PALOBLANCO"/>
    <n v="53611115781"/>
    <s v="IER PALOBLANCO"/>
    <n v="1"/>
    <n v="13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28342509"/>
    <n v="0.02"/>
    <n v="566850.18000000005"/>
    <m/>
    <n v="3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59"/>
  </r>
  <r>
    <x v="53"/>
    <s v="LOTE 2"/>
    <x v="14"/>
    <x v="44"/>
    <x v="5"/>
    <x v="0"/>
    <s v="VEREDA MONTE ALTO"/>
    <n v="53611115784"/>
    <s v="CASA DE FAMILIA MONTE ALTO"/>
    <n v="1"/>
    <n v="6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13081158"/>
    <n v="0.02"/>
    <n v="261623.16"/>
    <m/>
    <n v="4"/>
    <n v="13081158"/>
    <n v="13342781.16"/>
    <s v=" "/>
    <m/>
    <m/>
    <m/>
    <n v="296256"/>
    <n v="246174"/>
    <n v="174600"/>
    <n v="12364128"/>
    <m/>
    <n v="13081158"/>
    <s v=" "/>
    <n v="2016372"/>
    <n v="1545516"/>
    <n v="1545516"/>
    <n v="1545516"/>
    <n v="1545516"/>
    <n v="1545516"/>
    <n v="1545516"/>
    <n v="1791690"/>
    <n v="13081158"/>
    <n v="8658384"/>
    <s v="CONTRATO ADICIONAL POR ALIMENTACION"/>
    <b v="1"/>
    <n v="0"/>
    <b v="1"/>
    <n v="0"/>
    <x v="1"/>
    <n v="1959"/>
  </r>
  <r>
    <x v="53"/>
    <s v="LOTE 2"/>
    <x v="14"/>
    <x v="44"/>
    <x v="5"/>
    <x v="0"/>
    <s v="VEREDA SANTA LUCIA"/>
    <n v="53611115785"/>
    <s v="C COMUNAL SANTA LUCIA"/>
    <n v="1"/>
    <n v="17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37063281"/>
    <n v="0.02"/>
    <n v="741265.62"/>
    <m/>
    <n v="5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59"/>
  </r>
  <r>
    <x v="53"/>
    <s v="LOTE 2"/>
    <x v="14"/>
    <x v="44"/>
    <x v="5"/>
    <x v="0"/>
    <s v="VEREDA QUEBRADA DEL MEDIO"/>
    <n v="53611115790"/>
    <s v="SALON PARROQUIAL QUEBRADA DEL MEDIO"/>
    <n v="1"/>
    <n v="14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30522702"/>
    <n v="0.02"/>
    <n v="610454.04"/>
    <m/>
    <n v="6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59"/>
  </r>
  <r>
    <x v="53"/>
    <s v="LOTE 2"/>
    <x v="14"/>
    <x v="44"/>
    <x v="5"/>
    <x v="0"/>
    <s v="CORREGIMIENTO LA GRANJA"/>
    <n v="53611136640"/>
    <s v="LUDOTECA LA GRANJA"/>
    <n v="1"/>
    <n v="45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98108685"/>
    <n v="0.02"/>
    <n v="1962173.7"/>
    <m/>
    <n v="7"/>
    <n v="98108685"/>
    <n v="100070858.7"/>
    <s v=" "/>
    <m/>
    <m/>
    <m/>
    <n v="2221920"/>
    <n v="1846305"/>
    <n v="1309500"/>
    <n v="92730960"/>
    <m/>
    <n v="98108685"/>
    <s v=" "/>
    <n v="15122790"/>
    <n v="11591370"/>
    <n v="11591370"/>
    <n v="11591370"/>
    <n v="11591370"/>
    <n v="11591370"/>
    <n v="11591370"/>
    <n v="13437675"/>
    <n v="98108685"/>
    <n v="64937880"/>
    <s v="CONTRATO ADICIONAL POR ALIMENTACION"/>
    <b v="1"/>
    <n v="0"/>
    <b v="1"/>
    <n v="0"/>
    <x v="1"/>
    <n v="1959"/>
  </r>
  <r>
    <x v="53"/>
    <s v="LOTE 2"/>
    <x v="14"/>
    <x v="44"/>
    <x v="5"/>
    <x v="0"/>
    <s v="VEREDA GUACHARAQUERO"/>
    <n v="53611136646"/>
    <s v="CER VEINTE DE JULIO GUACHARAQUERO"/>
    <n v="1"/>
    <n v="19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41423667"/>
    <n v="0.02"/>
    <n v="828473.34"/>
    <m/>
    <n v="8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1959"/>
  </r>
  <r>
    <x v="53"/>
    <s v="LOTE 2"/>
    <x v="14"/>
    <x v="44"/>
    <x v="5"/>
    <x v="0"/>
    <s v="VEREDA LA HONDA"/>
    <n v="53611136655"/>
    <s v="C COMUNAL LA HONDA_ITUANGO"/>
    <n v="1"/>
    <n v="16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34883088"/>
    <n v="0.02"/>
    <n v="697661.76"/>
    <m/>
    <n v="9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59"/>
  </r>
  <r>
    <x v="53"/>
    <s v="LOTE 2"/>
    <x v="14"/>
    <x v="44"/>
    <x v="5"/>
    <x v="0"/>
    <s v="VEREDA MURRAPAL"/>
    <n v="53611136674"/>
    <s v="CASA DE FAMILIA MURRAPAL"/>
    <n v="1"/>
    <n v="11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23982123"/>
    <n v="0.02"/>
    <n v="479642.46"/>
    <m/>
    <n v="10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59"/>
  </r>
  <r>
    <x v="53"/>
    <s v="LOTE 2"/>
    <x v="14"/>
    <x v="44"/>
    <x v="5"/>
    <x v="0"/>
    <s v="VEREDA EL RIO"/>
    <n v="53611136723"/>
    <s v="CER EL RIO"/>
    <n v="1"/>
    <n v="17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37063281"/>
    <n v="0.02"/>
    <n v="741265.62"/>
    <m/>
    <n v="11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59"/>
  </r>
  <r>
    <x v="53"/>
    <s v="LOTE 2"/>
    <x v="14"/>
    <x v="44"/>
    <x v="5"/>
    <x v="0"/>
    <s v="LAS BRISAS"/>
    <n v="53611136726"/>
    <s v="CASA DE FAMILIA LAS BRISAS"/>
    <n v="1"/>
    <n v="9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19621737"/>
    <n v="0.02"/>
    <n v="392434.74"/>
    <m/>
    <n v="12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O ADICIONAL POR ALIMENTACION"/>
    <b v="1"/>
    <n v="0"/>
    <b v="1"/>
    <n v="0"/>
    <x v="1"/>
    <n v="1959"/>
  </r>
  <r>
    <x v="53"/>
    <s v="LOTE 2"/>
    <x v="14"/>
    <x v="44"/>
    <x v="5"/>
    <x v="0"/>
    <s v="VEREDA EL BOSQUE"/>
    <n v="53611136735"/>
    <s v="CASA DE FAMILIA EL BOSQUES"/>
    <n v="1"/>
    <n v="22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47964246"/>
    <n v="0.02"/>
    <n v="959284.92"/>
    <m/>
    <n v="13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1"/>
    <n v="1959"/>
  </r>
  <r>
    <x v="53"/>
    <s v="LOTE 2"/>
    <x v="14"/>
    <x v="44"/>
    <x v="5"/>
    <x v="0"/>
    <s v="CAMELIA BAJA"/>
    <n v="53611136740"/>
    <s v="CER LA CAMELIA BAJA"/>
    <n v="1"/>
    <n v="8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17441544"/>
    <n v="0.02"/>
    <n v="348830.88"/>
    <m/>
    <n v="14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O ADICIONAL POR ALIMENTACION"/>
    <b v="1"/>
    <n v="0"/>
    <b v="1"/>
    <n v="0"/>
    <x v="1"/>
    <n v="1959"/>
  </r>
  <r>
    <x v="53"/>
    <s v="LOTE 2"/>
    <x v="14"/>
    <x v="44"/>
    <x v="5"/>
    <x v="0"/>
    <s v="VEREDA PIOX"/>
    <n v="53611136744"/>
    <s v="IER PIOX"/>
    <n v="1"/>
    <n v="11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23982123"/>
    <n v="0.02"/>
    <n v="479642.46"/>
    <m/>
    <n v="15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59"/>
  </r>
  <r>
    <x v="53"/>
    <s v="LOTE 2"/>
    <x v="14"/>
    <x v="44"/>
    <x v="5"/>
    <x v="0"/>
    <s v="LA FLORIDA"/>
    <n v="53611136762"/>
    <s v="CER LA FLORIDA"/>
    <n v="1"/>
    <n v="41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89387913"/>
    <n v="0.02"/>
    <n v="1787758.26"/>
    <m/>
    <n v="16"/>
    <n v="89387913"/>
    <n v="91175671.260000005"/>
    <s v=" "/>
    <m/>
    <m/>
    <m/>
    <n v="2024416"/>
    <n v="1682189"/>
    <n v="1193100"/>
    <n v="84488208"/>
    <m/>
    <n v="89387913"/>
    <s v=" "/>
    <n v="13778542"/>
    <n v="10561026"/>
    <n v="10561026"/>
    <n v="10561026"/>
    <n v="10561026"/>
    <n v="10561026"/>
    <n v="10561026"/>
    <n v="12243215"/>
    <n v="89387913"/>
    <n v="59165624"/>
    <s v="CONTRATO ADICIONAL POR ALIMENTACION"/>
    <b v="1"/>
    <n v="0"/>
    <b v="1"/>
    <n v="0"/>
    <x v="1"/>
    <n v="1959"/>
  </r>
  <r>
    <x v="53"/>
    <s v="LOTE 2"/>
    <x v="14"/>
    <x v="44"/>
    <x v="5"/>
    <x v="0"/>
    <s v="VEREDA LAS ARAÑAS"/>
    <n v="53611136971"/>
    <s v="CASA DE FAMILIA LAS ARAÑAS"/>
    <n v="1"/>
    <n v="5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10900965"/>
    <n v="0.02"/>
    <n v="218019.30000000002"/>
    <m/>
    <n v="17"/>
    <n v="10900965"/>
    <n v="11118984.300000001"/>
    <s v=" "/>
    <m/>
    <m/>
    <m/>
    <n v="246880"/>
    <n v="205145"/>
    <n v="145500"/>
    <n v="10303440"/>
    <m/>
    <n v="10900965"/>
    <s v=" "/>
    <n v="1680310"/>
    <n v="1287930"/>
    <n v="1287930"/>
    <n v="1287930"/>
    <n v="1287930"/>
    <n v="1287930"/>
    <n v="1287930"/>
    <n v="1493075"/>
    <n v="10900965"/>
    <n v="7215320"/>
    <s v="CONTRATO ADICIONAL POR ALIMENTACION"/>
    <b v="1"/>
    <n v="0"/>
    <b v="1"/>
    <n v="0"/>
    <x v="1"/>
    <n v="1959"/>
  </r>
  <r>
    <x v="53"/>
    <s v="LOTE 2"/>
    <x v="14"/>
    <x v="44"/>
    <x v="5"/>
    <x v="0"/>
    <s v="EL AMPARO"/>
    <n v="53611136976"/>
    <s v="IER SAN FRANCISCO"/>
    <n v="1"/>
    <n v="11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23982123"/>
    <n v="0.02"/>
    <n v="479642.46"/>
    <m/>
    <n v="18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59"/>
  </r>
  <r>
    <x v="53"/>
    <s v="LOTE 2"/>
    <x v="14"/>
    <x v="44"/>
    <x v="5"/>
    <x v="0"/>
    <s v="VEREDA EL CEDRAL"/>
    <n v="53611136988"/>
    <s v="CER EL CEDRAL"/>
    <n v="1"/>
    <n v="26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56685018"/>
    <n v="0.02"/>
    <n v="1133700.3600000001"/>
    <m/>
    <n v="19"/>
    <n v="56685018"/>
    <n v="57818718.359999999"/>
    <s v=" "/>
    <m/>
    <m/>
    <m/>
    <n v="1283776"/>
    <n v="1066754"/>
    <n v="756600"/>
    <n v="53577888"/>
    <m/>
    <n v="56685018"/>
    <s v=" "/>
    <n v="8737612"/>
    <n v="6697236"/>
    <n v="6697236"/>
    <n v="6697236"/>
    <n v="6697236"/>
    <n v="6697236"/>
    <n v="6697236"/>
    <n v="7763990"/>
    <n v="56685018"/>
    <n v="37519664"/>
    <s v="CONTRATO ADICIONAL POR ALIMENTACION"/>
    <b v="1"/>
    <n v="0"/>
    <b v="1"/>
    <n v="0"/>
    <x v="1"/>
    <n v="1959"/>
  </r>
  <r>
    <x v="53"/>
    <s v="LOTE 2"/>
    <x v="14"/>
    <x v="44"/>
    <x v="5"/>
    <x v="0"/>
    <s v="VEREDA LA MIRANDA"/>
    <n v="53611136992"/>
    <s v="C COMUNAL LA MIRANDA"/>
    <n v="1"/>
    <n v="9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19621737"/>
    <n v="0.02"/>
    <n v="392434.74"/>
    <m/>
    <n v="20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O ADICIONAL POR ALIMENTACION"/>
    <b v="1"/>
    <n v="0"/>
    <b v="1"/>
    <n v="0"/>
    <x v="1"/>
    <n v="1959"/>
  </r>
  <r>
    <x v="53"/>
    <s v="LOTE 2"/>
    <x v="14"/>
    <x v="44"/>
    <x v="5"/>
    <x v="0"/>
    <s v="CORREGIMIENTO SANTA ANA"/>
    <n v="53611136993"/>
    <s v="IER SANTA ANA"/>
    <n v="1"/>
    <n v="11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23982123"/>
    <n v="0.02"/>
    <n v="479642.46"/>
    <m/>
    <n v="21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59"/>
  </r>
  <r>
    <x v="53"/>
    <s v="LOTE 2"/>
    <x v="14"/>
    <x v="44"/>
    <x v="5"/>
    <x v="0"/>
    <s v="CORREGIMIENTO EL ARO CASETA COMUNAL"/>
    <n v="53611137038"/>
    <s v="C COMUNAL EL ARO"/>
    <n v="1"/>
    <n v="8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17441544"/>
    <n v="0.02"/>
    <n v="348830.88"/>
    <m/>
    <n v="22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O ADICIONAL POR ALIMENTACION"/>
    <b v="1"/>
    <n v="0"/>
    <b v="1"/>
    <n v="0"/>
    <x v="1"/>
    <n v="1959"/>
  </r>
  <r>
    <x v="53"/>
    <s v="LOTE 2"/>
    <x v="14"/>
    <x v="44"/>
    <x v="5"/>
    <x v="0"/>
    <s v="CORREGIMIENTO EL ARO"/>
    <n v="53611137040"/>
    <s v="CER SEVILLA"/>
    <n v="1"/>
    <n v="11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23982123"/>
    <n v="0.02"/>
    <n v="479642.46"/>
    <m/>
    <n v="23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59"/>
  </r>
  <r>
    <x v="53"/>
    <s v="LOTE 2"/>
    <x v="14"/>
    <x v="44"/>
    <x v="5"/>
    <x v="0"/>
    <s v="RESGUARDO INDIGENA SAN MATIAS"/>
    <n v="53611137061"/>
    <s v="CENTRO DE SALUD SAN MATIAS"/>
    <n v="1"/>
    <n v="29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63225597"/>
    <n v="0.02"/>
    <n v="1264511.94"/>
    <m/>
    <n v="24"/>
    <n v="63225597"/>
    <n v="64490108.939999998"/>
    <s v=" "/>
    <m/>
    <m/>
    <m/>
    <n v="1431904"/>
    <n v="1189841"/>
    <n v="843900"/>
    <n v="59759952"/>
    <m/>
    <n v="63225597"/>
    <s v=" "/>
    <n v="9745798"/>
    <n v="7469994"/>
    <n v="7469994"/>
    <n v="7469994"/>
    <n v="7469994"/>
    <n v="7469994"/>
    <n v="7469994"/>
    <n v="8659835"/>
    <n v="63225597"/>
    <n v="41848856"/>
    <s v="CONTRATO ADICIONAL POR ALIMENTACION"/>
    <b v="1"/>
    <n v="0"/>
    <b v="1"/>
    <n v="0"/>
    <x v="1"/>
    <n v="1959"/>
  </r>
  <r>
    <x v="53"/>
    <s v="LOTE 2"/>
    <x v="14"/>
    <x v="44"/>
    <x v="5"/>
    <x v="0"/>
    <s v="CL CENTRO A NORTE 16 A 26 ESTE CENTRO"/>
    <n v="53611139344"/>
    <s v="CENTRO DE ESTUDIOS SENA SANTA RITA"/>
    <n v="1"/>
    <n v="39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85027527"/>
    <n v="0.02"/>
    <n v="1700550.54"/>
    <m/>
    <n v="25"/>
    <n v="85027527"/>
    <n v="86728077.540000007"/>
    <s v=" "/>
    <m/>
    <m/>
    <m/>
    <n v="1925664"/>
    <n v="1600131"/>
    <n v="1134900"/>
    <n v="80366832"/>
    <m/>
    <n v="85027527"/>
    <s v=" "/>
    <n v="13106418"/>
    <n v="10045854"/>
    <n v="10045854"/>
    <n v="10045854"/>
    <n v="10045854"/>
    <n v="10045854"/>
    <n v="10045854"/>
    <n v="11645985"/>
    <n v="85027527"/>
    <n v="56279496"/>
    <s v="CONTRATO ADICIONAL POR ALIMENTACION"/>
    <b v="1"/>
    <n v="0"/>
    <b v="1"/>
    <n v="0"/>
    <x v="1"/>
    <n v="1959"/>
  </r>
  <r>
    <x v="53"/>
    <s v="LOTE 2"/>
    <x v="14"/>
    <x v="44"/>
    <x v="5"/>
    <x v="0"/>
    <s v="VEREDA FILADELFIA"/>
    <n v="53611147258"/>
    <s v="CER FILADELFIA"/>
    <n v="1"/>
    <n v="21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45784053"/>
    <n v="0.02"/>
    <n v="915681.06"/>
    <m/>
    <n v="26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O ADICIONAL POR ALIMENTACION"/>
    <b v="1"/>
    <n v="0"/>
    <b v="1"/>
    <n v="0"/>
    <x v="1"/>
    <n v="1959"/>
  </r>
  <r>
    <x v="53"/>
    <s v="LOTE 2"/>
    <x v="14"/>
    <x v="44"/>
    <x v="5"/>
    <x v="0"/>
    <s v="VEREDA SAN LUIS"/>
    <n v="53611148775"/>
    <s v="CASA SAN LUIS EL ARO"/>
    <n v="1"/>
    <n v="6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13081158"/>
    <n v="0.02"/>
    <n v="261623.16"/>
    <m/>
    <n v="27"/>
    <n v="13081158"/>
    <n v="13342781.16"/>
    <s v=" "/>
    <m/>
    <m/>
    <m/>
    <n v="296256"/>
    <n v="246174"/>
    <n v="174600"/>
    <n v="12364128"/>
    <m/>
    <n v="13081158"/>
    <s v=" "/>
    <n v="2016372"/>
    <n v="1545516"/>
    <n v="1545516"/>
    <n v="1545516"/>
    <n v="1545516"/>
    <n v="1545516"/>
    <n v="1545516"/>
    <n v="1791690"/>
    <n v="13081158"/>
    <n v="8658384"/>
    <s v="CONTRATO ADICIONAL POR ALIMENTACION"/>
    <b v="1"/>
    <n v="0"/>
    <b v="1"/>
    <n v="0"/>
    <x v="1"/>
    <n v="1959"/>
  </r>
  <r>
    <x v="53"/>
    <s v="LOTE 2"/>
    <x v="14"/>
    <x v="44"/>
    <x v="5"/>
    <x v="0"/>
    <s v="CALLE ITUANGO CON CARRERA JORDÁN"/>
    <n v="53611148797"/>
    <s v="HOGAR INFANTIL BEBITOS"/>
    <n v="1"/>
    <n v="150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327028950"/>
    <n v="0.02"/>
    <n v="6540579"/>
    <m/>
    <n v="28"/>
    <n v="327028950"/>
    <n v="333569529"/>
    <s v=" "/>
    <m/>
    <m/>
    <m/>
    <n v="7406400"/>
    <n v="6154350"/>
    <n v="4365000"/>
    <n v="309103200"/>
    <m/>
    <n v="327028950"/>
    <s v=" "/>
    <n v="50409300"/>
    <n v="38637900"/>
    <n v="38637900"/>
    <n v="38637900"/>
    <n v="38637900"/>
    <n v="38637900"/>
    <n v="38637900"/>
    <n v="44792250"/>
    <n v="327028950"/>
    <n v="216459600"/>
    <s v="CONTRATO ADICIONAL POR ALIMENTACION"/>
    <b v="1"/>
    <n v="0"/>
    <b v="1"/>
    <n v="0"/>
    <x v="1"/>
    <n v="1959"/>
  </r>
  <r>
    <x v="53"/>
    <s v="LOTE 2"/>
    <x v="14"/>
    <x v="44"/>
    <x v="5"/>
    <x v="0"/>
    <s v="PASCUITA"/>
    <n v="53611150343"/>
    <s v="CER PATRICIO SUCERQUIA"/>
    <n v="1"/>
    <n v="17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37063281"/>
    <n v="0.02"/>
    <n v="741265.62"/>
    <m/>
    <n v="29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59"/>
  </r>
  <r>
    <x v="53"/>
    <s v="LOTE 2"/>
    <x v="14"/>
    <x v="44"/>
    <x v="5"/>
    <x v="0"/>
    <s v="VEREDA EL ZANCUDO"/>
    <n v="53611151330"/>
    <s v="ESTADERO EL ZANCUDO"/>
    <n v="1"/>
    <n v="6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13081158"/>
    <n v="0.02"/>
    <n v="261623.16"/>
    <m/>
    <n v="30"/>
    <n v="13081158"/>
    <n v="13342781.16"/>
    <s v=" "/>
    <m/>
    <m/>
    <m/>
    <n v="296256"/>
    <n v="246174"/>
    <n v="174600"/>
    <n v="12364128"/>
    <m/>
    <n v="13081158"/>
    <s v=" "/>
    <n v="2016372"/>
    <n v="1545516"/>
    <n v="1545516"/>
    <n v="1545516"/>
    <n v="1545516"/>
    <n v="1545516"/>
    <n v="1545516"/>
    <n v="1791690"/>
    <n v="13081158"/>
    <n v="8658384"/>
    <s v="CONTRATO ADICIONAL POR ALIMENTACION"/>
    <b v="1"/>
    <n v="0"/>
    <b v="1"/>
    <n v="0"/>
    <x v="1"/>
    <n v="1959"/>
  </r>
  <r>
    <x v="53"/>
    <s v="LOTE 2"/>
    <x v="14"/>
    <x v="44"/>
    <x v="5"/>
    <x v="0"/>
    <s v="VEREDA LOS GALGOS AL FRENTE ESTADERO LOS GALGOS"/>
    <n v="53611153496"/>
    <s v="CASA DE FAMILIA LOS GALGOS"/>
    <n v="1"/>
    <n v="7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15261351"/>
    <n v="0.02"/>
    <n v="305227.02"/>
    <m/>
    <n v="31"/>
    <n v="15261351"/>
    <n v="15566578.02"/>
    <s v=" "/>
    <m/>
    <m/>
    <m/>
    <n v="345632"/>
    <n v="287203"/>
    <n v="203700"/>
    <n v="14424816"/>
    <m/>
    <n v="15261351"/>
    <s v=" "/>
    <n v="2352434"/>
    <n v="1803102"/>
    <n v="1803102"/>
    <n v="1803102"/>
    <n v="1803102"/>
    <n v="1803102"/>
    <n v="1803102"/>
    <n v="2090305"/>
    <n v="15261351"/>
    <n v="10101448"/>
    <s v="CONTRATO ADICIONAL POR ALIMENTACION"/>
    <b v="1"/>
    <n v="0"/>
    <b v="1"/>
    <n v="0"/>
    <x v="1"/>
    <n v="1959"/>
  </r>
  <r>
    <x v="53"/>
    <s v="LOTE 2"/>
    <x v="14"/>
    <x v="44"/>
    <x v="5"/>
    <x v="0"/>
    <s v="VEREDA PALMITAS"/>
    <n v="58871150344"/>
    <s v="C COMUNAL PALMITAS"/>
    <n v="1"/>
    <n v="9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19621737"/>
    <n v="0.02"/>
    <n v="392434.74"/>
    <m/>
    <n v="32"/>
    <n v="19621737"/>
    <n v="20014171.739999998"/>
    <s v=" "/>
    <m/>
    <m/>
    <m/>
    <n v="444384"/>
    <n v="369261"/>
    <n v="261900"/>
    <n v="18546192"/>
    <m/>
    <n v="19621737"/>
    <s v=" "/>
    <n v="3024558"/>
    <n v="2318274"/>
    <n v="2318274"/>
    <n v="2318274"/>
    <n v="2318274"/>
    <n v="2318274"/>
    <n v="2318274"/>
    <n v="2687535"/>
    <n v="19621737"/>
    <n v="12987576"/>
    <s v="CONTRATO ADICIONAL POR ALIMENTACION"/>
    <b v="1"/>
    <n v="0"/>
    <b v="1"/>
    <n v="0"/>
    <x v="1"/>
    <n v="1959"/>
  </r>
  <r>
    <x v="53"/>
    <s v="LOTE 2"/>
    <x v="14"/>
    <x v="44"/>
    <x v="5"/>
    <x v="0"/>
    <s v="VEREDA BUENA VISTA"/>
    <n v="536100111685"/>
    <s v="CER BUENA VISTA"/>
    <n v="1"/>
    <n v="12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26162316"/>
    <n v="0.02"/>
    <n v="523246.32"/>
    <m/>
    <n v="33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1959"/>
  </r>
  <r>
    <x v="53"/>
    <s v="LOTE 2"/>
    <x v="14"/>
    <x v="44"/>
    <x v="5"/>
    <x v="0"/>
    <s v="EL QUINDIO"/>
    <n v="536100112921"/>
    <s v="CER EL QUINDIO"/>
    <n v="1"/>
    <n v="13"/>
    <m/>
    <n v="1959"/>
    <s v="ARTÍCULO 34 CONTRATACIÓN CON EL REGISTRO ÚNICO DE OFERENTES"/>
    <m/>
    <m/>
    <x v="0"/>
    <x v="0"/>
    <x v="5"/>
    <x v="5"/>
    <n v="229120"/>
    <n v="15214"/>
    <n v="86325"/>
    <s v=" "/>
    <s v=" "/>
    <m/>
    <n v="28342509"/>
    <n v="0.02"/>
    <n v="566850.18000000005"/>
    <m/>
    <n v="34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59"/>
  </r>
  <r>
    <x v="54"/>
    <s v="LOTE 2"/>
    <x v="4"/>
    <x v="45"/>
    <x v="1"/>
    <x v="0"/>
    <s v="GIBRALTAR"/>
    <n v="53641115801"/>
    <s v="CER DOLORES ZAPATA"/>
    <n v="1"/>
    <n v="18"/>
    <m/>
    <n v="1960"/>
    <s v="ARTÍCULO 34 CONTRATACIÓN CON EL REGISTRO ÚNICO DE OFERENTES"/>
    <m/>
    <m/>
    <x v="0"/>
    <x v="0"/>
    <x v="6"/>
    <x v="6"/>
    <n v="229121"/>
    <n v="15203"/>
    <n v="91925"/>
    <n v="17"/>
    <n v="440"/>
    <m/>
    <n v="27347490"/>
    <n v="0.02"/>
    <n v="546949.80000000005"/>
    <m/>
    <n v="1"/>
    <n v="27347490"/>
    <n v="27894439.800000001"/>
    <n v="1071595495"/>
    <n v="21431910"/>
    <n v="1093027405"/>
    <n v="752.78924833157714"/>
    <n v="841392"/>
    <n v="681138"/>
    <n v="0"/>
    <n v="25824960"/>
    <m/>
    <n v="27347490"/>
    <n v="1071595495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60"/>
  </r>
  <r>
    <x v="54"/>
    <s v="LOTE 2"/>
    <x v="4"/>
    <x v="45"/>
    <x v="1"/>
    <x v="0"/>
    <s v="VEREDA CARAMANTA"/>
    <n v="53641115803"/>
    <s v="CER JUAN DE DIOS CARVAJAL"/>
    <n v="1"/>
    <n v="20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30386100"/>
    <n v="0.02"/>
    <n v="607722"/>
    <m/>
    <n v="2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960"/>
  </r>
  <r>
    <x v="54"/>
    <s v="LOTE 2"/>
    <x v="4"/>
    <x v="45"/>
    <x v="1"/>
    <x v="0"/>
    <s v="ALTO DEL INDIO"/>
    <n v="53641115807"/>
    <s v="CER ROSENDO ESCOBAR"/>
    <n v="1"/>
    <n v="38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57733590"/>
    <n v="0.02"/>
    <n v="1154671.8"/>
    <m/>
    <n v="3"/>
    <n v="57733590"/>
    <n v="58888261.799999997"/>
    <s v=" "/>
    <m/>
    <m/>
    <m/>
    <n v="1776272"/>
    <n v="1437958"/>
    <n v="0"/>
    <n v="54519360"/>
    <m/>
    <n v="57733590"/>
    <s v=" "/>
    <n v="8591192"/>
    <n v="6814920"/>
    <n v="6814920"/>
    <n v="6814920"/>
    <n v="6814920"/>
    <n v="6814920"/>
    <n v="6814920"/>
    <n v="8252878"/>
    <n v="57733590"/>
    <n v="57249584"/>
    <s v="CONTRATO ADICIONAL POR ALIMENTACION"/>
    <b v="1"/>
    <n v="0"/>
    <b v="1"/>
    <n v="0"/>
    <x v="1"/>
    <n v="1960"/>
  </r>
  <r>
    <x v="54"/>
    <s v="LOTE 2"/>
    <x v="4"/>
    <x v="45"/>
    <x v="1"/>
    <x v="0"/>
    <s v="VEREDA SANTA GERTRUDIS"/>
    <n v="53641134972"/>
    <s v="CER JUAN N BARRERA"/>
    <n v="1"/>
    <n v="17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25828185"/>
    <n v="0.02"/>
    <n v="516563.7"/>
    <m/>
    <n v="4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60"/>
  </r>
  <r>
    <x v="54"/>
    <s v="LOTE 2"/>
    <x v="4"/>
    <x v="45"/>
    <x v="1"/>
    <x v="0"/>
    <s v="VEREDA LA LINDA"/>
    <n v="53641134979"/>
    <s v="CER DIEGO OROZCO"/>
    <n v="1"/>
    <n v="11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16712355"/>
    <n v="0.02"/>
    <n v="334247.10000000003"/>
    <m/>
    <n v="5"/>
    <n v="16712355"/>
    <n v="17046602.100000001"/>
    <s v=" "/>
    <m/>
    <m/>
    <m/>
    <n v="514184"/>
    <n v="416251"/>
    <n v="0"/>
    <n v="15781920"/>
    <m/>
    <n v="16712355"/>
    <s v=" "/>
    <n v="2486924"/>
    <n v="1972740"/>
    <n v="1972740"/>
    <n v="1972740"/>
    <n v="1972740"/>
    <n v="1972740"/>
    <n v="1972740"/>
    <n v="2388991"/>
    <n v="16712355"/>
    <n v="16572248"/>
    <s v="CONTRATO ADICIONAL POR ALIMENTACION"/>
    <b v="1"/>
    <n v="0"/>
    <b v="1"/>
    <n v="0"/>
    <x v="1"/>
    <n v="1960"/>
  </r>
  <r>
    <x v="54"/>
    <s v="LOTE 2"/>
    <x v="4"/>
    <x v="45"/>
    <x v="1"/>
    <x v="0"/>
    <s v="VEREDA SERRANIAS"/>
    <n v="53641134984"/>
    <s v="CER RAMÓN"/>
    <n v="1"/>
    <n v="18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27347490"/>
    <n v="0.02"/>
    <n v="546949.80000000005"/>
    <m/>
    <n v="6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60"/>
  </r>
  <r>
    <x v="54"/>
    <s v="LOTE 2"/>
    <x v="4"/>
    <x v="45"/>
    <x v="1"/>
    <x v="0"/>
    <s v="VEREDA SAN BARTOLO"/>
    <n v="53641134994"/>
    <s v="CER FABRICIO ESCOBAR"/>
    <n v="1"/>
    <n v="12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18231660"/>
    <n v="0.02"/>
    <n v="364633.2"/>
    <m/>
    <n v="7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60"/>
  </r>
  <r>
    <x v="54"/>
    <s v="LOTE 2"/>
    <x v="4"/>
    <x v="45"/>
    <x v="1"/>
    <x v="0"/>
    <s v="VEREDA LA ARBOLEDA"/>
    <n v="53641134998"/>
    <s v="CER MARIA JOSEFA CORREA"/>
    <n v="1"/>
    <n v="16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24308880"/>
    <n v="0.02"/>
    <n v="486177.60000000003"/>
    <m/>
    <n v="8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60"/>
  </r>
  <r>
    <x v="54"/>
    <s v="LOTE 2"/>
    <x v="4"/>
    <x v="45"/>
    <x v="1"/>
    <x v="0"/>
    <s v="SECTOR EL AGUACATE"/>
    <n v="53641134999"/>
    <s v="CASETA EL AGUACATE"/>
    <n v="1"/>
    <n v="12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18231660"/>
    <n v="0.02"/>
    <n v="364633.2"/>
    <m/>
    <n v="9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60"/>
  </r>
  <r>
    <x v="54"/>
    <s v="LOTE 2"/>
    <x v="4"/>
    <x v="45"/>
    <x v="1"/>
    <x v="0"/>
    <s v="VEREDA VERDUN"/>
    <n v="53641135003"/>
    <s v="IE MIGUEL VALENCIA"/>
    <n v="1"/>
    <n v="20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30386100"/>
    <n v="0.02"/>
    <n v="607722"/>
    <m/>
    <n v="10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960"/>
  </r>
  <r>
    <x v="54"/>
    <s v="LOTE 2"/>
    <x v="4"/>
    <x v="45"/>
    <x v="1"/>
    <x v="0"/>
    <s v="KR SECTOR COLISEO 5 12"/>
    <n v="53641135046"/>
    <s v="PARQUE EDUCATIVO_JARDIN"/>
    <n v="1"/>
    <n v="57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86600385"/>
    <n v="0.02"/>
    <n v="1732007.7"/>
    <m/>
    <n v="11"/>
    <n v="86600385"/>
    <n v="88332392.700000003"/>
    <s v=" "/>
    <m/>
    <m/>
    <m/>
    <n v="2664408"/>
    <n v="2156937"/>
    <n v="0"/>
    <n v="81779040"/>
    <m/>
    <n v="86600385"/>
    <s v=" "/>
    <n v="12886788"/>
    <n v="10222380"/>
    <n v="10222380"/>
    <n v="10222380"/>
    <n v="10222380"/>
    <n v="10222380"/>
    <n v="10222380"/>
    <n v="12379317"/>
    <n v="86600385"/>
    <n v="85874376"/>
    <s v="CONTRATO ADICIONAL POR ALIMENTACION"/>
    <b v="1"/>
    <n v="0"/>
    <b v="1"/>
    <n v="0"/>
    <x v="1"/>
    <n v="1960"/>
  </r>
  <r>
    <x v="54"/>
    <s v="LOTE 2"/>
    <x v="4"/>
    <x v="45"/>
    <x v="1"/>
    <x v="0"/>
    <s v="QUEBRADA BONITA"/>
    <n v="53641140013"/>
    <s v="CER INDALECIO PELAEZ"/>
    <n v="1"/>
    <n v="16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24308880"/>
    <n v="0.02"/>
    <n v="486177.60000000003"/>
    <m/>
    <n v="12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1960"/>
  </r>
  <r>
    <x v="54"/>
    <s v="LOTE 2"/>
    <x v="4"/>
    <x v="45"/>
    <x v="1"/>
    <x v="0"/>
    <s v="MORRO AMARILLO"/>
    <n v="53641148762"/>
    <s v="CER JOSE MARIA GOMEZ ANGEL"/>
    <n v="1"/>
    <n v="13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19750965"/>
    <n v="0.02"/>
    <n v="395019.3"/>
    <m/>
    <n v="13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60"/>
  </r>
  <r>
    <x v="54"/>
    <s v="LOTE 2"/>
    <x v="4"/>
    <x v="45"/>
    <x v="1"/>
    <x v="0"/>
    <s v="LA FLORESTA"/>
    <n v="53641148777"/>
    <s v="CASETA LA FLORESTA"/>
    <n v="1"/>
    <n v="15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22789575"/>
    <n v="0.02"/>
    <n v="455791.5"/>
    <m/>
    <n v="14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O ADICIONAL POR ALIMENTACION"/>
    <b v="1"/>
    <n v="0"/>
    <b v="1"/>
    <n v="0"/>
    <x v="1"/>
    <n v="1960"/>
  </r>
  <r>
    <x v="54"/>
    <s v="LOTE 2"/>
    <x v="4"/>
    <x v="45"/>
    <x v="1"/>
    <x v="0"/>
    <s v="VEREDA LA CASIANA"/>
    <n v="536400048169"/>
    <s v="CER DAVID CROZZIER"/>
    <n v="1"/>
    <n v="6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9115830"/>
    <n v="0.02"/>
    <n v="182316.6"/>
    <m/>
    <n v="15"/>
    <n v="9115830"/>
    <n v="9298146.5999999996"/>
    <s v=" "/>
    <m/>
    <m/>
    <m/>
    <n v="280464"/>
    <n v="227046"/>
    <n v="0"/>
    <n v="8608320"/>
    <m/>
    <n v="9115830"/>
    <s v=" "/>
    <n v="1356504"/>
    <n v="1076040"/>
    <n v="1076040"/>
    <n v="1076040"/>
    <n v="1076040"/>
    <n v="1076040"/>
    <n v="1076040"/>
    <n v="1303086"/>
    <n v="9115830"/>
    <n v="9039408"/>
    <s v="CONTRATO ADICIONAL POR ALIMENTACION"/>
    <b v="1"/>
    <n v="0"/>
    <b v="1"/>
    <n v="0"/>
    <x v="1"/>
    <n v="1960"/>
  </r>
  <r>
    <x v="54"/>
    <s v="LOTE 2"/>
    <x v="4"/>
    <x v="45"/>
    <x v="2"/>
    <x v="0"/>
    <s v="KR 2 5 88"/>
    <n v="536400129633"/>
    <s v="RODRIGO DIAZ"/>
    <n v="1"/>
    <n v="117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490095450"/>
    <n v="0.02"/>
    <n v="9801909"/>
    <m/>
    <n v="16"/>
    <n v="490095450"/>
    <n v="499897359"/>
    <s v=" "/>
    <m/>
    <m/>
    <m/>
    <n v="10312731"/>
    <n v="8780031"/>
    <n v="0"/>
    <n v="471002688"/>
    <m/>
    <n v="490095450"/>
    <s v=" "/>
    <n v="69188067"/>
    <n v="58875336"/>
    <n v="58875336"/>
    <n v="58875336"/>
    <n v="58875336"/>
    <n v="58875336"/>
    <n v="58875336"/>
    <n v="67655367"/>
    <n v="490095450"/>
    <n v="0"/>
    <s v="CONTRATO COSTEADO CON ALIMENTACION"/>
    <b v="1"/>
    <n v="0"/>
    <b v="1"/>
    <n v="0"/>
    <x v="1"/>
    <n v="1960"/>
  </r>
  <r>
    <x v="54"/>
    <s v="LOTE 2"/>
    <x v="4"/>
    <x v="45"/>
    <x v="2"/>
    <x v="0"/>
    <s v="RESGUARDO INDIGENA KARMATA RÚA (CRISTIANIA)"/>
    <n v="536400130817"/>
    <s v="KARMATA RÚA"/>
    <n v="1"/>
    <n v="34"/>
    <m/>
    <n v="1960"/>
    <s v="ARTÍCULO 34 CONTRATACIÓN CON EL REGISTRO ÚNICO DE OFERENTES"/>
    <m/>
    <m/>
    <x v="0"/>
    <x v="0"/>
    <x v="6"/>
    <x v="6"/>
    <n v="229121"/>
    <n v="15203"/>
    <n v="91925"/>
    <s v=" "/>
    <s v=" "/>
    <m/>
    <n v="142420900"/>
    <n v="0.02"/>
    <n v="2848418"/>
    <m/>
    <n v="17"/>
    <n v="142420900"/>
    <n v="145269318"/>
    <s v=" "/>
    <m/>
    <m/>
    <m/>
    <n v="2996862"/>
    <n v="2551462"/>
    <n v="0"/>
    <n v="136872576"/>
    <m/>
    <n v="142420900"/>
    <s v=" "/>
    <n v="20105934"/>
    <n v="17109072"/>
    <n v="17109072"/>
    <n v="17109072"/>
    <n v="17109072"/>
    <n v="17109072"/>
    <n v="17109072"/>
    <n v="19660534"/>
    <n v="142420900"/>
    <n v="0"/>
    <s v="CONTRATO COSTEADO CON ALIMENTACION"/>
    <b v="1"/>
    <n v="0"/>
    <b v="1"/>
    <n v="0"/>
    <x v="1"/>
    <n v="1960"/>
  </r>
  <r>
    <x v="55"/>
    <s v="LOTE 2"/>
    <x v="5"/>
    <x v="4"/>
    <x v="4"/>
    <x v="0"/>
    <s v="VEREDA SAN JOSE (CASITA)"/>
    <n v="53761121820"/>
    <s v="CASA CDI 7 MUNDO DE ILUSIONES"/>
    <n v="1"/>
    <n v="55"/>
    <m/>
    <n v="1961"/>
    <s v="ARTÍCULO 34 CONTRATACIÓN CON EL REGISTRO ÚNICO DE OFERENTES"/>
    <m/>
    <m/>
    <x v="0"/>
    <x v="0"/>
    <x v="40"/>
    <x v="39"/>
    <n v="229122"/>
    <n v="15229"/>
    <n v="83825"/>
    <n v="5"/>
    <n v="940"/>
    <m/>
    <n v="238117110"/>
    <n v="0.02"/>
    <n v="4762342.2"/>
    <m/>
    <n v="1"/>
    <n v="238117110"/>
    <n v="242879452.19999999"/>
    <n v="3945249360"/>
    <n v="78904987"/>
    <n v="4024154347"/>
    <n v="2771.5134246575344"/>
    <n v="4847865"/>
    <n v="4127365"/>
    <n v="0"/>
    <n v="229141880"/>
    <m/>
    <n v="238117110"/>
    <n v="3945249360"/>
    <n v="33490600"/>
    <n v="28642735"/>
    <n v="28642735"/>
    <n v="28642735"/>
    <n v="28642735"/>
    <n v="28642735"/>
    <n v="28642735"/>
    <n v="32770100"/>
    <n v="238117110"/>
    <n v="0"/>
    <s v="CONTRATO COSTEADO CON ALIMENTACION"/>
    <b v="1"/>
    <n v="0"/>
    <b v="1"/>
    <n v="0"/>
    <x v="1"/>
    <m/>
  </r>
  <r>
    <x v="55"/>
    <s v="LOTE 2"/>
    <x v="5"/>
    <x v="4"/>
    <x v="2"/>
    <x v="0"/>
    <s v="CL 6 16 69"/>
    <n v="53761151497"/>
    <s v="CIUDADELA PRIMERA INFANCIA LA ALDEA"/>
    <n v="1"/>
    <n v="320"/>
    <m/>
    <n v="1961"/>
    <s v="ARTÍCULO 34 CONTRATACIÓN CON EL REGISTRO ÚNICO DE OFERENTES"/>
    <m/>
    <m/>
    <x v="0"/>
    <x v="0"/>
    <x v="40"/>
    <x v="39"/>
    <n v="229122"/>
    <n v="15229"/>
    <n v="83825"/>
    <s v=" "/>
    <s v=" "/>
    <m/>
    <n v="1340432000"/>
    <n v="0.02"/>
    <n v="26808640"/>
    <m/>
    <n v="2"/>
    <n v="1340432000"/>
    <n v="1367240640"/>
    <s v=" "/>
    <m/>
    <m/>
    <m/>
    <n v="28205760"/>
    <n v="24013760"/>
    <n v="0"/>
    <n v="1288212480"/>
    <m/>
    <n v="1340432000"/>
    <s v=" "/>
    <n v="189232320"/>
    <n v="161026560"/>
    <n v="161026560"/>
    <n v="161026560"/>
    <n v="161026560"/>
    <n v="161026560"/>
    <n v="161026560"/>
    <n v="185040320"/>
    <n v="1340432000"/>
    <n v="0"/>
    <s v="CONTRATO COSTEADO CON ALIMENTACION"/>
    <b v="1"/>
    <n v="0"/>
    <b v="1"/>
    <n v="0"/>
    <x v="1"/>
    <m/>
  </r>
  <r>
    <x v="55"/>
    <s v="LOTE 2"/>
    <x v="5"/>
    <x v="4"/>
    <x v="2"/>
    <x v="0"/>
    <s v="CL 21 14 26  MOVILIA"/>
    <n v="537600080586"/>
    <s v="DULCE MELODIA"/>
    <n v="1"/>
    <n v="257"/>
    <m/>
    <n v="1961"/>
    <s v="ARTÍCULO 34 CONTRATACIÓN CON EL REGISTRO ÚNICO DE OFERENTES"/>
    <m/>
    <m/>
    <x v="0"/>
    <x v="0"/>
    <x v="40"/>
    <x v="39"/>
    <n v="229122"/>
    <n v="15229"/>
    <n v="83825"/>
    <s v=" "/>
    <s v=" "/>
    <m/>
    <n v="1076534450"/>
    <n v="0.02"/>
    <n v="21530689"/>
    <m/>
    <n v="3"/>
    <n v="1076534450"/>
    <n v="1098065139"/>
    <s v=" "/>
    <m/>
    <m/>
    <m/>
    <n v="22652751"/>
    <n v="19286051"/>
    <n v="0"/>
    <n v="1034595648"/>
    <m/>
    <n v="1076534450"/>
    <s v=" "/>
    <n v="151977207"/>
    <n v="129324456"/>
    <n v="129324456"/>
    <n v="129324456"/>
    <n v="129324456"/>
    <n v="129324456"/>
    <n v="129324456"/>
    <n v="148610507"/>
    <n v="1076534450"/>
    <n v="0"/>
    <s v="CONTRATO COSTEADO CON ALIMENTACION"/>
    <b v="1"/>
    <n v="0"/>
    <b v="1"/>
    <n v="0"/>
    <x v="1"/>
    <m/>
  </r>
  <r>
    <x v="55"/>
    <s v="LOTE 2"/>
    <x v="5"/>
    <x v="4"/>
    <x v="2"/>
    <x v="0"/>
    <s v="KR 0 2 2 CL 20 27"/>
    <n v="537600113009"/>
    <s v="ARCOIRIS DE SUEÑOS"/>
    <n v="1"/>
    <n v="60"/>
    <m/>
    <n v="1961"/>
    <s v="ARTÍCULO 34 CONTRATACIÓN CON EL REGISTRO ÚNICO DE OFERENTES"/>
    <m/>
    <m/>
    <x v="0"/>
    <x v="0"/>
    <x v="40"/>
    <x v="39"/>
    <n v="229122"/>
    <n v="15229"/>
    <n v="83825"/>
    <s v=" "/>
    <s v=" "/>
    <m/>
    <n v="251331000"/>
    <n v="0.02"/>
    <n v="5026620"/>
    <m/>
    <n v="4"/>
    <n v="251331000"/>
    <n v="256357620"/>
    <s v=" "/>
    <m/>
    <m/>
    <m/>
    <n v="5288580"/>
    <n v="4502580"/>
    <n v="0"/>
    <n v="241539840"/>
    <m/>
    <n v="251331000"/>
    <s v=" "/>
    <n v="35481060"/>
    <n v="30192480"/>
    <n v="30192480"/>
    <n v="30192480"/>
    <n v="30192480"/>
    <n v="30192480"/>
    <n v="30192480"/>
    <n v="34695060"/>
    <n v="251331000"/>
    <n v="0"/>
    <s v="CONTRATO COSTEADO CON ALIMENTACION"/>
    <b v="1"/>
    <n v="0"/>
    <b v="1"/>
    <n v="0"/>
    <x v="1"/>
    <m/>
  </r>
  <r>
    <x v="55"/>
    <s v="LOTE 2"/>
    <x v="5"/>
    <x v="4"/>
    <x v="2"/>
    <x v="0"/>
    <s v="CL 21 21 46 FRENTE DEL  PARQUEADERO DE OLIMPICA"/>
    <n v="537600120427"/>
    <s v="CAPERUCITA"/>
    <n v="1"/>
    <n v="248"/>
    <m/>
    <n v="1961"/>
    <s v="ARTÍCULO 34 CONTRATACIÓN CON EL REGISTRO ÚNICO DE OFERENTES"/>
    <m/>
    <m/>
    <x v="0"/>
    <x v="0"/>
    <x v="40"/>
    <x v="39"/>
    <n v="229122"/>
    <n v="15229"/>
    <n v="83825"/>
    <s v=" "/>
    <s v=" "/>
    <m/>
    <n v="1038834800"/>
    <n v="0.02"/>
    <n v="20776696"/>
    <m/>
    <n v="5"/>
    <n v="1038834800"/>
    <n v="1059611496"/>
    <s v=" "/>
    <m/>
    <m/>
    <m/>
    <n v="21859464"/>
    <n v="18610664"/>
    <n v="0"/>
    <n v="998364672"/>
    <m/>
    <n v="1038834800"/>
    <s v=" "/>
    <n v="146655048"/>
    <n v="124795584"/>
    <n v="124795584"/>
    <n v="124795584"/>
    <n v="124795584"/>
    <n v="124795584"/>
    <n v="124795584"/>
    <n v="143406248"/>
    <n v="1038834800"/>
    <n v="0"/>
    <s v="CONTRATO COSTEADO CON ALIMENTACION"/>
    <b v="1"/>
    <n v="0"/>
    <b v="1"/>
    <n v="0"/>
    <x v="1"/>
    <m/>
  </r>
  <r>
    <x v="56"/>
    <s v="LOTE 2"/>
    <x v="9"/>
    <x v="46"/>
    <x v="4"/>
    <x v="0"/>
    <s v="CALLE 81 SUR # 62 - 44 BARRIO BELLAVISTA"/>
    <n v="53801120620"/>
    <s v="CARITAS MÁGICAS"/>
    <n v="1"/>
    <n v="96"/>
    <m/>
    <n v="1962"/>
    <s v="ARTÍCULO 34 CONTRATACIÓN CON EL REGISTRO ÚNICO DE OFERENTES"/>
    <m/>
    <m/>
    <x v="0"/>
    <x v="0"/>
    <x v="41"/>
    <x v="40"/>
    <n v="229123"/>
    <n v="15216"/>
    <n v="86525"/>
    <n v="6"/>
    <n v="526"/>
    <m/>
    <n v="415622592"/>
    <n v="0.02"/>
    <n v="8312451.8399999999"/>
    <m/>
    <n v="1"/>
    <n v="415622592"/>
    <n v="423935043.83999997"/>
    <n v="2236505372"/>
    <n v="44730107"/>
    <n v="2281235479"/>
    <n v="1571.1312764313311"/>
    <n v="8461728"/>
    <n v="7204128"/>
    <n v="0"/>
    <n v="399956736"/>
    <m/>
    <n v="415622592"/>
    <n v="2236505372"/>
    <n v="58456320"/>
    <n v="49994592"/>
    <n v="49994592"/>
    <n v="49994592"/>
    <n v="49994592"/>
    <n v="49994592"/>
    <n v="49994592"/>
    <n v="57198720"/>
    <n v="415622592"/>
    <n v="0"/>
    <s v="CONTRATO COSTEADO CON ALIMENTACION"/>
    <b v="1"/>
    <n v="0"/>
    <b v="1"/>
    <n v="0"/>
    <x v="1"/>
    <m/>
  </r>
  <r>
    <x v="56"/>
    <s v="LOTE 2"/>
    <x v="9"/>
    <x v="46"/>
    <x v="2"/>
    <x v="0"/>
    <s v="CL 87 SUR CR 55 - 270"/>
    <n v="503600080779"/>
    <s v="HUELLAS CREATIVAS 1 CONCEJO"/>
    <n v="1"/>
    <n v="77"/>
    <m/>
    <n v="1962"/>
    <s v="ARTÍCULO 34 CONTRATACIÓN CON EL REGISTRO ÚNICO DE OFERENTES"/>
    <m/>
    <m/>
    <x v="0"/>
    <x v="0"/>
    <x v="41"/>
    <x v="40"/>
    <n v="229123"/>
    <n v="15216"/>
    <n v="86525"/>
    <s v=" "/>
    <s v=" "/>
    <m/>
    <n v="322541450"/>
    <n v="0.02"/>
    <n v="6450829"/>
    <m/>
    <n v="2"/>
    <n v="322541450"/>
    <n v="328992279"/>
    <s v=" "/>
    <m/>
    <m/>
    <m/>
    <n v="6787011"/>
    <n v="5778311"/>
    <n v="0"/>
    <n v="309976128"/>
    <m/>
    <n v="322541450"/>
    <s v=" "/>
    <n v="45534027"/>
    <n v="38747016"/>
    <n v="38747016"/>
    <n v="38747016"/>
    <n v="38747016"/>
    <n v="38747016"/>
    <n v="38747016"/>
    <n v="44525327"/>
    <n v="322541450"/>
    <n v="0"/>
    <s v="CONTRATO COSTEADO CON ALIMENTACION"/>
    <b v="1"/>
    <n v="0"/>
    <b v="1"/>
    <n v="0"/>
    <x v="1"/>
    <m/>
  </r>
  <r>
    <x v="56"/>
    <s v="LOTE 2"/>
    <x v="9"/>
    <x v="46"/>
    <x v="2"/>
    <x v="0"/>
    <s v="CALLE 100 C SUR  N 48 C 27  BARRIO LA TABLAZA JUAN 23"/>
    <n v="538000020328"/>
    <s v="CARITAS LINDAS LA ESTRELLA"/>
    <n v="1"/>
    <n v="119"/>
    <m/>
    <n v="1962"/>
    <s v="ARTÍCULO 34 CONTRATACIÓN CON EL REGISTRO ÚNICO DE OFERENTES"/>
    <m/>
    <m/>
    <x v="0"/>
    <x v="0"/>
    <x v="41"/>
    <x v="40"/>
    <n v="229123"/>
    <n v="15216"/>
    <n v="86525"/>
    <s v=" "/>
    <s v=" "/>
    <m/>
    <n v="498473150"/>
    <n v="0.02"/>
    <n v="9969463"/>
    <m/>
    <n v="3"/>
    <n v="498473150"/>
    <n v="508442613"/>
    <s v=" "/>
    <m/>
    <m/>
    <m/>
    <n v="10489017"/>
    <n v="8930117"/>
    <n v="0"/>
    <n v="479054016"/>
    <m/>
    <n v="498473150"/>
    <s v=" "/>
    <n v="70370769"/>
    <n v="59881752"/>
    <n v="59881752"/>
    <n v="59881752"/>
    <n v="59881752"/>
    <n v="59881752"/>
    <n v="59881752"/>
    <n v="68811869"/>
    <n v="498473150"/>
    <n v="0"/>
    <s v="CONTRATO COSTEADO CON ALIMENTACION"/>
    <b v="1"/>
    <n v="0"/>
    <b v="1"/>
    <n v="0"/>
    <x v="1"/>
    <m/>
  </r>
  <r>
    <x v="56"/>
    <s v="LOTE 2"/>
    <x v="9"/>
    <x v="46"/>
    <x v="4"/>
    <x v="0"/>
    <s v="KR 51 96 B SUR  01"/>
    <n v="538000022611"/>
    <s v="LAS RANITAS"/>
    <n v="1"/>
    <n v="80"/>
    <m/>
    <n v="1962"/>
    <s v="ARTÍCULO 34 CONTRATACIÓN CON EL REGISTRO ÚNICO DE OFERENTES"/>
    <m/>
    <m/>
    <x v="0"/>
    <x v="0"/>
    <x v="41"/>
    <x v="40"/>
    <n v="229123"/>
    <n v="15216"/>
    <n v="86525"/>
    <s v=" "/>
    <s v=" "/>
    <m/>
    <n v="346352160"/>
    <n v="0.02"/>
    <n v="6927043.2000000002"/>
    <m/>
    <n v="4"/>
    <n v="346352160"/>
    <n v="353279203.19999999"/>
    <s v=" "/>
    <m/>
    <m/>
    <m/>
    <n v="7051440"/>
    <n v="6003440"/>
    <n v="0"/>
    <n v="333297280"/>
    <m/>
    <n v="346352160"/>
    <s v=" "/>
    <n v="48713600"/>
    <n v="41662160"/>
    <n v="41662160"/>
    <n v="41662160"/>
    <n v="41662160"/>
    <n v="41662160"/>
    <n v="41662160"/>
    <n v="47665600"/>
    <n v="346352160"/>
    <n v="0"/>
    <s v="CONTRATO COSTEADO CON ALIMENTACION"/>
    <b v="1"/>
    <n v="0"/>
    <b v="1"/>
    <n v="0"/>
    <x v="1"/>
    <m/>
  </r>
  <r>
    <x v="56"/>
    <s v="LOTE 2"/>
    <x v="9"/>
    <x v="46"/>
    <x v="2"/>
    <x v="0"/>
    <s v="CARRERA 65 B # 87 SUR 113"/>
    <n v="538000114978"/>
    <s v="HUELLAS CREATIVAS 2 HOSPITAL"/>
    <n v="1"/>
    <n v="94"/>
    <m/>
    <n v="1962"/>
    <s v="ARTÍCULO 34 CONTRATACIÓN CON EL REGISTRO ÚNICO DE OFERENTES"/>
    <m/>
    <m/>
    <x v="0"/>
    <x v="0"/>
    <x v="41"/>
    <x v="40"/>
    <n v="229123"/>
    <n v="15216"/>
    <n v="86525"/>
    <s v=" "/>
    <s v=" "/>
    <m/>
    <n v="393751900"/>
    <n v="0.02"/>
    <n v="7875038"/>
    <m/>
    <n v="5"/>
    <n v="393751900"/>
    <n v="401626938"/>
    <s v=" "/>
    <m/>
    <m/>
    <m/>
    <n v="8285442"/>
    <n v="7054042"/>
    <n v="0"/>
    <n v="378412416"/>
    <m/>
    <n v="393751900"/>
    <s v=" "/>
    <n v="55586994"/>
    <n v="47301552"/>
    <n v="47301552"/>
    <n v="47301552"/>
    <n v="47301552"/>
    <n v="47301552"/>
    <n v="47301552"/>
    <n v="54355594"/>
    <n v="393751900"/>
    <n v="0"/>
    <s v="CONTRATO COSTEADO CON ALIMENTACION"/>
    <b v="1"/>
    <n v="0"/>
    <b v="1"/>
    <n v="0"/>
    <x v="1"/>
    <m/>
  </r>
  <r>
    <x v="56"/>
    <s v="LOTE 2"/>
    <x v="9"/>
    <x v="46"/>
    <x v="4"/>
    <x v="0"/>
    <s v="KR 49 D 88 D SUR 16  CERCA A CANCHA DE ANCON LA PLAYA"/>
    <n v="538000116600"/>
    <s v="LA ESTRELLITA"/>
    <n v="1"/>
    <n v="60"/>
    <m/>
    <n v="1962"/>
    <s v="ARTÍCULO 34 CONTRATACIÓN CON EL REGISTRO ÚNICO DE OFERENTES"/>
    <m/>
    <m/>
    <x v="0"/>
    <x v="0"/>
    <x v="41"/>
    <x v="40"/>
    <n v="229123"/>
    <n v="15216"/>
    <n v="86525"/>
    <s v=" "/>
    <s v=" "/>
    <m/>
    <n v="259764120"/>
    <n v="0.02"/>
    <n v="5195282.4000000004"/>
    <m/>
    <n v="6"/>
    <n v="259764120"/>
    <n v="264959402.40000001"/>
    <s v=" "/>
    <m/>
    <m/>
    <m/>
    <n v="5288580"/>
    <n v="4502580"/>
    <n v="0"/>
    <n v="249972960"/>
    <m/>
    <n v="259764120"/>
    <s v=" "/>
    <n v="36535200"/>
    <n v="31246620"/>
    <n v="31246620"/>
    <n v="31246620"/>
    <n v="31246620"/>
    <n v="31246620"/>
    <n v="31246620"/>
    <n v="35749200"/>
    <n v="259764120"/>
    <n v="0"/>
    <s v="CONTRATO COSTEADO CON ALIMENTACION"/>
    <b v="1"/>
    <n v="0"/>
    <b v="1"/>
    <n v="0"/>
    <x v="1"/>
    <m/>
  </r>
  <r>
    <x v="57"/>
    <s v="LOTE 2"/>
    <x v="5"/>
    <x v="47"/>
    <x v="4"/>
    <x v="0"/>
    <s v="KR 8 10 8 BARRIO BUENOS AIRES"/>
    <n v="54001115664"/>
    <s v="MESOPOTAMIA"/>
    <n v="1"/>
    <n v="31"/>
    <m/>
    <n v="1964"/>
    <s v="ARTÍCULO 34 CONTRATACIÓN CON EL REGISTRO ÚNICO DE OFERENTES"/>
    <m/>
    <m/>
    <x v="0"/>
    <x v="0"/>
    <x v="8"/>
    <x v="8"/>
    <n v="229125"/>
    <n v="15205"/>
    <n v="92125"/>
    <n v="9"/>
    <n v="764"/>
    <m/>
    <n v="134211462"/>
    <n v="0.02"/>
    <n v="2684229.2400000002"/>
    <m/>
    <n v="1"/>
    <n v="134211462"/>
    <n v="136895691.24000001"/>
    <n v="2422468428"/>
    <n v="48449369"/>
    <n v="2470917797"/>
    <n v="1701.7691801896733"/>
    <n v="2732433"/>
    <n v="2326333"/>
    <n v="0"/>
    <n v="129152696"/>
    <m/>
    <n v="134211462"/>
    <n v="2422468428"/>
    <n v="18876520"/>
    <n v="16144087"/>
    <n v="16144087"/>
    <n v="16144087"/>
    <n v="16144087"/>
    <n v="16144087"/>
    <n v="16144087"/>
    <n v="18470420"/>
    <n v="134211462"/>
    <n v="0"/>
    <s v="CONTRATO COSTEADO CON ALIMENTACION"/>
    <b v="1"/>
    <n v="0"/>
    <b v="1"/>
    <n v="0"/>
    <x v="1"/>
    <n v="1964"/>
  </r>
  <r>
    <x v="57"/>
    <s v="LOTE 2"/>
    <x v="5"/>
    <x v="47"/>
    <x v="2"/>
    <x v="0"/>
    <s v="KR 08 5 44  BARRIO SAGRADO CORAZON DE JESUS"/>
    <n v="54001115666"/>
    <s v="ARCOIRIS DE SUEÑOS"/>
    <n v="1"/>
    <n v="300"/>
    <m/>
    <n v="1964"/>
    <s v="ARTÍCULO 34 CONTRATACIÓN CON EL REGISTRO ÚNICO DE OFERENTES"/>
    <m/>
    <m/>
    <x v="0"/>
    <x v="0"/>
    <x v="8"/>
    <x v="8"/>
    <n v="229125"/>
    <n v="15205"/>
    <n v="92125"/>
    <s v=" "/>
    <s v=" "/>
    <m/>
    <n v="1256655000"/>
    <n v="0.02"/>
    <n v="25133100"/>
    <m/>
    <n v="2"/>
    <n v="1256655000"/>
    <n v="1281788100"/>
    <s v=" "/>
    <m/>
    <m/>
    <m/>
    <n v="26442900"/>
    <n v="22512900"/>
    <n v="0"/>
    <n v="1207699200"/>
    <m/>
    <n v="1256655000"/>
    <s v=" "/>
    <n v="177405300"/>
    <n v="150962400"/>
    <n v="150962400"/>
    <n v="150962400"/>
    <n v="150962400"/>
    <n v="150962400"/>
    <n v="150962400"/>
    <n v="173475300"/>
    <n v="1256655000"/>
    <n v="0"/>
    <s v="CONTRATO COSTEADO CON ALIMENTACION"/>
    <b v="1"/>
    <n v="0"/>
    <b v="1"/>
    <n v="0"/>
    <x v="1"/>
    <n v="1964"/>
  </r>
  <r>
    <x v="57"/>
    <s v="LOTE 2"/>
    <x v="5"/>
    <x v="47"/>
    <x v="1"/>
    <x v="0"/>
    <s v="VEREDAS LA ALMERIA Y CHALARCA"/>
    <n v="54001133831"/>
    <s v="MOLDEANDO SUEÑOS"/>
    <n v="1"/>
    <n v="50"/>
    <m/>
    <n v="1964"/>
    <s v="ARTÍCULO 34 CONTRATACIÓN CON EL REGISTRO ÚNICO DE OFERENTES"/>
    <m/>
    <m/>
    <x v="0"/>
    <x v="0"/>
    <x v="8"/>
    <x v="8"/>
    <n v="229125"/>
    <n v="15205"/>
    <n v="92125"/>
    <s v=" "/>
    <s v=" "/>
    <m/>
    <n v="75965250"/>
    <n v="0.02"/>
    <n v="1519305"/>
    <m/>
    <n v="3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4"/>
  </r>
  <r>
    <x v="57"/>
    <s v="LOTE 2"/>
    <x v="5"/>
    <x v="47"/>
    <x v="1"/>
    <x v="0"/>
    <s v="VEREDA EL GUARANGO, PANTALIO, COLMENAS"/>
    <n v="54001133833"/>
    <s v="SEMBRANDO SEMILLAS"/>
    <n v="1"/>
    <n v="50"/>
    <m/>
    <n v="1964"/>
    <s v="ARTÍCULO 34 CONTRATACIÓN CON EL REGISTRO ÚNICO DE OFERENTES"/>
    <m/>
    <m/>
    <x v="0"/>
    <x v="0"/>
    <x v="8"/>
    <x v="8"/>
    <n v="229125"/>
    <n v="15205"/>
    <n v="92125"/>
    <s v=" "/>
    <s v=" "/>
    <m/>
    <n v="75965250"/>
    <n v="0.02"/>
    <n v="1519305"/>
    <m/>
    <n v="4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4"/>
  </r>
  <r>
    <x v="57"/>
    <s v="LOTE 2"/>
    <x v="5"/>
    <x v="47"/>
    <x v="1"/>
    <x v="0"/>
    <s v="VEREDAS SAN JUAN 1 Y 2, SAN MIGUEL"/>
    <n v="54001133834"/>
    <s v="COSECHANDO VIDA"/>
    <n v="1"/>
    <n v="50"/>
    <m/>
    <n v="1964"/>
    <s v="ARTÍCULO 34 CONTRATACIÓN CON EL REGISTRO ÚNICO DE OFERENTES"/>
    <m/>
    <m/>
    <x v="0"/>
    <x v="0"/>
    <x v="8"/>
    <x v="8"/>
    <n v="229125"/>
    <n v="15205"/>
    <n v="92125"/>
    <s v=" "/>
    <s v=" "/>
    <m/>
    <n v="75965250"/>
    <n v="0.02"/>
    <n v="1519305"/>
    <m/>
    <n v="5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4"/>
  </r>
  <r>
    <x v="57"/>
    <s v="LOTE 2"/>
    <x v="5"/>
    <x v="47"/>
    <x v="1"/>
    <x v="0"/>
    <s v="VEREDA ACACIAS 1, 2, 3"/>
    <n v="54001133837"/>
    <s v="IRRIGANDO FRUTOS"/>
    <n v="1"/>
    <n v="50"/>
    <m/>
    <n v="1964"/>
    <s v="ARTÍCULO 34 CONTRATACIÓN CON EL REGISTRO ÚNICO DE OFERENTES"/>
    <m/>
    <m/>
    <x v="0"/>
    <x v="0"/>
    <x v="8"/>
    <x v="8"/>
    <n v="229125"/>
    <n v="15205"/>
    <n v="92125"/>
    <s v=" "/>
    <s v=" "/>
    <m/>
    <n v="75965250"/>
    <n v="0.02"/>
    <n v="1519305"/>
    <m/>
    <n v="6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4"/>
  </r>
  <r>
    <x v="57"/>
    <s v="LOTE 2"/>
    <x v="5"/>
    <x v="47"/>
    <x v="1"/>
    <x v="0"/>
    <s v="VEREDAS CHUSCALITO, BUENAVISTA, LAS TERESAS"/>
    <n v="54001147378"/>
    <s v="LABRANDO REALIDADES"/>
    <n v="1"/>
    <n v="50"/>
    <m/>
    <n v="1964"/>
    <s v="ARTÍCULO 34 CONTRATACIÓN CON EL REGISTRO ÚNICO DE OFERENTES"/>
    <m/>
    <m/>
    <x v="0"/>
    <x v="0"/>
    <x v="8"/>
    <x v="8"/>
    <n v="229125"/>
    <n v="15205"/>
    <n v="92125"/>
    <s v=" "/>
    <s v=" "/>
    <m/>
    <n v="75965250"/>
    <n v="0.02"/>
    <n v="1519305"/>
    <m/>
    <n v="7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4"/>
  </r>
  <r>
    <x v="57"/>
    <s v="LOTE 2"/>
    <x v="5"/>
    <x v="47"/>
    <x v="1"/>
    <x v="0"/>
    <s v="VEREDAS LA PALMERA 1,2 Y LA DIVISA"/>
    <n v="54001147380"/>
    <s v="RECOLECTANDO CONOCIMIENTOS"/>
    <n v="1"/>
    <n v="50"/>
    <m/>
    <n v="1964"/>
    <s v="ARTÍCULO 34 CONTRATACIÓN CON EL REGISTRO ÚNICO DE OFERENTES"/>
    <m/>
    <m/>
    <x v="0"/>
    <x v="0"/>
    <x v="8"/>
    <x v="8"/>
    <n v="229125"/>
    <n v="15205"/>
    <n v="92125"/>
    <s v=" "/>
    <s v=" "/>
    <m/>
    <n v="75965250"/>
    <n v="0.02"/>
    <n v="1519305"/>
    <m/>
    <n v="8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4"/>
  </r>
  <r>
    <x v="57"/>
    <s v="LOTE 2"/>
    <x v="5"/>
    <x v="47"/>
    <x v="4"/>
    <x v="0"/>
    <s v="CL 14 13 50 BARRIO BUENOS AIRES"/>
    <n v="540000038939"/>
    <s v="CDI JUGUETONES"/>
    <n v="1"/>
    <n v="133"/>
    <m/>
    <n v="1964"/>
    <s v="ARTÍCULO 34 CONTRATACIÓN CON EL REGISTRO ÚNICO DE OFERENTES"/>
    <m/>
    <m/>
    <x v="0"/>
    <x v="0"/>
    <x v="8"/>
    <x v="8"/>
    <n v="229125"/>
    <n v="15205"/>
    <n v="92125"/>
    <s v=" "/>
    <s v=" "/>
    <m/>
    <n v="575810466"/>
    <n v="0.02"/>
    <n v="11516209.32"/>
    <m/>
    <n v="9"/>
    <n v="575810466"/>
    <n v="587326675.32000005"/>
    <s v=" "/>
    <m/>
    <m/>
    <m/>
    <n v="11723019"/>
    <n v="9980719"/>
    <n v="0"/>
    <n v="554106728"/>
    <m/>
    <n v="575810466"/>
    <s v=" "/>
    <n v="80986360"/>
    <n v="69263341"/>
    <n v="69263341"/>
    <n v="69263341"/>
    <n v="69263341"/>
    <n v="69263341"/>
    <n v="69263341"/>
    <n v="79244060"/>
    <n v="575810466"/>
    <n v="0"/>
    <s v="CONTRATO COSTEADO CON ALIMENTACION"/>
    <b v="1"/>
    <n v="0"/>
    <b v="1"/>
    <n v="0"/>
    <x v="1"/>
    <n v="1964"/>
  </r>
  <r>
    <x v="58"/>
    <s v="LOTE 2"/>
    <x v="5"/>
    <x v="48"/>
    <x v="4"/>
    <x v="0"/>
    <s v="CL 30 25 124"/>
    <n v="54401148770"/>
    <s v="LA CASA DE CLARA"/>
    <n v="1"/>
    <n v="50"/>
    <m/>
    <n v="1966"/>
    <s v="ARTÍCULO 34 CONTRATACIÓN CON EL REGISTRO ÚNICO DE OFERENTES"/>
    <m/>
    <m/>
    <x v="0"/>
    <x v="0"/>
    <x v="42"/>
    <x v="41"/>
    <n v="229126"/>
    <n v="15234"/>
    <n v="88025"/>
    <n v="10"/>
    <n v="956"/>
    <m/>
    <n v="216470100"/>
    <n v="0.02"/>
    <n v="4329402"/>
    <m/>
    <n v="1"/>
    <n v="216470100"/>
    <n v="220799502"/>
    <n v="4037008112"/>
    <n v="80740162"/>
    <n v="4117748274"/>
    <n v="2835.9733839128908"/>
    <n v="4407150"/>
    <n v="3752150"/>
    <n v="0"/>
    <n v="208310800"/>
    <m/>
    <n v="216470100"/>
    <n v="4037008112"/>
    <n v="30446000"/>
    <n v="26038850"/>
    <n v="26038850"/>
    <n v="26038850"/>
    <n v="26038850"/>
    <n v="26038850"/>
    <n v="26038850"/>
    <n v="29791000"/>
    <n v="216470100"/>
    <n v="0"/>
    <s v="CONTRATO COSTEADO CON ALIMENTACION"/>
    <b v="1"/>
    <n v="0"/>
    <b v="1"/>
    <n v="0"/>
    <x v="1"/>
    <m/>
  </r>
  <r>
    <x v="58"/>
    <s v="LOTE 2"/>
    <x v="5"/>
    <x v="48"/>
    <x v="2"/>
    <x v="0"/>
    <s v="CL 32 32 A 16"/>
    <n v="54401149290"/>
    <s v="ESTRELLITAS DEL FUTURO"/>
    <n v="1"/>
    <n v="120"/>
    <m/>
    <n v="1966"/>
    <s v="ARTÍCULO 34 CONTRATACIÓN CON EL REGISTRO ÚNICO DE OFERENTES"/>
    <m/>
    <m/>
    <x v="0"/>
    <x v="0"/>
    <x v="42"/>
    <x v="41"/>
    <n v="229126"/>
    <n v="15234"/>
    <n v="88025"/>
    <s v=" "/>
    <s v=" "/>
    <m/>
    <n v="502662000"/>
    <n v="0.02"/>
    <n v="10053240"/>
    <m/>
    <n v="2"/>
    <n v="502662000"/>
    <n v="512715240"/>
    <s v=" "/>
    <m/>
    <m/>
    <m/>
    <n v="10577160"/>
    <n v="9005160"/>
    <n v="0"/>
    <n v="483079680"/>
    <m/>
    <n v="502662000"/>
    <s v=" "/>
    <n v="70962120"/>
    <n v="60384960"/>
    <n v="60384960"/>
    <n v="60384960"/>
    <n v="60384960"/>
    <n v="60384960"/>
    <n v="60384960"/>
    <n v="69390120"/>
    <n v="502662000"/>
    <n v="0"/>
    <s v="CONTRATO COSTEADO CON ALIMENTACION"/>
    <b v="1"/>
    <n v="0"/>
    <b v="1"/>
    <n v="0"/>
    <x v="1"/>
    <m/>
  </r>
  <r>
    <x v="58"/>
    <s v="LOTE 2"/>
    <x v="5"/>
    <x v="48"/>
    <x v="2"/>
    <x v="0"/>
    <s v="CL 32 32 A 58"/>
    <n v="54401153105"/>
    <s v="SEMILLITAS"/>
    <n v="1"/>
    <n v="300"/>
    <m/>
    <n v="1966"/>
    <s v="ARTÍCULO 34 CONTRATACIÓN CON EL REGISTRO ÚNICO DE OFERENTES"/>
    <m/>
    <m/>
    <x v="0"/>
    <x v="0"/>
    <x v="42"/>
    <x v="41"/>
    <n v="229126"/>
    <n v="15234"/>
    <n v="88025"/>
    <s v=" "/>
    <s v=" "/>
    <m/>
    <n v="1256655000"/>
    <n v="0.02"/>
    <n v="25133100"/>
    <m/>
    <n v="3"/>
    <n v="1256655000"/>
    <n v="1281788100"/>
    <s v=" "/>
    <m/>
    <m/>
    <m/>
    <n v="26442900"/>
    <n v="22512900"/>
    <n v="0"/>
    <n v="1207699200"/>
    <m/>
    <n v="1256655000"/>
    <s v=" "/>
    <n v="177405300"/>
    <n v="150962400"/>
    <n v="150962400"/>
    <n v="150962400"/>
    <n v="150962400"/>
    <n v="150962400"/>
    <n v="150962400"/>
    <n v="173475300"/>
    <n v="1256655000"/>
    <n v="0"/>
    <s v="CONTRATO COSTEADO CON ALIMENTACION"/>
    <b v="1"/>
    <n v="0"/>
    <b v="1"/>
    <n v="0"/>
    <x v="1"/>
    <m/>
  </r>
  <r>
    <x v="58"/>
    <s v="LOTE 2"/>
    <x v="5"/>
    <x v="48"/>
    <x v="2"/>
    <x v="0"/>
    <s v="KR 23 32 26 SIMONA DUQUE"/>
    <n v="544000032452"/>
    <s v="ESTRELLITAS DEL FUTURO 1"/>
    <n v="1"/>
    <n v="59"/>
    <m/>
    <n v="1966"/>
    <s v="ARTÍCULO 34 CONTRATACIÓN CON EL REGISTRO ÚNICO DE OFERENTES"/>
    <m/>
    <m/>
    <x v="0"/>
    <x v="0"/>
    <x v="42"/>
    <x v="41"/>
    <n v="229126"/>
    <n v="15234"/>
    <n v="88025"/>
    <s v=" "/>
    <s v=" "/>
    <m/>
    <n v="247142150"/>
    <n v="0.02"/>
    <n v="4942843"/>
    <m/>
    <n v="4"/>
    <n v="247142150"/>
    <n v="252084993"/>
    <s v=" "/>
    <m/>
    <m/>
    <m/>
    <n v="5200437"/>
    <n v="4427537"/>
    <n v="0"/>
    <n v="237514176"/>
    <m/>
    <n v="247142150"/>
    <s v=" "/>
    <n v="34889709"/>
    <n v="29689272"/>
    <n v="29689272"/>
    <n v="29689272"/>
    <n v="29689272"/>
    <n v="29689272"/>
    <n v="29689272"/>
    <n v="34116809"/>
    <n v="247142150"/>
    <n v="0"/>
    <s v="CONTRATO COSTEADO CON ALIMENTACION"/>
    <b v="1"/>
    <n v="0"/>
    <b v="1"/>
    <n v="0"/>
    <x v="1"/>
    <m/>
  </r>
  <r>
    <x v="58"/>
    <s v="LOTE 2"/>
    <x v="5"/>
    <x v="48"/>
    <x v="2"/>
    <x v="0"/>
    <s v="CL 20 A 36 C 08"/>
    <n v="544000032851"/>
    <s v="RAYITOS DE SOL"/>
    <n v="1"/>
    <n v="99"/>
    <m/>
    <n v="1966"/>
    <s v="ARTÍCULO 34 CONTRATACIÓN CON EL REGISTRO ÚNICO DE OFERENTES"/>
    <m/>
    <m/>
    <x v="0"/>
    <x v="0"/>
    <x v="42"/>
    <x v="41"/>
    <n v="229126"/>
    <n v="15234"/>
    <n v="88025"/>
    <s v=" "/>
    <s v=" "/>
    <m/>
    <n v="414696150"/>
    <n v="0.02"/>
    <n v="8293923"/>
    <m/>
    <n v="5"/>
    <n v="414696150"/>
    <n v="422990073"/>
    <s v=" "/>
    <m/>
    <m/>
    <m/>
    <n v="8726157"/>
    <n v="7429257"/>
    <n v="0"/>
    <n v="398540736"/>
    <m/>
    <n v="414696150"/>
    <s v=" "/>
    <n v="58543749"/>
    <n v="49817592"/>
    <n v="49817592"/>
    <n v="49817592"/>
    <n v="49817592"/>
    <n v="49817592"/>
    <n v="49817592"/>
    <n v="57246849"/>
    <n v="414696150"/>
    <n v="0"/>
    <s v="CONTRATO COSTEADO CON ALIMENTACION"/>
    <b v="1"/>
    <n v="0"/>
    <b v="1"/>
    <n v="0"/>
    <x v="1"/>
    <m/>
  </r>
  <r>
    <x v="58"/>
    <s v="LOTE 2"/>
    <x v="5"/>
    <x v="48"/>
    <x v="4"/>
    <x v="0"/>
    <s v="KR 29 29 31 CENTRO"/>
    <n v="544000088293"/>
    <s v="DEJAME CRECER"/>
    <n v="1"/>
    <n v="100"/>
    <m/>
    <n v="1966"/>
    <s v="ARTÍCULO 34 CONTRATACIÓN CON EL REGISTRO ÚNICO DE OFERENTES"/>
    <m/>
    <m/>
    <x v="0"/>
    <x v="0"/>
    <x v="42"/>
    <x v="41"/>
    <n v="229126"/>
    <n v="15234"/>
    <n v="88025"/>
    <s v=" "/>
    <s v=" "/>
    <m/>
    <n v="432940200"/>
    <n v="0.02"/>
    <n v="8658804"/>
    <m/>
    <n v="6"/>
    <n v="432940200"/>
    <n v="441599004"/>
    <s v=" "/>
    <m/>
    <m/>
    <m/>
    <n v="8814300"/>
    <n v="7504300"/>
    <n v="0"/>
    <n v="416621600"/>
    <m/>
    <n v="432940200"/>
    <s v=" "/>
    <n v="60892000"/>
    <n v="52077700"/>
    <n v="52077700"/>
    <n v="52077700"/>
    <n v="52077700"/>
    <n v="52077700"/>
    <n v="52077700"/>
    <n v="59582000"/>
    <n v="432940200"/>
    <n v="0"/>
    <s v="CONTRATO COSTEADO CON ALIMENTACION"/>
    <b v="1"/>
    <n v="0"/>
    <b v="1"/>
    <n v="0"/>
    <x v="1"/>
    <m/>
  </r>
  <r>
    <x v="58"/>
    <s v="LOTE 2"/>
    <x v="5"/>
    <x v="48"/>
    <x v="4"/>
    <x v="0"/>
    <s v="CL 30 35 78 APT 202"/>
    <n v="544000107007"/>
    <s v="CDI COLORIN COLORETE "/>
    <n v="1"/>
    <n v="81"/>
    <m/>
    <n v="1966"/>
    <s v="ARTÍCULO 34 CONTRATACIÓN CON EL REGISTRO ÚNICO DE OFERENTES"/>
    <m/>
    <m/>
    <x v="0"/>
    <x v="0"/>
    <x v="42"/>
    <x v="41"/>
    <n v="229126"/>
    <n v="15234"/>
    <n v="88025"/>
    <s v=" "/>
    <s v=" "/>
    <m/>
    <n v="350681562"/>
    <n v="0.02"/>
    <n v="7013631.2400000002"/>
    <m/>
    <n v="7"/>
    <n v="350681562"/>
    <n v="357695193.24000001"/>
    <s v=" "/>
    <m/>
    <m/>
    <m/>
    <n v="7139583"/>
    <n v="6078483"/>
    <n v="0"/>
    <n v="337463496"/>
    <m/>
    <n v="350681562"/>
    <s v=" "/>
    <n v="49322520"/>
    <n v="42182937"/>
    <n v="42182937"/>
    <n v="42182937"/>
    <n v="42182937"/>
    <n v="42182937"/>
    <n v="42182937"/>
    <n v="48261420"/>
    <n v="350681562"/>
    <n v="0"/>
    <s v="CONTRATO COSTEADO CON ALIMENTACION"/>
    <b v="1"/>
    <n v="0"/>
    <b v="1"/>
    <n v="0"/>
    <x v="1"/>
    <m/>
  </r>
  <r>
    <x v="58"/>
    <s v="LOTE 2"/>
    <x v="5"/>
    <x v="48"/>
    <x v="2"/>
    <x v="0"/>
    <s v="CL 20 45 55"/>
    <n v="544000107008"/>
    <s v="CARITA RISUEÑA"/>
    <n v="1"/>
    <n v="50"/>
    <m/>
    <n v="1966"/>
    <s v="ARTÍCULO 34 CONTRATACIÓN CON EL REGISTRO ÚNICO DE OFERENTES"/>
    <m/>
    <m/>
    <x v="0"/>
    <x v="0"/>
    <x v="42"/>
    <x v="41"/>
    <n v="229126"/>
    <n v="15234"/>
    <n v="88025"/>
    <s v=" "/>
    <s v=" "/>
    <m/>
    <n v="209442500"/>
    <n v="0.02"/>
    <n v="4188850"/>
    <m/>
    <n v="8"/>
    <n v="209442500"/>
    <n v="213631350"/>
    <s v=" "/>
    <m/>
    <m/>
    <m/>
    <n v="4407150"/>
    <n v="3752150"/>
    <n v="0"/>
    <n v="201283200"/>
    <m/>
    <n v="209442500"/>
    <s v=" "/>
    <n v="29567550"/>
    <n v="25160400"/>
    <n v="25160400"/>
    <n v="25160400"/>
    <n v="25160400"/>
    <n v="25160400"/>
    <n v="25160400"/>
    <n v="28912550"/>
    <n v="209442500"/>
    <n v="0"/>
    <s v="CONTRATO COSTEADO CON ALIMENTACION"/>
    <b v="1"/>
    <n v="0"/>
    <b v="1"/>
    <n v="0"/>
    <x v="1"/>
    <m/>
  </r>
  <r>
    <x v="58"/>
    <s v="LOTE 2"/>
    <x v="5"/>
    <x v="48"/>
    <x v="2"/>
    <x v="0"/>
    <s v="KR 45 A 29 37 BARILOCHE"/>
    <n v="544000107009"/>
    <s v="MI PEQUEÑA GRANJITA "/>
    <n v="1"/>
    <n v="60"/>
    <m/>
    <n v="1966"/>
    <s v="ARTÍCULO 34 CONTRATACIÓN CON EL REGISTRO ÚNICO DE OFERENTES"/>
    <m/>
    <m/>
    <x v="0"/>
    <x v="0"/>
    <x v="42"/>
    <x v="41"/>
    <n v="229126"/>
    <n v="15234"/>
    <n v="88025"/>
    <s v=" "/>
    <s v=" "/>
    <m/>
    <n v="251331000"/>
    <n v="0.02"/>
    <n v="5026620"/>
    <m/>
    <n v="9"/>
    <n v="251331000"/>
    <n v="256357620"/>
    <s v=" "/>
    <m/>
    <m/>
    <m/>
    <n v="5288580"/>
    <n v="4502580"/>
    <n v="0"/>
    <n v="241539840"/>
    <m/>
    <n v="251331000"/>
    <s v=" "/>
    <n v="35481060"/>
    <n v="30192480"/>
    <n v="30192480"/>
    <n v="30192480"/>
    <n v="30192480"/>
    <n v="30192480"/>
    <n v="30192480"/>
    <n v="34695060"/>
    <n v="251331000"/>
    <n v="0"/>
    <s v="CONTRATO COSTEADO CON ALIMENTACION"/>
    <b v="1"/>
    <n v="0"/>
    <b v="1"/>
    <n v="0"/>
    <x v="1"/>
    <m/>
  </r>
  <r>
    <x v="58"/>
    <s v="LOTE 2"/>
    <x v="5"/>
    <x v="48"/>
    <x v="2"/>
    <x v="0"/>
    <s v="CL 32 CARRERA 22 A 30 163"/>
    <n v="544000107010"/>
    <s v="CDI MIS PEQUEÑOS HEROES"/>
    <n v="1"/>
    <n v="37"/>
    <m/>
    <n v="1966"/>
    <s v="ARTÍCULO 34 CONTRATACIÓN CON EL REGISTRO ÚNICO DE OFERENTES"/>
    <m/>
    <m/>
    <x v="0"/>
    <x v="0"/>
    <x v="42"/>
    <x v="41"/>
    <n v="229126"/>
    <n v="15234"/>
    <n v="88025"/>
    <s v=" "/>
    <s v=" "/>
    <m/>
    <n v="154987450"/>
    <n v="0.02"/>
    <n v="3099749"/>
    <m/>
    <n v="10"/>
    <n v="154987450"/>
    <n v="158087199"/>
    <s v=" "/>
    <m/>
    <m/>
    <m/>
    <n v="3261291"/>
    <n v="2776591"/>
    <n v="0"/>
    <n v="148949568"/>
    <m/>
    <n v="154987450"/>
    <s v=" "/>
    <n v="21879987"/>
    <n v="18618696"/>
    <n v="18618696"/>
    <n v="18618696"/>
    <n v="18618696"/>
    <n v="18618696"/>
    <n v="18618696"/>
    <n v="21395287"/>
    <n v="154987450"/>
    <n v="0"/>
    <s v="CONTRATO COSTEADO CON ALIMENTACION"/>
    <b v="1"/>
    <n v="0"/>
    <b v="1"/>
    <n v="0"/>
    <x v="1"/>
    <m/>
  </r>
  <r>
    <x v="59"/>
    <s v="LOTE 2"/>
    <x v="5"/>
    <x v="48"/>
    <x v="1"/>
    <x v="0"/>
    <s v="MONTAÑITAS"/>
    <n v="54401115828"/>
    <s v="MONTAÑITA"/>
    <n v="1"/>
    <n v="50"/>
    <m/>
    <n v="1967"/>
    <s v="ARTÍCULO 34 CONTRATACIÓN CON EL REGISTRO ÚNICO DE OFERENTES"/>
    <m/>
    <m/>
    <x v="0"/>
    <x v="0"/>
    <x v="4"/>
    <x v="4"/>
    <n v="229127"/>
    <n v="15238"/>
    <n v="88225"/>
    <n v="11"/>
    <n v="546"/>
    <m/>
    <n v="75965250"/>
    <n v="0.02"/>
    <n v="1519305"/>
    <m/>
    <n v="1"/>
    <n v="75965250"/>
    <n v="77484555"/>
    <n v="829540530"/>
    <n v="16590811"/>
    <n v="846131341"/>
    <n v="582.74712328767123"/>
    <n v="2337200"/>
    <n v="1892050"/>
    <n v="0"/>
    <n v="71736000"/>
    <m/>
    <n v="75965250"/>
    <n v="829540530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7"/>
  </r>
  <r>
    <x v="59"/>
    <s v="LOTE 2"/>
    <x v="5"/>
    <x v="48"/>
    <x v="1"/>
    <x v="0"/>
    <s v="EL ROSARIO"/>
    <n v="54401115829"/>
    <s v="EL ROSARIO"/>
    <n v="1"/>
    <n v="50"/>
    <m/>
    <n v="1967"/>
    <s v="ARTÍCULO 34 CONTRATACIÓN CON EL REGISTRO ÚNICO DE OFERENTES"/>
    <m/>
    <m/>
    <x v="0"/>
    <x v="0"/>
    <x v="4"/>
    <x v="4"/>
    <n v="229127"/>
    <n v="15238"/>
    <n v="88225"/>
    <s v=" "/>
    <s v=" "/>
    <m/>
    <n v="75965250"/>
    <n v="0.02"/>
    <n v="1519305"/>
    <m/>
    <n v="2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7"/>
  </r>
  <r>
    <x v="59"/>
    <s v="LOTE 2"/>
    <x v="5"/>
    <x v="48"/>
    <x v="1"/>
    <x v="0"/>
    <s v="LAS MERCEDES"/>
    <n v="54401115838"/>
    <s v="LAS MERCEDES"/>
    <n v="1"/>
    <n v="50"/>
    <m/>
    <n v="1967"/>
    <s v="ARTÍCULO 34 CONTRATACIÓN CON EL REGISTRO ÚNICO DE OFERENTES"/>
    <m/>
    <m/>
    <x v="0"/>
    <x v="0"/>
    <x v="4"/>
    <x v="4"/>
    <n v="229127"/>
    <n v="15238"/>
    <n v="88225"/>
    <s v=" "/>
    <s v=" "/>
    <m/>
    <n v="75965250"/>
    <n v="0.02"/>
    <n v="1519305"/>
    <m/>
    <n v="3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7"/>
  </r>
  <r>
    <x v="59"/>
    <s v="LOTE 2"/>
    <x v="5"/>
    <x v="48"/>
    <x v="1"/>
    <x v="0"/>
    <s v="LA ESPERANZA PARTE ALTA"/>
    <n v="54401115839"/>
    <s v="LA ESPERANZA"/>
    <n v="1"/>
    <n v="49"/>
    <m/>
    <n v="1967"/>
    <s v="ARTÍCULO 34 CONTRATACIÓN CON EL REGISTRO ÚNICO DE OFERENTES"/>
    <m/>
    <m/>
    <x v="0"/>
    <x v="0"/>
    <x v="4"/>
    <x v="4"/>
    <n v="229127"/>
    <n v="15238"/>
    <n v="88225"/>
    <s v=" "/>
    <s v=" "/>
    <m/>
    <n v="74445945"/>
    <n v="0.02"/>
    <n v="1488918.9000000001"/>
    <m/>
    <n v="4"/>
    <n v="74445945"/>
    <n v="75934863.900000006"/>
    <s v=" "/>
    <m/>
    <m/>
    <m/>
    <n v="2290456"/>
    <n v="1854209"/>
    <n v="0"/>
    <n v="70301280"/>
    <m/>
    <n v="74445945"/>
    <s v=" "/>
    <n v="11078116"/>
    <n v="8787660"/>
    <n v="8787660"/>
    <n v="8787660"/>
    <n v="8787660"/>
    <n v="8787660"/>
    <n v="8787660"/>
    <n v="10641869"/>
    <n v="74445945"/>
    <n v="73821832"/>
    <s v="CONTRATO ADICIONAL POR ALIMENTACION"/>
    <b v="1"/>
    <n v="0"/>
    <b v="1"/>
    <n v="0"/>
    <x v="1"/>
    <n v="1967"/>
  </r>
  <r>
    <x v="59"/>
    <s v="LOTE 2"/>
    <x v="5"/>
    <x v="48"/>
    <x v="1"/>
    <x v="0"/>
    <s v="ALTO DEL MERCADO"/>
    <n v="54401136722"/>
    <s v="ALTO DEL MERCADO"/>
    <n v="1"/>
    <n v="49"/>
    <m/>
    <n v="1967"/>
    <s v="ARTÍCULO 34 CONTRATACIÓN CON EL REGISTRO ÚNICO DE OFERENTES"/>
    <m/>
    <m/>
    <x v="0"/>
    <x v="0"/>
    <x v="4"/>
    <x v="4"/>
    <n v="229127"/>
    <n v="15238"/>
    <n v="88225"/>
    <s v=" "/>
    <s v=" "/>
    <m/>
    <n v="74445945"/>
    <n v="0.02"/>
    <n v="1488918.9000000001"/>
    <m/>
    <n v="5"/>
    <n v="74445945"/>
    <n v="75934863.900000006"/>
    <s v=" "/>
    <m/>
    <m/>
    <m/>
    <n v="2290456"/>
    <n v="1854209"/>
    <n v="0"/>
    <n v="70301280"/>
    <m/>
    <n v="74445945"/>
    <s v=" "/>
    <n v="11078116"/>
    <n v="8787660"/>
    <n v="8787660"/>
    <n v="8787660"/>
    <n v="8787660"/>
    <n v="8787660"/>
    <n v="8787660"/>
    <n v="10641869"/>
    <n v="74445945"/>
    <n v="73821832"/>
    <s v="CONTRATO ADICIONAL POR ALIMENTACION"/>
    <b v="1"/>
    <n v="0"/>
    <b v="1"/>
    <n v="0"/>
    <x v="1"/>
    <n v="1967"/>
  </r>
  <r>
    <x v="59"/>
    <s v="LOTE 2"/>
    <x v="5"/>
    <x v="48"/>
    <x v="1"/>
    <x v="0"/>
    <s v="VEREDA CASCAJO ARRIBA"/>
    <n v="54401136733"/>
    <s v="CASCAJO ARRIBA"/>
    <n v="1"/>
    <n v="49"/>
    <m/>
    <n v="1967"/>
    <s v="ARTÍCULO 34 CONTRATACIÓN CON EL REGISTRO ÚNICO DE OFERENTES"/>
    <m/>
    <m/>
    <x v="0"/>
    <x v="0"/>
    <x v="4"/>
    <x v="4"/>
    <n v="229127"/>
    <n v="15238"/>
    <n v="88225"/>
    <s v=" "/>
    <s v=" "/>
    <m/>
    <n v="74445945"/>
    <n v="0.02"/>
    <n v="1488918.9000000001"/>
    <m/>
    <n v="6"/>
    <n v="74445945"/>
    <n v="75934863.900000006"/>
    <s v=" "/>
    <m/>
    <m/>
    <m/>
    <n v="2290456"/>
    <n v="1854209"/>
    <n v="0"/>
    <n v="70301280"/>
    <m/>
    <n v="74445945"/>
    <s v=" "/>
    <n v="11078116"/>
    <n v="8787660"/>
    <n v="8787660"/>
    <n v="8787660"/>
    <n v="8787660"/>
    <n v="8787660"/>
    <n v="8787660"/>
    <n v="10641869"/>
    <n v="74445945"/>
    <n v="73821832"/>
    <s v="CONTRATO ADICIONAL POR ALIMENTACION"/>
    <b v="1"/>
    <n v="0"/>
    <b v="1"/>
    <n v="0"/>
    <x v="1"/>
    <n v="1967"/>
  </r>
  <r>
    <x v="59"/>
    <s v="LOTE 2"/>
    <x v="5"/>
    <x v="48"/>
    <x v="1"/>
    <x v="0"/>
    <s v="ALTO DE CASCARILLO"/>
    <n v="54401136966"/>
    <s v="TINAJAS"/>
    <n v="1"/>
    <n v="50"/>
    <m/>
    <n v="1967"/>
    <s v="ARTÍCULO 34 CONTRATACIÓN CON EL REGISTRO ÚNICO DE OFERENTES"/>
    <m/>
    <m/>
    <x v="0"/>
    <x v="0"/>
    <x v="4"/>
    <x v="4"/>
    <n v="229127"/>
    <n v="15238"/>
    <n v="88225"/>
    <s v=" "/>
    <s v=" "/>
    <m/>
    <n v="75965250"/>
    <n v="0.02"/>
    <n v="1519305"/>
    <m/>
    <n v="7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7"/>
  </r>
  <r>
    <x v="59"/>
    <s v="LOTE 2"/>
    <x v="5"/>
    <x v="48"/>
    <x v="1"/>
    <x v="0"/>
    <s v="CENTRO EDUCATIVO RURAL YARUMOS"/>
    <n v="54401136970"/>
    <s v="YARUMOS"/>
    <n v="1"/>
    <n v="50"/>
    <m/>
    <n v="1967"/>
    <s v="ARTÍCULO 34 CONTRATACIÓN CON EL REGISTRO ÚNICO DE OFERENTES"/>
    <m/>
    <m/>
    <x v="0"/>
    <x v="0"/>
    <x v="4"/>
    <x v="4"/>
    <n v="229127"/>
    <n v="15238"/>
    <n v="88225"/>
    <s v=" "/>
    <s v=" "/>
    <m/>
    <n v="75965250"/>
    <n v="0.02"/>
    <n v="1519305"/>
    <m/>
    <n v="8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7"/>
  </r>
  <r>
    <x v="59"/>
    <s v="LOTE 2"/>
    <x v="5"/>
    <x v="48"/>
    <x v="1"/>
    <x v="0"/>
    <s v="LLANADAS"/>
    <n v="54401136987"/>
    <s v="LLANADAS"/>
    <n v="1"/>
    <n v="50"/>
    <m/>
    <n v="1967"/>
    <s v="ARTÍCULO 34 CONTRATACIÓN CON EL REGISTRO ÚNICO DE OFERENTES"/>
    <m/>
    <m/>
    <x v="0"/>
    <x v="0"/>
    <x v="4"/>
    <x v="4"/>
    <n v="229127"/>
    <n v="15238"/>
    <n v="88225"/>
    <s v=" "/>
    <s v=" "/>
    <m/>
    <n v="75965250"/>
    <n v="0.02"/>
    <n v="1519305"/>
    <m/>
    <n v="9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7"/>
  </r>
  <r>
    <x v="59"/>
    <s v="LOTE 2"/>
    <x v="5"/>
    <x v="48"/>
    <x v="1"/>
    <x v="0"/>
    <s v="CL 32 33 A 70"/>
    <n v="54401146615"/>
    <s v="SEDE ADMINISTRATIVA"/>
    <n v="1"/>
    <n v="49"/>
    <m/>
    <n v="1967"/>
    <s v="ARTÍCULO 34 CONTRATACIÓN CON EL REGISTRO ÚNICO DE OFERENTES"/>
    <m/>
    <m/>
    <x v="0"/>
    <x v="0"/>
    <x v="4"/>
    <x v="4"/>
    <n v="229127"/>
    <n v="15238"/>
    <n v="88225"/>
    <s v=" "/>
    <s v=" "/>
    <m/>
    <n v="74445945"/>
    <n v="0.02"/>
    <n v="1488918.9000000001"/>
    <m/>
    <n v="10"/>
    <n v="74445945"/>
    <n v="75934863.900000006"/>
    <s v=" "/>
    <m/>
    <m/>
    <m/>
    <n v="2290456"/>
    <n v="1854209"/>
    <n v="0"/>
    <n v="70301280"/>
    <m/>
    <n v="74445945"/>
    <s v=" "/>
    <n v="11078116"/>
    <n v="8787660"/>
    <n v="8787660"/>
    <n v="8787660"/>
    <n v="8787660"/>
    <n v="8787660"/>
    <n v="8787660"/>
    <n v="10641869"/>
    <n v="74445945"/>
    <n v="73821832"/>
    <s v="CONTRATO ADICIONAL POR ALIMENTACION"/>
    <b v="1"/>
    <n v="0"/>
    <b v="1"/>
    <n v="0"/>
    <x v="1"/>
    <n v="1967"/>
  </r>
  <r>
    <x v="59"/>
    <s v="LOTE 2"/>
    <x v="5"/>
    <x v="48"/>
    <x v="1"/>
    <x v="0"/>
    <s v="CASCAJO ABAJO"/>
    <n v="54401147008"/>
    <s v="CASCAJO ABAJO"/>
    <n v="1"/>
    <n v="50"/>
    <m/>
    <n v="1967"/>
    <s v="ARTÍCULO 34 CONTRATACIÓN CON EL REGISTRO ÚNICO DE OFERENTES"/>
    <m/>
    <m/>
    <x v="0"/>
    <x v="0"/>
    <x v="4"/>
    <x v="4"/>
    <n v="229127"/>
    <n v="15238"/>
    <n v="88225"/>
    <s v=" "/>
    <s v=" "/>
    <m/>
    <n v="75965250"/>
    <n v="0.02"/>
    <n v="1519305"/>
    <m/>
    <n v="11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1967"/>
  </r>
  <r>
    <x v="60"/>
    <s v="LOTE 2"/>
    <x v="0"/>
    <x v="49"/>
    <x v="5"/>
    <x v="0"/>
    <s v="VEREDA LEONCITO"/>
    <n v="54801119785"/>
    <s v="CANTINA LEONCITO"/>
    <n v="1"/>
    <n v="14"/>
    <m/>
    <n v="1969"/>
    <s v="ARTÍCULO 34 CONTRATACIÓN CON EL REGISTRO ÚNICO DE OFERENTES"/>
    <m/>
    <m/>
    <x v="0"/>
    <x v="0"/>
    <x v="43"/>
    <x v="42"/>
    <n v="229128"/>
    <n v="15206"/>
    <n v="92225"/>
    <n v="14"/>
    <n v="695"/>
    <m/>
    <n v="30522702"/>
    <n v="0.02"/>
    <n v="610454.04"/>
    <m/>
    <n v="1"/>
    <n v="30522702"/>
    <n v="31133156.039999999"/>
    <n v="1526516457"/>
    <n v="30530329"/>
    <n v="1557046786"/>
    <n v="1072.3684278187566"/>
    <n v="691264"/>
    <n v="574406"/>
    <n v="407400"/>
    <n v="28849632"/>
    <m/>
    <n v="30522702"/>
    <n v="1526516457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69"/>
  </r>
  <r>
    <x v="60"/>
    <s v="LOTE 2"/>
    <x v="0"/>
    <x v="49"/>
    <x v="5"/>
    <x v="0"/>
    <s v="BEDO PIÑALES"/>
    <n v="54801119789"/>
    <s v="CASA BEDO PIÑALES"/>
    <n v="1"/>
    <n v="17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37063281"/>
    <n v="0.02"/>
    <n v="741265.62"/>
    <m/>
    <n v="2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69"/>
  </r>
  <r>
    <x v="60"/>
    <s v="LOTE 2"/>
    <x v="0"/>
    <x v="49"/>
    <x v="5"/>
    <x v="0"/>
    <s v="VEREDA LA CRISTALINA"/>
    <n v="54801119791"/>
    <s v="CASA USUARIO LA CRISTALINA"/>
    <n v="1"/>
    <n v="11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23982123"/>
    <n v="0.02"/>
    <n v="479642.46"/>
    <m/>
    <n v="3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69"/>
  </r>
  <r>
    <x v="60"/>
    <s v="LOTE 2"/>
    <x v="0"/>
    <x v="49"/>
    <x v="5"/>
    <x v="0"/>
    <s v="CORREGIMIENTO PAVARANDO"/>
    <n v="54801119795"/>
    <s v="PAVARANDO"/>
    <n v="1"/>
    <n v="197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429498021"/>
    <n v="0.02"/>
    <n v="8589960.4199999999"/>
    <m/>
    <n v="4"/>
    <n v="429498021"/>
    <n v="438087981.42000002"/>
    <s v=" "/>
    <m/>
    <m/>
    <m/>
    <n v="9727072"/>
    <n v="8082713"/>
    <n v="5732700"/>
    <n v="405955536"/>
    <m/>
    <n v="429498021"/>
    <s v=" "/>
    <n v="66204214"/>
    <n v="50744442"/>
    <n v="50744442"/>
    <n v="50744442"/>
    <n v="50744442"/>
    <n v="50744442"/>
    <n v="50744442"/>
    <n v="58827155"/>
    <n v="429498021"/>
    <n v="284283608"/>
    <s v="CONTRATO ADICIONAL POR ALIMENTACION"/>
    <b v="1"/>
    <n v="0"/>
    <b v="1"/>
    <n v="0"/>
    <x v="1"/>
    <n v="1969"/>
  </r>
  <r>
    <x v="60"/>
    <s v="LOTE 2"/>
    <x v="0"/>
    <x v="49"/>
    <x v="5"/>
    <x v="0"/>
    <s v="BEJUQUILLO"/>
    <n v="54801135713"/>
    <s v="CANCHA BEJUQUILLO"/>
    <n v="1"/>
    <n v="20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43603860"/>
    <n v="0.02"/>
    <n v="872077.20000000007"/>
    <m/>
    <n v="5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69"/>
  </r>
  <r>
    <x v="60"/>
    <s v="LOTE 2"/>
    <x v="0"/>
    <x v="49"/>
    <x v="5"/>
    <x v="0"/>
    <s v="VEREDA CHADO"/>
    <n v="54801135750"/>
    <s v="CASA USUARIO CHADO"/>
    <n v="1"/>
    <n v="13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28342509"/>
    <n v="0.02"/>
    <n v="566850.18000000005"/>
    <m/>
    <n v="6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69"/>
  </r>
  <r>
    <x v="60"/>
    <s v="LOTE 2"/>
    <x v="0"/>
    <x v="49"/>
    <x v="8"/>
    <x v="0"/>
    <s v="KR 8 10 1"/>
    <n v="54801135799"/>
    <s v="CASA DE LA CULTURA_MUTATA"/>
    <n v="1"/>
    <n v="159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357933009"/>
    <n v="0.02"/>
    <n v="7158660.1799999997"/>
    <m/>
    <n v="7"/>
    <n v="357933009"/>
    <n v="365091669.18000001"/>
    <s v=" "/>
    <m/>
    <m/>
    <m/>
    <n v="8182617"/>
    <n v="6855444"/>
    <n v="4626900"/>
    <n v="338268048"/>
    <m/>
    <n v="357933009"/>
    <s v=" "/>
    <n v="55093023"/>
    <n v="42283506"/>
    <n v="42283506"/>
    <n v="42283506"/>
    <n v="42283506"/>
    <n v="42283506"/>
    <n v="42283506"/>
    <n v="49138950"/>
    <n v="357933009"/>
    <n v="229447176"/>
    <s v="CONTRATO ADICIONAL POR ALIMENTACION"/>
    <b v="1"/>
    <n v="0"/>
    <b v="1"/>
    <n v="0"/>
    <x v="1"/>
    <n v="1969"/>
  </r>
  <r>
    <x v="60"/>
    <s v="LOTE 2"/>
    <x v="0"/>
    <x v="49"/>
    <x v="5"/>
    <x v="0"/>
    <s v="VEREDA CAUCHERAS"/>
    <n v="54801135832"/>
    <s v="CAUCHERAS"/>
    <n v="1"/>
    <n v="141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307407213"/>
    <n v="0.02"/>
    <n v="6148144.2599999998"/>
    <m/>
    <n v="8"/>
    <n v="307407213"/>
    <n v="313555357.25999999"/>
    <s v=" "/>
    <m/>
    <m/>
    <m/>
    <n v="6962016"/>
    <n v="5785089"/>
    <n v="4103100"/>
    <n v="290557008"/>
    <m/>
    <n v="307407213"/>
    <s v=" "/>
    <n v="47384742"/>
    <n v="36319626"/>
    <n v="36319626"/>
    <n v="36319626"/>
    <n v="36319626"/>
    <n v="36319626"/>
    <n v="36319626"/>
    <n v="42104715"/>
    <n v="307407213"/>
    <n v="203472024"/>
    <s v="CONTRATO ADICIONAL POR ALIMENTACION"/>
    <b v="1"/>
    <n v="0"/>
    <b v="1"/>
    <n v="0"/>
    <x v="1"/>
    <n v="1969"/>
  </r>
  <r>
    <x v="60"/>
    <s v="LOTE 2"/>
    <x v="0"/>
    <x v="49"/>
    <x v="5"/>
    <x v="0"/>
    <s v="VEREDA CHONTADURAL"/>
    <n v="54801135841"/>
    <s v="CASA USUARIO CHONTADURAL"/>
    <n v="1"/>
    <n v="18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39243474"/>
    <n v="0.02"/>
    <n v="784869.48"/>
    <m/>
    <n v="9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1"/>
    <n v="1969"/>
  </r>
  <r>
    <x v="60"/>
    <s v="LOTE 2"/>
    <x v="0"/>
    <x v="49"/>
    <x v="5"/>
    <x v="0"/>
    <s v="LA  SECRETA"/>
    <n v="54801135844"/>
    <s v="COMEDOR ESCOLAR LA SECRETA"/>
    <n v="1"/>
    <n v="19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41423667"/>
    <n v="0.02"/>
    <n v="828473.34"/>
    <m/>
    <n v="10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1969"/>
  </r>
  <r>
    <x v="60"/>
    <s v="LOTE 2"/>
    <x v="0"/>
    <x v="49"/>
    <x v="5"/>
    <x v="0"/>
    <s v="VEREDA PAVARANDOCITO"/>
    <n v="54801135861"/>
    <s v="SEDE COMUNAL PAVARANDOCITO"/>
    <n v="1"/>
    <n v="29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63225597"/>
    <n v="0.02"/>
    <n v="1264511.94"/>
    <m/>
    <n v="11"/>
    <n v="63225597"/>
    <n v="64490108.939999998"/>
    <s v=" "/>
    <m/>
    <m/>
    <m/>
    <n v="1431904"/>
    <n v="1189841"/>
    <n v="843900"/>
    <n v="59759952"/>
    <m/>
    <n v="63225597"/>
    <s v=" "/>
    <n v="9745798"/>
    <n v="7469994"/>
    <n v="7469994"/>
    <n v="7469994"/>
    <n v="7469994"/>
    <n v="7469994"/>
    <n v="7469994"/>
    <n v="8659835"/>
    <n v="63225597"/>
    <n v="41848856"/>
    <s v="CONTRATO ADICIONAL POR ALIMENTACION"/>
    <b v="1"/>
    <n v="0"/>
    <b v="1"/>
    <n v="0"/>
    <x v="1"/>
    <n v="1969"/>
  </r>
  <r>
    <x v="60"/>
    <s v="LOTE 2"/>
    <x v="0"/>
    <x v="49"/>
    <x v="5"/>
    <x v="0"/>
    <s v="VEREDA JURADO RUTA 646185"/>
    <n v="54801139905"/>
    <s v="CACAOS"/>
    <n v="1"/>
    <n v="15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32702895"/>
    <n v="0.02"/>
    <n v="654057.9"/>
    <m/>
    <n v="12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1969"/>
  </r>
  <r>
    <x v="60"/>
    <s v="LOTE 2"/>
    <x v="0"/>
    <x v="49"/>
    <x v="5"/>
    <x v="0"/>
    <s v="LA FORTUNA"/>
    <n v="54801140524"/>
    <s v="ESCUELA LA FORTUNA"/>
    <n v="1"/>
    <n v="17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37063281"/>
    <n v="0.02"/>
    <n v="741265.62"/>
    <m/>
    <n v="13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69"/>
  </r>
  <r>
    <x v="60"/>
    <s v="LOTE 2"/>
    <x v="0"/>
    <x v="49"/>
    <x v="5"/>
    <x v="0"/>
    <s v="CAUCHERAS"/>
    <n v="54801143639"/>
    <s v="CASA USUARIO MUNGUDO ARRIBA"/>
    <n v="1"/>
    <n v="25"/>
    <m/>
    <n v="1969"/>
    <s v="ARTÍCULO 34 CONTRATACIÓN CON EL REGISTRO ÚNICO DE OFERENTES"/>
    <m/>
    <m/>
    <x v="0"/>
    <x v="0"/>
    <x v="43"/>
    <x v="42"/>
    <n v="229128"/>
    <n v="15206"/>
    <n v="92225"/>
    <s v=" "/>
    <s v=" "/>
    <m/>
    <n v="54504825"/>
    <n v="0.02"/>
    <n v="1090096.5"/>
    <m/>
    <n v="14"/>
    <n v="54504825"/>
    <n v="55594921.5"/>
    <s v=" "/>
    <m/>
    <m/>
    <m/>
    <n v="1234400"/>
    <n v="1025725"/>
    <n v="727500"/>
    <n v="51517200"/>
    <m/>
    <n v="54504825"/>
    <s v=" "/>
    <n v="8401550"/>
    <n v="6439650"/>
    <n v="6439650"/>
    <n v="6439650"/>
    <n v="6439650"/>
    <n v="6439650"/>
    <n v="6439650"/>
    <n v="7465375"/>
    <n v="54504825"/>
    <n v="36076600"/>
    <s v="CONTRATO ADICIONAL POR ALIMENTACION"/>
    <b v="1"/>
    <n v="0"/>
    <b v="1"/>
    <n v="0"/>
    <x v="1"/>
    <n v="1969"/>
  </r>
  <r>
    <x v="61"/>
    <s v="LOTE 2"/>
    <x v="5"/>
    <x v="50"/>
    <x v="5"/>
    <x v="0"/>
    <s v="VEREDA EL LIMON"/>
    <n v="54831118027"/>
    <s v="MANITAS CREATIVAS"/>
    <n v="1"/>
    <n v="48"/>
    <m/>
    <n v="1970"/>
    <s v="ARTÍCULO 34 CONTRATACIÓN CON EL REGISTRO ÚNICO DE OFERENTES"/>
    <m/>
    <m/>
    <x v="0"/>
    <x v="0"/>
    <x v="44"/>
    <x v="43"/>
    <n v="229129"/>
    <n v="15236"/>
    <n v="88125"/>
    <n v="6"/>
    <n v="329"/>
    <m/>
    <n v="104649264"/>
    <n v="0.02"/>
    <n v="2092985.28"/>
    <m/>
    <n v="1"/>
    <n v="104649264"/>
    <n v="106742249.28"/>
    <n v="877976057"/>
    <n v="17559521"/>
    <n v="895535578"/>
    <n v="616.77278328064631"/>
    <n v="2370048"/>
    <n v="1969392"/>
    <n v="1396800"/>
    <n v="98913024"/>
    <m/>
    <n v="104649264"/>
    <n v="877976057"/>
    <n v="16130976"/>
    <n v="12364128"/>
    <n v="12364128"/>
    <n v="12364128"/>
    <n v="12364128"/>
    <n v="12364128"/>
    <n v="12364128"/>
    <n v="14333520"/>
    <n v="104649264"/>
    <n v="69267072"/>
    <s v="CONTRATACIÓN ALIMENTOS - DPI"/>
    <b v="1"/>
    <n v="0"/>
    <b v="1"/>
    <n v="0"/>
    <x v="1"/>
    <m/>
  </r>
  <r>
    <x v="61"/>
    <s v="LOTE 2"/>
    <x v="5"/>
    <x v="50"/>
    <x v="5"/>
    <x v="0"/>
    <s v="GUAMAL"/>
    <n v="54831134931"/>
    <s v="RAYITO DE SOL"/>
    <n v="1"/>
    <n v="47"/>
    <m/>
    <n v="1970"/>
    <s v="ARTÍCULO 34 CONTRATACIÓN CON EL REGISTRO ÚNICO DE OFERENTES"/>
    <m/>
    <m/>
    <x v="0"/>
    <x v="0"/>
    <x v="44"/>
    <x v="43"/>
    <n v="229129"/>
    <n v="15236"/>
    <n v="88125"/>
    <s v=" "/>
    <s v=" "/>
    <m/>
    <n v="102469071"/>
    <n v="0.02"/>
    <n v="2049381.4200000002"/>
    <m/>
    <n v="2"/>
    <n v="102469071"/>
    <n v="104518452.42"/>
    <s v=" "/>
    <m/>
    <m/>
    <m/>
    <n v="2320672"/>
    <n v="1928363"/>
    <n v="1367700"/>
    <n v="96852336"/>
    <m/>
    <n v="102469071"/>
    <s v=" "/>
    <n v="15794914"/>
    <n v="12106542"/>
    <n v="12106542"/>
    <n v="12106542"/>
    <n v="12106542"/>
    <n v="12106542"/>
    <n v="12106542"/>
    <n v="14034905"/>
    <n v="102469071"/>
    <n v="67824008"/>
    <s v="CONTRATACIÓN ALIMENTOS - DPI"/>
    <b v="1"/>
    <n v="0"/>
    <b v="1"/>
    <n v="0"/>
    <x v="1"/>
    <m/>
  </r>
  <r>
    <x v="61"/>
    <s v="LOTE 2"/>
    <x v="5"/>
    <x v="50"/>
    <x v="5"/>
    <x v="0"/>
    <s v="VEREDA SAN ANDRES"/>
    <n v="54831134965"/>
    <s v="PEQUEÑOS COMIENZOS"/>
    <n v="1"/>
    <n v="51"/>
    <m/>
    <n v="1970"/>
    <s v="ARTÍCULO 34 CONTRATACIÓN CON EL REGISTRO ÚNICO DE OFERENTES"/>
    <m/>
    <m/>
    <x v="0"/>
    <x v="0"/>
    <x v="44"/>
    <x v="43"/>
    <n v="229129"/>
    <n v="15236"/>
    <n v="88125"/>
    <s v=" "/>
    <s v=" "/>
    <m/>
    <n v="111189843"/>
    <n v="0.02"/>
    <n v="2223796.86"/>
    <m/>
    <n v="3"/>
    <n v="111189843"/>
    <n v="113413639.86"/>
    <s v=" "/>
    <m/>
    <m/>
    <m/>
    <n v="2518176"/>
    <n v="2092479"/>
    <n v="1484100"/>
    <n v="105095088"/>
    <m/>
    <n v="111189843"/>
    <s v=" "/>
    <n v="17139162"/>
    <n v="13136886"/>
    <n v="13136886"/>
    <n v="13136886"/>
    <n v="13136886"/>
    <n v="13136886"/>
    <n v="13136886"/>
    <n v="15229365"/>
    <n v="111189843"/>
    <n v="73596264"/>
    <s v="CONTRATACIÓN ALIMENTOS - DPI"/>
    <b v="1"/>
    <n v="0"/>
    <b v="1"/>
    <n v="0"/>
    <x v="1"/>
    <m/>
  </r>
  <r>
    <x v="61"/>
    <s v="LOTE 2"/>
    <x v="5"/>
    <x v="50"/>
    <x v="5"/>
    <x v="0"/>
    <s v="VEREDA EL ROBLE"/>
    <n v="54831148709"/>
    <s v="PEQUEÑOS EXPLORADORES"/>
    <n v="1"/>
    <n v="52"/>
    <m/>
    <n v="1970"/>
    <s v="ARTÍCULO 34 CONTRATACIÓN CON EL REGISTRO ÚNICO DE OFERENTES"/>
    <m/>
    <m/>
    <x v="0"/>
    <x v="0"/>
    <x v="44"/>
    <x v="43"/>
    <n v="229129"/>
    <n v="15236"/>
    <n v="88125"/>
    <s v=" "/>
    <s v=" "/>
    <m/>
    <n v="113370036"/>
    <n v="0.02"/>
    <n v="2267400.7200000002"/>
    <m/>
    <n v="4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ACIÓN ALIMENTOS - DPI"/>
    <b v="1"/>
    <n v="0"/>
    <b v="1"/>
    <n v="0"/>
    <x v="1"/>
    <m/>
  </r>
  <r>
    <x v="61"/>
    <s v="LOTE 2"/>
    <x v="5"/>
    <x v="50"/>
    <x v="5"/>
    <x v="0"/>
    <s v="VEREDA EL GUAMITO"/>
    <n v="54831148710"/>
    <s v="COPITOS DE AMOR"/>
    <n v="1"/>
    <n v="51"/>
    <m/>
    <n v="1970"/>
    <s v="ARTÍCULO 34 CONTRATACIÓN CON EL REGISTRO ÚNICO DE OFERENTES"/>
    <m/>
    <m/>
    <x v="0"/>
    <x v="0"/>
    <x v="44"/>
    <x v="43"/>
    <n v="229129"/>
    <n v="15236"/>
    <n v="88125"/>
    <s v=" "/>
    <s v=" "/>
    <m/>
    <n v="111189843"/>
    <n v="0.02"/>
    <n v="2223796.86"/>
    <m/>
    <n v="5"/>
    <n v="111189843"/>
    <n v="113413639.86"/>
    <s v=" "/>
    <m/>
    <m/>
    <m/>
    <n v="2518176"/>
    <n v="2092479"/>
    <n v="1484100"/>
    <n v="105095088"/>
    <m/>
    <n v="111189843"/>
    <s v=" "/>
    <n v="17139162"/>
    <n v="13136886"/>
    <n v="13136886"/>
    <n v="13136886"/>
    <n v="13136886"/>
    <n v="13136886"/>
    <n v="13136886"/>
    <n v="15229365"/>
    <n v="111189843"/>
    <n v="73596264"/>
    <s v="CONTRATACIÓN ALIMENTOS - DPI"/>
    <b v="1"/>
    <n v="0"/>
    <b v="1"/>
    <n v="0"/>
    <x v="1"/>
    <m/>
  </r>
  <r>
    <x v="61"/>
    <s v="LOTE 2"/>
    <x v="5"/>
    <x v="50"/>
    <x v="2"/>
    <x v="0"/>
    <s v="KR 6 12 07"/>
    <n v="548300032887"/>
    <s v="SEMBRANDO SUEÑOS Y SABIDURIAS"/>
    <n v="1"/>
    <n v="80"/>
    <m/>
    <n v="1970"/>
    <s v="ARTÍCULO 34 CONTRATACIÓN CON EL REGISTRO ÚNICO DE OFERENTES"/>
    <m/>
    <m/>
    <x v="0"/>
    <x v="0"/>
    <x v="44"/>
    <x v="43"/>
    <n v="229129"/>
    <n v="15236"/>
    <n v="88125"/>
    <s v=" "/>
    <s v=" "/>
    <m/>
    <n v="335108000"/>
    <n v="0.02"/>
    <n v="6702160"/>
    <m/>
    <n v="6"/>
    <n v="335108000"/>
    <n v="341810160"/>
    <s v=" "/>
    <m/>
    <m/>
    <m/>
    <n v="7051440"/>
    <n v="6003440"/>
    <n v="0"/>
    <n v="322053120"/>
    <m/>
    <n v="335108000"/>
    <s v=" "/>
    <n v="47308080"/>
    <n v="40256640"/>
    <n v="40256640"/>
    <n v="40256640"/>
    <n v="40256640"/>
    <n v="40256640"/>
    <n v="40256640"/>
    <n v="46260080"/>
    <n v="335108000"/>
    <n v="0"/>
    <s v="CONTRATO COSTEADO CON ALIMENTACION"/>
    <b v="1"/>
    <n v="0"/>
    <b v="1"/>
    <n v="0"/>
    <x v="1"/>
    <m/>
  </r>
  <r>
    <x v="62"/>
    <s v="LOTE 2"/>
    <x v="11"/>
    <x v="51"/>
    <x v="5"/>
    <x v="0"/>
    <s v="VEREDA TRES CASAS"/>
    <n v="54951116575"/>
    <s v="SALON COMUNAL MI CASITA DE AMOR"/>
    <n v="1"/>
    <n v="15"/>
    <m/>
    <n v="1972"/>
    <s v="ARTÍCULO 34 CONTRATACIÓN CON EL REGISTRO ÚNICO DE OFERENTES"/>
    <m/>
    <m/>
    <x v="0"/>
    <x v="0"/>
    <x v="4"/>
    <x v="4"/>
    <n v="229130"/>
    <n v="15240"/>
    <n v="88425"/>
    <n v="31"/>
    <n v="642"/>
    <m/>
    <n v="32702895"/>
    <n v="0.02"/>
    <n v="654057.9"/>
    <m/>
    <n v="1"/>
    <n v="32702895"/>
    <n v="33356952.899999999"/>
    <n v="1399683906"/>
    <n v="27993678"/>
    <n v="1427677584"/>
    <n v="983.26934035827185"/>
    <n v="740640"/>
    <n v="615435"/>
    <n v="436500"/>
    <n v="30910320"/>
    <m/>
    <n v="32702895"/>
    <n v="1399683906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1972"/>
  </r>
  <r>
    <x v="62"/>
    <s v="LOTE 2"/>
    <x v="11"/>
    <x v="51"/>
    <x v="5"/>
    <x v="0"/>
    <s v="VEREDA LA ESPERANZA"/>
    <n v="54951116578"/>
    <s v="CASA LOS TRIUNFADORES LA ESPERANZA"/>
    <n v="1"/>
    <n v="16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34883088"/>
    <n v="0.02"/>
    <n v="697661.76"/>
    <m/>
    <n v="2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72"/>
  </r>
  <r>
    <x v="62"/>
    <s v="LOTE 2"/>
    <x v="11"/>
    <x v="51"/>
    <x v="5"/>
    <x v="0"/>
    <s v="VEREDA LA CONCEPCION"/>
    <n v="54951116579"/>
    <s v="CASETA LOS ANGELITOS"/>
    <n v="1"/>
    <n v="31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67585983"/>
    <n v="0.02"/>
    <n v="1351719.66"/>
    <m/>
    <n v="3"/>
    <n v="67585983"/>
    <n v="68937702.659999996"/>
    <s v=" "/>
    <m/>
    <m/>
    <m/>
    <n v="1530656"/>
    <n v="1271899"/>
    <n v="902100"/>
    <n v="63881328"/>
    <m/>
    <n v="67585983"/>
    <s v=" "/>
    <n v="10417922"/>
    <n v="7985166"/>
    <n v="7985166"/>
    <n v="7985166"/>
    <n v="7985166"/>
    <n v="7985166"/>
    <n v="7985166"/>
    <n v="9257065"/>
    <n v="67585983"/>
    <n v="44734984"/>
    <s v="CONTRATO ADICIONAL POR ALIMENTACION"/>
    <b v="1"/>
    <n v="0"/>
    <b v="1"/>
    <n v="0"/>
    <x v="1"/>
    <n v="1972"/>
  </r>
  <r>
    <x v="62"/>
    <s v="LOTE 2"/>
    <x v="11"/>
    <x v="51"/>
    <x v="5"/>
    <x v="0"/>
    <s v="VEREDA TRINIDAD ARRIBA"/>
    <n v="54951116580"/>
    <s v="CAPILLA LOS HEREDEROS DEL REINO T"/>
    <n v="1"/>
    <n v="29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63225597"/>
    <n v="0.02"/>
    <n v="1264511.94"/>
    <m/>
    <n v="4"/>
    <n v="63225597"/>
    <n v="64490108.939999998"/>
    <s v=" "/>
    <m/>
    <m/>
    <m/>
    <n v="1431904"/>
    <n v="1189841"/>
    <n v="843900"/>
    <n v="59759952"/>
    <m/>
    <n v="63225597"/>
    <s v=" "/>
    <n v="9745798"/>
    <n v="7469994"/>
    <n v="7469994"/>
    <n v="7469994"/>
    <n v="7469994"/>
    <n v="7469994"/>
    <n v="7469994"/>
    <n v="8659835"/>
    <n v="63225597"/>
    <n v="41848856"/>
    <s v="CONTRATO ADICIONAL POR ALIMENTACION"/>
    <b v="1"/>
    <n v="0"/>
    <b v="1"/>
    <n v="0"/>
    <x v="1"/>
    <n v="1972"/>
  </r>
  <r>
    <x v="62"/>
    <s v="LOTE 2"/>
    <x v="11"/>
    <x v="51"/>
    <x v="5"/>
    <x v="0"/>
    <s v="VEREDA LA PLATA"/>
    <n v="54951116582"/>
    <s v="ESCUELA GOTITAS DE TERNURA LA PLATA"/>
    <n v="1"/>
    <n v="19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41423667"/>
    <n v="0.02"/>
    <n v="828473.34"/>
    <m/>
    <n v="5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1972"/>
  </r>
  <r>
    <x v="62"/>
    <s v="LOTE 2"/>
    <x v="11"/>
    <x v="51"/>
    <x v="5"/>
    <x v="0"/>
    <s v="VEREDA PLATANAL"/>
    <n v="54951116584"/>
    <s v="SALON COMUNAL LOS VENCEDORES"/>
    <n v="1"/>
    <n v="19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41423667"/>
    <n v="0.02"/>
    <n v="828473.34"/>
    <m/>
    <n v="6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1972"/>
  </r>
  <r>
    <x v="62"/>
    <s v="LOTE 2"/>
    <x v="11"/>
    <x v="51"/>
    <x v="5"/>
    <x v="0"/>
    <s v="VEREDE PUERTO ASTILLA"/>
    <n v="54951116586"/>
    <s v="CASETA PEKITAS DE AMOR PUERTO ASTILLA"/>
    <n v="1"/>
    <n v="24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52324632"/>
    <n v="0.02"/>
    <n v="1046492.64"/>
    <m/>
    <n v="7"/>
    <n v="52324632"/>
    <n v="53371124.640000001"/>
    <s v=" "/>
    <m/>
    <m/>
    <m/>
    <n v="1185024"/>
    <n v="984696"/>
    <n v="698400"/>
    <n v="49456512"/>
    <m/>
    <n v="52324632"/>
    <s v=" "/>
    <n v="8065488"/>
    <n v="6182064"/>
    <n v="6182064"/>
    <n v="6182064"/>
    <n v="6182064"/>
    <n v="6182064"/>
    <n v="6182064"/>
    <n v="7166760"/>
    <n v="52324632"/>
    <n v="34633536"/>
    <s v="CONTRATO ADICIONAL POR ALIMENTACION"/>
    <b v="1"/>
    <n v="0"/>
    <b v="1"/>
    <n v="0"/>
    <x v="1"/>
    <n v="1972"/>
  </r>
  <r>
    <x v="62"/>
    <s v="LOTE 2"/>
    <x v="11"/>
    <x v="51"/>
    <x v="5"/>
    <x v="0"/>
    <s v="SAN PABLO ARRIBA"/>
    <n v="54951136470"/>
    <s v="SALON COMUNAL MISPEQUEÑOS VALIENTES SAN P"/>
    <n v="1"/>
    <n v="28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61045404"/>
    <n v="0.02"/>
    <n v="1220908.08"/>
    <m/>
    <n v="8"/>
    <n v="61045404"/>
    <n v="62266312.079999998"/>
    <s v=" "/>
    <m/>
    <m/>
    <m/>
    <n v="1382528"/>
    <n v="1148812"/>
    <n v="814800"/>
    <n v="57699264"/>
    <m/>
    <n v="61045404"/>
    <s v=" "/>
    <n v="9409736"/>
    <n v="7212408"/>
    <n v="7212408"/>
    <n v="7212408"/>
    <n v="7212408"/>
    <n v="7212408"/>
    <n v="7212408"/>
    <n v="8361220"/>
    <n v="61045404"/>
    <n v="40405792"/>
    <s v="CONTRATO ADICIONAL POR ALIMENTACION"/>
    <b v="1"/>
    <n v="0"/>
    <b v="1"/>
    <n v="0"/>
    <x v="1"/>
    <n v="1972"/>
  </r>
  <r>
    <x v="62"/>
    <s v="LOTE 2"/>
    <x v="11"/>
    <x v="51"/>
    <x v="5"/>
    <x v="0"/>
    <s v="CORREGIMIENTO EL CEDRO"/>
    <n v="54951136473"/>
    <s v="CAPILLA LLUVIAS DE AMOR EL CEDRO"/>
    <n v="1"/>
    <n v="10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21801930"/>
    <n v="0.02"/>
    <n v="436038.60000000003"/>
    <m/>
    <n v="9"/>
    <n v="21801930"/>
    <n v="22237968.600000001"/>
    <s v=" "/>
    <m/>
    <m/>
    <m/>
    <n v="493760"/>
    <n v="410290"/>
    <n v="291000"/>
    <n v="20606880"/>
    <m/>
    <n v="21801930"/>
    <s v=" "/>
    <n v="3360620"/>
    <n v="2575860"/>
    <n v="2575860"/>
    <n v="2575860"/>
    <n v="2575860"/>
    <n v="2575860"/>
    <n v="2575860"/>
    <n v="2986150"/>
    <n v="21801930"/>
    <n v="14430640"/>
    <s v="CONTRATO ADICIONAL POR ALIMENTACION"/>
    <b v="1"/>
    <n v="0"/>
    <b v="1"/>
    <n v="0"/>
    <x v="1"/>
    <n v="1972"/>
  </r>
  <r>
    <x v="62"/>
    <s v="LOTE 2"/>
    <x v="11"/>
    <x v="51"/>
    <x v="5"/>
    <x v="0"/>
    <s v="CORREGIMIENTO DE COLORADO"/>
    <n v="54951136476"/>
    <s v="CASA LOS COLORADITOS COLORADO"/>
    <n v="1"/>
    <n v="35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76306755"/>
    <n v="0.02"/>
    <n v="1526135.1"/>
    <m/>
    <n v="10"/>
    <n v="76306755"/>
    <n v="77832890.099999994"/>
    <s v=" "/>
    <m/>
    <m/>
    <m/>
    <n v="1728160"/>
    <n v="1436015"/>
    <n v="1018500"/>
    <n v="72124080"/>
    <m/>
    <n v="76306755"/>
    <s v=" "/>
    <n v="11762170"/>
    <n v="9015510"/>
    <n v="9015510"/>
    <n v="9015510"/>
    <n v="9015510"/>
    <n v="9015510"/>
    <n v="9015510"/>
    <n v="10451525"/>
    <n v="76306755"/>
    <n v="50507240"/>
    <s v="CONTRATO ADICIONAL POR ALIMENTACION"/>
    <b v="1"/>
    <n v="0"/>
    <b v="1"/>
    <n v="0"/>
    <x v="1"/>
    <n v="1972"/>
  </r>
  <r>
    <x v="62"/>
    <s v="LOTE 2"/>
    <x v="11"/>
    <x v="51"/>
    <x v="5"/>
    <x v="0"/>
    <s v="VEREDA LA YE"/>
    <n v="54951136477"/>
    <s v="CASETA BENDICIONES VEREDA LA YE"/>
    <n v="1"/>
    <n v="20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43603860"/>
    <n v="0.02"/>
    <n v="872077.20000000007"/>
    <m/>
    <n v="11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72"/>
  </r>
  <r>
    <x v="62"/>
    <s v="LOTE 2"/>
    <x v="11"/>
    <x v="51"/>
    <x v="5"/>
    <x v="0"/>
    <s v="PLAN BONITO"/>
    <n v="54951136482"/>
    <s v="CASETA ESTRELLAS JUVENILES"/>
    <n v="1"/>
    <n v="22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47964246"/>
    <n v="0.02"/>
    <n v="959284.92"/>
    <m/>
    <n v="12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1"/>
    <n v="1972"/>
  </r>
  <r>
    <x v="62"/>
    <s v="LOTE 2"/>
    <x v="11"/>
    <x v="51"/>
    <x v="5"/>
    <x v="0"/>
    <s v="CAÑO PESCADO"/>
    <n v="54951136487"/>
    <s v="CASETA LOS PECESITOS CAÑO PESCADO"/>
    <n v="1"/>
    <n v="14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30522702"/>
    <n v="0.02"/>
    <n v="610454.04"/>
    <m/>
    <n v="13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72"/>
  </r>
  <r>
    <x v="62"/>
    <s v="LOTE 2"/>
    <x v="11"/>
    <x v="51"/>
    <x v="5"/>
    <x v="0"/>
    <s v="BIJAGUAL"/>
    <n v="54951136490"/>
    <s v="CASETA LOS PRINCIPITOS BIJAGUAL"/>
    <n v="1"/>
    <n v="31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67585983"/>
    <n v="0.02"/>
    <n v="1351719.66"/>
    <m/>
    <n v="14"/>
    <n v="67585983"/>
    <n v="68937702.659999996"/>
    <s v=" "/>
    <m/>
    <m/>
    <m/>
    <n v="1530656"/>
    <n v="1271899"/>
    <n v="902100"/>
    <n v="63881328"/>
    <m/>
    <n v="67585983"/>
    <s v=" "/>
    <n v="10417922"/>
    <n v="7985166"/>
    <n v="7985166"/>
    <n v="7985166"/>
    <n v="7985166"/>
    <n v="7985166"/>
    <n v="7985166"/>
    <n v="9257065"/>
    <n v="67585983"/>
    <n v="44734984"/>
    <s v="CONTRATO ADICIONAL POR ALIMENTACION"/>
    <b v="1"/>
    <n v="0"/>
    <b v="1"/>
    <n v="0"/>
    <x v="1"/>
    <n v="1972"/>
  </r>
  <r>
    <x v="62"/>
    <s v="LOTE 2"/>
    <x v="11"/>
    <x v="51"/>
    <x v="5"/>
    <x v="0"/>
    <s v="SAN PEDRO MEDIO"/>
    <n v="54951136493"/>
    <s v="CASA AMOR DE MADRE"/>
    <n v="1"/>
    <n v="16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34883088"/>
    <n v="0.02"/>
    <n v="697661.76"/>
    <m/>
    <n v="15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72"/>
  </r>
  <r>
    <x v="62"/>
    <s v="LOTE 2"/>
    <x v="11"/>
    <x v="51"/>
    <x v="5"/>
    <x v="0"/>
    <s v="SAN PABLO MEDIO"/>
    <n v="54951136505"/>
    <s v="CASETAMISPEQUEÑOSANGELITOS"/>
    <n v="1"/>
    <n v="18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39243474"/>
    <n v="0.02"/>
    <n v="784869.48"/>
    <m/>
    <n v="16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1"/>
    <n v="1972"/>
  </r>
  <r>
    <x v="62"/>
    <s v="LOTE 2"/>
    <x v="11"/>
    <x v="51"/>
    <x v="5"/>
    <x v="0"/>
    <s v="LAS CONCHAS"/>
    <n v="54951136514"/>
    <s v="CASETA PEKITAS SONRIENTES LAS CONCHAS"/>
    <n v="1"/>
    <n v="55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119910615"/>
    <n v="0.02"/>
    <n v="2398212.3000000003"/>
    <m/>
    <n v="17"/>
    <n v="119910615"/>
    <n v="122308827.3"/>
    <s v=" "/>
    <m/>
    <m/>
    <m/>
    <n v="2715680"/>
    <n v="2256595"/>
    <n v="1600500"/>
    <n v="113337840"/>
    <m/>
    <n v="119910615"/>
    <s v=" "/>
    <n v="18483410"/>
    <n v="14167230"/>
    <n v="14167230"/>
    <n v="14167230"/>
    <n v="14167230"/>
    <n v="14167230"/>
    <n v="14167230"/>
    <n v="16423825"/>
    <n v="119910615"/>
    <n v="79368520"/>
    <s v="CONTRATO ADICIONAL POR ALIMENTACION"/>
    <b v="1"/>
    <n v="0"/>
    <b v="1"/>
    <n v="0"/>
    <x v="1"/>
    <n v="1972"/>
  </r>
  <r>
    <x v="62"/>
    <s v="LOTE 2"/>
    <x v="11"/>
    <x v="51"/>
    <x v="5"/>
    <x v="0"/>
    <s v="TRINIDAD ABAJO"/>
    <n v="54951136517"/>
    <s v="CASETA PEQUEÑOS VALIENTES"/>
    <n v="1"/>
    <n v="26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56685018"/>
    <n v="0.02"/>
    <n v="1133700.3600000001"/>
    <m/>
    <n v="18"/>
    <n v="56685018"/>
    <n v="57818718.359999999"/>
    <s v=" "/>
    <m/>
    <m/>
    <m/>
    <n v="1283776"/>
    <n v="1066754"/>
    <n v="756600"/>
    <n v="53577888"/>
    <m/>
    <n v="56685018"/>
    <s v=" "/>
    <n v="8737612"/>
    <n v="6697236"/>
    <n v="6697236"/>
    <n v="6697236"/>
    <n v="6697236"/>
    <n v="6697236"/>
    <n v="6697236"/>
    <n v="7763990"/>
    <n v="56685018"/>
    <n v="37519664"/>
    <s v="CONTRATO ADICIONAL POR ALIMENTACION"/>
    <b v="1"/>
    <n v="0"/>
    <b v="1"/>
    <n v="0"/>
    <x v="1"/>
    <n v="1972"/>
  </r>
  <r>
    <x v="62"/>
    <s v="LOTE 2"/>
    <x v="11"/>
    <x v="51"/>
    <x v="5"/>
    <x v="0"/>
    <s v="TABOGA"/>
    <n v="54951136525"/>
    <s v="CASETA SUEÑOS DEL FUTURO TABOGA"/>
    <n v="1"/>
    <n v="12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26162316"/>
    <n v="0.02"/>
    <n v="523246.32"/>
    <m/>
    <n v="19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1972"/>
  </r>
  <r>
    <x v="62"/>
    <s v="LOTE 2"/>
    <x v="11"/>
    <x v="51"/>
    <x v="5"/>
    <x v="0"/>
    <s v="CORRALES"/>
    <n v="54951136527"/>
    <s v="CASETA CORRALITOS DE PAZ CORRALES"/>
    <n v="1"/>
    <n v="13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28342509"/>
    <n v="0.02"/>
    <n v="566850.18000000005"/>
    <m/>
    <n v="20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72"/>
  </r>
  <r>
    <x v="62"/>
    <s v="LOTE 2"/>
    <x v="11"/>
    <x v="51"/>
    <x v="5"/>
    <x v="0"/>
    <s v="FRAGUA"/>
    <n v="54951136529"/>
    <s v="CASETA SEMILLITAS DE FRAGUA"/>
    <n v="1"/>
    <n v="21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45784053"/>
    <n v="0.02"/>
    <n v="915681.06"/>
    <m/>
    <n v="21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O ADICIONAL POR ALIMENTACION"/>
    <b v="1"/>
    <n v="0"/>
    <b v="1"/>
    <n v="0"/>
    <x v="1"/>
    <n v="1972"/>
  </r>
  <r>
    <x v="62"/>
    <s v="LOTE 2"/>
    <x v="11"/>
    <x v="51"/>
    <x v="5"/>
    <x v="0"/>
    <s v="SAN PABLO ABAJO"/>
    <n v="54951147799"/>
    <s v="CASETA HUELLITAS DE PAZ SAN PABLO"/>
    <n v="1"/>
    <n v="17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37063281"/>
    <n v="0.02"/>
    <n v="741265.62"/>
    <m/>
    <n v="22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1972"/>
  </r>
  <r>
    <x v="62"/>
    <s v="LOTE 2"/>
    <x v="11"/>
    <x v="51"/>
    <x v="5"/>
    <x v="0"/>
    <s v="VEREDA SANTA MARÍA"/>
    <n v="54951152145"/>
    <s v="CASA VEREDA SANTA MARIA"/>
    <n v="1"/>
    <n v="11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23982123"/>
    <n v="0.02"/>
    <n v="479642.46"/>
    <m/>
    <n v="23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72"/>
  </r>
  <r>
    <x v="62"/>
    <s v="LOTE 2"/>
    <x v="11"/>
    <x v="51"/>
    <x v="5"/>
    <x v="0"/>
    <s v="VEREDA LAS FLORES"/>
    <n v="54951152150"/>
    <s v="CASETA PETALOS DE ROSA LAS FLORES"/>
    <n v="1"/>
    <n v="16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34883088"/>
    <n v="0.02"/>
    <n v="697661.76"/>
    <m/>
    <n v="2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72"/>
  </r>
  <r>
    <x v="62"/>
    <s v="LOTE 2"/>
    <x v="11"/>
    <x v="51"/>
    <x v="5"/>
    <x v="0"/>
    <s v="VEREDA ALTO DE SAN PEDRO"/>
    <n v="54951152834"/>
    <s v="CASETA VEREDA ALTOS DE SAN PEDRO"/>
    <n v="1"/>
    <n v="20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43603860"/>
    <n v="0.02"/>
    <n v="872077.20000000007"/>
    <m/>
    <n v="25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72"/>
  </r>
  <r>
    <x v="62"/>
    <s v="LOTE 2"/>
    <x v="11"/>
    <x v="51"/>
    <x v="5"/>
    <x v="0"/>
    <s v="VEREDA ISLA VERDE"/>
    <n v="54951152835"/>
    <s v="CASETA VEREDA ISLA VERDE"/>
    <n v="1"/>
    <n v="13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28342509"/>
    <n v="0.02"/>
    <n v="566850.18000000005"/>
    <m/>
    <n v="26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72"/>
  </r>
  <r>
    <x v="62"/>
    <s v="LOTE 2"/>
    <x v="11"/>
    <x v="51"/>
    <x v="5"/>
    <x v="0"/>
    <s v="VEREDA ESPERANZA"/>
    <n v="54951152907"/>
    <s v="CASETA VEREDA ESPERANZA"/>
    <n v="1"/>
    <n v="10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21801930"/>
    <n v="0.02"/>
    <n v="436038.60000000003"/>
    <m/>
    <n v="27"/>
    <n v="21801930"/>
    <n v="22237968.600000001"/>
    <s v=" "/>
    <m/>
    <m/>
    <m/>
    <n v="493760"/>
    <n v="410290"/>
    <n v="291000"/>
    <n v="20606880"/>
    <m/>
    <n v="21801930"/>
    <s v=" "/>
    <n v="3360620"/>
    <n v="2575860"/>
    <n v="2575860"/>
    <n v="2575860"/>
    <n v="2575860"/>
    <n v="2575860"/>
    <n v="2575860"/>
    <n v="2986150"/>
    <n v="21801930"/>
    <n v="14430640"/>
    <s v="CONTRATO ADICIONAL POR ALIMENTACION"/>
    <b v="1"/>
    <n v="0"/>
    <b v="1"/>
    <n v="0"/>
    <x v="1"/>
    <n v="1972"/>
  </r>
  <r>
    <x v="62"/>
    <s v="LOTE 2"/>
    <x v="11"/>
    <x v="51"/>
    <x v="5"/>
    <x v="0"/>
    <s v="VEREDA MADRE DE DIOS"/>
    <n v="54951152908"/>
    <s v="ESCUELA VEREDA MADRE DE DIOS"/>
    <n v="1"/>
    <n v="19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41423667"/>
    <n v="0.02"/>
    <n v="828473.34"/>
    <m/>
    <n v="28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1972"/>
  </r>
  <r>
    <x v="62"/>
    <s v="LOTE 2"/>
    <x v="11"/>
    <x v="51"/>
    <x v="5"/>
    <x v="0"/>
    <s v="VEREDA MORROPUTO"/>
    <n v="54951153127"/>
    <s v="CASETA VEREDA MORROPUTO"/>
    <n v="1"/>
    <n v="19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41423667"/>
    <n v="0.02"/>
    <n v="828473.34"/>
    <m/>
    <n v="29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1972"/>
  </r>
  <r>
    <x v="62"/>
    <s v="LOTE 2"/>
    <x v="11"/>
    <x v="51"/>
    <x v="5"/>
    <x v="0"/>
    <s v="CARGUEROS"/>
    <n v="549500079948"/>
    <s v="CASETA ANGELITOS DE DIOS CARGUEROS"/>
    <n v="1"/>
    <n v="32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69766176"/>
    <n v="0.02"/>
    <n v="1395323.52"/>
    <m/>
    <n v="30"/>
    <n v="69766176"/>
    <n v="71161499.519999996"/>
    <s v=" "/>
    <m/>
    <m/>
    <m/>
    <n v="1580032"/>
    <n v="1312928"/>
    <n v="931200"/>
    <n v="65942016"/>
    <m/>
    <n v="69766176"/>
    <s v=" "/>
    <n v="10753984"/>
    <n v="8242752"/>
    <n v="8242752"/>
    <n v="8242752"/>
    <n v="8242752"/>
    <n v="8242752"/>
    <n v="8242752"/>
    <n v="9555680"/>
    <n v="69766176"/>
    <n v="46178048"/>
    <s v="CONTRATO ADICIONAL POR ALIMENTACION"/>
    <b v="1"/>
    <n v="0"/>
    <b v="1"/>
    <n v="0"/>
    <x v="1"/>
    <n v="1972"/>
  </r>
  <r>
    <x v="62"/>
    <s v="LOTE 2"/>
    <x v="11"/>
    <x v="51"/>
    <x v="5"/>
    <x v="0"/>
    <s v="CHISPA"/>
    <n v="549500122080"/>
    <s v="ESCUELA DEJANDO HUELLAS"/>
    <n v="1"/>
    <n v="11"/>
    <m/>
    <n v="1972"/>
    <s v="ARTÍCULO 34 CONTRATACIÓN CON EL REGISTRO ÚNICO DE OFERENTES"/>
    <m/>
    <m/>
    <x v="0"/>
    <x v="0"/>
    <x v="4"/>
    <x v="4"/>
    <n v="229130"/>
    <n v="15240"/>
    <n v="88425"/>
    <s v=" "/>
    <s v=" "/>
    <m/>
    <n v="23982123"/>
    <n v="0.02"/>
    <n v="479642.46"/>
    <m/>
    <n v="31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1"/>
    <n v="1972"/>
  </r>
  <r>
    <x v="63"/>
    <s v="LOTE 2"/>
    <x v="0"/>
    <x v="52"/>
    <x v="5"/>
    <x v="0"/>
    <s v="VEREDA SAN SEBASTIAN"/>
    <n v="54901118859"/>
    <s v="GRANERO 5 ESTRELLAS"/>
    <n v="1"/>
    <n v="30"/>
    <m/>
    <n v="1973"/>
    <s v="ARTÍCULO 34 CONTRATACIÓN CON EL REGISTRO ÚNICO DE OFERENTES"/>
    <m/>
    <m/>
    <x v="0"/>
    <x v="0"/>
    <x v="0"/>
    <x v="0"/>
    <n v="229958"/>
    <e v="#N/A"/>
    <e v="#N/A"/>
    <n v="14"/>
    <n v="710"/>
    <m/>
    <n v="65405790"/>
    <n v="0.02"/>
    <n v="1308115.8"/>
    <m/>
    <n v="1"/>
    <n v="65405790"/>
    <n v="66713905.799999997"/>
    <n v="1794868164"/>
    <n v="35897363"/>
    <n v="1830765527"/>
    <n v="1260.8838524762909"/>
    <n v="1481280"/>
    <n v="1230870"/>
    <n v="873000"/>
    <n v="61820640"/>
    <m/>
    <n v="65405790"/>
    <n v="1794868164"/>
    <n v="10081860"/>
    <n v="7727580"/>
    <n v="7727580"/>
    <n v="7727580"/>
    <n v="7727580"/>
    <n v="7727580"/>
    <n v="7727580"/>
    <n v="8958450"/>
    <n v="65405790"/>
    <n v="43291920"/>
    <s v="CONTRATO ADICIONAL POR ALIMENTACION"/>
    <b v="1"/>
    <n v="0"/>
    <b v="1"/>
    <n v="0"/>
    <x v="0"/>
    <n v="1973"/>
  </r>
  <r>
    <x v="63"/>
    <s v="LOTE 2"/>
    <x v="0"/>
    <x v="52"/>
    <x v="5"/>
    <x v="0"/>
    <s v="CASETA COMUNAL MELLITO ALTO"/>
    <n v="54901118860"/>
    <s v="C COMUNAL MELLITO ALTO"/>
    <n v="1"/>
    <n v="25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54504825"/>
    <n v="0.02"/>
    <n v="1090096.5"/>
    <m/>
    <n v="2"/>
    <n v="54504825"/>
    <n v="55594921.5"/>
    <s v=" "/>
    <m/>
    <m/>
    <m/>
    <n v="1234400"/>
    <n v="1025725"/>
    <n v="727500"/>
    <n v="51517200"/>
    <m/>
    <n v="54504825"/>
    <s v=" "/>
    <n v="8401550"/>
    <n v="6439650"/>
    <n v="6439650"/>
    <n v="6439650"/>
    <n v="6439650"/>
    <n v="6439650"/>
    <n v="6439650"/>
    <n v="7465375"/>
    <n v="54504825"/>
    <n v="36076600"/>
    <s v="CONTRATO ADICIONAL POR ALIMENTACION"/>
    <b v="1"/>
    <n v="0"/>
    <b v="1"/>
    <n v="0"/>
    <x v="0"/>
    <n v="1973"/>
  </r>
  <r>
    <x v="63"/>
    <s v="LOTE 2"/>
    <x v="0"/>
    <x v="52"/>
    <x v="5"/>
    <x v="0"/>
    <s v="CASETA PUBLICA PARQUE MELLO VILLAVICENCIO"/>
    <n v="54901118865"/>
    <s v="CASETA PUBLICA PARQUE MELLO"/>
    <n v="1"/>
    <n v="29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63225597"/>
    <n v="0.02"/>
    <n v="1264511.94"/>
    <m/>
    <n v="3"/>
    <n v="63225597"/>
    <n v="64490108.939999998"/>
    <s v=" "/>
    <m/>
    <m/>
    <m/>
    <n v="1431904"/>
    <n v="1189841"/>
    <n v="843900"/>
    <n v="59759952"/>
    <m/>
    <n v="63225597"/>
    <s v=" "/>
    <n v="9745798"/>
    <n v="7469994"/>
    <n v="7469994"/>
    <n v="7469994"/>
    <n v="7469994"/>
    <n v="7469994"/>
    <n v="7469994"/>
    <n v="8659835"/>
    <n v="63225597"/>
    <n v="41848856"/>
    <s v="CONTRATO ADICIONAL POR ALIMENTACION"/>
    <b v="1"/>
    <n v="0"/>
    <b v="1"/>
    <n v="0"/>
    <x v="0"/>
    <n v="1973"/>
  </r>
  <r>
    <x v="63"/>
    <s v="LOTE 2"/>
    <x v="0"/>
    <x v="52"/>
    <x v="5"/>
    <x v="0"/>
    <s v="CORREGIMIENTO PUEBLO NUEVO"/>
    <n v="54901118866"/>
    <s v="CDI PUEBLO NUEVO"/>
    <n v="1"/>
    <n v="50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109009650"/>
    <n v="0.02"/>
    <n v="2180193"/>
    <m/>
    <n v="4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0"/>
    <n v="1973"/>
  </r>
  <r>
    <x v="63"/>
    <s v="LOTE 2"/>
    <x v="0"/>
    <x v="52"/>
    <x v="5"/>
    <x v="0"/>
    <s v="CORREGIMIENTO TOTTUMO"/>
    <n v="54901118867"/>
    <s v="ANTIGUA IGLESIA INTERAMERICANA"/>
    <n v="1"/>
    <n v="50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109009650"/>
    <n v="0.02"/>
    <n v="2180193"/>
    <m/>
    <n v="5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0"/>
    <n v="1973"/>
  </r>
  <r>
    <x v="63"/>
    <s v="LOTE 2"/>
    <x v="0"/>
    <x v="52"/>
    <x v="7"/>
    <x v="0"/>
    <s v="CL 42 68 14"/>
    <n v="54901134891"/>
    <s v="CDI VILLA ALEJANDRIA"/>
    <n v="1"/>
    <n v="105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310454130"/>
    <n v="0.02"/>
    <n v="6209082.6000000006"/>
    <m/>
    <n v="6"/>
    <n v="310454130"/>
    <n v="316663212.60000002"/>
    <s v=" "/>
    <m/>
    <m/>
    <m/>
    <n v="9255015"/>
    <n v="7879515"/>
    <n v="0"/>
    <n v="293319600"/>
    <m/>
    <n v="310454130"/>
    <s v=" "/>
    <n v="45919965"/>
    <n v="36664950"/>
    <n v="36664950"/>
    <n v="36664950"/>
    <n v="36664950"/>
    <n v="36664950"/>
    <n v="36664950"/>
    <n v="44544465"/>
    <n v="310454130"/>
    <n v="129375120"/>
    <s v="CONTRATO ADICIONAL POR ALIMENTACION"/>
    <b v="1"/>
    <n v="0"/>
    <b v="1"/>
    <n v="0"/>
    <x v="0"/>
    <n v="1973"/>
  </r>
  <r>
    <x v="63"/>
    <s v="LOTE 2"/>
    <x v="0"/>
    <x v="52"/>
    <x v="5"/>
    <x v="0"/>
    <s v="CORREGIMIENTO EL MELLITO"/>
    <n v="54901136516"/>
    <s v="CORREGIMIENTO EL MELLITO"/>
    <n v="1"/>
    <n v="36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78486948"/>
    <n v="0.02"/>
    <n v="1569738.96"/>
    <m/>
    <n v="7"/>
    <n v="78486948"/>
    <n v="80056686.959999993"/>
    <s v=" "/>
    <m/>
    <m/>
    <m/>
    <n v="1777536"/>
    <n v="1477044"/>
    <n v="1047600"/>
    <n v="74184768"/>
    <m/>
    <n v="78486948"/>
    <s v=" "/>
    <n v="12098232"/>
    <n v="9273096"/>
    <n v="9273096"/>
    <n v="9273096"/>
    <n v="9273096"/>
    <n v="9273096"/>
    <n v="9273096"/>
    <n v="10750140"/>
    <n v="78486948"/>
    <n v="51950304"/>
    <s v="CONTRATO ADICIONAL POR ALIMENTACION"/>
    <b v="1"/>
    <n v="0"/>
    <b v="1"/>
    <n v="0"/>
    <x v="0"/>
    <n v="1973"/>
  </r>
  <r>
    <x v="63"/>
    <s v="LOTE 2"/>
    <x v="0"/>
    <x v="52"/>
    <x v="5"/>
    <x v="0"/>
    <s v="VEREDA GUACAMAYA"/>
    <n v="54901136641"/>
    <s v="ESCUELA GUACAMAYA"/>
    <n v="1"/>
    <n v="38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82847334"/>
    <n v="0.02"/>
    <n v="1656946.68"/>
    <m/>
    <n v="8"/>
    <n v="82847334"/>
    <n v="84504280.680000007"/>
    <s v=" "/>
    <m/>
    <m/>
    <m/>
    <n v="1876288"/>
    <n v="1559102"/>
    <n v="1105800"/>
    <n v="78306144"/>
    <m/>
    <n v="82847334"/>
    <s v=" "/>
    <n v="12770356"/>
    <n v="9788268"/>
    <n v="9788268"/>
    <n v="9788268"/>
    <n v="9788268"/>
    <n v="9788268"/>
    <n v="9788268"/>
    <n v="11347370"/>
    <n v="82847334"/>
    <n v="54836432"/>
    <s v="CONTRATO ADICIONAL POR ALIMENTACION"/>
    <b v="1"/>
    <n v="0"/>
    <b v="1"/>
    <n v="0"/>
    <x v="0"/>
    <n v="1973"/>
  </r>
  <r>
    <x v="63"/>
    <s v="LOTE 2"/>
    <x v="0"/>
    <x v="52"/>
    <x v="5"/>
    <x v="0"/>
    <s v="VEREDA MARIMONDA LECHUGAL"/>
    <n v="54901136658"/>
    <s v="VEREDA MARIMONDA LECHUGAL"/>
    <n v="1"/>
    <n v="25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54504825"/>
    <n v="0.02"/>
    <n v="1090096.5"/>
    <m/>
    <n v="9"/>
    <n v="54504825"/>
    <n v="55594921.5"/>
    <s v=" "/>
    <m/>
    <m/>
    <m/>
    <n v="1234400"/>
    <n v="1025725"/>
    <n v="727500"/>
    <n v="51517200"/>
    <m/>
    <n v="54504825"/>
    <s v=" "/>
    <n v="8401550"/>
    <n v="6439650"/>
    <n v="6439650"/>
    <n v="6439650"/>
    <n v="6439650"/>
    <n v="6439650"/>
    <n v="6439650"/>
    <n v="7465375"/>
    <n v="54504825"/>
    <n v="36076600"/>
    <s v="CONTRATO ADICIONAL POR ALIMENTACION"/>
    <b v="1"/>
    <n v="0"/>
    <b v="1"/>
    <n v="0"/>
    <x v="0"/>
    <n v="1973"/>
  </r>
  <r>
    <x v="63"/>
    <s v="LOTE 2"/>
    <x v="0"/>
    <x v="52"/>
    <x v="5"/>
    <x v="0"/>
    <s v="CASETA COMUNAL GARITON"/>
    <n v="54901136750"/>
    <s v="C COMUNAL GARITON"/>
    <n v="1"/>
    <n v="26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56685018"/>
    <n v="0.02"/>
    <n v="1133700.3600000001"/>
    <m/>
    <n v="10"/>
    <n v="56685018"/>
    <n v="57818718.359999999"/>
    <s v=" "/>
    <m/>
    <m/>
    <m/>
    <n v="1283776"/>
    <n v="1066754"/>
    <n v="756600"/>
    <n v="53577888"/>
    <m/>
    <n v="56685018"/>
    <s v=" "/>
    <n v="8737612"/>
    <n v="6697236"/>
    <n v="6697236"/>
    <n v="6697236"/>
    <n v="6697236"/>
    <n v="6697236"/>
    <n v="6697236"/>
    <n v="7763990"/>
    <n v="56685018"/>
    <n v="37519664"/>
    <s v="CONTRATO ADICIONAL POR ALIMENTACION"/>
    <b v="1"/>
    <n v="0"/>
    <b v="1"/>
    <n v="0"/>
    <x v="0"/>
    <n v="1973"/>
  </r>
  <r>
    <x v="63"/>
    <s v="LOTE 2"/>
    <x v="0"/>
    <x v="52"/>
    <x v="5"/>
    <x v="0"/>
    <s v="VEREDA CARIBIA"/>
    <n v="54901136998"/>
    <s v="VEREDA CARIBIA"/>
    <n v="1"/>
    <n v="24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52324632"/>
    <n v="0.02"/>
    <n v="1046492.64"/>
    <m/>
    <n v="11"/>
    <n v="52324632"/>
    <n v="53371124.640000001"/>
    <s v=" "/>
    <m/>
    <m/>
    <m/>
    <n v="1185024"/>
    <n v="984696"/>
    <n v="698400"/>
    <n v="49456512"/>
    <m/>
    <n v="52324632"/>
    <s v=" "/>
    <n v="8065488"/>
    <n v="6182064"/>
    <n v="6182064"/>
    <n v="6182064"/>
    <n v="6182064"/>
    <n v="6182064"/>
    <n v="6182064"/>
    <n v="7166760"/>
    <n v="52324632"/>
    <n v="34633536"/>
    <s v="CONTRATO ADICIONAL POR ALIMENTACION"/>
    <b v="1"/>
    <n v="0"/>
    <b v="1"/>
    <n v="0"/>
    <x v="0"/>
    <n v="1973"/>
  </r>
  <r>
    <x v="63"/>
    <s v="LOTE 2"/>
    <x v="0"/>
    <x v="52"/>
    <x v="5"/>
    <x v="0"/>
    <s v="CALLE LA PLAYA"/>
    <n v="549000100032"/>
    <s v="CEIVITA"/>
    <n v="1"/>
    <n v="25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54504825"/>
    <n v="0.02"/>
    <n v="1090096.5"/>
    <m/>
    <n v="12"/>
    <n v="54504825"/>
    <n v="55594921.5"/>
    <s v=" "/>
    <m/>
    <m/>
    <m/>
    <n v="1234400"/>
    <n v="1025725"/>
    <n v="727500"/>
    <n v="51517200"/>
    <m/>
    <n v="54504825"/>
    <s v=" "/>
    <n v="8401550"/>
    <n v="6439650"/>
    <n v="6439650"/>
    <n v="6439650"/>
    <n v="6439650"/>
    <n v="6439650"/>
    <n v="6439650"/>
    <n v="7465375"/>
    <n v="54504825"/>
    <n v="36076600"/>
    <s v="CONTRATO ADICIONAL POR ALIMENTACION"/>
    <b v="1"/>
    <n v="0"/>
    <b v="1"/>
    <n v="0"/>
    <x v="0"/>
    <n v="1973"/>
  </r>
  <r>
    <x v="63"/>
    <s v="LOTE 2"/>
    <x v="0"/>
    <x v="52"/>
    <x v="5"/>
    <x v="0"/>
    <s v="RESGUARDO INDIGENA EL VOLAO"/>
    <n v="549000102894"/>
    <s v="RESGUARDO INDIGENA VOLAO"/>
    <n v="1"/>
    <n v="34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74126562"/>
    <n v="0.02"/>
    <n v="1482531.24"/>
    <m/>
    <n v="13"/>
    <n v="74126562"/>
    <n v="75609093.239999995"/>
    <s v=" "/>
    <m/>
    <m/>
    <m/>
    <n v="1678784"/>
    <n v="1394986"/>
    <n v="989400"/>
    <n v="70063392"/>
    <m/>
    <n v="74126562"/>
    <s v=" "/>
    <n v="11426108"/>
    <n v="8757924"/>
    <n v="8757924"/>
    <n v="8757924"/>
    <n v="8757924"/>
    <n v="8757924"/>
    <n v="8757924"/>
    <n v="10152910"/>
    <n v="74126562"/>
    <n v="49064176"/>
    <s v="CONTRATO ADICIONAL POR ALIMENTACION"/>
    <b v="1"/>
    <n v="0"/>
    <b v="1"/>
    <n v="0"/>
    <x v="0"/>
    <n v="1973"/>
  </r>
  <r>
    <x v="63"/>
    <s v="LOTE 2"/>
    <x v="0"/>
    <x v="52"/>
    <x v="7"/>
    <x v="0"/>
    <s v="KR 45 52 31"/>
    <n v="549000102912"/>
    <s v="CDI EL PESCADOR"/>
    <n v="1"/>
    <n v="213"/>
    <m/>
    <n v="1973"/>
    <s v="ARTÍCULO 34 CONTRATACIÓN CON EL REGISTRO ÚNICO DE OFERENTES"/>
    <m/>
    <m/>
    <x v="0"/>
    <x v="0"/>
    <x v="0"/>
    <x v="0"/>
    <n v="229958"/>
    <e v="#N/A"/>
    <e v="#N/A"/>
    <s v=" "/>
    <s v=" "/>
    <m/>
    <n v="629778378"/>
    <n v="0.02"/>
    <n v="12595567.560000001"/>
    <m/>
    <n v="14"/>
    <n v="629778378"/>
    <n v="642373945.55999994"/>
    <s v=" "/>
    <m/>
    <m/>
    <m/>
    <n v="18774459"/>
    <n v="15984159"/>
    <n v="0"/>
    <n v="595019760"/>
    <m/>
    <n v="629778378"/>
    <s v=" "/>
    <n v="93151929"/>
    <n v="74377470"/>
    <n v="74377470"/>
    <n v="74377470"/>
    <n v="74377470"/>
    <n v="74377470"/>
    <n v="74377470"/>
    <n v="90361629"/>
    <n v="629778378"/>
    <n v="262446672"/>
    <s v="CONTRATO ADICIONAL POR ALIMENTACION"/>
    <b v="1"/>
    <n v="0"/>
    <b v="1"/>
    <n v="0"/>
    <x v="0"/>
    <n v="1973"/>
  </r>
  <r>
    <x v="64"/>
    <s v="LOTE 2"/>
    <x v="0"/>
    <x v="52"/>
    <x v="5"/>
    <x v="0"/>
    <s v="CASA COMUNAL TULAPITA"/>
    <n v="54901118849"/>
    <s v="CASA COMUNAL TULAPITA"/>
    <n v="1"/>
    <n v="21"/>
    <m/>
    <n v="1974"/>
    <s v="ARTÍCULO 34 CONTRATACIÓN CON EL REGISTRO ÚNICO DE OFERENTES"/>
    <m/>
    <m/>
    <x v="0"/>
    <x v="0"/>
    <x v="45"/>
    <x v="44"/>
    <n v="229959"/>
    <e v="#N/A"/>
    <e v="#N/A"/>
    <n v="37"/>
    <n v="749"/>
    <m/>
    <n v="45784053"/>
    <n v="0.02"/>
    <n v="915681.06"/>
    <m/>
    <n v="1"/>
    <n v="45784053"/>
    <n v="46699734.060000002"/>
    <n v="2017850349"/>
    <n v="40357007"/>
    <n v="2058207356"/>
    <n v="1417.5274668071654"/>
    <n v="1036896"/>
    <n v="861609"/>
    <n v="611100"/>
    <n v="43274448"/>
    <m/>
    <n v="45784053"/>
    <n v="2017850349"/>
    <n v="7057302"/>
    <n v="5409306"/>
    <n v="5409306"/>
    <n v="5409306"/>
    <n v="5409306"/>
    <n v="5409306"/>
    <n v="5409306"/>
    <n v="6270915"/>
    <n v="45784053"/>
    <n v="30304344"/>
    <s v="CONTRATO ADICIONAL POR ALIMENTACION"/>
    <b v="1"/>
    <n v="0"/>
    <b v="1"/>
    <n v="0"/>
    <x v="0"/>
    <n v="1974"/>
  </r>
  <r>
    <x v="64"/>
    <s v="LOTE 2"/>
    <x v="0"/>
    <x v="52"/>
    <x v="5"/>
    <x v="0"/>
    <s v="CASETA COMUNAL ALTO ROSARIO"/>
    <n v="54901118851"/>
    <s v="CASA FAMILIAR MARIA SANCHEZ"/>
    <n v="1"/>
    <n v="16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4883088"/>
    <n v="0.02"/>
    <n v="697661.76"/>
    <m/>
    <n v="2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74"/>
  </r>
  <r>
    <x v="64"/>
    <s v="LOTE 2"/>
    <x v="0"/>
    <x v="52"/>
    <x v="5"/>
    <x v="0"/>
    <s v="CASA FAMILIAR JOSEFA ARRIETA VILLA LUCIA"/>
    <n v="54901118852"/>
    <s v="CASA FAMILIAR JOSEFA ARRIETA"/>
    <n v="1"/>
    <n v="15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2702895"/>
    <n v="0.02"/>
    <n v="654057.9"/>
    <m/>
    <n v="3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0"/>
    <n v="1974"/>
  </r>
  <r>
    <x v="64"/>
    <s v="LOTE 2"/>
    <x v="0"/>
    <x v="52"/>
    <x v="5"/>
    <x v="0"/>
    <s v="VEREDA BOBAL"/>
    <n v="54901118854"/>
    <s v="VEREDA BOBAL"/>
    <n v="1"/>
    <n v="18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9243474"/>
    <n v="0.02"/>
    <n v="784869.48"/>
    <m/>
    <n v="4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0"/>
    <n v="1974"/>
  </r>
  <r>
    <x v="64"/>
    <s v="LOTE 2"/>
    <x v="0"/>
    <x v="52"/>
    <x v="5"/>
    <x v="0"/>
    <s v="RESTAUANTE IER PARAISO TULAPITA"/>
    <n v="54901118855"/>
    <s v="VEREDA PARAISO TULAPITA"/>
    <n v="1"/>
    <n v="15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2702895"/>
    <n v="0.02"/>
    <n v="654057.9"/>
    <m/>
    <n v="5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0"/>
    <n v="1974"/>
  </r>
  <r>
    <x v="64"/>
    <s v="LOTE 2"/>
    <x v="0"/>
    <x v="52"/>
    <x v="5"/>
    <x v="0"/>
    <s v="VEREDA ECUADOR"/>
    <n v="54901118856"/>
    <s v="VEREDA ECUADOR"/>
    <n v="1"/>
    <n v="14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0522702"/>
    <n v="0.02"/>
    <n v="610454.04"/>
    <m/>
    <n v="6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0"/>
    <n v="1974"/>
  </r>
  <r>
    <x v="64"/>
    <s v="LOTE 2"/>
    <x v="0"/>
    <x v="52"/>
    <x v="5"/>
    <x v="0"/>
    <s v="VEREDA ARIZAL"/>
    <n v="54901118857"/>
    <s v="C COMUNAL ARIZAL"/>
    <n v="1"/>
    <n v="16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4883088"/>
    <n v="0.02"/>
    <n v="697661.76"/>
    <m/>
    <n v="7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74"/>
  </r>
  <r>
    <x v="64"/>
    <s v="LOTE 2"/>
    <x v="0"/>
    <x v="52"/>
    <x v="8"/>
    <x v="0"/>
    <s v="KIOSKO LA FLACA"/>
    <n v="54901118862"/>
    <s v="KIOSCO LA TERCERA EDAD MULATOS"/>
    <n v="1"/>
    <n v="24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54027624"/>
    <n v="0.02"/>
    <n v="1080552.48"/>
    <m/>
    <n v="8"/>
    <n v="54027624"/>
    <n v="55108176.479999997"/>
    <s v=" "/>
    <m/>
    <m/>
    <m/>
    <n v="1235112"/>
    <n v="1034784"/>
    <n v="698400"/>
    <n v="51059328"/>
    <m/>
    <n v="54027624"/>
    <s v=" "/>
    <n v="8315928"/>
    <n v="6382416"/>
    <n v="6382416"/>
    <n v="6382416"/>
    <n v="6382416"/>
    <n v="6382416"/>
    <n v="6382416"/>
    <n v="7417200"/>
    <n v="54027624"/>
    <n v="34633536"/>
    <s v="CONTRATO ADICIONAL POR ALIMENTACION"/>
    <b v="1"/>
    <n v="0"/>
    <b v="1"/>
    <n v="0"/>
    <x v="0"/>
    <n v="1974"/>
  </r>
  <r>
    <x v="64"/>
    <s v="LOTE 2"/>
    <x v="0"/>
    <x v="52"/>
    <x v="5"/>
    <x v="0"/>
    <s v="VEREDA EL HOYITO"/>
    <n v="54901118864"/>
    <s v="VEREDA EL HOYITO"/>
    <n v="1"/>
    <n v="25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54504825"/>
    <n v="0.02"/>
    <n v="1090096.5"/>
    <m/>
    <n v="9"/>
    <n v="54504825"/>
    <n v="55594921.5"/>
    <s v=" "/>
    <m/>
    <m/>
    <m/>
    <n v="1234400"/>
    <n v="1025725"/>
    <n v="727500"/>
    <n v="51517200"/>
    <m/>
    <n v="54504825"/>
    <s v=" "/>
    <n v="8401550"/>
    <n v="6439650"/>
    <n v="6439650"/>
    <n v="6439650"/>
    <n v="6439650"/>
    <n v="6439650"/>
    <n v="6439650"/>
    <n v="7465375"/>
    <n v="54504825"/>
    <n v="36076600"/>
    <s v="CONTRATO ADICIONAL POR ALIMENTACION"/>
    <b v="1"/>
    <n v="0"/>
    <b v="1"/>
    <n v="0"/>
    <x v="0"/>
    <n v="1974"/>
  </r>
  <r>
    <x v="64"/>
    <s v="LOTE 2"/>
    <x v="0"/>
    <x v="52"/>
    <x v="5"/>
    <x v="0"/>
    <s v="VEREDA ALMACIGO"/>
    <n v="54901118869"/>
    <s v="ESCUELA ALMACIGO"/>
    <n v="1"/>
    <n v="24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52324632"/>
    <n v="0.02"/>
    <n v="1046492.64"/>
    <m/>
    <n v="10"/>
    <n v="52324632"/>
    <n v="53371124.640000001"/>
    <s v=" "/>
    <m/>
    <m/>
    <m/>
    <n v="1185024"/>
    <n v="984696"/>
    <n v="698400"/>
    <n v="49456512"/>
    <m/>
    <n v="52324632"/>
    <s v=" "/>
    <n v="8065488"/>
    <n v="6182064"/>
    <n v="6182064"/>
    <n v="6182064"/>
    <n v="6182064"/>
    <n v="6182064"/>
    <n v="6182064"/>
    <n v="7166760"/>
    <n v="52324632"/>
    <n v="34633536"/>
    <s v="CONTRATO ADICIONAL POR ALIMENTACION"/>
    <b v="1"/>
    <n v="0"/>
    <b v="1"/>
    <n v="0"/>
    <x v="0"/>
    <n v="1974"/>
  </r>
  <r>
    <x v="64"/>
    <s v="LOTE 2"/>
    <x v="0"/>
    <x v="52"/>
    <x v="5"/>
    <x v="0"/>
    <s v="CARLOS CARRETERA"/>
    <n v="54901118872"/>
    <s v="RESTAURANTE LAGO CARIBE"/>
    <n v="1"/>
    <n v="14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0522702"/>
    <n v="0.02"/>
    <n v="610454.04"/>
    <m/>
    <n v="11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0"/>
    <n v="1974"/>
  </r>
  <r>
    <x v="64"/>
    <s v="LOTE 2"/>
    <x v="0"/>
    <x v="52"/>
    <x v="0"/>
    <x v="0"/>
    <s v="VEREDA CARACOLÍ"/>
    <n v="54901126880"/>
    <s v="C COMUNAL COM INDÍGENA CARACOLÍ"/>
    <n v="1"/>
    <n v="46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176264778"/>
    <n v="0.02"/>
    <n v="3525295.56"/>
    <m/>
    <n v="12"/>
    <n v="176264778"/>
    <n v="179790073.56"/>
    <s v=" "/>
    <m/>
    <m/>
    <m/>
    <n v="3402390"/>
    <n v="1501946"/>
    <n v="1338554"/>
    <n v="170021888"/>
    <m/>
    <n v="176264778"/>
    <s v=" "/>
    <n v="25993680"/>
    <n v="21252736"/>
    <n v="21252736"/>
    <n v="21252736"/>
    <n v="21252736"/>
    <n v="21252736"/>
    <n v="21252736"/>
    <n v="22754682"/>
    <n v="176264778"/>
    <n v="0"/>
    <s v="CONTRATO COSTEADO CON ALIMENTACION"/>
    <b v="1"/>
    <n v="0"/>
    <b v="1"/>
    <n v="0"/>
    <x v="0"/>
    <n v="1974"/>
  </r>
  <r>
    <x v="64"/>
    <s v="LOTE 2"/>
    <x v="0"/>
    <x v="52"/>
    <x v="5"/>
    <x v="0"/>
    <s v="VEREDA SANTAFE DE ISLITA"/>
    <n v="54901136499"/>
    <s v="ESCUELA SEDE ISLITA SANTAFE"/>
    <n v="1"/>
    <n v="21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45784053"/>
    <n v="0.02"/>
    <n v="915681.06"/>
    <m/>
    <n v="13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O ADICIONAL POR ALIMENTACION"/>
    <b v="1"/>
    <n v="0"/>
    <b v="1"/>
    <n v="0"/>
    <x v="0"/>
    <n v="1974"/>
  </r>
  <r>
    <x v="64"/>
    <s v="LOTE 2"/>
    <x v="0"/>
    <x v="52"/>
    <x v="5"/>
    <x v="0"/>
    <s v="NUEVO ORIENTE"/>
    <n v="54901136502"/>
    <s v="NUEVO ORIENTE"/>
    <n v="1"/>
    <n v="16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4883088"/>
    <n v="0.02"/>
    <n v="697661.76"/>
    <m/>
    <n v="1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74"/>
  </r>
  <r>
    <x v="64"/>
    <s v="LOTE 2"/>
    <x v="0"/>
    <x v="52"/>
    <x v="5"/>
    <x v="0"/>
    <s v="VEREDA ALTO ROSARIO"/>
    <n v="54901136506"/>
    <s v="VEREDA ALTO ROSARIO"/>
    <n v="1"/>
    <n v="16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4883088"/>
    <n v="0.02"/>
    <n v="697661.76"/>
    <m/>
    <n v="15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74"/>
  </r>
  <r>
    <x v="64"/>
    <s v="LOTE 2"/>
    <x v="0"/>
    <x v="52"/>
    <x v="5"/>
    <x v="0"/>
    <s v="VEREDA CASA BLANCA"/>
    <n v="54901136510"/>
    <s v="ESCUELA CASA BLANCA"/>
    <n v="1"/>
    <n v="17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7063281"/>
    <n v="0.02"/>
    <n v="741265.62"/>
    <m/>
    <n v="16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0"/>
    <n v="1974"/>
  </r>
  <r>
    <x v="64"/>
    <s v="LOTE 2"/>
    <x v="0"/>
    <x v="52"/>
    <x v="5"/>
    <x v="0"/>
    <s v="VEREDA VALE ARRIBA"/>
    <n v="54901136642"/>
    <s v="VALE ARRIBA"/>
    <n v="1"/>
    <n v="18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9243474"/>
    <n v="0.02"/>
    <n v="784869.48"/>
    <m/>
    <n v="17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0"/>
    <n v="1974"/>
  </r>
  <r>
    <x v="64"/>
    <s v="LOTE 2"/>
    <x v="0"/>
    <x v="52"/>
    <x v="5"/>
    <x v="0"/>
    <s v="VEREDA BUENOS AIRES"/>
    <n v="54901136645"/>
    <s v="CASA FAMILIAR DANI LUZ PEÑA"/>
    <n v="1"/>
    <n v="18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9243474"/>
    <n v="0.02"/>
    <n v="784869.48"/>
    <m/>
    <n v="18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0"/>
    <n v="1974"/>
  </r>
  <r>
    <x v="64"/>
    <s v="LOTE 2"/>
    <x v="0"/>
    <x v="52"/>
    <x v="5"/>
    <x v="0"/>
    <s v="VEREDA LA COMARCA"/>
    <n v="54901136652"/>
    <s v="VEREDA LA COMARCA"/>
    <n v="1"/>
    <n v="16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4883088"/>
    <n v="0.02"/>
    <n v="697661.76"/>
    <m/>
    <n v="19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74"/>
  </r>
  <r>
    <x v="64"/>
    <s v="LOTE 2"/>
    <x v="0"/>
    <x v="52"/>
    <x v="5"/>
    <x v="0"/>
    <s v="VEREDA OYETO CIELO AZUL"/>
    <n v="54901136654"/>
    <s v="VEREDA OYETO CIELO AZUL"/>
    <n v="1"/>
    <n v="14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0522702"/>
    <n v="0.02"/>
    <n v="610454.04"/>
    <m/>
    <n v="20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0"/>
    <n v="1974"/>
  </r>
  <r>
    <x v="64"/>
    <s v="LOTE 2"/>
    <x v="0"/>
    <x v="52"/>
    <x v="5"/>
    <x v="0"/>
    <s v="VEREDA CORCOVADO"/>
    <n v="54901136657"/>
    <s v="VEREDA CORCOVADO"/>
    <n v="1"/>
    <n v="19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41423667"/>
    <n v="0.02"/>
    <n v="828473.34"/>
    <m/>
    <n v="21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0"/>
    <n v="1974"/>
  </r>
  <r>
    <x v="64"/>
    <s v="LOTE 2"/>
    <x v="0"/>
    <x v="52"/>
    <x v="5"/>
    <x v="0"/>
    <s v="VEREDA VALE PAVA"/>
    <n v="54901136738"/>
    <s v="C COMUNAL VALE PAVA"/>
    <n v="1"/>
    <n v="11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23982123"/>
    <n v="0.02"/>
    <n v="479642.46"/>
    <m/>
    <n v="22"/>
    <n v="23982123"/>
    <n v="24461765.460000001"/>
    <s v=" "/>
    <m/>
    <m/>
    <m/>
    <n v="543136"/>
    <n v="451319"/>
    <n v="320100"/>
    <n v="22667568"/>
    <m/>
    <n v="23982123"/>
    <s v=" "/>
    <n v="3696682"/>
    <n v="2833446"/>
    <n v="2833446"/>
    <n v="2833446"/>
    <n v="2833446"/>
    <n v="2833446"/>
    <n v="2833446"/>
    <n v="3284765"/>
    <n v="23982123"/>
    <n v="15873704"/>
    <s v="CONTRATO ADICIONAL POR ALIMENTACION"/>
    <b v="1"/>
    <n v="0"/>
    <b v="1"/>
    <n v="0"/>
    <x v="0"/>
    <n v="1974"/>
  </r>
  <r>
    <x v="64"/>
    <s v="LOTE 2"/>
    <x v="0"/>
    <x v="52"/>
    <x v="0"/>
    <x v="0"/>
    <s v="COMUNIDAD INDIGENA VARASANTA"/>
    <n v="54901136764"/>
    <s v="CER VARASANTA"/>
    <n v="1"/>
    <n v="25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95796075"/>
    <n v="0.02"/>
    <n v="1915921.5"/>
    <m/>
    <n v="23"/>
    <n v="95796075"/>
    <n v="97711996.5"/>
    <s v=" "/>
    <m/>
    <m/>
    <m/>
    <n v="1849125"/>
    <n v="816275"/>
    <n v="727475"/>
    <n v="92403200"/>
    <m/>
    <n v="95796075"/>
    <s v=" "/>
    <n v="14127000"/>
    <n v="11550400"/>
    <n v="11550400"/>
    <n v="11550400"/>
    <n v="11550400"/>
    <n v="11550400"/>
    <n v="11550400"/>
    <n v="12366675"/>
    <n v="95796075"/>
    <n v="0"/>
    <s v="CONTRATO COSTEADO CON ALIMENTACION"/>
    <b v="1"/>
    <n v="0"/>
    <b v="1"/>
    <n v="0"/>
    <x v="0"/>
    <n v="1974"/>
  </r>
  <r>
    <x v="64"/>
    <s v="LOTE 2"/>
    <x v="0"/>
    <x v="52"/>
    <x v="0"/>
    <x v="0"/>
    <s v="COMUNIDAD INDIGENA FLORISANTO"/>
    <n v="54901136769"/>
    <s v="CER FLORISANTO"/>
    <n v="1"/>
    <n v="16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61309488"/>
    <n v="0.02"/>
    <n v="1226189.76"/>
    <m/>
    <n v="24"/>
    <n v="61309488"/>
    <n v="62535677.759999998"/>
    <s v=" "/>
    <m/>
    <m/>
    <m/>
    <n v="1183440"/>
    <n v="522416"/>
    <n v="465584"/>
    <n v="59138048"/>
    <m/>
    <n v="61309488"/>
    <s v=" "/>
    <n v="9041280"/>
    <n v="7392256"/>
    <n v="7392256"/>
    <n v="7392256"/>
    <n v="7392256"/>
    <n v="7392256"/>
    <n v="7392256"/>
    <n v="7914672"/>
    <n v="61309488"/>
    <n v="0"/>
    <s v="CONTRATO COSTEADO CON ALIMENTACION"/>
    <b v="1"/>
    <n v="0"/>
    <b v="1"/>
    <n v="0"/>
    <x v="0"/>
    <n v="1974"/>
  </r>
  <r>
    <x v="64"/>
    <s v="LOTE 2"/>
    <x v="0"/>
    <x v="52"/>
    <x v="5"/>
    <x v="0"/>
    <s v="VEREDA SAN JOAQUIN"/>
    <n v="54901136945"/>
    <s v="C COMUNAL SAN JUAQUIN"/>
    <n v="1"/>
    <n v="14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0522702"/>
    <n v="0.02"/>
    <n v="610454.04"/>
    <m/>
    <n v="25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0"/>
    <n v="1974"/>
  </r>
  <r>
    <x v="64"/>
    <s v="LOTE 2"/>
    <x v="0"/>
    <x v="52"/>
    <x v="5"/>
    <x v="0"/>
    <s v="VEREDA EL MONCHOLO"/>
    <n v="54901136978"/>
    <s v="TIENDA DOÑA KATA"/>
    <n v="1"/>
    <n v="17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7063281"/>
    <n v="0.02"/>
    <n v="741265.62"/>
    <m/>
    <n v="26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0"/>
    <n v="1974"/>
  </r>
  <r>
    <x v="64"/>
    <s v="LOTE 2"/>
    <x v="0"/>
    <x v="52"/>
    <x v="5"/>
    <x v="0"/>
    <s v="VEREDA EL CARLOS"/>
    <n v="54901137301"/>
    <s v="CABAÑA EL CARLOS"/>
    <n v="1"/>
    <n v="20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43603860"/>
    <n v="0.02"/>
    <n v="872077.20000000007"/>
    <m/>
    <n v="27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0"/>
    <n v="1974"/>
  </r>
  <r>
    <x v="64"/>
    <s v="LOTE 2"/>
    <x v="0"/>
    <x v="52"/>
    <x v="0"/>
    <x v="0"/>
    <s v="COMUNIDAD INDÍGENA TAMARINDO"/>
    <n v="54901148808"/>
    <s v="CER TAMARINDO"/>
    <n v="1"/>
    <n v="25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95796075"/>
    <n v="0.02"/>
    <n v="1915921.5"/>
    <m/>
    <n v="28"/>
    <n v="95796075"/>
    <n v="97711996.5"/>
    <s v=" "/>
    <m/>
    <m/>
    <m/>
    <n v="1849125"/>
    <n v="816275"/>
    <n v="727475"/>
    <n v="92403200"/>
    <m/>
    <n v="95796075"/>
    <s v=" "/>
    <n v="14127000"/>
    <n v="11550400"/>
    <n v="11550400"/>
    <n v="11550400"/>
    <n v="11550400"/>
    <n v="11550400"/>
    <n v="11550400"/>
    <n v="12366675"/>
    <n v="95796075"/>
    <n v="0"/>
    <s v="CONTRATO COSTEADO CON ALIMENTACION"/>
    <b v="1"/>
    <n v="0"/>
    <b v="1"/>
    <n v="0"/>
    <x v="0"/>
    <n v="1974"/>
  </r>
  <r>
    <x v="64"/>
    <s v="LOTE 2"/>
    <x v="0"/>
    <x v="52"/>
    <x v="0"/>
    <x v="0"/>
    <s v="COMUNIDAD CAIMÁN MEDIO"/>
    <n v="54901150096"/>
    <s v="ESCUELA CAIMÁN MEDIO"/>
    <n v="1"/>
    <n v="60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229910580"/>
    <n v="0.02"/>
    <n v="4598211.6000000006"/>
    <m/>
    <n v="29"/>
    <n v="229910580"/>
    <n v="234508791.59999999"/>
    <s v=" "/>
    <m/>
    <m/>
    <m/>
    <n v="4437900"/>
    <n v="1959060"/>
    <n v="1745940"/>
    <n v="221767680"/>
    <m/>
    <n v="229910580"/>
    <s v=" "/>
    <n v="33904800"/>
    <n v="27720960"/>
    <n v="27720960"/>
    <n v="27720960"/>
    <n v="27720960"/>
    <n v="27720960"/>
    <n v="27720960"/>
    <n v="29680020"/>
    <n v="229910580"/>
    <n v="0"/>
    <s v="CONTRATO COSTEADO CON ALIMENTACION"/>
    <b v="1"/>
    <n v="0"/>
    <b v="1"/>
    <n v="0"/>
    <x v="0"/>
    <n v="1974"/>
  </r>
  <r>
    <x v="64"/>
    <s v="LOTE 2"/>
    <x v="0"/>
    <x v="52"/>
    <x v="0"/>
    <x v="0"/>
    <s v="COMUNIDAD ULE"/>
    <n v="54901150097"/>
    <s v="CASA COMUNAL ULE"/>
    <n v="1"/>
    <n v="30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114955290"/>
    <n v="0.02"/>
    <n v="2299105.8000000003"/>
    <m/>
    <n v="30"/>
    <n v="114955290"/>
    <n v="117254395.8"/>
    <s v=" "/>
    <m/>
    <m/>
    <m/>
    <n v="2218950"/>
    <n v="979530"/>
    <n v="872970"/>
    <n v="110883840"/>
    <m/>
    <n v="114955290"/>
    <s v=" "/>
    <n v="16952400"/>
    <n v="13860480"/>
    <n v="13860480"/>
    <n v="13860480"/>
    <n v="13860480"/>
    <n v="13860480"/>
    <n v="13860480"/>
    <n v="14840010"/>
    <n v="114955290"/>
    <n v="0"/>
    <s v="CONTRATO COSTEADO CON ALIMENTACION"/>
    <b v="1"/>
    <n v="0"/>
    <b v="1"/>
    <n v="0"/>
    <x v="0"/>
    <n v="1974"/>
  </r>
  <r>
    <x v="64"/>
    <s v="LOTE 2"/>
    <x v="0"/>
    <x v="52"/>
    <x v="0"/>
    <x v="0"/>
    <s v="COMUNIDAD CAIMÁN BAJO"/>
    <n v="54901150098"/>
    <s v="C COMUNAL CAIMÁN BAJO"/>
    <n v="1"/>
    <n v="30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114955290"/>
    <n v="0.02"/>
    <n v="2299105.8000000003"/>
    <m/>
    <n v="31"/>
    <n v="114955290"/>
    <n v="117254395.8"/>
    <s v=" "/>
    <m/>
    <m/>
    <m/>
    <n v="2218950"/>
    <n v="979530"/>
    <n v="872970"/>
    <n v="110883840"/>
    <m/>
    <n v="114955290"/>
    <s v=" "/>
    <n v="16952400"/>
    <n v="13860480"/>
    <n v="13860480"/>
    <n v="13860480"/>
    <n v="13860480"/>
    <n v="13860480"/>
    <n v="13860480"/>
    <n v="14840010"/>
    <n v="114955290"/>
    <n v="0"/>
    <s v="CONTRATO COSTEADO CON ALIMENTACION"/>
    <b v="1"/>
    <n v="0"/>
    <b v="1"/>
    <n v="0"/>
    <x v="0"/>
    <n v="1974"/>
  </r>
  <r>
    <x v="64"/>
    <s v="LOTE 2"/>
    <x v="0"/>
    <x v="52"/>
    <x v="5"/>
    <x v="0"/>
    <s v="VEREDA MONCHOLO"/>
    <n v="54901152319"/>
    <s v="HUELLITAS "/>
    <n v="1"/>
    <n v="16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4883088"/>
    <n v="0.02"/>
    <n v="697661.76"/>
    <m/>
    <n v="32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74"/>
  </r>
  <r>
    <x v="64"/>
    <s v="LOTE 2"/>
    <x v="0"/>
    <x v="52"/>
    <x v="5"/>
    <x v="0"/>
    <s v="VEREDA BOTIJUELA"/>
    <n v="54901152321"/>
    <s v="PEQUEÑOS GIGANTES "/>
    <n v="1"/>
    <n v="16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4883088"/>
    <n v="0.02"/>
    <n v="697661.76"/>
    <m/>
    <n v="33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74"/>
  </r>
  <r>
    <x v="64"/>
    <s v="LOTE 2"/>
    <x v="0"/>
    <x v="52"/>
    <x v="5"/>
    <x v="0"/>
    <s v="VEREDA VALE ADENTRO"/>
    <n v="54901152322"/>
    <s v="SEMILLITAS DEL SABER"/>
    <n v="1"/>
    <n v="16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4883088"/>
    <n v="0.02"/>
    <n v="697661.76"/>
    <m/>
    <n v="3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74"/>
  </r>
  <r>
    <x v="64"/>
    <s v="LOTE 2"/>
    <x v="0"/>
    <x v="52"/>
    <x v="5"/>
    <x v="0"/>
    <s v="VEREDA PITA MORRIAL"/>
    <n v="54901152323"/>
    <s v="DEJANDO HUELLAS"/>
    <n v="1"/>
    <n v="16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4883088"/>
    <n v="0.02"/>
    <n v="697661.76"/>
    <m/>
    <n v="35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74"/>
  </r>
  <r>
    <x v="64"/>
    <s v="LOTE 2"/>
    <x v="0"/>
    <x v="52"/>
    <x v="5"/>
    <x v="0"/>
    <s v="VEREDA LA MAGDALENA"/>
    <n v="54901152325"/>
    <s v="RAYITO DE SOL"/>
    <n v="1"/>
    <n v="16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4883088"/>
    <n v="0.02"/>
    <n v="697661.76"/>
    <m/>
    <n v="36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0"/>
    <n v="1974"/>
  </r>
  <r>
    <x v="64"/>
    <s v="LOTE 2"/>
    <x v="0"/>
    <x v="52"/>
    <x v="5"/>
    <x v="0"/>
    <s v="VEREDA SUCIO LAUREL"/>
    <n v="54901153205"/>
    <s v="IGLESIA VEREDA SUCIO LAUREL"/>
    <n v="1"/>
    <n v="18"/>
    <m/>
    <n v="1974"/>
    <s v="ARTÍCULO 34 CONTRATACIÓN CON EL REGISTRO ÚNICO DE OFERENTES"/>
    <m/>
    <m/>
    <x v="0"/>
    <x v="0"/>
    <x v="45"/>
    <x v="44"/>
    <n v="229959"/>
    <e v="#N/A"/>
    <e v="#N/A"/>
    <s v=" "/>
    <s v=" "/>
    <m/>
    <n v="39243474"/>
    <n v="0.02"/>
    <n v="784869.48"/>
    <m/>
    <n v="37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0"/>
    <n v="1974"/>
  </r>
  <r>
    <x v="65"/>
    <s v="LOTE 2"/>
    <x v="7"/>
    <x v="53"/>
    <x v="5"/>
    <x v="0"/>
    <s v="VEREDA LA ANTIGUA"/>
    <n v="55431115842"/>
    <s v="C COMUNAL LA ANTIGUA"/>
    <n v="1"/>
    <n v="12"/>
    <m/>
    <n v="1976"/>
    <s v="ARTÍCULO 34 CONTRATACIÓN CON EL REGISTRO ÚNICO DE OFERENTES"/>
    <m/>
    <m/>
    <x v="0"/>
    <x v="0"/>
    <x v="46"/>
    <x v="45"/>
    <n v="229133"/>
    <n v="15209"/>
    <n v="92325"/>
    <n v="15"/>
    <n v="304"/>
    <m/>
    <n v="26162316"/>
    <n v="0.02"/>
    <n v="523246.32"/>
    <m/>
    <n v="1"/>
    <n v="26162316"/>
    <n v="26685562.32"/>
    <n v="865653029"/>
    <n v="17313061"/>
    <n v="882966090"/>
    <n v="608.11593185809625"/>
    <n v="592512"/>
    <n v="492348"/>
    <n v="349200"/>
    <n v="24728256"/>
    <m/>
    <n v="26162316"/>
    <n v="865653029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1976"/>
  </r>
  <r>
    <x v="65"/>
    <s v="LOTE 2"/>
    <x v="7"/>
    <x v="53"/>
    <x v="5"/>
    <x v="0"/>
    <s v="VEREDA RENEGADO VALLE"/>
    <n v="55431115843"/>
    <s v="CER RENEGADO VALLE"/>
    <n v="1"/>
    <n v="14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30522702"/>
    <n v="0.02"/>
    <n v="610454.04"/>
    <m/>
    <n v="2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76"/>
  </r>
  <r>
    <x v="65"/>
    <s v="LOTE 2"/>
    <x v="7"/>
    <x v="53"/>
    <x v="5"/>
    <x v="0"/>
    <s v="VEREDA JERIGUA"/>
    <n v="55431115844"/>
    <s v="CER JERIGUA"/>
    <n v="1"/>
    <n v="14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30522702"/>
    <n v="0.02"/>
    <n v="610454.04"/>
    <m/>
    <n v="3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76"/>
  </r>
  <r>
    <x v="65"/>
    <s v="LOTE 2"/>
    <x v="7"/>
    <x v="53"/>
    <x v="5"/>
    <x v="0"/>
    <s v="VEREDA CAÑAVERAL"/>
    <n v="55431137352"/>
    <s v="C COMUNAL CAÑAVERAL"/>
    <n v="1"/>
    <n v="4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8720772"/>
    <n v="0.02"/>
    <n v="174415.44"/>
    <m/>
    <n v="4"/>
    <n v="8720772"/>
    <n v="8895187.4399999995"/>
    <s v=" "/>
    <m/>
    <m/>
    <m/>
    <n v="197504"/>
    <n v="164116"/>
    <n v="116400"/>
    <n v="8242752"/>
    <m/>
    <n v="8720772"/>
    <s v=" "/>
    <n v="1344248"/>
    <n v="1030344"/>
    <n v="1030344"/>
    <n v="1030344"/>
    <n v="1030344"/>
    <n v="1030344"/>
    <n v="1030344"/>
    <n v="1194460"/>
    <n v="8720772"/>
    <n v="5772256"/>
    <s v="CONTRATO ADICIONAL POR ALIMENTACION"/>
    <b v="1"/>
    <n v="0"/>
    <b v="1"/>
    <n v="0"/>
    <x v="1"/>
    <n v="1976"/>
  </r>
  <r>
    <x v="65"/>
    <s v="LOTE 2"/>
    <x v="7"/>
    <x v="53"/>
    <x v="5"/>
    <x v="0"/>
    <s v="VEREDA POPAL"/>
    <n v="55431137354"/>
    <s v="C COMUNAL POPAL"/>
    <n v="1"/>
    <n v="20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43603860"/>
    <n v="0.02"/>
    <n v="872077.20000000007"/>
    <m/>
    <n v="5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76"/>
  </r>
  <r>
    <x v="65"/>
    <s v="LOTE 2"/>
    <x v="7"/>
    <x v="53"/>
    <x v="5"/>
    <x v="0"/>
    <s v="CARRERA BOLIVAR N 11-170"/>
    <n v="55431137357"/>
    <s v="CDI COSECHITAS PEQUENSES"/>
    <n v="1"/>
    <n v="51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111189843"/>
    <n v="0.02"/>
    <n v="2223796.86"/>
    <m/>
    <n v="6"/>
    <n v="111189843"/>
    <n v="113413639.86"/>
    <s v=" "/>
    <m/>
    <m/>
    <m/>
    <n v="2518176"/>
    <n v="2092479"/>
    <n v="1484100"/>
    <n v="105095088"/>
    <m/>
    <n v="111189843"/>
    <s v=" "/>
    <n v="17139162"/>
    <n v="13136886"/>
    <n v="13136886"/>
    <n v="13136886"/>
    <n v="13136886"/>
    <n v="13136886"/>
    <n v="13136886"/>
    <n v="15229365"/>
    <n v="111189843"/>
    <n v="73596264"/>
    <s v="CONTRATO ADICIONAL POR ALIMENTACION"/>
    <b v="1"/>
    <n v="0"/>
    <b v="1"/>
    <n v="0"/>
    <x v="1"/>
    <n v="1976"/>
  </r>
  <r>
    <x v="65"/>
    <s v="LOTE 2"/>
    <x v="7"/>
    <x v="53"/>
    <x v="5"/>
    <x v="0"/>
    <s v="VEREDA BELLAVISTA"/>
    <n v="55431137364"/>
    <s v="CER BELLAVISTA"/>
    <n v="1"/>
    <n v="13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28342509"/>
    <n v="0.02"/>
    <n v="566850.18000000005"/>
    <m/>
    <n v="7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76"/>
  </r>
  <r>
    <x v="65"/>
    <s v="LOTE 2"/>
    <x v="7"/>
    <x v="53"/>
    <x v="5"/>
    <x v="0"/>
    <s v="VEREDA SANTA AGUEDA"/>
    <n v="55431137384"/>
    <s v="CER SANTA AGUEDA"/>
    <n v="1"/>
    <n v="14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30522702"/>
    <n v="0.02"/>
    <n v="610454.04"/>
    <m/>
    <n v="8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76"/>
  </r>
  <r>
    <x v="65"/>
    <s v="LOTE 2"/>
    <x v="7"/>
    <x v="53"/>
    <x v="5"/>
    <x v="0"/>
    <s v="VEREDA LOS NAIPES"/>
    <n v="55431137394"/>
    <s v="CER LOS NAIPES"/>
    <n v="1"/>
    <n v="12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26162316"/>
    <n v="0.02"/>
    <n v="523246.32"/>
    <m/>
    <n v="9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1976"/>
  </r>
  <r>
    <x v="65"/>
    <s v="LOTE 2"/>
    <x v="7"/>
    <x v="53"/>
    <x v="5"/>
    <x v="0"/>
    <s v="VEREDA CHAMIZO"/>
    <n v="55431137395"/>
    <s v="CER CHAMIZO"/>
    <n v="1"/>
    <n v="5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10900965"/>
    <n v="0.02"/>
    <n v="218019.30000000002"/>
    <m/>
    <n v="10"/>
    <n v="10900965"/>
    <n v="11118984.300000001"/>
    <s v=" "/>
    <m/>
    <m/>
    <m/>
    <n v="246880"/>
    <n v="205145"/>
    <n v="145500"/>
    <n v="10303440"/>
    <m/>
    <n v="10900965"/>
    <s v=" "/>
    <n v="1680310"/>
    <n v="1287930"/>
    <n v="1287930"/>
    <n v="1287930"/>
    <n v="1287930"/>
    <n v="1287930"/>
    <n v="1287930"/>
    <n v="1493075"/>
    <n v="10900965"/>
    <n v="7215320"/>
    <s v="CONTRATO ADICIONAL POR ALIMENTACION"/>
    <b v="1"/>
    <n v="0"/>
    <b v="1"/>
    <n v="0"/>
    <x v="1"/>
    <n v="1976"/>
  </r>
  <r>
    <x v="65"/>
    <s v="LOTE 2"/>
    <x v="7"/>
    <x v="53"/>
    <x v="5"/>
    <x v="0"/>
    <s v="NUEVA LLANADA"/>
    <n v="55431148814"/>
    <s v="IE PRESB RODRIGO LOPERA GIL NUEVALLANADA"/>
    <n v="1"/>
    <n v="16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34883088"/>
    <n v="0.02"/>
    <n v="697661.76"/>
    <m/>
    <n v="11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76"/>
  </r>
  <r>
    <x v="65"/>
    <s v="LOTE 2"/>
    <x v="7"/>
    <x v="53"/>
    <x v="5"/>
    <x v="0"/>
    <s v="SAN JULIAN DE BARBACO"/>
    <n v="55431150151"/>
    <s v="CER SAN JULIAN DE BARBACOAS"/>
    <n v="1"/>
    <n v="14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30522702"/>
    <n v="0.02"/>
    <n v="610454.04"/>
    <m/>
    <n v="12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76"/>
  </r>
  <r>
    <x v="65"/>
    <s v="LOTE 2"/>
    <x v="7"/>
    <x v="53"/>
    <x v="2"/>
    <x v="0"/>
    <s v="CL NARINO N 12 08"/>
    <n v="554300054616"/>
    <s v="CONDORCITO"/>
    <n v="1"/>
    <n v="86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360241100"/>
    <n v="0.02"/>
    <n v="7204822"/>
    <m/>
    <n v="13"/>
    <n v="360241100"/>
    <n v="367445922"/>
    <s v=" "/>
    <m/>
    <m/>
    <m/>
    <n v="7580298"/>
    <n v="6453698"/>
    <n v="0"/>
    <n v="346207104"/>
    <m/>
    <n v="360241100"/>
    <s v=" "/>
    <n v="50856186"/>
    <n v="43275888"/>
    <n v="43275888"/>
    <n v="43275888"/>
    <n v="43275888"/>
    <n v="43275888"/>
    <n v="43275888"/>
    <n v="49729586"/>
    <n v="360241100"/>
    <n v="0"/>
    <s v="CONTRATO COSTEADO CON ALIMENTACION"/>
    <b v="1"/>
    <n v="0"/>
    <b v="1"/>
    <n v="0"/>
    <x v="1"/>
    <n v="1976"/>
  </r>
  <r>
    <x v="65"/>
    <s v="LOTE 2"/>
    <x v="7"/>
    <x v="53"/>
    <x v="2"/>
    <x v="0"/>
    <s v="CORREGIMIENTO LOS LLANOS"/>
    <n v="554300054915"/>
    <s v="LLANERITOS"/>
    <n v="1"/>
    <n v="15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62832750"/>
    <n v="0.02"/>
    <n v="1256655"/>
    <m/>
    <n v="14"/>
    <n v="62832750"/>
    <n v="64089405"/>
    <s v=" "/>
    <m/>
    <m/>
    <m/>
    <n v="1322145"/>
    <n v="1125645"/>
    <n v="0"/>
    <n v="60384960"/>
    <m/>
    <n v="62832750"/>
    <s v=" "/>
    <n v="8870265"/>
    <n v="7548120"/>
    <n v="7548120"/>
    <n v="7548120"/>
    <n v="7548120"/>
    <n v="7548120"/>
    <n v="7548120"/>
    <n v="8673765"/>
    <n v="62832750"/>
    <n v="0"/>
    <s v="CONTRATO COSTEADO CON ALIMENTACION"/>
    <b v="1"/>
    <n v="0"/>
    <b v="1"/>
    <n v="0"/>
    <x v="1"/>
    <n v="1976"/>
  </r>
  <r>
    <x v="65"/>
    <s v="LOTE 2"/>
    <x v="7"/>
    <x v="53"/>
    <x v="5"/>
    <x v="0"/>
    <s v="VEREDA EL AGRIO"/>
    <n v="554300100038"/>
    <s v="CASA FLIA WILDER DE JESUS RENGIFO"/>
    <n v="1"/>
    <n v="14"/>
    <m/>
    <n v="1976"/>
    <s v="ARTÍCULO 34 CONTRATACIÓN CON EL REGISTRO ÚNICO DE OFERENTES"/>
    <m/>
    <m/>
    <x v="0"/>
    <x v="0"/>
    <x v="46"/>
    <x v="45"/>
    <n v="229133"/>
    <n v="15209"/>
    <n v="92325"/>
    <s v=" "/>
    <s v=" "/>
    <m/>
    <n v="30522702"/>
    <n v="0.02"/>
    <n v="610454.04"/>
    <m/>
    <n v="15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76"/>
  </r>
  <r>
    <x v="66"/>
    <s v="LOTE 2"/>
    <x v="8"/>
    <x v="54"/>
    <x v="1"/>
    <x v="0"/>
    <s v="VEREDA SANTA MARTINA"/>
    <n v="55791116750"/>
    <s v="CASA DE LA SEÑORA CECILIA TORRES"/>
    <n v="1"/>
    <n v="11"/>
    <m/>
    <n v="1977"/>
    <s v="ARTÍCULO 34 CONTRATACIÓN CON EL REGISTRO ÚNICO DE OFERENTES"/>
    <m/>
    <m/>
    <x v="0"/>
    <x v="0"/>
    <x v="47"/>
    <x v="46"/>
    <n v="229134"/>
    <n v="15239"/>
    <n v="88325"/>
    <n v="21"/>
    <n v="740"/>
    <m/>
    <n v="16712355"/>
    <n v="0.02"/>
    <n v="334247.10000000003"/>
    <m/>
    <n v="1"/>
    <n v="16712355"/>
    <n v="17046602.100000001"/>
    <n v="1526841326"/>
    <n v="30536827"/>
    <n v="1557378153"/>
    <n v="1072.596646294345"/>
    <n v="514184"/>
    <n v="416251"/>
    <n v="0"/>
    <n v="15781920"/>
    <m/>
    <n v="16712355"/>
    <n v="1526841326"/>
    <n v="2486924"/>
    <n v="1972740"/>
    <n v="1972740"/>
    <n v="1972740"/>
    <n v="1972740"/>
    <n v="1972740"/>
    <n v="1972740"/>
    <n v="2388991"/>
    <n v="16712355"/>
    <n v="16572248"/>
    <s v="CONTRATO ADICIONAL POR ALIMENTACION"/>
    <b v="1"/>
    <n v="0"/>
    <b v="1"/>
    <n v="0"/>
    <x v="1"/>
    <n v="1977"/>
  </r>
  <r>
    <x v="66"/>
    <s v="LOTE 2"/>
    <x v="8"/>
    <x v="54"/>
    <x v="1"/>
    <x v="0"/>
    <s v="CORREGIMIENTO PUERTO MURILLO"/>
    <n v="55791116756"/>
    <s v="CER MURILLO"/>
    <n v="1"/>
    <n v="19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28866795"/>
    <n v="0.02"/>
    <n v="577335.9"/>
    <m/>
    <n v="2"/>
    <n v="28866795"/>
    <n v="29444130.899999999"/>
    <s v=" "/>
    <m/>
    <m/>
    <m/>
    <n v="888136"/>
    <n v="718979"/>
    <n v="0"/>
    <n v="27259680"/>
    <m/>
    <n v="28866795"/>
    <s v=" "/>
    <n v="4295596"/>
    <n v="3407460"/>
    <n v="3407460"/>
    <n v="3407460"/>
    <n v="3407460"/>
    <n v="3407460"/>
    <n v="3407460"/>
    <n v="4126439"/>
    <n v="28866795"/>
    <n v="28624792"/>
    <s v="CONTRATO ADICIONAL POR ALIMENTACION"/>
    <b v="1"/>
    <n v="0"/>
    <b v="1"/>
    <n v="0"/>
    <x v="1"/>
    <n v="1977"/>
  </r>
  <r>
    <x v="66"/>
    <s v="LOTE 2"/>
    <x v="8"/>
    <x v="54"/>
    <x v="1"/>
    <x v="0"/>
    <s v="VEREDA CHORRO DE LAGRIMAS"/>
    <n v="55791116760"/>
    <s v="C COMUNAL CHORRO DE LAGRIMAS"/>
    <n v="1"/>
    <n v="20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30386100"/>
    <n v="0.02"/>
    <n v="607722"/>
    <m/>
    <n v="3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O ADICIONAL POR ALIMENTACION"/>
    <b v="1"/>
    <n v="0"/>
    <b v="1"/>
    <n v="0"/>
    <x v="1"/>
    <n v="1977"/>
  </r>
  <r>
    <x v="66"/>
    <s v="LOTE 2"/>
    <x v="8"/>
    <x v="54"/>
    <x v="1"/>
    <x v="0"/>
    <s v="VEREDA GRECIA"/>
    <n v="55791116762"/>
    <s v="C COMUNAL DE GRECIA"/>
    <n v="1"/>
    <n v="23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34944015"/>
    <n v="0.02"/>
    <n v="698880.3"/>
    <m/>
    <n v="4"/>
    <n v="34944015"/>
    <n v="35642895.299999997"/>
    <s v=" "/>
    <m/>
    <m/>
    <m/>
    <n v="1075112"/>
    <n v="870343"/>
    <n v="0"/>
    <n v="32998560"/>
    <m/>
    <n v="34944015"/>
    <s v=" "/>
    <n v="5199932"/>
    <n v="4124820"/>
    <n v="4124820"/>
    <n v="4124820"/>
    <n v="4124820"/>
    <n v="4124820"/>
    <n v="4124820"/>
    <n v="4995163"/>
    <n v="34944015"/>
    <n v="34651064"/>
    <s v="CONTRATO ADICIONAL POR ALIMENTACION"/>
    <b v="1"/>
    <n v="0"/>
    <b v="1"/>
    <n v="0"/>
    <x v="1"/>
    <n v="1977"/>
  </r>
  <r>
    <x v="66"/>
    <s v="LOTE 2"/>
    <x v="8"/>
    <x v="54"/>
    <x v="1"/>
    <x v="0"/>
    <s v="VEREDA DORADO CALAMAR"/>
    <n v="55791116770"/>
    <s v="CER DORADO CALAMAR"/>
    <n v="1"/>
    <n v="17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25828185"/>
    <n v="0.02"/>
    <n v="516563.7"/>
    <m/>
    <n v="5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77"/>
  </r>
  <r>
    <x v="66"/>
    <s v="LOTE 2"/>
    <x v="8"/>
    <x v="54"/>
    <x v="1"/>
    <x v="0"/>
    <s v="VEREDA SANTA ANA"/>
    <n v="55791116776"/>
    <s v="CER LA CONSENTIDA"/>
    <n v="1"/>
    <n v="18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27347490"/>
    <n v="0.02"/>
    <n v="546949.80000000005"/>
    <m/>
    <n v="6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77"/>
  </r>
  <r>
    <x v="66"/>
    <s v="LOTE 2"/>
    <x v="8"/>
    <x v="54"/>
    <x v="1"/>
    <x v="0"/>
    <s v="MINAS DEL VAPOR"/>
    <n v="55791137005"/>
    <s v="CER LA MESETA"/>
    <n v="1"/>
    <n v="44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66849420"/>
    <n v="0.02"/>
    <n v="1336988.4000000001"/>
    <m/>
    <n v="7"/>
    <n v="66849420"/>
    <n v="68186408.400000006"/>
    <s v=" "/>
    <m/>
    <m/>
    <m/>
    <n v="2056736"/>
    <n v="1665004"/>
    <n v="0"/>
    <n v="63127680"/>
    <m/>
    <n v="66849420"/>
    <s v=" "/>
    <n v="9947696"/>
    <n v="7890960"/>
    <n v="7890960"/>
    <n v="7890960"/>
    <n v="7890960"/>
    <n v="7890960"/>
    <n v="7890960"/>
    <n v="9555964"/>
    <n v="66849420"/>
    <n v="66288992"/>
    <s v="CONTRATO ADICIONAL POR ALIMENTACION"/>
    <b v="1"/>
    <n v="0"/>
    <b v="1"/>
    <n v="0"/>
    <x v="1"/>
    <n v="1977"/>
  </r>
  <r>
    <x v="66"/>
    <s v="LOTE 2"/>
    <x v="8"/>
    <x v="54"/>
    <x v="1"/>
    <x v="0"/>
    <s v="EL BRASIL"/>
    <n v="55791137006"/>
    <s v="CER EL BRASIL"/>
    <n v="1"/>
    <n v="18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27347490"/>
    <n v="0.02"/>
    <n v="546949.80000000005"/>
    <m/>
    <n v="8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77"/>
  </r>
  <r>
    <x v="66"/>
    <s v="LOTE 2"/>
    <x v="8"/>
    <x v="54"/>
    <x v="1"/>
    <x v="0"/>
    <s v="VEREDA CABAÑAS"/>
    <n v="55791137014"/>
    <s v="CER CABAÑAS/COOMEI"/>
    <n v="1"/>
    <n v="13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19750965"/>
    <n v="0.02"/>
    <n v="395019.3"/>
    <m/>
    <n v="9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1977"/>
  </r>
  <r>
    <x v="66"/>
    <s v="LOTE 2"/>
    <x v="8"/>
    <x v="54"/>
    <x v="1"/>
    <x v="0"/>
    <s v="VEREDA EL SUAN"/>
    <n v="55791148813"/>
    <s v="CASA DEL SEÑOR PABLO VALLE"/>
    <n v="1"/>
    <n v="14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21270270"/>
    <n v="0.02"/>
    <n v="425405.4"/>
    <m/>
    <n v="10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977"/>
  </r>
  <r>
    <x v="66"/>
    <s v="LOTE 2"/>
    <x v="8"/>
    <x v="54"/>
    <x v="1"/>
    <x v="0"/>
    <s v="KR 15 A 53 30 DIAGONAL"/>
    <n v="55791150487"/>
    <s v="ESCUELA NORMAL SUPERIOR"/>
    <n v="1"/>
    <n v="134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203586870"/>
    <n v="0.02"/>
    <n v="4071737.4"/>
    <m/>
    <n v="11"/>
    <n v="203586870"/>
    <n v="207658607.40000001"/>
    <s v=" "/>
    <m/>
    <m/>
    <m/>
    <n v="6263696"/>
    <n v="5070694"/>
    <n v="0"/>
    <n v="192252480"/>
    <m/>
    <n v="203586870"/>
    <s v=" "/>
    <n v="30295256"/>
    <n v="24031560"/>
    <n v="24031560"/>
    <n v="24031560"/>
    <n v="24031560"/>
    <n v="24031560"/>
    <n v="24031560"/>
    <n v="29102254"/>
    <n v="203586870"/>
    <n v="201880112"/>
    <s v="CONTRATO ADICIONAL POR ALIMENTACION"/>
    <b v="1"/>
    <n v="0"/>
    <b v="1"/>
    <n v="0"/>
    <x v="1"/>
    <n v="1977"/>
  </r>
  <r>
    <x v="66"/>
    <s v="LOTE 2"/>
    <x v="8"/>
    <x v="54"/>
    <x v="1"/>
    <x v="0"/>
    <s v="VEREDA SAN JUAN DE BEDOUT"/>
    <n v="55791151113"/>
    <s v="KIOSCO COMUNAL SAN JUAN"/>
    <n v="1"/>
    <n v="12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18231660"/>
    <n v="0.02"/>
    <n v="364633.2"/>
    <m/>
    <n v="12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1977"/>
  </r>
  <r>
    <x v="66"/>
    <s v="LOTE 2"/>
    <x v="8"/>
    <x v="54"/>
    <x v="1"/>
    <x v="0"/>
    <s v="VEREDA GUASIMAL CERCA AL BATALLON BOMBONA"/>
    <n v="55791152832"/>
    <s v="CER GUASIMAL"/>
    <n v="1"/>
    <n v="14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21270270"/>
    <n v="0.02"/>
    <n v="425405.4"/>
    <m/>
    <n v="13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O ADICIONAL POR ALIMENTACION"/>
    <b v="1"/>
    <n v="0"/>
    <b v="1"/>
    <n v="0"/>
    <x v="1"/>
    <n v="1977"/>
  </r>
  <r>
    <x v="66"/>
    <s v="LOTE 2"/>
    <x v="8"/>
    <x v="54"/>
    <x v="1"/>
    <x v="0"/>
    <s v="VEREDA BODEGAS"/>
    <n v="55791155850"/>
    <s v="SALON ARCOIRIS BODEGAS"/>
    <n v="1"/>
    <n v="33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50137065"/>
    <n v="0.02"/>
    <n v="1002741.3"/>
    <m/>
    <n v="14"/>
    <n v="50137065"/>
    <n v="51139806.299999997"/>
    <s v=" "/>
    <m/>
    <m/>
    <m/>
    <n v="1542552"/>
    <n v="1248753"/>
    <n v="0"/>
    <n v="47345760"/>
    <m/>
    <n v="50137065"/>
    <s v=" "/>
    <n v="7460772"/>
    <n v="5918220"/>
    <n v="5918220"/>
    <n v="5918220"/>
    <n v="5918220"/>
    <n v="5918220"/>
    <n v="5918220"/>
    <n v="7166973"/>
    <n v="50137065"/>
    <n v="49716744"/>
    <s v="CONTRATO ADICIONAL POR ALIMENTACION"/>
    <b v="1"/>
    <n v="0"/>
    <b v="1"/>
    <n v="0"/>
    <x v="1"/>
    <n v="1977"/>
  </r>
  <r>
    <x v="66"/>
    <s v="LOTE 2"/>
    <x v="8"/>
    <x v="54"/>
    <x v="1"/>
    <x v="0"/>
    <s v="VEREDA CRISTALINA"/>
    <n v="55791155851"/>
    <s v="CER CRISTALINA"/>
    <n v="1"/>
    <n v="18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27347490"/>
    <n v="0.02"/>
    <n v="546949.80000000005"/>
    <m/>
    <n v="15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77"/>
  </r>
  <r>
    <x v="66"/>
    <s v="LOTE 2"/>
    <x v="8"/>
    <x v="54"/>
    <x v="1"/>
    <x v="0"/>
    <s v="CL 54 54 21  ALFONSO LOPEZ"/>
    <n v="55791155852"/>
    <s v="CORPORACIÓN CETELI"/>
    <n v="1"/>
    <n v="17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25828185"/>
    <n v="0.02"/>
    <n v="516563.7"/>
    <m/>
    <n v="16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O ADICIONAL POR ALIMENTACION"/>
    <b v="1"/>
    <n v="0"/>
    <b v="1"/>
    <n v="0"/>
    <x v="1"/>
    <n v="1977"/>
  </r>
  <r>
    <x v="66"/>
    <s v="LOTE 2"/>
    <x v="8"/>
    <x v="54"/>
    <x v="1"/>
    <x v="0"/>
    <s v="KR 9 10 25 BARRIO ALFONSO LOPEZ"/>
    <n v="55791155853"/>
    <s v="COLEGIO LA INMACULADA"/>
    <n v="1"/>
    <n v="143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217260615"/>
    <n v="0.02"/>
    <n v="4345212.3"/>
    <m/>
    <n v="17"/>
    <n v="217260615"/>
    <n v="221605827.30000001"/>
    <s v=" "/>
    <m/>
    <m/>
    <m/>
    <n v="6684392"/>
    <n v="5411263"/>
    <n v="0"/>
    <n v="205164960"/>
    <m/>
    <n v="217260615"/>
    <s v=" "/>
    <n v="32330012"/>
    <n v="25645620"/>
    <n v="25645620"/>
    <n v="25645620"/>
    <n v="25645620"/>
    <n v="25645620"/>
    <n v="25645620"/>
    <n v="31056883"/>
    <n v="217260615"/>
    <n v="215439224"/>
    <s v="CONTRATO ADICIONAL POR ALIMENTACION"/>
    <b v="1"/>
    <n v="0"/>
    <b v="1"/>
    <n v="0"/>
    <x v="1"/>
    <n v="1977"/>
  </r>
  <r>
    <x v="66"/>
    <s v="LOTE 2"/>
    <x v="8"/>
    <x v="54"/>
    <x v="1"/>
    <x v="0"/>
    <s v="CORREGIMIENTO DE VIRGINIAS"/>
    <n v="55791155854"/>
    <s v="LICEO VIRGINIAS"/>
    <n v="1"/>
    <n v="18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27347490"/>
    <n v="0.02"/>
    <n v="546949.80000000005"/>
    <m/>
    <n v="18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O ADICIONAL POR ALIMENTACION"/>
    <b v="1"/>
    <n v="0"/>
    <b v="1"/>
    <n v="0"/>
    <x v="1"/>
    <n v="1977"/>
  </r>
  <r>
    <x v="66"/>
    <s v="LOTE 2"/>
    <x v="8"/>
    <x v="54"/>
    <x v="4"/>
    <x v="0"/>
    <s v="CL 49 C 29 50 BARRIO EL HOYO"/>
    <n v="557900050057"/>
    <s v="MUNDO MAGICO 1"/>
    <n v="1"/>
    <n v="62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268422924"/>
    <n v="0.02"/>
    <n v="5368458.4800000004"/>
    <m/>
    <n v="19"/>
    <n v="268422924"/>
    <n v="273791382.48000002"/>
    <s v=" "/>
    <m/>
    <m/>
    <m/>
    <n v="5464866"/>
    <n v="4652666"/>
    <n v="0"/>
    <n v="258305392"/>
    <m/>
    <n v="268422924"/>
    <s v=" "/>
    <n v="37753040"/>
    <n v="32288174"/>
    <n v="32288174"/>
    <n v="32288174"/>
    <n v="32288174"/>
    <n v="32288174"/>
    <n v="32288174"/>
    <n v="36940840"/>
    <n v="268422924"/>
    <n v="0"/>
    <s v="CONTRATO COSTEADO CON ALIMENTACION"/>
    <b v="1"/>
    <n v="0"/>
    <b v="1"/>
    <n v="0"/>
    <x v="1"/>
    <n v="1977"/>
  </r>
  <r>
    <x v="66"/>
    <s v="LOTE 2"/>
    <x v="8"/>
    <x v="54"/>
    <x v="4"/>
    <x v="0"/>
    <s v="CL 45 7 30  BARRIO GAITAN"/>
    <n v="557900114390"/>
    <s v="MUNDO MAGICO 2"/>
    <n v="1"/>
    <n v="70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303058140"/>
    <n v="0.02"/>
    <n v="6061162.7999999998"/>
    <m/>
    <n v="20"/>
    <n v="303058140"/>
    <n v="309119302.80000001"/>
    <s v=" "/>
    <m/>
    <m/>
    <m/>
    <n v="6170010"/>
    <n v="5253010"/>
    <n v="0"/>
    <n v="291635120"/>
    <m/>
    <n v="303058140"/>
    <s v=" "/>
    <n v="42624400"/>
    <n v="36454390"/>
    <n v="36454390"/>
    <n v="36454390"/>
    <n v="36454390"/>
    <n v="36454390"/>
    <n v="36454390"/>
    <n v="41707400"/>
    <n v="303058140"/>
    <n v="0"/>
    <s v="CONTRATO COSTEADO CON ALIMENTACION"/>
    <b v="1"/>
    <n v="0"/>
    <b v="1"/>
    <n v="0"/>
    <x v="1"/>
    <n v="1977"/>
  </r>
  <r>
    <x v="66"/>
    <s v="LOTE 2"/>
    <x v="8"/>
    <x v="54"/>
    <x v="7"/>
    <x v="0"/>
    <s v="CL 45 8 39 BARRIO 17 DE ABRIL"/>
    <n v="557900114392"/>
    <s v="MUNDO MAGICO 3"/>
    <n v="1"/>
    <n v="22"/>
    <m/>
    <n v="1977"/>
    <s v="ARTÍCULO 34 CONTRATACIÓN CON EL REGISTRO ÚNICO DE OFERENTES"/>
    <m/>
    <m/>
    <x v="0"/>
    <x v="0"/>
    <x v="47"/>
    <x v="46"/>
    <n v="229134"/>
    <n v="15239"/>
    <n v="88325"/>
    <s v=" "/>
    <s v=" "/>
    <m/>
    <n v="65047532"/>
    <n v="0.02"/>
    <n v="1300950.6400000001"/>
    <m/>
    <n v="21"/>
    <n v="65047532"/>
    <n v="66348482.640000001"/>
    <s v=" "/>
    <m/>
    <m/>
    <m/>
    <n v="1939146"/>
    <n v="1650946"/>
    <n v="0"/>
    <n v="61457440"/>
    <m/>
    <n v="65047532"/>
    <s v=" "/>
    <n v="9621326"/>
    <n v="7682180"/>
    <n v="7682180"/>
    <n v="7682180"/>
    <n v="7682180"/>
    <n v="7682180"/>
    <n v="7682180"/>
    <n v="9333126"/>
    <n v="65047532"/>
    <n v="27107168"/>
    <s v="CONTRATO ADICIONAL POR ALIMENTACION"/>
    <b v="1"/>
    <n v="0"/>
    <b v="1"/>
    <n v="0"/>
    <x v="1"/>
    <n v="1977"/>
  </r>
  <r>
    <x v="67"/>
    <s v="LOTE 2"/>
    <x v="8"/>
    <x v="55"/>
    <x v="8"/>
    <x v="0"/>
    <s v="ALTO DEL POLLO"/>
    <n v="55911116797"/>
    <s v="IE HERMANO DANIEL ALTO DEL POLLO"/>
    <n v="1"/>
    <n v="16"/>
    <m/>
    <n v="1979"/>
    <s v="ARTÍCULO 34 CONTRATACIÓN CON EL REGISTRO ÚNICO DE OFERENTES"/>
    <m/>
    <m/>
    <x v="0"/>
    <x v="0"/>
    <x v="13"/>
    <x v="13"/>
    <n v="229135"/>
    <n v="15243"/>
    <n v="88625"/>
    <n v="12"/>
    <n v="492"/>
    <m/>
    <n v="36018416"/>
    <n v="0.02"/>
    <n v="720368.32000000007"/>
    <m/>
    <n v="1"/>
    <n v="36018416"/>
    <n v="36738784.32"/>
    <n v="1161813527"/>
    <n v="23236271"/>
    <n v="1185049798"/>
    <n v="816.16686125746401"/>
    <n v="823408"/>
    <n v="689856"/>
    <n v="465600"/>
    <n v="34039552"/>
    <m/>
    <n v="36018416"/>
    <n v="1161813527"/>
    <n v="5543952"/>
    <n v="4254944"/>
    <n v="4254944"/>
    <n v="4254944"/>
    <n v="4254944"/>
    <n v="4254944"/>
    <n v="4254944"/>
    <n v="4944800"/>
    <n v="36018416"/>
    <n v="23089024"/>
    <s v="CONTRATACIÓN ALIMENTOS - DPI"/>
    <b v="1"/>
    <n v="0"/>
    <b v="1"/>
    <n v="0"/>
    <x v="1"/>
    <m/>
  </r>
  <r>
    <x v="67"/>
    <s v="LOTE 2"/>
    <x v="8"/>
    <x v="55"/>
    <x v="5"/>
    <x v="0"/>
    <s v="IE HERMANO DANIEL - FLORIDA"/>
    <n v="55911116799"/>
    <s v="IE HERMANO DANIEL FLORIDA"/>
    <n v="1"/>
    <n v="34"/>
    <m/>
    <n v="1979"/>
    <s v="ARTÍCULO 34 CONTRATACIÓN CON EL REGISTRO ÚNICO DE OFERENTES"/>
    <m/>
    <m/>
    <x v="0"/>
    <x v="0"/>
    <x v="13"/>
    <x v="13"/>
    <n v="229135"/>
    <n v="15243"/>
    <n v="88625"/>
    <s v=" "/>
    <s v=" "/>
    <m/>
    <n v="74126562"/>
    <n v="0.02"/>
    <n v="1482531.24"/>
    <m/>
    <n v="2"/>
    <n v="74126562"/>
    <n v="75609093.239999995"/>
    <s v=" "/>
    <m/>
    <m/>
    <m/>
    <n v="1678784"/>
    <n v="1394986"/>
    <n v="989400"/>
    <n v="70063392"/>
    <m/>
    <n v="74126562"/>
    <s v=" "/>
    <n v="11426108"/>
    <n v="8757924"/>
    <n v="8757924"/>
    <n v="8757924"/>
    <n v="8757924"/>
    <n v="8757924"/>
    <n v="8757924"/>
    <n v="10152910"/>
    <n v="74126562"/>
    <n v="49064176"/>
    <s v="CONTRATACIÓN ALIMENTOS - DPI"/>
    <b v="1"/>
    <n v="0"/>
    <b v="1"/>
    <n v="0"/>
    <x v="1"/>
    <m/>
  </r>
  <r>
    <x v="67"/>
    <s v="LOTE 2"/>
    <x v="8"/>
    <x v="55"/>
    <x v="8"/>
    <x v="0"/>
    <s v="IE BALSORA - NAPOLES"/>
    <n v="55911116806"/>
    <s v="IE BALSORA NAPOLES"/>
    <n v="1"/>
    <n v="15"/>
    <m/>
    <n v="1979"/>
    <s v="ARTÍCULO 34 CONTRATACIÓN CON EL REGISTRO ÚNICO DE OFERENTES"/>
    <m/>
    <m/>
    <x v="0"/>
    <x v="0"/>
    <x v="13"/>
    <x v="13"/>
    <n v="229135"/>
    <n v="15243"/>
    <n v="88625"/>
    <s v=" "/>
    <s v=" "/>
    <m/>
    <n v="33767265"/>
    <n v="0.02"/>
    <n v="675345.3"/>
    <m/>
    <n v="3"/>
    <n v="33767265"/>
    <n v="34442610.299999997"/>
    <s v=" "/>
    <m/>
    <m/>
    <m/>
    <n v="771945"/>
    <n v="646740"/>
    <n v="436500"/>
    <n v="31912080"/>
    <m/>
    <n v="33767265"/>
    <s v=" "/>
    <n v="5197455"/>
    <n v="3989010"/>
    <n v="3989010"/>
    <n v="3989010"/>
    <n v="3989010"/>
    <n v="3989010"/>
    <n v="3989010"/>
    <n v="4635750"/>
    <n v="33767265"/>
    <n v="21645960"/>
    <s v="CONTRATACIÓN ALIMENTOS - DPI"/>
    <b v="1"/>
    <n v="0"/>
    <b v="1"/>
    <n v="0"/>
    <x v="1"/>
    <m/>
  </r>
  <r>
    <x v="67"/>
    <s v="LOTE 2"/>
    <x v="8"/>
    <x v="55"/>
    <x v="8"/>
    <x v="0"/>
    <s v="I.E PABLO VI"/>
    <n v="55911116807"/>
    <s v="IE PABLO VI 1"/>
    <n v="1"/>
    <n v="45"/>
    <m/>
    <n v="1979"/>
    <s v="ARTÍCULO 34 CONTRATACIÓN CON EL REGISTRO ÚNICO DE OFERENTES"/>
    <m/>
    <m/>
    <x v="0"/>
    <x v="0"/>
    <x v="13"/>
    <x v="13"/>
    <n v="229135"/>
    <n v="15243"/>
    <n v="88625"/>
    <s v=" "/>
    <s v=" "/>
    <m/>
    <n v="101301795"/>
    <n v="0.02"/>
    <n v="2026035.9000000001"/>
    <m/>
    <n v="4"/>
    <n v="101301795"/>
    <n v="103327830.90000001"/>
    <s v=" "/>
    <m/>
    <m/>
    <m/>
    <n v="2315835"/>
    <n v="1940220"/>
    <n v="1309500"/>
    <n v="95736240"/>
    <m/>
    <n v="101301795"/>
    <s v=" "/>
    <n v="15592365"/>
    <n v="11967030"/>
    <n v="11967030"/>
    <n v="11967030"/>
    <n v="11967030"/>
    <n v="11967030"/>
    <n v="11967030"/>
    <n v="13907250"/>
    <n v="101301795"/>
    <n v="64937880"/>
    <s v="CONTRATACIÓN ALIMENTOS - DPI"/>
    <b v="1"/>
    <n v="0"/>
    <b v="1"/>
    <n v="0"/>
    <x v="1"/>
    <m/>
  </r>
  <r>
    <x v="67"/>
    <s v="LOTE 2"/>
    <x v="8"/>
    <x v="55"/>
    <x v="5"/>
    <x v="0"/>
    <s v="ESTACION COCORNA"/>
    <n v="55911148749"/>
    <s v="IE ESTACIÓN COCORNA"/>
    <n v="1"/>
    <n v="8"/>
    <m/>
    <n v="1979"/>
    <s v="ARTÍCULO 34 CONTRATACIÓN CON EL REGISTRO ÚNICO DE OFERENTES"/>
    <m/>
    <m/>
    <x v="0"/>
    <x v="0"/>
    <x v="13"/>
    <x v="13"/>
    <n v="229135"/>
    <n v="15243"/>
    <n v="88625"/>
    <s v=" "/>
    <s v=" "/>
    <m/>
    <n v="17441544"/>
    <n v="0.02"/>
    <n v="348830.88"/>
    <m/>
    <n v="5"/>
    <n v="17441544"/>
    <n v="17790374.879999999"/>
    <s v=" "/>
    <m/>
    <m/>
    <m/>
    <n v="395008"/>
    <n v="328232"/>
    <n v="232800"/>
    <n v="16485504"/>
    <m/>
    <n v="17441544"/>
    <s v=" "/>
    <n v="2688496"/>
    <n v="2060688"/>
    <n v="2060688"/>
    <n v="2060688"/>
    <n v="2060688"/>
    <n v="2060688"/>
    <n v="2060688"/>
    <n v="2388920"/>
    <n v="17441544"/>
    <n v="11544512"/>
    <s v="CONTRATACIÓN ALIMENTOS - DPI"/>
    <b v="1"/>
    <n v="0"/>
    <b v="1"/>
    <n v="0"/>
    <x v="1"/>
    <m/>
  </r>
  <r>
    <x v="67"/>
    <s v="LOTE 2"/>
    <x v="8"/>
    <x v="55"/>
    <x v="5"/>
    <x v="0"/>
    <s v="PUERTO PERALES"/>
    <n v="55911148750"/>
    <s v="IE PUERTO PERALES"/>
    <n v="1"/>
    <n v="53"/>
    <m/>
    <n v="1979"/>
    <s v="ARTÍCULO 34 CONTRATACIÓN CON EL REGISTRO ÚNICO DE OFERENTES"/>
    <m/>
    <m/>
    <x v="0"/>
    <x v="0"/>
    <x v="13"/>
    <x v="13"/>
    <n v="229135"/>
    <n v="15243"/>
    <n v="88625"/>
    <s v=" "/>
    <s v=" "/>
    <m/>
    <n v="115550229"/>
    <n v="0.02"/>
    <n v="2311004.58"/>
    <m/>
    <n v="6"/>
    <n v="115550229"/>
    <n v="117861233.58"/>
    <s v=" "/>
    <m/>
    <m/>
    <m/>
    <n v="2616928"/>
    <n v="2174537"/>
    <n v="1542300"/>
    <n v="109216464"/>
    <m/>
    <n v="115550229"/>
    <s v=" "/>
    <n v="17811286"/>
    <n v="13652058"/>
    <n v="13652058"/>
    <n v="13652058"/>
    <n v="13652058"/>
    <n v="13652058"/>
    <n v="13652058"/>
    <n v="15826595"/>
    <n v="115550229"/>
    <n v="76482392"/>
    <s v="CONTRATACIÓN ALIMENTOS - DPI"/>
    <b v="1"/>
    <n v="0"/>
    <b v="1"/>
    <n v="0"/>
    <x v="1"/>
    <m/>
  </r>
  <r>
    <x v="67"/>
    <s v="LOTE 2"/>
    <x v="8"/>
    <x v="55"/>
    <x v="5"/>
    <x v="0"/>
    <s v="SECTOR LAS MERCEDES, VIA A LA ESCUELA"/>
    <n v="55911152795"/>
    <s v="BIBLIOTECA LAS MERCEDES"/>
    <n v="1"/>
    <n v="50"/>
    <m/>
    <n v="1979"/>
    <s v="ARTÍCULO 34 CONTRATACIÓN CON EL REGISTRO ÚNICO DE OFERENTES"/>
    <m/>
    <m/>
    <x v="0"/>
    <x v="0"/>
    <x v="13"/>
    <x v="13"/>
    <n v="229135"/>
    <n v="15243"/>
    <n v="88625"/>
    <s v=" "/>
    <s v=" "/>
    <m/>
    <n v="109009650"/>
    <n v="0.02"/>
    <n v="2180193"/>
    <m/>
    <n v="7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ACIÓN ALIMENTOS - DPI"/>
    <b v="1"/>
    <n v="0"/>
    <b v="1"/>
    <n v="0"/>
    <x v="1"/>
    <m/>
  </r>
  <r>
    <x v="67"/>
    <s v="LOTE 2"/>
    <x v="8"/>
    <x v="55"/>
    <x v="5"/>
    <x v="0"/>
    <s v="CERCA A LA INSTITUCION EDUCATIVA SANTIAGO BERRIO"/>
    <n v="55911152796"/>
    <s v="SEDE UNIVERSITARIA SANTIAGO BERRIO"/>
    <n v="1"/>
    <n v="35"/>
    <m/>
    <n v="1979"/>
    <s v="ARTÍCULO 34 CONTRATACIÓN CON EL REGISTRO ÚNICO DE OFERENTES"/>
    <m/>
    <m/>
    <x v="0"/>
    <x v="0"/>
    <x v="13"/>
    <x v="13"/>
    <n v="229135"/>
    <n v="15243"/>
    <n v="88625"/>
    <s v=" "/>
    <s v=" "/>
    <m/>
    <n v="76306755"/>
    <n v="0.02"/>
    <n v="1526135.1"/>
    <m/>
    <n v="8"/>
    <n v="76306755"/>
    <n v="77832890.099999994"/>
    <s v=" "/>
    <m/>
    <m/>
    <m/>
    <n v="1728160"/>
    <n v="1436015"/>
    <n v="1018500"/>
    <n v="72124080"/>
    <m/>
    <n v="76306755"/>
    <s v=" "/>
    <n v="11762170"/>
    <n v="9015510"/>
    <n v="9015510"/>
    <n v="9015510"/>
    <n v="9015510"/>
    <n v="9015510"/>
    <n v="9015510"/>
    <n v="10451525"/>
    <n v="76306755"/>
    <n v="50507240"/>
    <s v="CONTRATACIÓN ALIMENTOS - DPI"/>
    <b v="1"/>
    <n v="0"/>
    <b v="1"/>
    <n v="0"/>
    <x v="1"/>
    <m/>
  </r>
  <r>
    <x v="67"/>
    <s v="LOTE 2"/>
    <x v="8"/>
    <x v="55"/>
    <x v="8"/>
    <x v="0"/>
    <s v="KR 17 B 25 03"/>
    <n v="55911152826"/>
    <s v="IER DORADAL"/>
    <n v="1"/>
    <n v="81"/>
    <m/>
    <n v="1979"/>
    <s v="ARTÍCULO 34 CONTRATACIÓN CON EL REGISTRO ÚNICO DE OFERENTES"/>
    <m/>
    <m/>
    <x v="0"/>
    <x v="0"/>
    <x v="13"/>
    <x v="13"/>
    <n v="229135"/>
    <n v="15243"/>
    <n v="88625"/>
    <s v=" "/>
    <s v=" "/>
    <m/>
    <n v="182343231"/>
    <n v="0.02"/>
    <n v="3646864.62"/>
    <m/>
    <n v="9"/>
    <n v="182343231"/>
    <n v="185990095.62"/>
    <s v=" "/>
    <m/>
    <m/>
    <m/>
    <n v="4168503"/>
    <n v="3492396"/>
    <n v="2357100"/>
    <n v="172325232"/>
    <m/>
    <n v="182343231"/>
    <s v=" "/>
    <n v="28066257"/>
    <n v="21540654"/>
    <n v="21540654"/>
    <n v="21540654"/>
    <n v="21540654"/>
    <n v="21540654"/>
    <n v="21540654"/>
    <n v="25033050"/>
    <n v="182343231"/>
    <n v="116888184"/>
    <s v="CONTRATACIÓN ALIMENTOS - DPI"/>
    <b v="1"/>
    <n v="0"/>
    <b v="1"/>
    <n v="0"/>
    <x v="1"/>
    <m/>
  </r>
  <r>
    <x v="67"/>
    <s v="LOTE 2"/>
    <x v="8"/>
    <x v="55"/>
    <x v="8"/>
    <x v="0"/>
    <s v="CASA DE LA CULTURA DORADAL"/>
    <n v="559100082100"/>
    <s v="CASA DE LA CULTURA DORADAL"/>
    <n v="1"/>
    <n v="38"/>
    <m/>
    <n v="1979"/>
    <s v="ARTÍCULO 34 CONTRATACIÓN CON EL REGISTRO ÚNICO DE OFERENTES"/>
    <m/>
    <m/>
    <x v="0"/>
    <x v="0"/>
    <x v="13"/>
    <x v="13"/>
    <n v="229135"/>
    <n v="15243"/>
    <n v="88625"/>
    <s v=" "/>
    <s v=" "/>
    <m/>
    <n v="85543738"/>
    <n v="0.02"/>
    <n v="1710874.76"/>
    <m/>
    <n v="10"/>
    <n v="85543738"/>
    <n v="87254612.760000005"/>
    <s v=" "/>
    <m/>
    <m/>
    <m/>
    <n v="1955594"/>
    <n v="1638408"/>
    <n v="1105800"/>
    <n v="80843936"/>
    <m/>
    <n v="85543738"/>
    <s v=" "/>
    <n v="13166886"/>
    <n v="10105492"/>
    <n v="10105492"/>
    <n v="10105492"/>
    <n v="10105492"/>
    <n v="10105492"/>
    <n v="10105492"/>
    <n v="11743900"/>
    <n v="85543738"/>
    <n v="54836432"/>
    <s v="CONTRATACIÓN ALIMENTOS - DPI"/>
    <b v="1"/>
    <n v="0"/>
    <b v="1"/>
    <n v="0"/>
    <x v="1"/>
    <m/>
  </r>
  <r>
    <x v="67"/>
    <s v="LOTE 2"/>
    <x v="8"/>
    <x v="55"/>
    <x v="7"/>
    <x v="0"/>
    <s v="KR 11 17 45 LA ESMERALDA"/>
    <n v="559100104907"/>
    <s v="GOTITAS DE AMOR"/>
    <n v="1"/>
    <n v="97"/>
    <m/>
    <n v="1979"/>
    <s v="ARTÍCULO 34 CONTRATACIÓN CON EL REGISTRO ÚNICO DE OFERENTES"/>
    <m/>
    <m/>
    <x v="0"/>
    <x v="0"/>
    <x v="13"/>
    <x v="13"/>
    <n v="229135"/>
    <n v="15243"/>
    <n v="88625"/>
    <s v=" "/>
    <s v=" "/>
    <m/>
    <n v="286800482"/>
    <n v="0.02"/>
    <n v="5736009.6399999997"/>
    <m/>
    <n v="11"/>
    <n v="286800482"/>
    <n v="292536491.63999999"/>
    <s v=" "/>
    <m/>
    <m/>
    <m/>
    <n v="8549871"/>
    <n v="7279171"/>
    <n v="0"/>
    <n v="270971440"/>
    <m/>
    <n v="286800482"/>
    <s v=" "/>
    <n v="42421301"/>
    <n v="33871430"/>
    <n v="33871430"/>
    <n v="33871430"/>
    <n v="33871430"/>
    <n v="33871430"/>
    <n v="33871430"/>
    <n v="41150601"/>
    <n v="286800482"/>
    <n v="119517968"/>
    <s v="CONTRATACIÓN ALIMENTOS - DPI"/>
    <b v="1"/>
    <n v="0"/>
    <b v="1"/>
    <n v="0"/>
    <x v="1"/>
    <m/>
  </r>
  <r>
    <x v="67"/>
    <s v="LOTE 2"/>
    <x v="8"/>
    <x v="55"/>
    <x v="5"/>
    <x v="0"/>
    <s v="IE ENRIQUE DURAN PITA"/>
    <n v="559100104908"/>
    <s v="IE ENRIQUE DURAN ESTACION PITA"/>
    <n v="1"/>
    <n v="20"/>
    <m/>
    <n v="1979"/>
    <s v="ARTÍCULO 34 CONTRATACIÓN CON EL REGISTRO ÚNICO DE OFERENTES"/>
    <m/>
    <m/>
    <x v="0"/>
    <x v="0"/>
    <x v="13"/>
    <x v="13"/>
    <n v="229135"/>
    <n v="15243"/>
    <n v="88625"/>
    <s v=" "/>
    <s v=" "/>
    <m/>
    <n v="43603860"/>
    <n v="0.02"/>
    <n v="872077.20000000007"/>
    <m/>
    <n v="12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1"/>
    <m/>
  </r>
  <r>
    <x v="68"/>
    <s v="LOTE 2"/>
    <x v="10"/>
    <x v="56"/>
    <x v="7"/>
    <x v="0"/>
    <s v="VEREDA CARRIZAL"/>
    <n v="56041151913"/>
    <s v="CDI INSTITUCIONAL ETCR REMEDIOS MEXICO"/>
    <n v="1"/>
    <n v="25"/>
    <m/>
    <n v="1980"/>
    <s v="ARTÍCULO 34 CONTRATACIÓN CON EL REGISTRO ÚNICO DE OFERENTES"/>
    <m/>
    <m/>
    <x v="0"/>
    <x v="0"/>
    <x v="48"/>
    <x v="47"/>
    <n v="229137"/>
    <n v="15212"/>
    <n v="86125"/>
    <n v="3"/>
    <n v="303"/>
    <m/>
    <n v="73917650"/>
    <n v="0.02"/>
    <n v="1478353"/>
    <m/>
    <n v="1"/>
    <n v="73917650"/>
    <n v="75396003"/>
    <n v="865543053"/>
    <n v="17310861"/>
    <n v="882853914"/>
    <n v="608.03867439409908"/>
    <n v="2203575"/>
    <n v="1876075"/>
    <n v="0"/>
    <n v="69838000"/>
    <m/>
    <n v="73917650"/>
    <n v="865543053"/>
    <n v="10933325"/>
    <n v="8729750"/>
    <n v="8729750"/>
    <n v="8729750"/>
    <n v="8729750"/>
    <n v="8729750"/>
    <n v="8729750"/>
    <n v="10605825"/>
    <n v="73917650"/>
    <n v="30803600"/>
    <s v="CONTRATO ADICIONAL POR ALIMENTACION"/>
    <b v="1"/>
    <n v="0"/>
    <b v="1"/>
    <n v="0"/>
    <x v="1"/>
    <n v="1980"/>
  </r>
  <r>
    <x v="68"/>
    <s v="LOTE 2"/>
    <x v="10"/>
    <x v="56"/>
    <x v="7"/>
    <x v="0"/>
    <s v="(en blanco)"/>
    <n v="560400053712"/>
    <s v="CDI GOTITAS DE AMOR"/>
    <n v="1"/>
    <n v="235"/>
    <m/>
    <n v="1980"/>
    <s v="ARTÍCULO 34 CONTRATACIÓN CON EL REGISTRO ÚNICO DE OFERENTES"/>
    <m/>
    <m/>
    <x v="0"/>
    <x v="0"/>
    <x v="48"/>
    <x v="47"/>
    <n v="229137"/>
    <n v="15212"/>
    <n v="86125"/>
    <s v=" "/>
    <s v=" "/>
    <m/>
    <n v="694825910"/>
    <n v="0.02"/>
    <n v="13896518.200000001"/>
    <m/>
    <n v="2"/>
    <n v="694825910"/>
    <n v="708722428.20000005"/>
    <s v=" "/>
    <m/>
    <m/>
    <m/>
    <n v="20713605"/>
    <n v="17635105"/>
    <n v="0"/>
    <n v="656477200"/>
    <m/>
    <n v="694825910"/>
    <s v=" "/>
    <n v="102773255"/>
    <n v="82059650"/>
    <n v="82059650"/>
    <n v="82059650"/>
    <n v="82059650"/>
    <n v="82059650"/>
    <n v="82059650"/>
    <n v="99694755"/>
    <n v="694825910"/>
    <n v="289553840"/>
    <s v="CONTRATO ADICIONAL POR ALIMENTACION"/>
    <b v="1"/>
    <n v="0"/>
    <b v="1"/>
    <n v="0"/>
    <x v="1"/>
    <n v="1980"/>
  </r>
  <r>
    <x v="68"/>
    <s v="LOTE 2"/>
    <x v="10"/>
    <x v="56"/>
    <x v="8"/>
    <x v="0"/>
    <s v="BARRIO EL RETIRO"/>
    <n v="560400101750"/>
    <s v="PARQUE EDUCATIVO BARRIO EL RETIRO"/>
    <n v="1"/>
    <n v="43"/>
    <m/>
    <n v="1980"/>
    <s v="ARTÍCULO 34 CONTRATACIÓN CON EL REGISTRO ÚNICO DE OFERENTES"/>
    <m/>
    <m/>
    <x v="0"/>
    <x v="0"/>
    <x v="48"/>
    <x v="47"/>
    <n v="229137"/>
    <n v="15212"/>
    <n v="86125"/>
    <s v=" "/>
    <s v=" "/>
    <m/>
    <n v="96799493"/>
    <n v="0.02"/>
    <n v="1935989.86"/>
    <m/>
    <n v="3"/>
    <n v="96799493"/>
    <n v="98735482.859999999"/>
    <s v=" "/>
    <m/>
    <m/>
    <m/>
    <n v="2212909"/>
    <n v="1853988"/>
    <n v="1251300"/>
    <n v="91481296"/>
    <m/>
    <n v="96799493"/>
    <s v=" "/>
    <n v="14899371"/>
    <n v="11435162"/>
    <n v="11435162"/>
    <n v="11435162"/>
    <n v="11435162"/>
    <n v="11435162"/>
    <n v="11435162"/>
    <n v="13289150"/>
    <n v="96799493"/>
    <n v="62051752"/>
    <s v="CONTRATO ADICIONAL POR ALIMENTACION"/>
    <b v="1"/>
    <n v="0"/>
    <b v="1"/>
    <n v="0"/>
    <x v="1"/>
    <n v="1980"/>
  </r>
  <r>
    <x v="69"/>
    <s v="LOTE 2"/>
    <x v="10"/>
    <x v="56"/>
    <x v="5"/>
    <x v="0"/>
    <s v="VEREDA LAS PAVAS"/>
    <n v="56041118905"/>
    <s v="C COMUNAL VEREDA LAS PAVAS"/>
    <n v="1"/>
    <n v="50"/>
    <m/>
    <n v="1981"/>
    <s v="ARTÍCULO 34 CONTRATACIÓN CON EL REGISTRO ÚNICO DE OFERENTES"/>
    <m/>
    <m/>
    <x v="0"/>
    <x v="0"/>
    <x v="49"/>
    <x v="48"/>
    <n v="229138"/>
    <n v="15242"/>
    <n v="88525"/>
    <n v="32"/>
    <n v="853"/>
    <m/>
    <n v="109009650"/>
    <n v="0.02"/>
    <n v="2180193"/>
    <m/>
    <n v="1"/>
    <n v="109009650"/>
    <n v="111189843"/>
    <n v="1859704629"/>
    <n v="37194093"/>
    <n v="1896898722"/>
    <n v="1306.4310706006322"/>
    <n v="2468800"/>
    <n v="2051450"/>
    <n v="1455000"/>
    <n v="103034400"/>
    <m/>
    <n v="109009650"/>
    <n v="1859704629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81"/>
  </r>
  <r>
    <x v="69"/>
    <s v="LOTE 2"/>
    <x v="10"/>
    <x v="56"/>
    <x v="5"/>
    <x v="0"/>
    <s v="VEREDA PUENTE ROTO"/>
    <n v="56041118906"/>
    <s v="C COMUNAL TAMARINDO VEREDA PUENTE ROTO"/>
    <n v="1"/>
    <n v="5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109009650"/>
    <n v="0.02"/>
    <n v="2180193"/>
    <m/>
    <n v="2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81"/>
  </r>
  <r>
    <x v="69"/>
    <s v="LOTE 2"/>
    <x v="10"/>
    <x v="56"/>
    <x v="5"/>
    <x v="0"/>
    <s v="VEREDA BELEN"/>
    <n v="56041118959"/>
    <s v="C COMUNAL VEREDA BELEN"/>
    <n v="1"/>
    <n v="24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52324632"/>
    <n v="0.02"/>
    <n v="1046492.64"/>
    <m/>
    <n v="3"/>
    <n v="52324632"/>
    <n v="53371124.640000001"/>
    <s v=" "/>
    <m/>
    <m/>
    <m/>
    <n v="1185024"/>
    <n v="984696"/>
    <n v="698400"/>
    <n v="49456512"/>
    <m/>
    <n v="52324632"/>
    <s v=" "/>
    <n v="8065488"/>
    <n v="6182064"/>
    <n v="6182064"/>
    <n v="6182064"/>
    <n v="6182064"/>
    <n v="6182064"/>
    <n v="6182064"/>
    <n v="7166760"/>
    <n v="52324632"/>
    <n v="34633536"/>
    <s v="CONTRATO ADICIONAL POR ALIMENTACION"/>
    <b v="1"/>
    <n v="0"/>
    <b v="1"/>
    <n v="0"/>
    <x v="1"/>
    <n v="1981"/>
  </r>
  <r>
    <x v="69"/>
    <s v="LOTE 2"/>
    <x v="10"/>
    <x v="56"/>
    <x v="5"/>
    <x v="0"/>
    <s v="VEREDA CAÑAVERAL"/>
    <n v="56041118960"/>
    <s v="C COMUNAL VEREDA CAÑAVERAL"/>
    <n v="1"/>
    <n v="15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32702895"/>
    <n v="0.02"/>
    <n v="654057.9"/>
    <m/>
    <n v="4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1981"/>
  </r>
  <r>
    <x v="69"/>
    <s v="LOTE 2"/>
    <x v="10"/>
    <x v="56"/>
    <x v="5"/>
    <x v="0"/>
    <s v="CORRIGIMIENTO LA CRUZADA"/>
    <n v="56041118963"/>
    <s v="C COMUNAL LAS BRISAS CORREGIMI LA CRUZADA"/>
    <n v="1"/>
    <n v="32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69766176"/>
    <n v="0.02"/>
    <n v="1395323.52"/>
    <m/>
    <n v="5"/>
    <n v="69766176"/>
    <n v="71161499.519999996"/>
    <s v=" "/>
    <m/>
    <m/>
    <m/>
    <n v="1580032"/>
    <n v="1312928"/>
    <n v="931200"/>
    <n v="65942016"/>
    <m/>
    <n v="69766176"/>
    <s v=" "/>
    <n v="10753984"/>
    <n v="8242752"/>
    <n v="8242752"/>
    <n v="8242752"/>
    <n v="8242752"/>
    <n v="8242752"/>
    <n v="8242752"/>
    <n v="9555680"/>
    <n v="69766176"/>
    <n v="46178048"/>
    <s v="CONTRATO ADICIONAL POR ALIMENTACION"/>
    <b v="1"/>
    <n v="0"/>
    <b v="1"/>
    <n v="0"/>
    <x v="1"/>
    <n v="1981"/>
  </r>
  <r>
    <x v="69"/>
    <s v="LOTE 2"/>
    <x v="10"/>
    <x v="56"/>
    <x v="5"/>
    <x v="0"/>
    <s v="VEREDA EL CHIQUILLO"/>
    <n v="56041134707"/>
    <s v="C COMUNAL VEREDA EL CHIQUILLO"/>
    <n v="1"/>
    <n v="16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34883088"/>
    <n v="0.02"/>
    <n v="697661.76"/>
    <m/>
    <n v="6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1981"/>
  </r>
  <r>
    <x v="69"/>
    <s v="LOTE 2"/>
    <x v="10"/>
    <x v="56"/>
    <x v="5"/>
    <x v="0"/>
    <s v="CARRETERA YONDO"/>
    <n v="56041134714"/>
    <s v="PARQUE EDUCATIVO ISABELITA TEJADA"/>
    <n v="1"/>
    <n v="19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41423667"/>
    <n v="0.02"/>
    <n v="828473.34"/>
    <m/>
    <n v="7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1981"/>
  </r>
  <r>
    <x v="69"/>
    <s v="LOTE 2"/>
    <x v="10"/>
    <x v="56"/>
    <x v="5"/>
    <x v="0"/>
    <s v="RIO BAGRE"/>
    <n v="56041134716"/>
    <s v="CASA CONCEJAL VEREDA RIO BAGRE"/>
    <n v="1"/>
    <n v="5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109009650"/>
    <n v="0.02"/>
    <n v="2180193"/>
    <m/>
    <n v="8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81"/>
  </r>
  <r>
    <x v="69"/>
    <s v="LOTE 2"/>
    <x v="10"/>
    <x v="56"/>
    <x v="5"/>
    <x v="0"/>
    <s v="VEREDA CARRIZAL"/>
    <n v="56041134720"/>
    <s v="C COMUNAL VEREDA CARRIZAL"/>
    <n v="1"/>
    <n v="35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76306755"/>
    <n v="0.02"/>
    <n v="1526135.1"/>
    <m/>
    <n v="9"/>
    <n v="76306755"/>
    <n v="77832890.099999994"/>
    <s v=" "/>
    <m/>
    <m/>
    <m/>
    <n v="1728160"/>
    <n v="1436015"/>
    <n v="1018500"/>
    <n v="72124080"/>
    <m/>
    <n v="76306755"/>
    <s v=" "/>
    <n v="11762170"/>
    <n v="9015510"/>
    <n v="9015510"/>
    <n v="9015510"/>
    <n v="9015510"/>
    <n v="9015510"/>
    <n v="9015510"/>
    <n v="10451525"/>
    <n v="76306755"/>
    <n v="50507240"/>
    <s v="CONTRATO ADICIONAL POR ALIMENTACION"/>
    <b v="1"/>
    <n v="0"/>
    <b v="1"/>
    <n v="0"/>
    <x v="1"/>
    <n v="1981"/>
  </r>
  <r>
    <x v="69"/>
    <s v="LOTE 2"/>
    <x v="10"/>
    <x v="56"/>
    <x v="5"/>
    <x v="0"/>
    <s v="VEREDA MARTANA"/>
    <n v="56041134724"/>
    <s v="C COMUNAL VEREDA MARTANA"/>
    <n v="1"/>
    <n v="5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109009650"/>
    <n v="0.02"/>
    <n v="2180193"/>
    <m/>
    <n v="10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81"/>
  </r>
  <r>
    <x v="69"/>
    <s v="LOTE 2"/>
    <x v="10"/>
    <x v="56"/>
    <x v="5"/>
    <x v="0"/>
    <s v="CORREGIMIENTO LA CRUZADA HERRADURA"/>
    <n v="56041134733"/>
    <s v="C COMUNAL LA HERRADURA CORREGIM LA CRUZADA"/>
    <n v="1"/>
    <n v="26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56685018"/>
    <n v="0.02"/>
    <n v="1133700.3600000001"/>
    <m/>
    <n v="11"/>
    <n v="56685018"/>
    <n v="57818718.359999999"/>
    <s v=" "/>
    <m/>
    <m/>
    <m/>
    <n v="1283776"/>
    <n v="1066754"/>
    <n v="756600"/>
    <n v="53577888"/>
    <m/>
    <n v="56685018"/>
    <s v=" "/>
    <n v="8737612"/>
    <n v="6697236"/>
    <n v="6697236"/>
    <n v="6697236"/>
    <n v="6697236"/>
    <n v="6697236"/>
    <n v="6697236"/>
    <n v="7763990"/>
    <n v="56685018"/>
    <n v="37519664"/>
    <s v="CONTRATO ADICIONAL POR ALIMENTACION"/>
    <b v="1"/>
    <n v="0"/>
    <b v="1"/>
    <n v="0"/>
    <x v="1"/>
    <n v="1981"/>
  </r>
  <r>
    <x v="69"/>
    <s v="LOTE 2"/>
    <x v="10"/>
    <x v="56"/>
    <x v="5"/>
    <x v="0"/>
    <s v="VEREDA LA GORGONA"/>
    <n v="56041134750"/>
    <s v="CASA HOGAR VEREDA LA GORGONA"/>
    <n v="1"/>
    <n v="26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56685018"/>
    <n v="0.02"/>
    <n v="1133700.3600000001"/>
    <m/>
    <n v="12"/>
    <n v="56685018"/>
    <n v="57818718.359999999"/>
    <s v=" "/>
    <m/>
    <m/>
    <m/>
    <n v="1283776"/>
    <n v="1066754"/>
    <n v="756600"/>
    <n v="53577888"/>
    <m/>
    <n v="56685018"/>
    <s v=" "/>
    <n v="8737612"/>
    <n v="6697236"/>
    <n v="6697236"/>
    <n v="6697236"/>
    <n v="6697236"/>
    <n v="6697236"/>
    <n v="6697236"/>
    <n v="7763990"/>
    <n v="56685018"/>
    <n v="37519664"/>
    <s v="CONTRATO ADICIONAL POR ALIMENTACION"/>
    <b v="1"/>
    <n v="0"/>
    <b v="1"/>
    <n v="0"/>
    <x v="1"/>
    <n v="1981"/>
  </r>
  <r>
    <x v="69"/>
    <s v="LOTE 2"/>
    <x v="10"/>
    <x v="56"/>
    <x v="5"/>
    <x v="0"/>
    <s v="VEREDA EL POPERO"/>
    <n v="56041134760"/>
    <s v="C COMUNAL VEREDA EL POPERO"/>
    <n v="1"/>
    <n v="1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21801930"/>
    <n v="0.02"/>
    <n v="436038.60000000003"/>
    <m/>
    <n v="13"/>
    <n v="21801930"/>
    <n v="22237968.600000001"/>
    <s v=" "/>
    <m/>
    <m/>
    <m/>
    <n v="493760"/>
    <n v="410290"/>
    <n v="291000"/>
    <n v="20606880"/>
    <m/>
    <n v="21801930"/>
    <s v=" "/>
    <n v="3360620"/>
    <n v="2575860"/>
    <n v="2575860"/>
    <n v="2575860"/>
    <n v="2575860"/>
    <n v="2575860"/>
    <n v="2575860"/>
    <n v="2986150"/>
    <n v="21801930"/>
    <n v="14430640"/>
    <s v="CONTRATO ADICIONAL POR ALIMENTACION"/>
    <b v="1"/>
    <n v="0"/>
    <b v="1"/>
    <n v="0"/>
    <x v="1"/>
    <n v="1981"/>
  </r>
  <r>
    <x v="69"/>
    <s v="LOTE 2"/>
    <x v="10"/>
    <x v="56"/>
    <x v="5"/>
    <x v="0"/>
    <s v="CORREGIMIENTO LA CRUZADA"/>
    <n v="56041134768"/>
    <s v="C COMUNAL LAS BRISAS BARRIO TRES Y MEDIA"/>
    <n v="1"/>
    <n v="4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87207720"/>
    <n v="0.02"/>
    <n v="1744154.4000000001"/>
    <m/>
    <n v="14"/>
    <n v="87207720"/>
    <n v="88951874.400000006"/>
    <s v=" "/>
    <m/>
    <m/>
    <m/>
    <n v="1975040"/>
    <n v="1641160"/>
    <n v="1164000"/>
    <n v="82427520"/>
    <m/>
    <n v="87207720"/>
    <s v=" "/>
    <n v="13442480"/>
    <n v="10303440"/>
    <n v="10303440"/>
    <n v="10303440"/>
    <n v="10303440"/>
    <n v="10303440"/>
    <n v="10303440"/>
    <n v="11944600"/>
    <n v="87207720"/>
    <n v="57722560"/>
    <s v="CONTRATO ADICIONAL POR ALIMENTACION"/>
    <b v="1"/>
    <n v="0"/>
    <b v="1"/>
    <n v="0"/>
    <x v="1"/>
    <n v="1981"/>
  </r>
  <r>
    <x v="69"/>
    <s v="LOTE 2"/>
    <x v="10"/>
    <x v="56"/>
    <x v="5"/>
    <x v="0"/>
    <s v="CORREGIMIENTO SANTA ISABEL"/>
    <n v="56041136596"/>
    <s v="CASA DEL ADULTO MAYOR CORREGIM SANTA ISABEL"/>
    <n v="1"/>
    <n v="5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109009650"/>
    <n v="0.02"/>
    <n v="2180193"/>
    <m/>
    <n v="15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81"/>
  </r>
  <r>
    <x v="69"/>
    <s v="LOTE 2"/>
    <x v="10"/>
    <x v="56"/>
    <x v="5"/>
    <x v="0"/>
    <s v="VEREDA EL MOSQUITO"/>
    <n v="56041140733"/>
    <s v="CASETA RESGUARDO VEREDA EL MOSQUITO"/>
    <n v="1"/>
    <n v="24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52324632"/>
    <n v="0.02"/>
    <n v="1046492.64"/>
    <m/>
    <n v="16"/>
    <n v="52324632"/>
    <n v="53371124.640000001"/>
    <s v=" "/>
    <m/>
    <m/>
    <m/>
    <n v="1185024"/>
    <n v="984696"/>
    <n v="698400"/>
    <n v="49456512"/>
    <m/>
    <n v="52324632"/>
    <s v=" "/>
    <n v="8065488"/>
    <n v="6182064"/>
    <n v="6182064"/>
    <n v="6182064"/>
    <n v="6182064"/>
    <n v="6182064"/>
    <n v="6182064"/>
    <n v="7166760"/>
    <n v="52324632"/>
    <n v="34633536"/>
    <s v="CONTRATO ADICIONAL POR ALIMENTACION"/>
    <b v="1"/>
    <n v="0"/>
    <b v="1"/>
    <n v="0"/>
    <x v="1"/>
    <n v="1981"/>
  </r>
  <r>
    <x v="69"/>
    <s v="LOTE 2"/>
    <x v="10"/>
    <x v="56"/>
    <x v="5"/>
    <x v="0"/>
    <s v="VEREDA EL PIÑAL"/>
    <n v="56041148675"/>
    <s v="IER VEREDA EL PIÑAL"/>
    <n v="1"/>
    <n v="13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28342509"/>
    <n v="0.02"/>
    <n v="566850.18000000005"/>
    <m/>
    <n v="17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1981"/>
  </r>
  <r>
    <x v="69"/>
    <s v="LOTE 2"/>
    <x v="10"/>
    <x v="56"/>
    <x v="5"/>
    <x v="0"/>
    <s v="LEJANIAS 1 / CASA DE CULTURA"/>
    <n v="56041150581"/>
    <s v="LEJANIAS 1"/>
    <n v="1"/>
    <n v="2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43603860"/>
    <n v="0.02"/>
    <n v="872077.20000000007"/>
    <m/>
    <n v="18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81"/>
  </r>
  <r>
    <x v="69"/>
    <s v="LOTE 2"/>
    <x v="10"/>
    <x v="56"/>
    <x v="5"/>
    <x v="0"/>
    <s v="LEJANIAS 2/ CASA DE CULTURA"/>
    <n v="56041150582"/>
    <s v="LEJANIAS 2"/>
    <n v="1"/>
    <n v="2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43603860"/>
    <n v="0.02"/>
    <n v="872077.20000000007"/>
    <m/>
    <n v="19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81"/>
  </r>
  <r>
    <x v="69"/>
    <s v="LOTE 2"/>
    <x v="10"/>
    <x v="56"/>
    <x v="5"/>
    <x v="0"/>
    <s v="LEJANIAS 3 / CASA DE CULTURA"/>
    <n v="56041150583"/>
    <s v="LEJANIAS 3"/>
    <n v="1"/>
    <n v="2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43603860"/>
    <n v="0.02"/>
    <n v="872077.20000000007"/>
    <m/>
    <n v="20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81"/>
  </r>
  <r>
    <x v="69"/>
    <s v="LOTE 2"/>
    <x v="10"/>
    <x v="56"/>
    <x v="5"/>
    <x v="0"/>
    <s v="EL CARMEN 3 CASETA COMUNAL"/>
    <n v="56041150585"/>
    <s v="EL CARMEN 3"/>
    <n v="1"/>
    <n v="2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43603860"/>
    <n v="0.02"/>
    <n v="872077.20000000007"/>
    <m/>
    <n v="21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81"/>
  </r>
  <r>
    <x v="69"/>
    <s v="LOTE 2"/>
    <x v="10"/>
    <x v="56"/>
    <x v="5"/>
    <x v="0"/>
    <s v="EL CARMEN 1/ CASETA JAC"/>
    <n v="56041150586"/>
    <s v="EL CARMEN 1"/>
    <n v="1"/>
    <n v="2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43603860"/>
    <n v="0.02"/>
    <n v="872077.20000000007"/>
    <m/>
    <n v="22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81"/>
  </r>
  <r>
    <x v="69"/>
    <s v="LOTE 2"/>
    <x v="10"/>
    <x v="56"/>
    <x v="5"/>
    <x v="0"/>
    <s v="EL CARMEN 2 / CASETA JAC"/>
    <n v="56041150587"/>
    <s v="EL CARMEN 2"/>
    <n v="1"/>
    <n v="2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43603860"/>
    <n v="0.02"/>
    <n v="872077.20000000007"/>
    <m/>
    <n v="23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81"/>
  </r>
  <r>
    <x v="69"/>
    <s v="LOTE 2"/>
    <x v="10"/>
    <x v="56"/>
    <x v="5"/>
    <x v="0"/>
    <s v="SANTANA 1 ESCUELA"/>
    <n v="56041150588"/>
    <s v="SANTANA"/>
    <n v="1"/>
    <n v="2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43603860"/>
    <n v="0.02"/>
    <n v="872077.20000000007"/>
    <m/>
    <n v="2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81"/>
  </r>
  <r>
    <x v="69"/>
    <s v="LOTE 2"/>
    <x v="10"/>
    <x v="56"/>
    <x v="5"/>
    <x v="0"/>
    <s v="VEREDA OTÚ"/>
    <n v="56041152197"/>
    <s v="CAPILLA VEREDA OTÚ"/>
    <n v="1"/>
    <n v="18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39243474"/>
    <n v="0.02"/>
    <n v="784869.48"/>
    <m/>
    <n v="25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1"/>
    <n v="1981"/>
  </r>
  <r>
    <x v="69"/>
    <s v="LOTE 2"/>
    <x v="10"/>
    <x v="56"/>
    <x v="5"/>
    <x v="0"/>
    <s v="VEREDA LAS PAVAS CERCA A LA TIENDA VILLAREAL"/>
    <n v="56041152805"/>
    <s v="C COMUNAL LAS PAVAS LLANO 2"/>
    <n v="1"/>
    <n v="5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109009650"/>
    <n v="0.02"/>
    <n v="2180193"/>
    <m/>
    <n v="26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81"/>
  </r>
  <r>
    <x v="69"/>
    <s v="LOTE 2"/>
    <x v="10"/>
    <x v="56"/>
    <x v="5"/>
    <x v="0"/>
    <s v="(en blanco)"/>
    <n v="56041153113"/>
    <s v="MAÑANITAS ALEGRES"/>
    <n v="1"/>
    <n v="20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43603860"/>
    <n v="0.02"/>
    <n v="872077.20000000007"/>
    <m/>
    <n v="27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1981"/>
  </r>
  <r>
    <x v="69"/>
    <s v="LOTE 2"/>
    <x v="10"/>
    <x v="56"/>
    <x v="5"/>
    <x v="0"/>
    <s v="VEREDA EL CARMEN CERCA DE LA ESCUELA RANCHO QUEMADO"/>
    <n v="56041153149"/>
    <s v="IER VEREDA EL CARMEN"/>
    <n v="1"/>
    <n v="37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80667141"/>
    <n v="0.02"/>
    <n v="1613342.82"/>
    <m/>
    <n v="28"/>
    <n v="80667141"/>
    <n v="82280483.819999993"/>
    <s v=" "/>
    <m/>
    <m/>
    <m/>
    <n v="1826912"/>
    <n v="1518073"/>
    <n v="1076700"/>
    <n v="76245456"/>
    <m/>
    <n v="80667141"/>
    <s v=" "/>
    <n v="12434294"/>
    <n v="9530682"/>
    <n v="9530682"/>
    <n v="9530682"/>
    <n v="9530682"/>
    <n v="9530682"/>
    <n v="9530682"/>
    <n v="11048755"/>
    <n v="80667141"/>
    <n v="53393368"/>
    <s v="CONTRATO ADICIONAL POR ALIMENTACION"/>
    <b v="1"/>
    <n v="0"/>
    <b v="1"/>
    <n v="0"/>
    <x v="1"/>
    <n v="1981"/>
  </r>
  <r>
    <x v="69"/>
    <s v="LOTE 2"/>
    <x v="10"/>
    <x v="56"/>
    <x v="5"/>
    <x v="0"/>
    <s v="VEREDA LA CEIBA, CERCA DE LA IGLESIA PENTECOSTAL UNIDOS DE COLOMBIA"/>
    <n v="56041153181"/>
    <s v="C COMUNAL VEREDA LA CEIBA"/>
    <n v="1"/>
    <n v="14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30522702"/>
    <n v="0.02"/>
    <n v="610454.04"/>
    <m/>
    <n v="29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1981"/>
  </r>
  <r>
    <x v="69"/>
    <s v="LOTE 2"/>
    <x v="10"/>
    <x v="56"/>
    <x v="5"/>
    <x v="0"/>
    <s v="VEREDA PLATANALES - FRENTE AL ESTADERO PRINCIPAL DE LA VEREDA PLATANALES"/>
    <n v="56041153231"/>
    <s v="CASA HOGAR VEREDA PLATANALES"/>
    <n v="1"/>
    <n v="1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2180193"/>
    <n v="0.02"/>
    <n v="43603.86"/>
    <m/>
    <n v="30"/>
    <n v="2180193"/>
    <n v="2223796.86"/>
    <s v=" "/>
    <m/>
    <m/>
    <m/>
    <n v="49376"/>
    <n v="41029"/>
    <n v="29100"/>
    <n v="2060688"/>
    <m/>
    <n v="2180193"/>
    <s v=" "/>
    <n v="336062"/>
    <n v="257586"/>
    <n v="257586"/>
    <n v="257586"/>
    <n v="257586"/>
    <n v="257586"/>
    <n v="257586"/>
    <n v="298615"/>
    <n v="2180193"/>
    <n v="1443064"/>
    <s v="CONTRATO ADICIONAL POR ALIMENTACION"/>
    <b v="1"/>
    <n v="0"/>
    <b v="1"/>
    <n v="0"/>
    <x v="1"/>
    <n v="1981"/>
  </r>
  <r>
    <x v="69"/>
    <s v="LOTE 2"/>
    <x v="10"/>
    <x v="56"/>
    <x v="5"/>
    <x v="0"/>
    <s v="BARRIO 20 DE JULIO"/>
    <n v="560400054640"/>
    <s v="C COMUNAL BARRIO 20 DE JULIO"/>
    <n v="1"/>
    <n v="22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47964246"/>
    <n v="0.02"/>
    <n v="959284.92"/>
    <m/>
    <n v="31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1"/>
    <n v="1981"/>
  </r>
  <r>
    <x v="69"/>
    <s v="LOTE 2"/>
    <x v="10"/>
    <x v="56"/>
    <x v="5"/>
    <x v="0"/>
    <s v="BARRIO MARIANGOLA"/>
    <n v="560400113558"/>
    <s v="C COMUNAL BARRIO MARIANGOLA"/>
    <n v="1"/>
    <n v="21"/>
    <m/>
    <n v="1981"/>
    <s v="ARTÍCULO 34 CONTRATACIÓN CON EL REGISTRO ÚNICO DE OFERENTES"/>
    <m/>
    <m/>
    <x v="0"/>
    <x v="0"/>
    <x v="49"/>
    <x v="48"/>
    <n v="229138"/>
    <n v="15242"/>
    <n v="88525"/>
    <s v=" "/>
    <s v=" "/>
    <m/>
    <n v="45784053"/>
    <n v="0.02"/>
    <n v="915681.06"/>
    <m/>
    <n v="32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O ADICIONAL POR ALIMENTACION"/>
    <b v="1"/>
    <n v="0"/>
    <b v="1"/>
    <n v="0"/>
    <x v="1"/>
    <n v="1981"/>
  </r>
  <r>
    <x v="70"/>
    <s v="LOTE 2"/>
    <x v="5"/>
    <x v="57"/>
    <x v="1"/>
    <x v="0"/>
    <s v="C.E.R EL PORTENTO"/>
    <n v="56071137530"/>
    <s v="SONRISAS DE COLORES"/>
    <n v="1"/>
    <n v="43"/>
    <m/>
    <n v="1982"/>
    <s v="ARTÍCULO 34 CONTRATACIÓN CON EL REGISTRO ÚNICO DE OFERENTES"/>
    <m/>
    <m/>
    <x v="0"/>
    <x v="0"/>
    <x v="1"/>
    <x v="1"/>
    <n v="229140"/>
    <n v="15245"/>
    <n v="88825"/>
    <n v="3"/>
    <n v="319"/>
    <m/>
    <n v="65330115"/>
    <n v="0.02"/>
    <n v="1306602.3"/>
    <m/>
    <n v="1"/>
    <n v="65330115"/>
    <n v="66636717.299999997"/>
    <n v="1098653645"/>
    <n v="21973073"/>
    <n v="1120626718"/>
    <n v="771.79743238496667"/>
    <n v="2009992"/>
    <n v="1627163"/>
    <n v="0"/>
    <n v="61692960"/>
    <m/>
    <n v="65330115"/>
    <n v="1098653645"/>
    <n v="9721612"/>
    <n v="7711620"/>
    <n v="7711620"/>
    <n v="7711620"/>
    <n v="7711620"/>
    <n v="7711620"/>
    <n v="7711620"/>
    <n v="9338783"/>
    <n v="65330115"/>
    <n v="64782424"/>
    <s v="CONTRATO ADICIONAL POR ALIMENTACION"/>
    <b v="1"/>
    <n v="0"/>
    <b v="1"/>
    <n v="0"/>
    <x v="1"/>
    <n v="1982"/>
  </r>
  <r>
    <x v="70"/>
    <s v="LOTE 2"/>
    <x v="5"/>
    <x v="57"/>
    <x v="1"/>
    <x v="0"/>
    <s v="C.E.R LEJOS DEL NIDO"/>
    <n v="56071137534"/>
    <s v="HUELLITAS DE AMOR"/>
    <n v="1"/>
    <n v="46"/>
    <m/>
    <n v="1982"/>
    <s v="ARTÍCULO 34 CONTRATACIÓN CON EL REGISTRO ÚNICO DE OFERENTES"/>
    <m/>
    <m/>
    <x v="0"/>
    <x v="0"/>
    <x v="1"/>
    <x v="1"/>
    <n v="229140"/>
    <n v="15245"/>
    <n v="88825"/>
    <s v=" "/>
    <s v=" "/>
    <m/>
    <n v="69888030"/>
    <n v="0.02"/>
    <n v="1397760.6"/>
    <m/>
    <n v="2"/>
    <n v="69888030"/>
    <n v="71285790.599999994"/>
    <s v=" "/>
    <m/>
    <m/>
    <m/>
    <n v="2150224"/>
    <n v="1740686"/>
    <n v="0"/>
    <n v="65997120"/>
    <m/>
    <n v="69888030"/>
    <s v=" "/>
    <n v="10399864"/>
    <n v="8249640"/>
    <n v="8249640"/>
    <n v="8249640"/>
    <n v="8249640"/>
    <n v="8249640"/>
    <n v="8249640"/>
    <n v="9990326"/>
    <n v="69888030"/>
    <n v="69302128"/>
    <s v="CONTRATO ADICIONAL POR ALIMENTACION"/>
    <b v="1"/>
    <n v="0"/>
    <b v="1"/>
    <n v="0"/>
    <x v="1"/>
    <n v="1982"/>
  </r>
  <r>
    <x v="70"/>
    <s v="LOTE 2"/>
    <x v="5"/>
    <x v="57"/>
    <x v="2"/>
    <x v="0"/>
    <s v="CL 19 26 160"/>
    <n v="560700113001"/>
    <s v="CASA CDI GUARCEÑITO"/>
    <n v="1"/>
    <n v="230"/>
    <m/>
    <n v="1982"/>
    <s v="ARTÍCULO 34 CONTRATACIÓN CON EL REGISTRO ÚNICO DE OFERENTES"/>
    <m/>
    <m/>
    <x v="0"/>
    <x v="0"/>
    <x v="1"/>
    <x v="1"/>
    <n v="229140"/>
    <n v="15245"/>
    <n v="88825"/>
    <s v=" "/>
    <s v=" "/>
    <m/>
    <n v="963435500"/>
    <n v="0.02"/>
    <n v="19268710"/>
    <m/>
    <n v="3"/>
    <n v="963435500"/>
    <n v="982704210"/>
    <s v=" "/>
    <m/>
    <m/>
    <m/>
    <n v="20272890"/>
    <n v="17259890"/>
    <n v="0"/>
    <n v="925902720"/>
    <m/>
    <n v="963435500"/>
    <s v=" "/>
    <n v="136010730"/>
    <n v="115737840"/>
    <n v="115737840"/>
    <n v="115737840"/>
    <n v="115737840"/>
    <n v="115737840"/>
    <n v="115737840"/>
    <n v="132997730"/>
    <n v="963435500"/>
    <n v="0"/>
    <s v="CONTRATO COSTEADO CON ALIMENTACION"/>
    <b v="1"/>
    <n v="0"/>
    <b v="1"/>
    <n v="0"/>
    <x v="1"/>
    <n v="1982"/>
  </r>
  <r>
    <x v="71"/>
    <s v="LOTE 2"/>
    <x v="5"/>
    <x v="38"/>
    <x v="1"/>
    <x v="0"/>
    <s v="SALON JUNTA DE ACCION COMUNAL, VEREDA ABREITO"/>
    <n v="56151113313"/>
    <s v="ABREITO MAMPUESTO"/>
    <n v="1"/>
    <n v="47"/>
    <m/>
    <n v="1984"/>
    <s v="ARTÍCULO 34 CONTRATACIÓN CON EL REGISTRO ÚNICO DE OFERENTES"/>
    <m/>
    <m/>
    <x v="0"/>
    <x v="0"/>
    <x v="40"/>
    <x v="49"/>
    <n v="229141"/>
    <n v="15213"/>
    <n v="86225"/>
    <n v="10"/>
    <n v="473"/>
    <m/>
    <n v="71407335"/>
    <n v="0.02"/>
    <n v="1428146.7"/>
    <m/>
    <n v="1"/>
    <n v="71407335"/>
    <n v="72835481.700000003"/>
    <n v="718631265"/>
    <n v="14372625"/>
    <n v="733003890"/>
    <n v="504.83404636459431"/>
    <n v="2196968"/>
    <n v="1778527"/>
    <n v="0"/>
    <n v="67431840"/>
    <m/>
    <n v="71407335"/>
    <n v="718631265"/>
    <n v="10625948"/>
    <n v="8428980"/>
    <n v="8428980"/>
    <n v="8428980"/>
    <n v="8428980"/>
    <n v="8428980"/>
    <n v="8428980"/>
    <n v="10207507"/>
    <n v="71407335"/>
    <n v="70808696"/>
    <s v="CONTRATACIÓN ALIMENTOS - DPI"/>
    <b v="1"/>
    <n v="0"/>
    <b v="1"/>
    <n v="0"/>
    <x v="1"/>
    <m/>
  </r>
  <r>
    <x v="71"/>
    <s v="LOTE 2"/>
    <x v="5"/>
    <x v="38"/>
    <x v="1"/>
    <x v="0"/>
    <s v="I.E. ANA GÓMEZ DE SIERRA SEDE MARIA CAMILA RENDÓN"/>
    <n v="56151113322"/>
    <s v="LA PLAYA LOS PINOS"/>
    <n v="1"/>
    <n v="50"/>
    <m/>
    <n v="1984"/>
    <s v="ARTÍCULO 34 CONTRATACIÓN CON EL REGISTRO ÚNICO DE OFERENTES"/>
    <m/>
    <m/>
    <x v="0"/>
    <x v="0"/>
    <x v="40"/>
    <x v="49"/>
    <n v="229141"/>
    <n v="15213"/>
    <n v="86225"/>
    <s v=" "/>
    <s v=" "/>
    <m/>
    <n v="75965250"/>
    <n v="0.02"/>
    <n v="1519305"/>
    <m/>
    <n v="2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ACIÓN ALIMENTOS - DPI"/>
    <b v="1"/>
    <n v="0"/>
    <b v="1"/>
    <n v="0"/>
    <x v="1"/>
    <m/>
  </r>
  <r>
    <x v="71"/>
    <s v="LOTE 2"/>
    <x v="5"/>
    <x v="38"/>
    <x v="1"/>
    <x v="0"/>
    <s v="CENTRO DE INTEGRACIÓN ALTO BONITO, VEREDA ALTO BONITO"/>
    <n v="56151119901"/>
    <s v="ARTISTAS DE SONRISAS"/>
    <n v="1"/>
    <n v="47"/>
    <m/>
    <n v="1984"/>
    <s v="ARTÍCULO 34 CONTRATACIÓN CON EL REGISTRO ÚNICO DE OFERENTES"/>
    <m/>
    <m/>
    <x v="0"/>
    <x v="0"/>
    <x v="40"/>
    <x v="49"/>
    <n v="229141"/>
    <n v="15213"/>
    <n v="86225"/>
    <s v=" "/>
    <s v=" "/>
    <m/>
    <n v="71407335"/>
    <n v="0.02"/>
    <n v="1428146.7"/>
    <m/>
    <n v="3"/>
    <n v="71407335"/>
    <n v="72835481.700000003"/>
    <s v=" "/>
    <m/>
    <m/>
    <m/>
    <n v="2196968"/>
    <n v="1778527"/>
    <n v="0"/>
    <n v="67431840"/>
    <m/>
    <n v="71407335"/>
    <s v=" "/>
    <n v="10625948"/>
    <n v="8428980"/>
    <n v="8428980"/>
    <n v="8428980"/>
    <n v="8428980"/>
    <n v="8428980"/>
    <n v="8428980"/>
    <n v="10207507"/>
    <n v="71407335"/>
    <n v="70808696"/>
    <s v="CONTRATACIÓN ALIMENTOS - DPI"/>
    <b v="1"/>
    <n v="0"/>
    <b v="1"/>
    <n v="0"/>
    <x v="1"/>
    <m/>
  </r>
  <r>
    <x v="71"/>
    <s v="LOTE 2"/>
    <x v="5"/>
    <x v="38"/>
    <x v="1"/>
    <x v="0"/>
    <s v="VEREDA LOS PINOS, CASETA COMUNAL CANCHA DE ARENA LIMITANDO CON LA CAPILLA"/>
    <n v="56151131874"/>
    <s v="SAN LUIS LOS PINOS"/>
    <n v="1"/>
    <n v="49"/>
    <m/>
    <n v="1984"/>
    <s v="ARTÍCULO 34 CONTRATACIÓN CON EL REGISTRO ÚNICO DE OFERENTES"/>
    <m/>
    <m/>
    <x v="0"/>
    <x v="0"/>
    <x v="40"/>
    <x v="49"/>
    <n v="229141"/>
    <n v="15213"/>
    <n v="86225"/>
    <s v=" "/>
    <s v=" "/>
    <m/>
    <n v="74445945"/>
    <n v="0.02"/>
    <n v="1488918.9000000001"/>
    <m/>
    <n v="4"/>
    <n v="74445945"/>
    <n v="75934863.900000006"/>
    <s v=" "/>
    <m/>
    <m/>
    <m/>
    <n v="2290456"/>
    <n v="1854209"/>
    <n v="0"/>
    <n v="70301280"/>
    <m/>
    <n v="74445945"/>
    <s v=" "/>
    <n v="11078116"/>
    <n v="8787660"/>
    <n v="8787660"/>
    <n v="8787660"/>
    <n v="8787660"/>
    <n v="8787660"/>
    <n v="8787660"/>
    <n v="10641869"/>
    <n v="74445945"/>
    <n v="73821832"/>
    <s v="CONTRATACIÓN ALIMENTOS - DPI"/>
    <b v="1"/>
    <n v="0"/>
    <b v="1"/>
    <n v="0"/>
    <x v="1"/>
    <m/>
  </r>
  <r>
    <x v="71"/>
    <s v="LOTE 2"/>
    <x v="5"/>
    <x v="38"/>
    <x v="1"/>
    <x v="0"/>
    <s v="CUCHILLAS DE SAN JOSE"/>
    <n v="56151133551"/>
    <s v="PEQUEÑOS CAMINANTES"/>
    <n v="1"/>
    <n v="50"/>
    <m/>
    <n v="1984"/>
    <s v="ARTÍCULO 34 CONTRATACIÓN CON EL REGISTRO ÚNICO DE OFERENTES"/>
    <m/>
    <m/>
    <x v="0"/>
    <x v="0"/>
    <x v="40"/>
    <x v="49"/>
    <n v="229141"/>
    <n v="15213"/>
    <n v="86225"/>
    <s v=" "/>
    <s v=" "/>
    <m/>
    <n v="75965250"/>
    <n v="0.02"/>
    <n v="1519305"/>
    <m/>
    <n v="5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ACIÓN ALIMENTOS - DPI"/>
    <b v="1"/>
    <n v="0"/>
    <b v="1"/>
    <n v="0"/>
    <x v="1"/>
    <m/>
  </r>
  <r>
    <x v="71"/>
    <s v="LOTE 2"/>
    <x v="5"/>
    <x v="38"/>
    <x v="1"/>
    <x v="0"/>
    <s v="VERADA GALICIA"/>
    <n v="56151135999"/>
    <s v=" GALICIA"/>
    <n v="1"/>
    <n v="43"/>
    <m/>
    <n v="1984"/>
    <s v="ARTÍCULO 34 CONTRATACIÓN CON EL REGISTRO ÚNICO DE OFERENTES"/>
    <m/>
    <m/>
    <x v="0"/>
    <x v="0"/>
    <x v="40"/>
    <x v="49"/>
    <n v="229141"/>
    <n v="15213"/>
    <n v="86225"/>
    <s v=" "/>
    <s v=" "/>
    <m/>
    <n v="65330115"/>
    <n v="0.02"/>
    <n v="1306602.3"/>
    <m/>
    <n v="6"/>
    <n v="65330115"/>
    <n v="66636717.299999997"/>
    <s v=" "/>
    <m/>
    <m/>
    <m/>
    <n v="2009992"/>
    <n v="1627163"/>
    <n v="0"/>
    <n v="61692960"/>
    <m/>
    <n v="65330115"/>
    <s v=" "/>
    <n v="9721612"/>
    <n v="7711620"/>
    <n v="7711620"/>
    <n v="7711620"/>
    <n v="7711620"/>
    <n v="7711620"/>
    <n v="7711620"/>
    <n v="9338783"/>
    <n v="65330115"/>
    <n v="64782424"/>
    <s v="CONTRATACIÓN ALIMENTOS - DPI"/>
    <b v="1"/>
    <n v="0"/>
    <b v="1"/>
    <n v="0"/>
    <x v="1"/>
    <m/>
  </r>
  <r>
    <x v="71"/>
    <s v="LOTE 2"/>
    <x v="5"/>
    <x v="38"/>
    <x v="1"/>
    <x v="0"/>
    <s v="SALON JUNTA DE ACCION COMUNAL, VEREDA CABECERAS DE LLANOGRANDE"/>
    <n v="56151136096"/>
    <s v="INVENTORES DE ALEGRIA"/>
    <n v="1"/>
    <n v="50"/>
    <m/>
    <n v="1984"/>
    <s v="ARTÍCULO 34 CONTRATACIÓN CON EL REGISTRO ÚNICO DE OFERENTES"/>
    <m/>
    <m/>
    <x v="0"/>
    <x v="0"/>
    <x v="40"/>
    <x v="49"/>
    <n v="229141"/>
    <n v="15213"/>
    <n v="86225"/>
    <s v=" "/>
    <s v=" "/>
    <m/>
    <n v="75965250"/>
    <n v="0.02"/>
    <n v="1519305"/>
    <m/>
    <n v="7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ACIÓN ALIMENTOS - DPI"/>
    <b v="1"/>
    <n v="0"/>
    <b v="1"/>
    <n v="0"/>
    <x v="1"/>
    <m/>
  </r>
  <r>
    <x v="71"/>
    <s v="LOTE 2"/>
    <x v="5"/>
    <x v="38"/>
    <x v="1"/>
    <x v="0"/>
    <s v="VEREDA EL ROSAL"/>
    <n v="56151144121"/>
    <s v="SECTORES DE ILUSIONES"/>
    <n v="1"/>
    <n v="48"/>
    <m/>
    <n v="1984"/>
    <s v="ARTÍCULO 34 CONTRATACIÓN CON EL REGISTRO ÚNICO DE OFERENTES"/>
    <m/>
    <m/>
    <x v="0"/>
    <x v="0"/>
    <x v="40"/>
    <x v="49"/>
    <n v="229141"/>
    <n v="15213"/>
    <n v="86225"/>
    <s v=" "/>
    <s v=" "/>
    <m/>
    <n v="72926640"/>
    <n v="0.02"/>
    <n v="1458532.8"/>
    <m/>
    <n v="8"/>
    <n v="72926640"/>
    <n v="74385172.799999997"/>
    <s v=" "/>
    <m/>
    <m/>
    <m/>
    <n v="2243712"/>
    <n v="1816368"/>
    <n v="0"/>
    <n v="68866560"/>
    <m/>
    <n v="72926640"/>
    <s v=" "/>
    <n v="10852032"/>
    <n v="8608320"/>
    <n v="8608320"/>
    <n v="8608320"/>
    <n v="8608320"/>
    <n v="8608320"/>
    <n v="8608320"/>
    <n v="10424688"/>
    <n v="72926640"/>
    <n v="72315264"/>
    <s v="CONTRATACIÓN ALIMENTOS - DPI"/>
    <b v="1"/>
    <n v="0"/>
    <b v="1"/>
    <n v="0"/>
    <x v="1"/>
    <m/>
  </r>
  <r>
    <x v="71"/>
    <s v="LOTE 2"/>
    <x v="5"/>
    <x v="38"/>
    <x v="1"/>
    <x v="0"/>
    <s v="VEREDA EL CAPIRO"/>
    <n v="561500080378"/>
    <s v="GRANDES EXPLORADORES"/>
    <n v="1"/>
    <n v="39"/>
    <m/>
    <n v="1984"/>
    <s v="ARTÍCULO 34 CONTRATACIÓN CON EL REGISTRO ÚNICO DE OFERENTES"/>
    <m/>
    <m/>
    <x v="0"/>
    <x v="0"/>
    <x v="40"/>
    <x v="49"/>
    <n v="229141"/>
    <n v="15213"/>
    <n v="86225"/>
    <s v=" "/>
    <s v=" "/>
    <m/>
    <n v="59252895"/>
    <n v="0.02"/>
    <n v="1185057.9000000001"/>
    <m/>
    <n v="9"/>
    <n v="59252895"/>
    <n v="60437952.899999999"/>
    <s v=" "/>
    <m/>
    <m/>
    <m/>
    <n v="1823016"/>
    <n v="1475799"/>
    <n v="0"/>
    <n v="55954080"/>
    <m/>
    <n v="59252895"/>
    <s v=" "/>
    <n v="8817276"/>
    <n v="6994260"/>
    <n v="6994260"/>
    <n v="6994260"/>
    <n v="6994260"/>
    <n v="6994260"/>
    <n v="6994260"/>
    <n v="8470059"/>
    <n v="59252895"/>
    <n v="58756152"/>
    <s v="CONTRATACIÓN ALIMENTOS - DPI"/>
    <b v="1"/>
    <n v="0"/>
    <b v="1"/>
    <n v="0"/>
    <x v="1"/>
    <m/>
  </r>
  <r>
    <x v="71"/>
    <s v="LOTE 2"/>
    <x v="5"/>
    <x v="38"/>
    <x v="1"/>
    <x v="0"/>
    <s v="EL CARMIN"/>
    <n v="561500115589"/>
    <s v="CARMIN"/>
    <n v="1"/>
    <n v="50"/>
    <m/>
    <n v="1984"/>
    <s v="ARTÍCULO 34 CONTRATACIÓN CON EL REGISTRO ÚNICO DE OFERENTES"/>
    <m/>
    <m/>
    <x v="0"/>
    <x v="0"/>
    <x v="40"/>
    <x v="49"/>
    <n v="229141"/>
    <n v="15213"/>
    <n v="86225"/>
    <s v=" "/>
    <s v=" "/>
    <m/>
    <n v="75965250"/>
    <n v="0.02"/>
    <n v="1519305"/>
    <m/>
    <n v="10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ACIÓN ALIMENTOS - DPI"/>
    <b v="1"/>
    <n v="0"/>
    <b v="1"/>
    <n v="0"/>
    <x v="1"/>
    <m/>
  </r>
  <r>
    <x v="72"/>
    <s v="LOTE 2"/>
    <x v="5"/>
    <x v="38"/>
    <x v="3"/>
    <x v="0"/>
    <s v="KR 54 50 51 ALTO DEL MEDIO"/>
    <n v="561500089442"/>
    <s v="HOGAR INFANTIL LA ROCHELA"/>
    <n v="1"/>
    <n v="115"/>
    <m/>
    <n v="1985"/>
    <s v="ARTÍCULO 34 CONTRATACIÓN CON EL REGISTRO ÚNICO DE OFERENTES"/>
    <m/>
    <m/>
    <x v="0"/>
    <x v="0"/>
    <x v="50"/>
    <x v="50"/>
    <n v="229142"/>
    <n v="15244"/>
    <n v="88725"/>
    <n v="1"/>
    <n v="115"/>
    <m/>
    <n v="481717750"/>
    <n v="0.02"/>
    <n v="9634355"/>
    <m/>
    <n v="1"/>
    <n v="481717750"/>
    <n v="491352105"/>
    <n v="481717750"/>
    <n v="9634355"/>
    <n v="491352105"/>
    <n v="338.40375834211449"/>
    <n v="10136445"/>
    <n v="8629945"/>
    <n v="0"/>
    <n v="462951360"/>
    <m/>
    <n v="481717750"/>
    <n v="481717750"/>
    <n v="68005365"/>
    <n v="57868920"/>
    <n v="57868920"/>
    <n v="57868920"/>
    <n v="57868920"/>
    <n v="57868920"/>
    <n v="57868920"/>
    <n v="66498865"/>
    <n v="481717750"/>
    <n v="0"/>
    <s v="CONTRATO COSTEADO CON ALIMENTACION"/>
    <b v="1"/>
    <n v="0"/>
    <b v="1"/>
    <n v="0"/>
    <x v="1"/>
    <m/>
  </r>
  <r>
    <x v="73"/>
    <s v="LOTE 2"/>
    <x v="9"/>
    <x v="58"/>
    <x v="2"/>
    <x v="0"/>
    <s v="KR 43 A 6 8 SUR 128"/>
    <n v="56311151783"/>
    <s v="MI PLANETA IDEAL"/>
    <n v="1"/>
    <n v="187"/>
    <m/>
    <n v="1987"/>
    <s v="ARTÍCULO 34 CONTRATACIÓN CON EL REGISTRO ÚNICO DE OFERENTES"/>
    <m/>
    <m/>
    <x v="0"/>
    <x v="0"/>
    <x v="51"/>
    <x v="51"/>
    <n v="229143"/>
    <n v="15248"/>
    <n v="89125"/>
    <n v="2"/>
    <n v="313"/>
    <m/>
    <n v="783314950"/>
    <n v="0.02"/>
    <n v="15666299"/>
    <m/>
    <n v="1"/>
    <n v="783314950"/>
    <n v="798981249"/>
    <n v="1328819602"/>
    <n v="26576392"/>
    <n v="1355395994"/>
    <n v="933.4876023884791"/>
    <n v="16482741"/>
    <n v="14033041"/>
    <n v="0"/>
    <n v="752799168"/>
    <m/>
    <n v="783314950"/>
    <n v="1328819602"/>
    <n v="110582637"/>
    <n v="94099896"/>
    <n v="94099896"/>
    <n v="94099896"/>
    <n v="94099896"/>
    <n v="94099896"/>
    <n v="94099896"/>
    <n v="108132937"/>
    <n v="783314950"/>
    <n v="0"/>
    <s v="CONTRATO COSTEADO CON ALIMENTACION"/>
    <b v="1"/>
    <n v="0"/>
    <b v="1"/>
    <n v="0"/>
    <x v="1"/>
    <m/>
  </r>
  <r>
    <x v="73"/>
    <s v="LOTE 2"/>
    <x v="9"/>
    <x v="58"/>
    <x v="4"/>
    <x v="0"/>
    <s v="KR 7 7 45 56"/>
    <n v="512500077624"/>
    <s v="MIS PADRES Y YO 1 "/>
    <n v="1"/>
    <n v="126"/>
    <m/>
    <n v="1987"/>
    <s v="ARTÍCULO 34 CONTRATACIÓN CON EL REGISTRO ÚNICO DE OFERENTES"/>
    <m/>
    <m/>
    <x v="0"/>
    <x v="0"/>
    <x v="51"/>
    <x v="51"/>
    <n v="229143"/>
    <n v="15248"/>
    <n v="89125"/>
    <s v=" "/>
    <s v=" "/>
    <m/>
    <n v="545504652"/>
    <n v="0.02"/>
    <n v="10910093.040000001"/>
    <m/>
    <n v="2"/>
    <n v="545504652"/>
    <n v="556414745.03999996"/>
    <s v=" "/>
    <m/>
    <m/>
    <m/>
    <n v="11106018"/>
    <n v="9455418"/>
    <n v="0"/>
    <n v="524943216"/>
    <m/>
    <n v="545504652"/>
    <s v=" "/>
    <n v="76723920"/>
    <n v="65617902"/>
    <n v="65617902"/>
    <n v="65617902"/>
    <n v="65617902"/>
    <n v="65617902"/>
    <n v="65617902"/>
    <n v="75073320"/>
    <n v="545504652"/>
    <n v="0"/>
    <s v="CONTRATO COSTEADO CON ALIMENTACION"/>
    <b v="1"/>
    <n v="0"/>
    <b v="1"/>
    <n v="0"/>
    <x v="1"/>
    <m/>
  </r>
  <r>
    <x v="74"/>
    <s v="LOTE 2"/>
    <x v="4"/>
    <x v="59"/>
    <x v="5"/>
    <x v="0"/>
    <s v="VEREDA LAS ANDES"/>
    <n v="56421116834"/>
    <s v="CER LOS ANDES"/>
    <n v="1"/>
    <n v="21"/>
    <m/>
    <n v="1988"/>
    <s v="ARTÍCULO 34 CONTRATACIÓN CON EL REGISTRO ÚNICO DE OFERENTES"/>
    <m/>
    <m/>
    <x v="0"/>
    <x v="0"/>
    <x v="35"/>
    <x v="34"/>
    <n v="229145"/>
    <n v="15217"/>
    <n v="86625"/>
    <n v="15"/>
    <n v="434"/>
    <m/>
    <n v="45784053"/>
    <n v="0.02"/>
    <n v="915681.06"/>
    <m/>
    <n v="1"/>
    <n v="45784053"/>
    <n v="46699734.060000002"/>
    <n v="1226045707"/>
    <n v="24520914"/>
    <n v="1250566621"/>
    <n v="861.28957288373726"/>
    <n v="1036896"/>
    <n v="861609"/>
    <n v="611100"/>
    <n v="43274448"/>
    <m/>
    <n v="45784053"/>
    <n v="1226045707"/>
    <n v="7057302"/>
    <n v="5409306"/>
    <n v="5409306"/>
    <n v="5409306"/>
    <n v="5409306"/>
    <n v="5409306"/>
    <n v="5409306"/>
    <n v="6270915"/>
    <n v="45784053"/>
    <n v="30304344"/>
    <s v="CONTRATACIÓN ALIMENTOS - DPI"/>
    <b v="1"/>
    <n v="0"/>
    <b v="1"/>
    <n v="0"/>
    <x v="1"/>
    <m/>
  </r>
  <r>
    <x v="74"/>
    <s v="LOTE 2"/>
    <x v="4"/>
    <x v="59"/>
    <x v="5"/>
    <x v="0"/>
    <s v="VEREDA MONTEBELLO PARTE BAJA"/>
    <n v="56421116840"/>
    <s v="CER EPIFANIO MEJIA"/>
    <n v="1"/>
    <n v="12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26162316"/>
    <n v="0.02"/>
    <n v="523246.32"/>
    <m/>
    <n v="2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ACIÓN ALIMENTOS - DPI"/>
    <b v="1"/>
    <n v="0"/>
    <b v="1"/>
    <n v="0"/>
    <x v="1"/>
    <m/>
  </r>
  <r>
    <x v="74"/>
    <s v="LOTE 2"/>
    <x v="4"/>
    <x v="59"/>
    <x v="5"/>
    <x v="0"/>
    <s v="VEREDA LA AMAGASEÑA"/>
    <n v="56421116844"/>
    <s v="C COMUNAL LA AMAGASEÑA"/>
    <n v="1"/>
    <n v="12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26162316"/>
    <n v="0.02"/>
    <n v="523246.32"/>
    <m/>
    <n v="3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ACIÓN ALIMENTOS - DPI"/>
    <b v="1"/>
    <n v="0"/>
    <b v="1"/>
    <n v="0"/>
    <x v="1"/>
    <m/>
  </r>
  <r>
    <x v="74"/>
    <s v="LOTE 2"/>
    <x v="4"/>
    <x v="59"/>
    <x v="5"/>
    <x v="0"/>
    <s v="VEREDA CLARA ARRIBA"/>
    <n v="56421116845"/>
    <s v="C COMUNAL CLARA ARRIBA"/>
    <n v="1"/>
    <n v="23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50144439"/>
    <n v="0.02"/>
    <n v="1002888.78"/>
    <m/>
    <n v="4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ACIÓN ALIMENTOS - DPI"/>
    <b v="1"/>
    <n v="0"/>
    <b v="1"/>
    <n v="0"/>
    <x v="1"/>
    <m/>
  </r>
  <r>
    <x v="74"/>
    <s v="LOTE 2"/>
    <x v="4"/>
    <x v="59"/>
    <x v="5"/>
    <x v="0"/>
    <s v="MONTEBELLO PARTE ALTA"/>
    <n v="56421136172"/>
    <s v="CER EPIFANIO MEJIA PARTE ALTA"/>
    <n v="1"/>
    <n v="14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30522702"/>
    <n v="0.02"/>
    <n v="610454.04"/>
    <m/>
    <n v="5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1"/>
    <m/>
  </r>
  <r>
    <x v="74"/>
    <s v="LOTE 2"/>
    <x v="4"/>
    <x v="59"/>
    <x v="5"/>
    <x v="0"/>
    <s v="VEREDA LA YARUMA"/>
    <n v="56421136177"/>
    <s v="CER IVAN ARANGO ARCILA"/>
    <n v="1"/>
    <n v="20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43603860"/>
    <n v="0.02"/>
    <n v="872077.20000000007"/>
    <m/>
    <n v="6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1"/>
    <m/>
  </r>
  <r>
    <x v="74"/>
    <s v="LOTE 2"/>
    <x v="4"/>
    <x v="59"/>
    <x v="8"/>
    <x v="0"/>
    <s v="VEREDA EL VENTIADERO"/>
    <n v="56421136182"/>
    <s v="C COMUNAL EL VENTIADERO"/>
    <n v="1"/>
    <n v="9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20260359"/>
    <n v="0.02"/>
    <n v="405207.18"/>
    <m/>
    <n v="7"/>
    <n v="20260359"/>
    <n v="20665566.18"/>
    <s v=" "/>
    <m/>
    <m/>
    <m/>
    <n v="463167"/>
    <n v="388044"/>
    <n v="261900"/>
    <n v="19147248"/>
    <m/>
    <n v="20260359"/>
    <s v=" "/>
    <n v="3118473"/>
    <n v="2393406"/>
    <n v="2393406"/>
    <n v="2393406"/>
    <n v="2393406"/>
    <n v="2393406"/>
    <n v="2393406"/>
    <n v="2781450"/>
    <n v="20260359"/>
    <n v="12987576"/>
    <s v="CONTRATACIÓN ALIMENTOS - DPI"/>
    <b v="1"/>
    <n v="0"/>
    <b v="1"/>
    <n v="0"/>
    <x v="1"/>
    <m/>
  </r>
  <r>
    <x v="74"/>
    <s v="LOTE 2"/>
    <x v="4"/>
    <x v="59"/>
    <x v="5"/>
    <x v="0"/>
    <s v="VEREDA HUMAREDA"/>
    <n v="56421136197"/>
    <s v="C COMUNAL LA HUMAREDA"/>
    <n v="1"/>
    <n v="13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28342509"/>
    <n v="0.02"/>
    <n v="566850.18000000005"/>
    <m/>
    <n v="8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ACIÓN ALIMENTOS - DPI"/>
    <b v="1"/>
    <n v="0"/>
    <b v="1"/>
    <n v="0"/>
    <x v="1"/>
    <m/>
  </r>
  <r>
    <x v="74"/>
    <s v="LOTE 2"/>
    <x v="4"/>
    <x v="59"/>
    <x v="5"/>
    <x v="0"/>
    <s v="VEREDA LA TABORDA"/>
    <n v="56421136246"/>
    <s v="CER GLORIA EDITH GARVIS PATIÑO"/>
    <n v="1"/>
    <n v="38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82847334"/>
    <n v="0.02"/>
    <n v="1656946.68"/>
    <m/>
    <n v="9"/>
    <n v="82847334"/>
    <n v="84504280.680000007"/>
    <s v=" "/>
    <m/>
    <m/>
    <m/>
    <n v="1876288"/>
    <n v="1559102"/>
    <n v="1105800"/>
    <n v="78306144"/>
    <m/>
    <n v="82847334"/>
    <s v=" "/>
    <n v="12770356"/>
    <n v="9788268"/>
    <n v="9788268"/>
    <n v="9788268"/>
    <n v="9788268"/>
    <n v="9788268"/>
    <n v="9788268"/>
    <n v="11347370"/>
    <n v="82847334"/>
    <n v="54836432"/>
    <s v="CONTRATACIÓN ALIMENTOS - DPI"/>
    <b v="1"/>
    <n v="0"/>
    <b v="1"/>
    <n v="0"/>
    <x v="1"/>
    <m/>
  </r>
  <r>
    <x v="74"/>
    <s v="LOTE 2"/>
    <x v="4"/>
    <x v="59"/>
    <x v="5"/>
    <x v="0"/>
    <s v="VEREDA LLANADAS"/>
    <n v="56421152881"/>
    <s v="C COMUNAL LLANADAS"/>
    <n v="1"/>
    <n v="14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30522702"/>
    <n v="0.02"/>
    <n v="610454.04"/>
    <m/>
    <n v="10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1"/>
    <m/>
  </r>
  <r>
    <x v="74"/>
    <s v="LOTE 2"/>
    <x v="4"/>
    <x v="59"/>
    <x v="5"/>
    <x v="0"/>
    <s v="VEREDA LA SIBERIA"/>
    <n v="56421152904"/>
    <s v="CASA FAMILIAR LA SIBERIA"/>
    <n v="1"/>
    <n v="15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32702895"/>
    <n v="0.02"/>
    <n v="654057.9"/>
    <m/>
    <n v="11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74"/>
    <s v="LOTE 2"/>
    <x v="4"/>
    <x v="59"/>
    <x v="5"/>
    <x v="0"/>
    <s v="VEREDA EL LEON"/>
    <n v="56421152905"/>
    <s v="CASA FAMILIAR LEÓN DE GREIFF"/>
    <n v="1"/>
    <n v="26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56685018"/>
    <n v="0.02"/>
    <n v="1133700.3600000001"/>
    <m/>
    <n v="12"/>
    <n v="56685018"/>
    <n v="57818718.359999999"/>
    <s v=" "/>
    <m/>
    <m/>
    <m/>
    <n v="1283776"/>
    <n v="1066754"/>
    <n v="756600"/>
    <n v="53577888"/>
    <m/>
    <n v="56685018"/>
    <s v=" "/>
    <n v="8737612"/>
    <n v="6697236"/>
    <n v="6697236"/>
    <n v="6697236"/>
    <n v="6697236"/>
    <n v="6697236"/>
    <n v="6697236"/>
    <n v="7763990"/>
    <n v="56685018"/>
    <n v="37519664"/>
    <s v="CONTRATACIÓN ALIMENTOS - DPI"/>
    <b v="1"/>
    <n v="0"/>
    <b v="1"/>
    <n v="0"/>
    <x v="1"/>
    <m/>
  </r>
  <r>
    <x v="74"/>
    <s v="LOTE 2"/>
    <x v="4"/>
    <x v="59"/>
    <x v="5"/>
    <x v="0"/>
    <s v="VEREDA LA GULUNGA PARTE ALTA"/>
    <n v="56421152906"/>
    <s v="CASA FAMILIAR LA GULUNGA PARTE ALTA"/>
    <n v="1"/>
    <n v="28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61045404"/>
    <n v="0.02"/>
    <n v="1220908.08"/>
    <m/>
    <n v="13"/>
    <n v="61045404"/>
    <n v="62266312.079999998"/>
    <s v=" "/>
    <m/>
    <m/>
    <m/>
    <n v="1382528"/>
    <n v="1148812"/>
    <n v="814800"/>
    <n v="57699264"/>
    <m/>
    <n v="61045404"/>
    <s v=" "/>
    <n v="9409736"/>
    <n v="7212408"/>
    <n v="7212408"/>
    <n v="7212408"/>
    <n v="7212408"/>
    <n v="7212408"/>
    <n v="7212408"/>
    <n v="8361220"/>
    <n v="61045404"/>
    <n v="40405792"/>
    <s v="CONTRATACIÓN ALIMENTOS - DPI"/>
    <b v="1"/>
    <n v="0"/>
    <b v="1"/>
    <n v="0"/>
    <x v="1"/>
    <m/>
  </r>
  <r>
    <x v="74"/>
    <s v="LOTE 2"/>
    <x v="4"/>
    <x v="59"/>
    <x v="5"/>
    <x v="0"/>
    <s v="VEREDA LA MARGARITA"/>
    <n v="564200024420"/>
    <s v="CER CARLOS VIECO ORTIZ"/>
    <n v="1"/>
    <n v="50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109009650"/>
    <n v="0.02"/>
    <n v="2180193"/>
    <m/>
    <n v="14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ACIÓN ALIMENTOS - DPI"/>
    <b v="1"/>
    <n v="0"/>
    <b v="1"/>
    <n v="0"/>
    <x v="1"/>
    <m/>
  </r>
  <r>
    <x v="74"/>
    <s v="LOTE 2"/>
    <x v="4"/>
    <x v="59"/>
    <x v="2"/>
    <x v="0"/>
    <s v="CL 33 19 27   BARRIO OBRERO"/>
    <n v="564200130574"/>
    <s v="LA PRADERA"/>
    <n v="1"/>
    <n v="139"/>
    <m/>
    <n v="1988"/>
    <s v="ARTÍCULO 34 CONTRATACIÓN CON EL REGISTRO ÚNICO DE OFERENTES"/>
    <m/>
    <m/>
    <x v="0"/>
    <x v="0"/>
    <x v="35"/>
    <x v="34"/>
    <n v="229145"/>
    <n v="15217"/>
    <n v="86625"/>
    <s v=" "/>
    <s v=" "/>
    <m/>
    <n v="582250150"/>
    <n v="0.02"/>
    <n v="11645003"/>
    <m/>
    <n v="15"/>
    <n v="582250150"/>
    <n v="593895153"/>
    <s v=" "/>
    <m/>
    <m/>
    <m/>
    <n v="12251877"/>
    <n v="10430977"/>
    <n v="0"/>
    <n v="559567296"/>
    <m/>
    <n v="582250150"/>
    <s v=" "/>
    <n v="82197789"/>
    <n v="69945912"/>
    <n v="69945912"/>
    <n v="69945912"/>
    <n v="69945912"/>
    <n v="69945912"/>
    <n v="69945912"/>
    <n v="80376889"/>
    <n v="582250150"/>
    <n v="0"/>
    <s v="CONTRATO COSTEADO CON ALIMENTACION"/>
    <b v="1"/>
    <n v="0"/>
    <b v="1"/>
    <n v="0"/>
    <x v="1"/>
    <m/>
  </r>
  <r>
    <x v="75"/>
    <s v="LOTE 2"/>
    <x v="0"/>
    <x v="60"/>
    <x v="5"/>
    <x v="0"/>
    <s v="VEREDAS LAS LAJAS"/>
    <n v="56591118909"/>
    <s v="CASA COMUNAL LAS LAJAS"/>
    <n v="1"/>
    <n v="50"/>
    <m/>
    <n v="1994"/>
    <s v="ARTÍCULO 34 CONTRATACIÓN CON EL REGISTRO ÚNICO DE OFERENTES"/>
    <m/>
    <m/>
    <x v="0"/>
    <x v="0"/>
    <x v="52"/>
    <x v="52"/>
    <n v="229179"/>
    <n v="15356"/>
    <n v="87825"/>
    <n v="11"/>
    <n v="643"/>
    <m/>
    <n v="109009650"/>
    <n v="0.02"/>
    <n v="2180193"/>
    <m/>
    <n v="1"/>
    <n v="109009650"/>
    <n v="111189843"/>
    <n v="1553284134"/>
    <n v="31065683"/>
    <n v="1584349817"/>
    <n v="1091.1725563751318"/>
    <n v="2468800"/>
    <n v="2051450"/>
    <n v="1455000"/>
    <n v="103034400"/>
    <m/>
    <n v="109009650"/>
    <n v="1553284134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94"/>
  </r>
  <r>
    <x v="75"/>
    <s v="LOTE 2"/>
    <x v="0"/>
    <x v="60"/>
    <x v="5"/>
    <x v="0"/>
    <s v="VEREDA SINAI"/>
    <n v="56591118910"/>
    <s v="CASA COMUNAL SINAI"/>
    <n v="1"/>
    <n v="48"/>
    <m/>
    <n v="1994"/>
    <s v="ARTÍCULO 34 CONTRATACIÓN CON EL REGISTRO ÚNICO DE OFERENTES"/>
    <m/>
    <m/>
    <x v="0"/>
    <x v="0"/>
    <x v="52"/>
    <x v="52"/>
    <n v="229179"/>
    <n v="15356"/>
    <n v="87825"/>
    <s v=" "/>
    <s v=" "/>
    <m/>
    <n v="104649264"/>
    <n v="0.02"/>
    <n v="2092985.28"/>
    <m/>
    <n v="2"/>
    <n v="104649264"/>
    <n v="106742249.28"/>
    <s v=" "/>
    <m/>
    <m/>
    <m/>
    <n v="2370048"/>
    <n v="1969392"/>
    <n v="1396800"/>
    <n v="98913024"/>
    <m/>
    <n v="104649264"/>
    <s v=" "/>
    <n v="16130976"/>
    <n v="12364128"/>
    <n v="12364128"/>
    <n v="12364128"/>
    <n v="12364128"/>
    <n v="12364128"/>
    <n v="12364128"/>
    <n v="14333520"/>
    <n v="104649264"/>
    <n v="69267072"/>
    <s v="CONTRATO ADICIONAL POR ALIMENTACION"/>
    <b v="1"/>
    <n v="0"/>
    <b v="1"/>
    <n v="0"/>
    <x v="1"/>
    <n v="1994"/>
  </r>
  <r>
    <x v="75"/>
    <s v="LOTE 2"/>
    <x v="0"/>
    <x v="60"/>
    <x v="5"/>
    <x v="0"/>
    <s v="SAN NICOLAS DEL RIO"/>
    <n v="56591118911"/>
    <s v="CASA COMUNAL SAN NICOLAS"/>
    <n v="1"/>
    <n v="50"/>
    <m/>
    <n v="1994"/>
    <s v="ARTÍCULO 34 CONTRATACIÓN CON EL REGISTRO ÚNICO DE OFERENTES"/>
    <m/>
    <m/>
    <x v="0"/>
    <x v="0"/>
    <x v="52"/>
    <x v="52"/>
    <n v="229179"/>
    <n v="15356"/>
    <n v="87825"/>
    <s v=" "/>
    <s v=" "/>
    <m/>
    <n v="109009650"/>
    <n v="0.02"/>
    <n v="2180193"/>
    <m/>
    <n v="3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94"/>
  </r>
  <r>
    <x v="75"/>
    <s v="LOTE 2"/>
    <x v="0"/>
    <x v="60"/>
    <x v="5"/>
    <x v="0"/>
    <s v="LAS CRUCES"/>
    <n v="56591118912"/>
    <s v="CASA COMUNAL LAS CRUCES"/>
    <n v="1"/>
    <n v="50"/>
    <m/>
    <n v="1994"/>
    <s v="ARTÍCULO 34 CONTRATACIÓN CON EL REGISTRO ÚNICO DE OFERENTES"/>
    <m/>
    <m/>
    <x v="0"/>
    <x v="0"/>
    <x v="52"/>
    <x v="52"/>
    <n v="229179"/>
    <n v="15356"/>
    <n v="87825"/>
    <s v=" "/>
    <s v=" "/>
    <m/>
    <n v="109009650"/>
    <n v="0.02"/>
    <n v="2180193"/>
    <m/>
    <n v="4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94"/>
  </r>
  <r>
    <x v="75"/>
    <s v="LOTE 2"/>
    <x v="0"/>
    <x v="60"/>
    <x v="5"/>
    <x v="0"/>
    <s v="VEREDA BALSILLAS"/>
    <n v="56591118913"/>
    <s v="CASA COMUNAL BALSILLAS"/>
    <n v="1"/>
    <n v="50"/>
    <m/>
    <n v="1994"/>
    <s v="ARTÍCULO 34 CONTRATACIÓN CON EL REGISTRO ÚNICO DE OFERENTES"/>
    <m/>
    <m/>
    <x v="0"/>
    <x v="0"/>
    <x v="52"/>
    <x v="52"/>
    <n v="229179"/>
    <n v="15356"/>
    <n v="87825"/>
    <s v=" "/>
    <s v=" "/>
    <m/>
    <n v="109009650"/>
    <n v="0.02"/>
    <n v="2180193"/>
    <m/>
    <n v="5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94"/>
  </r>
  <r>
    <x v="75"/>
    <s v="LOTE 2"/>
    <x v="0"/>
    <x v="60"/>
    <x v="5"/>
    <x v="0"/>
    <s v="BOCAS DEL RIO SAN JUAN"/>
    <n v="56591118914"/>
    <s v="CASA COMUNAL BOCAS"/>
    <n v="1"/>
    <n v="50"/>
    <m/>
    <n v="1994"/>
    <s v="ARTÍCULO 34 CONTRATACIÓN CON EL REGISTRO ÚNICO DE OFERENTES"/>
    <m/>
    <m/>
    <x v="0"/>
    <x v="0"/>
    <x v="52"/>
    <x v="52"/>
    <n v="229179"/>
    <n v="15356"/>
    <n v="87825"/>
    <s v=" "/>
    <s v=" "/>
    <m/>
    <n v="109009650"/>
    <n v="0.02"/>
    <n v="2180193"/>
    <m/>
    <n v="6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94"/>
  </r>
  <r>
    <x v="75"/>
    <s v="LOTE 2"/>
    <x v="0"/>
    <x v="60"/>
    <x v="7"/>
    <x v="0"/>
    <s v="KR 20 A OESTE 31 B 64"/>
    <n v="56591121812"/>
    <s v="CDI 2 DE ABRIL"/>
    <n v="1"/>
    <n v="132"/>
    <m/>
    <n v="1994"/>
    <s v="ARTÍCULO 34 CONTRATACIÓN CON EL REGISTRO ÚNICO DE OFERENTES"/>
    <m/>
    <m/>
    <x v="0"/>
    <x v="0"/>
    <x v="52"/>
    <x v="52"/>
    <n v="229179"/>
    <n v="15356"/>
    <n v="87825"/>
    <s v=" "/>
    <s v=" "/>
    <m/>
    <n v="390285192"/>
    <n v="0.02"/>
    <n v="7805703.8399999999"/>
    <m/>
    <n v="7"/>
    <n v="390285192"/>
    <n v="398090895.83999997"/>
    <s v=" "/>
    <m/>
    <m/>
    <m/>
    <n v="11634876"/>
    <n v="9905676"/>
    <n v="0"/>
    <n v="368744640"/>
    <m/>
    <n v="390285192"/>
    <s v=" "/>
    <n v="57727956"/>
    <n v="46093080"/>
    <n v="46093080"/>
    <n v="46093080"/>
    <n v="46093080"/>
    <n v="46093080"/>
    <n v="46093080"/>
    <n v="55998756"/>
    <n v="390285192"/>
    <n v="162643008"/>
    <s v="CONTRATO ADICIONAL POR ALIMENTACION"/>
    <b v="1"/>
    <n v="0"/>
    <b v="1"/>
    <n v="0"/>
    <x v="1"/>
    <n v="1994"/>
  </r>
  <r>
    <x v="75"/>
    <s v="LOTE 2"/>
    <x v="0"/>
    <x v="60"/>
    <x v="5"/>
    <x v="0"/>
    <s v="COMUNIDAD INDIGENA MONTECRISTO"/>
    <n v="56591136772"/>
    <s v="CER I. MONTECRISTO"/>
    <n v="1"/>
    <n v="50"/>
    <m/>
    <n v="1994"/>
    <s v="ARTÍCULO 34 CONTRATACIÓN CON EL REGISTRO ÚNICO DE OFERENTES"/>
    <m/>
    <m/>
    <x v="0"/>
    <x v="0"/>
    <x v="52"/>
    <x v="52"/>
    <n v="229179"/>
    <n v="15356"/>
    <n v="87825"/>
    <s v=" "/>
    <s v=" "/>
    <m/>
    <n v="109009650"/>
    <n v="0.02"/>
    <n v="2180193"/>
    <m/>
    <n v="8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94"/>
  </r>
  <r>
    <x v="75"/>
    <s v="LOTE 2"/>
    <x v="0"/>
    <x v="60"/>
    <x v="7"/>
    <x v="0"/>
    <s v="CORREGIMIENTO UVEROS"/>
    <n v="56591137351"/>
    <s v="CDI UVEROS"/>
    <n v="1"/>
    <n v="63"/>
    <m/>
    <n v="1994"/>
    <s v="ARTÍCULO 34 CONTRATACIÓN CON EL REGISTRO ÚNICO DE OFERENTES"/>
    <m/>
    <m/>
    <x v="0"/>
    <x v="0"/>
    <x v="52"/>
    <x v="52"/>
    <n v="229179"/>
    <n v="15356"/>
    <n v="87825"/>
    <s v=" "/>
    <s v=" "/>
    <m/>
    <n v="186272478"/>
    <n v="0.02"/>
    <n v="3725449.56"/>
    <m/>
    <n v="9"/>
    <n v="186272478"/>
    <n v="189997927.56"/>
    <s v=" "/>
    <m/>
    <m/>
    <m/>
    <n v="5553009"/>
    <n v="4727709"/>
    <n v="0"/>
    <n v="175991760"/>
    <m/>
    <n v="186272478"/>
    <s v=" "/>
    <n v="27551979"/>
    <n v="21998970"/>
    <n v="21998970"/>
    <n v="21998970"/>
    <n v="21998970"/>
    <n v="21998970"/>
    <n v="21998970"/>
    <n v="26726679"/>
    <n v="186272478"/>
    <n v="77625072"/>
    <s v="CONTRATO ADICIONAL POR ALIMENTACION"/>
    <b v="1"/>
    <n v="0"/>
    <b v="1"/>
    <n v="0"/>
    <x v="1"/>
    <n v="1994"/>
  </r>
  <r>
    <x v="75"/>
    <s v="LOTE 2"/>
    <x v="0"/>
    <x v="60"/>
    <x v="5"/>
    <x v="0"/>
    <s v="VEREDA SABANILLA"/>
    <n v="56591153182"/>
    <s v="CASA COMUNAL SABANILLA"/>
    <n v="1"/>
    <n v="50"/>
    <m/>
    <n v="1994"/>
    <s v="ARTÍCULO 34 CONTRATACIÓN CON EL REGISTRO ÚNICO DE OFERENTES"/>
    <m/>
    <m/>
    <x v="0"/>
    <x v="0"/>
    <x v="52"/>
    <x v="52"/>
    <n v="229179"/>
    <n v="15356"/>
    <n v="87825"/>
    <s v=" "/>
    <s v=" "/>
    <m/>
    <n v="109009650"/>
    <n v="0.02"/>
    <n v="2180193"/>
    <m/>
    <n v="10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94"/>
  </r>
  <r>
    <x v="75"/>
    <s v="LOTE 2"/>
    <x v="0"/>
    <x v="60"/>
    <x v="5"/>
    <x v="0"/>
    <s v="SUBERRANEO"/>
    <n v="565900122376"/>
    <s v="CASA COMUNAL SUBTERRANEO"/>
    <n v="1"/>
    <n v="50"/>
    <m/>
    <n v="1994"/>
    <s v="ARTÍCULO 34 CONTRATACIÓN CON EL REGISTRO ÚNICO DE OFERENTES"/>
    <m/>
    <m/>
    <x v="0"/>
    <x v="0"/>
    <x v="52"/>
    <x v="52"/>
    <n v="229179"/>
    <n v="15356"/>
    <n v="87825"/>
    <s v=" "/>
    <s v=" "/>
    <m/>
    <n v="109009650"/>
    <n v="0.02"/>
    <n v="2180193"/>
    <m/>
    <n v="11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1994"/>
  </r>
  <r>
    <x v="76"/>
    <s v="LOTE 2"/>
    <x v="1"/>
    <x v="61"/>
    <x v="4"/>
    <x v="0"/>
    <s v="KR 49 50 31"/>
    <n v="56641124826"/>
    <s v="MANITAS CREATIVAS 2"/>
    <n v="1"/>
    <n v="42"/>
    <m/>
    <n v="1996"/>
    <s v="ARTÍCULO 34 CONTRATACIÓN CON EL REGISTRO ÚNICO DE OFERENTES"/>
    <m/>
    <m/>
    <x v="0"/>
    <x v="0"/>
    <x v="53"/>
    <x v="53"/>
    <n v="229146"/>
    <n v="15246"/>
    <n v="88925"/>
    <n v="16"/>
    <n v="412"/>
    <m/>
    <n v="181834884"/>
    <n v="0.02"/>
    <n v="3636697.68"/>
    <m/>
    <n v="1"/>
    <n v="181834884"/>
    <n v="185471581.68000001"/>
    <n v="989575874"/>
    <n v="19791517"/>
    <n v="1009367391"/>
    <n v="695.17096873902358"/>
    <n v="3702006"/>
    <n v="3151806"/>
    <n v="0"/>
    <n v="174981072"/>
    <m/>
    <n v="181834884"/>
    <n v="989575874"/>
    <n v="25574640"/>
    <n v="21872634"/>
    <n v="21872634"/>
    <n v="21872634"/>
    <n v="21872634"/>
    <n v="21872634"/>
    <n v="21872634"/>
    <n v="25024440"/>
    <n v="181834884"/>
    <n v="0"/>
    <s v="CONTRATO COSTEADO CON ALIMENTACION"/>
    <b v="1"/>
    <n v="0"/>
    <b v="1"/>
    <n v="0"/>
    <x v="1"/>
    <m/>
  </r>
  <r>
    <x v="76"/>
    <s v="LOTE 2"/>
    <x v="1"/>
    <x v="61"/>
    <x v="1"/>
    <x v="0"/>
    <s v="VEREDA LA CUCHILLA"/>
    <n v="56641135198"/>
    <s v="CER LA CUCHILLA B"/>
    <n v="1"/>
    <n v="14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21270270"/>
    <n v="0.02"/>
    <n v="425405.4"/>
    <m/>
    <n v="2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ACIÓN ALIMENTOS - DPI"/>
    <b v="1"/>
    <n v="0"/>
    <b v="1"/>
    <n v="0"/>
    <x v="1"/>
    <m/>
  </r>
  <r>
    <x v="76"/>
    <s v="LOTE 2"/>
    <x v="1"/>
    <x v="61"/>
    <x v="1"/>
    <x v="0"/>
    <s v="VEREDA LA CLARITA"/>
    <n v="56641135205"/>
    <s v="CER LA CLARITA"/>
    <n v="1"/>
    <n v="13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19750965"/>
    <n v="0.02"/>
    <n v="395019.3"/>
    <m/>
    <n v="3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ACIÓN ALIMENTOS - DPI"/>
    <b v="1"/>
    <n v="0"/>
    <b v="1"/>
    <n v="0"/>
    <x v="1"/>
    <m/>
  </r>
  <r>
    <x v="76"/>
    <s v="LOTE 2"/>
    <x v="1"/>
    <x v="61"/>
    <x v="1"/>
    <x v="0"/>
    <s v="VEREDA LA LANA B"/>
    <n v="56641135514"/>
    <s v="CER LA LANA"/>
    <n v="1"/>
    <n v="20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30386100"/>
    <n v="0.02"/>
    <n v="607722"/>
    <m/>
    <n v="4"/>
    <n v="30386100"/>
    <n v="30993822"/>
    <s v=" "/>
    <m/>
    <m/>
    <m/>
    <n v="934880"/>
    <n v="756820"/>
    <n v="0"/>
    <n v="28694400"/>
    <m/>
    <n v="30386100"/>
    <s v=" "/>
    <n v="4521680"/>
    <n v="3586800"/>
    <n v="3586800"/>
    <n v="3586800"/>
    <n v="3586800"/>
    <n v="3586800"/>
    <n v="3586800"/>
    <n v="4343620"/>
    <n v="30386100"/>
    <n v="30131360"/>
    <s v="CONTRATACIÓN ALIMENTOS - DPI"/>
    <b v="1"/>
    <n v="0"/>
    <b v="1"/>
    <n v="0"/>
    <x v="1"/>
    <m/>
  </r>
  <r>
    <x v="76"/>
    <s v="LOTE 2"/>
    <x v="1"/>
    <x v="61"/>
    <x v="1"/>
    <x v="0"/>
    <s v="VEREDA LA APRETEL"/>
    <n v="56641135546"/>
    <s v="CER LA APRETEL"/>
    <n v="1"/>
    <n v="14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21270270"/>
    <n v="0.02"/>
    <n v="425405.4"/>
    <m/>
    <n v="5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ACIÓN ALIMENTOS - DPI"/>
    <b v="1"/>
    <n v="0"/>
    <b v="1"/>
    <n v="0"/>
    <x v="1"/>
    <m/>
  </r>
  <r>
    <x v="76"/>
    <s v="LOTE 2"/>
    <x v="1"/>
    <x v="61"/>
    <x v="1"/>
    <x v="0"/>
    <s v="VEREDA PANTANILLO"/>
    <n v="56641135547"/>
    <s v="CER PANTANILLO_SAN PEDRO DE LOS MILAGROS"/>
    <n v="1"/>
    <n v="23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34944015"/>
    <n v="0.02"/>
    <n v="698880.3"/>
    <m/>
    <n v="6"/>
    <n v="34944015"/>
    <n v="35642895.299999997"/>
    <s v=" "/>
    <m/>
    <m/>
    <m/>
    <n v="1075112"/>
    <n v="870343"/>
    <n v="0"/>
    <n v="32998560"/>
    <m/>
    <n v="34944015"/>
    <s v=" "/>
    <n v="5199932"/>
    <n v="4124820"/>
    <n v="4124820"/>
    <n v="4124820"/>
    <n v="4124820"/>
    <n v="4124820"/>
    <n v="4124820"/>
    <n v="4995163"/>
    <n v="34944015"/>
    <n v="34651064"/>
    <s v="CONTRATACIÓN ALIMENTOS - DPI"/>
    <b v="1"/>
    <n v="0"/>
    <b v="1"/>
    <n v="0"/>
    <x v="1"/>
    <m/>
  </r>
  <r>
    <x v="76"/>
    <s v="LOTE 2"/>
    <x v="1"/>
    <x v="61"/>
    <x v="1"/>
    <x v="0"/>
    <s v="VEREDA LA CUCHILLA"/>
    <n v="56641135548"/>
    <s v="CER LA CUCHILLA A"/>
    <n v="1"/>
    <n v="17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25828185"/>
    <n v="0.02"/>
    <n v="516563.7"/>
    <m/>
    <n v="7"/>
    <n v="25828185"/>
    <n v="26344748.699999999"/>
    <s v=" "/>
    <m/>
    <m/>
    <m/>
    <n v="794648"/>
    <n v="643297"/>
    <n v="0"/>
    <n v="24390240"/>
    <m/>
    <n v="25828185"/>
    <s v=" "/>
    <n v="3843428"/>
    <n v="3048780"/>
    <n v="3048780"/>
    <n v="3048780"/>
    <n v="3048780"/>
    <n v="3048780"/>
    <n v="3048780"/>
    <n v="3692077"/>
    <n v="25828185"/>
    <n v="25611656"/>
    <s v="CONTRATACIÓN ALIMENTOS - DPI"/>
    <b v="1"/>
    <n v="0"/>
    <b v="1"/>
    <n v="0"/>
    <x v="1"/>
    <m/>
  </r>
  <r>
    <x v="76"/>
    <s v="LOTE 2"/>
    <x v="1"/>
    <x v="61"/>
    <x v="1"/>
    <x v="0"/>
    <s v="VEREDA LA PALMA"/>
    <n v="56641135549"/>
    <s v="CER LA PALMA"/>
    <n v="1"/>
    <n v="18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27347490"/>
    <n v="0.02"/>
    <n v="546949.80000000005"/>
    <m/>
    <n v="8"/>
    <n v="27347490"/>
    <n v="27894439.800000001"/>
    <s v=" "/>
    <m/>
    <m/>
    <m/>
    <n v="841392"/>
    <n v="681138"/>
    <n v="0"/>
    <n v="25824960"/>
    <m/>
    <n v="27347490"/>
    <s v=" "/>
    <n v="4069512"/>
    <n v="3228120"/>
    <n v="3228120"/>
    <n v="3228120"/>
    <n v="3228120"/>
    <n v="3228120"/>
    <n v="3228120"/>
    <n v="3909258"/>
    <n v="27347490"/>
    <n v="27118224"/>
    <s v="CONTRATACIÓN ALIMENTOS - DPI"/>
    <b v="1"/>
    <n v="0"/>
    <b v="1"/>
    <n v="0"/>
    <x v="1"/>
    <m/>
  </r>
  <r>
    <x v="76"/>
    <s v="LOTE 2"/>
    <x v="1"/>
    <x v="61"/>
    <x v="1"/>
    <x v="0"/>
    <s v="VEREDA RIOCHICO"/>
    <n v="56641135550"/>
    <s v="CER RIO CHICO"/>
    <n v="1"/>
    <n v="9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13673745"/>
    <n v="0.02"/>
    <n v="273474.90000000002"/>
    <m/>
    <n v="9"/>
    <n v="13673745"/>
    <n v="13947219.9"/>
    <s v=" "/>
    <m/>
    <m/>
    <m/>
    <n v="420696"/>
    <n v="340569"/>
    <n v="0"/>
    <n v="12912480"/>
    <m/>
    <n v="13673745"/>
    <s v=" "/>
    <n v="2034756"/>
    <n v="1614060"/>
    <n v="1614060"/>
    <n v="1614060"/>
    <n v="1614060"/>
    <n v="1614060"/>
    <n v="1614060"/>
    <n v="1954629"/>
    <n v="13673745"/>
    <n v="13559112"/>
    <s v="CONTRATACIÓN ALIMENTOS - DPI"/>
    <b v="1"/>
    <n v="0"/>
    <b v="1"/>
    <n v="0"/>
    <x v="1"/>
    <m/>
  </r>
  <r>
    <x v="76"/>
    <s v="LOTE 2"/>
    <x v="1"/>
    <x v="61"/>
    <x v="1"/>
    <x v="0"/>
    <s v="VEREDA SAN JUAN B"/>
    <n v="56641135551"/>
    <s v="CER SAN JUAN B"/>
    <n v="1"/>
    <n v="16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24308880"/>
    <n v="0.02"/>
    <n v="486177.60000000003"/>
    <m/>
    <n v="10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ACIÓN ALIMENTOS - DPI"/>
    <b v="1"/>
    <n v="0"/>
    <b v="1"/>
    <n v="0"/>
    <x v="1"/>
    <m/>
  </r>
  <r>
    <x v="76"/>
    <s v="LOTE 2"/>
    <x v="1"/>
    <x v="61"/>
    <x v="1"/>
    <x v="0"/>
    <s v="VEREDA LA ARROYAVE"/>
    <n v="56641135552"/>
    <s v="CER LAS AURAS(LA ARROYAVE)"/>
    <n v="1"/>
    <n v="9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13673745"/>
    <n v="0.02"/>
    <n v="273474.90000000002"/>
    <m/>
    <n v="11"/>
    <n v="13673745"/>
    <n v="13947219.9"/>
    <s v=" "/>
    <m/>
    <m/>
    <m/>
    <n v="420696"/>
    <n v="340569"/>
    <n v="0"/>
    <n v="12912480"/>
    <m/>
    <n v="13673745"/>
    <s v=" "/>
    <n v="2034756"/>
    <n v="1614060"/>
    <n v="1614060"/>
    <n v="1614060"/>
    <n v="1614060"/>
    <n v="1614060"/>
    <n v="1614060"/>
    <n v="1954629"/>
    <n v="13673745"/>
    <n v="13559112"/>
    <s v="CONTRATACIÓN ALIMENTOS - DPI"/>
    <b v="1"/>
    <n v="0"/>
    <b v="1"/>
    <n v="0"/>
    <x v="1"/>
    <m/>
  </r>
  <r>
    <x v="76"/>
    <s v="LOTE 2"/>
    <x v="1"/>
    <x v="61"/>
    <x v="1"/>
    <x v="0"/>
    <s v="VEREDA SAN JUAN"/>
    <n v="56641135553"/>
    <s v="CER SAN JUAN A"/>
    <n v="1"/>
    <n v="14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21270270"/>
    <n v="0.02"/>
    <n v="425405.4"/>
    <m/>
    <n v="12"/>
    <n v="21270270"/>
    <n v="21695675.399999999"/>
    <s v=" "/>
    <m/>
    <m/>
    <m/>
    <n v="654416"/>
    <n v="529774"/>
    <n v="0"/>
    <n v="20086080"/>
    <m/>
    <n v="21270270"/>
    <s v=" "/>
    <n v="3165176"/>
    <n v="2510760"/>
    <n v="2510760"/>
    <n v="2510760"/>
    <n v="2510760"/>
    <n v="2510760"/>
    <n v="2510760"/>
    <n v="3040534"/>
    <n v="21270270"/>
    <n v="21091952"/>
    <s v="CONTRATACIÓN ALIMENTOS - DPI"/>
    <b v="1"/>
    <n v="0"/>
    <b v="1"/>
    <n v="0"/>
    <x v="1"/>
    <m/>
  </r>
  <r>
    <x v="76"/>
    <s v="LOTE 2"/>
    <x v="1"/>
    <x v="61"/>
    <x v="1"/>
    <x v="0"/>
    <s v="VEREDA LA MARIA"/>
    <n v="56641155790"/>
    <s v="FAMILIAS DEL FUTURO"/>
    <n v="1"/>
    <n v="56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85081080"/>
    <n v="0.02"/>
    <n v="1701621.6"/>
    <m/>
    <n v="13"/>
    <n v="85081080"/>
    <n v="86782701.599999994"/>
    <s v=" "/>
    <m/>
    <m/>
    <m/>
    <n v="2617664"/>
    <n v="2119096"/>
    <n v="0"/>
    <n v="80344320"/>
    <m/>
    <n v="85081080"/>
    <s v=" "/>
    <n v="12660704"/>
    <n v="10043040"/>
    <n v="10043040"/>
    <n v="10043040"/>
    <n v="10043040"/>
    <n v="10043040"/>
    <n v="10043040"/>
    <n v="12162136"/>
    <n v="85081080"/>
    <n v="84367808"/>
    <s v="CONTRATACIÓN ALIMENTOS - DPI"/>
    <b v="1"/>
    <n v="0"/>
    <b v="1"/>
    <n v="0"/>
    <x v="1"/>
    <m/>
  </r>
  <r>
    <x v="76"/>
    <s v="LOTE 2"/>
    <x v="1"/>
    <x v="61"/>
    <x v="1"/>
    <x v="0"/>
    <s v="KR 49 47 38"/>
    <n v="56641155791"/>
    <s v="FAMILIAS DEL FUTURO 1"/>
    <n v="1"/>
    <n v="55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83561775"/>
    <n v="0.02"/>
    <n v="1671235.5"/>
    <m/>
    <n v="14"/>
    <n v="83561775"/>
    <n v="85233010.5"/>
    <s v=" "/>
    <m/>
    <m/>
    <m/>
    <n v="2570920"/>
    <n v="2081255"/>
    <n v="0"/>
    <n v="78909600"/>
    <m/>
    <n v="83561775"/>
    <s v=" "/>
    <n v="12434620"/>
    <n v="9863700"/>
    <n v="9863700"/>
    <n v="9863700"/>
    <n v="9863700"/>
    <n v="9863700"/>
    <n v="9863700"/>
    <n v="11944955"/>
    <n v="83561775"/>
    <n v="82861240"/>
    <s v="CONTRATACIÓN ALIMENTOS - DPI"/>
    <b v="1"/>
    <n v="0"/>
    <b v="1"/>
    <n v="0"/>
    <x v="1"/>
    <m/>
  </r>
  <r>
    <x v="76"/>
    <s v="LOTE 2"/>
    <x v="1"/>
    <x v="61"/>
    <x v="2"/>
    <x v="0"/>
    <s v="KR 50 44 45"/>
    <n v="566400023795"/>
    <s v="MANITAS CREATIVAS 1"/>
    <n v="1"/>
    <n v="67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280652950"/>
    <n v="0.02"/>
    <n v="5613059"/>
    <m/>
    <n v="15"/>
    <n v="280652950"/>
    <n v="286266009"/>
    <s v=" "/>
    <m/>
    <m/>
    <m/>
    <n v="5905581"/>
    <n v="5027881"/>
    <n v="0"/>
    <n v="269719488"/>
    <m/>
    <n v="280652950"/>
    <s v=" "/>
    <n v="39620517"/>
    <n v="33714936"/>
    <n v="33714936"/>
    <n v="33714936"/>
    <n v="33714936"/>
    <n v="33714936"/>
    <n v="33714936"/>
    <n v="38742817"/>
    <n v="280652950"/>
    <n v="0"/>
    <s v="CONTRATO COSTEADO CON ALIMENTACION"/>
    <b v="1"/>
    <n v="0"/>
    <b v="1"/>
    <n v="0"/>
    <x v="1"/>
    <m/>
  </r>
  <r>
    <x v="76"/>
    <s v="LOTE 2"/>
    <x v="1"/>
    <x v="61"/>
    <x v="2"/>
    <x v="0"/>
    <s v="VEREDA OVEJAS"/>
    <n v="566400023903"/>
    <s v="RAYITOS DE SOL"/>
    <n v="1"/>
    <n v="25"/>
    <m/>
    <n v="1996"/>
    <s v="ARTÍCULO 34 CONTRATACIÓN CON EL REGISTRO ÚNICO DE OFERENTES"/>
    <m/>
    <m/>
    <x v="0"/>
    <x v="0"/>
    <x v="53"/>
    <x v="53"/>
    <n v="229146"/>
    <n v="15246"/>
    <n v="88925"/>
    <s v=" "/>
    <s v=" "/>
    <m/>
    <n v="104721250"/>
    <n v="0.02"/>
    <n v="2094425"/>
    <m/>
    <n v="16"/>
    <n v="104721250"/>
    <n v="106815675"/>
    <s v=" "/>
    <m/>
    <m/>
    <m/>
    <n v="2203575"/>
    <n v="1876075"/>
    <n v="0"/>
    <n v="100641600"/>
    <m/>
    <n v="104721250"/>
    <s v=" "/>
    <n v="14783775"/>
    <n v="12580200"/>
    <n v="12580200"/>
    <n v="12580200"/>
    <n v="12580200"/>
    <n v="12580200"/>
    <n v="12580200"/>
    <n v="14456275"/>
    <n v="104721250"/>
    <n v="0"/>
    <s v="CONTRATO COSTEADO CON ALIMENTACION"/>
    <b v="1"/>
    <n v="0"/>
    <b v="1"/>
    <n v="0"/>
    <x v="1"/>
    <m/>
  </r>
  <r>
    <x v="77"/>
    <s v="LOTE 2"/>
    <x v="0"/>
    <x v="62"/>
    <x v="5"/>
    <x v="0"/>
    <s v="QUEBRADA DEL MEDIO"/>
    <n v="56651117164"/>
    <s v="CASA FAMILIAR QUEBRADA DEL MEDIO"/>
    <n v="1"/>
    <n v="16"/>
    <m/>
    <n v="1997"/>
    <s v="ARTÍCULO 34 CONTRATACIÓN CON EL REGISTRO ÚNICO DE OFERENTES"/>
    <m/>
    <m/>
    <x v="0"/>
    <x v="0"/>
    <x v="54"/>
    <x v="54"/>
    <n v="229180"/>
    <n v="15357"/>
    <n v="87925"/>
    <n v="40"/>
    <n v="856"/>
    <m/>
    <n v="34883088"/>
    <n v="0.02"/>
    <n v="697661.76"/>
    <m/>
    <n v="1"/>
    <n v="34883088"/>
    <n v="35580749.759999998"/>
    <n v="2038506008"/>
    <n v="40770120"/>
    <n v="2079276128"/>
    <n v="1432.0379402880226"/>
    <n v="790016"/>
    <n v="656464"/>
    <n v="465600"/>
    <n v="32971008"/>
    <m/>
    <n v="34883088"/>
    <n v="2038506008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1"/>
    <m/>
  </r>
  <r>
    <x v="77"/>
    <s v="LOTE 2"/>
    <x v="0"/>
    <x v="62"/>
    <x v="5"/>
    <x v="0"/>
    <s v="VEREDA LA NEVADA"/>
    <n v="56651117175"/>
    <s v="CASA FAMILIAR NEVADA"/>
    <n v="1"/>
    <n v="31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67585983"/>
    <n v="0.02"/>
    <n v="1351719.66"/>
    <m/>
    <n v="2"/>
    <n v="67585983"/>
    <n v="68937702.659999996"/>
    <s v=" "/>
    <m/>
    <m/>
    <m/>
    <n v="1530656"/>
    <n v="1271899"/>
    <n v="902100"/>
    <n v="63881328"/>
    <m/>
    <n v="67585983"/>
    <s v=" "/>
    <n v="10417922"/>
    <n v="7985166"/>
    <n v="7985166"/>
    <n v="7985166"/>
    <n v="7985166"/>
    <n v="7985166"/>
    <n v="7985166"/>
    <n v="9257065"/>
    <n v="67585983"/>
    <n v="44734984"/>
    <s v="CONTRATACIÓN ALIMENTOS - DPI"/>
    <b v="1"/>
    <n v="0"/>
    <b v="1"/>
    <n v="0"/>
    <x v="1"/>
    <m/>
  </r>
  <r>
    <x v="77"/>
    <s v="LOTE 2"/>
    <x v="0"/>
    <x v="62"/>
    <x v="5"/>
    <x v="0"/>
    <s v="VEREDA FILOPANCHO"/>
    <n v="56651117180"/>
    <s v="CASA COMUNAL FILOPANCHO"/>
    <n v="1"/>
    <n v="15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2702895"/>
    <n v="0.02"/>
    <n v="654057.9"/>
    <m/>
    <n v="3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77"/>
    <s v="LOTE 2"/>
    <x v="0"/>
    <x v="62"/>
    <x v="5"/>
    <x v="0"/>
    <s v="VEREDA VILLA ESTER"/>
    <n v="56651117182"/>
    <s v="CASA COMUNAL VILLA ESTER"/>
    <n v="1"/>
    <n v="16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4883088"/>
    <n v="0.02"/>
    <n v="697661.76"/>
    <m/>
    <n v="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1"/>
    <m/>
  </r>
  <r>
    <x v="77"/>
    <s v="LOTE 2"/>
    <x v="0"/>
    <x v="62"/>
    <x v="5"/>
    <x v="0"/>
    <s v="VEREDA  ZUMBIDO ABAJO"/>
    <n v="56651117185"/>
    <s v="CASA COMUNAL ZUMBIDO ABAJO"/>
    <n v="1"/>
    <n v="19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41423667"/>
    <n v="0.02"/>
    <n v="828473.34"/>
    <m/>
    <n v="5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ACIÓN ALIMENTOS - DPI"/>
    <b v="1"/>
    <n v="0"/>
    <b v="1"/>
    <n v="0"/>
    <x v="1"/>
    <m/>
  </r>
  <r>
    <x v="77"/>
    <s v="LOTE 2"/>
    <x v="0"/>
    <x v="62"/>
    <x v="5"/>
    <x v="0"/>
    <s v="VEREDA EL AJÍ"/>
    <n v="56651117191"/>
    <s v="CASA COMUNAL AJÍ"/>
    <n v="1"/>
    <n v="17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7063281"/>
    <n v="0.02"/>
    <n v="741265.62"/>
    <m/>
    <n v="6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1"/>
    <m/>
  </r>
  <r>
    <x v="77"/>
    <s v="LOTE 2"/>
    <x v="0"/>
    <x v="62"/>
    <x v="5"/>
    <x v="0"/>
    <s v="CORREGIMIENTO DE ARENAS MONAS"/>
    <n v="56651117204"/>
    <s v="CASA COMUNAL ARENAS MONAS"/>
    <n v="1"/>
    <n v="38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82847334"/>
    <n v="0.02"/>
    <n v="1656946.68"/>
    <m/>
    <n v="7"/>
    <n v="82847334"/>
    <n v="84504280.680000007"/>
    <s v=" "/>
    <m/>
    <m/>
    <m/>
    <n v="1876288"/>
    <n v="1559102"/>
    <n v="1105800"/>
    <n v="78306144"/>
    <m/>
    <n v="82847334"/>
    <s v=" "/>
    <n v="12770356"/>
    <n v="9788268"/>
    <n v="9788268"/>
    <n v="9788268"/>
    <n v="9788268"/>
    <n v="9788268"/>
    <n v="9788268"/>
    <n v="11347370"/>
    <n v="82847334"/>
    <n v="54836432"/>
    <s v="CONTRATACIÓN ALIMENTOS - DPI"/>
    <b v="1"/>
    <n v="0"/>
    <b v="1"/>
    <n v="0"/>
    <x v="1"/>
    <m/>
  </r>
  <r>
    <x v="77"/>
    <s v="LOTE 2"/>
    <x v="0"/>
    <x v="62"/>
    <x v="5"/>
    <x v="0"/>
    <s v="VEREDA TACANAL"/>
    <n v="56651136606"/>
    <s v="CASA FAMILIAR TACANAL"/>
    <n v="1"/>
    <n v="19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41423667"/>
    <n v="0.02"/>
    <n v="828473.34"/>
    <m/>
    <n v="8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ACIÓN ALIMENTOS - DPI"/>
    <b v="1"/>
    <n v="0"/>
    <b v="1"/>
    <n v="0"/>
    <x v="1"/>
    <m/>
  </r>
  <r>
    <x v="77"/>
    <s v="LOTE 2"/>
    <x v="0"/>
    <x v="62"/>
    <x v="5"/>
    <x v="0"/>
    <s v="VEREDA EL JORDAN"/>
    <n v="56651136613"/>
    <s v="CASA COMUNAL JORDAN"/>
    <n v="1"/>
    <n v="20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43603860"/>
    <n v="0.02"/>
    <n v="872077.20000000007"/>
    <m/>
    <n v="9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1"/>
    <m/>
  </r>
  <r>
    <x v="77"/>
    <s v="LOTE 2"/>
    <x v="0"/>
    <x v="62"/>
    <x v="0"/>
    <x v="0"/>
    <s v="COMUNIDAD INDIGENA LOS NARANJALES"/>
    <n v="56651136746"/>
    <s v="CASA CABILDO NARANJALES"/>
    <n v="1"/>
    <n v="17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65141331"/>
    <n v="0.02"/>
    <n v="1302826.6200000001"/>
    <m/>
    <n v="10"/>
    <n v="65141331"/>
    <n v="66444157.619999997"/>
    <s v=" "/>
    <m/>
    <m/>
    <m/>
    <n v="1257405"/>
    <n v="555067"/>
    <n v="494683"/>
    <n v="62834176"/>
    <m/>
    <n v="65141331"/>
    <s v=" "/>
    <n v="9606360"/>
    <n v="7854272"/>
    <n v="7854272"/>
    <n v="7854272"/>
    <n v="7854272"/>
    <n v="7854272"/>
    <n v="7854272"/>
    <n v="8409339"/>
    <n v="65141331"/>
    <n v="0"/>
    <s v="CONTRATO COSTEADO CON ALIMENTACION"/>
    <b v="1"/>
    <n v="0"/>
    <b v="1"/>
    <n v="0"/>
    <x v="1"/>
    <m/>
  </r>
  <r>
    <x v="77"/>
    <s v="LOTE 2"/>
    <x v="0"/>
    <x v="62"/>
    <x v="0"/>
    <x v="0"/>
    <s v="COUMUNIDAD INDIGENA EL POLVILLO"/>
    <n v="56651136754"/>
    <s v="CER ESTUDIANTES HERNANDEZ"/>
    <n v="1"/>
    <n v="16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61309488"/>
    <n v="0.02"/>
    <n v="1226189.76"/>
    <m/>
    <n v="11"/>
    <n v="61309488"/>
    <n v="62535677.759999998"/>
    <s v=" "/>
    <m/>
    <m/>
    <m/>
    <n v="1183440"/>
    <n v="522416"/>
    <n v="465584"/>
    <n v="59138048"/>
    <m/>
    <n v="61309488"/>
    <s v=" "/>
    <n v="9041280"/>
    <n v="7392256"/>
    <n v="7392256"/>
    <n v="7392256"/>
    <n v="7392256"/>
    <n v="7392256"/>
    <n v="7392256"/>
    <n v="7914672"/>
    <n v="61309488"/>
    <n v="0"/>
    <s v="CONTRATO COSTEADO CON ALIMENTACION"/>
    <b v="1"/>
    <n v="0"/>
    <b v="1"/>
    <n v="0"/>
    <x v="1"/>
    <m/>
  </r>
  <r>
    <x v="77"/>
    <s v="LOTE 2"/>
    <x v="0"/>
    <x v="62"/>
    <x v="0"/>
    <x v="0"/>
    <s v="COMUNIDAD INDIGENA BELLA LUZ"/>
    <n v="56651136758"/>
    <s v="CER BELLA LUZ"/>
    <n v="1"/>
    <n v="20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76636860"/>
    <n v="0.02"/>
    <n v="1532737.2"/>
    <m/>
    <n v="12"/>
    <n v="76636860"/>
    <n v="78169597.200000003"/>
    <s v=" "/>
    <m/>
    <m/>
    <m/>
    <n v="1479300"/>
    <n v="653020"/>
    <n v="581980"/>
    <n v="73922560"/>
    <m/>
    <n v="76636860"/>
    <s v=" "/>
    <n v="11301600"/>
    <n v="9240320"/>
    <n v="9240320"/>
    <n v="9240320"/>
    <n v="9240320"/>
    <n v="9240320"/>
    <n v="9240320"/>
    <n v="9893340"/>
    <n v="76636860"/>
    <n v="0"/>
    <s v="CONTRATO COSTEADO CON ALIMENTACION"/>
    <b v="1"/>
    <n v="0"/>
    <b v="1"/>
    <n v="0"/>
    <x v="1"/>
    <m/>
  </r>
  <r>
    <x v="77"/>
    <s v="LOTE 2"/>
    <x v="0"/>
    <x v="62"/>
    <x v="0"/>
    <x v="0"/>
    <s v="COMUNIDAD INDIGENA EBANO TACANAL"/>
    <n v="56651136760"/>
    <s v="CASA CABILDO EBANO TACANAL"/>
    <n v="1"/>
    <n v="30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114955290"/>
    <n v="0.02"/>
    <n v="2299105.8000000003"/>
    <m/>
    <n v="13"/>
    <n v="114955290"/>
    <n v="117254395.8"/>
    <s v=" "/>
    <m/>
    <m/>
    <m/>
    <n v="2218950"/>
    <n v="979530"/>
    <n v="872970"/>
    <n v="110883840"/>
    <m/>
    <n v="114955290"/>
    <s v=" "/>
    <n v="16952400"/>
    <n v="13860480"/>
    <n v="13860480"/>
    <n v="13860480"/>
    <n v="13860480"/>
    <n v="13860480"/>
    <n v="13860480"/>
    <n v="14840010"/>
    <n v="114955290"/>
    <n v="0"/>
    <s v="CONTRATO COSTEADO CON ALIMENTACION"/>
    <b v="1"/>
    <n v="0"/>
    <b v="1"/>
    <n v="0"/>
    <x v="1"/>
    <m/>
  </r>
  <r>
    <x v="77"/>
    <s v="LOTE 2"/>
    <x v="0"/>
    <x v="62"/>
    <x v="5"/>
    <x v="0"/>
    <s v="VEREDA EL CAÑO MARGEN IZQUIERDA"/>
    <n v="56651136787"/>
    <s v="CASA COMUNAL CAÑO IZQUIERDO"/>
    <n v="1"/>
    <n v="17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7063281"/>
    <n v="0.02"/>
    <n v="741265.62"/>
    <m/>
    <n v="14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1"/>
    <m/>
  </r>
  <r>
    <x v="77"/>
    <s v="LOTE 2"/>
    <x v="0"/>
    <x v="62"/>
    <x v="5"/>
    <x v="0"/>
    <s v="VEREDA ZAPINDONGA ARRIBA"/>
    <n v="56651136788"/>
    <s v="CER ZAPINDONGA"/>
    <n v="1"/>
    <n v="15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2702895"/>
    <n v="0.02"/>
    <n v="654057.9"/>
    <m/>
    <n v="15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77"/>
    <s v="LOTE 2"/>
    <x v="0"/>
    <x v="62"/>
    <x v="5"/>
    <x v="0"/>
    <s v="VEREDA ALTO ROSARIO"/>
    <n v="56651136895"/>
    <s v="C COMUNAL ALTO ROSARIO"/>
    <n v="1"/>
    <n v="15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2702895"/>
    <n v="0.02"/>
    <n v="654057.9"/>
    <m/>
    <n v="16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77"/>
    <s v="LOTE 2"/>
    <x v="0"/>
    <x v="62"/>
    <x v="5"/>
    <x v="0"/>
    <s v="VEREDA LOS ALMENDROS"/>
    <n v="56651136896"/>
    <s v="C COMUNAL LOS ALMENDROS"/>
    <n v="1"/>
    <n v="17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7063281"/>
    <n v="0.02"/>
    <n v="741265.62"/>
    <m/>
    <n v="17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1"/>
    <m/>
  </r>
  <r>
    <x v="77"/>
    <s v="LOTE 2"/>
    <x v="0"/>
    <x v="62"/>
    <x v="5"/>
    <x v="0"/>
    <s v="VEREDA PUEBLITO"/>
    <n v="56651136897"/>
    <s v="C COMUNAL PUEBLITO"/>
    <n v="1"/>
    <n v="15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2702895"/>
    <n v="0.02"/>
    <n v="654057.9"/>
    <m/>
    <n v="18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77"/>
    <s v="LOTE 2"/>
    <x v="0"/>
    <x v="62"/>
    <x v="5"/>
    <x v="0"/>
    <s v="VEREDA TRES ESQUINAS"/>
    <n v="56651136898"/>
    <s v="CASA COMUNAL TRES ESQUINAS"/>
    <n v="1"/>
    <n v="15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2702895"/>
    <n v="0.02"/>
    <n v="654057.9"/>
    <m/>
    <n v="19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77"/>
    <s v="LOTE 2"/>
    <x v="0"/>
    <x v="62"/>
    <x v="5"/>
    <x v="0"/>
    <s v="CORREGIMIENTO EL TOMATE"/>
    <n v="56651136899"/>
    <s v="CASA COMUNAL CORREGIMIENTO TOMATE"/>
    <n v="1"/>
    <n v="29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63225597"/>
    <n v="0.02"/>
    <n v="1264511.94"/>
    <m/>
    <n v="20"/>
    <n v="63225597"/>
    <n v="64490108.939999998"/>
    <s v=" "/>
    <m/>
    <m/>
    <m/>
    <n v="1431904"/>
    <n v="1189841"/>
    <n v="843900"/>
    <n v="59759952"/>
    <m/>
    <n v="63225597"/>
    <s v=" "/>
    <n v="9745798"/>
    <n v="7469994"/>
    <n v="7469994"/>
    <n v="7469994"/>
    <n v="7469994"/>
    <n v="7469994"/>
    <n v="7469994"/>
    <n v="8659835"/>
    <n v="63225597"/>
    <n v="41848856"/>
    <s v="CONTRATACIÓN ALIMENTOS - DPI"/>
    <b v="1"/>
    <n v="0"/>
    <b v="1"/>
    <n v="0"/>
    <x v="1"/>
    <m/>
  </r>
  <r>
    <x v="77"/>
    <s v="LOTE 2"/>
    <x v="0"/>
    <x v="62"/>
    <x v="5"/>
    <x v="0"/>
    <s v="CORREGIMIENTO SANTA CATALINA"/>
    <n v="56651136900"/>
    <s v="CASA COMUNAL SANTA CATALINA"/>
    <n v="1"/>
    <n v="30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65405790"/>
    <n v="0.02"/>
    <n v="1308115.8"/>
    <m/>
    <n v="21"/>
    <n v="65405790"/>
    <n v="66713905.799999997"/>
    <s v=" "/>
    <m/>
    <m/>
    <m/>
    <n v="1481280"/>
    <n v="1230870"/>
    <n v="873000"/>
    <n v="61820640"/>
    <m/>
    <n v="65405790"/>
    <s v=" "/>
    <n v="10081860"/>
    <n v="7727580"/>
    <n v="7727580"/>
    <n v="7727580"/>
    <n v="7727580"/>
    <n v="7727580"/>
    <n v="7727580"/>
    <n v="8958450"/>
    <n v="65405790"/>
    <n v="43291920"/>
    <s v="CONTRATACIÓN ALIMENTOS - DPI"/>
    <b v="1"/>
    <n v="0"/>
    <b v="1"/>
    <n v="0"/>
    <x v="1"/>
    <m/>
  </r>
  <r>
    <x v="77"/>
    <s v="LOTE 2"/>
    <x v="0"/>
    <x v="62"/>
    <x v="5"/>
    <x v="0"/>
    <s v="VEREDA EL PIRÚ"/>
    <n v="56651136901"/>
    <s v="CASA COMUNAL EL PIRÚ"/>
    <n v="1"/>
    <n v="18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9243474"/>
    <n v="0.02"/>
    <n v="784869.48"/>
    <m/>
    <n v="22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1"/>
    <m/>
  </r>
  <r>
    <x v="77"/>
    <s v="LOTE 2"/>
    <x v="0"/>
    <x v="62"/>
    <x v="5"/>
    <x v="0"/>
    <s v="VEREDA MOLINILLO"/>
    <n v="56651136902"/>
    <s v="CASA COMUNAL MOLINILLO"/>
    <n v="1"/>
    <n v="30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65405790"/>
    <n v="0.02"/>
    <n v="1308115.8"/>
    <m/>
    <n v="23"/>
    <n v="65405790"/>
    <n v="66713905.799999997"/>
    <s v=" "/>
    <m/>
    <m/>
    <m/>
    <n v="1481280"/>
    <n v="1230870"/>
    <n v="873000"/>
    <n v="61820640"/>
    <m/>
    <n v="65405790"/>
    <s v=" "/>
    <n v="10081860"/>
    <n v="7727580"/>
    <n v="7727580"/>
    <n v="7727580"/>
    <n v="7727580"/>
    <n v="7727580"/>
    <n v="7727580"/>
    <n v="8958450"/>
    <n v="65405790"/>
    <n v="43291920"/>
    <s v="CONTRATACIÓN ALIMENTOS - DPI"/>
    <b v="1"/>
    <n v="0"/>
    <b v="1"/>
    <n v="0"/>
    <x v="1"/>
    <m/>
  </r>
  <r>
    <x v="77"/>
    <s v="LOTE 2"/>
    <x v="0"/>
    <x v="62"/>
    <x v="5"/>
    <x v="0"/>
    <s v="VEREDA POLLO FLACO"/>
    <n v="56651136903"/>
    <s v="CER POLLO FLACO"/>
    <n v="1"/>
    <n v="14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0522702"/>
    <n v="0.02"/>
    <n v="610454.04"/>
    <m/>
    <n v="24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1"/>
    <m/>
  </r>
  <r>
    <x v="77"/>
    <s v="LOTE 2"/>
    <x v="0"/>
    <x v="62"/>
    <x v="5"/>
    <x v="0"/>
    <s v="VEREDAS LAS ALMAGRAS"/>
    <n v="56651136904"/>
    <s v="CASA COMUNAL ALMAGRAS"/>
    <n v="1"/>
    <n v="20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43603860"/>
    <n v="0.02"/>
    <n v="872077.20000000007"/>
    <m/>
    <n v="25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1"/>
    <m/>
  </r>
  <r>
    <x v="77"/>
    <s v="LOTE 2"/>
    <x v="0"/>
    <x v="62"/>
    <x v="5"/>
    <x v="0"/>
    <s v="VEREDA EL CAÑO MARGEN DERECHA"/>
    <n v="56651136905"/>
    <s v="CASA FAMILIAR CAÑO DERECHO"/>
    <n v="1"/>
    <n v="18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9243474"/>
    <n v="0.02"/>
    <n v="784869.48"/>
    <m/>
    <n v="26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1"/>
    <m/>
  </r>
  <r>
    <x v="77"/>
    <s v="LOTE 2"/>
    <x v="0"/>
    <x v="62"/>
    <x v="5"/>
    <x v="0"/>
    <s v="VEREDA SAN JUANCITO MEDIO"/>
    <n v="56651136906"/>
    <s v="CASA FAMILIAR SANJUANCITO MEDIO"/>
    <n v="1"/>
    <n v="19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41423667"/>
    <n v="0.02"/>
    <n v="828473.34"/>
    <m/>
    <n v="27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ACIÓN ALIMENTOS - DPI"/>
    <b v="1"/>
    <n v="0"/>
    <b v="1"/>
    <n v="0"/>
    <x v="1"/>
    <m/>
  </r>
  <r>
    <x v="77"/>
    <s v="LOTE 2"/>
    <x v="0"/>
    <x v="62"/>
    <x v="5"/>
    <x v="0"/>
    <s v="VEREDA LA CABAÑA"/>
    <n v="56651136907"/>
    <s v="CASA COMUNAL CABAÑA"/>
    <n v="1"/>
    <n v="20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43603860"/>
    <n v="0.02"/>
    <n v="872077.20000000007"/>
    <m/>
    <n v="28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ACIÓN ALIMENTOS - DPI"/>
    <b v="1"/>
    <n v="0"/>
    <b v="1"/>
    <n v="0"/>
    <x v="1"/>
    <m/>
  </r>
  <r>
    <x v="77"/>
    <s v="LOTE 2"/>
    <x v="0"/>
    <x v="62"/>
    <x v="5"/>
    <x v="0"/>
    <s v="VEREDA LA RULA"/>
    <n v="56651137129"/>
    <s v="CASA COMUNAL RULA"/>
    <n v="1"/>
    <n v="14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0522702"/>
    <n v="0.02"/>
    <n v="610454.04"/>
    <m/>
    <n v="29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1"/>
    <m/>
  </r>
  <r>
    <x v="77"/>
    <s v="LOTE 2"/>
    <x v="0"/>
    <x v="62"/>
    <x v="5"/>
    <x v="0"/>
    <s v="VEREDA ALMAGRITAS"/>
    <n v="56651137130"/>
    <s v="CASA COMUNAL ALMAGRITAS"/>
    <n v="1"/>
    <n v="14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0522702"/>
    <n v="0.02"/>
    <n v="610454.04"/>
    <m/>
    <n v="30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ACIÓN ALIMENTOS - DPI"/>
    <b v="1"/>
    <n v="0"/>
    <b v="1"/>
    <n v="0"/>
    <x v="1"/>
    <m/>
  </r>
  <r>
    <x v="77"/>
    <s v="LOTE 2"/>
    <x v="0"/>
    <x v="62"/>
    <x v="5"/>
    <x v="0"/>
    <s v="VEREDA PARCELAS NUEVO HORIZONTE"/>
    <n v="56651137132"/>
    <s v="CASA COMUNAL PARCELAS NUEVO HORIZONTE"/>
    <n v="1"/>
    <n v="18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9243474"/>
    <n v="0.02"/>
    <n v="784869.48"/>
    <m/>
    <n v="31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1"/>
    <m/>
  </r>
  <r>
    <x v="77"/>
    <s v="LOTE 2"/>
    <x v="0"/>
    <x v="62"/>
    <x v="5"/>
    <x v="0"/>
    <s v="VEREDA MACONDO"/>
    <n v="56651137133"/>
    <s v="CASA COMUNAL MACONDO"/>
    <n v="1"/>
    <n v="17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7063281"/>
    <n v="0.02"/>
    <n v="741265.62"/>
    <m/>
    <n v="32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1"/>
    <m/>
  </r>
  <r>
    <x v="77"/>
    <s v="LOTE 2"/>
    <x v="0"/>
    <x v="62"/>
    <x v="5"/>
    <x v="0"/>
    <s v="VEREDA CARACOLÍ"/>
    <n v="56651137231"/>
    <s v="CASA FAMILIAR CARACOLÍ"/>
    <n v="1"/>
    <n v="17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7063281"/>
    <n v="0.02"/>
    <n v="741265.62"/>
    <m/>
    <n v="33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1"/>
    <m/>
  </r>
  <r>
    <x v="77"/>
    <s v="LOTE 2"/>
    <x v="0"/>
    <x v="62"/>
    <x v="5"/>
    <x v="0"/>
    <s v="VEREDA GUARTINAJO"/>
    <n v="56651137234"/>
    <s v="CASA COMUNAL GUARTINAJO"/>
    <n v="1"/>
    <n v="16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4883088"/>
    <n v="0.02"/>
    <n v="697661.76"/>
    <m/>
    <n v="3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1"/>
    <m/>
  </r>
  <r>
    <x v="77"/>
    <s v="LOTE 2"/>
    <x v="0"/>
    <x v="62"/>
    <x v="5"/>
    <x v="0"/>
    <s v="VEREDA SANTA ROSA"/>
    <n v="56651137235"/>
    <s v="CASA COMUNAL SANTA ROSA"/>
    <n v="1"/>
    <n v="15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2702895"/>
    <n v="0.02"/>
    <n v="654057.9"/>
    <m/>
    <n v="35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77"/>
    <s v="LOTE 2"/>
    <x v="0"/>
    <x v="62"/>
    <x v="5"/>
    <x v="0"/>
    <s v="VEREDA PARCELAS DE MACONDO"/>
    <n v="56651137236"/>
    <s v="CASA COMUNAL PARCELAS DE MACONDO"/>
    <n v="1"/>
    <n v="16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34883088"/>
    <n v="0.02"/>
    <n v="697661.76"/>
    <m/>
    <n v="36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1"/>
    <m/>
  </r>
  <r>
    <x v="77"/>
    <s v="LOTE 2"/>
    <x v="0"/>
    <x v="62"/>
    <x v="5"/>
    <x v="0"/>
    <s v="VEREDA SAN PABLO"/>
    <n v="56651137237"/>
    <s v="CASA COMUNAL SAN PABLO"/>
    <n v="1"/>
    <n v="19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41423667"/>
    <n v="0.02"/>
    <n v="828473.34"/>
    <m/>
    <n v="37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ACIÓN ALIMENTOS - DPI"/>
    <b v="1"/>
    <n v="0"/>
    <b v="1"/>
    <n v="0"/>
    <x v="1"/>
    <m/>
  </r>
  <r>
    <x v="77"/>
    <s v="LOTE 2"/>
    <x v="0"/>
    <x v="62"/>
    <x v="0"/>
    <x v="0"/>
    <s v="SAN CARLOS"/>
    <n v="56651148784"/>
    <s v="CER NARANJALESSEDE LOS CAMAJONES"/>
    <n v="1"/>
    <n v="17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65141331"/>
    <n v="0.02"/>
    <n v="1302826.6200000001"/>
    <m/>
    <n v="38"/>
    <n v="65141331"/>
    <n v="66444157.619999997"/>
    <s v=" "/>
    <m/>
    <m/>
    <m/>
    <n v="1257405"/>
    <n v="555067"/>
    <n v="494683"/>
    <n v="62834176"/>
    <m/>
    <n v="65141331"/>
    <s v=" "/>
    <n v="9606360"/>
    <n v="7854272"/>
    <n v="7854272"/>
    <n v="7854272"/>
    <n v="7854272"/>
    <n v="7854272"/>
    <n v="7854272"/>
    <n v="8409339"/>
    <n v="65141331"/>
    <n v="0"/>
    <s v="CONTRATO COSTEADO CON ALIMENTACION"/>
    <b v="1"/>
    <n v="0"/>
    <b v="1"/>
    <n v="0"/>
    <x v="1"/>
    <m/>
  </r>
  <r>
    <x v="77"/>
    <s v="LOTE 2"/>
    <x v="0"/>
    <x v="62"/>
    <x v="8"/>
    <x v="0"/>
    <s v="CL 51 C 47 B 0 EL CENTRO"/>
    <n v="566500102130"/>
    <s v="SALA DE APRENDIZAJE"/>
    <n v="1"/>
    <n v="100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225115100"/>
    <n v="0.02"/>
    <n v="4502302"/>
    <m/>
    <n v="39"/>
    <n v="225115100"/>
    <n v="229617402"/>
    <s v=" "/>
    <m/>
    <m/>
    <m/>
    <n v="5146300"/>
    <n v="4311600"/>
    <n v="2910000"/>
    <n v="212747200"/>
    <m/>
    <n v="225115100"/>
    <s v=" "/>
    <n v="34649700"/>
    <n v="26593400"/>
    <n v="26593400"/>
    <n v="26593400"/>
    <n v="26593400"/>
    <n v="26593400"/>
    <n v="26593400"/>
    <n v="30905000"/>
    <n v="225115100"/>
    <n v="144306400"/>
    <s v="CONTRATACIÓN ALIMENTOS - DPI"/>
    <b v="1"/>
    <n v="0"/>
    <b v="1"/>
    <n v="0"/>
    <x v="1"/>
    <m/>
  </r>
  <r>
    <x v="77"/>
    <s v="LOTE 2"/>
    <x v="0"/>
    <x v="62"/>
    <x v="5"/>
    <x v="0"/>
    <s v="CORREGIMIENTO ZAPINDONGA"/>
    <n v="566500122374"/>
    <s v="CENTRO DE SALUD ZAPINDONGA"/>
    <n v="1"/>
    <n v="27"/>
    <m/>
    <n v="1997"/>
    <s v="ARTÍCULO 34 CONTRATACIÓN CON EL REGISTRO ÚNICO DE OFERENTES"/>
    <m/>
    <m/>
    <x v="0"/>
    <x v="0"/>
    <x v="54"/>
    <x v="54"/>
    <n v="229180"/>
    <n v="15357"/>
    <n v="87925"/>
    <s v=" "/>
    <s v=" "/>
    <m/>
    <n v="58865211"/>
    <n v="0.02"/>
    <n v="1177304.22"/>
    <m/>
    <n v="40"/>
    <n v="58865211"/>
    <n v="60042515.219999999"/>
    <s v=" "/>
    <m/>
    <m/>
    <m/>
    <n v="1333152"/>
    <n v="1107783"/>
    <n v="785700"/>
    <n v="55638576"/>
    <m/>
    <n v="58865211"/>
    <s v=" "/>
    <n v="9073674"/>
    <n v="6954822"/>
    <n v="6954822"/>
    <n v="6954822"/>
    <n v="6954822"/>
    <n v="6954822"/>
    <n v="6954822"/>
    <n v="8062605"/>
    <n v="58865211"/>
    <n v="38962728"/>
    <s v="CONTRATACIÓN ALIMENTOS - DPI"/>
    <b v="1"/>
    <n v="0"/>
    <b v="1"/>
    <n v="0"/>
    <x v="1"/>
    <m/>
  </r>
  <r>
    <x v="78"/>
    <s v="LOTE 2"/>
    <x v="12"/>
    <x v="63"/>
    <x v="1"/>
    <x v="0"/>
    <s v="DANTAS"/>
    <n v="56671147359"/>
    <s v="SAN RAFAEL 3"/>
    <n v="1"/>
    <n v="42"/>
    <m/>
    <n v="1998"/>
    <s v="ARTÍCULO 34 CONTRATACIÓN CON EL REGISTRO ÚNICO DE OFERENTES"/>
    <m/>
    <m/>
    <x v="0"/>
    <x v="0"/>
    <x v="2"/>
    <x v="2"/>
    <n v="229150"/>
    <n v="15251"/>
    <n v="89425"/>
    <n v="5"/>
    <n v="445"/>
    <m/>
    <n v="63810810"/>
    <n v="0.02"/>
    <n v="1276216.2"/>
    <m/>
    <n v="1"/>
    <n v="63810810"/>
    <n v="65087026.200000003"/>
    <n v="1530345125"/>
    <n v="30606903"/>
    <n v="1560952028"/>
    <n v="1075.058043554619"/>
    <n v="1963248"/>
    <n v="1589322"/>
    <n v="0"/>
    <n v="60258240"/>
    <m/>
    <n v="63810810"/>
    <n v="1530345125"/>
    <n v="9495528"/>
    <n v="7532280"/>
    <n v="7532280"/>
    <n v="7532280"/>
    <n v="7532280"/>
    <n v="7532280"/>
    <n v="7532280"/>
    <n v="9121602"/>
    <n v="63810810"/>
    <n v="63275856"/>
    <s v="CONTRATO ADICIONAL POR ALIMENTACION"/>
    <b v="1"/>
    <n v="0"/>
    <b v="1"/>
    <n v="0"/>
    <x v="1"/>
    <n v="1998"/>
  </r>
  <r>
    <x v="78"/>
    <s v="LOTE 2"/>
    <x v="12"/>
    <x v="63"/>
    <x v="2"/>
    <x v="0"/>
    <s v="KR 20 14 07  BARRIO LAS CABAAS"/>
    <n v="566700023756"/>
    <s v="SOÑADORES"/>
    <n v="1"/>
    <n v="200"/>
    <m/>
    <n v="1998"/>
    <s v="ARTÍCULO 34 CONTRATACIÓN CON EL REGISTRO ÚNICO DE OFERENTES"/>
    <m/>
    <m/>
    <x v="0"/>
    <x v="0"/>
    <x v="2"/>
    <x v="2"/>
    <n v="229150"/>
    <n v="15251"/>
    <n v="89425"/>
    <s v=" "/>
    <s v=" "/>
    <m/>
    <n v="837770000"/>
    <n v="0.02"/>
    <n v="16755400"/>
    <m/>
    <n v="2"/>
    <n v="837770000"/>
    <n v="854525400"/>
    <s v=" "/>
    <m/>
    <m/>
    <m/>
    <n v="17628600"/>
    <n v="15008600"/>
    <n v="0"/>
    <n v="805132800"/>
    <m/>
    <n v="837770000"/>
    <s v=" "/>
    <n v="118270200"/>
    <n v="100641600"/>
    <n v="100641600"/>
    <n v="100641600"/>
    <n v="100641600"/>
    <n v="100641600"/>
    <n v="100641600"/>
    <n v="115650200"/>
    <n v="837770000"/>
    <n v="0"/>
    <s v="CONTRATO COSTEADO CON ALIMENTACION"/>
    <b v="1"/>
    <n v="0"/>
    <b v="1"/>
    <n v="0"/>
    <x v="1"/>
    <n v="1998"/>
  </r>
  <r>
    <x v="78"/>
    <s v="LOTE 2"/>
    <x v="12"/>
    <x v="63"/>
    <x v="2"/>
    <x v="0"/>
    <s v="KR 14 19 105 SECTOR EL TEJAR"/>
    <n v="566700112946"/>
    <s v="CDI ROSITA CALLEJAS"/>
    <n v="1"/>
    <n v="120"/>
    <m/>
    <n v="1998"/>
    <s v="ARTÍCULO 34 CONTRATACIÓN CON EL REGISTRO ÚNICO DE OFERENTES"/>
    <m/>
    <m/>
    <x v="0"/>
    <x v="0"/>
    <x v="2"/>
    <x v="2"/>
    <n v="229150"/>
    <n v="15251"/>
    <n v="89425"/>
    <s v=" "/>
    <s v=" "/>
    <m/>
    <n v="502662000"/>
    <n v="0.02"/>
    <n v="10053240"/>
    <m/>
    <n v="3"/>
    <n v="502662000"/>
    <n v="512715240"/>
    <s v=" "/>
    <m/>
    <m/>
    <m/>
    <n v="10577160"/>
    <n v="9005160"/>
    <n v="0"/>
    <n v="483079680"/>
    <m/>
    <n v="502662000"/>
    <s v=" "/>
    <n v="70962120"/>
    <n v="60384960"/>
    <n v="60384960"/>
    <n v="60384960"/>
    <n v="60384960"/>
    <n v="60384960"/>
    <n v="60384960"/>
    <n v="69390120"/>
    <n v="502662000"/>
    <n v="0"/>
    <s v="CONTRATO COSTEADO CON ALIMENTACION"/>
    <b v="1"/>
    <n v="0"/>
    <b v="1"/>
    <n v="0"/>
    <x v="1"/>
    <n v="1998"/>
  </r>
  <r>
    <x v="78"/>
    <s v="LOTE 2"/>
    <x v="12"/>
    <x v="63"/>
    <x v="1"/>
    <x v="0"/>
    <s v="VIA SAN CARLOS PRIMER DESVIO MANO DERECHA HASTA LLEGAR AL CER EL BRASIL"/>
    <n v="566700132591"/>
    <s v="SAN RAFAEL 1"/>
    <n v="1"/>
    <n v="41"/>
    <m/>
    <n v="1998"/>
    <s v="ARTÍCULO 34 CONTRATACIÓN CON EL REGISTRO ÚNICO DE OFERENTES"/>
    <m/>
    <m/>
    <x v="0"/>
    <x v="0"/>
    <x v="2"/>
    <x v="2"/>
    <n v="229150"/>
    <n v="15251"/>
    <n v="89425"/>
    <s v=" "/>
    <s v=" "/>
    <m/>
    <n v="62291505"/>
    <n v="0.02"/>
    <n v="1245830.1000000001"/>
    <m/>
    <n v="4"/>
    <n v="62291505"/>
    <n v="63537335.100000001"/>
    <s v=" "/>
    <m/>
    <m/>
    <m/>
    <n v="1916504"/>
    <n v="1551481"/>
    <n v="0"/>
    <n v="58823520"/>
    <m/>
    <n v="62291505"/>
    <s v=" "/>
    <n v="9269444"/>
    <n v="7352940"/>
    <n v="7352940"/>
    <n v="7352940"/>
    <n v="7352940"/>
    <n v="7352940"/>
    <n v="7352940"/>
    <n v="8904421"/>
    <n v="62291505"/>
    <n v="61769288"/>
    <s v="CONTRATO ADICIONAL POR ALIMENTACION"/>
    <b v="1"/>
    <n v="0"/>
    <b v="1"/>
    <n v="0"/>
    <x v="1"/>
    <n v="1998"/>
  </r>
  <r>
    <x v="78"/>
    <s v="LOTE 2"/>
    <x v="12"/>
    <x v="63"/>
    <x v="1"/>
    <x v="0"/>
    <s v="VIA SAN CARLOS DESPUES DEL VIVERO MUNICIPAL MANO IZQUIERDA PASO POR CER SAN AGUSTIN HAST LLEGAR AL CER DANTAS"/>
    <n v="566700132690"/>
    <s v="SAN RAFAEL 2"/>
    <n v="1"/>
    <n v="42"/>
    <m/>
    <n v="1998"/>
    <s v="ARTÍCULO 34 CONTRATACIÓN CON EL REGISTRO ÚNICO DE OFERENTES"/>
    <m/>
    <m/>
    <x v="0"/>
    <x v="0"/>
    <x v="2"/>
    <x v="2"/>
    <n v="229150"/>
    <n v="15251"/>
    <n v="89425"/>
    <s v=" "/>
    <s v=" "/>
    <m/>
    <n v="63810810"/>
    <n v="0.02"/>
    <n v="1276216.2"/>
    <m/>
    <n v="5"/>
    <n v="63810810"/>
    <n v="65087026.200000003"/>
    <s v=" "/>
    <m/>
    <m/>
    <m/>
    <n v="1963248"/>
    <n v="1589322"/>
    <n v="0"/>
    <n v="60258240"/>
    <m/>
    <n v="63810810"/>
    <s v=" "/>
    <n v="9495528"/>
    <n v="7532280"/>
    <n v="7532280"/>
    <n v="7532280"/>
    <n v="7532280"/>
    <n v="7532280"/>
    <n v="7532280"/>
    <n v="9121602"/>
    <n v="63810810"/>
    <n v="63275856"/>
    <s v="CONTRATO ADICIONAL POR ALIMENTACION"/>
    <b v="1"/>
    <n v="0"/>
    <b v="1"/>
    <n v="0"/>
    <x v="1"/>
    <n v="1998"/>
  </r>
  <r>
    <x v="79"/>
    <s v="LOTE 2"/>
    <x v="9"/>
    <x v="64"/>
    <x v="1"/>
    <x v="0"/>
    <s v="VEREDA LIBORIANA"/>
    <n v="56791136138"/>
    <s v="SEDE LA LIBORIANA"/>
    <n v="1"/>
    <n v="11"/>
    <m/>
    <n v="2000"/>
    <s v="ARTÍCULO 34 CONTRATACIÓN CON EL REGISTRO ÚNICO DE OFERENTES"/>
    <m/>
    <m/>
    <x v="0"/>
    <x v="0"/>
    <x v="17"/>
    <x v="16"/>
    <n v="229154"/>
    <n v="15220"/>
    <n v="87325"/>
    <n v="17"/>
    <n v="330"/>
    <m/>
    <n v="16712355"/>
    <n v="0.02"/>
    <n v="334247.10000000003"/>
    <m/>
    <n v="1"/>
    <n v="16712355"/>
    <n v="17046602.100000001"/>
    <n v="839662662"/>
    <n v="16793253"/>
    <n v="856455915"/>
    <n v="589.85785879873549"/>
    <n v="514184"/>
    <n v="416251"/>
    <n v="0"/>
    <n v="15781920"/>
    <m/>
    <n v="16712355"/>
    <n v="839662662"/>
    <n v="2486924"/>
    <n v="1972740"/>
    <n v="1972740"/>
    <n v="1972740"/>
    <n v="1972740"/>
    <n v="1972740"/>
    <n v="1972740"/>
    <n v="2388991"/>
    <n v="16712355"/>
    <n v="16572248"/>
    <s v="CONTRATO ADICIONAL POR ALIMENTACION"/>
    <b v="1"/>
    <n v="0"/>
    <b v="1"/>
    <n v="0"/>
    <x v="1"/>
    <n v="2000"/>
  </r>
  <r>
    <x v="79"/>
    <s v="LOTE 2"/>
    <x v="9"/>
    <x v="64"/>
    <x v="6"/>
    <x v="0"/>
    <s v="VEREDA YARUMALITO"/>
    <n v="56791136334"/>
    <s v="SEDE YARUMALITO"/>
    <n v="1"/>
    <n v="9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27232857"/>
    <n v="0.02"/>
    <n v="544657.14"/>
    <m/>
    <n v="2"/>
    <n v="27232857"/>
    <n v="27777514.140000001"/>
    <s v=" "/>
    <m/>
    <m/>
    <m/>
    <n v="420696"/>
    <n v="340569"/>
    <n v="0"/>
    <n v="26471592"/>
    <m/>
    <n v="27232857"/>
    <s v=" "/>
    <n v="3729645"/>
    <n v="3308949"/>
    <n v="3308949"/>
    <n v="3308949"/>
    <n v="3308949"/>
    <n v="3308949"/>
    <n v="3308949"/>
    <n v="3649518"/>
    <n v="27232857"/>
    <n v="0"/>
    <s v="CONTRATO COSTEADO CON ALIMENTACION"/>
    <b v="1"/>
    <n v="0"/>
    <b v="1"/>
    <n v="0"/>
    <x v="1"/>
    <n v="2000"/>
  </r>
  <r>
    <x v="79"/>
    <s v="LOTE 2"/>
    <x v="9"/>
    <x v="64"/>
    <x v="1"/>
    <x v="0"/>
    <s v="VEREDA CORDONCILLO"/>
    <n v="56791136344"/>
    <s v="SEDE CORDONCILLO"/>
    <n v="1"/>
    <n v="11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16712355"/>
    <n v="0.02"/>
    <n v="334247.10000000003"/>
    <m/>
    <n v="3"/>
    <n v="16712355"/>
    <n v="17046602.100000001"/>
    <s v=" "/>
    <m/>
    <m/>
    <m/>
    <n v="514184"/>
    <n v="416251"/>
    <n v="0"/>
    <n v="15781920"/>
    <m/>
    <n v="16712355"/>
    <s v=" "/>
    <n v="2486924"/>
    <n v="1972740"/>
    <n v="1972740"/>
    <n v="1972740"/>
    <n v="1972740"/>
    <n v="1972740"/>
    <n v="1972740"/>
    <n v="2388991"/>
    <n v="16712355"/>
    <n v="16572248"/>
    <s v="CONTRATO ADICIONAL POR ALIMENTACION"/>
    <b v="1"/>
    <n v="0"/>
    <b v="1"/>
    <n v="0"/>
    <x v="1"/>
    <n v="2000"/>
  </r>
  <r>
    <x v="79"/>
    <s v="LOTE 2"/>
    <x v="9"/>
    <x v="64"/>
    <x v="1"/>
    <x v="0"/>
    <s v="SAN ISIDRO PARTE ALTA"/>
    <n v="56791136354"/>
    <s v="C COMUNAL SAN ISIDRO ALTA"/>
    <n v="1"/>
    <n v="16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24308880"/>
    <n v="0.02"/>
    <n v="486177.60000000003"/>
    <m/>
    <n v="4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2000"/>
  </r>
  <r>
    <x v="79"/>
    <s v="LOTE 2"/>
    <x v="9"/>
    <x v="64"/>
    <x v="1"/>
    <x v="0"/>
    <s v="VEREDA LOMA DE DON SANTOS"/>
    <n v="56791136377"/>
    <s v="C COMUNAL LOMA DE DON SANTOS"/>
    <n v="1"/>
    <n v="11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16712355"/>
    <n v="0.02"/>
    <n v="334247.10000000003"/>
    <m/>
    <n v="5"/>
    <n v="16712355"/>
    <n v="17046602.100000001"/>
    <s v=" "/>
    <m/>
    <m/>
    <m/>
    <n v="514184"/>
    <n v="416251"/>
    <n v="0"/>
    <n v="15781920"/>
    <m/>
    <n v="16712355"/>
    <s v=" "/>
    <n v="2486924"/>
    <n v="1972740"/>
    <n v="1972740"/>
    <n v="1972740"/>
    <n v="1972740"/>
    <n v="1972740"/>
    <n v="1972740"/>
    <n v="2388991"/>
    <n v="16712355"/>
    <n v="16572248"/>
    <s v="CONTRATO ADICIONAL POR ALIMENTACION"/>
    <b v="1"/>
    <n v="0"/>
    <b v="1"/>
    <n v="0"/>
    <x v="1"/>
    <n v="2000"/>
  </r>
  <r>
    <x v="79"/>
    <s v="LOTE 2"/>
    <x v="9"/>
    <x v="64"/>
    <x v="1"/>
    <x v="0"/>
    <s v="CORREGIMIENTO DAMASCO"/>
    <n v="56791136380"/>
    <s v="IE DAMASCO"/>
    <n v="1"/>
    <n v="41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62291505"/>
    <n v="0.02"/>
    <n v="1245830.1000000001"/>
    <m/>
    <n v="6"/>
    <n v="62291505"/>
    <n v="63537335.100000001"/>
    <s v=" "/>
    <m/>
    <m/>
    <m/>
    <n v="1916504"/>
    <n v="1551481"/>
    <n v="0"/>
    <n v="58823520"/>
    <m/>
    <n v="62291505"/>
    <s v=" "/>
    <n v="9269444"/>
    <n v="7352940"/>
    <n v="7352940"/>
    <n v="7352940"/>
    <n v="7352940"/>
    <n v="7352940"/>
    <n v="7352940"/>
    <n v="8904421"/>
    <n v="62291505"/>
    <n v="61769288"/>
    <s v="CONTRATO ADICIONAL POR ALIMENTACION"/>
    <b v="1"/>
    <n v="0"/>
    <b v="1"/>
    <n v="0"/>
    <x v="1"/>
    <n v="2000"/>
  </r>
  <r>
    <x v="79"/>
    <s v="LOTE 2"/>
    <x v="9"/>
    <x v="64"/>
    <x v="1"/>
    <x v="0"/>
    <s v="VEREDA LAS MERCEDES"/>
    <n v="56791136383"/>
    <s v="SEDE LAS MERCEDES"/>
    <n v="1"/>
    <n v="15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22789575"/>
    <n v="0.02"/>
    <n v="455791.5"/>
    <m/>
    <n v="7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O ADICIONAL POR ALIMENTACION"/>
    <b v="1"/>
    <n v="0"/>
    <b v="1"/>
    <n v="0"/>
    <x v="1"/>
    <n v="2000"/>
  </r>
  <r>
    <x v="79"/>
    <s v="LOTE 2"/>
    <x v="9"/>
    <x v="64"/>
    <x v="1"/>
    <x v="0"/>
    <s v="EL GUAYABO"/>
    <n v="56791136384"/>
    <s v="C COMUNAL EL GUAYABO"/>
    <n v="1"/>
    <n v="15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22789575"/>
    <n v="0.02"/>
    <n v="455791.5"/>
    <m/>
    <n v="8"/>
    <n v="22789575"/>
    <n v="23245366.5"/>
    <s v=" "/>
    <m/>
    <m/>
    <m/>
    <n v="701160"/>
    <n v="567615"/>
    <n v="0"/>
    <n v="21520800"/>
    <m/>
    <n v="22789575"/>
    <s v=" "/>
    <n v="3391260"/>
    <n v="2690100"/>
    <n v="2690100"/>
    <n v="2690100"/>
    <n v="2690100"/>
    <n v="2690100"/>
    <n v="2690100"/>
    <n v="3257715"/>
    <n v="22789575"/>
    <n v="22598520"/>
    <s v="CONTRATO ADICIONAL POR ALIMENTACION"/>
    <b v="1"/>
    <n v="0"/>
    <b v="1"/>
    <n v="0"/>
    <x v="1"/>
    <n v="2000"/>
  </r>
  <r>
    <x v="79"/>
    <s v="LOTE 2"/>
    <x v="9"/>
    <x v="64"/>
    <x v="1"/>
    <x v="0"/>
    <s v="CORREGIMIENTO DE VERSALLES"/>
    <n v="56791136398"/>
    <s v="C COMUNAL VERSALLES_SANTA BARBARA"/>
    <n v="1"/>
    <n v="12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18231660"/>
    <n v="0.02"/>
    <n v="364633.2"/>
    <m/>
    <n v="9"/>
    <n v="18231660"/>
    <n v="18596293.199999999"/>
    <s v=" "/>
    <m/>
    <m/>
    <m/>
    <n v="560928"/>
    <n v="454092"/>
    <n v="0"/>
    <n v="17216640"/>
    <m/>
    <n v="18231660"/>
    <s v=" "/>
    <n v="2713008"/>
    <n v="2152080"/>
    <n v="2152080"/>
    <n v="2152080"/>
    <n v="2152080"/>
    <n v="2152080"/>
    <n v="2152080"/>
    <n v="2606172"/>
    <n v="18231660"/>
    <n v="18078816"/>
    <s v="CONTRATO ADICIONAL POR ALIMENTACION"/>
    <b v="1"/>
    <n v="0"/>
    <b v="1"/>
    <n v="0"/>
    <x v="1"/>
    <n v="2000"/>
  </r>
  <r>
    <x v="79"/>
    <s v="LOTE 2"/>
    <x v="9"/>
    <x v="64"/>
    <x v="1"/>
    <x v="0"/>
    <s v="VEREDA LA PRIMAVERA"/>
    <n v="56791136401"/>
    <s v="C COMUNAL LA PRIMAVERA_SANTA BARBARA"/>
    <n v="1"/>
    <n v="10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15193050"/>
    <n v="0.02"/>
    <n v="303861"/>
    <m/>
    <n v="10"/>
    <n v="15193050"/>
    <n v="15496911"/>
    <s v=" "/>
    <m/>
    <m/>
    <m/>
    <n v="467440"/>
    <n v="378410"/>
    <n v="0"/>
    <n v="14347200"/>
    <m/>
    <n v="15193050"/>
    <s v=" "/>
    <n v="2260840"/>
    <n v="1793400"/>
    <n v="1793400"/>
    <n v="1793400"/>
    <n v="1793400"/>
    <n v="1793400"/>
    <n v="1793400"/>
    <n v="2171810"/>
    <n v="15193050"/>
    <n v="15065680"/>
    <s v="CONTRATO ADICIONAL POR ALIMENTACION"/>
    <b v="1"/>
    <n v="0"/>
    <b v="1"/>
    <n v="0"/>
    <x v="1"/>
    <n v="2000"/>
  </r>
  <r>
    <x v="79"/>
    <s v="LOTE 2"/>
    <x v="9"/>
    <x v="64"/>
    <x v="1"/>
    <x v="0"/>
    <s v="VEREDA LOS CHARCOS"/>
    <n v="56791147383"/>
    <s v="SEDE SANTA MARGARITA"/>
    <n v="1"/>
    <n v="23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34944015"/>
    <n v="0.02"/>
    <n v="698880.3"/>
    <m/>
    <n v="11"/>
    <n v="34944015"/>
    <n v="35642895.299999997"/>
    <s v=" "/>
    <m/>
    <m/>
    <m/>
    <n v="1075112"/>
    <n v="870343"/>
    <n v="0"/>
    <n v="32998560"/>
    <m/>
    <n v="34944015"/>
    <s v=" "/>
    <n v="5199932"/>
    <n v="4124820"/>
    <n v="4124820"/>
    <n v="4124820"/>
    <n v="4124820"/>
    <n v="4124820"/>
    <n v="4124820"/>
    <n v="4995163"/>
    <n v="34944015"/>
    <n v="34651064"/>
    <s v="CONTRATO ADICIONAL POR ALIMENTACION"/>
    <b v="1"/>
    <n v="0"/>
    <b v="1"/>
    <n v="0"/>
    <x v="1"/>
    <n v="2000"/>
  </r>
  <r>
    <x v="79"/>
    <s v="LOTE 2"/>
    <x v="9"/>
    <x v="64"/>
    <x v="6"/>
    <x v="0"/>
    <s v="VEREDA LOMA LARGA"/>
    <n v="56791147780"/>
    <s v="C COMUNAL LOMA LARGA"/>
    <n v="1"/>
    <n v="10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30258730"/>
    <n v="0.02"/>
    <n v="605174.6"/>
    <m/>
    <n v="12"/>
    <n v="30258730"/>
    <n v="30863904.600000001"/>
    <s v=" "/>
    <m/>
    <m/>
    <m/>
    <n v="467440"/>
    <n v="378410"/>
    <n v="0"/>
    <n v="29412880"/>
    <m/>
    <n v="30258730"/>
    <s v=" "/>
    <n v="4144050"/>
    <n v="3676610"/>
    <n v="3676610"/>
    <n v="3676610"/>
    <n v="3676610"/>
    <n v="3676610"/>
    <n v="3676610"/>
    <n v="4055020"/>
    <n v="30258730"/>
    <n v="0"/>
    <s v="CONTRATO COSTEADO CON ALIMENTACION"/>
    <b v="1"/>
    <n v="0"/>
    <b v="1"/>
    <n v="0"/>
    <x v="1"/>
    <n v="2000"/>
  </r>
  <r>
    <x v="79"/>
    <s v="LOTE 2"/>
    <x v="9"/>
    <x v="64"/>
    <x v="1"/>
    <x v="0"/>
    <s v="VEREDA EL VERGEL"/>
    <n v="56791152442"/>
    <s v="SEDE EL VERGEL"/>
    <n v="1"/>
    <n v="9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13673745"/>
    <n v="0.02"/>
    <n v="273474.90000000002"/>
    <m/>
    <n v="13"/>
    <n v="13673745"/>
    <n v="13947219.9"/>
    <s v=" "/>
    <m/>
    <m/>
    <m/>
    <n v="420696"/>
    <n v="340569"/>
    <n v="0"/>
    <n v="12912480"/>
    <m/>
    <n v="13673745"/>
    <s v=" "/>
    <n v="2034756"/>
    <n v="1614060"/>
    <n v="1614060"/>
    <n v="1614060"/>
    <n v="1614060"/>
    <n v="1614060"/>
    <n v="1614060"/>
    <n v="1954629"/>
    <n v="13673745"/>
    <n v="13559112"/>
    <s v="CONTRATO ADICIONAL POR ALIMENTACION"/>
    <b v="1"/>
    <n v="0"/>
    <b v="1"/>
    <n v="0"/>
    <x v="1"/>
    <n v="2000"/>
  </r>
  <r>
    <x v="79"/>
    <s v="LOTE 2"/>
    <x v="9"/>
    <x v="64"/>
    <x v="1"/>
    <x v="0"/>
    <s v="VEREDA ALTO DE LOS GOMEZ"/>
    <n v="56791152991"/>
    <s v="SEDE ALTO DE LOS GOMEZ"/>
    <n v="1"/>
    <n v="8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12154440"/>
    <n v="0.02"/>
    <n v="243088.80000000002"/>
    <m/>
    <n v="14"/>
    <n v="12154440"/>
    <n v="12397528.800000001"/>
    <s v=" "/>
    <m/>
    <m/>
    <m/>
    <n v="373952"/>
    <n v="302728"/>
    <n v="0"/>
    <n v="11477760"/>
    <m/>
    <n v="12154440"/>
    <s v=" "/>
    <n v="1808672"/>
    <n v="1434720"/>
    <n v="1434720"/>
    <n v="1434720"/>
    <n v="1434720"/>
    <n v="1434720"/>
    <n v="1434720"/>
    <n v="1737448"/>
    <n v="12154440"/>
    <n v="12052544"/>
    <s v="CONTRATO ADICIONAL POR ALIMENTACION"/>
    <b v="1"/>
    <n v="0"/>
    <b v="1"/>
    <n v="0"/>
    <x v="1"/>
    <n v="2000"/>
  </r>
  <r>
    <x v="79"/>
    <s v="LOTE 2"/>
    <x v="9"/>
    <x v="64"/>
    <x v="1"/>
    <x v="0"/>
    <s v="VEREDA LA QUIEBRA"/>
    <n v="56791152992"/>
    <s v="SEDE LA QUIEBRA"/>
    <n v="1"/>
    <n v="13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19750965"/>
    <n v="0.02"/>
    <n v="395019.3"/>
    <m/>
    <n v="15"/>
    <n v="19750965"/>
    <n v="20145984.300000001"/>
    <s v=" "/>
    <m/>
    <m/>
    <m/>
    <n v="607672"/>
    <n v="491933"/>
    <n v="0"/>
    <n v="18651360"/>
    <m/>
    <n v="19750965"/>
    <s v=" "/>
    <n v="2939092"/>
    <n v="2331420"/>
    <n v="2331420"/>
    <n v="2331420"/>
    <n v="2331420"/>
    <n v="2331420"/>
    <n v="2331420"/>
    <n v="2823353"/>
    <n v="19750965"/>
    <n v="19585384"/>
    <s v="CONTRATO ADICIONAL POR ALIMENTACION"/>
    <b v="1"/>
    <n v="0"/>
    <b v="1"/>
    <n v="0"/>
    <x v="1"/>
    <n v="2000"/>
  </r>
  <r>
    <x v="79"/>
    <s v="LOTE 2"/>
    <x v="9"/>
    <x v="64"/>
    <x v="2"/>
    <x v="0"/>
    <s v="(en blanco)"/>
    <n v="56791154880"/>
    <s v="CDI ACUARELA MAGICA VERSALLES"/>
    <n v="1"/>
    <n v="39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163365150"/>
    <n v="0.02"/>
    <n v="3267303"/>
    <m/>
    <n v="16"/>
    <n v="163365150"/>
    <n v="166632453"/>
    <s v=" "/>
    <m/>
    <m/>
    <m/>
    <n v="3437577"/>
    <n v="2926677"/>
    <n v="0"/>
    <n v="157000896"/>
    <m/>
    <n v="163365150"/>
    <s v=" "/>
    <n v="23062689"/>
    <n v="19625112"/>
    <n v="19625112"/>
    <n v="19625112"/>
    <n v="19625112"/>
    <n v="19625112"/>
    <n v="19625112"/>
    <n v="22551789"/>
    <n v="163365150"/>
    <n v="0"/>
    <s v="CONTRATO COSTEADO CON ALIMENTACION"/>
    <b v="1"/>
    <n v="0"/>
    <b v="1"/>
    <n v="0"/>
    <x v="1"/>
    <n v="2000"/>
  </r>
  <r>
    <x v="79"/>
    <s v="LOTE 2"/>
    <x v="9"/>
    <x v="64"/>
    <x v="2"/>
    <x v="0"/>
    <s v="VEREDA CHONTALITO"/>
    <n v="567900104857"/>
    <s v="CARITAS FELICES SANTA BARBARA"/>
    <n v="1"/>
    <n v="77"/>
    <m/>
    <n v="2000"/>
    <s v="ARTÍCULO 34 CONTRATACIÓN CON EL REGISTRO ÚNICO DE OFERENTES"/>
    <m/>
    <m/>
    <x v="0"/>
    <x v="0"/>
    <x v="17"/>
    <x v="16"/>
    <n v="229154"/>
    <n v="15220"/>
    <n v="87325"/>
    <s v=" "/>
    <s v=" "/>
    <m/>
    <n v="322541450"/>
    <n v="0.02"/>
    <n v="6450829"/>
    <m/>
    <n v="17"/>
    <n v="322541450"/>
    <n v="328992279"/>
    <s v=" "/>
    <m/>
    <m/>
    <m/>
    <n v="6787011"/>
    <n v="5778311"/>
    <n v="0"/>
    <n v="309976128"/>
    <m/>
    <n v="322541450"/>
    <s v=" "/>
    <n v="45534027"/>
    <n v="38747016"/>
    <n v="38747016"/>
    <n v="38747016"/>
    <n v="38747016"/>
    <n v="38747016"/>
    <n v="38747016"/>
    <n v="44525327"/>
    <n v="322541450"/>
    <n v="0"/>
    <s v="CONTRATO COSTEADO CON ALIMENTACION"/>
    <b v="1"/>
    <n v="0"/>
    <b v="1"/>
    <n v="0"/>
    <x v="1"/>
    <n v="2000"/>
  </r>
  <r>
    <x v="80"/>
    <s v="LOTE 2"/>
    <x v="13"/>
    <x v="65"/>
    <x v="5"/>
    <x v="0"/>
    <s v="VEREDA LA TOLDA"/>
    <n v="50421136434"/>
    <s v="C COMUNAL LA TOLDA"/>
    <n v="1"/>
    <n v="15"/>
    <m/>
    <n v="2001"/>
    <s v="ARTÍCULO 34 CONTRATACIÓN CON EL REGISTRO ÚNICO DE OFERENTES"/>
    <m/>
    <m/>
    <x v="0"/>
    <x v="0"/>
    <x v="36"/>
    <x v="35"/>
    <n v="229155"/>
    <n v="15247"/>
    <n v="89025"/>
    <n v="14"/>
    <n v="668"/>
    <m/>
    <n v="32702895"/>
    <n v="0.02"/>
    <n v="654057.9"/>
    <m/>
    <n v="1"/>
    <n v="32702895"/>
    <n v="33356952.899999999"/>
    <n v="2427863119"/>
    <n v="48557262"/>
    <n v="2476420381"/>
    <n v="1705.5589174569723"/>
    <n v="740640"/>
    <n v="615435"/>
    <n v="436500"/>
    <n v="30910320"/>
    <m/>
    <n v="32702895"/>
    <n v="2427863119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80"/>
    <s v="LOTE 2"/>
    <x v="13"/>
    <x v="65"/>
    <x v="5"/>
    <x v="0"/>
    <s v="VEREDA MORADITAS PARTE ALTA"/>
    <n v="50421136488"/>
    <s v="C COMUNAL MORADITAS ALTA"/>
    <n v="1"/>
    <n v="26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56685018"/>
    <n v="0.02"/>
    <n v="1133700.3600000001"/>
    <m/>
    <n v="2"/>
    <n v="56685018"/>
    <n v="57818718.359999999"/>
    <s v=" "/>
    <m/>
    <m/>
    <m/>
    <n v="1283776"/>
    <n v="1066754"/>
    <n v="756600"/>
    <n v="53577888"/>
    <m/>
    <n v="56685018"/>
    <s v=" "/>
    <n v="8737612"/>
    <n v="6697236"/>
    <n v="6697236"/>
    <n v="6697236"/>
    <n v="6697236"/>
    <n v="6697236"/>
    <n v="6697236"/>
    <n v="7763990"/>
    <n v="56685018"/>
    <n v="37519664"/>
    <s v="CONTRATACIÓN ALIMENTOS - DPI"/>
    <b v="1"/>
    <n v="0"/>
    <b v="1"/>
    <n v="0"/>
    <x v="1"/>
    <m/>
  </r>
  <r>
    <x v="80"/>
    <s v="LOTE 2"/>
    <x v="13"/>
    <x v="65"/>
    <x v="5"/>
    <x v="0"/>
    <s v="VEREDA EL CHURIMBO"/>
    <n v="50421136489"/>
    <s v="ESCUELA CHURIMBO"/>
    <n v="1"/>
    <n v="17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37063281"/>
    <n v="0.02"/>
    <n v="741265.62"/>
    <m/>
    <n v="3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ACIÓN ALIMENTOS - DPI"/>
    <b v="1"/>
    <n v="0"/>
    <b v="1"/>
    <n v="0"/>
    <x v="1"/>
    <m/>
  </r>
  <r>
    <x v="80"/>
    <s v="LOTE 2"/>
    <x v="13"/>
    <x v="65"/>
    <x v="5"/>
    <x v="0"/>
    <s v="VEREDA YERBABUENAL"/>
    <n v="50421136509"/>
    <s v="C COMUNAL YERBABUENAL"/>
    <n v="1"/>
    <n v="23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50144439"/>
    <n v="0.02"/>
    <n v="1002888.78"/>
    <m/>
    <n v="4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ACIÓN ALIMENTOS - DPI"/>
    <b v="1"/>
    <n v="0"/>
    <b v="1"/>
    <n v="0"/>
    <x v="1"/>
    <m/>
  </r>
  <r>
    <x v="80"/>
    <s v="LOTE 2"/>
    <x v="13"/>
    <x v="65"/>
    <x v="5"/>
    <x v="0"/>
    <s v="VEREDA NURQUI 2"/>
    <n v="50421136521"/>
    <s v="C COMUNAL NURQUI 2"/>
    <n v="1"/>
    <n v="15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32702895"/>
    <n v="0.02"/>
    <n v="654057.9"/>
    <m/>
    <n v="5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80"/>
    <s v="LOTE 2"/>
    <x v="13"/>
    <x v="65"/>
    <x v="4"/>
    <x v="0"/>
    <s v="CL 15 16 50"/>
    <n v="50421139879"/>
    <s v="SENDERITOS DE FORMACION II"/>
    <n v="1"/>
    <n v="238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1030397676"/>
    <n v="0.02"/>
    <n v="20607953.52"/>
    <m/>
    <n v="6"/>
    <n v="1030397676"/>
    <n v="1051005629.52"/>
    <s v=" "/>
    <m/>
    <m/>
    <m/>
    <n v="20978034"/>
    <n v="17860234"/>
    <n v="0"/>
    <n v="991559408"/>
    <m/>
    <n v="1030397676"/>
    <s v=" "/>
    <n v="144922960"/>
    <n v="123944926"/>
    <n v="123944926"/>
    <n v="123944926"/>
    <n v="123944926"/>
    <n v="123944926"/>
    <n v="123944926"/>
    <n v="141805160"/>
    <n v="1030397676"/>
    <n v="0"/>
    <s v="CONTRATO COSTEADO CON ALIMENTACION"/>
    <b v="1"/>
    <n v="0"/>
    <b v="1"/>
    <n v="0"/>
    <x v="1"/>
    <m/>
  </r>
  <r>
    <x v="80"/>
    <s v="LOTE 2"/>
    <x v="13"/>
    <x v="65"/>
    <x v="5"/>
    <x v="0"/>
    <s v="MORADITAS"/>
    <n v="50421150340"/>
    <s v="CASA NATALIA LOPERA"/>
    <n v="1"/>
    <n v="18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39243474"/>
    <n v="0.02"/>
    <n v="784869.48"/>
    <m/>
    <n v="7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ACIÓN ALIMENTOS - DPI"/>
    <b v="1"/>
    <n v="0"/>
    <b v="1"/>
    <n v="0"/>
    <x v="1"/>
    <m/>
  </r>
  <r>
    <x v="80"/>
    <s v="LOTE 2"/>
    <x v="13"/>
    <x v="65"/>
    <x v="5"/>
    <x v="0"/>
    <s v="EL PESCADO"/>
    <n v="50421150341"/>
    <s v="CENTRO DE SALUD PESCADO"/>
    <n v="1"/>
    <n v="19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41423667"/>
    <n v="0.02"/>
    <n v="828473.34"/>
    <m/>
    <n v="8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ACIÓN ALIMENTOS - DPI"/>
    <b v="1"/>
    <n v="0"/>
    <b v="1"/>
    <n v="0"/>
    <x v="1"/>
    <m/>
  </r>
  <r>
    <x v="80"/>
    <s v="LOTE 2"/>
    <x v="13"/>
    <x v="65"/>
    <x v="5"/>
    <x v="0"/>
    <s v="CORDILLERA"/>
    <n v="50421150342"/>
    <s v="IER SEDE CORDILLERA"/>
    <n v="1"/>
    <n v="15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32702895"/>
    <n v="0.02"/>
    <n v="654057.9"/>
    <m/>
    <n v="9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ACIÓN ALIMENTOS - DPI"/>
    <b v="1"/>
    <n v="0"/>
    <b v="1"/>
    <n v="0"/>
    <x v="1"/>
    <m/>
  </r>
  <r>
    <x v="80"/>
    <s v="LOTE 2"/>
    <x v="13"/>
    <x v="65"/>
    <x v="5"/>
    <x v="0"/>
    <s v="VEREDA SABANAS"/>
    <n v="50421152196"/>
    <s v="C COMUNAL SABANAS"/>
    <n v="1"/>
    <n v="16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34883088"/>
    <n v="0.02"/>
    <n v="697661.76"/>
    <m/>
    <n v="10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1"/>
    <m/>
  </r>
  <r>
    <x v="80"/>
    <s v="LOTE 2"/>
    <x v="13"/>
    <x v="65"/>
    <x v="5"/>
    <x v="0"/>
    <s v="VEREDA RODEO"/>
    <n v="50421152198"/>
    <s v="ESCUELA RODEO"/>
    <n v="1"/>
    <n v="16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34883088"/>
    <n v="0.02"/>
    <n v="697661.76"/>
    <m/>
    <n v="11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ACIÓN ALIMENTOS - DPI"/>
    <b v="1"/>
    <n v="0"/>
    <b v="1"/>
    <n v="0"/>
    <x v="1"/>
    <m/>
  </r>
  <r>
    <x v="80"/>
    <s v="LOTE 2"/>
    <x v="13"/>
    <x v="65"/>
    <x v="5"/>
    <x v="0"/>
    <s v="VEREDA CATIVO"/>
    <n v="50421152973"/>
    <s v="ESCUELA SANTA INES SEDE CATIVO"/>
    <n v="1"/>
    <n v="21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45784053"/>
    <n v="0.02"/>
    <n v="915681.06"/>
    <m/>
    <n v="12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ACIÓN ALIMENTOS - DPI"/>
    <b v="1"/>
    <n v="0"/>
    <b v="1"/>
    <n v="0"/>
    <x v="1"/>
    <m/>
  </r>
  <r>
    <x v="80"/>
    <s v="LOTE 2"/>
    <x v="13"/>
    <x v="65"/>
    <x v="2"/>
    <x v="0"/>
    <s v="CL 20 5 89"/>
    <n v="50421153560"/>
    <s v="CDI SENDERITOS DE FORMACIÓN I"/>
    <n v="1"/>
    <n v="59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247142150"/>
    <n v="0.02"/>
    <n v="4942843"/>
    <m/>
    <n v="13"/>
    <n v="247142150"/>
    <n v="252084993"/>
    <s v=" "/>
    <m/>
    <m/>
    <m/>
    <n v="5200437"/>
    <n v="4427537"/>
    <n v="0"/>
    <n v="237514176"/>
    <m/>
    <n v="247142150"/>
    <s v=" "/>
    <n v="34889709"/>
    <n v="29689272"/>
    <n v="29689272"/>
    <n v="29689272"/>
    <n v="29689272"/>
    <n v="29689272"/>
    <n v="29689272"/>
    <n v="34116809"/>
    <n v="247142150"/>
    <n v="0"/>
    <s v="CONTRATO COSTEADO CON ALIMENTACION"/>
    <b v="1"/>
    <n v="0"/>
    <b v="1"/>
    <n v="0"/>
    <x v="1"/>
    <m/>
  </r>
  <r>
    <x v="80"/>
    <s v="LOTE 2"/>
    <x v="13"/>
    <x v="65"/>
    <x v="3"/>
    <x v="0"/>
    <s v="CL 19 A 10 48"/>
    <n v="504200074634"/>
    <s v="HOGAR INFANTIL LUCHIN"/>
    <n v="1"/>
    <n v="170"/>
    <m/>
    <n v="2001"/>
    <s v="ARTÍCULO 34 CONTRATACIÓN CON EL REGISTRO ÚNICO DE OFERENTES"/>
    <m/>
    <m/>
    <x v="0"/>
    <x v="0"/>
    <x v="36"/>
    <x v="35"/>
    <n v="229155"/>
    <n v="15247"/>
    <n v="89025"/>
    <s v=" "/>
    <s v=" "/>
    <m/>
    <n v="712104500"/>
    <n v="0.02"/>
    <n v="14242090"/>
    <m/>
    <n v="14"/>
    <n v="712104500"/>
    <n v="726346590"/>
    <s v=" "/>
    <m/>
    <m/>
    <m/>
    <n v="14984310"/>
    <n v="12757310"/>
    <n v="0"/>
    <n v="684362880"/>
    <m/>
    <n v="712104500"/>
    <s v=" "/>
    <n v="100529670"/>
    <n v="85545360"/>
    <n v="85545360"/>
    <n v="85545360"/>
    <n v="85545360"/>
    <n v="85545360"/>
    <n v="85545360"/>
    <n v="98302670"/>
    <n v="712104500"/>
    <n v="0"/>
    <s v="CONTRATO COSTEADO CON ALIMENTACION"/>
    <b v="1"/>
    <n v="0"/>
    <b v="1"/>
    <n v="0"/>
    <x v="1"/>
    <m/>
  </r>
  <r>
    <x v="81"/>
    <s v="LOTE 2"/>
    <x v="10"/>
    <x v="66"/>
    <x v="4"/>
    <x v="0"/>
    <s v="KR 47 53 A 127"/>
    <n v="57361151911"/>
    <s v="GOTITAS DEL SABER"/>
    <n v="1"/>
    <n v="201"/>
    <m/>
    <n v="2003"/>
    <s v="ARTÍCULO 34 CONTRATACIÓN CON EL REGISTRO ÚNICO DE OFERENTES"/>
    <m/>
    <m/>
    <x v="0"/>
    <x v="0"/>
    <x v="38"/>
    <x v="37"/>
    <n v="229156"/>
    <n v="15253"/>
    <n v="89625"/>
    <n v="9"/>
    <n v="797"/>
    <m/>
    <n v="870209802"/>
    <n v="0.02"/>
    <n v="17404196.039999999"/>
    <m/>
    <n v="1"/>
    <n v="870209802"/>
    <n v="887613998.03999996"/>
    <n v="3405837858"/>
    <n v="68116757"/>
    <n v="3473954615"/>
    <n v="2392.5801601685985"/>
    <n v="17716743"/>
    <n v="15083643"/>
    <n v="0"/>
    <n v="837409416"/>
    <m/>
    <n v="870209802"/>
    <n v="3405837858"/>
    <n v="122392920"/>
    <n v="104676177"/>
    <n v="104676177"/>
    <n v="104676177"/>
    <n v="104676177"/>
    <n v="104676177"/>
    <n v="104676177"/>
    <n v="119759820"/>
    <n v="870209802"/>
    <n v="0"/>
    <s v="CONTRATO COSTEADO CON ALIMENTACION"/>
    <b v="1"/>
    <n v="0"/>
    <b v="1"/>
    <n v="0"/>
    <x v="1"/>
    <m/>
  </r>
  <r>
    <x v="81"/>
    <s v="LOTE 2"/>
    <x v="10"/>
    <x v="66"/>
    <x v="2"/>
    <x v="0"/>
    <s v="CARREGIMIENTO FRAGUAS"/>
    <n v="560400051357"/>
    <s v="CDI RENACER"/>
    <n v="1"/>
    <n v="42"/>
    <m/>
    <n v="2003"/>
    <s v="ARTÍCULO 34 CONTRATACIÓN CON EL REGISTRO ÚNICO DE OFERENTES"/>
    <m/>
    <m/>
    <x v="0"/>
    <x v="0"/>
    <x v="38"/>
    <x v="37"/>
    <n v="229156"/>
    <n v="15253"/>
    <n v="89625"/>
    <s v=" "/>
    <s v=" "/>
    <m/>
    <n v="175931700"/>
    <n v="0.02"/>
    <n v="3518634"/>
    <m/>
    <n v="2"/>
    <n v="175931700"/>
    <n v="179450334"/>
    <s v=" "/>
    <m/>
    <m/>
    <m/>
    <n v="3702006"/>
    <n v="3151806"/>
    <n v="0"/>
    <n v="169077888"/>
    <m/>
    <n v="175931700"/>
    <s v=" "/>
    <n v="24836742"/>
    <n v="21134736"/>
    <n v="21134736"/>
    <n v="21134736"/>
    <n v="21134736"/>
    <n v="21134736"/>
    <n v="21134736"/>
    <n v="24286542"/>
    <n v="175931700"/>
    <n v="0"/>
    <s v="CONTRATO COSTEADO CON ALIMENTACION"/>
    <b v="1"/>
    <n v="0"/>
    <b v="1"/>
    <n v="0"/>
    <x v="1"/>
    <m/>
  </r>
  <r>
    <x v="81"/>
    <s v="LOTE 2"/>
    <x v="10"/>
    <x v="66"/>
    <x v="2"/>
    <x v="0"/>
    <s v="BARRIO GALAN"/>
    <n v="573600054826"/>
    <s v="CDI BURBUJAS DE AMOR"/>
    <n v="1"/>
    <n v="199"/>
    <m/>
    <n v="2003"/>
    <s v="ARTÍCULO 34 CONTRATACIÓN CON EL REGISTRO ÚNICO DE OFERENTES"/>
    <m/>
    <m/>
    <x v="0"/>
    <x v="0"/>
    <x v="38"/>
    <x v="37"/>
    <n v="229156"/>
    <n v="15253"/>
    <n v="89625"/>
    <s v=" "/>
    <s v=" "/>
    <m/>
    <n v="833581150"/>
    <n v="0.02"/>
    <n v="16671623"/>
    <m/>
    <n v="3"/>
    <n v="833581150"/>
    <n v="850252773"/>
    <s v=" "/>
    <m/>
    <m/>
    <m/>
    <n v="17540457"/>
    <n v="14933557"/>
    <n v="0"/>
    <n v="801107136"/>
    <m/>
    <n v="833581150"/>
    <s v=" "/>
    <n v="117678849"/>
    <n v="100138392"/>
    <n v="100138392"/>
    <n v="100138392"/>
    <n v="100138392"/>
    <n v="100138392"/>
    <n v="100138392"/>
    <n v="115071949"/>
    <n v="833581150"/>
    <n v="0"/>
    <s v="CONTRATO COSTEADO CON ALIMENTACION"/>
    <b v="1"/>
    <n v="0"/>
    <b v="1"/>
    <n v="0"/>
    <x v="1"/>
    <m/>
  </r>
  <r>
    <x v="81"/>
    <s v="LOTE 2"/>
    <x v="10"/>
    <x v="66"/>
    <x v="2"/>
    <x v="0"/>
    <s v="RESGUARDO TAGUAL LA PO"/>
    <n v="573600081622"/>
    <s v="CDI WAWANDE"/>
    <n v="1"/>
    <n v="28"/>
    <m/>
    <n v="2003"/>
    <s v="ARTÍCULO 34 CONTRATACIÓN CON EL REGISTRO ÚNICO DE OFERENTES"/>
    <m/>
    <m/>
    <x v="0"/>
    <x v="0"/>
    <x v="38"/>
    <x v="37"/>
    <n v="229156"/>
    <n v="15253"/>
    <n v="89625"/>
    <s v=" "/>
    <s v=" "/>
    <m/>
    <n v="117287800"/>
    <n v="0.02"/>
    <n v="2345756"/>
    <m/>
    <n v="4"/>
    <n v="117287800"/>
    <n v="119633556"/>
    <s v=" "/>
    <m/>
    <m/>
    <m/>
    <n v="2468004"/>
    <n v="2101204"/>
    <n v="0"/>
    <n v="112718592"/>
    <m/>
    <n v="117287800"/>
    <s v=" "/>
    <n v="16557828"/>
    <n v="14089824"/>
    <n v="14089824"/>
    <n v="14089824"/>
    <n v="14089824"/>
    <n v="14089824"/>
    <n v="14089824"/>
    <n v="16191028"/>
    <n v="117287800"/>
    <n v="0"/>
    <s v="CONTRATO COSTEADO CON ALIMENTACION"/>
    <b v="1"/>
    <n v="0"/>
    <b v="1"/>
    <n v="0"/>
    <x v="1"/>
    <m/>
  </r>
  <r>
    <x v="81"/>
    <s v="LOTE 2"/>
    <x v="10"/>
    <x v="66"/>
    <x v="4"/>
    <x v="0"/>
    <s v="VEREDA MANZANILLO"/>
    <n v="573600081753"/>
    <s v="CDI MANZANILLO"/>
    <n v="1"/>
    <n v="28"/>
    <m/>
    <n v="2003"/>
    <s v="ARTÍCULO 34 CONTRATACIÓN CON EL REGISTRO ÚNICO DE OFERENTES"/>
    <m/>
    <m/>
    <x v="0"/>
    <x v="0"/>
    <x v="38"/>
    <x v="37"/>
    <n v="229156"/>
    <n v="15253"/>
    <n v="89625"/>
    <s v=" "/>
    <s v=" "/>
    <m/>
    <n v="121223256"/>
    <n v="0.02"/>
    <n v="2424465.12"/>
    <m/>
    <n v="5"/>
    <n v="121223256"/>
    <n v="123647721.12"/>
    <s v=" "/>
    <m/>
    <m/>
    <m/>
    <n v="2468004"/>
    <n v="2101204"/>
    <n v="0"/>
    <n v="116654048"/>
    <m/>
    <n v="121223256"/>
    <s v=" "/>
    <n v="17049760"/>
    <n v="14581756"/>
    <n v="14581756"/>
    <n v="14581756"/>
    <n v="14581756"/>
    <n v="14581756"/>
    <n v="14581756"/>
    <n v="16682960"/>
    <n v="121223256"/>
    <n v="0"/>
    <s v="CONTRATO COSTEADO CON ALIMENTACION"/>
    <b v="1"/>
    <n v="0"/>
    <b v="1"/>
    <n v="0"/>
    <x v="1"/>
    <m/>
  </r>
  <r>
    <x v="81"/>
    <s v="LOTE 2"/>
    <x v="10"/>
    <x v="66"/>
    <x v="4"/>
    <x v="0"/>
    <s v="KR 47 N 56 06  SANBARTOLO PISO 1 Y 2"/>
    <n v="573600084758"/>
    <s v="EL ARCA DE LOS SUEÑOS 1"/>
    <n v="1"/>
    <n v="150"/>
    <m/>
    <n v="2003"/>
    <s v="ARTÍCULO 34 CONTRATACIÓN CON EL REGISTRO ÚNICO DE OFERENTES"/>
    <m/>
    <m/>
    <x v="0"/>
    <x v="0"/>
    <x v="38"/>
    <x v="37"/>
    <n v="229156"/>
    <n v="15253"/>
    <n v="89625"/>
    <s v=" "/>
    <s v=" "/>
    <m/>
    <n v="649410300"/>
    <n v="0.02"/>
    <n v="12988206"/>
    <m/>
    <n v="6"/>
    <n v="649410300"/>
    <n v="662398506"/>
    <s v=" "/>
    <m/>
    <m/>
    <m/>
    <n v="13221450"/>
    <n v="11256450"/>
    <n v="0"/>
    <n v="624932400"/>
    <m/>
    <n v="649410300"/>
    <s v=" "/>
    <n v="91338000"/>
    <n v="78116550"/>
    <n v="78116550"/>
    <n v="78116550"/>
    <n v="78116550"/>
    <n v="78116550"/>
    <n v="78116550"/>
    <n v="89373000"/>
    <n v="649410300"/>
    <n v="0"/>
    <s v="CONTRATO COSTEADO CON ALIMENTACION"/>
    <b v="1"/>
    <n v="0"/>
    <b v="1"/>
    <n v="0"/>
    <x v="1"/>
    <m/>
  </r>
  <r>
    <x v="81"/>
    <s v="LOTE 2"/>
    <x v="10"/>
    <x v="66"/>
    <x v="4"/>
    <x v="0"/>
    <s v="CL 48 49 85   BOLIVAR"/>
    <n v="573600111686"/>
    <s v="CDI BUEN COMIENZO SEGOVIA"/>
    <n v="1"/>
    <n v="100"/>
    <m/>
    <n v="2003"/>
    <s v="ARTÍCULO 34 CONTRATACIÓN CON EL REGISTRO ÚNICO DE OFERENTES"/>
    <m/>
    <m/>
    <x v="0"/>
    <x v="0"/>
    <x v="38"/>
    <x v="37"/>
    <n v="229156"/>
    <n v="15253"/>
    <n v="89625"/>
    <s v=" "/>
    <s v=" "/>
    <m/>
    <n v="432940200"/>
    <n v="0.02"/>
    <n v="8658804"/>
    <m/>
    <n v="7"/>
    <n v="432940200"/>
    <n v="441599004"/>
    <s v=" "/>
    <m/>
    <m/>
    <m/>
    <n v="8814300"/>
    <n v="7504300"/>
    <n v="0"/>
    <n v="416621600"/>
    <m/>
    <n v="432940200"/>
    <s v=" "/>
    <n v="60892000"/>
    <n v="52077700"/>
    <n v="52077700"/>
    <n v="52077700"/>
    <n v="52077700"/>
    <n v="52077700"/>
    <n v="52077700"/>
    <n v="59582000"/>
    <n v="432940200"/>
    <n v="0"/>
    <s v="CONTRATO COSTEADO CON ALIMENTACION"/>
    <b v="1"/>
    <n v="0"/>
    <b v="1"/>
    <n v="0"/>
    <x v="1"/>
    <m/>
  </r>
  <r>
    <x v="81"/>
    <s v="LOTE 2"/>
    <x v="10"/>
    <x v="66"/>
    <x v="2"/>
    <x v="0"/>
    <s v="VEREDA CAMPO ALEGRE"/>
    <n v="573600114718"/>
    <s v="EL ARCA DE LOS SUEÑOS 2"/>
    <n v="1"/>
    <n v="30"/>
    <m/>
    <n v="2003"/>
    <s v="ARTÍCULO 34 CONTRATACIÓN CON EL REGISTRO ÚNICO DE OFERENTES"/>
    <m/>
    <m/>
    <x v="0"/>
    <x v="0"/>
    <x v="38"/>
    <x v="37"/>
    <n v="229156"/>
    <n v="15253"/>
    <n v="89625"/>
    <s v=" "/>
    <s v=" "/>
    <m/>
    <n v="125665500"/>
    <n v="0.02"/>
    <n v="2513310"/>
    <m/>
    <n v="8"/>
    <n v="125665500"/>
    <n v="128178810"/>
    <s v=" "/>
    <m/>
    <m/>
    <m/>
    <n v="2644290"/>
    <n v="2251290"/>
    <n v="0"/>
    <n v="120769920"/>
    <m/>
    <n v="125665500"/>
    <s v=" "/>
    <n v="17740530"/>
    <n v="15096240"/>
    <n v="15096240"/>
    <n v="15096240"/>
    <n v="15096240"/>
    <n v="15096240"/>
    <n v="15096240"/>
    <n v="17347530"/>
    <n v="125665500"/>
    <n v="0"/>
    <s v="CONTRATO COSTEADO CON ALIMENTACION"/>
    <b v="1"/>
    <n v="0"/>
    <b v="1"/>
    <n v="0"/>
    <x v="1"/>
    <m/>
  </r>
  <r>
    <x v="81"/>
    <s v="LOTE 2"/>
    <x v="10"/>
    <x v="66"/>
    <x v="2"/>
    <x v="0"/>
    <s v="VEREDA SANTA ISABEL DE AMARA"/>
    <n v="573600125380"/>
    <s v="CDI SANTA ISABEL DE AMARA"/>
    <n v="1"/>
    <n v="19"/>
    <m/>
    <n v="2003"/>
    <s v="ARTÍCULO 34 CONTRATACIÓN CON EL REGISTRO ÚNICO DE OFERENTES"/>
    <m/>
    <m/>
    <x v="0"/>
    <x v="0"/>
    <x v="38"/>
    <x v="37"/>
    <n v="229156"/>
    <n v="15253"/>
    <n v="89625"/>
    <s v=" "/>
    <s v=" "/>
    <m/>
    <n v="79588150"/>
    <n v="0.02"/>
    <n v="1591763"/>
    <m/>
    <n v="9"/>
    <n v="79588150"/>
    <n v="81179913"/>
    <s v=" "/>
    <m/>
    <m/>
    <m/>
    <n v="1674717"/>
    <n v="1425817"/>
    <n v="0"/>
    <n v="76487616"/>
    <m/>
    <n v="79588150"/>
    <s v=" "/>
    <n v="11235669"/>
    <n v="9560952"/>
    <n v="9560952"/>
    <n v="9560952"/>
    <n v="9560952"/>
    <n v="9560952"/>
    <n v="9560952"/>
    <n v="10986769"/>
    <n v="79588150"/>
    <n v="0"/>
    <s v="CONTRATO COSTEADO CON ALIMENTACION"/>
    <b v="1"/>
    <n v="0"/>
    <b v="1"/>
    <n v="0"/>
    <x v="1"/>
    <m/>
  </r>
  <r>
    <x v="82"/>
    <s v="LOTE 2"/>
    <x v="10"/>
    <x v="66"/>
    <x v="8"/>
    <x v="0"/>
    <s v="CL 20 DE JULIO 20 20"/>
    <n v="57361119000"/>
    <s v="C COMUNAL 20 DE JULIO 1"/>
    <n v="1"/>
    <n v="72"/>
    <m/>
    <n v="2005"/>
    <s v="ARTÍCULO 34 CONTRATACIÓN CON EL REGISTRO ÚNICO DE OFERENTES"/>
    <m/>
    <m/>
    <x v="0"/>
    <x v="0"/>
    <x v="55"/>
    <x v="55"/>
    <n v="229157"/>
    <n v="15221"/>
    <n v="86825"/>
    <n v="14"/>
    <n v="382"/>
    <m/>
    <n v="162082872"/>
    <n v="0.02"/>
    <n v="3241657.44"/>
    <m/>
    <n v="1"/>
    <n v="162082872"/>
    <n v="165324529.44"/>
    <n v="859939682"/>
    <n v="17198794"/>
    <n v="877138476"/>
    <n v="604.10234070951878"/>
    <n v="3705336"/>
    <n v="3104352"/>
    <n v="2095200"/>
    <n v="153177984"/>
    <m/>
    <n v="162082872"/>
    <n v="859939682"/>
    <n v="24947784"/>
    <n v="19147248"/>
    <n v="19147248"/>
    <n v="19147248"/>
    <n v="19147248"/>
    <n v="19147248"/>
    <n v="19147248"/>
    <n v="22251600"/>
    <n v="162082872"/>
    <n v="103900608"/>
    <s v="CONTRATO ADICIONAL POR ALIMENTACION"/>
    <b v="1"/>
    <n v="0"/>
    <b v="1"/>
    <n v="0"/>
    <x v="1"/>
    <n v="2005"/>
  </r>
  <r>
    <x v="82"/>
    <s v="LOTE 2"/>
    <x v="10"/>
    <x v="66"/>
    <x v="8"/>
    <x v="0"/>
    <s v="CL MARQUETALIA"/>
    <n v="57361137218"/>
    <s v="C COMUNAL MARQUETALIA 1"/>
    <n v="1"/>
    <n v="50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112557550"/>
    <n v="0.02"/>
    <n v="2251151"/>
    <m/>
    <n v="2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2005"/>
  </r>
  <r>
    <x v="82"/>
    <s v="LOTE 2"/>
    <x v="10"/>
    <x v="66"/>
    <x v="8"/>
    <x v="0"/>
    <s v="CAMPO ALEGRE"/>
    <n v="57361137238"/>
    <s v="C COMUNAL CAMPO ALEGRE 1"/>
    <n v="1"/>
    <n v="19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42771869"/>
    <n v="0.02"/>
    <n v="855437.38"/>
    <m/>
    <n v="3"/>
    <n v="42771869"/>
    <n v="43627306.380000003"/>
    <s v=" "/>
    <m/>
    <m/>
    <m/>
    <n v="977797"/>
    <n v="819204"/>
    <n v="552900"/>
    <n v="40421968"/>
    <m/>
    <n v="42771869"/>
    <s v=" "/>
    <n v="6583443"/>
    <n v="5052746"/>
    <n v="5052746"/>
    <n v="5052746"/>
    <n v="5052746"/>
    <n v="5052746"/>
    <n v="5052746"/>
    <n v="5871950"/>
    <n v="42771869"/>
    <n v="27418216"/>
    <s v="CONTRATO ADICIONAL POR ALIMENTACION"/>
    <b v="1"/>
    <n v="0"/>
    <b v="1"/>
    <n v="0"/>
    <x v="1"/>
    <n v="2005"/>
  </r>
  <r>
    <x v="82"/>
    <s v="LOTE 2"/>
    <x v="10"/>
    <x v="66"/>
    <x v="8"/>
    <x v="0"/>
    <s v="CL TAPARAL"/>
    <n v="57361137323"/>
    <s v="IE SAN MATEO TAPARAL"/>
    <n v="1"/>
    <n v="13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29264963"/>
    <n v="0.02"/>
    <n v="585299.26"/>
    <m/>
    <n v="4"/>
    <n v="29264963"/>
    <n v="29850262.260000002"/>
    <s v=" "/>
    <m/>
    <m/>
    <m/>
    <n v="669019"/>
    <n v="560508"/>
    <n v="378300"/>
    <n v="27657136"/>
    <m/>
    <n v="29264963"/>
    <s v=" "/>
    <n v="4504461"/>
    <n v="3457142"/>
    <n v="3457142"/>
    <n v="3457142"/>
    <n v="3457142"/>
    <n v="3457142"/>
    <n v="3457142"/>
    <n v="4017650"/>
    <n v="29264963"/>
    <n v="18759832"/>
    <s v="CONTRATO ADICIONAL POR ALIMENTACION"/>
    <b v="1"/>
    <n v="0"/>
    <b v="1"/>
    <n v="0"/>
    <x v="1"/>
    <n v="2005"/>
  </r>
  <r>
    <x v="82"/>
    <s v="LOTE 2"/>
    <x v="10"/>
    <x v="66"/>
    <x v="8"/>
    <x v="0"/>
    <s v="CL CORDOBA"/>
    <n v="57361137325"/>
    <s v="CANCHA CUBIERTA CORDOBA"/>
    <n v="1"/>
    <n v="31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69785681"/>
    <n v="0.02"/>
    <n v="1395713.62"/>
    <m/>
    <n v="5"/>
    <n v="69785681"/>
    <n v="71181394.620000005"/>
    <s v=" "/>
    <m/>
    <m/>
    <m/>
    <n v="1595353"/>
    <n v="1336596"/>
    <n v="902100"/>
    <n v="65951632"/>
    <m/>
    <n v="69785681"/>
    <s v=" "/>
    <n v="10741407"/>
    <n v="8243954"/>
    <n v="8243954"/>
    <n v="8243954"/>
    <n v="8243954"/>
    <n v="8243954"/>
    <n v="8243954"/>
    <n v="9580550"/>
    <n v="69785681"/>
    <n v="44734984"/>
    <s v="CONTRATO ADICIONAL POR ALIMENTACION"/>
    <b v="1"/>
    <n v="0"/>
    <b v="1"/>
    <n v="0"/>
    <x v="1"/>
    <n v="2005"/>
  </r>
  <r>
    <x v="82"/>
    <s v="LOTE 2"/>
    <x v="10"/>
    <x v="66"/>
    <x v="8"/>
    <x v="0"/>
    <s v="BARRIO MARQUETALIA"/>
    <n v="57361147063"/>
    <s v="CANCHA MARQUETALIA"/>
    <n v="1"/>
    <n v="28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63032228"/>
    <n v="0.02"/>
    <n v="1260644.56"/>
    <m/>
    <n v="6"/>
    <n v="63032228"/>
    <n v="64292872.560000002"/>
    <s v=" "/>
    <m/>
    <m/>
    <m/>
    <n v="1440964"/>
    <n v="1207248"/>
    <n v="814800"/>
    <n v="59569216"/>
    <m/>
    <n v="63032228"/>
    <s v=" "/>
    <n v="9701916"/>
    <n v="7446152"/>
    <n v="7446152"/>
    <n v="7446152"/>
    <n v="7446152"/>
    <n v="7446152"/>
    <n v="7446152"/>
    <n v="8653400"/>
    <n v="63032228"/>
    <n v="40405792"/>
    <s v="CONTRATO ADICIONAL POR ALIMENTACION"/>
    <b v="1"/>
    <n v="0"/>
    <b v="1"/>
    <n v="0"/>
    <x v="1"/>
    <n v="2005"/>
  </r>
  <r>
    <x v="82"/>
    <s v="LOTE 2"/>
    <x v="10"/>
    <x v="66"/>
    <x v="8"/>
    <x v="0"/>
    <s v="CL 56 47 13"/>
    <n v="57361150448"/>
    <s v="IE DOMINGO SAVIO LA MADRE"/>
    <n v="1"/>
    <n v="18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40520718"/>
    <n v="0.02"/>
    <n v="810414.36"/>
    <m/>
    <n v="7"/>
    <n v="40520718"/>
    <n v="41331132.359999999"/>
    <s v=" "/>
    <m/>
    <m/>
    <m/>
    <n v="926334"/>
    <n v="776088"/>
    <n v="523800"/>
    <n v="38294496"/>
    <m/>
    <n v="40520718"/>
    <s v=" "/>
    <n v="6236946"/>
    <n v="4786812"/>
    <n v="4786812"/>
    <n v="4786812"/>
    <n v="4786812"/>
    <n v="4786812"/>
    <n v="4786812"/>
    <n v="5562900"/>
    <n v="40520718"/>
    <n v="25975152"/>
    <s v="CONTRATO ADICIONAL POR ALIMENTACION"/>
    <b v="1"/>
    <n v="0"/>
    <b v="1"/>
    <n v="0"/>
    <x v="1"/>
    <n v="2005"/>
  </r>
  <r>
    <x v="82"/>
    <s v="LOTE 2"/>
    <x v="10"/>
    <x v="66"/>
    <x v="8"/>
    <x v="0"/>
    <s v="KR 43 56 B 53"/>
    <n v="57361152811"/>
    <s v="CASA DE FAMILIA MARIA ELENA PABON"/>
    <n v="1"/>
    <n v="34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76539134"/>
    <n v="0.02"/>
    <n v="1530782.68"/>
    <m/>
    <n v="8"/>
    <n v="76539134"/>
    <n v="78069916.680000007"/>
    <s v=" "/>
    <m/>
    <m/>
    <m/>
    <n v="1749742"/>
    <n v="1465944"/>
    <n v="989400"/>
    <n v="72334048"/>
    <m/>
    <n v="76539134"/>
    <s v=" "/>
    <n v="11780898"/>
    <n v="9041756"/>
    <n v="9041756"/>
    <n v="9041756"/>
    <n v="9041756"/>
    <n v="9041756"/>
    <n v="9041756"/>
    <n v="10507700"/>
    <n v="76539134"/>
    <n v="49064176"/>
    <s v="CONTRATO ADICIONAL POR ALIMENTACION"/>
    <b v="1"/>
    <n v="0"/>
    <b v="1"/>
    <n v="0"/>
    <x v="1"/>
    <n v="2005"/>
  </r>
  <r>
    <x v="82"/>
    <s v="LOTE 2"/>
    <x v="10"/>
    <x v="66"/>
    <x v="8"/>
    <x v="0"/>
    <s v="KR 45 17 82"/>
    <n v="57361152812"/>
    <s v="CASETA EL TORDILLO"/>
    <n v="1"/>
    <n v="2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4502302"/>
    <n v="0.02"/>
    <n v="90046.040000000008"/>
    <m/>
    <n v="9"/>
    <n v="4502302"/>
    <n v="4592348.04"/>
    <s v=" "/>
    <m/>
    <m/>
    <m/>
    <n v="102926"/>
    <n v="86232"/>
    <n v="58200"/>
    <n v="4254944"/>
    <m/>
    <n v="4502302"/>
    <s v=" "/>
    <n v="692994"/>
    <n v="531868"/>
    <n v="531868"/>
    <n v="531868"/>
    <n v="531868"/>
    <n v="531868"/>
    <n v="531868"/>
    <n v="618100"/>
    <n v="4502302"/>
    <n v="2886128"/>
    <s v="CONTRATO ADICIONAL POR ALIMENTACION"/>
    <b v="1"/>
    <n v="0"/>
    <b v="1"/>
    <n v="0"/>
    <x v="1"/>
    <n v="2005"/>
  </r>
  <r>
    <x v="82"/>
    <s v="LOTE 2"/>
    <x v="10"/>
    <x v="66"/>
    <x v="8"/>
    <x v="0"/>
    <s v="CL 42 53 78 BARRIO 20 DE JULIO"/>
    <n v="57361153475"/>
    <s v="CASETA BARRIO 20 DE JULIO"/>
    <n v="1"/>
    <n v="2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4502302"/>
    <n v="0.02"/>
    <n v="90046.040000000008"/>
    <m/>
    <n v="10"/>
    <n v="4502302"/>
    <n v="4592348.04"/>
    <s v=" "/>
    <m/>
    <m/>
    <m/>
    <n v="102926"/>
    <n v="86232"/>
    <n v="58200"/>
    <n v="4254944"/>
    <m/>
    <n v="4502302"/>
    <s v=" "/>
    <n v="692994"/>
    <n v="531868"/>
    <n v="531868"/>
    <n v="531868"/>
    <n v="531868"/>
    <n v="531868"/>
    <n v="531868"/>
    <n v="618100"/>
    <n v="4502302"/>
    <n v="2886128"/>
    <s v="CONTRATO ADICIONAL POR ALIMENTACION"/>
    <b v="1"/>
    <n v="0"/>
    <b v="1"/>
    <n v="0"/>
    <x v="1"/>
    <n v="2005"/>
  </r>
  <r>
    <x v="82"/>
    <s v="LOTE 2"/>
    <x v="10"/>
    <x v="66"/>
    <x v="8"/>
    <x v="0"/>
    <s v="CL 50 B 54 34 BARRIO 7 DE AGOSTO"/>
    <n v="57361153476"/>
    <s v="CASETA 7 DE AGOSTO"/>
    <n v="1"/>
    <n v="19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42771869"/>
    <n v="0.02"/>
    <n v="855437.38"/>
    <m/>
    <n v="11"/>
    <n v="42771869"/>
    <n v="43627306.380000003"/>
    <s v=" "/>
    <m/>
    <m/>
    <m/>
    <n v="977797"/>
    <n v="819204"/>
    <n v="552900"/>
    <n v="40421968"/>
    <m/>
    <n v="42771869"/>
    <s v=" "/>
    <n v="6583443"/>
    <n v="5052746"/>
    <n v="5052746"/>
    <n v="5052746"/>
    <n v="5052746"/>
    <n v="5052746"/>
    <n v="5052746"/>
    <n v="5871950"/>
    <n v="42771869"/>
    <n v="27418216"/>
    <s v="CONTRATO ADICIONAL POR ALIMENTACION"/>
    <b v="1"/>
    <n v="0"/>
    <b v="1"/>
    <n v="0"/>
    <x v="1"/>
    <n v="2005"/>
  </r>
  <r>
    <x v="82"/>
    <s v="LOTE 2"/>
    <x v="10"/>
    <x v="66"/>
    <x v="8"/>
    <x v="0"/>
    <s v="KR 44 B 53 07 BARRIO LA PAZ"/>
    <n v="57361153477"/>
    <s v="CASETA LA PAZ"/>
    <n v="1"/>
    <n v="2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4502302"/>
    <n v="0.02"/>
    <n v="90046.040000000008"/>
    <m/>
    <n v="12"/>
    <n v="4502302"/>
    <n v="4592348.04"/>
    <s v=" "/>
    <m/>
    <m/>
    <m/>
    <n v="102926"/>
    <n v="86232"/>
    <n v="58200"/>
    <n v="4254944"/>
    <m/>
    <n v="4502302"/>
    <s v=" "/>
    <n v="692994"/>
    <n v="531868"/>
    <n v="531868"/>
    <n v="531868"/>
    <n v="531868"/>
    <n v="531868"/>
    <n v="531868"/>
    <n v="618100"/>
    <n v="4502302"/>
    <n v="2886128"/>
    <s v="CONTRATO ADICIONAL POR ALIMENTACION"/>
    <b v="1"/>
    <n v="0"/>
    <b v="1"/>
    <n v="0"/>
    <x v="1"/>
    <n v="2005"/>
  </r>
  <r>
    <x v="82"/>
    <s v="LOTE 2"/>
    <x v="10"/>
    <x v="66"/>
    <x v="8"/>
    <x v="0"/>
    <s v="BARRIO GALAN"/>
    <n v="573600084754"/>
    <s v="C COMUNAL GALAN TIGRITO 1"/>
    <n v="1"/>
    <n v="59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132817909"/>
    <n v="0.02"/>
    <n v="2656358.1800000002"/>
    <m/>
    <n v="13"/>
    <n v="132817909"/>
    <n v="135474267.18000001"/>
    <s v=" "/>
    <m/>
    <m/>
    <m/>
    <n v="3036317"/>
    <n v="2543844"/>
    <n v="1716900"/>
    <n v="125520848"/>
    <m/>
    <n v="132817909"/>
    <s v=" "/>
    <n v="20443323"/>
    <n v="15690106"/>
    <n v="15690106"/>
    <n v="15690106"/>
    <n v="15690106"/>
    <n v="15690106"/>
    <n v="15690106"/>
    <n v="18233950"/>
    <n v="132817909"/>
    <n v="85140776"/>
    <s v="CONTRATO ADICIONAL POR ALIMENTACION"/>
    <b v="1"/>
    <n v="0"/>
    <b v="1"/>
    <n v="0"/>
    <x v="1"/>
    <n v="2005"/>
  </r>
  <r>
    <x v="82"/>
    <s v="LOTE 2"/>
    <x v="10"/>
    <x v="66"/>
    <x v="8"/>
    <x v="0"/>
    <s v="EL CRISTO"/>
    <n v="573600104776"/>
    <s v="C COMUNAL CANDELARIA MENA"/>
    <n v="1"/>
    <n v="33"/>
    <m/>
    <n v="2005"/>
    <s v="ARTÍCULO 34 CONTRATACIÓN CON EL REGISTRO ÚNICO DE OFERENTES"/>
    <m/>
    <m/>
    <x v="0"/>
    <x v="0"/>
    <x v="55"/>
    <x v="55"/>
    <n v="229157"/>
    <n v="15221"/>
    <n v="86825"/>
    <s v=" "/>
    <s v=" "/>
    <m/>
    <n v="74287983"/>
    <n v="0.02"/>
    <n v="1485759.66"/>
    <m/>
    <n v="14"/>
    <n v="74287983"/>
    <n v="75773742.659999996"/>
    <s v=" "/>
    <m/>
    <m/>
    <m/>
    <n v="1698279"/>
    <n v="1422828"/>
    <n v="960300"/>
    <n v="70206576"/>
    <m/>
    <n v="74287983"/>
    <s v=" "/>
    <n v="11434401"/>
    <n v="8775822"/>
    <n v="8775822"/>
    <n v="8775822"/>
    <n v="8775822"/>
    <n v="8775822"/>
    <n v="8775822"/>
    <n v="10198650"/>
    <n v="74287983"/>
    <n v="47621112"/>
    <s v="CONTRATO ADICIONAL POR ALIMENTACION"/>
    <b v="1"/>
    <n v="0"/>
    <b v="1"/>
    <n v="0"/>
    <x v="1"/>
    <n v="2005"/>
  </r>
  <r>
    <x v="83"/>
    <s v="LOTE 2"/>
    <x v="5"/>
    <x v="67"/>
    <x v="5"/>
    <x v="0"/>
    <s v="VÍA PRINCIPAL SONSÓN ARGELIA, CORREGIMIENTO RIO VERDE DE LOS MONTES, VEREDA LA CAPILLA, FRENTE A LA IGLESIA DE LA CAPILLA."/>
    <n v="57561118933"/>
    <s v="CRECIENDO JUNTOS"/>
    <n v="1"/>
    <n v="50"/>
    <m/>
    <n v="2006"/>
    <s v="ARTÍCULO 34 CONTRATACIÓN CON EL REGISTRO ÚNICO DE OFERENTES"/>
    <m/>
    <m/>
    <x v="0"/>
    <x v="0"/>
    <x v="19"/>
    <x v="18"/>
    <n v="229159"/>
    <n v="15249"/>
    <n v="89225"/>
    <n v="14"/>
    <n v="883"/>
    <m/>
    <n v="109009650"/>
    <n v="0.02"/>
    <n v="2180193"/>
    <m/>
    <n v="1"/>
    <n v="109009650"/>
    <n v="111189843"/>
    <n v="2593993200"/>
    <n v="51879864"/>
    <n v="2645873064"/>
    <n v="1822.2642781875659"/>
    <n v="2468800"/>
    <n v="2051450"/>
    <n v="1455000"/>
    <n v="103034400"/>
    <m/>
    <n v="109009650"/>
    <n v="2593993200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06"/>
  </r>
  <r>
    <x v="83"/>
    <s v="LOTE 2"/>
    <x v="5"/>
    <x v="67"/>
    <x v="5"/>
    <x v="0"/>
    <s v="VÍA QUE CONDUCE AL CORREGIMIENTO LOS MEDIOS, VEREDA CAUNZAL, ESCUELA CAUNZAL, FRENTE A UNA FINCA CAFETERA"/>
    <n v="57561137476"/>
    <s v="RALLITOS DE SOL"/>
    <n v="1"/>
    <n v="50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109009650"/>
    <n v="0.02"/>
    <n v="2180193"/>
    <m/>
    <n v="2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06"/>
  </r>
  <r>
    <x v="83"/>
    <s v="LOTE 2"/>
    <x v="5"/>
    <x v="67"/>
    <x v="5"/>
    <x v="0"/>
    <s v="VÍA PRINCIPAL SONSÓN PARAMO, CORREGIMIENTO RIO VERDE DE LOS HENAOS, VEREDA EL SALADO, CERCA A LA JUNTA DE ACCIÓN COMUNAL EL SALADO."/>
    <n v="57561137487"/>
    <s v="GENIOS DEL FUTURO"/>
    <n v="1"/>
    <n v="50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109009650"/>
    <n v="0.02"/>
    <n v="2180193"/>
    <m/>
    <n v="3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06"/>
  </r>
  <r>
    <x v="83"/>
    <s v="LOTE 2"/>
    <x v="5"/>
    <x v="67"/>
    <x v="5"/>
    <x v="0"/>
    <s v="VIA PRINCIPAL SONSON LA UNION, VEREDA TASAJO, CASETA COMUNAL, FRENTE A LA ESCUELA"/>
    <n v="57561139742"/>
    <s v="VIVIENDO UN SUEÑO"/>
    <n v="1"/>
    <n v="50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109009650"/>
    <n v="0.02"/>
    <n v="2180193"/>
    <m/>
    <n v="4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06"/>
  </r>
  <r>
    <x v="83"/>
    <s v="LOTE 2"/>
    <x v="5"/>
    <x v="67"/>
    <x v="5"/>
    <x v="0"/>
    <s v="VIA PRINCIPAL SONSON LA UNION, VEREDA TASAJO, CASETA COMUNAL, FRENTE A LA ESCUELA"/>
    <n v="57561142100"/>
    <s v="LA AVENTURA DE CRECER"/>
    <n v="1"/>
    <n v="50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109009650"/>
    <n v="0.02"/>
    <n v="2180193"/>
    <m/>
    <n v="5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06"/>
  </r>
  <r>
    <x v="83"/>
    <s v="LOTE 2"/>
    <x v="5"/>
    <x v="67"/>
    <x v="5"/>
    <x v="0"/>
    <s v="SAN FRANCISCO (VIA RIO ARRIBA, SE DESVIA AL LADO IZQUIERDA POR UNA CARRETERA DE UNA CAPILLA DEL RIO ARRIBA, VEREDA SAN FRANCISCO, CASETA COMUNAL SAN FRANCISCO)"/>
    <n v="57561142102"/>
    <s v="KANGURITOS"/>
    <n v="1"/>
    <n v="50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109009650"/>
    <n v="0.02"/>
    <n v="2180193"/>
    <m/>
    <n v="6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06"/>
  </r>
  <r>
    <x v="83"/>
    <s v="LOTE 2"/>
    <x v="5"/>
    <x v="67"/>
    <x v="5"/>
    <x v="0"/>
    <s v="VÍA QUE CONDUCE AL CORREGIMIENTO LOS MEDIOS, VEREDA CAUNZAL, SECTOR LA PIRAGUA, FRENTE A UNA CANCHA"/>
    <n v="57561142103"/>
    <s v="1,2,3 POR TI"/>
    <n v="1"/>
    <n v="50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109009650"/>
    <n v="0.02"/>
    <n v="2180193"/>
    <m/>
    <n v="7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06"/>
  </r>
  <r>
    <x v="83"/>
    <s v="LOTE 2"/>
    <x v="5"/>
    <x v="67"/>
    <x v="5"/>
    <x v="0"/>
    <s v="VÍA PRINCIPAL QUE CONDUCE AL CORREGIMIENTO ALTO DE SABANAS, VEREDA LLANADAS SANTA CLARA, ESCUELA LLANADS SANTA CLARA, CERCA A UN LUGAR LLAMADO TRES ESQUINAS."/>
    <n v="57561142104"/>
    <s v="PEQUEÑOS SABIOS"/>
    <n v="1"/>
    <n v="50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109009650"/>
    <n v="0.02"/>
    <n v="2180193"/>
    <m/>
    <n v="8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06"/>
  </r>
  <r>
    <x v="83"/>
    <s v="LOTE 2"/>
    <x v="5"/>
    <x v="67"/>
    <x v="5"/>
    <x v="0"/>
    <s v="VÍA SONSÓN AGUADAS, VEREDA LOS POTREROS, CASETA COMUNAL LOS POTREROS, AL FRENTE DE UNA CANCHA."/>
    <n v="57561142112"/>
    <s v="ERASE UNA VEZ"/>
    <n v="1"/>
    <n v="50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109009650"/>
    <n v="0.02"/>
    <n v="2180193"/>
    <m/>
    <n v="9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06"/>
  </r>
  <r>
    <x v="83"/>
    <s v="LOTE 2"/>
    <x v="5"/>
    <x v="67"/>
    <x v="5"/>
    <x v="0"/>
    <s v="VÍA QUE CONDUCE AL CORREGIMIENTO LOS MEDIOS, VEREDA LA HONDITA, ESCUELA LA HONDITA, AL LADO DE UNA CANCHA"/>
    <n v="57561144198"/>
    <s v="EL BOSQUE DE LOS SUEÑOS"/>
    <n v="1"/>
    <n v="50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109009650"/>
    <n v="0.02"/>
    <n v="2180193"/>
    <m/>
    <n v="10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06"/>
  </r>
  <r>
    <x v="83"/>
    <s v="LOTE 2"/>
    <x v="5"/>
    <x v="67"/>
    <x v="5"/>
    <x v="0"/>
    <s v="VEREDA  RIO ARRIBA, VIA QUE CONDUCE A ARGELIA Y NARIÑO; BAJANDO UN KILOMETRO SE GIRA A LA IZQUIERDA ENTRANDO POR LA PINERA HASTA ENCONTRAR LA UNIVERSIDAD DE ANTIOQUIA SEDE SONSON"/>
    <n v="57561155762"/>
    <s v="DULCES TRAVESURAS "/>
    <n v="1"/>
    <n v="50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109009650"/>
    <n v="0.02"/>
    <n v="2180193"/>
    <m/>
    <n v="11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06"/>
  </r>
  <r>
    <x v="83"/>
    <s v="LOTE 2"/>
    <x v="5"/>
    <x v="67"/>
    <x v="2"/>
    <x v="0"/>
    <s v="SAN MIGUEL"/>
    <n v="575600033013"/>
    <s v="LA MIEL SAN MIGUEL"/>
    <n v="1"/>
    <n v="57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238764450"/>
    <n v="0.02"/>
    <n v="4775289"/>
    <m/>
    <n v="12"/>
    <n v="238764450"/>
    <n v="243539739"/>
    <s v=" "/>
    <m/>
    <m/>
    <m/>
    <n v="5024151"/>
    <n v="4277451"/>
    <n v="0"/>
    <n v="229462848"/>
    <m/>
    <n v="238764450"/>
    <s v=" "/>
    <n v="33707007"/>
    <n v="28682856"/>
    <n v="28682856"/>
    <n v="28682856"/>
    <n v="28682856"/>
    <n v="28682856"/>
    <n v="28682856"/>
    <n v="32960307"/>
    <n v="238764450"/>
    <n v="0"/>
    <s v="CONTRATO COSTEADO CON ALIMENTACION"/>
    <b v="1"/>
    <n v="0"/>
    <b v="1"/>
    <n v="0"/>
    <x v="1"/>
    <n v="2006"/>
  </r>
  <r>
    <x v="83"/>
    <s v="LOTE 2"/>
    <x v="5"/>
    <x v="67"/>
    <x v="2"/>
    <x v="0"/>
    <s v="CL 30 29 A 61 CORREGIMIENTO LA DANTA"/>
    <n v="575600033029"/>
    <s v="SUEÑOS DE MI INFANCIA LA DANTA"/>
    <n v="1"/>
    <n v="76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318352600"/>
    <n v="0.02"/>
    <n v="6367052"/>
    <m/>
    <n v="13"/>
    <n v="318352600"/>
    <n v="324719652"/>
    <s v=" "/>
    <m/>
    <m/>
    <m/>
    <n v="6698868"/>
    <n v="5703268"/>
    <n v="0"/>
    <n v="305950464"/>
    <m/>
    <n v="318352600"/>
    <s v=" "/>
    <n v="44942676"/>
    <n v="38243808"/>
    <n v="38243808"/>
    <n v="38243808"/>
    <n v="38243808"/>
    <n v="38243808"/>
    <n v="38243808"/>
    <n v="43947076"/>
    <n v="318352600"/>
    <n v="0"/>
    <s v="CONTRATO COSTEADO CON ALIMENTACION"/>
    <b v="1"/>
    <n v="0"/>
    <b v="1"/>
    <n v="0"/>
    <x v="1"/>
    <n v="2006"/>
  </r>
  <r>
    <x v="83"/>
    <s v="LOTE 2"/>
    <x v="5"/>
    <x v="67"/>
    <x v="2"/>
    <x v="0"/>
    <s v="KR 2 10 46"/>
    <n v="575600102505"/>
    <s v="CONSENTIDOS"/>
    <n v="1"/>
    <n v="200"/>
    <m/>
    <n v="2006"/>
    <s v="ARTÍCULO 34 CONTRATACIÓN CON EL REGISTRO ÚNICO DE OFERENTES"/>
    <m/>
    <m/>
    <x v="0"/>
    <x v="0"/>
    <x v="19"/>
    <x v="18"/>
    <n v="229159"/>
    <n v="15249"/>
    <n v="89225"/>
    <s v=" "/>
    <s v=" "/>
    <m/>
    <n v="837770000"/>
    <n v="0.02"/>
    <n v="16755400"/>
    <m/>
    <n v="14"/>
    <n v="837770000"/>
    <n v="854525400"/>
    <s v=" "/>
    <m/>
    <m/>
    <m/>
    <n v="17628600"/>
    <n v="15008600"/>
    <n v="0"/>
    <n v="805132800"/>
    <m/>
    <n v="837770000"/>
    <s v=" "/>
    <n v="118270200"/>
    <n v="100641600"/>
    <n v="100641600"/>
    <n v="100641600"/>
    <n v="100641600"/>
    <n v="100641600"/>
    <n v="100641600"/>
    <n v="115650200"/>
    <n v="837770000"/>
    <n v="0"/>
    <s v="CONTRATO COSTEADO CON ALIMENTACION"/>
    <b v="1"/>
    <n v="0"/>
    <b v="1"/>
    <n v="0"/>
    <x v="1"/>
    <n v="2006"/>
  </r>
  <r>
    <x v="84"/>
    <s v="LOTE 2"/>
    <x v="5"/>
    <x v="67"/>
    <x v="8"/>
    <x v="0"/>
    <s v="DG 07 CALLE 17 0 CENTRO DE SALUD BUENOS AIRES"/>
    <n v="57561118927"/>
    <s v="HILOS DE COLORES"/>
    <n v="1"/>
    <n v="50"/>
    <m/>
    <n v="2007"/>
    <s v="ARTÍCULO 34 CONTRATACIÓN CON EL REGISTRO ÚNICO DE OFERENTES"/>
    <m/>
    <m/>
    <x v="0"/>
    <x v="0"/>
    <x v="53"/>
    <x v="53"/>
    <n v="229160"/>
    <n v="15255"/>
    <n v="89825"/>
    <n v="7"/>
    <n v="350"/>
    <m/>
    <n v="112557550"/>
    <n v="0.02"/>
    <n v="2251151"/>
    <m/>
    <n v="1"/>
    <n v="112557550"/>
    <n v="114808701"/>
    <n v="787902850"/>
    <n v="15758057"/>
    <n v="803660907"/>
    <n v="553.49690902704606"/>
    <n v="2573150"/>
    <n v="2155800"/>
    <n v="1455000"/>
    <n v="106373600"/>
    <m/>
    <n v="112557550"/>
    <n v="787902850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2007"/>
  </r>
  <r>
    <x v="84"/>
    <s v="LOTE 2"/>
    <x v="5"/>
    <x v="67"/>
    <x v="8"/>
    <x v="0"/>
    <s v="DG 07 CALLE 17 0 CENTRO DE SALUD BUENOS AIRES"/>
    <n v="57561137480"/>
    <s v="CAPULLITOS DE AMOR"/>
    <n v="1"/>
    <n v="50"/>
    <m/>
    <n v="2007"/>
    <s v="ARTÍCULO 34 CONTRATACIÓN CON EL REGISTRO ÚNICO DE OFERENTES"/>
    <m/>
    <m/>
    <x v="0"/>
    <x v="0"/>
    <x v="53"/>
    <x v="53"/>
    <n v="229160"/>
    <n v="15255"/>
    <n v="89825"/>
    <s v=" "/>
    <s v=" "/>
    <m/>
    <n v="112557550"/>
    <n v="0.02"/>
    <n v="2251151"/>
    <m/>
    <n v="2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2007"/>
  </r>
  <r>
    <x v="84"/>
    <s v="LOTE 2"/>
    <x v="5"/>
    <x v="67"/>
    <x v="8"/>
    <x v="0"/>
    <s v="DG 07 CALLE 17 0 CENTRO DE SALUD BUENOS AIRES"/>
    <n v="57561137804"/>
    <s v="PARCHECITOS INFANTILES"/>
    <n v="1"/>
    <n v="50"/>
    <m/>
    <n v="2007"/>
    <s v="ARTÍCULO 34 CONTRATACIÓN CON EL REGISTRO ÚNICO DE OFERENTES"/>
    <m/>
    <m/>
    <x v="0"/>
    <x v="0"/>
    <x v="53"/>
    <x v="53"/>
    <n v="229160"/>
    <n v="15255"/>
    <n v="89825"/>
    <s v=" "/>
    <s v=" "/>
    <m/>
    <n v="112557550"/>
    <n v="0.02"/>
    <n v="2251151"/>
    <m/>
    <n v="3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2007"/>
  </r>
  <r>
    <x v="84"/>
    <s v="LOTE 2"/>
    <x v="5"/>
    <x v="67"/>
    <x v="8"/>
    <x v="0"/>
    <s v="DG 07 17 0 CENTRO DE SALUD BUENOS AIRES"/>
    <n v="57561137835"/>
    <s v="SUEÑOS Y FANTASIAS"/>
    <n v="1"/>
    <n v="50"/>
    <m/>
    <n v="2007"/>
    <s v="ARTÍCULO 34 CONTRATACIÓN CON EL REGISTRO ÚNICO DE OFERENTES"/>
    <m/>
    <m/>
    <x v="0"/>
    <x v="0"/>
    <x v="53"/>
    <x v="53"/>
    <n v="229160"/>
    <n v="15255"/>
    <n v="89825"/>
    <s v=" "/>
    <s v=" "/>
    <m/>
    <n v="112557550"/>
    <n v="0.02"/>
    <n v="2251151"/>
    <m/>
    <n v="4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2007"/>
  </r>
  <r>
    <x v="84"/>
    <s v="LOTE 2"/>
    <x v="5"/>
    <x v="67"/>
    <x v="8"/>
    <x v="0"/>
    <s v="DG 07 CL 17 0 CENTRO DE SALUD BUENOS AIRES"/>
    <n v="57561140951"/>
    <s v="MI NIDITO DE AMOR"/>
    <n v="1"/>
    <n v="50"/>
    <m/>
    <n v="2007"/>
    <s v="ARTÍCULO 34 CONTRATACIÓN CON EL REGISTRO ÚNICO DE OFERENTES"/>
    <m/>
    <m/>
    <x v="0"/>
    <x v="0"/>
    <x v="53"/>
    <x v="53"/>
    <n v="229160"/>
    <n v="15255"/>
    <n v="89825"/>
    <s v=" "/>
    <s v=" "/>
    <m/>
    <n v="112557550"/>
    <n v="0.02"/>
    <n v="2251151"/>
    <m/>
    <n v="5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2007"/>
  </r>
  <r>
    <x v="84"/>
    <s v="LOTE 2"/>
    <x v="5"/>
    <x v="67"/>
    <x v="8"/>
    <x v="0"/>
    <s v="DG 07 CL 17 0 CENTRO DE SALUD BUENOS AIRES"/>
    <n v="57561142007"/>
    <s v="LA CASITA DEL SOL"/>
    <n v="1"/>
    <n v="50"/>
    <m/>
    <n v="2007"/>
    <s v="ARTÍCULO 34 CONTRATACIÓN CON EL REGISTRO ÚNICO DE OFERENTES"/>
    <m/>
    <m/>
    <x v="0"/>
    <x v="0"/>
    <x v="53"/>
    <x v="53"/>
    <n v="229160"/>
    <n v="15255"/>
    <n v="89825"/>
    <s v=" "/>
    <s v=" "/>
    <m/>
    <n v="112557550"/>
    <n v="0.02"/>
    <n v="2251151"/>
    <m/>
    <n v="6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2007"/>
  </r>
  <r>
    <x v="84"/>
    <s v="LOTE 2"/>
    <x v="5"/>
    <x v="67"/>
    <x v="8"/>
    <x v="0"/>
    <s v="DG 07 CL 17 0 CENTRO DE SALUD BUENOS AIRES"/>
    <n v="57561142105"/>
    <s v="PEQUEÑO MUNDO"/>
    <n v="1"/>
    <n v="50"/>
    <m/>
    <n v="2007"/>
    <s v="ARTÍCULO 34 CONTRATACIÓN CON EL REGISTRO ÚNICO DE OFERENTES"/>
    <m/>
    <m/>
    <x v="0"/>
    <x v="0"/>
    <x v="53"/>
    <x v="53"/>
    <n v="229160"/>
    <n v="15255"/>
    <n v="89825"/>
    <s v=" "/>
    <s v=" "/>
    <m/>
    <n v="112557550"/>
    <n v="0.02"/>
    <n v="2251151"/>
    <m/>
    <n v="7"/>
    <n v="112557550"/>
    <n v="114808701"/>
    <s v=" "/>
    <m/>
    <m/>
    <m/>
    <n v="2573150"/>
    <n v="2155800"/>
    <n v="1455000"/>
    <n v="106373600"/>
    <m/>
    <n v="112557550"/>
    <s v=" "/>
    <n v="17324850"/>
    <n v="13296700"/>
    <n v="13296700"/>
    <n v="13296700"/>
    <n v="13296700"/>
    <n v="13296700"/>
    <n v="13296700"/>
    <n v="15452500"/>
    <n v="112557550"/>
    <n v="72153200"/>
    <s v="CONTRATO ADICIONAL POR ALIMENTACION"/>
    <b v="1"/>
    <n v="0"/>
    <b v="1"/>
    <n v="0"/>
    <x v="1"/>
    <n v="2007"/>
  </r>
  <r>
    <x v="85"/>
    <s v="LOTE 2"/>
    <x v="11"/>
    <x v="68"/>
    <x v="5"/>
    <x v="0"/>
    <s v="LA CAUCANA"/>
    <n v="57901117376"/>
    <s v="COLEGIO INSTITUCION EDUCATIVA LA CAUCANA1"/>
    <n v="1"/>
    <n v="157"/>
    <m/>
    <n v="2009"/>
    <s v="ARTÍCULO 34 CONTRATACIÓN CON EL REGISTRO ÚNICO DE OFERENTES"/>
    <m/>
    <m/>
    <x v="0"/>
    <x v="0"/>
    <x v="18"/>
    <x v="17"/>
    <n v="229161"/>
    <n v="15224"/>
    <n v="86925"/>
    <n v="15"/>
    <n v="783"/>
    <m/>
    <n v="342290301"/>
    <n v="0.02"/>
    <n v="6845806.0200000005"/>
    <m/>
    <n v="1"/>
    <n v="342290301"/>
    <n v="349136107.01999998"/>
    <n v="1707091119"/>
    <n v="34141822"/>
    <n v="1741232941"/>
    <n v="1199.2210179135932"/>
    <n v="7752032"/>
    <n v="6441553"/>
    <n v="4568700"/>
    <n v="323528016"/>
    <m/>
    <n v="342290301"/>
    <n v="1707091119"/>
    <n v="52761734"/>
    <n v="40441002"/>
    <n v="40441002"/>
    <n v="40441002"/>
    <n v="40441002"/>
    <n v="40441002"/>
    <n v="40441002"/>
    <n v="46882555"/>
    <n v="342290301"/>
    <n v="226561048"/>
    <s v="CONTRATO ADICIONAL POR ALIMENTACION"/>
    <b v="1"/>
    <n v="0"/>
    <b v="1"/>
    <n v="0"/>
    <x v="1"/>
    <n v="2009"/>
  </r>
  <r>
    <x v="85"/>
    <s v="LOTE 2"/>
    <x v="11"/>
    <x v="68"/>
    <x v="5"/>
    <x v="0"/>
    <s v="PIEDRAS"/>
    <n v="57901117398"/>
    <s v="C COMUNAL VEREDA PIEDRAS"/>
    <n v="1"/>
    <n v="42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91568106"/>
    <n v="0.02"/>
    <n v="1831362.12"/>
    <m/>
    <n v="2"/>
    <n v="91568106"/>
    <n v="93399468.120000005"/>
    <s v=" "/>
    <m/>
    <m/>
    <m/>
    <n v="2073792"/>
    <n v="1723218"/>
    <n v="1222200"/>
    <n v="86548896"/>
    <m/>
    <n v="91568106"/>
    <s v=" "/>
    <n v="14114604"/>
    <n v="10818612"/>
    <n v="10818612"/>
    <n v="10818612"/>
    <n v="10818612"/>
    <n v="10818612"/>
    <n v="10818612"/>
    <n v="12541830"/>
    <n v="91568106"/>
    <n v="60608688"/>
    <s v="CONTRATO ADICIONAL POR ALIMENTACION"/>
    <b v="1"/>
    <n v="0"/>
    <b v="1"/>
    <n v="0"/>
    <x v="1"/>
    <n v="2009"/>
  </r>
  <r>
    <x v="85"/>
    <s v="LOTE 2"/>
    <x v="11"/>
    <x v="68"/>
    <x v="5"/>
    <x v="0"/>
    <s v="SAN MIGUEL"/>
    <n v="57901117415"/>
    <s v="C COMUNAL SAN MIGUEL"/>
    <n v="1"/>
    <n v="95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207118335"/>
    <n v="0.02"/>
    <n v="4142366.7"/>
    <m/>
    <n v="3"/>
    <n v="207118335"/>
    <n v="211260701.69999999"/>
    <s v=" "/>
    <m/>
    <m/>
    <m/>
    <n v="4690720"/>
    <n v="3897755"/>
    <n v="2764500"/>
    <n v="195765360"/>
    <m/>
    <n v="207118335"/>
    <s v=" "/>
    <n v="31925890"/>
    <n v="24470670"/>
    <n v="24470670"/>
    <n v="24470670"/>
    <n v="24470670"/>
    <n v="24470670"/>
    <n v="24470670"/>
    <n v="28368425"/>
    <n v="207118335"/>
    <n v="137091080"/>
    <s v="CONTRATO ADICIONAL POR ALIMENTACION"/>
    <b v="1"/>
    <n v="0"/>
    <b v="1"/>
    <n v="0"/>
    <x v="1"/>
    <n v="2009"/>
  </r>
  <r>
    <x v="85"/>
    <s v="LOTE 2"/>
    <x v="11"/>
    <x v="68"/>
    <x v="5"/>
    <x v="0"/>
    <s v="CASA COMUNAL VEREDA SANTA CLARA"/>
    <n v="57901137166"/>
    <s v="ESCUELA SANTA CLARA VEREDASANTACLARA"/>
    <n v="1"/>
    <n v="23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50144439"/>
    <n v="0.02"/>
    <n v="1002888.78"/>
    <m/>
    <n v="4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O ADICIONAL POR ALIMENTACION"/>
    <b v="1"/>
    <n v="0"/>
    <b v="1"/>
    <n v="0"/>
    <x v="1"/>
    <n v="2009"/>
  </r>
  <r>
    <x v="85"/>
    <s v="LOTE 2"/>
    <x v="11"/>
    <x v="68"/>
    <x v="5"/>
    <x v="0"/>
    <s v="ESCUELA KILOMETRO 3 TRONCAL"/>
    <n v="57901138038"/>
    <s v="ESCUELA KILOMETRO 3 TRONCAL"/>
    <n v="1"/>
    <n v="24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52324632"/>
    <n v="0.02"/>
    <n v="1046492.64"/>
    <m/>
    <n v="5"/>
    <n v="52324632"/>
    <n v="53371124.640000001"/>
    <s v=" "/>
    <m/>
    <m/>
    <m/>
    <n v="1185024"/>
    <n v="984696"/>
    <n v="698400"/>
    <n v="49456512"/>
    <m/>
    <n v="52324632"/>
    <s v=" "/>
    <n v="8065488"/>
    <n v="6182064"/>
    <n v="6182064"/>
    <n v="6182064"/>
    <n v="6182064"/>
    <n v="6182064"/>
    <n v="6182064"/>
    <n v="7166760"/>
    <n v="52324632"/>
    <n v="34633536"/>
    <s v="CONTRATO ADICIONAL POR ALIMENTACION"/>
    <b v="1"/>
    <n v="0"/>
    <b v="1"/>
    <n v="0"/>
    <x v="1"/>
    <n v="2009"/>
  </r>
  <r>
    <x v="85"/>
    <s v="LOTE 2"/>
    <x v="11"/>
    <x v="68"/>
    <x v="5"/>
    <x v="0"/>
    <s v="VEREDA CORRALES"/>
    <n v="57901147302"/>
    <s v="ESCUELA CORRALES"/>
    <n v="1"/>
    <n v="20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43603860"/>
    <n v="0.02"/>
    <n v="872077.20000000007"/>
    <m/>
    <n v="6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2009"/>
  </r>
  <r>
    <x v="85"/>
    <s v="LOTE 2"/>
    <x v="11"/>
    <x v="68"/>
    <x v="5"/>
    <x v="0"/>
    <s v="CORREGIMIENTO PUERTO ANTIOQUIA"/>
    <n v="57901147351"/>
    <s v="ESCUELA PUERTO ANTIOQUIA"/>
    <n v="1"/>
    <n v="25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54504825"/>
    <n v="0.02"/>
    <n v="1090096.5"/>
    <m/>
    <n v="7"/>
    <n v="54504825"/>
    <n v="55594921.5"/>
    <s v=" "/>
    <m/>
    <m/>
    <m/>
    <n v="1234400"/>
    <n v="1025725"/>
    <n v="727500"/>
    <n v="51517200"/>
    <m/>
    <n v="54504825"/>
    <s v=" "/>
    <n v="8401550"/>
    <n v="6439650"/>
    <n v="6439650"/>
    <n v="6439650"/>
    <n v="6439650"/>
    <n v="6439650"/>
    <n v="6439650"/>
    <n v="7465375"/>
    <n v="54504825"/>
    <n v="36076600"/>
    <s v="CONTRATO ADICIONAL POR ALIMENTACION"/>
    <b v="1"/>
    <n v="0"/>
    <b v="1"/>
    <n v="0"/>
    <x v="1"/>
    <n v="2009"/>
  </r>
  <r>
    <x v="85"/>
    <s v="LOTE 2"/>
    <x v="11"/>
    <x v="68"/>
    <x v="5"/>
    <x v="0"/>
    <s v="KILOMETRO 8"/>
    <n v="57901147356"/>
    <s v="ESCUELA KILOMETRO 8"/>
    <n v="1"/>
    <n v="25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54504825"/>
    <n v="0.02"/>
    <n v="1090096.5"/>
    <m/>
    <n v="8"/>
    <n v="54504825"/>
    <n v="55594921.5"/>
    <s v=" "/>
    <m/>
    <m/>
    <m/>
    <n v="1234400"/>
    <n v="1025725"/>
    <n v="727500"/>
    <n v="51517200"/>
    <m/>
    <n v="54504825"/>
    <s v=" "/>
    <n v="8401550"/>
    <n v="6439650"/>
    <n v="6439650"/>
    <n v="6439650"/>
    <n v="6439650"/>
    <n v="6439650"/>
    <n v="6439650"/>
    <n v="7465375"/>
    <n v="54504825"/>
    <n v="36076600"/>
    <s v="CONTRATO ADICIONAL POR ALIMENTACION"/>
    <b v="1"/>
    <n v="0"/>
    <b v="1"/>
    <n v="0"/>
    <x v="1"/>
    <n v="2009"/>
  </r>
  <r>
    <x v="85"/>
    <s v="LOTE 2"/>
    <x v="11"/>
    <x v="68"/>
    <x v="5"/>
    <x v="0"/>
    <s v="TARAZÁ"/>
    <n v="57901147360"/>
    <s v="ESCUELA EL EMBATERADO"/>
    <n v="1"/>
    <n v="25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54504825"/>
    <n v="0.02"/>
    <n v="1090096.5"/>
    <m/>
    <n v="9"/>
    <n v="54504825"/>
    <n v="55594921.5"/>
    <s v=" "/>
    <m/>
    <m/>
    <m/>
    <n v="1234400"/>
    <n v="1025725"/>
    <n v="727500"/>
    <n v="51517200"/>
    <m/>
    <n v="54504825"/>
    <s v=" "/>
    <n v="8401550"/>
    <n v="6439650"/>
    <n v="6439650"/>
    <n v="6439650"/>
    <n v="6439650"/>
    <n v="6439650"/>
    <n v="6439650"/>
    <n v="7465375"/>
    <n v="54504825"/>
    <n v="36076600"/>
    <s v="CONTRATO ADICIONAL POR ALIMENTACION"/>
    <b v="1"/>
    <n v="0"/>
    <b v="1"/>
    <n v="0"/>
    <x v="1"/>
    <n v="2009"/>
  </r>
  <r>
    <x v="85"/>
    <s v="LOTE 2"/>
    <x v="11"/>
    <x v="68"/>
    <x v="5"/>
    <x v="0"/>
    <s v="VEREDA REPLANES"/>
    <n v="57901147364"/>
    <s v="ESCUELA LA PAILA"/>
    <n v="1"/>
    <n v="23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50144439"/>
    <n v="0.02"/>
    <n v="1002888.78"/>
    <m/>
    <n v="10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O ADICIONAL POR ALIMENTACION"/>
    <b v="1"/>
    <n v="0"/>
    <b v="1"/>
    <n v="0"/>
    <x v="1"/>
    <n v="2009"/>
  </r>
  <r>
    <x v="85"/>
    <s v="LOTE 2"/>
    <x v="11"/>
    <x v="68"/>
    <x v="5"/>
    <x v="0"/>
    <s v="VEREDA BARRO BLANCO"/>
    <n v="57901148723"/>
    <s v="C COMUNAL BARRO BLANCO"/>
    <n v="1"/>
    <n v="147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320488371"/>
    <n v="0.02"/>
    <n v="6409767.4199999999"/>
    <m/>
    <n v="11"/>
    <n v="320488371"/>
    <n v="326898138.42000002"/>
    <s v=" "/>
    <m/>
    <m/>
    <m/>
    <n v="7258272"/>
    <n v="6031263"/>
    <n v="4277700"/>
    <n v="302921136"/>
    <m/>
    <n v="320488371"/>
    <s v=" "/>
    <n v="49401114"/>
    <n v="37865142"/>
    <n v="37865142"/>
    <n v="37865142"/>
    <n v="37865142"/>
    <n v="37865142"/>
    <n v="37865142"/>
    <n v="43896405"/>
    <n v="320488371"/>
    <n v="212130408"/>
    <s v="CONTRATO ADICIONAL POR ALIMENTACION"/>
    <b v="1"/>
    <n v="0"/>
    <b v="1"/>
    <n v="0"/>
    <x v="1"/>
    <n v="2009"/>
  </r>
  <r>
    <x v="85"/>
    <s v="LOTE 2"/>
    <x v="11"/>
    <x v="68"/>
    <x v="5"/>
    <x v="0"/>
    <s v="EL GUAIMARO"/>
    <n v="57901148725"/>
    <s v="C COMUNAL EL GUAIMARO"/>
    <n v="1"/>
    <n v="23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50144439"/>
    <n v="0.02"/>
    <n v="1002888.78"/>
    <m/>
    <n v="12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O ADICIONAL POR ALIMENTACION"/>
    <b v="1"/>
    <n v="0"/>
    <b v="1"/>
    <n v="0"/>
    <x v="1"/>
    <n v="2009"/>
  </r>
  <r>
    <x v="85"/>
    <s v="LOTE 2"/>
    <x v="11"/>
    <x v="68"/>
    <x v="5"/>
    <x v="0"/>
    <s v="DORADAS ALTAS"/>
    <n v="57901151428"/>
    <s v="C COMUNAL DORADAS ALTAS"/>
    <n v="1"/>
    <n v="19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41423667"/>
    <n v="0.02"/>
    <n v="828473.34"/>
    <m/>
    <n v="13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2009"/>
  </r>
  <r>
    <x v="85"/>
    <s v="LOTE 2"/>
    <x v="11"/>
    <x v="68"/>
    <x v="5"/>
    <x v="0"/>
    <s v="PLAZOLETA EL SEÑOR CAIDO KILOMETRO 12 AL LADO DEL ATRIO DE LA IGLESIA CATÓLICA EL SEÑOR CAIDO"/>
    <n v="57901152079"/>
    <s v="PLAZOLETA EL SEÑOR CAIDO KILOMETRO12"/>
    <n v="1"/>
    <n v="89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194037177"/>
    <n v="0.02"/>
    <n v="3880743.54"/>
    <m/>
    <n v="14"/>
    <n v="194037177"/>
    <n v="197917920.53999999"/>
    <s v=" "/>
    <m/>
    <m/>
    <m/>
    <n v="4394464"/>
    <n v="3651581"/>
    <n v="2589900"/>
    <n v="183401232"/>
    <m/>
    <n v="194037177"/>
    <s v=" "/>
    <n v="29909518"/>
    <n v="22925154"/>
    <n v="22925154"/>
    <n v="22925154"/>
    <n v="22925154"/>
    <n v="22925154"/>
    <n v="22925154"/>
    <n v="26576735"/>
    <n v="194037177"/>
    <n v="128432696"/>
    <s v="CONTRATO ADICIONAL POR ALIMENTACION"/>
    <b v="1"/>
    <n v="0"/>
    <b v="1"/>
    <n v="0"/>
    <x v="1"/>
    <n v="2009"/>
  </r>
  <r>
    <x v="85"/>
    <s v="LOTE 2"/>
    <x v="11"/>
    <x v="68"/>
    <x v="5"/>
    <x v="0"/>
    <s v="KILOMETRO 12 DIAGONAL A LA CANCHA DE FUTBOL LA SIBERIA"/>
    <n v="57901152080"/>
    <s v="C COMUNAL LA SIBERIA KILOMETRO12"/>
    <n v="1"/>
    <n v="46"/>
    <m/>
    <n v="2009"/>
    <s v="ARTÍCULO 34 CONTRATACIÓN CON EL REGISTRO ÚNICO DE OFERENTES"/>
    <m/>
    <m/>
    <x v="0"/>
    <x v="0"/>
    <x v="18"/>
    <x v="17"/>
    <n v="229161"/>
    <n v="15224"/>
    <n v="86925"/>
    <s v=" "/>
    <s v=" "/>
    <m/>
    <n v="100288878"/>
    <n v="0.02"/>
    <n v="2005777.56"/>
    <m/>
    <n v="15"/>
    <n v="100288878"/>
    <n v="102294655.56"/>
    <s v=" "/>
    <m/>
    <m/>
    <m/>
    <n v="2271296"/>
    <n v="1887334"/>
    <n v="1338600"/>
    <n v="94791648"/>
    <m/>
    <n v="100288878"/>
    <s v=" "/>
    <n v="15458852"/>
    <n v="11848956"/>
    <n v="11848956"/>
    <n v="11848956"/>
    <n v="11848956"/>
    <n v="11848956"/>
    <n v="11848956"/>
    <n v="13736290"/>
    <n v="100288878"/>
    <n v="66380944"/>
    <s v="CONTRATO ADICIONAL POR ALIMENTACION"/>
    <b v="1"/>
    <n v="0"/>
    <b v="1"/>
    <n v="0"/>
    <x v="1"/>
    <n v="2009"/>
  </r>
  <r>
    <x v="86"/>
    <s v="LOTE 2"/>
    <x v="0"/>
    <x v="69"/>
    <x v="4"/>
    <x v="0"/>
    <s v="KR 40 50 1 BARRIO VELEZ"/>
    <n v="58371121804"/>
    <s v="CDI VELEZ"/>
    <n v="1"/>
    <n v="100"/>
    <m/>
    <n v="2012"/>
    <s v="ARTÍCULO 34 CONTRATACIÓN CON EL REGISTRO ÚNICO DE OFERENTES"/>
    <m/>
    <m/>
    <x v="0"/>
    <x v="0"/>
    <x v="0"/>
    <x v="0"/>
    <n v="229960"/>
    <e v="#N/A"/>
    <e v="#N/A"/>
    <n v="6"/>
    <n v="510"/>
    <m/>
    <n v="432940200"/>
    <n v="0.02"/>
    <n v="8658804"/>
    <m/>
    <n v="1"/>
    <n v="432940200"/>
    <n v="441599004"/>
    <n v="2048776140"/>
    <n v="40975523"/>
    <n v="2089751663"/>
    <n v="1439.2526448893573"/>
    <n v="8814300"/>
    <n v="7504300"/>
    <n v="0"/>
    <n v="416621600"/>
    <m/>
    <n v="432940200"/>
    <n v="2048776140"/>
    <n v="60892000"/>
    <n v="52077700"/>
    <n v="52077700"/>
    <n v="52077700"/>
    <n v="52077700"/>
    <n v="52077700"/>
    <n v="52077700"/>
    <n v="59582000"/>
    <n v="432940200"/>
    <n v="0"/>
    <s v="CONTRATO COSTEADO CON ALIMENTACION"/>
    <b v="1"/>
    <n v="0"/>
    <b v="1"/>
    <n v="0"/>
    <x v="0"/>
    <m/>
  </r>
  <r>
    <x v="86"/>
    <s v="LOTE 2"/>
    <x v="0"/>
    <x v="69"/>
    <x v="0"/>
    <x v="0"/>
    <s v="CORREGIMIENTO NUEVA GRANADA"/>
    <n v="58371126886"/>
    <s v="C COMUNAL NUEVA GRANADA"/>
    <n v="1"/>
    <n v="120"/>
    <m/>
    <n v="2012"/>
    <s v="ARTÍCULO 34 CONTRATACIÓN CON EL REGISTRO ÚNICO DE OFERENTES"/>
    <m/>
    <m/>
    <x v="0"/>
    <x v="0"/>
    <x v="0"/>
    <x v="0"/>
    <n v="229960"/>
    <e v="#N/A"/>
    <e v="#N/A"/>
    <s v=" "/>
    <s v=" "/>
    <m/>
    <n v="459821160"/>
    <n v="0.02"/>
    <n v="9196423.2000000011"/>
    <m/>
    <n v="2"/>
    <n v="459821160"/>
    <n v="469017583.19999999"/>
    <s v=" "/>
    <m/>
    <m/>
    <m/>
    <n v="8875800"/>
    <n v="3918120"/>
    <n v="3491880"/>
    <n v="443535360"/>
    <m/>
    <n v="459821160"/>
    <s v=" "/>
    <n v="67809600"/>
    <n v="55441920"/>
    <n v="55441920"/>
    <n v="55441920"/>
    <n v="55441920"/>
    <n v="55441920"/>
    <n v="55441920"/>
    <n v="59360040"/>
    <n v="459821160"/>
    <n v="0"/>
    <s v="CONTRATO COSTEADO CON ALIMENTACION"/>
    <b v="1"/>
    <n v="0"/>
    <b v="1"/>
    <n v="0"/>
    <x v="0"/>
    <m/>
  </r>
  <r>
    <x v="86"/>
    <s v="LOTE 2"/>
    <x v="0"/>
    <x v="69"/>
    <x v="0"/>
    <x v="0"/>
    <s v="COMUNIDAD INDIGENA CAIMAN ALTO"/>
    <n v="58371126888"/>
    <s v="C COMUNAL CAIMAN ALTO"/>
    <n v="1"/>
    <n v="60"/>
    <m/>
    <n v="2012"/>
    <s v="ARTÍCULO 34 CONTRATACIÓN CON EL REGISTRO ÚNICO DE OFERENTES"/>
    <m/>
    <m/>
    <x v="0"/>
    <x v="0"/>
    <x v="0"/>
    <x v="0"/>
    <n v="229960"/>
    <e v="#N/A"/>
    <e v="#N/A"/>
    <s v=" "/>
    <s v=" "/>
    <m/>
    <n v="229910580"/>
    <n v="0.02"/>
    <n v="4598211.6000000006"/>
    <m/>
    <n v="3"/>
    <n v="229910580"/>
    <n v="234508791.59999999"/>
    <s v=" "/>
    <m/>
    <m/>
    <m/>
    <n v="4437900"/>
    <n v="1959060"/>
    <n v="1745940"/>
    <n v="221767680"/>
    <m/>
    <n v="229910580"/>
    <s v=" "/>
    <n v="33904800"/>
    <n v="27720960"/>
    <n v="27720960"/>
    <n v="27720960"/>
    <n v="27720960"/>
    <n v="27720960"/>
    <n v="27720960"/>
    <n v="29680020"/>
    <n v="229910580"/>
    <n v="0"/>
    <s v="CONTRATO COSTEADO CON ALIMENTACION"/>
    <b v="1"/>
    <n v="0"/>
    <b v="1"/>
    <n v="0"/>
    <x v="0"/>
    <m/>
  </r>
  <r>
    <x v="86"/>
    <s v="LOTE 2"/>
    <x v="0"/>
    <x v="69"/>
    <x v="0"/>
    <x v="0"/>
    <s v="COMUNIDAD SANTACRUZ"/>
    <n v="58371150101"/>
    <s v="CASA COMUNAL SANTACRUZ"/>
    <n v="1"/>
    <n v="70"/>
    <m/>
    <n v="2012"/>
    <s v="ARTÍCULO 34 CONTRATACIÓN CON EL REGISTRO ÚNICO DE OFERENTES"/>
    <m/>
    <m/>
    <x v="0"/>
    <x v="0"/>
    <x v="0"/>
    <x v="0"/>
    <n v="229960"/>
    <e v="#N/A"/>
    <e v="#N/A"/>
    <s v=" "/>
    <s v=" "/>
    <m/>
    <n v="268229010"/>
    <n v="0.02"/>
    <n v="5364580.2"/>
    <m/>
    <n v="4"/>
    <n v="268229010"/>
    <n v="273593590.19999999"/>
    <s v=" "/>
    <m/>
    <m/>
    <m/>
    <n v="5177550"/>
    <n v="2285570"/>
    <n v="2036930"/>
    <n v="258728960"/>
    <m/>
    <n v="268229010"/>
    <s v=" "/>
    <n v="39555600"/>
    <n v="32341120"/>
    <n v="32341120"/>
    <n v="32341120"/>
    <n v="32341120"/>
    <n v="32341120"/>
    <n v="32341120"/>
    <n v="34626690"/>
    <n v="268229010"/>
    <n v="0"/>
    <s v="CONTRATO COSTEADO CON ALIMENTACION"/>
    <b v="1"/>
    <n v="0"/>
    <b v="1"/>
    <n v="0"/>
    <x v="0"/>
    <m/>
  </r>
  <r>
    <x v="86"/>
    <s v="LOTE 2"/>
    <x v="0"/>
    <x v="69"/>
    <x v="0"/>
    <x v="0"/>
    <s v="COMUNIDAD EL MANGO"/>
    <n v="58371150102"/>
    <s v="CASA PRIMERA INFANCIA EL MANGO"/>
    <n v="1"/>
    <n v="70"/>
    <m/>
    <n v="2012"/>
    <s v="ARTÍCULO 34 CONTRATACIÓN CON EL REGISTRO ÚNICO DE OFERENTES"/>
    <m/>
    <m/>
    <x v="0"/>
    <x v="0"/>
    <x v="0"/>
    <x v="0"/>
    <n v="229960"/>
    <e v="#N/A"/>
    <e v="#N/A"/>
    <s v=" "/>
    <s v=" "/>
    <m/>
    <n v="268229010"/>
    <n v="0.02"/>
    <n v="5364580.2"/>
    <m/>
    <n v="5"/>
    <n v="268229010"/>
    <n v="273593590.19999999"/>
    <s v=" "/>
    <m/>
    <m/>
    <m/>
    <n v="5177550"/>
    <n v="2285570"/>
    <n v="2036930"/>
    <n v="258728960"/>
    <m/>
    <n v="268229010"/>
    <s v=" "/>
    <n v="39555600"/>
    <n v="32341120"/>
    <n v="32341120"/>
    <n v="32341120"/>
    <n v="32341120"/>
    <n v="32341120"/>
    <n v="32341120"/>
    <n v="34626690"/>
    <n v="268229010"/>
    <n v="0"/>
    <s v="CONTRATO COSTEADO CON ALIMENTACION"/>
    <b v="1"/>
    <n v="0"/>
    <b v="1"/>
    <n v="0"/>
    <x v="0"/>
    <m/>
  </r>
  <r>
    <x v="86"/>
    <s v="LOTE 2"/>
    <x v="0"/>
    <x v="69"/>
    <x v="4"/>
    <x v="0"/>
    <s v="KR 13 97 82"/>
    <n v="583700087298"/>
    <s v="HOGAR INFANTIL RUISEÑOR"/>
    <n v="1"/>
    <n v="90"/>
    <m/>
    <n v="2012"/>
    <s v="ARTÍCULO 34 CONTRATACIÓN CON EL REGISTRO ÚNICO DE OFERENTES"/>
    <m/>
    <m/>
    <x v="0"/>
    <x v="0"/>
    <x v="0"/>
    <x v="0"/>
    <n v="229960"/>
    <e v="#N/A"/>
    <e v="#N/A"/>
    <s v=" "/>
    <s v=" "/>
    <m/>
    <n v="389646180"/>
    <n v="0.02"/>
    <n v="7792923.6000000006"/>
    <m/>
    <n v="6"/>
    <n v="389646180"/>
    <n v="397439103.60000002"/>
    <s v=" "/>
    <m/>
    <m/>
    <m/>
    <n v="7932870"/>
    <n v="6753870"/>
    <n v="0"/>
    <n v="374959440"/>
    <m/>
    <n v="389646180"/>
    <s v=" "/>
    <n v="54802800"/>
    <n v="46869930"/>
    <n v="46869930"/>
    <n v="46869930"/>
    <n v="46869930"/>
    <n v="46869930"/>
    <n v="46869930"/>
    <n v="53623800"/>
    <n v="389646180"/>
    <n v="0"/>
    <s v="CONTRATO COSTEADO CON ALIMENTACION"/>
    <b v="1"/>
    <n v="0"/>
    <b v="1"/>
    <n v="0"/>
    <x v="0"/>
    <m/>
  </r>
  <r>
    <x v="87"/>
    <s v="LOTE 2"/>
    <x v="0"/>
    <x v="69"/>
    <x v="5"/>
    <x v="0"/>
    <s v="BARRIO SAN LUIS"/>
    <n v="58371116554"/>
    <s v="CASETA EL GUAYABO RIO GRANDE SAN LUIS1"/>
    <n v="1"/>
    <n v="68"/>
    <m/>
    <n v="2013"/>
    <s v="ARTÍCULO 34 CONTRATACIÓN CON EL REGISTRO ÚNICO DE OFERENTES"/>
    <m/>
    <m/>
    <x v="0"/>
    <x v="0"/>
    <x v="32"/>
    <x v="31"/>
    <n v="229186"/>
    <n v="16474"/>
    <n v="95425"/>
    <n v="14"/>
    <n v="1051"/>
    <m/>
    <n v="148253124"/>
    <n v="0.02"/>
    <n v="2965062.48"/>
    <m/>
    <n v="1"/>
    <n v="148253124"/>
    <n v="151218186.47999999"/>
    <n v="2291382843"/>
    <n v="45827657"/>
    <n v="2337210500"/>
    <n v="1609.6823624868282"/>
    <n v="3357568"/>
    <n v="2789972"/>
    <n v="1978800"/>
    <n v="140126784"/>
    <m/>
    <n v="148253124"/>
    <n v="2291382843"/>
    <n v="22852216"/>
    <n v="17515848"/>
    <n v="17515848"/>
    <n v="17515848"/>
    <n v="17515848"/>
    <n v="17515848"/>
    <n v="17515848"/>
    <n v="20305820"/>
    <n v="148253124"/>
    <n v="98128352"/>
    <s v="CONTRATO ADICIONAL POR ALIMENTACION"/>
    <b v="1"/>
    <n v="0"/>
    <b v="1"/>
    <n v="0"/>
    <x v="2"/>
    <n v="2013"/>
  </r>
  <r>
    <x v="87"/>
    <s v="LOTE 2"/>
    <x v="0"/>
    <x v="69"/>
    <x v="5"/>
    <x v="0"/>
    <s v="MONTE VERDE UNO"/>
    <n v="58371117339"/>
    <s v="C COMUNAL MONTE VERDE 1"/>
    <n v="1"/>
    <n v="104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226740072"/>
    <n v="0.02"/>
    <n v="4534801.4400000004"/>
    <m/>
    <n v="2"/>
    <n v="226740072"/>
    <n v="231274873.44"/>
    <s v=" "/>
    <m/>
    <m/>
    <m/>
    <n v="5135104"/>
    <n v="4267016"/>
    <n v="3026400"/>
    <n v="214311552"/>
    <m/>
    <n v="226740072"/>
    <s v=" "/>
    <n v="34950448"/>
    <n v="26788944"/>
    <n v="26788944"/>
    <n v="26788944"/>
    <n v="26788944"/>
    <n v="26788944"/>
    <n v="26788944"/>
    <n v="31055960"/>
    <n v="226740072"/>
    <n v="150078656"/>
    <s v="CONTRATO ADICIONAL POR ALIMENTACION"/>
    <b v="1"/>
    <n v="0"/>
    <b v="1"/>
    <n v="0"/>
    <x v="2"/>
    <n v="2013"/>
  </r>
  <r>
    <x v="87"/>
    <s v="LOTE 2"/>
    <x v="0"/>
    <x v="69"/>
    <x v="5"/>
    <x v="0"/>
    <s v="VEREDA MONTE VERDE 2"/>
    <n v="58371117341"/>
    <s v="C COMUNAL MONTE VERDE 2"/>
    <n v="1"/>
    <n v="52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113370036"/>
    <n v="0.02"/>
    <n v="2267400.7200000002"/>
    <m/>
    <n v="3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2"/>
    <n v="2013"/>
  </r>
  <r>
    <x v="87"/>
    <s v="LOTE 2"/>
    <x v="0"/>
    <x v="69"/>
    <x v="5"/>
    <x v="0"/>
    <s v="VEREDA LA TACHUELA"/>
    <n v="58371117343"/>
    <s v="C COMUNAL LA TACHUELA"/>
    <n v="1"/>
    <n v="52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113370036"/>
    <n v="0.02"/>
    <n v="2267400.7200000002"/>
    <m/>
    <n v="4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2"/>
    <n v="2013"/>
  </r>
  <r>
    <x v="87"/>
    <s v="LOTE 2"/>
    <x v="0"/>
    <x v="69"/>
    <x v="5"/>
    <x v="0"/>
    <s v="VEREDA SANTA INES"/>
    <n v="58371117352"/>
    <s v="C COMUNAL SANTA INÉS"/>
    <n v="1"/>
    <n v="52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113370036"/>
    <n v="0.02"/>
    <n v="2267400.7200000002"/>
    <m/>
    <n v="5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2"/>
    <n v="2013"/>
  </r>
  <r>
    <x v="87"/>
    <s v="LOTE 2"/>
    <x v="0"/>
    <x v="69"/>
    <x v="5"/>
    <x v="0"/>
    <s v="VEREDA PUEBLO BELLO"/>
    <n v="58371117358"/>
    <s v="CENTRO DE SALUD PUEBLO BELLO"/>
    <n v="1"/>
    <n v="100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218019300"/>
    <n v="0.02"/>
    <n v="4360386"/>
    <m/>
    <n v="6"/>
    <n v="218019300"/>
    <n v="222379686"/>
    <s v=" "/>
    <m/>
    <m/>
    <m/>
    <n v="4937600"/>
    <n v="4102900"/>
    <n v="2910000"/>
    <n v="206068800"/>
    <m/>
    <n v="218019300"/>
    <s v=" "/>
    <n v="33606200"/>
    <n v="25758600"/>
    <n v="25758600"/>
    <n v="25758600"/>
    <n v="25758600"/>
    <n v="25758600"/>
    <n v="25758600"/>
    <n v="29861500"/>
    <n v="218019300"/>
    <n v="144306400"/>
    <s v="CONTRATO ADICIONAL POR ALIMENTACION"/>
    <b v="1"/>
    <n v="0"/>
    <b v="1"/>
    <n v="0"/>
    <x v="2"/>
    <n v="2013"/>
  </r>
  <r>
    <x v="87"/>
    <s v="LOTE 2"/>
    <x v="0"/>
    <x v="69"/>
    <x v="5"/>
    <x v="0"/>
    <s v="BARRIO CARIBE"/>
    <n v="58371117359"/>
    <s v="CASA DE GOBIERNO NUEVA COLONIA"/>
    <n v="1"/>
    <n v="67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146072931"/>
    <n v="0.02"/>
    <n v="2921458.62"/>
    <m/>
    <n v="7"/>
    <n v="146072931"/>
    <n v="148994389.62"/>
    <s v=" "/>
    <m/>
    <m/>
    <m/>
    <n v="3308192"/>
    <n v="2748943"/>
    <n v="1949700"/>
    <n v="138066096"/>
    <m/>
    <n v="146072931"/>
    <s v=" "/>
    <n v="22516154"/>
    <n v="17258262"/>
    <n v="17258262"/>
    <n v="17258262"/>
    <n v="17258262"/>
    <n v="17258262"/>
    <n v="17258262"/>
    <n v="20007205"/>
    <n v="146072931"/>
    <n v="96685288"/>
    <s v="CONTRATO ADICIONAL POR ALIMENTACION"/>
    <b v="1"/>
    <n v="0"/>
    <b v="1"/>
    <n v="0"/>
    <x v="2"/>
    <n v="2013"/>
  </r>
  <r>
    <x v="87"/>
    <s v="LOTE 2"/>
    <x v="0"/>
    <x v="69"/>
    <x v="5"/>
    <x v="0"/>
    <s v="VÍA TURBO - APARTADO CORREGIMIENTO SANTO DOMINGO"/>
    <n v="58371117382"/>
    <s v="ESCUELITA SANTO DOMINGO"/>
    <n v="1"/>
    <n v="52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113370036"/>
    <n v="0.02"/>
    <n v="2267400.7200000002"/>
    <m/>
    <n v="8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2"/>
    <n v="2013"/>
  </r>
  <r>
    <x v="87"/>
    <s v="LOTE 2"/>
    <x v="0"/>
    <x v="69"/>
    <x v="5"/>
    <x v="0"/>
    <s v="BARRIO MANIZALES"/>
    <n v="58371117411"/>
    <s v="PARROQUIA CATOLICA MANIZALE"/>
    <n v="1"/>
    <n v="50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109009650"/>
    <n v="0.02"/>
    <n v="2180193"/>
    <m/>
    <n v="9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2"/>
    <n v="2013"/>
  </r>
  <r>
    <x v="87"/>
    <s v="LOTE 2"/>
    <x v="0"/>
    <x v="69"/>
    <x v="5"/>
    <x v="0"/>
    <s v="NUEVA ANTIOQUIA"/>
    <n v="58371117418"/>
    <s v="SALON COMUNAL NUEVA ANTIOQUIA"/>
    <n v="1"/>
    <n v="50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109009650"/>
    <n v="0.02"/>
    <n v="2180193"/>
    <m/>
    <n v="10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2"/>
    <n v="2013"/>
  </r>
  <r>
    <x v="87"/>
    <s v="LOTE 2"/>
    <x v="0"/>
    <x v="69"/>
    <x v="5"/>
    <x v="0"/>
    <s v="VEREDA LA ARENERA"/>
    <n v="58371117425"/>
    <s v="SALON SOCIAL ARENERA COMUNIDADINDIGENA"/>
    <n v="1"/>
    <n v="77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167874861"/>
    <n v="0.02"/>
    <n v="3357497.22"/>
    <m/>
    <n v="11"/>
    <n v="167874861"/>
    <n v="171232358.22"/>
    <s v=" "/>
    <m/>
    <m/>
    <m/>
    <n v="3801952"/>
    <n v="3159233"/>
    <n v="2240700"/>
    <n v="158672976"/>
    <m/>
    <n v="167874861"/>
    <s v=" "/>
    <n v="25876774"/>
    <n v="19834122"/>
    <n v="19834122"/>
    <n v="19834122"/>
    <n v="19834122"/>
    <n v="19834122"/>
    <n v="19834122"/>
    <n v="22993355"/>
    <n v="167874861"/>
    <n v="111115928"/>
    <s v="CONTRATO ADICIONAL POR ALIMENTACION"/>
    <b v="1"/>
    <n v="0"/>
    <b v="1"/>
    <n v="0"/>
    <x v="2"/>
    <n v="2013"/>
  </r>
  <r>
    <x v="87"/>
    <s v="LOTE 2"/>
    <x v="0"/>
    <x v="69"/>
    <x v="5"/>
    <x v="0"/>
    <s v="VEREDA EL PORVENIR"/>
    <n v="58371137348"/>
    <s v="CASA FAMILIAR VILLAMARIA"/>
    <n v="1"/>
    <n v="50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109009650"/>
    <n v="0.02"/>
    <n v="2180193"/>
    <m/>
    <n v="12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2"/>
    <n v="2013"/>
  </r>
  <r>
    <x v="87"/>
    <s v="LOTE 2"/>
    <x v="0"/>
    <x v="69"/>
    <x v="5"/>
    <x v="0"/>
    <s v="BARRIO ANTONIO NARIÑO"/>
    <n v="58371152063"/>
    <s v="IE CURRULAO SEDE NARIÑO"/>
    <n v="1"/>
    <n v="208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453480144"/>
    <n v="0.02"/>
    <n v="9069602.8800000008"/>
    <m/>
    <n v="13"/>
    <n v="453480144"/>
    <n v="462549746.88"/>
    <s v=" "/>
    <m/>
    <m/>
    <m/>
    <n v="10270208"/>
    <n v="8534032"/>
    <n v="6052800"/>
    <n v="428623104"/>
    <m/>
    <n v="453480144"/>
    <s v=" "/>
    <n v="69900896"/>
    <n v="53577888"/>
    <n v="53577888"/>
    <n v="53577888"/>
    <n v="53577888"/>
    <n v="53577888"/>
    <n v="53577888"/>
    <n v="62111920"/>
    <n v="453480144"/>
    <n v="300157312"/>
    <s v="CONTRATO ADICIONAL POR ALIMENTACION"/>
    <b v="1"/>
    <n v="0"/>
    <b v="1"/>
    <n v="0"/>
    <x v="2"/>
    <n v="2013"/>
  </r>
  <r>
    <x v="87"/>
    <s v="LOTE 2"/>
    <x v="0"/>
    <x v="69"/>
    <x v="5"/>
    <x v="0"/>
    <s v="COMUNIDAD INDIGENA ARKUA"/>
    <n v="583700049241"/>
    <s v="CABILDO ARKUA"/>
    <n v="1"/>
    <n v="69"/>
    <m/>
    <n v="2013"/>
    <s v="ARTÍCULO 34 CONTRATACIÓN CON EL REGISTRO ÚNICO DE OFERENTES"/>
    <m/>
    <m/>
    <x v="0"/>
    <x v="0"/>
    <x v="32"/>
    <x v="31"/>
    <n v="229186"/>
    <n v="16474"/>
    <n v="95425"/>
    <s v=" "/>
    <s v=" "/>
    <m/>
    <n v="150433317"/>
    <n v="0.02"/>
    <n v="3008666.34"/>
    <m/>
    <n v="14"/>
    <n v="150433317"/>
    <n v="153441983.34"/>
    <s v=" "/>
    <m/>
    <m/>
    <m/>
    <n v="3406944"/>
    <n v="2831001"/>
    <n v="2007900"/>
    <n v="142187472"/>
    <m/>
    <n v="150433317"/>
    <s v=" "/>
    <n v="23188278"/>
    <n v="17773434"/>
    <n v="17773434"/>
    <n v="17773434"/>
    <n v="17773434"/>
    <n v="17773434"/>
    <n v="17773434"/>
    <n v="20604435"/>
    <n v="150433317"/>
    <n v="99571416"/>
    <s v="CONTRATO ADICIONAL POR ALIMENTACION"/>
    <b v="1"/>
    <n v="0"/>
    <b v="1"/>
    <n v="0"/>
    <x v="2"/>
    <n v="2013"/>
  </r>
  <r>
    <x v="88"/>
    <s v="LOTE 2"/>
    <x v="0"/>
    <x v="69"/>
    <x v="5"/>
    <x v="0"/>
    <s v="VEREDA LA TECA"/>
    <n v="56651152372"/>
    <s v="SOÑADORES"/>
    <n v="1"/>
    <n v="20"/>
    <m/>
    <n v="2014"/>
    <s v="ARTÍCULO 34 CONTRATACIÓN CON EL REGISTRO ÚNICO DE OFERENTES"/>
    <m/>
    <m/>
    <x v="0"/>
    <x v="0"/>
    <x v="26"/>
    <x v="25"/>
    <n v="229162"/>
    <n v="15250"/>
    <n v="89325"/>
    <n v="39"/>
    <n v="1039"/>
    <m/>
    <n v="43603860"/>
    <n v="0.02"/>
    <n v="872077.20000000007"/>
    <m/>
    <n v="1"/>
    <n v="43603860"/>
    <n v="44475937.200000003"/>
    <n v="2265220527"/>
    <n v="45304411"/>
    <n v="2310524938"/>
    <n v="1591.3034963119073"/>
    <n v="987520"/>
    <n v="820580"/>
    <n v="582000"/>
    <n v="41213760"/>
    <m/>
    <n v="43603860"/>
    <n v="2265220527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2014"/>
  </r>
  <r>
    <x v="88"/>
    <s v="LOTE 2"/>
    <x v="0"/>
    <x v="69"/>
    <x v="5"/>
    <x v="0"/>
    <s v="VEREDA CARACOLI"/>
    <n v="58371117335"/>
    <s v="CASA FAMILIAR NORELIA ECHEVERRIA"/>
    <n v="1"/>
    <n v="2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43603860"/>
    <n v="0.02"/>
    <n v="872077.20000000007"/>
    <m/>
    <n v="2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2014"/>
  </r>
  <r>
    <x v="88"/>
    <s v="LOTE 2"/>
    <x v="0"/>
    <x v="69"/>
    <x v="5"/>
    <x v="0"/>
    <s v="LA POLA"/>
    <n v="58371117347"/>
    <s v="CENTRO DE SALUD LA POLA"/>
    <n v="1"/>
    <n v="21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45784053"/>
    <n v="0.02"/>
    <n v="915681.06"/>
    <m/>
    <n v="3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O ADICIONAL POR ALIMENTACION"/>
    <b v="1"/>
    <n v="0"/>
    <b v="1"/>
    <n v="0"/>
    <x v="1"/>
    <n v="2014"/>
  </r>
  <r>
    <x v="88"/>
    <s v="LOTE 2"/>
    <x v="0"/>
    <x v="69"/>
    <x v="5"/>
    <x v="0"/>
    <s v="VEREDA PIEDRECITAS - CERCA A LA CANCHA"/>
    <n v="58371117350"/>
    <s v="C COMUNAL PIEDRECITA"/>
    <n v="1"/>
    <n v="5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109009650"/>
    <n v="0.02"/>
    <n v="2180193"/>
    <m/>
    <n v="4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14"/>
  </r>
  <r>
    <x v="88"/>
    <s v="LOTE 2"/>
    <x v="0"/>
    <x v="69"/>
    <x v="5"/>
    <x v="0"/>
    <s v="LITORAL VÍA NECOCLI"/>
    <n v="58371117356"/>
    <s v="CENTRO DE SALUD EL DOS"/>
    <n v="1"/>
    <n v="5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109009650"/>
    <n v="0.02"/>
    <n v="2180193"/>
    <m/>
    <n v="5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14"/>
  </r>
  <r>
    <x v="88"/>
    <s v="LOTE 2"/>
    <x v="0"/>
    <x v="69"/>
    <x v="5"/>
    <x v="0"/>
    <s v="MANUEL CUELLO"/>
    <n v="58371117361"/>
    <s v="CASA FAMILIAR MANUEL CUELLO"/>
    <n v="1"/>
    <n v="19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41423667"/>
    <n v="0.02"/>
    <n v="828473.34"/>
    <m/>
    <n v="6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2014"/>
  </r>
  <r>
    <x v="88"/>
    <s v="LOTE 2"/>
    <x v="0"/>
    <x v="69"/>
    <x v="5"/>
    <x v="0"/>
    <s v="VEREDA 7 DE AGOSTO"/>
    <n v="58371117367"/>
    <s v="LOCAL COMERCIA 7 DE AGOSTO"/>
    <n v="1"/>
    <n v="5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109009650"/>
    <n v="0.02"/>
    <n v="2180193"/>
    <m/>
    <n v="7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14"/>
  </r>
  <r>
    <x v="88"/>
    <s v="LOTE 2"/>
    <x v="0"/>
    <x v="69"/>
    <x v="5"/>
    <x v="0"/>
    <s v="MONO MACHO"/>
    <n v="58371117384"/>
    <s v="IE MONOMACHO"/>
    <n v="1"/>
    <n v="19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41423667"/>
    <n v="0.02"/>
    <n v="828473.34"/>
    <m/>
    <n v="8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1"/>
    <n v="2014"/>
  </r>
  <r>
    <x v="88"/>
    <s v="LOTE 2"/>
    <x v="0"/>
    <x v="69"/>
    <x v="5"/>
    <x v="0"/>
    <s v="VEREDA AGUAS CLARAS"/>
    <n v="58371117393"/>
    <s v="C COMUNAL AGUAS CLARAS"/>
    <n v="1"/>
    <n v="31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67585983"/>
    <n v="0.02"/>
    <n v="1351719.66"/>
    <m/>
    <n v="9"/>
    <n v="67585983"/>
    <n v="68937702.659999996"/>
    <s v=" "/>
    <m/>
    <m/>
    <m/>
    <n v="1530656"/>
    <n v="1271899"/>
    <n v="902100"/>
    <n v="63881328"/>
    <m/>
    <n v="67585983"/>
    <s v=" "/>
    <n v="10417922"/>
    <n v="7985166"/>
    <n v="7985166"/>
    <n v="7985166"/>
    <n v="7985166"/>
    <n v="7985166"/>
    <n v="7985166"/>
    <n v="9257065"/>
    <n v="67585983"/>
    <n v="44734984"/>
    <s v="CONTRATO ADICIONAL POR ALIMENTACION"/>
    <b v="1"/>
    <n v="0"/>
    <b v="1"/>
    <n v="0"/>
    <x v="1"/>
    <n v="2014"/>
  </r>
  <r>
    <x v="88"/>
    <s v="LOTE 2"/>
    <x v="0"/>
    <x v="69"/>
    <x v="5"/>
    <x v="0"/>
    <s v="VIA TURBO. NECOCLI"/>
    <n v="58371117413"/>
    <s v="IE CAMERUN"/>
    <n v="1"/>
    <n v="32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69766176"/>
    <n v="0.02"/>
    <n v="1395323.52"/>
    <m/>
    <n v="10"/>
    <n v="69766176"/>
    <n v="71161499.519999996"/>
    <s v=" "/>
    <m/>
    <m/>
    <m/>
    <n v="1580032"/>
    <n v="1312928"/>
    <n v="931200"/>
    <n v="65942016"/>
    <m/>
    <n v="69766176"/>
    <s v=" "/>
    <n v="10753984"/>
    <n v="8242752"/>
    <n v="8242752"/>
    <n v="8242752"/>
    <n v="8242752"/>
    <n v="8242752"/>
    <n v="8242752"/>
    <n v="9555680"/>
    <n v="69766176"/>
    <n v="46178048"/>
    <s v="CONTRATO ADICIONAL POR ALIMENTACION"/>
    <b v="1"/>
    <n v="0"/>
    <b v="1"/>
    <n v="0"/>
    <x v="1"/>
    <n v="2014"/>
  </r>
  <r>
    <x v="88"/>
    <s v="LOTE 2"/>
    <x v="0"/>
    <x v="69"/>
    <x v="5"/>
    <x v="0"/>
    <s v="VEREDA AMSTERCOL 2"/>
    <n v="58371117430"/>
    <s v="SALON COMUNAL COLDESA AMSTERCOL"/>
    <n v="1"/>
    <n v="18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9243474"/>
    <n v="0.02"/>
    <n v="784869.48"/>
    <m/>
    <n v="11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1"/>
    <n v="2014"/>
  </r>
  <r>
    <x v="88"/>
    <s v="LOTE 2"/>
    <x v="0"/>
    <x v="69"/>
    <x v="5"/>
    <x v="0"/>
    <s v="VEREDA COPE, VIA PRINCIPÁL"/>
    <n v="58371117433"/>
    <s v="IE PIEDRECITA SEDE COPE"/>
    <n v="1"/>
    <n v="18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9243474"/>
    <n v="0.02"/>
    <n v="784869.48"/>
    <m/>
    <n v="12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1"/>
    <n v="2014"/>
  </r>
  <r>
    <x v="88"/>
    <s v="LOTE 2"/>
    <x v="0"/>
    <x v="69"/>
    <x v="5"/>
    <x v="0"/>
    <s v="VEREDA ALTO DE MULATOS"/>
    <n v="58371136813"/>
    <s v="IE ALTO DE MULATOS"/>
    <n v="1"/>
    <n v="31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67585983"/>
    <n v="0.02"/>
    <n v="1351719.66"/>
    <m/>
    <n v="13"/>
    <n v="67585983"/>
    <n v="68937702.659999996"/>
    <s v=" "/>
    <m/>
    <m/>
    <m/>
    <n v="1530656"/>
    <n v="1271899"/>
    <n v="902100"/>
    <n v="63881328"/>
    <m/>
    <n v="67585983"/>
    <s v=" "/>
    <n v="10417922"/>
    <n v="7985166"/>
    <n v="7985166"/>
    <n v="7985166"/>
    <n v="7985166"/>
    <n v="7985166"/>
    <n v="7985166"/>
    <n v="9257065"/>
    <n v="67585983"/>
    <n v="44734984"/>
    <s v="CONTRATO ADICIONAL POR ALIMENTACION"/>
    <b v="1"/>
    <n v="0"/>
    <b v="1"/>
    <n v="0"/>
    <x v="1"/>
    <n v="2014"/>
  </r>
  <r>
    <x v="88"/>
    <s v="LOTE 2"/>
    <x v="0"/>
    <x v="69"/>
    <x v="5"/>
    <x v="0"/>
    <s v="VEREDA LA TRAMPA VÍA PRINCIPAL"/>
    <n v="58371137105"/>
    <s v="IE LA TRAMPA"/>
    <n v="1"/>
    <n v="3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65405790"/>
    <n v="0.02"/>
    <n v="1308115.8"/>
    <m/>
    <n v="14"/>
    <n v="65405790"/>
    <n v="66713905.799999997"/>
    <s v=" "/>
    <m/>
    <m/>
    <m/>
    <n v="1481280"/>
    <n v="1230870"/>
    <n v="873000"/>
    <n v="61820640"/>
    <m/>
    <n v="65405790"/>
    <s v=" "/>
    <n v="10081860"/>
    <n v="7727580"/>
    <n v="7727580"/>
    <n v="7727580"/>
    <n v="7727580"/>
    <n v="7727580"/>
    <n v="7727580"/>
    <n v="8958450"/>
    <n v="65405790"/>
    <n v="43291920"/>
    <s v="CONTRATO ADICIONAL POR ALIMENTACION"/>
    <b v="1"/>
    <n v="0"/>
    <b v="1"/>
    <n v="0"/>
    <x v="1"/>
    <n v="2014"/>
  </r>
  <r>
    <x v="88"/>
    <s v="LOTE 2"/>
    <x v="0"/>
    <x v="69"/>
    <x v="5"/>
    <x v="0"/>
    <s v="BARRIO SANTO DOMINGO"/>
    <n v="58371137312"/>
    <s v="CASETA EL TRES"/>
    <n v="1"/>
    <n v="48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104649264"/>
    <n v="0.02"/>
    <n v="2092985.28"/>
    <m/>
    <n v="15"/>
    <n v="104649264"/>
    <n v="106742249.28"/>
    <s v=" "/>
    <m/>
    <m/>
    <m/>
    <n v="2370048"/>
    <n v="1969392"/>
    <n v="1396800"/>
    <n v="98913024"/>
    <m/>
    <n v="104649264"/>
    <s v=" "/>
    <n v="16130976"/>
    <n v="12364128"/>
    <n v="12364128"/>
    <n v="12364128"/>
    <n v="12364128"/>
    <n v="12364128"/>
    <n v="12364128"/>
    <n v="14333520"/>
    <n v="104649264"/>
    <n v="69267072"/>
    <s v="CONTRATO ADICIONAL POR ALIMENTACION"/>
    <b v="1"/>
    <n v="0"/>
    <b v="1"/>
    <n v="0"/>
    <x v="1"/>
    <n v="2014"/>
  </r>
  <r>
    <x v="88"/>
    <s v="LOTE 2"/>
    <x v="0"/>
    <x v="69"/>
    <x v="5"/>
    <x v="0"/>
    <s v="VEREDA TIE"/>
    <n v="58371137350"/>
    <s v="C COMUNAL TIE"/>
    <n v="1"/>
    <n v="17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7063281"/>
    <n v="0.02"/>
    <n v="741265.62"/>
    <m/>
    <n v="16"/>
    <n v="37063281"/>
    <n v="37804546.619999997"/>
    <s v=" "/>
    <m/>
    <m/>
    <m/>
    <n v="839392"/>
    <n v="697493"/>
    <n v="494700"/>
    <n v="35031696"/>
    <m/>
    <n v="37063281"/>
    <s v=" "/>
    <n v="5713054"/>
    <n v="4378962"/>
    <n v="4378962"/>
    <n v="4378962"/>
    <n v="4378962"/>
    <n v="4378962"/>
    <n v="4378962"/>
    <n v="5076455"/>
    <n v="37063281"/>
    <n v="24532088"/>
    <s v="CONTRATO ADICIONAL POR ALIMENTACION"/>
    <b v="1"/>
    <n v="0"/>
    <b v="1"/>
    <n v="0"/>
    <x v="1"/>
    <n v="2014"/>
  </r>
  <r>
    <x v="88"/>
    <s v="LOTE 2"/>
    <x v="0"/>
    <x v="69"/>
    <x v="5"/>
    <x v="0"/>
    <s v="VEREDA PUYITA"/>
    <n v="58371144607"/>
    <s v="C COMUNAL PUYA MEDIA"/>
    <n v="1"/>
    <n v="5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109009650"/>
    <n v="0.02"/>
    <n v="2180193"/>
    <m/>
    <n v="17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14"/>
  </r>
  <r>
    <x v="88"/>
    <s v="LOTE 2"/>
    <x v="0"/>
    <x v="69"/>
    <x v="5"/>
    <x v="0"/>
    <s v="VEREDA PUYITA"/>
    <n v="58371144616"/>
    <s v="C COMUNAL PUYITA"/>
    <n v="1"/>
    <n v="5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109009650"/>
    <n v="0.02"/>
    <n v="2180193"/>
    <m/>
    <n v="18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14"/>
  </r>
  <r>
    <x v="88"/>
    <s v="LOTE 2"/>
    <x v="0"/>
    <x v="69"/>
    <x v="5"/>
    <x v="0"/>
    <s v="NUEVO ANTIOQUIA - SIMON BOLIVAR"/>
    <n v="58371147188"/>
    <s v="C COMUNAL NUEVO ANTIOQUIA"/>
    <n v="1"/>
    <n v="5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109009650"/>
    <n v="0.02"/>
    <n v="2180193"/>
    <m/>
    <n v="19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14"/>
  </r>
  <r>
    <x v="88"/>
    <s v="LOTE 2"/>
    <x v="0"/>
    <x v="69"/>
    <x v="5"/>
    <x v="0"/>
    <s v="KM 30 VÍA PRINCIPAL HACIA APARTADO"/>
    <n v="58371150182"/>
    <s v="SALON COMUNAL PALMITA AMSTERCOL"/>
    <n v="1"/>
    <n v="5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109009650"/>
    <n v="0.02"/>
    <n v="2180193"/>
    <m/>
    <n v="20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1"/>
    <n v="2014"/>
  </r>
  <r>
    <x v="88"/>
    <s v="LOTE 2"/>
    <x v="0"/>
    <x v="69"/>
    <x v="5"/>
    <x v="0"/>
    <s v="VEREDA TECA"/>
    <n v="58371152357"/>
    <s v="ESTRELLITAS"/>
    <n v="1"/>
    <n v="2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43603860"/>
    <n v="0.02"/>
    <n v="872077.20000000007"/>
    <m/>
    <n v="21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2014"/>
  </r>
  <r>
    <x v="88"/>
    <s v="LOTE 2"/>
    <x v="0"/>
    <x v="69"/>
    <x v="5"/>
    <x v="0"/>
    <s v="CORREGIMIENTO RIOGRANDE"/>
    <n v="58371152366"/>
    <s v="AVENTURA MAGICA"/>
    <n v="1"/>
    <n v="2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43603860"/>
    <n v="0.02"/>
    <n v="872077.20000000007"/>
    <m/>
    <n v="22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2014"/>
  </r>
  <r>
    <x v="88"/>
    <s v="LOTE 2"/>
    <x v="0"/>
    <x v="69"/>
    <x v="5"/>
    <x v="0"/>
    <s v="VEREDA COQUITO"/>
    <n v="58371152367"/>
    <s v="AMIGUITOS DE JESUS "/>
    <n v="1"/>
    <n v="2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43603860"/>
    <n v="0.02"/>
    <n v="872077.20000000007"/>
    <m/>
    <n v="23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2014"/>
  </r>
  <r>
    <x v="88"/>
    <s v="LOTE 2"/>
    <x v="0"/>
    <x v="69"/>
    <x v="5"/>
    <x v="0"/>
    <s v="VEREDA COQUITOS"/>
    <n v="58371152369"/>
    <s v="SEMILLITAS DE AMOR"/>
    <n v="1"/>
    <n v="2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43603860"/>
    <n v="0.02"/>
    <n v="872077.20000000007"/>
    <m/>
    <n v="2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2014"/>
  </r>
  <r>
    <x v="88"/>
    <s v="LOTE 2"/>
    <x v="0"/>
    <x v="69"/>
    <x v="5"/>
    <x v="0"/>
    <s v="VEREDA CALLE LARGA"/>
    <n v="58371152370"/>
    <s v="RAYITOS DEL SOL"/>
    <n v="1"/>
    <n v="2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43603860"/>
    <n v="0.02"/>
    <n v="872077.20000000007"/>
    <m/>
    <n v="25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2014"/>
  </r>
  <r>
    <x v="88"/>
    <s v="LOTE 2"/>
    <x v="0"/>
    <x v="69"/>
    <x v="5"/>
    <x v="0"/>
    <s v="VEREDA CAMERUN PLAYA"/>
    <n v="58371152371"/>
    <s v="LUCERITOS"/>
    <n v="1"/>
    <n v="2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43603860"/>
    <n v="0.02"/>
    <n v="872077.20000000007"/>
    <m/>
    <n v="26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2014"/>
  </r>
  <r>
    <x v="88"/>
    <s v="LOTE 2"/>
    <x v="0"/>
    <x v="69"/>
    <x v="5"/>
    <x v="0"/>
    <s v="VEREDA LA UNION"/>
    <n v="58371152373"/>
    <s v="CULTIVANDO AMOR"/>
    <n v="1"/>
    <n v="20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43603860"/>
    <n v="0.02"/>
    <n v="872077.20000000007"/>
    <m/>
    <n v="27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2014"/>
  </r>
  <r>
    <x v="88"/>
    <s v="LOTE 2"/>
    <x v="0"/>
    <x v="69"/>
    <x v="5"/>
    <x v="0"/>
    <s v="VEREDA PARAISO TULAPA"/>
    <n v="58371152374"/>
    <s v="BENDECIDOS"/>
    <n v="1"/>
    <n v="16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4883088"/>
    <n v="0.02"/>
    <n v="697661.76"/>
    <m/>
    <n v="28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2014"/>
  </r>
  <r>
    <x v="88"/>
    <s v="LOTE 2"/>
    <x v="0"/>
    <x v="69"/>
    <x v="5"/>
    <x v="0"/>
    <s v="VEREDA PUERTO RICO"/>
    <n v="58371152375"/>
    <s v="PILARES DEL SABER"/>
    <n v="1"/>
    <n v="16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4883088"/>
    <n v="0.02"/>
    <n v="697661.76"/>
    <m/>
    <n v="29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2014"/>
  </r>
  <r>
    <x v="88"/>
    <s v="LOTE 2"/>
    <x v="0"/>
    <x v="69"/>
    <x v="5"/>
    <x v="0"/>
    <s v="VEREDA SAN PABLO"/>
    <n v="58371152376"/>
    <s v="MANOS CREATIVAS"/>
    <n v="1"/>
    <n v="16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4883088"/>
    <n v="0.02"/>
    <n v="697661.76"/>
    <m/>
    <n v="30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2014"/>
  </r>
  <r>
    <x v="88"/>
    <s v="LOTE 2"/>
    <x v="0"/>
    <x v="69"/>
    <x v="5"/>
    <x v="0"/>
    <s v="VEREDA PARAISO TULAPA"/>
    <n v="58371152377"/>
    <s v="FÉ Y ALEGRIA"/>
    <n v="1"/>
    <n v="16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4883088"/>
    <n v="0.02"/>
    <n v="697661.76"/>
    <m/>
    <n v="31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2014"/>
  </r>
  <r>
    <x v="88"/>
    <s v="LOTE 2"/>
    <x v="0"/>
    <x v="69"/>
    <x v="5"/>
    <x v="0"/>
    <s v="VEREDA SAN PABLO"/>
    <n v="58371152378"/>
    <s v="LA ALEGRIA"/>
    <n v="1"/>
    <n v="16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4883088"/>
    <n v="0.02"/>
    <n v="697661.76"/>
    <m/>
    <n v="32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2014"/>
  </r>
  <r>
    <x v="88"/>
    <s v="LOTE 2"/>
    <x v="0"/>
    <x v="69"/>
    <x v="5"/>
    <x v="0"/>
    <s v="VEREDA SAN PABLO"/>
    <n v="58371152379"/>
    <s v="EXPLORADORES"/>
    <n v="1"/>
    <n v="16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4883088"/>
    <n v="0.02"/>
    <n v="697661.76"/>
    <m/>
    <n v="33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2014"/>
  </r>
  <r>
    <x v="88"/>
    <s v="LOTE 2"/>
    <x v="0"/>
    <x v="69"/>
    <x v="5"/>
    <x v="0"/>
    <s v="VEREDA SAN PABLO"/>
    <n v="58371152380"/>
    <s v="PEQUEÑOS GIGANTES "/>
    <n v="1"/>
    <n v="16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4883088"/>
    <n v="0.02"/>
    <n v="697661.76"/>
    <m/>
    <n v="3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2014"/>
  </r>
  <r>
    <x v="88"/>
    <s v="LOTE 2"/>
    <x v="0"/>
    <x v="69"/>
    <x v="5"/>
    <x v="0"/>
    <s v="VEREDA LOS ALPES"/>
    <n v="58371152381"/>
    <s v="UNIENDO FAMILIAS "/>
    <n v="1"/>
    <n v="16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4883088"/>
    <n v="0.02"/>
    <n v="697661.76"/>
    <m/>
    <n v="35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2014"/>
  </r>
  <r>
    <x v="88"/>
    <s v="LOTE 2"/>
    <x v="0"/>
    <x v="69"/>
    <x v="5"/>
    <x v="0"/>
    <s v="CORREGIMIENTO DE SAN JOSE DE MULATOS"/>
    <n v="58371152382"/>
    <s v="RAYITOS DE AMOR"/>
    <n v="1"/>
    <n v="16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4883088"/>
    <n v="0.02"/>
    <n v="697661.76"/>
    <m/>
    <n v="36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2014"/>
  </r>
  <r>
    <x v="88"/>
    <s v="LOTE 2"/>
    <x v="0"/>
    <x v="69"/>
    <x v="5"/>
    <x v="0"/>
    <s v="VEREDA PUEBLO BELLO"/>
    <n v="58371152383"/>
    <s v="PEQUEÑOS GIRASOLES"/>
    <n v="1"/>
    <n v="16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34883088"/>
    <n v="0.02"/>
    <n v="697661.76"/>
    <m/>
    <n v="37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2014"/>
  </r>
  <r>
    <x v="88"/>
    <s v="LOTE 2"/>
    <x v="0"/>
    <x v="69"/>
    <x v="5"/>
    <x v="0"/>
    <s v="PUNTA DE PIEDRA-TURBO NECOCLÍ KM 16, CALLE ANCHA"/>
    <n v="58371153417"/>
    <s v="CASA FAMILIAR PUNTA DE PIEDRA"/>
    <n v="1"/>
    <n v="33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71946369"/>
    <n v="0.02"/>
    <n v="1438927.3800000001"/>
    <m/>
    <n v="38"/>
    <n v="71946369"/>
    <n v="73385296.379999995"/>
    <s v=" "/>
    <m/>
    <m/>
    <m/>
    <n v="1629408"/>
    <n v="1353957"/>
    <n v="960300"/>
    <n v="68002704"/>
    <m/>
    <n v="71946369"/>
    <s v=" "/>
    <n v="11090046"/>
    <n v="8500338"/>
    <n v="8500338"/>
    <n v="8500338"/>
    <n v="8500338"/>
    <n v="8500338"/>
    <n v="8500338"/>
    <n v="9854295"/>
    <n v="71946369"/>
    <n v="47621112"/>
    <s v="CONTRATO ADICIONAL POR ALIMENTACION"/>
    <b v="1"/>
    <n v="0"/>
    <b v="1"/>
    <n v="0"/>
    <x v="1"/>
    <n v="2014"/>
  </r>
  <r>
    <x v="88"/>
    <s v="LOTE 2"/>
    <x v="0"/>
    <x v="69"/>
    <x v="5"/>
    <x v="0"/>
    <s v="KM 2 VIA TURBO APARTADO"/>
    <n v="583700104140"/>
    <s v="CASA FAMILIAR KATIA MORA CASANOVA"/>
    <n v="1"/>
    <n v="32"/>
    <m/>
    <n v="2014"/>
    <s v="ARTÍCULO 34 CONTRATACIÓN CON EL REGISTRO ÚNICO DE OFERENTES"/>
    <m/>
    <m/>
    <x v="0"/>
    <x v="0"/>
    <x v="26"/>
    <x v="25"/>
    <n v="229162"/>
    <n v="15250"/>
    <n v="89325"/>
    <s v=" "/>
    <s v=" "/>
    <m/>
    <n v="69766176"/>
    <n v="0.02"/>
    <n v="1395323.52"/>
    <m/>
    <n v="39"/>
    <n v="69766176"/>
    <n v="71161499.519999996"/>
    <s v=" "/>
    <m/>
    <m/>
    <m/>
    <n v="1580032"/>
    <n v="1312928"/>
    <n v="931200"/>
    <n v="65942016"/>
    <m/>
    <n v="69766176"/>
    <s v=" "/>
    <n v="10753984"/>
    <n v="8242752"/>
    <n v="8242752"/>
    <n v="8242752"/>
    <n v="8242752"/>
    <n v="8242752"/>
    <n v="8242752"/>
    <n v="9555680"/>
    <n v="69766176"/>
    <n v="46178048"/>
    <s v="CONTRATO ADICIONAL POR ALIMENTACION"/>
    <b v="1"/>
    <n v="0"/>
    <b v="1"/>
    <n v="0"/>
    <x v="1"/>
    <n v="2014"/>
  </r>
  <r>
    <x v="89"/>
    <s v="LOTE 2"/>
    <x v="0"/>
    <x v="69"/>
    <x v="8"/>
    <x v="0"/>
    <s v="CL 98 A 17 D 992  BOSQUE"/>
    <n v="58371116555"/>
    <s v="SALON LUDICO ESTADIO JJ TRELLEZ BOSQUE"/>
    <n v="1"/>
    <n v="51"/>
    <m/>
    <n v="2015"/>
    <s v="ARTÍCULO 34 CONTRATACIÓN CON EL REGISTRO ÚNICO DE OFERENTES"/>
    <m/>
    <m/>
    <x v="0"/>
    <x v="0"/>
    <x v="39"/>
    <x v="38"/>
    <n v="229164"/>
    <n v="15257"/>
    <n v="90025"/>
    <n v="7"/>
    <n v="415"/>
    <m/>
    <n v="114808701"/>
    <n v="0.02"/>
    <n v="2296174.02"/>
    <m/>
    <n v="1"/>
    <n v="114808701"/>
    <n v="117104875.02"/>
    <n v="934227665"/>
    <n v="18684553"/>
    <n v="952912218"/>
    <n v="656.28919213206882"/>
    <n v="2624613"/>
    <n v="2198916"/>
    <n v="1484100"/>
    <n v="108501072"/>
    <m/>
    <n v="114808701"/>
    <n v="934227665"/>
    <n v="17671347"/>
    <n v="13562634"/>
    <n v="13562634"/>
    <n v="13562634"/>
    <n v="13562634"/>
    <n v="13562634"/>
    <n v="13562634"/>
    <n v="15761550"/>
    <n v="114808701"/>
    <n v="73596264"/>
    <s v="CONTRATO ADICIONAL POR ALIMENTACION"/>
    <b v="1"/>
    <n v="0"/>
    <b v="1"/>
    <n v="0"/>
    <x v="1"/>
    <n v="2015"/>
  </r>
  <r>
    <x v="89"/>
    <s v="LOTE 2"/>
    <x v="0"/>
    <x v="69"/>
    <x v="8"/>
    <x v="0"/>
    <s v="CL 98 A 12 8"/>
    <n v="58371117388"/>
    <s v="IE OBRERO"/>
    <n v="1"/>
    <n v="52"/>
    <m/>
    <n v="2015"/>
    <s v="ARTÍCULO 34 CONTRATACIÓN CON EL REGISTRO ÚNICO DE OFERENTES"/>
    <m/>
    <m/>
    <x v="0"/>
    <x v="0"/>
    <x v="39"/>
    <x v="38"/>
    <n v="229164"/>
    <n v="15257"/>
    <n v="90025"/>
    <s v=" "/>
    <s v=" "/>
    <m/>
    <n v="117059852"/>
    <n v="0.02"/>
    <n v="2341197.04"/>
    <m/>
    <n v="2"/>
    <n v="117059852"/>
    <n v="119401049.04000001"/>
    <s v=" "/>
    <m/>
    <m/>
    <m/>
    <n v="2676076"/>
    <n v="2242032"/>
    <n v="1513200"/>
    <n v="110628544"/>
    <m/>
    <n v="117059852"/>
    <s v=" "/>
    <n v="18017844"/>
    <n v="13828568"/>
    <n v="13828568"/>
    <n v="13828568"/>
    <n v="13828568"/>
    <n v="13828568"/>
    <n v="13828568"/>
    <n v="16070600"/>
    <n v="117059852"/>
    <n v="75039328"/>
    <s v="CONTRATO ADICIONAL POR ALIMENTACION"/>
    <b v="1"/>
    <n v="0"/>
    <b v="1"/>
    <n v="0"/>
    <x v="1"/>
    <n v="2015"/>
  </r>
  <r>
    <x v="89"/>
    <s v="LOTE 2"/>
    <x v="0"/>
    <x v="69"/>
    <x v="8"/>
    <x v="0"/>
    <s v="KR 44 50 26"/>
    <n v="58371117397"/>
    <s v="CENTRO CRISTIANO CURRULAO 4"/>
    <n v="1"/>
    <n v="52"/>
    <m/>
    <n v="2015"/>
    <s v="ARTÍCULO 34 CONTRATACIÓN CON EL REGISTRO ÚNICO DE OFERENTES"/>
    <m/>
    <m/>
    <x v="0"/>
    <x v="0"/>
    <x v="39"/>
    <x v="38"/>
    <n v="229164"/>
    <n v="15257"/>
    <n v="90025"/>
    <s v=" "/>
    <s v=" "/>
    <m/>
    <n v="117059852"/>
    <n v="0.02"/>
    <n v="2341197.04"/>
    <m/>
    <n v="3"/>
    <n v="117059852"/>
    <n v="119401049.04000001"/>
    <s v=" "/>
    <m/>
    <m/>
    <m/>
    <n v="2676076"/>
    <n v="2242032"/>
    <n v="1513200"/>
    <n v="110628544"/>
    <m/>
    <n v="117059852"/>
    <s v=" "/>
    <n v="18017844"/>
    <n v="13828568"/>
    <n v="13828568"/>
    <n v="13828568"/>
    <n v="13828568"/>
    <n v="13828568"/>
    <n v="13828568"/>
    <n v="16070600"/>
    <n v="117059852"/>
    <n v="75039328"/>
    <s v="CONTRATO ADICIONAL POR ALIMENTACION"/>
    <b v="1"/>
    <n v="0"/>
    <b v="1"/>
    <n v="0"/>
    <x v="1"/>
    <n v="2015"/>
  </r>
  <r>
    <x v="89"/>
    <s v="LOTE 2"/>
    <x v="0"/>
    <x v="69"/>
    <x v="8"/>
    <x v="0"/>
    <s v="VIA APARTADO KM 10"/>
    <n v="58371137307"/>
    <s v="CASETA EL GUAYABO RIO GRANDE 2"/>
    <n v="1"/>
    <n v="52"/>
    <m/>
    <n v="2015"/>
    <s v="ARTÍCULO 34 CONTRATACIÓN CON EL REGISTRO ÚNICO DE OFERENTES"/>
    <m/>
    <m/>
    <x v="0"/>
    <x v="0"/>
    <x v="39"/>
    <x v="38"/>
    <n v="229164"/>
    <n v="15257"/>
    <n v="90025"/>
    <s v=" "/>
    <s v=" "/>
    <m/>
    <n v="117059852"/>
    <n v="0.02"/>
    <n v="2341197.04"/>
    <m/>
    <n v="4"/>
    <n v="117059852"/>
    <n v="119401049.04000001"/>
    <s v=" "/>
    <m/>
    <m/>
    <m/>
    <n v="2676076"/>
    <n v="2242032"/>
    <n v="1513200"/>
    <n v="110628544"/>
    <m/>
    <n v="117059852"/>
    <s v=" "/>
    <n v="18017844"/>
    <n v="13828568"/>
    <n v="13828568"/>
    <n v="13828568"/>
    <n v="13828568"/>
    <n v="13828568"/>
    <n v="13828568"/>
    <n v="16070600"/>
    <n v="117059852"/>
    <n v="75039328"/>
    <s v="CONTRATO ADICIONAL POR ALIMENTACION"/>
    <b v="1"/>
    <n v="0"/>
    <b v="1"/>
    <n v="0"/>
    <x v="1"/>
    <n v="2015"/>
  </r>
  <r>
    <x v="89"/>
    <s v="LOTE 2"/>
    <x v="0"/>
    <x v="69"/>
    <x v="8"/>
    <x v="0"/>
    <s v="KR 25 11 02 VIA PRINCIPAL"/>
    <n v="58371137426"/>
    <s v="CASA DE LA CULTURA LA LUCILA"/>
    <n v="1"/>
    <n v="51"/>
    <m/>
    <n v="2015"/>
    <s v="ARTÍCULO 34 CONTRATACIÓN CON EL REGISTRO ÚNICO DE OFERENTES"/>
    <m/>
    <m/>
    <x v="0"/>
    <x v="0"/>
    <x v="39"/>
    <x v="38"/>
    <n v="229164"/>
    <n v="15257"/>
    <n v="90025"/>
    <s v=" "/>
    <s v=" "/>
    <m/>
    <n v="114808701"/>
    <n v="0.02"/>
    <n v="2296174.02"/>
    <m/>
    <n v="5"/>
    <n v="114808701"/>
    <n v="117104875.02"/>
    <s v=" "/>
    <m/>
    <m/>
    <m/>
    <n v="2624613"/>
    <n v="2198916"/>
    <n v="1484100"/>
    <n v="108501072"/>
    <m/>
    <n v="114808701"/>
    <s v=" "/>
    <n v="17671347"/>
    <n v="13562634"/>
    <n v="13562634"/>
    <n v="13562634"/>
    <n v="13562634"/>
    <n v="13562634"/>
    <n v="13562634"/>
    <n v="15761550"/>
    <n v="114808701"/>
    <n v="73596264"/>
    <s v="CONTRATO ADICIONAL POR ALIMENTACION"/>
    <b v="1"/>
    <n v="0"/>
    <b v="1"/>
    <n v="0"/>
    <x v="1"/>
    <n v="2015"/>
  </r>
  <r>
    <x v="89"/>
    <s v="LOTE 2"/>
    <x v="0"/>
    <x v="69"/>
    <x v="8"/>
    <x v="0"/>
    <s v="KR 31 B 107 1"/>
    <n v="58371152064"/>
    <s v="SALON COMUNAL LA LUCILA"/>
    <n v="1"/>
    <n v="105"/>
    <m/>
    <n v="2015"/>
    <s v="ARTÍCULO 34 CONTRATACIÓN CON EL REGISTRO ÚNICO DE OFERENTES"/>
    <m/>
    <m/>
    <x v="0"/>
    <x v="0"/>
    <x v="39"/>
    <x v="38"/>
    <n v="229164"/>
    <n v="15257"/>
    <n v="90025"/>
    <s v=" "/>
    <s v=" "/>
    <m/>
    <n v="236370855"/>
    <n v="0.02"/>
    <n v="4727417.1000000006"/>
    <m/>
    <n v="6"/>
    <n v="236370855"/>
    <n v="241098272.09999999"/>
    <s v=" "/>
    <m/>
    <m/>
    <m/>
    <n v="5403615"/>
    <n v="4527180"/>
    <n v="3055500"/>
    <n v="223384560"/>
    <m/>
    <n v="236370855"/>
    <s v=" "/>
    <n v="36382185"/>
    <n v="27923070"/>
    <n v="27923070"/>
    <n v="27923070"/>
    <n v="27923070"/>
    <n v="27923070"/>
    <n v="27923070"/>
    <n v="32450250"/>
    <n v="236370855"/>
    <n v="151521720"/>
    <s v="CONTRATO ADICIONAL POR ALIMENTACION"/>
    <b v="1"/>
    <n v="0"/>
    <b v="1"/>
    <n v="0"/>
    <x v="1"/>
    <n v="2015"/>
  </r>
  <r>
    <x v="89"/>
    <s v="LOTE 2"/>
    <x v="0"/>
    <x v="69"/>
    <x v="8"/>
    <x v="0"/>
    <s v="CL 98 A 17 D 992 CIUDADELA BOLIVAR"/>
    <n v="583700104138"/>
    <s v="SALON LUDICO ESTADIO JJTRELLEZ INVASION"/>
    <n v="1"/>
    <n v="52"/>
    <m/>
    <n v="2015"/>
    <s v="ARTÍCULO 34 CONTRATACIÓN CON EL REGISTRO ÚNICO DE OFERENTES"/>
    <m/>
    <m/>
    <x v="0"/>
    <x v="0"/>
    <x v="39"/>
    <x v="38"/>
    <n v="229164"/>
    <n v="15257"/>
    <n v="90025"/>
    <s v=" "/>
    <s v=" "/>
    <m/>
    <n v="117059852"/>
    <n v="0.02"/>
    <n v="2341197.04"/>
    <m/>
    <n v="7"/>
    <n v="117059852"/>
    <n v="119401049.04000001"/>
    <s v=" "/>
    <m/>
    <m/>
    <m/>
    <n v="2676076"/>
    <n v="2242032"/>
    <n v="1513200"/>
    <n v="110628544"/>
    <m/>
    <n v="117059852"/>
    <s v=" "/>
    <n v="18017844"/>
    <n v="13828568"/>
    <n v="13828568"/>
    <n v="13828568"/>
    <n v="13828568"/>
    <n v="13828568"/>
    <n v="13828568"/>
    <n v="16070600"/>
    <n v="117059852"/>
    <n v="75039328"/>
    <s v="CONTRATO ADICIONAL POR ALIMENTACION"/>
    <b v="1"/>
    <n v="0"/>
    <b v="1"/>
    <n v="0"/>
    <x v="1"/>
    <n v="2015"/>
  </r>
  <r>
    <x v="90"/>
    <s v="LOTE 2"/>
    <x v="7"/>
    <x v="70"/>
    <x v="5"/>
    <x v="0"/>
    <s v="VEREDA CAUSE"/>
    <n v="58421136583"/>
    <s v="ESCUELA EL CAUSE"/>
    <n v="1"/>
    <n v="12"/>
    <m/>
    <n v="2016"/>
    <s v="ARTÍCULO 34 CONTRATACIÓN CON EL REGISTRO ÚNICO DE OFERENTES"/>
    <m/>
    <m/>
    <x v="0"/>
    <x v="0"/>
    <x v="34"/>
    <x v="33"/>
    <n v="229165"/>
    <n v="15226"/>
    <n v="83725"/>
    <n v="5"/>
    <n v="127"/>
    <m/>
    <n v="26162316"/>
    <n v="0.02"/>
    <n v="523246.32"/>
    <m/>
    <n v="1"/>
    <n v="26162316"/>
    <n v="26685562.32"/>
    <n v="381334675"/>
    <n v="7626694"/>
    <n v="388961369"/>
    <n v="267.8852651914296"/>
    <n v="592512"/>
    <n v="492348"/>
    <n v="349200"/>
    <n v="24728256"/>
    <m/>
    <n v="26162316"/>
    <n v="381334675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2016"/>
  </r>
  <r>
    <x v="90"/>
    <s v="LOTE 2"/>
    <x v="7"/>
    <x v="70"/>
    <x v="5"/>
    <x v="0"/>
    <s v="VEREDA  CHUPADERO"/>
    <n v="58421147315"/>
    <s v="C COMUNAL VEREDA CHUPADERO"/>
    <n v="1"/>
    <n v="22"/>
    <m/>
    <n v="2016"/>
    <s v="ARTÍCULO 34 CONTRATACIÓN CON EL REGISTRO ÚNICO DE OFERENTES"/>
    <m/>
    <m/>
    <x v="0"/>
    <x v="0"/>
    <x v="34"/>
    <x v="33"/>
    <n v="229165"/>
    <n v="15226"/>
    <n v="83725"/>
    <s v=" "/>
    <s v=" "/>
    <m/>
    <n v="47964246"/>
    <n v="0.02"/>
    <n v="959284.92"/>
    <m/>
    <n v="2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1"/>
    <n v="2016"/>
  </r>
  <r>
    <x v="90"/>
    <s v="LOTE 2"/>
    <x v="7"/>
    <x v="70"/>
    <x v="5"/>
    <x v="0"/>
    <s v="VEREDA COMINAL"/>
    <n v="58421152020"/>
    <s v="CASA COMINAL"/>
    <n v="1"/>
    <n v="20"/>
    <m/>
    <n v="2016"/>
    <s v="ARTÍCULO 34 CONTRATACIÓN CON EL REGISTRO ÚNICO DE OFERENTES"/>
    <m/>
    <m/>
    <x v="0"/>
    <x v="0"/>
    <x v="34"/>
    <x v="33"/>
    <n v="229165"/>
    <n v="15226"/>
    <n v="83725"/>
    <s v=" "/>
    <s v=" "/>
    <m/>
    <n v="43603860"/>
    <n v="0.02"/>
    <n v="872077.20000000007"/>
    <m/>
    <n v="3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2016"/>
  </r>
  <r>
    <x v="90"/>
    <s v="LOTE 2"/>
    <x v="7"/>
    <x v="70"/>
    <x v="2"/>
    <x v="0"/>
    <s v="KR 20 25 47"/>
    <n v="584200047590"/>
    <s v="BENETUSSER"/>
    <n v="1"/>
    <n v="52"/>
    <m/>
    <n v="2016"/>
    <s v="ARTÍCULO 34 CONTRATACIÓN CON EL REGISTRO ÚNICO DE OFERENTES"/>
    <m/>
    <m/>
    <x v="0"/>
    <x v="0"/>
    <x v="34"/>
    <x v="33"/>
    <n v="229165"/>
    <n v="15226"/>
    <n v="83725"/>
    <s v=" "/>
    <s v=" "/>
    <m/>
    <n v="217820200"/>
    <n v="0.02"/>
    <n v="4356404"/>
    <m/>
    <n v="4"/>
    <n v="217820200"/>
    <n v="222176604"/>
    <s v=" "/>
    <m/>
    <m/>
    <m/>
    <n v="4583436"/>
    <n v="3902236"/>
    <n v="0"/>
    <n v="209334528"/>
    <m/>
    <n v="217820200"/>
    <s v=" "/>
    <n v="30750252"/>
    <n v="26166816"/>
    <n v="26166816"/>
    <n v="26166816"/>
    <n v="26166816"/>
    <n v="26166816"/>
    <n v="26166816"/>
    <n v="30069052"/>
    <n v="217820200"/>
    <n v="0"/>
    <s v="CONTRATO COSTEADO CON ALIMENTACION"/>
    <b v="1"/>
    <n v="0"/>
    <b v="1"/>
    <n v="0"/>
    <x v="1"/>
    <n v="2016"/>
  </r>
  <r>
    <x v="90"/>
    <s v="LOTE 2"/>
    <x v="7"/>
    <x v="70"/>
    <x v="5"/>
    <x v="0"/>
    <s v="ZONA URBANA"/>
    <n v="584200104744"/>
    <s v="PARQUE EDUCATIVO URAMITA UTIMEC"/>
    <n v="1"/>
    <n v="21"/>
    <m/>
    <n v="2016"/>
    <s v="ARTÍCULO 34 CONTRATACIÓN CON EL REGISTRO ÚNICO DE OFERENTES"/>
    <m/>
    <m/>
    <x v="0"/>
    <x v="0"/>
    <x v="34"/>
    <x v="33"/>
    <n v="229165"/>
    <n v="15226"/>
    <n v="83725"/>
    <s v=" "/>
    <s v=" "/>
    <m/>
    <n v="45784053"/>
    <n v="0.02"/>
    <n v="915681.06"/>
    <m/>
    <n v="5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O ADICIONAL POR ALIMENTACION"/>
    <b v="1"/>
    <n v="0"/>
    <b v="1"/>
    <n v="0"/>
    <x v="1"/>
    <n v="2016"/>
  </r>
  <r>
    <x v="91"/>
    <s v="LOTE 2"/>
    <x v="0"/>
    <x v="71"/>
    <x v="10"/>
    <x v="0"/>
    <s v="VEREDA GUAGUA"/>
    <n v="54751118881"/>
    <s v="SALON COMUNAL GUAGUA"/>
    <n v="1"/>
    <n v="125"/>
    <m/>
    <n v="2021"/>
    <s v="ARTÍCULO 34 CONTRATACIÓN CON EL REGISTRO ÚNICO DE OFERENTES"/>
    <m/>
    <m/>
    <x v="0"/>
    <x v="0"/>
    <x v="56"/>
    <x v="56"/>
    <e v="#N/A"/>
    <e v="#N/A"/>
    <e v="#N/A"/>
    <n v="12"/>
    <n v="789"/>
    <m/>
    <n v="315878375"/>
    <n v="0.02"/>
    <n v="6317567.5"/>
    <m/>
    <n v="1"/>
    <n v="315878375"/>
    <n v="322195942.5"/>
    <n v="2059260944"/>
    <n v="41185219"/>
    <n v="2100446163"/>
    <n v="1446.6181552511416"/>
    <n v="9245625"/>
    <n v="4081375"/>
    <n v="3637375"/>
    <n v="298914000"/>
    <m/>
    <n v="315878375"/>
    <n v="2059260944"/>
    <n v="50247250"/>
    <n v="37364250"/>
    <n v="37364250"/>
    <n v="37364250"/>
    <n v="37364250"/>
    <n v="37364250"/>
    <n v="37364250"/>
    <n v="41445625"/>
    <n v="315878375"/>
    <n v="163102000"/>
    <s v="CONTRATO ADICIONAL POR ALIMENTACION"/>
    <b v="1"/>
    <n v="0"/>
    <b v="1"/>
    <n v="0"/>
    <x v="3"/>
    <n v="2021"/>
  </r>
  <r>
    <x v="91"/>
    <s v="LOTE 2"/>
    <x v="0"/>
    <x v="71"/>
    <x v="11"/>
    <x v="0"/>
    <s v="POBLADO"/>
    <n v="54751118885"/>
    <s v="CDI MURINDO"/>
    <n v="1"/>
    <n v="89"/>
    <m/>
    <n v="2021"/>
    <s v="ARTÍCULO 34 CONTRATACIÓN CON EL REGISTRO ÚNICO DE OFERENTES"/>
    <m/>
    <m/>
    <x v="0"/>
    <x v="0"/>
    <x v="56"/>
    <x v="56"/>
    <e v="#N/A"/>
    <e v="#N/A"/>
    <e v="#N/A"/>
    <s v=" "/>
    <s v=" "/>
    <m/>
    <n v="231757068"/>
    <n v="0.02"/>
    <n v="4635141.3600000003"/>
    <m/>
    <n v="2"/>
    <n v="231757068"/>
    <n v="236392209.36000001"/>
    <s v=" "/>
    <m/>
    <m/>
    <m/>
    <n v="5895716"/>
    <n v="2511669"/>
    <n v="2589811"/>
    <n v="220759872"/>
    <m/>
    <n v="231757068"/>
    <s v=" "/>
    <n v="36080511"/>
    <n v="27594984"/>
    <n v="27594984"/>
    <n v="27594984"/>
    <n v="27594984"/>
    <n v="27594984"/>
    <n v="27594984"/>
    <n v="30106653"/>
    <n v="231757068"/>
    <n v="112737368"/>
    <s v="CONTRATO ADICIONAL POR ALIMENTACION"/>
    <b v="1"/>
    <n v="0"/>
    <b v="1"/>
    <n v="0"/>
    <x v="3"/>
    <n v="2021"/>
  </r>
  <r>
    <x v="91"/>
    <s v="LOTE 2"/>
    <x v="0"/>
    <x v="71"/>
    <x v="10"/>
    <x v="0"/>
    <s v="CAMPO ALEGRE"/>
    <n v="54751118886"/>
    <s v="ESCUELA RURAL TADIA CAMPO ALEGRE"/>
    <n v="1"/>
    <n v="43"/>
    <m/>
    <n v="2021"/>
    <s v="ARTÍCULO 34 CONTRATACIÓN CON EL REGISTRO ÚNICO DE OFERENTES"/>
    <m/>
    <m/>
    <x v="0"/>
    <x v="0"/>
    <x v="56"/>
    <x v="56"/>
    <e v="#N/A"/>
    <e v="#N/A"/>
    <e v="#N/A"/>
    <s v=" "/>
    <s v=" "/>
    <m/>
    <n v="108662161"/>
    <n v="0.02"/>
    <n v="2173243.2200000002"/>
    <m/>
    <n v="3"/>
    <n v="108662161"/>
    <n v="110835404.22"/>
    <s v=" "/>
    <m/>
    <m/>
    <m/>
    <n v="3180495"/>
    <n v="1403993"/>
    <n v="1251257"/>
    <n v="102826416"/>
    <m/>
    <n v="108662161"/>
    <s v=" "/>
    <n v="17285054"/>
    <n v="12853302"/>
    <n v="12853302"/>
    <n v="12853302"/>
    <n v="12853302"/>
    <n v="12853302"/>
    <n v="12853302"/>
    <n v="14257295"/>
    <n v="108662161"/>
    <n v="56107088"/>
    <s v="CONTRATO ADICIONAL POR ALIMENTACION"/>
    <b v="1"/>
    <n v="0"/>
    <b v="1"/>
    <n v="0"/>
    <x v="3"/>
    <n v="2021"/>
  </r>
  <r>
    <x v="91"/>
    <s v="LOTE 2"/>
    <x v="0"/>
    <x v="71"/>
    <x v="10"/>
    <x v="0"/>
    <s v="RIO MURINDO"/>
    <n v="54751118888"/>
    <s v="ESCUELA RURAL RIO MURINDO"/>
    <n v="1"/>
    <n v="80"/>
    <m/>
    <n v="2021"/>
    <s v="ARTÍCULO 34 CONTRATACIÓN CON EL REGISTRO ÚNICO DE OFERENTES"/>
    <m/>
    <m/>
    <x v="0"/>
    <x v="0"/>
    <x v="56"/>
    <x v="56"/>
    <e v="#N/A"/>
    <e v="#N/A"/>
    <e v="#N/A"/>
    <s v=" "/>
    <s v=" "/>
    <m/>
    <n v="202162160"/>
    <n v="0.02"/>
    <n v="4043243.2"/>
    <m/>
    <n v="4"/>
    <n v="202162160"/>
    <n v="206205403.19999999"/>
    <s v=" "/>
    <m/>
    <m/>
    <m/>
    <n v="5917200"/>
    <n v="2612080"/>
    <n v="2327920"/>
    <n v="191304960"/>
    <m/>
    <n v="202162160"/>
    <s v=" "/>
    <n v="32158240"/>
    <n v="23913120"/>
    <n v="23913120"/>
    <n v="23913120"/>
    <n v="23913120"/>
    <n v="23913120"/>
    <n v="23913120"/>
    <n v="26525200"/>
    <n v="202162160"/>
    <n v="104385280"/>
    <s v="CONTRATO ADICIONAL POR ALIMENTACION"/>
    <b v="1"/>
    <n v="0"/>
    <b v="1"/>
    <n v="0"/>
    <x v="3"/>
    <n v="2021"/>
  </r>
  <r>
    <x v="91"/>
    <s v="LOTE 2"/>
    <x v="0"/>
    <x v="71"/>
    <x v="10"/>
    <x v="0"/>
    <s v="VEREDA ISLA"/>
    <n v="54751119945"/>
    <s v="SALON COMUNAL ISLA DOS"/>
    <n v="1"/>
    <n v="68"/>
    <m/>
    <n v="2021"/>
    <s v="ARTÍCULO 34 CONTRATACIÓN CON EL REGISTRO ÚNICO DE OFERENTES"/>
    <m/>
    <m/>
    <x v="0"/>
    <x v="0"/>
    <x v="56"/>
    <x v="56"/>
    <e v="#N/A"/>
    <e v="#N/A"/>
    <e v="#N/A"/>
    <s v=" "/>
    <s v=" "/>
    <m/>
    <n v="171837836"/>
    <n v="0.02"/>
    <n v="3436756.72"/>
    <m/>
    <n v="5"/>
    <n v="171837836"/>
    <n v="175274592.72"/>
    <s v=" "/>
    <m/>
    <m/>
    <m/>
    <n v="5029620"/>
    <n v="2220268"/>
    <n v="1978732"/>
    <n v="162609216"/>
    <m/>
    <n v="171837836"/>
    <s v=" "/>
    <n v="27334504"/>
    <n v="20326152"/>
    <n v="20326152"/>
    <n v="20326152"/>
    <n v="20326152"/>
    <n v="20326152"/>
    <n v="20326152"/>
    <n v="22546420"/>
    <n v="171837836"/>
    <n v="88727488"/>
    <s v="CONTRATO ADICIONAL POR ALIMENTACION"/>
    <b v="1"/>
    <n v="0"/>
    <b v="1"/>
    <n v="0"/>
    <x v="3"/>
    <n v="2021"/>
  </r>
  <r>
    <x v="91"/>
    <s v="LOTE 2"/>
    <x v="0"/>
    <x v="71"/>
    <x v="10"/>
    <x v="0"/>
    <s v="ÑARANGUE"/>
    <n v="54751119946"/>
    <s v="SALON COMUNAL ÑARANGUE"/>
    <n v="1"/>
    <n v="24"/>
    <m/>
    <n v="2021"/>
    <s v="ARTÍCULO 34 CONTRATACIÓN CON EL REGISTRO ÚNICO DE OFERENTES"/>
    <m/>
    <m/>
    <x v="0"/>
    <x v="0"/>
    <x v="56"/>
    <x v="56"/>
    <e v="#N/A"/>
    <e v="#N/A"/>
    <e v="#N/A"/>
    <s v=" "/>
    <s v=" "/>
    <m/>
    <n v="60648648"/>
    <n v="0.02"/>
    <n v="1212972.96"/>
    <m/>
    <n v="6"/>
    <n v="60648648"/>
    <n v="61861620.960000001"/>
    <s v=" "/>
    <m/>
    <m/>
    <m/>
    <n v="1775160"/>
    <n v="783624"/>
    <n v="698376"/>
    <n v="57391488"/>
    <m/>
    <n v="60648648"/>
    <s v=" "/>
    <n v="9647472"/>
    <n v="7173936"/>
    <n v="7173936"/>
    <n v="7173936"/>
    <n v="7173936"/>
    <n v="7173936"/>
    <n v="7173936"/>
    <n v="7957560"/>
    <n v="60648648"/>
    <n v="31315584"/>
    <s v="CONTRATO ADICIONAL POR ALIMENTACION"/>
    <b v="1"/>
    <n v="0"/>
    <b v="1"/>
    <n v="0"/>
    <x v="3"/>
    <n v="2021"/>
  </r>
  <r>
    <x v="91"/>
    <s v="LOTE 2"/>
    <x v="0"/>
    <x v="71"/>
    <x v="10"/>
    <x v="0"/>
    <s v="COREDÓ"/>
    <n v="54751139519"/>
    <s v="C COMUNAL COREDÓ"/>
    <n v="1"/>
    <n v="33"/>
    <m/>
    <n v="2021"/>
    <s v="ARTÍCULO 34 CONTRATACIÓN CON EL REGISTRO ÚNICO DE OFERENTES"/>
    <m/>
    <m/>
    <x v="0"/>
    <x v="0"/>
    <x v="56"/>
    <x v="56"/>
    <e v="#N/A"/>
    <e v="#N/A"/>
    <e v="#N/A"/>
    <s v=" "/>
    <s v=" "/>
    <m/>
    <n v="83391891"/>
    <n v="0.02"/>
    <n v="1667837.82"/>
    <m/>
    <n v="7"/>
    <n v="83391891"/>
    <n v="85059728.819999993"/>
    <s v=" "/>
    <m/>
    <m/>
    <m/>
    <n v="2440845"/>
    <n v="1077483"/>
    <n v="960267"/>
    <n v="78913296"/>
    <m/>
    <n v="83391891"/>
    <s v=" "/>
    <n v="13265274"/>
    <n v="9864162"/>
    <n v="9864162"/>
    <n v="9864162"/>
    <n v="9864162"/>
    <n v="9864162"/>
    <n v="9864162"/>
    <n v="10941645"/>
    <n v="83391891"/>
    <n v="43058928"/>
    <s v="CONTRATO ADICIONAL POR ALIMENTACION"/>
    <b v="1"/>
    <n v="0"/>
    <b v="1"/>
    <n v="0"/>
    <x v="3"/>
    <n v="2021"/>
  </r>
  <r>
    <x v="91"/>
    <s v="LOTE 2"/>
    <x v="0"/>
    <x v="71"/>
    <x v="10"/>
    <x v="0"/>
    <s v="CHAGERADO"/>
    <n v="54751150362"/>
    <s v="CASA COMUNAL CHAGERADO"/>
    <n v="1"/>
    <n v="120"/>
    <m/>
    <n v="2021"/>
    <s v="ARTÍCULO 34 CONTRATACIÓN CON EL REGISTRO ÚNICO DE OFERENTES"/>
    <m/>
    <m/>
    <x v="0"/>
    <x v="0"/>
    <x v="56"/>
    <x v="56"/>
    <e v="#N/A"/>
    <e v="#N/A"/>
    <e v="#N/A"/>
    <s v=" "/>
    <s v=" "/>
    <m/>
    <n v="303243240"/>
    <n v="0.02"/>
    <n v="6064864.7999999998"/>
    <m/>
    <n v="8"/>
    <n v="303243240"/>
    <n v="309308104.80000001"/>
    <s v=" "/>
    <m/>
    <m/>
    <m/>
    <n v="8875800"/>
    <n v="3918120"/>
    <n v="3491880"/>
    <n v="286957440"/>
    <m/>
    <n v="303243240"/>
    <s v=" "/>
    <n v="48237360"/>
    <n v="35869680"/>
    <n v="35869680"/>
    <n v="35869680"/>
    <n v="35869680"/>
    <n v="35869680"/>
    <n v="35869680"/>
    <n v="39787800"/>
    <n v="303243240"/>
    <n v="156577920"/>
    <s v="CONTRATO ADICIONAL POR ALIMENTACION"/>
    <b v="1"/>
    <n v="0"/>
    <b v="1"/>
    <n v="0"/>
    <x v="3"/>
    <n v="2021"/>
  </r>
  <r>
    <x v="91"/>
    <s v="LOTE 2"/>
    <x v="0"/>
    <x v="71"/>
    <x v="10"/>
    <x v="0"/>
    <s v="CHIBUGADO"/>
    <n v="547500047769"/>
    <s v="SALON COMUNAL CHIBUGADO"/>
    <n v="1"/>
    <n v="37"/>
    <m/>
    <n v="2021"/>
    <s v="ARTÍCULO 34 CONTRATACIÓN CON EL REGISTRO ÚNICO DE OFERENTES"/>
    <m/>
    <m/>
    <x v="0"/>
    <x v="0"/>
    <x v="56"/>
    <x v="56"/>
    <e v="#N/A"/>
    <e v="#N/A"/>
    <e v="#N/A"/>
    <s v=" "/>
    <s v=" "/>
    <m/>
    <n v="93499999"/>
    <n v="0.02"/>
    <n v="1869999.98"/>
    <m/>
    <n v="9"/>
    <n v="93499999"/>
    <n v="95369998.980000004"/>
    <s v=" "/>
    <m/>
    <m/>
    <m/>
    <n v="2736705"/>
    <n v="1208087"/>
    <n v="1076663"/>
    <n v="88478544"/>
    <m/>
    <n v="93499999"/>
    <s v=" "/>
    <n v="14873186"/>
    <n v="11059818"/>
    <n v="11059818"/>
    <n v="11059818"/>
    <n v="11059818"/>
    <n v="11059818"/>
    <n v="11059818"/>
    <n v="12267905"/>
    <n v="93499999"/>
    <n v="48278192"/>
    <s v="CONTRATO ADICIONAL POR ALIMENTACION"/>
    <b v="1"/>
    <n v="0"/>
    <b v="1"/>
    <n v="0"/>
    <x v="3"/>
    <n v="2021"/>
  </r>
  <r>
    <x v="91"/>
    <s v="LOTE 2"/>
    <x v="0"/>
    <x v="0"/>
    <x v="7"/>
    <x v="0"/>
    <s v="ZONA ESCOLAR - PADUA"/>
    <n v="58731121802"/>
    <s v="CDI VIGIA DEL FUERTE PADUA"/>
    <n v="1"/>
    <n v="11"/>
    <m/>
    <n v="2021"/>
    <s v="ARTÍCULO 34 CONTRATACIÓN CON EL REGISTRO ÚNICO DE OFERENTES"/>
    <m/>
    <m/>
    <x v="0"/>
    <x v="0"/>
    <x v="56"/>
    <x v="56"/>
    <e v="#N/A"/>
    <e v="#N/A"/>
    <e v="#N/A"/>
    <s v=" "/>
    <s v=" "/>
    <m/>
    <n v="32523766"/>
    <n v="0.02"/>
    <n v="650475.32000000007"/>
    <m/>
    <n v="10"/>
    <n v="32523766"/>
    <n v="33174241.32"/>
    <s v=" "/>
    <m/>
    <m/>
    <m/>
    <n v="969573"/>
    <n v="825473"/>
    <n v="0"/>
    <n v="30728720"/>
    <m/>
    <n v="32523766"/>
    <s v=" "/>
    <n v="4810663"/>
    <n v="3841090"/>
    <n v="3841090"/>
    <n v="3841090"/>
    <n v="3841090"/>
    <n v="3841090"/>
    <n v="3841090"/>
    <n v="4666563"/>
    <n v="32523766"/>
    <n v="13553584"/>
    <s v="CONTRATO ADICIONAL POR ALIMENTACION"/>
    <b v="1"/>
    <n v="0"/>
    <b v="1"/>
    <n v="0"/>
    <x v="3"/>
    <n v="2021"/>
  </r>
  <r>
    <x v="91"/>
    <s v="LOTE 2"/>
    <x v="0"/>
    <x v="0"/>
    <x v="11"/>
    <x v="0"/>
    <s v="VEREDA VILLANUEVA"/>
    <n v="58731138934"/>
    <s v="C COMUNAL VILLANUEVA"/>
    <n v="1"/>
    <n v="41"/>
    <m/>
    <n v="2021"/>
    <s v="ARTÍCULO 34 CONTRATACIÓN CON EL REGISTRO ÚNICO DE OFERENTES"/>
    <m/>
    <m/>
    <x v="0"/>
    <x v="0"/>
    <x v="56"/>
    <x v="56"/>
    <e v="#N/A"/>
    <e v="#N/A"/>
    <e v="#N/A"/>
    <s v=" "/>
    <s v=" "/>
    <m/>
    <n v="106764492"/>
    <n v="0.02"/>
    <n v="2135289.84"/>
    <m/>
    <n v="11"/>
    <n v="106764492"/>
    <n v="108899781.84"/>
    <s v=" "/>
    <m/>
    <m/>
    <m/>
    <n v="2716004"/>
    <n v="1157061"/>
    <n v="1193059"/>
    <n v="101698368"/>
    <m/>
    <n v="106764492"/>
    <s v=" "/>
    <n v="16621359"/>
    <n v="12712296"/>
    <n v="12712296"/>
    <n v="12712296"/>
    <n v="12712296"/>
    <n v="12712296"/>
    <n v="12712296"/>
    <n v="13869357"/>
    <n v="106764492"/>
    <n v="51935192"/>
    <s v="CONTRATO ADICIONAL POR ALIMENTACION"/>
    <b v="1"/>
    <n v="0"/>
    <b v="1"/>
    <n v="0"/>
    <x v="3"/>
    <n v="2021"/>
  </r>
  <r>
    <x v="91"/>
    <s v="LOTE 2"/>
    <x v="0"/>
    <x v="0"/>
    <x v="7"/>
    <x v="0"/>
    <s v="TV 14 2 20 BARRIO VENEZUELA"/>
    <n v="587300032132"/>
    <s v="CDI VIGIA DEL FUERTE"/>
    <n v="1"/>
    <n v="118"/>
    <m/>
    <n v="2021"/>
    <s v="ARTÍCULO 34 CONTRATACIÓN CON EL REGISTRO ÚNICO DE OFERENTES"/>
    <m/>
    <m/>
    <x v="0"/>
    <x v="0"/>
    <x v="56"/>
    <x v="56"/>
    <e v="#N/A"/>
    <e v="#N/A"/>
    <e v="#N/A"/>
    <s v=" "/>
    <s v=" "/>
    <m/>
    <n v="348891308"/>
    <n v="0.02"/>
    <n v="6977826.1600000001"/>
    <m/>
    <n v="12"/>
    <n v="348891308"/>
    <n v="355869134.16000003"/>
    <s v=" "/>
    <m/>
    <m/>
    <m/>
    <n v="10400874"/>
    <n v="8855074"/>
    <n v="0"/>
    <n v="329635360"/>
    <m/>
    <n v="348891308"/>
    <s v=" "/>
    <n v="51605294"/>
    <n v="41204420"/>
    <n v="41204420"/>
    <n v="41204420"/>
    <n v="41204420"/>
    <n v="41204420"/>
    <n v="41204420"/>
    <n v="50059494"/>
    <n v="348891308"/>
    <n v="145392992"/>
    <s v="CONTRATO ADICIONAL POR ALIMENTACION"/>
    <b v="1"/>
    <n v="0"/>
    <b v="1"/>
    <n v="0"/>
    <x v="3"/>
    <n v="2021"/>
  </r>
  <r>
    <x v="92"/>
    <s v="LOTE 2"/>
    <x v="8"/>
    <x v="72"/>
    <x v="5"/>
    <x v="0"/>
    <s v="VEREDA SOLEDAD"/>
    <n v="55791151114"/>
    <s v="C COMUNAL LA SOLEDAD_YONDO"/>
    <n v="1"/>
    <n v="12"/>
    <m/>
    <n v="2024"/>
    <s v="ARTÍCULO 34 CONTRATACIÓN CON EL REGISTRO ÚNICO DE OFERENTES"/>
    <m/>
    <m/>
    <x v="0"/>
    <x v="0"/>
    <x v="13"/>
    <x v="13"/>
    <n v="229166"/>
    <n v="15252"/>
    <n v="89525"/>
    <n v="20"/>
    <n v="534"/>
    <m/>
    <n v="26162316"/>
    <n v="0.02"/>
    <n v="523246.32"/>
    <m/>
    <n v="1"/>
    <n v="26162316"/>
    <n v="26685562.32"/>
    <n v="1280014582"/>
    <n v="25600292"/>
    <n v="1305614874"/>
    <n v="899.20237583421147"/>
    <n v="592512"/>
    <n v="492348"/>
    <n v="349200"/>
    <n v="24728256"/>
    <m/>
    <n v="26162316"/>
    <n v="1280014582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2024"/>
  </r>
  <r>
    <x v="92"/>
    <s v="LOTE 2"/>
    <x v="8"/>
    <x v="72"/>
    <x v="5"/>
    <x v="0"/>
    <s v="CASA DE FAMILIA VEREDA  LA CAPILLA"/>
    <n v="58931117932"/>
    <s v="CASA DE FAMILIA OSITOS CARIÑOSITOS"/>
    <n v="1"/>
    <n v="12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26162316"/>
    <n v="0.02"/>
    <n v="523246.32"/>
    <m/>
    <n v="2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2024"/>
  </r>
  <r>
    <x v="92"/>
    <s v="LOTE 2"/>
    <x v="8"/>
    <x v="72"/>
    <x v="5"/>
    <x v="0"/>
    <s v="CASETA COMUNAL SAN LUIS BELTRÁN"/>
    <n v="58931117933"/>
    <s v="IE VOCES DE AMOR Y PAZ"/>
    <n v="1"/>
    <n v="15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32702895"/>
    <n v="0.02"/>
    <n v="654057.9"/>
    <m/>
    <n v="3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2024"/>
  </r>
  <r>
    <x v="92"/>
    <s v="LOTE 2"/>
    <x v="8"/>
    <x v="72"/>
    <x v="5"/>
    <x v="0"/>
    <s v="CR 44 # 46-26 BARRIO LA VICTORIA"/>
    <n v="58931135666"/>
    <s v="C COMUNAL LA VICTORIA"/>
    <n v="1"/>
    <n v="20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43603860"/>
    <n v="0.02"/>
    <n v="872077.20000000007"/>
    <m/>
    <n v="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1"/>
    <n v="2024"/>
  </r>
  <r>
    <x v="92"/>
    <s v="LOTE 2"/>
    <x v="8"/>
    <x v="72"/>
    <x v="5"/>
    <x v="0"/>
    <s v="CASETA COMUNAL DE LA VEREDA PUERTO CASABE"/>
    <n v="58931135791"/>
    <s v="C COMUNAL MI MUNDO MAGICO"/>
    <n v="1"/>
    <n v="16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34883088"/>
    <n v="0.02"/>
    <n v="697661.76"/>
    <m/>
    <n v="5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2024"/>
  </r>
  <r>
    <x v="92"/>
    <s v="LOTE 2"/>
    <x v="8"/>
    <x v="72"/>
    <x v="5"/>
    <x v="0"/>
    <s v="CL 50 53 13 BARRIO COLONIA SUR"/>
    <n v="58931135883"/>
    <s v="PARQUE EDUCATIVO_YONDO"/>
    <n v="1"/>
    <n v="61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132991773"/>
    <n v="0.02"/>
    <n v="2659835.46"/>
    <m/>
    <n v="6"/>
    <n v="132991773"/>
    <n v="135651608.46000001"/>
    <s v=" "/>
    <m/>
    <m/>
    <m/>
    <n v="3011936"/>
    <n v="2502769"/>
    <n v="1775100"/>
    <n v="125701968"/>
    <m/>
    <n v="132991773"/>
    <s v=" "/>
    <n v="20499782"/>
    <n v="15712746"/>
    <n v="15712746"/>
    <n v="15712746"/>
    <n v="15712746"/>
    <n v="15712746"/>
    <n v="15712746"/>
    <n v="18215515"/>
    <n v="132991773"/>
    <n v="88026904"/>
    <s v="CONTRATO ADICIONAL POR ALIMENTACION"/>
    <b v="1"/>
    <n v="0"/>
    <b v="1"/>
    <n v="0"/>
    <x v="1"/>
    <n v="2024"/>
  </r>
  <r>
    <x v="92"/>
    <s v="LOTE 2"/>
    <x v="8"/>
    <x v="72"/>
    <x v="5"/>
    <x v="0"/>
    <s v="VIA PRINCIPAL DE LA VEREDA KILOMETRO 5"/>
    <n v="58931135892"/>
    <s v="C COMUNAL ESTRELLITAS RUMBERAS"/>
    <n v="1"/>
    <n v="15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32702895"/>
    <n v="0.02"/>
    <n v="654057.9"/>
    <m/>
    <n v="7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2024"/>
  </r>
  <r>
    <x v="92"/>
    <s v="LOTE 2"/>
    <x v="8"/>
    <x v="72"/>
    <x v="5"/>
    <x v="0"/>
    <s v="VIA PRINCIPAL CASETA COMUNAL PUERTO LOS MANGOS"/>
    <n v="58931135986"/>
    <s v="C COMUNAL ANGELES DE AMOR"/>
    <n v="1"/>
    <n v="14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30522702"/>
    <n v="0.02"/>
    <n v="610454.04"/>
    <m/>
    <n v="8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2024"/>
  </r>
  <r>
    <x v="92"/>
    <s v="LOTE 2"/>
    <x v="8"/>
    <x v="72"/>
    <x v="5"/>
    <x v="0"/>
    <s v="POR LA PRINCIPAL AL LADO DE LA CANCHA DE TIERRA DE FUTBOL"/>
    <n v="58931135996"/>
    <s v="C COMUNAL EL TIGRE_YONDO"/>
    <n v="1"/>
    <n v="29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63225597"/>
    <n v="0.02"/>
    <n v="1264511.94"/>
    <m/>
    <n v="9"/>
    <n v="63225597"/>
    <n v="64490108.939999998"/>
    <s v=" "/>
    <m/>
    <m/>
    <m/>
    <n v="1431904"/>
    <n v="1189841"/>
    <n v="843900"/>
    <n v="59759952"/>
    <m/>
    <n v="63225597"/>
    <s v=" "/>
    <n v="9745798"/>
    <n v="7469994"/>
    <n v="7469994"/>
    <n v="7469994"/>
    <n v="7469994"/>
    <n v="7469994"/>
    <n v="7469994"/>
    <n v="8659835"/>
    <n v="63225597"/>
    <n v="41848856"/>
    <s v="CONTRATO ADICIONAL POR ALIMENTACION"/>
    <b v="1"/>
    <n v="0"/>
    <b v="1"/>
    <n v="0"/>
    <x v="1"/>
    <n v="2024"/>
  </r>
  <r>
    <x v="92"/>
    <s v="LOTE 2"/>
    <x v="8"/>
    <x v="72"/>
    <x v="5"/>
    <x v="0"/>
    <s v="ESCUELA 11 DE NOVIEMBRE"/>
    <n v="58931136007"/>
    <s v="IE CHIQUITINES"/>
    <n v="1"/>
    <n v="16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34883088"/>
    <n v="0.02"/>
    <n v="697661.76"/>
    <m/>
    <n v="10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1"/>
    <n v="2024"/>
  </r>
  <r>
    <x v="92"/>
    <s v="LOTE 2"/>
    <x v="8"/>
    <x v="72"/>
    <x v="5"/>
    <x v="0"/>
    <s v="CL 46 CON CARRERA 41 0"/>
    <n v="58931136027"/>
    <s v="C COMUNAL SUEÑOS Y RISAS"/>
    <n v="1"/>
    <n v="21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45784053"/>
    <n v="0.02"/>
    <n v="915681.06"/>
    <m/>
    <n v="11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O ADICIONAL POR ALIMENTACION"/>
    <b v="1"/>
    <n v="0"/>
    <b v="1"/>
    <n v="0"/>
    <x v="1"/>
    <n v="2024"/>
  </r>
  <r>
    <x v="92"/>
    <s v="LOTE 2"/>
    <x v="8"/>
    <x v="72"/>
    <x v="8"/>
    <x v="0"/>
    <s v="KR 55 46 16"/>
    <n v="58931136050"/>
    <s v="LUDOTECA"/>
    <n v="1"/>
    <n v="56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126064456"/>
    <n v="0.02"/>
    <n v="2521289.12"/>
    <m/>
    <n v="12"/>
    <n v="126064456"/>
    <n v="128585745.12"/>
    <s v=" "/>
    <m/>
    <m/>
    <m/>
    <n v="2881928"/>
    <n v="2414496"/>
    <n v="1629600"/>
    <n v="119138432"/>
    <m/>
    <n v="126064456"/>
    <s v=" "/>
    <n v="19403832"/>
    <n v="14892304"/>
    <n v="14892304"/>
    <n v="14892304"/>
    <n v="14892304"/>
    <n v="14892304"/>
    <n v="14892304"/>
    <n v="17306800"/>
    <n v="126064456"/>
    <n v="80811584"/>
    <s v="CONTRATO ADICIONAL POR ALIMENTACION"/>
    <b v="1"/>
    <n v="0"/>
    <b v="1"/>
    <n v="0"/>
    <x v="1"/>
    <n v="2024"/>
  </r>
  <r>
    <x v="92"/>
    <s v="LOTE 2"/>
    <x v="8"/>
    <x v="72"/>
    <x v="5"/>
    <x v="0"/>
    <s v="VEREDA LA CONDOR CASETA COMUNAL"/>
    <n v="58931136117"/>
    <s v="C COMUNAL NIÑOS FELICES"/>
    <n v="1"/>
    <n v="13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28342509"/>
    <n v="0.02"/>
    <n v="566850.18000000005"/>
    <m/>
    <n v="13"/>
    <n v="28342509"/>
    <n v="28909359.18"/>
    <s v=" "/>
    <m/>
    <m/>
    <m/>
    <n v="641888"/>
    <n v="533377"/>
    <n v="378300"/>
    <n v="26788944"/>
    <m/>
    <n v="28342509"/>
    <s v=" "/>
    <n v="4368806"/>
    <n v="3348618"/>
    <n v="3348618"/>
    <n v="3348618"/>
    <n v="3348618"/>
    <n v="3348618"/>
    <n v="3348618"/>
    <n v="3881995"/>
    <n v="28342509"/>
    <n v="18759832"/>
    <s v="CONTRATO ADICIONAL POR ALIMENTACION"/>
    <b v="1"/>
    <n v="0"/>
    <b v="1"/>
    <n v="0"/>
    <x v="1"/>
    <n v="2024"/>
  </r>
  <r>
    <x v="92"/>
    <s v="LOTE 2"/>
    <x v="8"/>
    <x v="72"/>
    <x v="5"/>
    <x v="0"/>
    <s v="VEREDA CAÑO BLANCO"/>
    <n v="58931143611"/>
    <s v="C COMUNAL CAÑO BLANCO"/>
    <n v="1"/>
    <n v="15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32702895"/>
    <n v="0.02"/>
    <n v="654057.9"/>
    <m/>
    <n v="14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2024"/>
  </r>
  <r>
    <x v="92"/>
    <s v="LOTE 2"/>
    <x v="8"/>
    <x v="72"/>
    <x v="5"/>
    <x v="0"/>
    <s v="VEREDA EL BAGRE"/>
    <n v="58931143615"/>
    <s v="C COMUNAL EL BAGRE"/>
    <n v="1"/>
    <n v="14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30522702"/>
    <n v="0.02"/>
    <n v="610454.04"/>
    <m/>
    <n v="15"/>
    <n v="30522702"/>
    <n v="31133156.039999999"/>
    <s v=" "/>
    <m/>
    <m/>
    <m/>
    <n v="691264"/>
    <n v="574406"/>
    <n v="407400"/>
    <n v="28849632"/>
    <m/>
    <n v="30522702"/>
    <s v=" "/>
    <n v="4704868"/>
    <n v="3606204"/>
    <n v="3606204"/>
    <n v="3606204"/>
    <n v="3606204"/>
    <n v="3606204"/>
    <n v="3606204"/>
    <n v="4180610"/>
    <n v="30522702"/>
    <n v="20202896"/>
    <s v="CONTRATO ADICIONAL POR ALIMENTACION"/>
    <b v="1"/>
    <n v="0"/>
    <b v="1"/>
    <n v="0"/>
    <x v="1"/>
    <n v="2024"/>
  </r>
  <r>
    <x v="92"/>
    <s v="LOTE 2"/>
    <x v="8"/>
    <x v="72"/>
    <x v="5"/>
    <x v="0"/>
    <s v="VEREDA LAS AMERICAS"/>
    <n v="58931143667"/>
    <s v="C COMUNAL LAS AMERICAS"/>
    <n v="1"/>
    <n v="22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47964246"/>
    <n v="0.02"/>
    <n v="959284.92"/>
    <m/>
    <n v="16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1"/>
    <n v="2024"/>
  </r>
  <r>
    <x v="92"/>
    <s v="LOTE 2"/>
    <x v="8"/>
    <x v="72"/>
    <x v="5"/>
    <x v="0"/>
    <s v="VEREDA PUERTO MATILDE"/>
    <n v="58931143942"/>
    <s v="C COMUNAL PUERTO MATILDE"/>
    <n v="1"/>
    <n v="12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26162316"/>
    <n v="0.02"/>
    <n v="523246.32"/>
    <m/>
    <n v="17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2024"/>
  </r>
  <r>
    <x v="92"/>
    <s v="LOTE 2"/>
    <x v="8"/>
    <x v="72"/>
    <x v="5"/>
    <x v="0"/>
    <s v="VEREDA EL VIETNAM POR LA Y DE MARLEY A MANO DERECHA"/>
    <n v="58931152803"/>
    <s v="C COMUNAL EL VIETNAM"/>
    <n v="1"/>
    <n v="15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32702895"/>
    <n v="0.02"/>
    <n v="654057.9"/>
    <m/>
    <n v="18"/>
    <n v="32702895"/>
    <n v="33356952.899999999"/>
    <s v=" "/>
    <m/>
    <m/>
    <m/>
    <n v="740640"/>
    <n v="615435"/>
    <n v="436500"/>
    <n v="30910320"/>
    <m/>
    <n v="32702895"/>
    <s v=" "/>
    <n v="5040930"/>
    <n v="3863790"/>
    <n v="3863790"/>
    <n v="3863790"/>
    <n v="3863790"/>
    <n v="3863790"/>
    <n v="3863790"/>
    <n v="4479225"/>
    <n v="32702895"/>
    <n v="21645960"/>
    <s v="CONTRATO ADICIONAL POR ALIMENTACION"/>
    <b v="1"/>
    <n v="0"/>
    <b v="1"/>
    <n v="0"/>
    <x v="1"/>
    <n v="2024"/>
  </r>
  <r>
    <x v="92"/>
    <s v="LOTE 2"/>
    <x v="8"/>
    <x v="72"/>
    <x v="5"/>
    <x v="0"/>
    <s v="VEREDA NO TE PASES CERCA A LA Y DE LOS VIEJITOS"/>
    <n v="58931152806"/>
    <s v="C COMUNAL NO TE PASES"/>
    <n v="1"/>
    <n v="12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26162316"/>
    <n v="0.02"/>
    <n v="523246.32"/>
    <m/>
    <n v="19"/>
    <n v="26162316"/>
    <n v="26685562.32"/>
    <s v=" "/>
    <m/>
    <m/>
    <m/>
    <n v="592512"/>
    <n v="492348"/>
    <n v="349200"/>
    <n v="24728256"/>
    <m/>
    <n v="26162316"/>
    <s v=" "/>
    <n v="4032744"/>
    <n v="3091032"/>
    <n v="3091032"/>
    <n v="3091032"/>
    <n v="3091032"/>
    <n v="3091032"/>
    <n v="3091032"/>
    <n v="3583380"/>
    <n v="26162316"/>
    <n v="17316768"/>
    <s v="CONTRATO ADICIONAL POR ALIMENTACION"/>
    <b v="1"/>
    <n v="0"/>
    <b v="1"/>
    <n v="0"/>
    <x v="1"/>
    <n v="2024"/>
  </r>
  <r>
    <x v="92"/>
    <s v="LOTE 2"/>
    <x v="8"/>
    <x v="72"/>
    <x v="7"/>
    <x v="0"/>
    <s v="KR 54 52 37  50"/>
    <n v="589300080791"/>
    <s v="RAYITOS DE LUZ"/>
    <n v="1"/>
    <n v="144"/>
    <m/>
    <n v="2024"/>
    <s v="ARTÍCULO 34 CONTRATACIÓN CON EL REGISTRO ÚNICO DE OFERENTES"/>
    <m/>
    <m/>
    <x v="0"/>
    <x v="0"/>
    <x v="13"/>
    <x v="13"/>
    <n v="229166"/>
    <n v="15252"/>
    <n v="89525"/>
    <s v=" "/>
    <s v=" "/>
    <m/>
    <n v="425765664"/>
    <n v="0.02"/>
    <n v="8515313.2799999993"/>
    <m/>
    <n v="20"/>
    <n v="425765664"/>
    <n v="434280977.27999997"/>
    <s v=" "/>
    <m/>
    <m/>
    <m/>
    <n v="12692592"/>
    <n v="10806192"/>
    <n v="0"/>
    <n v="402266880"/>
    <m/>
    <n v="425765664"/>
    <s v=" "/>
    <n v="62975952"/>
    <n v="50283360"/>
    <n v="50283360"/>
    <n v="50283360"/>
    <n v="50283360"/>
    <n v="50283360"/>
    <n v="50283360"/>
    <n v="61089552"/>
    <n v="425765664"/>
    <n v="177428736"/>
    <s v="CONTRATO ADICIONAL POR ALIMENTACION"/>
    <b v="1"/>
    <n v="0"/>
    <b v="1"/>
    <n v="0"/>
    <x v="1"/>
    <n v="2024"/>
  </r>
  <r>
    <x v="93"/>
    <s v="LOTE 2"/>
    <x v="11"/>
    <x v="73"/>
    <x v="4"/>
    <x v="0"/>
    <s v="CL 22 40 57 LAS FLORES"/>
    <n v="589500106480"/>
    <s v="ZARAGOZA 2"/>
    <n v="1"/>
    <n v="226"/>
    <m/>
    <n v="2025"/>
    <s v="ARTÍCULO 34 CONTRATACIÓN CON EL REGISTRO ÚNICO DE OFERENTES"/>
    <m/>
    <m/>
    <x v="0"/>
    <x v="0"/>
    <x v="57"/>
    <x v="57"/>
    <n v="229171"/>
    <n v="15258"/>
    <n v="90125"/>
    <n v="2"/>
    <n v="314"/>
    <m/>
    <n v="978444852"/>
    <n v="0.02"/>
    <n v="19568897.039999999"/>
    <m/>
    <n v="1"/>
    <n v="978444852"/>
    <n v="998013749.03999996"/>
    <n v="1347063652"/>
    <n v="26941273"/>
    <n v="1374004925"/>
    <n v="946.30393537056545"/>
    <n v="19920318"/>
    <n v="16959718"/>
    <n v="0"/>
    <n v="941564816"/>
    <m/>
    <n v="978444852"/>
    <n v="1347063652"/>
    <n v="137615920"/>
    <n v="117695602"/>
    <n v="117695602"/>
    <n v="117695602"/>
    <n v="117695602"/>
    <n v="117695602"/>
    <n v="117695602"/>
    <n v="134655320"/>
    <n v="978444852"/>
    <n v="0"/>
    <s v="CONTRATO COSTEADO CON ALIMENTACION"/>
    <b v="1"/>
    <n v="0"/>
    <b v="1"/>
    <n v="0"/>
    <x v="1"/>
    <m/>
  </r>
  <r>
    <x v="93"/>
    <s v="LOTE 2"/>
    <x v="11"/>
    <x v="73"/>
    <x v="2"/>
    <x v="0"/>
    <s v="KRA 21 CLL 14 LOS LAURELES"/>
    <n v="589500119540"/>
    <s v="CDI SUEÑOS INFANTILES"/>
    <n v="1"/>
    <n v="88"/>
    <m/>
    <n v="2025"/>
    <s v="ARTÍCULO 34 CONTRATACIÓN CON EL REGISTRO ÚNICO DE OFERENTES"/>
    <m/>
    <m/>
    <x v="0"/>
    <x v="0"/>
    <x v="57"/>
    <x v="57"/>
    <n v="229171"/>
    <n v="15258"/>
    <n v="90125"/>
    <s v=" "/>
    <s v=" "/>
    <m/>
    <n v="368618800"/>
    <n v="0.02"/>
    <n v="7372376"/>
    <m/>
    <n v="2"/>
    <n v="368618800"/>
    <n v="375991176"/>
    <s v=" "/>
    <m/>
    <m/>
    <m/>
    <n v="7756584"/>
    <n v="6603784"/>
    <n v="0"/>
    <n v="354258432"/>
    <m/>
    <n v="368618800"/>
    <s v=" "/>
    <n v="52038888"/>
    <n v="44282304"/>
    <n v="44282304"/>
    <n v="44282304"/>
    <n v="44282304"/>
    <n v="44282304"/>
    <n v="44282304"/>
    <n v="50886088"/>
    <n v="368618800"/>
    <n v="0"/>
    <s v="CONTRATO COSTEADO CON ALIMENTACION"/>
    <b v="1"/>
    <n v="0"/>
    <b v="1"/>
    <n v="0"/>
    <x v="1"/>
    <m/>
  </r>
  <r>
    <x v="94"/>
    <s v="LOTE 2"/>
    <x v="11"/>
    <x v="73"/>
    <x v="5"/>
    <x v="0"/>
    <s v="VEREDA SAN ANTONIO"/>
    <n v="58951117460"/>
    <s v="C COMUNAL SAN ANTONIO DULCES SONRISAS"/>
    <n v="1"/>
    <n v="43"/>
    <m/>
    <n v="2026"/>
    <s v="ARTÍCULO 34 CONTRATACIÓN CON EL REGISTRO ÚNICO DE OFERENTES"/>
    <m/>
    <m/>
    <x v="0"/>
    <x v="0"/>
    <x v="18"/>
    <x v="17"/>
    <n v="229187"/>
    <n v="16476"/>
    <n v="95725"/>
    <n v="29"/>
    <n v="701"/>
    <m/>
    <n v="93748299"/>
    <n v="0.02"/>
    <n v="1874965.98"/>
    <m/>
    <n v="1"/>
    <n v="93748299"/>
    <n v="95623264.980000004"/>
    <n v="1528315293"/>
    <n v="30566306"/>
    <n v="1558881599"/>
    <n v="1073.6320990516333"/>
    <n v="2123168"/>
    <n v="1764247"/>
    <n v="1251300"/>
    <n v="88609584"/>
    <m/>
    <n v="93748299"/>
    <n v="1528315293"/>
    <n v="14450666"/>
    <n v="11076198"/>
    <n v="11076198"/>
    <n v="11076198"/>
    <n v="11076198"/>
    <n v="11076198"/>
    <n v="11076198"/>
    <n v="12840445"/>
    <n v="93748299"/>
    <n v="62051752"/>
    <s v="CONTRATO ADICIONAL POR ALIMENTACION"/>
    <b v="1"/>
    <n v="0"/>
    <b v="1"/>
    <n v="0"/>
    <x v="2"/>
    <n v="2026"/>
  </r>
  <r>
    <x v="94"/>
    <s v="LOTE 2"/>
    <x v="11"/>
    <x v="73"/>
    <x v="5"/>
    <x v="0"/>
    <s v="VEREDA QUEBRADONA"/>
    <n v="58951117464"/>
    <s v="C COMUNAL QUEBRADONA GOTITAS DE AMOR"/>
    <n v="1"/>
    <n v="23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50144439"/>
    <n v="0.02"/>
    <n v="1002888.78"/>
    <m/>
    <n v="2"/>
    <n v="50144439"/>
    <n v="51147327.780000001"/>
    <s v=" "/>
    <m/>
    <m/>
    <m/>
    <n v="1135648"/>
    <n v="943667"/>
    <n v="669300"/>
    <n v="47395824"/>
    <m/>
    <n v="50144439"/>
    <s v=" "/>
    <n v="7729426"/>
    <n v="5924478"/>
    <n v="5924478"/>
    <n v="5924478"/>
    <n v="5924478"/>
    <n v="5924478"/>
    <n v="5924478"/>
    <n v="6868145"/>
    <n v="50144439"/>
    <n v="33190472"/>
    <s v="CONTRATO ADICIONAL POR ALIMENTACION"/>
    <b v="1"/>
    <n v="0"/>
    <b v="1"/>
    <n v="0"/>
    <x v="2"/>
    <n v="2026"/>
  </r>
  <r>
    <x v="94"/>
    <s v="LOTE 2"/>
    <x v="11"/>
    <x v="73"/>
    <x v="5"/>
    <x v="0"/>
    <s v="EL LIMON"/>
    <n v="58951117465"/>
    <s v="C COMUNAL ELLIMON GRANITOSDEESPERANZA"/>
    <n v="1"/>
    <n v="28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61045404"/>
    <n v="0.02"/>
    <n v="1220908.08"/>
    <m/>
    <n v="3"/>
    <n v="61045404"/>
    <n v="62266312.079999998"/>
    <s v=" "/>
    <m/>
    <m/>
    <m/>
    <n v="1382528"/>
    <n v="1148812"/>
    <n v="814800"/>
    <n v="57699264"/>
    <m/>
    <n v="61045404"/>
    <s v=" "/>
    <n v="9409736"/>
    <n v="7212408"/>
    <n v="7212408"/>
    <n v="7212408"/>
    <n v="7212408"/>
    <n v="7212408"/>
    <n v="7212408"/>
    <n v="8361220"/>
    <n v="61045404"/>
    <n v="40405792"/>
    <s v="CONTRATO ADICIONAL POR ALIMENTACION"/>
    <b v="1"/>
    <n v="0"/>
    <b v="1"/>
    <n v="0"/>
    <x v="2"/>
    <n v="2026"/>
  </r>
  <r>
    <x v="94"/>
    <s v="LOTE 2"/>
    <x v="11"/>
    <x v="73"/>
    <x v="5"/>
    <x v="0"/>
    <s v="CORDERO ICACALES"/>
    <n v="58951117469"/>
    <s v="C COMUNAL CORDERO MIS CORAZONCITOS"/>
    <n v="1"/>
    <n v="50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109009650"/>
    <n v="0.02"/>
    <n v="2180193"/>
    <m/>
    <n v="4"/>
    <n v="109009650"/>
    <n v="111189843"/>
    <s v=" "/>
    <m/>
    <m/>
    <m/>
    <n v="2468800"/>
    <n v="2051450"/>
    <n v="1455000"/>
    <n v="103034400"/>
    <m/>
    <n v="109009650"/>
    <s v=" "/>
    <n v="16803100"/>
    <n v="12879300"/>
    <n v="12879300"/>
    <n v="12879300"/>
    <n v="12879300"/>
    <n v="12879300"/>
    <n v="12879300"/>
    <n v="14930750"/>
    <n v="109009650"/>
    <n v="72153200"/>
    <s v="CONTRATO ADICIONAL POR ALIMENTACION"/>
    <b v="1"/>
    <n v="0"/>
    <b v="1"/>
    <n v="0"/>
    <x v="2"/>
    <n v="2026"/>
  </r>
  <r>
    <x v="94"/>
    <s v="LOTE 2"/>
    <x v="11"/>
    <x v="73"/>
    <x v="5"/>
    <x v="0"/>
    <s v="VEREDA CHILONA Y MATURANA"/>
    <n v="58951117470"/>
    <s v="C COMUNAL CHILONA SEMILLAS DEL MAÑANA"/>
    <n v="1"/>
    <n v="18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39243474"/>
    <n v="0.02"/>
    <n v="784869.48"/>
    <m/>
    <n v="5"/>
    <n v="39243474"/>
    <n v="40028343.479999997"/>
    <s v=" "/>
    <m/>
    <m/>
    <m/>
    <n v="888768"/>
    <n v="738522"/>
    <n v="523800"/>
    <n v="37092384"/>
    <m/>
    <n v="39243474"/>
    <s v=" "/>
    <n v="6049116"/>
    <n v="4636548"/>
    <n v="4636548"/>
    <n v="4636548"/>
    <n v="4636548"/>
    <n v="4636548"/>
    <n v="4636548"/>
    <n v="5375070"/>
    <n v="39243474"/>
    <n v="25975152"/>
    <s v="CONTRATO ADICIONAL POR ALIMENTACION"/>
    <b v="1"/>
    <n v="0"/>
    <b v="1"/>
    <n v="0"/>
    <x v="2"/>
    <n v="2026"/>
  </r>
  <r>
    <x v="94"/>
    <s v="LOTE 2"/>
    <x v="11"/>
    <x v="73"/>
    <x v="5"/>
    <x v="0"/>
    <s v="VEREDA PUERTO JOBO"/>
    <n v="58951117471"/>
    <s v="C COMUNAL PTO JOBO SUEÑOS INFANTILES"/>
    <n v="1"/>
    <n v="52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113370036"/>
    <n v="0.02"/>
    <n v="2267400.7200000002"/>
    <m/>
    <n v="6"/>
    <n v="113370036"/>
    <n v="115637436.72"/>
    <s v=" "/>
    <m/>
    <m/>
    <m/>
    <n v="2567552"/>
    <n v="2133508"/>
    <n v="1513200"/>
    <n v="107155776"/>
    <m/>
    <n v="113370036"/>
    <s v=" "/>
    <n v="17475224"/>
    <n v="13394472"/>
    <n v="13394472"/>
    <n v="13394472"/>
    <n v="13394472"/>
    <n v="13394472"/>
    <n v="13394472"/>
    <n v="15527980"/>
    <n v="113370036"/>
    <n v="75039328"/>
    <s v="CONTRATO ADICIONAL POR ALIMENTACION"/>
    <b v="1"/>
    <n v="0"/>
    <b v="1"/>
    <n v="0"/>
    <x v="2"/>
    <n v="2026"/>
  </r>
  <r>
    <x v="94"/>
    <s v="LOTE 2"/>
    <x v="11"/>
    <x v="73"/>
    <x v="5"/>
    <x v="0"/>
    <s v="EL PATO"/>
    <n v="58951117479"/>
    <s v="C COMUNAL PATO JARDINES DE ESPERANZA"/>
    <n v="1"/>
    <n v="32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69766176"/>
    <n v="0.02"/>
    <n v="1395323.52"/>
    <m/>
    <n v="7"/>
    <n v="69766176"/>
    <n v="71161499.519999996"/>
    <s v=" "/>
    <m/>
    <m/>
    <m/>
    <n v="1580032"/>
    <n v="1312928"/>
    <n v="931200"/>
    <n v="65942016"/>
    <m/>
    <n v="69766176"/>
    <s v=" "/>
    <n v="10753984"/>
    <n v="8242752"/>
    <n v="8242752"/>
    <n v="8242752"/>
    <n v="8242752"/>
    <n v="8242752"/>
    <n v="8242752"/>
    <n v="9555680"/>
    <n v="69766176"/>
    <n v="46178048"/>
    <s v="CONTRATO ADICIONAL POR ALIMENTACION"/>
    <b v="1"/>
    <n v="0"/>
    <b v="1"/>
    <n v="0"/>
    <x v="2"/>
    <n v="2026"/>
  </r>
  <r>
    <x v="94"/>
    <s v="LOTE 2"/>
    <x v="11"/>
    <x v="73"/>
    <x v="5"/>
    <x v="0"/>
    <s v="LA PORQUERA"/>
    <n v="58951143949"/>
    <s v="CENTRODSALUDGRANITOSDEESPERANZALAPORQUERA"/>
    <n v="1"/>
    <n v="22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47964246"/>
    <n v="0.02"/>
    <n v="959284.92"/>
    <m/>
    <n v="8"/>
    <n v="47964246"/>
    <n v="48923530.920000002"/>
    <s v=" "/>
    <m/>
    <m/>
    <m/>
    <n v="1086272"/>
    <n v="902638"/>
    <n v="640200"/>
    <n v="45335136"/>
    <m/>
    <n v="47964246"/>
    <s v=" "/>
    <n v="7393364"/>
    <n v="5666892"/>
    <n v="5666892"/>
    <n v="5666892"/>
    <n v="5666892"/>
    <n v="5666892"/>
    <n v="5666892"/>
    <n v="6569530"/>
    <n v="47964246"/>
    <n v="31747408"/>
    <s v="CONTRATO ADICIONAL POR ALIMENTACION"/>
    <b v="1"/>
    <n v="0"/>
    <b v="1"/>
    <n v="0"/>
    <x v="2"/>
    <n v="2026"/>
  </r>
  <r>
    <x v="94"/>
    <s v="LOTE 2"/>
    <x v="11"/>
    <x v="73"/>
    <x v="5"/>
    <x v="0"/>
    <s v="MATURANA"/>
    <n v="58951143953"/>
    <s v="C COMUNAL SEMILLASDELMAÑANA MATURANA"/>
    <n v="1"/>
    <n v="34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74126562"/>
    <n v="0.02"/>
    <n v="1482531.24"/>
    <m/>
    <n v="9"/>
    <n v="74126562"/>
    <n v="75609093.239999995"/>
    <s v=" "/>
    <m/>
    <m/>
    <m/>
    <n v="1678784"/>
    <n v="1394986"/>
    <n v="989400"/>
    <n v="70063392"/>
    <m/>
    <n v="74126562"/>
    <s v=" "/>
    <n v="11426108"/>
    <n v="8757924"/>
    <n v="8757924"/>
    <n v="8757924"/>
    <n v="8757924"/>
    <n v="8757924"/>
    <n v="8757924"/>
    <n v="10152910"/>
    <n v="74126562"/>
    <n v="49064176"/>
    <s v="CONTRATO ADICIONAL POR ALIMENTACION"/>
    <b v="1"/>
    <n v="0"/>
    <b v="1"/>
    <n v="0"/>
    <x v="2"/>
    <n v="2026"/>
  </r>
  <r>
    <x v="94"/>
    <s v="LOTE 2"/>
    <x v="11"/>
    <x v="73"/>
    <x v="5"/>
    <x v="0"/>
    <s v="CORDERITO"/>
    <n v="58951143958"/>
    <s v="CER SEMILLAS DE AMOR CORDERITO"/>
    <n v="1"/>
    <n v="24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52324632"/>
    <n v="0.02"/>
    <n v="1046492.64"/>
    <m/>
    <n v="10"/>
    <n v="52324632"/>
    <n v="53371124.640000001"/>
    <s v=" "/>
    <m/>
    <m/>
    <m/>
    <n v="1185024"/>
    <n v="984696"/>
    <n v="698400"/>
    <n v="49456512"/>
    <m/>
    <n v="52324632"/>
    <s v=" "/>
    <n v="8065488"/>
    <n v="6182064"/>
    <n v="6182064"/>
    <n v="6182064"/>
    <n v="6182064"/>
    <n v="6182064"/>
    <n v="6182064"/>
    <n v="7166760"/>
    <n v="52324632"/>
    <n v="34633536"/>
    <s v="CONTRATO ADICIONAL POR ALIMENTACION"/>
    <b v="1"/>
    <n v="0"/>
    <b v="1"/>
    <n v="0"/>
    <x v="2"/>
    <n v="2026"/>
  </r>
  <r>
    <x v="94"/>
    <s v="LOTE 2"/>
    <x v="11"/>
    <x v="73"/>
    <x v="5"/>
    <x v="0"/>
    <s v="LA SALOBRE"/>
    <n v="58951143962"/>
    <s v="C COMUNAL DULCES SONRISAS LA SALOBRE"/>
    <n v="1"/>
    <n v="16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34883088"/>
    <n v="0.02"/>
    <n v="697661.76"/>
    <m/>
    <n v="11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2"/>
    <n v="2026"/>
  </r>
  <r>
    <x v="94"/>
    <s v="LOTE 2"/>
    <x v="11"/>
    <x v="73"/>
    <x v="5"/>
    <x v="0"/>
    <s v="CAMPO"/>
    <n v="58951143967"/>
    <s v="C COMUNAL JARDINES DE ESPERANZA CAMPO"/>
    <n v="1"/>
    <n v="20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43603860"/>
    <n v="0.02"/>
    <n v="872077.20000000007"/>
    <m/>
    <n v="12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2"/>
    <n v="2026"/>
  </r>
  <r>
    <x v="94"/>
    <s v="LOTE 2"/>
    <x v="11"/>
    <x v="73"/>
    <x v="5"/>
    <x v="0"/>
    <s v="VEREDA AQUI SI"/>
    <n v="58951150106"/>
    <s v="C COMUNAL AQUISI AMIGOSXSIEMPRE"/>
    <n v="1"/>
    <n v="21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45784053"/>
    <n v="0.02"/>
    <n v="915681.06"/>
    <m/>
    <n v="13"/>
    <n v="45784053"/>
    <n v="46699734.060000002"/>
    <s v=" "/>
    <m/>
    <m/>
    <m/>
    <n v="1036896"/>
    <n v="861609"/>
    <n v="611100"/>
    <n v="43274448"/>
    <m/>
    <n v="45784053"/>
    <s v=" "/>
    <n v="7057302"/>
    <n v="5409306"/>
    <n v="5409306"/>
    <n v="5409306"/>
    <n v="5409306"/>
    <n v="5409306"/>
    <n v="5409306"/>
    <n v="6270915"/>
    <n v="45784053"/>
    <n v="30304344"/>
    <s v="CONTRATO ADICIONAL POR ALIMENTACION"/>
    <b v="1"/>
    <n v="0"/>
    <b v="1"/>
    <n v="0"/>
    <x v="2"/>
    <n v="2026"/>
  </r>
  <r>
    <x v="94"/>
    <s v="LOTE 2"/>
    <x v="11"/>
    <x v="73"/>
    <x v="5"/>
    <x v="0"/>
    <s v="VEREDA ANGOSTURA"/>
    <n v="58951150322"/>
    <s v="C COMUNAL ANGOSTURA GOTITAS DE AMOR"/>
    <n v="1"/>
    <n v="20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43603860"/>
    <n v="0.02"/>
    <n v="872077.20000000007"/>
    <m/>
    <n v="14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2"/>
    <n v="2026"/>
  </r>
  <r>
    <x v="94"/>
    <s v="LOTE 2"/>
    <x v="11"/>
    <x v="73"/>
    <x v="5"/>
    <x v="0"/>
    <s v="EL SALTILLO 1"/>
    <n v="58951150563"/>
    <s v="EL SALTILLO1"/>
    <n v="1"/>
    <n v="19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41423667"/>
    <n v="0.02"/>
    <n v="828473.34"/>
    <m/>
    <n v="15"/>
    <n v="41423667"/>
    <n v="42252140.340000004"/>
    <s v=" "/>
    <m/>
    <m/>
    <m/>
    <n v="938144"/>
    <n v="779551"/>
    <n v="552900"/>
    <n v="39153072"/>
    <m/>
    <n v="41423667"/>
    <s v=" "/>
    <n v="6385178"/>
    <n v="4894134"/>
    <n v="4894134"/>
    <n v="4894134"/>
    <n v="4894134"/>
    <n v="4894134"/>
    <n v="4894134"/>
    <n v="5673685"/>
    <n v="41423667"/>
    <n v="27418216"/>
    <s v="CONTRATO ADICIONAL POR ALIMENTACION"/>
    <b v="1"/>
    <n v="0"/>
    <b v="1"/>
    <n v="0"/>
    <x v="2"/>
    <n v="2026"/>
  </r>
  <r>
    <x v="94"/>
    <s v="LOTE 2"/>
    <x v="11"/>
    <x v="73"/>
    <x v="5"/>
    <x v="0"/>
    <s v="EL SALTILLO 2"/>
    <n v="58951150564"/>
    <s v="EL SALTILLO2"/>
    <n v="1"/>
    <n v="20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43603860"/>
    <n v="0.02"/>
    <n v="872077.20000000007"/>
    <m/>
    <n v="16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2"/>
    <n v="2026"/>
  </r>
  <r>
    <x v="94"/>
    <s v="LOTE 2"/>
    <x v="11"/>
    <x v="73"/>
    <x v="5"/>
    <x v="0"/>
    <s v="EL VEINTE 1"/>
    <n v="58951150565"/>
    <s v="EL VEINTE 1"/>
    <n v="1"/>
    <n v="20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43603860"/>
    <n v="0.02"/>
    <n v="872077.20000000007"/>
    <m/>
    <n v="17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2"/>
    <n v="2026"/>
  </r>
  <r>
    <x v="94"/>
    <s v="LOTE 2"/>
    <x v="11"/>
    <x v="73"/>
    <x v="5"/>
    <x v="0"/>
    <s v="EL VEINTE 2"/>
    <n v="58951150566"/>
    <s v="EL VEINTE2"/>
    <n v="1"/>
    <n v="20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43603860"/>
    <n v="0.02"/>
    <n v="872077.20000000007"/>
    <m/>
    <n v="18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2"/>
    <n v="2026"/>
  </r>
  <r>
    <x v="94"/>
    <s v="LOTE 2"/>
    <x v="11"/>
    <x v="73"/>
    <x v="5"/>
    <x v="0"/>
    <s v="RIO VIEJO 1"/>
    <n v="58951150567"/>
    <s v="RIO VIEJO 1"/>
    <n v="1"/>
    <n v="20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43603860"/>
    <n v="0.02"/>
    <n v="872077.20000000007"/>
    <m/>
    <n v="19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2"/>
    <n v="2026"/>
  </r>
  <r>
    <x v="94"/>
    <s v="LOTE 2"/>
    <x v="11"/>
    <x v="73"/>
    <x v="5"/>
    <x v="0"/>
    <s v="RIO VIEJO 2"/>
    <n v="58951150568"/>
    <s v="RIO VIEJO2"/>
    <n v="1"/>
    <n v="20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43603860"/>
    <n v="0.02"/>
    <n v="872077.20000000007"/>
    <m/>
    <n v="20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2"/>
    <n v="2026"/>
  </r>
  <r>
    <x v="94"/>
    <s v="LOTE 2"/>
    <x v="11"/>
    <x v="73"/>
    <x v="5"/>
    <x v="0"/>
    <s v="EL RETIRO 1"/>
    <n v="58951150569"/>
    <s v="EL RETIRO 1"/>
    <n v="1"/>
    <n v="20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43603860"/>
    <n v="0.02"/>
    <n v="872077.20000000007"/>
    <m/>
    <n v="21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2"/>
    <n v="2026"/>
  </r>
  <r>
    <x v="94"/>
    <s v="LOTE 2"/>
    <x v="11"/>
    <x v="73"/>
    <x v="5"/>
    <x v="0"/>
    <s v="EL RETIRO 2"/>
    <n v="58951150570"/>
    <s v="EL RETIRO 2"/>
    <n v="1"/>
    <n v="20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43603860"/>
    <n v="0.02"/>
    <n v="872077.20000000007"/>
    <m/>
    <n v="22"/>
    <n v="43603860"/>
    <n v="44475937.200000003"/>
    <s v=" "/>
    <m/>
    <m/>
    <m/>
    <n v="987520"/>
    <n v="820580"/>
    <n v="582000"/>
    <n v="41213760"/>
    <m/>
    <n v="43603860"/>
    <s v=" "/>
    <n v="6721240"/>
    <n v="5151720"/>
    <n v="5151720"/>
    <n v="5151720"/>
    <n v="5151720"/>
    <n v="5151720"/>
    <n v="5151720"/>
    <n v="5972300"/>
    <n v="43603860"/>
    <n v="28861280"/>
    <s v="CONTRATO ADICIONAL POR ALIMENTACION"/>
    <b v="1"/>
    <n v="0"/>
    <b v="1"/>
    <n v="0"/>
    <x v="2"/>
    <n v="2026"/>
  </r>
  <r>
    <x v="94"/>
    <s v="LOTE 2"/>
    <x v="11"/>
    <x v="73"/>
    <x v="5"/>
    <x v="0"/>
    <s v="VEGAS DE SEGOVIA 1"/>
    <n v="58951150571"/>
    <s v="VEGAS DE SEGOVIA"/>
    <n v="1"/>
    <n v="16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34883088"/>
    <n v="0.02"/>
    <n v="697661.76"/>
    <m/>
    <n v="23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2"/>
    <n v="2026"/>
  </r>
  <r>
    <x v="94"/>
    <s v="LOTE 2"/>
    <x v="11"/>
    <x v="73"/>
    <x v="5"/>
    <x v="0"/>
    <s v="VEGAS DE SEGOVIA - RESGUARDO INDÍGENA - LOCALIDAD LOS CASTILLOS"/>
    <n v="58951150572"/>
    <s v="LAS PARCELAS 1"/>
    <n v="1"/>
    <n v="16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34883088"/>
    <n v="0.02"/>
    <n v="697661.76"/>
    <m/>
    <n v="24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2"/>
    <n v="2026"/>
  </r>
  <r>
    <x v="94"/>
    <s v="LOTE 2"/>
    <x v="11"/>
    <x v="73"/>
    <x v="5"/>
    <x v="0"/>
    <s v="LAS PARCELAS 2"/>
    <n v="58951150573"/>
    <s v="LAS PARCELAS 2"/>
    <n v="1"/>
    <n v="16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34883088"/>
    <n v="0.02"/>
    <n v="697661.76"/>
    <m/>
    <n v="25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2"/>
    <n v="2026"/>
  </r>
  <r>
    <x v="94"/>
    <s v="LOTE 2"/>
    <x v="11"/>
    <x v="73"/>
    <x v="5"/>
    <x v="0"/>
    <s v="EL CINCUENTA 1"/>
    <n v="58951150574"/>
    <s v="VEREDA EL 50 1"/>
    <n v="1"/>
    <n v="16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34883088"/>
    <n v="0.02"/>
    <n v="697661.76"/>
    <m/>
    <n v="26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2"/>
    <n v="2026"/>
  </r>
  <r>
    <x v="94"/>
    <s v="LOTE 2"/>
    <x v="11"/>
    <x v="73"/>
    <x v="5"/>
    <x v="0"/>
    <s v="EL CINCUENTA 2"/>
    <n v="58951150575"/>
    <s v="VEREDA EL 50 2"/>
    <n v="1"/>
    <n v="16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34883088"/>
    <n v="0.02"/>
    <n v="697661.76"/>
    <m/>
    <n v="27"/>
    <n v="34883088"/>
    <n v="35580749.759999998"/>
    <s v=" "/>
    <m/>
    <m/>
    <m/>
    <n v="790016"/>
    <n v="656464"/>
    <n v="465600"/>
    <n v="32971008"/>
    <m/>
    <n v="34883088"/>
    <s v=" "/>
    <n v="5376992"/>
    <n v="4121376"/>
    <n v="4121376"/>
    <n v="4121376"/>
    <n v="4121376"/>
    <n v="4121376"/>
    <n v="4121376"/>
    <n v="4777840"/>
    <n v="34883088"/>
    <n v="23089024"/>
    <s v="CONTRATO ADICIONAL POR ALIMENTACION"/>
    <b v="1"/>
    <n v="0"/>
    <b v="1"/>
    <n v="0"/>
    <x v="2"/>
    <n v="2026"/>
  </r>
  <r>
    <x v="94"/>
    <s v="LOTE 2"/>
    <x v="11"/>
    <x v="73"/>
    <x v="5"/>
    <x v="0"/>
    <s v="VEREDA EL 12"/>
    <n v="589500104334"/>
    <s v="CASA PASTORAL EL 12 SEMILLAS DE AMOR"/>
    <n v="1"/>
    <n v="28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61045404"/>
    <n v="0.02"/>
    <n v="1220908.08"/>
    <m/>
    <n v="28"/>
    <n v="61045404"/>
    <n v="62266312.079999998"/>
    <s v=" "/>
    <m/>
    <m/>
    <m/>
    <n v="1382528"/>
    <n v="1148812"/>
    <n v="814800"/>
    <n v="57699264"/>
    <m/>
    <n v="61045404"/>
    <s v=" "/>
    <n v="9409736"/>
    <n v="7212408"/>
    <n v="7212408"/>
    <n v="7212408"/>
    <n v="7212408"/>
    <n v="7212408"/>
    <n v="7212408"/>
    <n v="8361220"/>
    <n v="61045404"/>
    <n v="40405792"/>
    <s v="CONTRATO ADICIONAL POR ALIMENTACION"/>
    <b v="1"/>
    <n v="0"/>
    <b v="1"/>
    <n v="0"/>
    <x v="2"/>
    <n v="2026"/>
  </r>
  <r>
    <x v="94"/>
    <s v="LOTE 2"/>
    <x v="11"/>
    <x v="73"/>
    <x v="5"/>
    <x v="0"/>
    <s v="VEREDA ESCARRALAO"/>
    <n v="589500112229"/>
    <s v="C COMUNAL ESCARRALAO AMIGOSXSIEMPRE"/>
    <n v="1"/>
    <n v="31"/>
    <m/>
    <n v="2026"/>
    <s v="ARTÍCULO 34 CONTRATACIÓN CON EL REGISTRO ÚNICO DE OFERENTES"/>
    <m/>
    <m/>
    <x v="0"/>
    <x v="0"/>
    <x v="18"/>
    <x v="17"/>
    <n v="229187"/>
    <n v="16476"/>
    <n v="95725"/>
    <s v=" "/>
    <s v=" "/>
    <m/>
    <n v="67585983"/>
    <n v="0.02"/>
    <n v="1351719.66"/>
    <m/>
    <n v="29"/>
    <n v="67585983"/>
    <n v="68937702.659999996"/>
    <s v=" "/>
    <m/>
    <m/>
    <m/>
    <n v="1530656"/>
    <n v="1271899"/>
    <n v="902100"/>
    <n v="63881328"/>
    <m/>
    <n v="67585983"/>
    <s v=" "/>
    <n v="10417922"/>
    <n v="7985166"/>
    <n v="7985166"/>
    <n v="7985166"/>
    <n v="7985166"/>
    <n v="7985166"/>
    <n v="7985166"/>
    <n v="9257065"/>
    <n v="67585983"/>
    <n v="44734984"/>
    <s v="CONTRATO ADICIONAL POR ALIMENTACION"/>
    <b v="1"/>
    <n v="0"/>
    <b v="1"/>
    <n v="0"/>
    <x v="2"/>
    <n v="2026"/>
  </r>
  <r>
    <x v="95"/>
    <s v="LOTE 2"/>
    <x v="1"/>
    <x v="74"/>
    <x v="4"/>
    <x v="0"/>
    <s v="DG 67 46 05 NIQUIA"/>
    <n v="508800099803"/>
    <s v="CDI SAN JOSE DE NAZARETH"/>
    <n v="1"/>
    <n v="308"/>
    <m/>
    <n v="2027"/>
    <s v="ARTÍCULO 34 CONTRATACIÓN CON EL REGISTRO ÚNICO DE OFERENTES"/>
    <m/>
    <m/>
    <x v="0"/>
    <x v="0"/>
    <x v="58"/>
    <x v="58"/>
    <n v="229172"/>
    <n v="15228"/>
    <n v="87025"/>
    <n v="3"/>
    <n v="611"/>
    <m/>
    <n v="1333455816"/>
    <n v="0.02"/>
    <n v="26669116.32"/>
    <m/>
    <n v="1"/>
    <n v="1333455816"/>
    <n v="1360124932.3199999"/>
    <n v="2602677366"/>
    <n v="52053547"/>
    <n v="2654730913"/>
    <n v="1828.3648514225501"/>
    <n v="27148044"/>
    <n v="23113244"/>
    <n v="0"/>
    <n v="1283194528"/>
    <m/>
    <n v="1333455816"/>
    <n v="2602677366"/>
    <n v="187547360"/>
    <n v="160399316"/>
    <n v="160399316"/>
    <n v="160399316"/>
    <n v="160399316"/>
    <n v="160399316"/>
    <n v="160399316"/>
    <n v="183512560"/>
    <n v="1333455816"/>
    <n v="0"/>
    <s v="CONTRATO COSTEADO CON ALIMENTACION"/>
    <b v="1"/>
    <n v="0"/>
    <b v="1"/>
    <n v="0"/>
    <x v="1"/>
    <m/>
  </r>
  <r>
    <x v="95"/>
    <s v="LOTE 2"/>
    <x v="1"/>
    <x v="74"/>
    <x v="2"/>
    <x v="0"/>
    <s v="DG 56 46 16 BARRIO NIQUIA"/>
    <n v="508800113500"/>
    <s v="CDI ROGELIO ARANGO"/>
    <n v="1"/>
    <n v="99"/>
    <m/>
    <n v="2027"/>
    <s v="ARTÍCULO 34 CONTRATACIÓN CON EL REGISTRO ÚNICO DE OFERENTES"/>
    <m/>
    <m/>
    <x v="0"/>
    <x v="0"/>
    <x v="58"/>
    <x v="58"/>
    <n v="229172"/>
    <n v="15228"/>
    <n v="87025"/>
    <s v=" "/>
    <s v=" "/>
    <m/>
    <n v="414696150"/>
    <n v="0.02"/>
    <n v="8293923"/>
    <m/>
    <n v="2"/>
    <n v="414696150"/>
    <n v="422990073"/>
    <s v=" "/>
    <m/>
    <m/>
    <m/>
    <n v="8726157"/>
    <n v="7429257"/>
    <n v="0"/>
    <n v="398540736"/>
    <m/>
    <n v="414696150"/>
    <s v=" "/>
    <n v="58543749"/>
    <n v="49817592"/>
    <n v="49817592"/>
    <n v="49817592"/>
    <n v="49817592"/>
    <n v="49817592"/>
    <n v="49817592"/>
    <n v="57246849"/>
    <n v="414696150"/>
    <n v="0"/>
    <s v="CONTRATO COSTEADO CON ALIMENTACION"/>
    <b v="1"/>
    <n v="0"/>
    <b v="1"/>
    <n v="0"/>
    <x v="1"/>
    <m/>
  </r>
  <r>
    <x v="95"/>
    <s v="LOTE 2"/>
    <x v="1"/>
    <x v="74"/>
    <x v="2"/>
    <x v="0"/>
    <s v="CL 21C C 41 C 30 SANTA RITA"/>
    <n v="508800116590"/>
    <s v="PEQUEÑOS EXPLORADORES"/>
    <n v="1"/>
    <n v="204"/>
    <m/>
    <n v="2027"/>
    <s v="ARTÍCULO 34 CONTRATACIÓN CON EL REGISTRO ÚNICO DE OFERENTES"/>
    <m/>
    <m/>
    <x v="0"/>
    <x v="0"/>
    <x v="58"/>
    <x v="58"/>
    <n v="229172"/>
    <n v="15228"/>
    <n v="87025"/>
    <s v=" "/>
    <s v=" "/>
    <m/>
    <n v="854525400"/>
    <n v="0.02"/>
    <n v="17090508"/>
    <m/>
    <n v="3"/>
    <n v="854525400"/>
    <n v="871615908"/>
    <s v=" "/>
    <m/>
    <m/>
    <m/>
    <n v="17981172"/>
    <n v="15308772"/>
    <n v="0"/>
    <n v="821235456"/>
    <m/>
    <n v="854525400"/>
    <s v=" "/>
    <n v="120635604"/>
    <n v="102654432"/>
    <n v="102654432"/>
    <n v="102654432"/>
    <n v="102654432"/>
    <n v="102654432"/>
    <n v="102654432"/>
    <n v="117963204"/>
    <n v="854525400"/>
    <n v="0"/>
    <s v="CONTRATO COSTEADO CON ALIMENTACION"/>
    <b v="1"/>
    <n v="0"/>
    <b v="1"/>
    <n v="0"/>
    <x v="1"/>
    <m/>
  </r>
  <r>
    <x v="96"/>
    <s v="LOTE 2"/>
    <x v="1"/>
    <x v="74"/>
    <x v="4"/>
    <x v="0"/>
    <s v="KR 52 A 52 29  BARRIO PEREZ"/>
    <n v="50881118663"/>
    <s v="MUNDO ENCANTADO"/>
    <n v="1"/>
    <n v="60"/>
    <m/>
    <n v="2028"/>
    <s v="ARTÍCULO 34 CONTRATACIÓN CON EL REGISTRO ÚNICO DE OFERENTES"/>
    <m/>
    <m/>
    <x v="0"/>
    <x v="0"/>
    <x v="59"/>
    <x v="59"/>
    <n v="229173"/>
    <n v="15254"/>
    <n v="89725"/>
    <n v="7"/>
    <n v="598"/>
    <m/>
    <n v="259764120"/>
    <n v="0.02"/>
    <n v="5195282.4000000004"/>
    <m/>
    <n v="1"/>
    <n v="259764120"/>
    <n v="264959402.40000001"/>
    <n v="2588982396"/>
    <n v="51779648"/>
    <n v="2640762044"/>
    <n v="1818.7442191780822"/>
    <n v="5288580"/>
    <n v="4502580"/>
    <n v="0"/>
    <n v="249972960"/>
    <m/>
    <n v="259764120"/>
    <n v="2588982396"/>
    <n v="36535200"/>
    <n v="31246620"/>
    <n v="31246620"/>
    <n v="31246620"/>
    <n v="31246620"/>
    <n v="31246620"/>
    <n v="31246620"/>
    <n v="35749200"/>
    <n v="259764120"/>
    <n v="0"/>
    <s v="CONTRATO COSTEADO CON ALIMENTACION"/>
    <b v="1"/>
    <n v="0"/>
    <b v="1"/>
    <n v="0"/>
    <x v="1"/>
    <m/>
  </r>
  <r>
    <x v="96"/>
    <s v="LOTE 2"/>
    <x v="1"/>
    <x v="74"/>
    <x v="4"/>
    <x v="0"/>
    <s v="KR 42 CL 20 E 51"/>
    <n v="50881119600"/>
    <s v="SANTA RITA"/>
    <n v="1"/>
    <n v="66"/>
    <m/>
    <n v="2028"/>
    <s v="ARTÍCULO 34 CONTRATACIÓN CON EL REGISTRO ÚNICO DE OFERENTES"/>
    <m/>
    <m/>
    <x v="0"/>
    <x v="0"/>
    <x v="59"/>
    <x v="59"/>
    <n v="229173"/>
    <n v="15254"/>
    <n v="89725"/>
    <s v=" "/>
    <s v=" "/>
    <m/>
    <n v="285740532"/>
    <n v="0.02"/>
    <n v="5714810.6399999997"/>
    <m/>
    <n v="2"/>
    <n v="285740532"/>
    <n v="291455342.63999999"/>
    <s v=" "/>
    <m/>
    <m/>
    <m/>
    <n v="5817438"/>
    <n v="4952838"/>
    <n v="0"/>
    <n v="274970256"/>
    <m/>
    <n v="285740532"/>
    <s v=" "/>
    <n v="40188720"/>
    <n v="34371282"/>
    <n v="34371282"/>
    <n v="34371282"/>
    <n v="34371282"/>
    <n v="34371282"/>
    <n v="34371282"/>
    <n v="39324120"/>
    <n v="285740532"/>
    <n v="0"/>
    <s v="CONTRATO COSTEADO CON ALIMENTACION"/>
    <b v="1"/>
    <n v="0"/>
    <b v="1"/>
    <n v="0"/>
    <x v="1"/>
    <m/>
  </r>
  <r>
    <x v="96"/>
    <s v="LOTE 2"/>
    <x v="1"/>
    <x v="74"/>
    <x v="4"/>
    <x v="0"/>
    <s v="KR 53 CL 50 36"/>
    <n v="50881139600"/>
    <s v="CENTRO DE DESARROLLO INFANTIL IMAGINA TU MUNDO"/>
    <n v="1"/>
    <n v="200"/>
    <m/>
    <n v="2028"/>
    <s v="ARTÍCULO 34 CONTRATACIÓN CON EL REGISTRO ÚNICO DE OFERENTES"/>
    <m/>
    <m/>
    <x v="0"/>
    <x v="0"/>
    <x v="59"/>
    <x v="59"/>
    <n v="229173"/>
    <n v="15254"/>
    <n v="89725"/>
    <s v=" "/>
    <s v=" "/>
    <m/>
    <n v="865880400"/>
    <n v="0.02"/>
    <n v="17317608"/>
    <m/>
    <n v="3"/>
    <n v="865880400"/>
    <n v="883198008"/>
    <s v=" "/>
    <m/>
    <m/>
    <m/>
    <n v="17628600"/>
    <n v="15008600"/>
    <n v="0"/>
    <n v="833243200"/>
    <m/>
    <n v="865880400"/>
    <s v=" "/>
    <n v="121784000"/>
    <n v="104155400"/>
    <n v="104155400"/>
    <n v="104155400"/>
    <n v="104155400"/>
    <n v="104155400"/>
    <n v="104155400"/>
    <n v="119164000"/>
    <n v="865880400"/>
    <n v="0"/>
    <s v="CONTRATO COSTEADO CON ALIMENTACION"/>
    <b v="1"/>
    <n v="0"/>
    <b v="1"/>
    <n v="0"/>
    <x v="1"/>
    <m/>
  </r>
  <r>
    <x v="96"/>
    <s v="LOTE 2"/>
    <x v="1"/>
    <x v="74"/>
    <x v="4"/>
    <x v="0"/>
    <s v="RURAL BELLO EL PINAR"/>
    <n v="508800043268"/>
    <s v="CASA DE SU NIÑO"/>
    <n v="1"/>
    <n v="60"/>
    <m/>
    <n v="2028"/>
    <s v="ARTÍCULO 34 CONTRATACIÓN CON EL REGISTRO ÚNICO DE OFERENTES"/>
    <m/>
    <m/>
    <x v="0"/>
    <x v="0"/>
    <x v="59"/>
    <x v="59"/>
    <n v="229173"/>
    <n v="15254"/>
    <n v="89725"/>
    <s v=" "/>
    <s v=" "/>
    <m/>
    <n v="259764120"/>
    <n v="0.02"/>
    <n v="5195282.4000000004"/>
    <m/>
    <n v="4"/>
    <n v="259764120"/>
    <n v="264959402.40000001"/>
    <s v=" "/>
    <m/>
    <m/>
    <m/>
    <n v="5288580"/>
    <n v="4502580"/>
    <n v="0"/>
    <n v="249972960"/>
    <m/>
    <n v="259764120"/>
    <s v=" "/>
    <n v="36535200"/>
    <n v="31246620"/>
    <n v="31246620"/>
    <n v="31246620"/>
    <n v="31246620"/>
    <n v="31246620"/>
    <n v="31246620"/>
    <n v="35749200"/>
    <n v="259764120"/>
    <n v="0"/>
    <s v="CONTRATO COSTEADO CON ALIMENTACION"/>
    <b v="1"/>
    <n v="0"/>
    <b v="1"/>
    <n v="0"/>
    <x v="1"/>
    <m/>
  </r>
  <r>
    <x v="96"/>
    <s v="LOTE 2"/>
    <x v="1"/>
    <x v="74"/>
    <x v="4"/>
    <x v="0"/>
    <s v="AV 48 B 61 03"/>
    <n v="508800083289"/>
    <s v="FUTUROS GENIOS"/>
    <n v="1"/>
    <n v="110"/>
    <m/>
    <n v="2028"/>
    <s v="ARTÍCULO 34 CONTRATACIÓN CON EL REGISTRO ÚNICO DE OFERENTES"/>
    <m/>
    <m/>
    <x v="0"/>
    <x v="0"/>
    <x v="59"/>
    <x v="59"/>
    <n v="229173"/>
    <n v="15254"/>
    <n v="89725"/>
    <s v=" "/>
    <s v=" "/>
    <m/>
    <n v="476234220"/>
    <n v="0.02"/>
    <n v="9524684.4000000004"/>
    <m/>
    <n v="5"/>
    <n v="476234220"/>
    <n v="485758904.39999998"/>
    <s v=" "/>
    <m/>
    <m/>
    <m/>
    <n v="9695730"/>
    <n v="8254730"/>
    <n v="0"/>
    <n v="458283760"/>
    <m/>
    <n v="476234220"/>
    <s v=" "/>
    <n v="66981200"/>
    <n v="57285470"/>
    <n v="57285470"/>
    <n v="57285470"/>
    <n v="57285470"/>
    <n v="57285470"/>
    <n v="57285470"/>
    <n v="65540200"/>
    <n v="476234220"/>
    <n v="0"/>
    <s v="CONTRATO COSTEADO CON ALIMENTACION"/>
    <b v="1"/>
    <n v="0"/>
    <b v="1"/>
    <n v="0"/>
    <x v="1"/>
    <m/>
  </r>
  <r>
    <x v="96"/>
    <s v="LOTE 2"/>
    <x v="1"/>
    <x v="74"/>
    <x v="4"/>
    <x v="0"/>
    <s v="AV 34 D 42 G 55 MACHADO"/>
    <n v="508800083328"/>
    <s v="CONSTRUYENDO SUEÑOS"/>
    <n v="1"/>
    <n v="35"/>
    <m/>
    <n v="2028"/>
    <s v="ARTÍCULO 34 CONTRATACIÓN CON EL REGISTRO ÚNICO DE OFERENTES"/>
    <m/>
    <m/>
    <x v="0"/>
    <x v="0"/>
    <x v="59"/>
    <x v="59"/>
    <n v="229173"/>
    <n v="15254"/>
    <n v="89725"/>
    <s v=" "/>
    <s v=" "/>
    <m/>
    <n v="151529070"/>
    <n v="0.02"/>
    <n v="3030581.4"/>
    <m/>
    <n v="6"/>
    <n v="151529070"/>
    <n v="154559651.40000001"/>
    <s v=" "/>
    <m/>
    <m/>
    <m/>
    <n v="3085005"/>
    <n v="2626505"/>
    <n v="0"/>
    <n v="145817560"/>
    <m/>
    <n v="151529070"/>
    <s v=" "/>
    <n v="21312200"/>
    <n v="18227195"/>
    <n v="18227195"/>
    <n v="18227195"/>
    <n v="18227195"/>
    <n v="18227195"/>
    <n v="18227195"/>
    <n v="20853700"/>
    <n v="151529070"/>
    <n v="0"/>
    <s v="CONTRATO COSTEADO CON ALIMENTACION"/>
    <b v="1"/>
    <n v="0"/>
    <b v="1"/>
    <n v="0"/>
    <x v="1"/>
    <m/>
  </r>
  <r>
    <x v="96"/>
    <s v="LOTE 2"/>
    <x v="1"/>
    <x v="74"/>
    <x v="4"/>
    <x v="0"/>
    <s v="VEREDA GRANISAL SECTOR ALTOS DE ORIENTE"/>
    <n v="508800101926"/>
    <s v="CDI CORAZONES FELICES"/>
    <n v="1"/>
    <n v="67"/>
    <m/>
    <n v="2028"/>
    <s v="ARTÍCULO 34 CONTRATACIÓN CON EL REGISTRO ÚNICO DE OFERENTES"/>
    <m/>
    <m/>
    <x v="0"/>
    <x v="0"/>
    <x v="59"/>
    <x v="59"/>
    <n v="229173"/>
    <n v="15254"/>
    <n v="89725"/>
    <s v=" "/>
    <s v=" "/>
    <m/>
    <n v="290069934"/>
    <n v="0.02"/>
    <n v="5801398.6799999997"/>
    <m/>
    <n v="7"/>
    <n v="290069934"/>
    <n v="295871332.68000001"/>
    <s v=" "/>
    <m/>
    <m/>
    <m/>
    <n v="5905581"/>
    <n v="5027881"/>
    <n v="0"/>
    <n v="279136472"/>
    <m/>
    <n v="290069934"/>
    <s v=" "/>
    <n v="40797640"/>
    <n v="34892059"/>
    <n v="34892059"/>
    <n v="34892059"/>
    <n v="34892059"/>
    <n v="34892059"/>
    <n v="34892059"/>
    <n v="39919940"/>
    <n v="290069934"/>
    <n v="0"/>
    <s v="CONTRATO COSTEADO CON ALIMENTACION"/>
    <b v="1"/>
    <n v="0"/>
    <b v="1"/>
    <n v="0"/>
    <x v="1"/>
    <m/>
  </r>
  <r>
    <x v="97"/>
    <s v="LOTE 2"/>
    <x v="1"/>
    <x v="74"/>
    <x v="1"/>
    <x v="0"/>
    <s v="CL 21 81 A 25"/>
    <n v="50881119395"/>
    <s v="CASA PARIS/DUPLA 1"/>
    <n v="1"/>
    <n v="53"/>
    <m/>
    <n v="2029"/>
    <s v="ARTÍCULO 34 CONTRATACIÓN CON EL REGISTRO ÚNICO DE OFERENTES"/>
    <m/>
    <m/>
    <x v="0"/>
    <x v="0"/>
    <x v="60"/>
    <x v="60"/>
    <n v="229174"/>
    <n v="15259"/>
    <n v="90225"/>
    <n v="11"/>
    <n v="1011"/>
    <m/>
    <n v="80523165"/>
    <n v="0.02"/>
    <n v="1610463.3"/>
    <m/>
    <n v="1"/>
    <n v="80523165"/>
    <n v="82133628.299999997"/>
    <n v="1536017355"/>
    <n v="30720347"/>
    <n v="1566737702"/>
    <n v="1079.0427502634352"/>
    <n v="2477432"/>
    <n v="2005573"/>
    <n v="0"/>
    <n v="76040160"/>
    <m/>
    <n v="80523165"/>
    <n v="1536017355"/>
    <n v="11982452"/>
    <n v="9505020"/>
    <n v="9505020"/>
    <n v="9505020"/>
    <n v="9505020"/>
    <n v="9505020"/>
    <n v="9505020"/>
    <n v="11510593"/>
    <n v="80523165"/>
    <n v="79848104"/>
    <s v="CONTRATO ADICIONAL POR ALIMENTACION"/>
    <b v="1"/>
    <n v="0"/>
    <b v="1"/>
    <n v="0"/>
    <x v="1"/>
    <n v="2029"/>
  </r>
  <r>
    <x v="97"/>
    <s v="LOTE 2"/>
    <x v="1"/>
    <x v="74"/>
    <x v="1"/>
    <x v="0"/>
    <s v="KR 40 C 20 E 43"/>
    <n v="50881119470"/>
    <s v="CASA BETHANIA ZAMORA/MARIA FERNANDA SILVA/PECAS"/>
    <n v="1"/>
    <n v="54"/>
    <m/>
    <n v="2029"/>
    <s v="ARTÍCULO 34 CONTRATACIÓN CON EL REGISTRO ÚNICO DE OFERENTES"/>
    <m/>
    <m/>
    <x v="0"/>
    <x v="0"/>
    <x v="60"/>
    <x v="60"/>
    <n v="229174"/>
    <n v="15259"/>
    <n v="90225"/>
    <s v=" "/>
    <s v=" "/>
    <m/>
    <n v="82042470"/>
    <n v="0.02"/>
    <n v="1640849.4000000001"/>
    <m/>
    <n v="2"/>
    <n v="82042470"/>
    <n v="83683319.400000006"/>
    <s v=" "/>
    <m/>
    <m/>
    <m/>
    <n v="2524176"/>
    <n v="2043414"/>
    <n v="0"/>
    <n v="77474880"/>
    <m/>
    <n v="82042470"/>
    <s v=" "/>
    <n v="12208536"/>
    <n v="9684360"/>
    <n v="9684360"/>
    <n v="9684360"/>
    <n v="9684360"/>
    <n v="9684360"/>
    <n v="9684360"/>
    <n v="11727774"/>
    <n v="82042470"/>
    <n v="81354672"/>
    <s v="CONTRATO ADICIONAL POR ALIMENTACION"/>
    <b v="1"/>
    <n v="0"/>
    <b v="1"/>
    <n v="0"/>
    <x v="1"/>
    <n v="2029"/>
  </r>
  <r>
    <x v="97"/>
    <s v="LOTE 2"/>
    <x v="1"/>
    <x v="74"/>
    <x v="1"/>
    <x v="0"/>
    <s v="DG 42 F 36 C 121"/>
    <n v="50881119476"/>
    <s v="ACCION COMUNAL 5 ESTRELLAS/DUPLA 1"/>
    <n v="1"/>
    <n v="54"/>
    <m/>
    <n v="2029"/>
    <s v="ARTÍCULO 34 CONTRATACIÓN CON EL REGISTRO ÚNICO DE OFERENTES"/>
    <m/>
    <m/>
    <x v="0"/>
    <x v="0"/>
    <x v="60"/>
    <x v="60"/>
    <n v="229174"/>
    <n v="15259"/>
    <n v="90225"/>
    <s v=" "/>
    <s v=" "/>
    <m/>
    <n v="82042470"/>
    <n v="0.02"/>
    <n v="1640849.4000000001"/>
    <m/>
    <n v="3"/>
    <n v="82042470"/>
    <n v="83683319.400000006"/>
    <s v=" "/>
    <m/>
    <m/>
    <m/>
    <n v="2524176"/>
    <n v="2043414"/>
    <n v="0"/>
    <n v="77474880"/>
    <m/>
    <n v="82042470"/>
    <s v=" "/>
    <n v="12208536"/>
    <n v="9684360"/>
    <n v="9684360"/>
    <n v="9684360"/>
    <n v="9684360"/>
    <n v="9684360"/>
    <n v="9684360"/>
    <n v="11727774"/>
    <n v="82042470"/>
    <n v="81354672"/>
    <s v="CONTRATO ADICIONAL POR ALIMENTACION"/>
    <b v="1"/>
    <n v="0"/>
    <b v="1"/>
    <n v="0"/>
    <x v="1"/>
    <n v="2029"/>
  </r>
  <r>
    <x v="97"/>
    <s v="LOTE 2"/>
    <x v="1"/>
    <x v="74"/>
    <x v="1"/>
    <x v="0"/>
    <s v="KILÓMETRO 7 ANTIGUA VÍA A GUARNE CDI"/>
    <n v="50881135605"/>
    <s v="CDI CORAZONES FELICES ALTOS DE ORIEN"/>
    <n v="1"/>
    <n v="98"/>
    <m/>
    <n v="2029"/>
    <s v="ARTÍCULO 34 CONTRATACIÓN CON EL REGISTRO ÚNICO DE OFERENTES"/>
    <m/>
    <m/>
    <x v="0"/>
    <x v="0"/>
    <x v="60"/>
    <x v="60"/>
    <n v="229174"/>
    <n v="15259"/>
    <n v="90225"/>
    <s v=" "/>
    <s v=" "/>
    <m/>
    <n v="148891890"/>
    <n v="0.02"/>
    <n v="2977837.8000000003"/>
    <m/>
    <n v="4"/>
    <n v="148891890"/>
    <n v="151869727.80000001"/>
    <s v=" "/>
    <m/>
    <m/>
    <m/>
    <n v="4580912"/>
    <n v="3708418"/>
    <n v="0"/>
    <n v="140602560"/>
    <m/>
    <n v="148891890"/>
    <s v=" "/>
    <n v="22156232"/>
    <n v="17575320"/>
    <n v="17575320"/>
    <n v="17575320"/>
    <n v="17575320"/>
    <n v="17575320"/>
    <n v="17575320"/>
    <n v="21283738"/>
    <n v="148891890"/>
    <n v="147643664"/>
    <s v="CONTRATO ADICIONAL POR ALIMENTACION"/>
    <b v="1"/>
    <n v="0"/>
    <b v="1"/>
    <n v="0"/>
    <x v="1"/>
    <n v="2029"/>
  </r>
  <r>
    <x v="97"/>
    <s v="LOTE 2"/>
    <x v="1"/>
    <x v="74"/>
    <x v="1"/>
    <x v="0"/>
    <s v="KR 63 A BIS 54 A 18"/>
    <n v="50881135615"/>
    <s v="JAC EL PORVENIR"/>
    <n v="1"/>
    <n v="155"/>
    <m/>
    <n v="2029"/>
    <s v="ARTÍCULO 34 CONTRATACIÓN CON EL REGISTRO ÚNICO DE OFERENTES"/>
    <m/>
    <m/>
    <x v="0"/>
    <x v="0"/>
    <x v="60"/>
    <x v="60"/>
    <n v="229174"/>
    <n v="15259"/>
    <n v="90225"/>
    <s v=" "/>
    <s v=" "/>
    <m/>
    <n v="235492275"/>
    <n v="0.02"/>
    <n v="4709845.5"/>
    <m/>
    <n v="5"/>
    <n v="235492275"/>
    <n v="240202120.5"/>
    <s v=" "/>
    <m/>
    <m/>
    <m/>
    <n v="7245320"/>
    <n v="5865355"/>
    <n v="0"/>
    <n v="222381600"/>
    <m/>
    <n v="235492275"/>
    <s v=" "/>
    <n v="35043020"/>
    <n v="27797700"/>
    <n v="27797700"/>
    <n v="27797700"/>
    <n v="27797700"/>
    <n v="27797700"/>
    <n v="27797700"/>
    <n v="33663055"/>
    <n v="235492275"/>
    <n v="233518040"/>
    <s v="CONTRATO ADICIONAL POR ALIMENTACION"/>
    <b v="1"/>
    <n v="0"/>
    <b v="1"/>
    <n v="0"/>
    <x v="1"/>
    <n v="2029"/>
  </r>
  <r>
    <x v="97"/>
    <s v="LOTE 2"/>
    <x v="1"/>
    <x v="74"/>
    <x v="1"/>
    <x v="0"/>
    <s v="DG 65 47 C 120"/>
    <n v="50881135616"/>
    <s v="SALON COMUNAL UNICAF NIQUIA"/>
    <n v="1"/>
    <n v="200"/>
    <m/>
    <n v="2029"/>
    <s v="ARTÍCULO 34 CONTRATACIÓN CON EL REGISTRO ÚNICO DE OFERENTES"/>
    <m/>
    <m/>
    <x v="0"/>
    <x v="0"/>
    <x v="60"/>
    <x v="60"/>
    <n v="229174"/>
    <n v="15259"/>
    <n v="90225"/>
    <s v=" "/>
    <s v=" "/>
    <m/>
    <n v="303861000"/>
    <n v="0.02"/>
    <n v="6077220"/>
    <m/>
    <n v="6"/>
    <n v="303861000"/>
    <n v="309938220"/>
    <s v=" "/>
    <m/>
    <m/>
    <m/>
    <n v="9348800"/>
    <n v="7568200"/>
    <n v="0"/>
    <n v="286944000"/>
    <m/>
    <n v="303861000"/>
    <s v=" "/>
    <n v="45216800"/>
    <n v="35868000"/>
    <n v="35868000"/>
    <n v="35868000"/>
    <n v="35868000"/>
    <n v="35868000"/>
    <n v="35868000"/>
    <n v="43436200"/>
    <n v="303861000"/>
    <n v="301313600"/>
    <s v="CONTRATO ADICIONAL POR ALIMENTACION"/>
    <b v="1"/>
    <n v="0"/>
    <b v="1"/>
    <n v="0"/>
    <x v="1"/>
    <n v="2029"/>
  </r>
  <r>
    <x v="97"/>
    <s v="LOTE 2"/>
    <x v="1"/>
    <x v="74"/>
    <x v="1"/>
    <x v="0"/>
    <s v="CENTRO CULTURAL SAN FELIX 1"/>
    <n v="50881135619"/>
    <s v="CENTRO CULTURAL SAN FELIX 1"/>
    <n v="1"/>
    <n v="55"/>
    <m/>
    <n v="2029"/>
    <s v="ARTÍCULO 34 CONTRATACIÓN CON EL REGISTRO ÚNICO DE OFERENTES"/>
    <m/>
    <m/>
    <x v="0"/>
    <x v="0"/>
    <x v="60"/>
    <x v="60"/>
    <n v="229174"/>
    <n v="15259"/>
    <n v="90225"/>
    <s v=" "/>
    <s v=" "/>
    <m/>
    <n v="83561775"/>
    <n v="0.02"/>
    <n v="1671235.5"/>
    <m/>
    <n v="7"/>
    <n v="83561775"/>
    <n v="85233010.5"/>
    <s v=" "/>
    <m/>
    <m/>
    <m/>
    <n v="2570920"/>
    <n v="2081255"/>
    <n v="0"/>
    <n v="78909600"/>
    <m/>
    <n v="83561775"/>
    <s v=" "/>
    <n v="12434620"/>
    <n v="9863700"/>
    <n v="9863700"/>
    <n v="9863700"/>
    <n v="9863700"/>
    <n v="9863700"/>
    <n v="9863700"/>
    <n v="11944955"/>
    <n v="83561775"/>
    <n v="82861240"/>
    <s v="CONTRATO ADICIONAL POR ALIMENTACION"/>
    <b v="1"/>
    <n v="0"/>
    <b v="1"/>
    <n v="0"/>
    <x v="1"/>
    <n v="2029"/>
  </r>
  <r>
    <x v="97"/>
    <s v="LOTE 2"/>
    <x v="1"/>
    <x v="74"/>
    <x v="1"/>
    <x v="0"/>
    <s v="KILÓMETRO 24 VÍA MEDELLÍN SAN PEDRO"/>
    <n v="50881135620"/>
    <s v="IE LA UNIÓN"/>
    <n v="1"/>
    <n v="45"/>
    <m/>
    <n v="2029"/>
    <s v="ARTÍCULO 34 CONTRATACIÓN CON EL REGISTRO ÚNICO DE OFERENTES"/>
    <m/>
    <m/>
    <x v="0"/>
    <x v="0"/>
    <x v="60"/>
    <x v="60"/>
    <n v="229174"/>
    <n v="15259"/>
    <n v="90225"/>
    <s v=" "/>
    <s v=" "/>
    <m/>
    <n v="68368725"/>
    <n v="0.02"/>
    <n v="1367374.5"/>
    <m/>
    <n v="8"/>
    <n v="68368725"/>
    <n v="69736099.5"/>
    <s v=" "/>
    <m/>
    <m/>
    <m/>
    <n v="2103480"/>
    <n v="1702845"/>
    <n v="0"/>
    <n v="64562400"/>
    <m/>
    <n v="68368725"/>
    <s v=" "/>
    <n v="10173780"/>
    <n v="8070300"/>
    <n v="8070300"/>
    <n v="8070300"/>
    <n v="8070300"/>
    <n v="8070300"/>
    <n v="8070300"/>
    <n v="9773145"/>
    <n v="68368725"/>
    <n v="67795560"/>
    <s v="CONTRATO ADICIONAL POR ALIMENTACION"/>
    <b v="1"/>
    <n v="0"/>
    <b v="1"/>
    <n v="0"/>
    <x v="1"/>
    <n v="2029"/>
  </r>
  <r>
    <x v="97"/>
    <s v="LOTE 2"/>
    <x v="1"/>
    <x v="74"/>
    <x v="1"/>
    <x v="0"/>
    <s v="(en blanco)"/>
    <n v="50881148706"/>
    <s v="JAC OASIS DE PAZ 1"/>
    <n v="1"/>
    <n v="97"/>
    <m/>
    <n v="2029"/>
    <s v="ARTÍCULO 34 CONTRATACIÓN CON EL REGISTRO ÚNICO DE OFERENTES"/>
    <m/>
    <m/>
    <x v="0"/>
    <x v="0"/>
    <x v="60"/>
    <x v="60"/>
    <n v="229174"/>
    <n v="15259"/>
    <n v="90225"/>
    <s v=" "/>
    <s v=" "/>
    <m/>
    <n v="147372585"/>
    <n v="0.02"/>
    <n v="2947451.7"/>
    <m/>
    <n v="9"/>
    <n v="147372585"/>
    <n v="150320036.69999999"/>
    <s v=" "/>
    <m/>
    <m/>
    <m/>
    <n v="4534168"/>
    <n v="3670577"/>
    <n v="0"/>
    <n v="139167840"/>
    <m/>
    <n v="147372585"/>
    <s v=" "/>
    <n v="21930148"/>
    <n v="17395980"/>
    <n v="17395980"/>
    <n v="17395980"/>
    <n v="17395980"/>
    <n v="17395980"/>
    <n v="17395980"/>
    <n v="21066557"/>
    <n v="147372585"/>
    <n v="146137096"/>
    <s v="CONTRATO ADICIONAL POR ALIMENTACION"/>
    <b v="1"/>
    <n v="0"/>
    <b v="1"/>
    <n v="0"/>
    <x v="1"/>
    <n v="2029"/>
  </r>
  <r>
    <x v="97"/>
    <s v="LOTE 2"/>
    <x v="1"/>
    <x v="74"/>
    <x v="1"/>
    <x v="0"/>
    <s v="CL 52 B 64 22"/>
    <n v="50881152200"/>
    <s v="BIBLIOTECA EL CARMELO"/>
    <n v="1"/>
    <n v="100"/>
    <m/>
    <n v="2029"/>
    <s v="ARTÍCULO 34 CONTRATACIÓN CON EL REGISTRO ÚNICO DE OFERENTES"/>
    <m/>
    <m/>
    <x v="0"/>
    <x v="0"/>
    <x v="60"/>
    <x v="60"/>
    <n v="229174"/>
    <n v="15259"/>
    <n v="90225"/>
    <s v=" "/>
    <s v=" "/>
    <m/>
    <n v="151930500"/>
    <n v="0.02"/>
    <n v="3038610"/>
    <m/>
    <n v="10"/>
    <n v="151930500"/>
    <n v="154969110"/>
    <s v=" "/>
    <m/>
    <m/>
    <m/>
    <n v="4674400"/>
    <n v="3784100"/>
    <n v="0"/>
    <n v="143472000"/>
    <m/>
    <n v="151930500"/>
    <s v=" "/>
    <n v="22608400"/>
    <n v="17934000"/>
    <n v="17934000"/>
    <n v="17934000"/>
    <n v="17934000"/>
    <n v="17934000"/>
    <n v="17934000"/>
    <n v="21718100"/>
    <n v="151930500"/>
    <n v="150656800"/>
    <s v="CONTRATO ADICIONAL POR ALIMENTACION"/>
    <b v="1"/>
    <n v="0"/>
    <b v="1"/>
    <n v="0"/>
    <x v="1"/>
    <n v="2029"/>
  </r>
  <r>
    <x v="97"/>
    <s v="LOTE 2"/>
    <x v="1"/>
    <x v="74"/>
    <x v="1"/>
    <x v="0"/>
    <s v="CL 71 59 60 PACHELLY"/>
    <n v="50881152485"/>
    <s v="JAC PACHELLY BELLO"/>
    <n v="1"/>
    <n v="100"/>
    <m/>
    <n v="2029"/>
    <s v="ARTÍCULO 34 CONTRATACIÓN CON EL REGISTRO ÚNICO DE OFERENTES"/>
    <m/>
    <m/>
    <x v="0"/>
    <x v="0"/>
    <x v="60"/>
    <x v="60"/>
    <n v="229174"/>
    <n v="15259"/>
    <n v="90225"/>
    <s v=" "/>
    <s v=" "/>
    <m/>
    <n v="151930500"/>
    <n v="0.02"/>
    <n v="3038610"/>
    <m/>
    <n v="11"/>
    <n v="151930500"/>
    <n v="154969110"/>
    <s v=" "/>
    <m/>
    <m/>
    <m/>
    <n v="4674400"/>
    <n v="3784100"/>
    <n v="0"/>
    <n v="143472000"/>
    <m/>
    <n v="151930500"/>
    <s v=" "/>
    <n v="22608400"/>
    <n v="17934000"/>
    <n v="17934000"/>
    <n v="17934000"/>
    <n v="17934000"/>
    <n v="17934000"/>
    <n v="17934000"/>
    <n v="21718100"/>
    <n v="151930500"/>
    <n v="150656800"/>
    <s v="CONTRATO ADICIONAL POR ALIMENTACION"/>
    <b v="1"/>
    <n v="0"/>
    <b v="1"/>
    <n v="0"/>
    <x v="1"/>
    <n v="2029"/>
  </r>
  <r>
    <x v="98"/>
    <s v="LOTE 2"/>
    <x v="1"/>
    <x v="74"/>
    <x v="1"/>
    <x v="0"/>
    <s v="KR 68 25 A 31"/>
    <n v="50881119453"/>
    <s v="SALON SOCIAL MARUCHENGA/DUPLA 1"/>
    <n v="1"/>
    <n v="50"/>
    <m/>
    <n v="2030"/>
    <s v="ARTÍCULO 34 CONTRATACIÓN CON EL REGISTRO ÚNICO DE OFERENTES"/>
    <m/>
    <m/>
    <x v="0"/>
    <x v="0"/>
    <x v="61"/>
    <x v="61"/>
    <n v="229175"/>
    <n v="15230"/>
    <n v="87125"/>
    <n v="20"/>
    <n v="959"/>
    <m/>
    <n v="75965250"/>
    <n v="0.02"/>
    <n v="1519305"/>
    <m/>
    <n v="1"/>
    <n v="75965250"/>
    <n v="77484555"/>
    <n v="1457013495"/>
    <n v="29140270"/>
    <n v="1486153765"/>
    <n v="1023.5430242360379"/>
    <n v="2337200"/>
    <n v="1892050"/>
    <n v="0"/>
    <n v="71736000"/>
    <m/>
    <n v="75965250"/>
    <n v="1457013495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2030"/>
  </r>
  <r>
    <x v="98"/>
    <s v="LOTE 2"/>
    <x v="1"/>
    <x v="74"/>
    <x v="1"/>
    <x v="0"/>
    <s v="CL 21 81 A 25"/>
    <n v="50881119467"/>
    <s v="CASA PARIS/DUPLA 2"/>
    <n v="1"/>
    <n v="52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9003860"/>
    <n v="0.02"/>
    <n v="1580077.2"/>
    <m/>
    <n v="2"/>
    <n v="79003860"/>
    <n v="80583937.200000003"/>
    <s v=" "/>
    <m/>
    <m/>
    <m/>
    <n v="2430688"/>
    <n v="1967732"/>
    <n v="0"/>
    <n v="74605440"/>
    <m/>
    <n v="79003860"/>
    <s v=" "/>
    <n v="11756368"/>
    <n v="9325680"/>
    <n v="9325680"/>
    <n v="9325680"/>
    <n v="9325680"/>
    <n v="9325680"/>
    <n v="9325680"/>
    <n v="11293412"/>
    <n v="79003860"/>
    <n v="78341536"/>
    <s v="CONTRATO ADICIONAL POR ALIMENTACION"/>
    <b v="1"/>
    <n v="0"/>
    <b v="1"/>
    <n v="0"/>
    <x v="1"/>
    <n v="2030"/>
  </r>
  <r>
    <x v="98"/>
    <s v="LOTE 2"/>
    <x v="1"/>
    <x v="74"/>
    <x v="1"/>
    <x v="0"/>
    <s v="KR 40 C 20 E 43"/>
    <n v="50881119474"/>
    <s v="CASA BETHANIA ZAMORA/EDILMA VALENCIA/PECAS"/>
    <n v="1"/>
    <n v="53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80523165"/>
    <n v="0.02"/>
    <n v="1610463.3"/>
    <m/>
    <n v="3"/>
    <n v="80523165"/>
    <n v="82133628.299999997"/>
    <s v=" "/>
    <m/>
    <m/>
    <m/>
    <n v="2477432"/>
    <n v="2005573"/>
    <n v="0"/>
    <n v="76040160"/>
    <m/>
    <n v="80523165"/>
    <s v=" "/>
    <n v="11982452"/>
    <n v="9505020"/>
    <n v="9505020"/>
    <n v="9505020"/>
    <n v="9505020"/>
    <n v="9505020"/>
    <n v="9505020"/>
    <n v="11510593"/>
    <n v="80523165"/>
    <n v="79848104"/>
    <s v="CONTRATO ADICIONAL POR ALIMENTACION"/>
    <b v="1"/>
    <n v="0"/>
    <b v="1"/>
    <n v="0"/>
    <x v="1"/>
    <n v="2030"/>
  </r>
  <r>
    <x v="98"/>
    <s v="LOTE 2"/>
    <x v="1"/>
    <x v="74"/>
    <x v="1"/>
    <x v="0"/>
    <s v="KR 68 25 A 31"/>
    <n v="50881119477"/>
    <s v="SALON SOCIAL MARUCHENGA/DUPLA 2"/>
    <n v="1"/>
    <n v="52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9003860"/>
    <n v="0.02"/>
    <n v="1580077.2"/>
    <m/>
    <n v="4"/>
    <n v="79003860"/>
    <n v="80583937.200000003"/>
    <s v=" "/>
    <m/>
    <m/>
    <m/>
    <n v="2430688"/>
    <n v="1967732"/>
    <n v="0"/>
    <n v="74605440"/>
    <m/>
    <n v="79003860"/>
    <s v=" "/>
    <n v="11756368"/>
    <n v="9325680"/>
    <n v="9325680"/>
    <n v="9325680"/>
    <n v="9325680"/>
    <n v="9325680"/>
    <n v="9325680"/>
    <n v="11293412"/>
    <n v="79003860"/>
    <n v="78341536"/>
    <s v="CONTRATO ADICIONAL POR ALIMENTACION"/>
    <b v="1"/>
    <n v="0"/>
    <b v="1"/>
    <n v="0"/>
    <x v="1"/>
    <n v="2030"/>
  </r>
  <r>
    <x v="98"/>
    <s v="LOTE 2"/>
    <x v="1"/>
    <x v="74"/>
    <x v="1"/>
    <x v="0"/>
    <s v="KR 68 25 A 31"/>
    <n v="50881119479"/>
    <s v="SALON SOCIAL MARUCHENGA/DUPLA 3"/>
    <n v="1"/>
    <n v="52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9003860"/>
    <n v="0.02"/>
    <n v="1580077.2"/>
    <m/>
    <n v="5"/>
    <n v="79003860"/>
    <n v="80583937.200000003"/>
    <s v=" "/>
    <m/>
    <m/>
    <m/>
    <n v="2430688"/>
    <n v="1967732"/>
    <n v="0"/>
    <n v="74605440"/>
    <m/>
    <n v="79003860"/>
    <s v=" "/>
    <n v="11756368"/>
    <n v="9325680"/>
    <n v="9325680"/>
    <n v="9325680"/>
    <n v="9325680"/>
    <n v="9325680"/>
    <n v="9325680"/>
    <n v="11293412"/>
    <n v="79003860"/>
    <n v="78341536"/>
    <s v="CONTRATO ADICIONAL POR ALIMENTACION"/>
    <b v="1"/>
    <n v="0"/>
    <b v="1"/>
    <n v="0"/>
    <x v="1"/>
    <n v="2030"/>
  </r>
  <r>
    <x v="98"/>
    <s v="LOTE 2"/>
    <x v="1"/>
    <x v="74"/>
    <x v="1"/>
    <x v="0"/>
    <s v="KR 68 25 A 31"/>
    <n v="50881119480"/>
    <s v="SALON SOCIAL MARUCHENGA/DUPLA 4"/>
    <n v="1"/>
    <n v="50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5965250"/>
    <n v="0.02"/>
    <n v="1519305"/>
    <m/>
    <n v="6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2030"/>
  </r>
  <r>
    <x v="98"/>
    <s v="LOTE 2"/>
    <x v="1"/>
    <x v="74"/>
    <x v="1"/>
    <x v="0"/>
    <s v="VEREDA HATO VIEJO"/>
    <n v="50881135621"/>
    <s v="FINCA HATO VIEJO"/>
    <n v="1"/>
    <n v="33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50137065"/>
    <n v="0.02"/>
    <n v="1002741.3"/>
    <m/>
    <n v="7"/>
    <n v="50137065"/>
    <n v="51139806.299999997"/>
    <s v=" "/>
    <m/>
    <m/>
    <m/>
    <n v="1542552"/>
    <n v="1248753"/>
    <n v="0"/>
    <n v="47345760"/>
    <m/>
    <n v="50137065"/>
    <s v=" "/>
    <n v="7460772"/>
    <n v="5918220"/>
    <n v="5918220"/>
    <n v="5918220"/>
    <n v="5918220"/>
    <n v="5918220"/>
    <n v="5918220"/>
    <n v="7166973"/>
    <n v="50137065"/>
    <n v="49716744"/>
    <s v="CONTRATO ADICIONAL POR ALIMENTACION"/>
    <b v="1"/>
    <n v="0"/>
    <b v="1"/>
    <n v="0"/>
    <x v="1"/>
    <n v="2030"/>
  </r>
  <r>
    <x v="98"/>
    <s v="LOTE 2"/>
    <x v="1"/>
    <x v="74"/>
    <x v="1"/>
    <x v="0"/>
    <s v="CARRERA 63A 52B 21"/>
    <n v="50881135622"/>
    <s v="SALON PARROQUIAL POTRERITO"/>
    <n v="1"/>
    <n v="16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24308880"/>
    <n v="0.02"/>
    <n v="486177.60000000003"/>
    <m/>
    <n v="8"/>
    <n v="24308880"/>
    <n v="24795057.600000001"/>
    <s v=" "/>
    <m/>
    <m/>
    <m/>
    <n v="747904"/>
    <n v="605456"/>
    <n v="0"/>
    <n v="22955520"/>
    <m/>
    <n v="24308880"/>
    <s v=" "/>
    <n v="3617344"/>
    <n v="2869440"/>
    <n v="2869440"/>
    <n v="2869440"/>
    <n v="2869440"/>
    <n v="2869440"/>
    <n v="2869440"/>
    <n v="3474896"/>
    <n v="24308880"/>
    <n v="24105088"/>
    <s v="CONTRATO ADICIONAL POR ALIMENTACION"/>
    <b v="1"/>
    <n v="0"/>
    <b v="1"/>
    <n v="0"/>
    <x v="1"/>
    <n v="2030"/>
  </r>
  <r>
    <x v="98"/>
    <s v="LOTE 2"/>
    <x v="1"/>
    <x v="74"/>
    <x v="1"/>
    <x v="0"/>
    <s v="INSTITUCION EDUCATIVA EL TAMBO"/>
    <n v="50881136730"/>
    <s v="IE EL TAMBO"/>
    <n v="1"/>
    <n v="50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5965250"/>
    <n v="0.02"/>
    <n v="1519305"/>
    <m/>
    <n v="9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2030"/>
  </r>
  <r>
    <x v="98"/>
    <s v="LOTE 2"/>
    <x v="1"/>
    <x v="74"/>
    <x v="1"/>
    <x v="0"/>
    <s v="JAC LOS ESPEJOS EL SALADO"/>
    <n v="50881136745"/>
    <s v="JAC LOS ESPEJOS"/>
    <n v="1"/>
    <n v="50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5965250"/>
    <n v="0.02"/>
    <n v="1519305"/>
    <m/>
    <n v="10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2030"/>
  </r>
  <r>
    <x v="98"/>
    <s v="LOTE 2"/>
    <x v="1"/>
    <x v="74"/>
    <x v="1"/>
    <x v="0"/>
    <s v="(en blanco)"/>
    <n v="50881152201"/>
    <s v="REGALO DE DIOS 1"/>
    <n v="1"/>
    <n v="49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4445945"/>
    <n v="0.02"/>
    <n v="1488918.9000000001"/>
    <m/>
    <n v="11"/>
    <n v="74445945"/>
    <n v="75934863.900000006"/>
    <s v=" "/>
    <m/>
    <m/>
    <m/>
    <n v="2290456"/>
    <n v="1854209"/>
    <n v="0"/>
    <n v="70301280"/>
    <m/>
    <n v="74445945"/>
    <s v=" "/>
    <n v="11078116"/>
    <n v="8787660"/>
    <n v="8787660"/>
    <n v="8787660"/>
    <n v="8787660"/>
    <n v="8787660"/>
    <n v="8787660"/>
    <n v="10641869"/>
    <n v="74445945"/>
    <n v="73821832"/>
    <s v="CONTRATO ADICIONAL POR ALIMENTACION"/>
    <b v="1"/>
    <n v="0"/>
    <b v="1"/>
    <n v="0"/>
    <x v="1"/>
    <n v="2030"/>
  </r>
  <r>
    <x v="98"/>
    <s v="LOTE 2"/>
    <x v="1"/>
    <x v="74"/>
    <x v="1"/>
    <x v="0"/>
    <s v="AV 35 44 90 LAS VEGAS"/>
    <n v="50881152490"/>
    <s v="JAC CINCO ESTRELLAS BELLO"/>
    <n v="1"/>
    <n v="52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9003860"/>
    <n v="0.02"/>
    <n v="1580077.2"/>
    <m/>
    <n v="12"/>
    <n v="79003860"/>
    <n v="80583937.200000003"/>
    <s v=" "/>
    <m/>
    <m/>
    <m/>
    <n v="2430688"/>
    <n v="1967732"/>
    <n v="0"/>
    <n v="74605440"/>
    <m/>
    <n v="79003860"/>
    <s v=" "/>
    <n v="11756368"/>
    <n v="9325680"/>
    <n v="9325680"/>
    <n v="9325680"/>
    <n v="9325680"/>
    <n v="9325680"/>
    <n v="9325680"/>
    <n v="11293412"/>
    <n v="79003860"/>
    <n v="78341536"/>
    <s v="CONTRATO ADICIONAL POR ALIMENTACION"/>
    <b v="1"/>
    <n v="0"/>
    <b v="1"/>
    <n v="0"/>
    <x v="1"/>
    <n v="2030"/>
  </r>
  <r>
    <x v="98"/>
    <s v="LOTE 2"/>
    <x v="1"/>
    <x v="74"/>
    <x v="1"/>
    <x v="0"/>
    <s v="JAC REGALO DE DIOS, VEREDA GRANISAL, KILOMETRO 7 ANTIGUA VÍA A GUARNE"/>
    <n v="50881155672"/>
    <s v="REGALO DE DIOS 2"/>
    <n v="1"/>
    <n v="49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4445945"/>
    <n v="0.02"/>
    <n v="1488918.9000000001"/>
    <m/>
    <n v="13"/>
    <n v="74445945"/>
    <n v="75934863.900000006"/>
    <s v=" "/>
    <m/>
    <m/>
    <m/>
    <n v="2290456"/>
    <n v="1854209"/>
    <n v="0"/>
    <n v="70301280"/>
    <m/>
    <n v="74445945"/>
    <s v=" "/>
    <n v="11078116"/>
    <n v="8787660"/>
    <n v="8787660"/>
    <n v="8787660"/>
    <n v="8787660"/>
    <n v="8787660"/>
    <n v="8787660"/>
    <n v="10641869"/>
    <n v="74445945"/>
    <n v="73821832"/>
    <s v="CONTRATO ADICIONAL POR ALIMENTACION"/>
    <b v="1"/>
    <n v="0"/>
    <b v="1"/>
    <n v="0"/>
    <x v="1"/>
    <n v="2030"/>
  </r>
  <r>
    <x v="98"/>
    <s v="LOTE 2"/>
    <x v="1"/>
    <x v="74"/>
    <x v="1"/>
    <x v="0"/>
    <s v="CL 25 A 76 84 BARRIO PARIS CASA DE JUSTICIA"/>
    <n v="50881155673"/>
    <s v="CASA PARIS 3"/>
    <n v="1"/>
    <n v="50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5965250"/>
    <n v="0.02"/>
    <n v="1519305"/>
    <m/>
    <n v="14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2030"/>
  </r>
  <r>
    <x v="98"/>
    <s v="LOTE 2"/>
    <x v="1"/>
    <x v="74"/>
    <x v="1"/>
    <x v="0"/>
    <s v="DG 65 36 B 10 BARRIO QUITASOL"/>
    <n v="50881155674"/>
    <s v="QUITASOL"/>
    <n v="1"/>
    <n v="50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5965250"/>
    <n v="0.02"/>
    <n v="1519305"/>
    <m/>
    <n v="15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2030"/>
  </r>
  <r>
    <x v="98"/>
    <s v="LOTE 2"/>
    <x v="1"/>
    <x v="74"/>
    <x v="1"/>
    <x v="0"/>
    <s v="AV 36 C 42 C 36 BARRIO LA CAMILA INSTITUCION EDUCATIVA SAN JUDAS TADEO"/>
    <n v="50881155675"/>
    <s v="LA CAMILA"/>
    <n v="1"/>
    <n v="50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5965250"/>
    <n v="0.02"/>
    <n v="1519305"/>
    <m/>
    <n v="16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2030"/>
  </r>
  <r>
    <x v="98"/>
    <s v="LOTE 2"/>
    <x v="1"/>
    <x v="74"/>
    <x v="1"/>
    <x v="0"/>
    <s v="CL 50 53 18"/>
    <n v="50881155676"/>
    <s v="ESPÍRITU SANTO"/>
    <n v="1"/>
    <n v="50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5965250"/>
    <n v="0.02"/>
    <n v="1519305"/>
    <m/>
    <n v="17"/>
    <n v="75965250"/>
    <n v="77484555"/>
    <s v=" "/>
    <m/>
    <m/>
    <m/>
    <n v="2337200"/>
    <n v="1892050"/>
    <n v="0"/>
    <n v="71736000"/>
    <m/>
    <n v="75965250"/>
    <s v=" "/>
    <n v="11304200"/>
    <n v="8967000"/>
    <n v="8967000"/>
    <n v="8967000"/>
    <n v="8967000"/>
    <n v="8967000"/>
    <n v="8967000"/>
    <n v="10859050"/>
    <n v="75965250"/>
    <n v="75328400"/>
    <s v="CONTRATO ADICIONAL POR ALIMENTACION"/>
    <b v="1"/>
    <n v="0"/>
    <b v="1"/>
    <n v="0"/>
    <x v="1"/>
    <n v="2030"/>
  </r>
  <r>
    <x v="98"/>
    <s v="LOTE 2"/>
    <x v="1"/>
    <x v="74"/>
    <x v="1"/>
    <x v="0"/>
    <s v="DG 58 44 61 BARRIO EL TAPON"/>
    <n v="50881155763"/>
    <s v="TAPON "/>
    <n v="1"/>
    <n v="46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69888030"/>
    <n v="0.02"/>
    <n v="1397760.6"/>
    <m/>
    <n v="18"/>
    <n v="69888030"/>
    <n v="71285790.599999994"/>
    <s v=" "/>
    <m/>
    <m/>
    <m/>
    <n v="2150224"/>
    <n v="1740686"/>
    <n v="0"/>
    <n v="65997120"/>
    <m/>
    <n v="69888030"/>
    <s v=" "/>
    <n v="10399864"/>
    <n v="8249640"/>
    <n v="8249640"/>
    <n v="8249640"/>
    <n v="8249640"/>
    <n v="8249640"/>
    <n v="8249640"/>
    <n v="9990326"/>
    <n v="69888030"/>
    <n v="69302128"/>
    <s v="CONTRATO ADICIONAL POR ALIMENTACION"/>
    <b v="1"/>
    <n v="0"/>
    <b v="1"/>
    <n v="0"/>
    <x v="1"/>
    <n v="2030"/>
  </r>
  <r>
    <x v="98"/>
    <s v="LOTE 2"/>
    <x v="1"/>
    <x v="74"/>
    <x v="1"/>
    <x v="0"/>
    <s v="I.E. SAN JUDAS TADEO SEDE PARÍS - CARRERA 75 # 21 - 51 BARRIO PARÍS"/>
    <n v="508800115570"/>
    <s v="CASA PARIS 1"/>
    <n v="1"/>
    <n v="53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80523165"/>
    <n v="0.02"/>
    <n v="1610463.3"/>
    <m/>
    <n v="19"/>
    <n v="80523165"/>
    <n v="82133628.299999997"/>
    <s v=" "/>
    <m/>
    <m/>
    <m/>
    <n v="2477432"/>
    <n v="2005573"/>
    <n v="0"/>
    <n v="76040160"/>
    <m/>
    <n v="80523165"/>
    <s v=" "/>
    <n v="11982452"/>
    <n v="9505020"/>
    <n v="9505020"/>
    <n v="9505020"/>
    <n v="9505020"/>
    <n v="9505020"/>
    <n v="9505020"/>
    <n v="11510593"/>
    <n v="80523165"/>
    <n v="79848104"/>
    <s v="CONTRATO ADICIONAL POR ALIMENTACION"/>
    <b v="1"/>
    <n v="0"/>
    <b v="1"/>
    <n v="0"/>
    <x v="1"/>
    <n v="2030"/>
  </r>
  <r>
    <x v="98"/>
    <s v="LOTE 2"/>
    <x v="1"/>
    <x v="74"/>
    <x v="1"/>
    <x v="0"/>
    <s v="I.E. SAN JUDAS TADEO SEDE PARÍS - CARRERA 75 # 21 - 51 BARRIO PARÍS"/>
    <n v="508800115571"/>
    <s v="CASA PARIS 2"/>
    <n v="1"/>
    <n v="52"/>
    <m/>
    <n v="2030"/>
    <s v="ARTÍCULO 34 CONTRATACIÓN CON EL REGISTRO ÚNICO DE OFERENTES"/>
    <m/>
    <m/>
    <x v="0"/>
    <x v="0"/>
    <x v="61"/>
    <x v="61"/>
    <n v="229175"/>
    <n v="15230"/>
    <n v="87125"/>
    <s v=" "/>
    <s v=" "/>
    <m/>
    <n v="79003860"/>
    <n v="0.02"/>
    <n v="1580077.2"/>
    <m/>
    <n v="20"/>
    <n v="79003860"/>
    <n v="80583937.200000003"/>
    <s v=" "/>
    <m/>
    <m/>
    <m/>
    <n v="2430688"/>
    <n v="1967732"/>
    <n v="0"/>
    <n v="74605440"/>
    <m/>
    <n v="79003860"/>
    <s v=" "/>
    <n v="11756368"/>
    <n v="9325680"/>
    <n v="9325680"/>
    <n v="9325680"/>
    <n v="9325680"/>
    <n v="9325680"/>
    <n v="9325680"/>
    <n v="11293412"/>
    <n v="79003860"/>
    <n v="78341536"/>
    <s v="CONTRATO ADICIONAL POR ALIMENTACION"/>
    <b v="1"/>
    <n v="0"/>
    <b v="1"/>
    <n v="0"/>
    <x v="1"/>
    <n v="2030"/>
  </r>
  <r>
    <x v="99"/>
    <s v="LOTE 2"/>
    <x v="1"/>
    <x v="74"/>
    <x v="3"/>
    <x v="0"/>
    <s v="CL 40 C 20 E 43"/>
    <n v="500100049068"/>
    <s v="LOS HONGUITOS"/>
    <n v="1"/>
    <n v="48"/>
    <m/>
    <n v="2031"/>
    <s v="ARTÍCULO 34 CONTRATACIÓN CON EL REGISTRO ÚNICO DE OFERENTES"/>
    <m/>
    <m/>
    <x v="0"/>
    <x v="0"/>
    <x v="62"/>
    <x v="62"/>
    <n v="229176"/>
    <n v="15256"/>
    <n v="89925"/>
    <n v="5"/>
    <n v="762"/>
    <m/>
    <n v="201064800"/>
    <n v="0.02"/>
    <n v="4021296"/>
    <m/>
    <n v="1"/>
    <n v="201064800"/>
    <n v="205086096"/>
    <n v="3191903700"/>
    <n v="63838074"/>
    <n v="3255741774"/>
    <n v="2242.2927291886194"/>
    <n v="4230864"/>
    <n v="3602064"/>
    <n v="0"/>
    <n v="193231872"/>
    <m/>
    <n v="201064800"/>
    <n v="3191903700"/>
    <n v="28384848"/>
    <n v="24153984"/>
    <n v="24153984"/>
    <n v="24153984"/>
    <n v="24153984"/>
    <n v="24153984"/>
    <n v="24153984"/>
    <n v="27756048"/>
    <n v="201064800"/>
    <n v="0"/>
    <s v="CONTRATO COSTEADO CON ALIMENTACION"/>
    <b v="1"/>
    <n v="0"/>
    <b v="1"/>
    <n v="0"/>
    <x v="1"/>
    <m/>
  </r>
  <r>
    <x v="99"/>
    <s v="LOTE 2"/>
    <x v="1"/>
    <x v="74"/>
    <x v="3"/>
    <x v="0"/>
    <s v="AV 46 C 65 47  NIQUIA CAMACOL"/>
    <n v="508800049028"/>
    <s v="GUS GUS"/>
    <n v="1"/>
    <n v="415"/>
    <m/>
    <n v="2031"/>
    <s v="ARTÍCULO 34 CONTRATACIÓN CON EL REGISTRO ÚNICO DE OFERENTES"/>
    <m/>
    <m/>
    <x v="0"/>
    <x v="0"/>
    <x v="62"/>
    <x v="62"/>
    <n v="229176"/>
    <n v="15256"/>
    <n v="89925"/>
    <s v=" "/>
    <s v=" "/>
    <m/>
    <n v="1738372750"/>
    <n v="0.02"/>
    <n v="34767455"/>
    <m/>
    <n v="2"/>
    <n v="1738372750"/>
    <n v="1773140205"/>
    <s v=" "/>
    <m/>
    <m/>
    <m/>
    <n v="36579345"/>
    <n v="31142845"/>
    <n v="0"/>
    <n v="1670650560"/>
    <m/>
    <n v="1738372750"/>
    <s v=" "/>
    <n v="245410665"/>
    <n v="208831320"/>
    <n v="208831320"/>
    <n v="208831320"/>
    <n v="208831320"/>
    <n v="208831320"/>
    <n v="208831320"/>
    <n v="239974165"/>
    <n v="1738372750"/>
    <n v="0"/>
    <s v="CONTRATO COSTEADO CON ALIMENTACION"/>
    <b v="1"/>
    <n v="0"/>
    <b v="1"/>
    <n v="0"/>
    <x v="1"/>
    <m/>
  </r>
  <r>
    <x v="99"/>
    <s v="LOTE 2"/>
    <x v="1"/>
    <x v="74"/>
    <x v="3"/>
    <x v="0"/>
    <s v="KR 44 20 E 35"/>
    <n v="508800079783"/>
    <s v="HOGAR INFANTIL GATO CON BOTAS"/>
    <n v="1"/>
    <n v="109"/>
    <m/>
    <n v="2031"/>
    <s v="ARTÍCULO 34 CONTRATACIÓN CON EL REGISTRO ÚNICO DE OFERENTES"/>
    <m/>
    <m/>
    <x v="0"/>
    <x v="0"/>
    <x v="62"/>
    <x v="62"/>
    <n v="229176"/>
    <n v="15256"/>
    <n v="89925"/>
    <s v=" "/>
    <s v=" "/>
    <m/>
    <n v="456584650"/>
    <n v="0.02"/>
    <n v="9131693"/>
    <m/>
    <n v="3"/>
    <n v="456584650"/>
    <n v="465716343"/>
    <s v=" "/>
    <m/>
    <m/>
    <m/>
    <n v="9607587"/>
    <n v="8179687"/>
    <n v="0"/>
    <n v="438797376"/>
    <m/>
    <n v="456584650"/>
    <s v=" "/>
    <n v="64457259"/>
    <n v="54849672"/>
    <n v="54849672"/>
    <n v="54849672"/>
    <n v="54849672"/>
    <n v="54849672"/>
    <n v="54849672"/>
    <n v="63029359"/>
    <n v="456584650"/>
    <n v="0"/>
    <s v="CONTRATO COSTEADO CON ALIMENTACION"/>
    <b v="1"/>
    <n v="0"/>
    <b v="1"/>
    <n v="0"/>
    <x v="1"/>
    <m/>
  </r>
  <r>
    <x v="99"/>
    <s v="LOTE 2"/>
    <x v="1"/>
    <x v="74"/>
    <x v="3"/>
    <x v="0"/>
    <s v="CL 51 52 59 BARRIO PEREZ"/>
    <n v="508800080479"/>
    <s v="HOGAR INFANTIL TUERQUITA"/>
    <n v="1"/>
    <n v="100"/>
    <m/>
    <n v="2031"/>
    <s v="ARTÍCULO 34 CONTRATACIÓN CON EL REGISTRO ÚNICO DE OFERENTES"/>
    <m/>
    <m/>
    <x v="0"/>
    <x v="0"/>
    <x v="62"/>
    <x v="62"/>
    <n v="229176"/>
    <n v="15256"/>
    <n v="89925"/>
    <s v=" "/>
    <s v=" "/>
    <m/>
    <n v="418885000"/>
    <n v="0.02"/>
    <n v="8377700"/>
    <m/>
    <n v="4"/>
    <n v="418885000"/>
    <n v="427262700"/>
    <s v=" "/>
    <m/>
    <m/>
    <m/>
    <n v="8814300"/>
    <n v="7504300"/>
    <n v="0"/>
    <n v="402566400"/>
    <m/>
    <n v="418885000"/>
    <s v=" "/>
    <n v="59135100"/>
    <n v="50320800"/>
    <n v="50320800"/>
    <n v="50320800"/>
    <n v="50320800"/>
    <n v="50320800"/>
    <n v="50320800"/>
    <n v="57825100"/>
    <n v="418885000"/>
    <n v="0"/>
    <s v="CONTRATO COSTEADO CON ALIMENTACION"/>
    <b v="1"/>
    <n v="0"/>
    <b v="1"/>
    <n v="0"/>
    <x v="1"/>
    <m/>
  </r>
  <r>
    <x v="99"/>
    <s v="LOTE 2"/>
    <x v="1"/>
    <x v="74"/>
    <x v="3"/>
    <x v="0"/>
    <s v="AV 44 52 22"/>
    <n v="508800087300"/>
    <s v="HOGAR INFANTIL ARLEQUINES"/>
    <n v="1"/>
    <n v="90"/>
    <m/>
    <n v="2031"/>
    <s v="ARTÍCULO 34 CONTRATACIÓN CON EL REGISTRO ÚNICO DE OFERENTES"/>
    <m/>
    <m/>
    <x v="0"/>
    <x v="0"/>
    <x v="62"/>
    <x v="62"/>
    <n v="229176"/>
    <n v="15256"/>
    <n v="89925"/>
    <s v=" "/>
    <s v=" "/>
    <m/>
    <n v="376996500"/>
    <n v="0.02"/>
    <n v="7539930"/>
    <m/>
    <n v="5"/>
    <n v="376996500"/>
    <n v="384536430"/>
    <s v=" "/>
    <m/>
    <m/>
    <m/>
    <n v="7932870"/>
    <n v="6753870"/>
    <n v="0"/>
    <n v="362309760"/>
    <m/>
    <n v="376996500"/>
    <s v=" "/>
    <n v="53221590"/>
    <n v="45288720"/>
    <n v="45288720"/>
    <n v="45288720"/>
    <n v="45288720"/>
    <n v="45288720"/>
    <n v="45288720"/>
    <n v="52042590"/>
    <n v="376996500"/>
    <n v="0"/>
    <s v="CONTRATO COSTEADO CON ALIMENTACION"/>
    <b v="1"/>
    <n v="0"/>
    <b v="1"/>
    <n v="0"/>
    <x v="1"/>
    <m/>
  </r>
  <r>
    <x v="100"/>
    <s v="LOTE 2"/>
    <x v="0"/>
    <x v="10"/>
    <x v="4"/>
    <x v="0"/>
    <s v="KR 77B 99 10"/>
    <n v="504500101469"/>
    <s v="CDI EL CONCEJITO"/>
    <n v="1"/>
    <n v="383"/>
    <m/>
    <n v="2034"/>
    <s v="ARTÍCULO 34 CONTRATACIÓN CON EL REGISTRO ÚNICO DE OFERENTES"/>
    <m/>
    <m/>
    <x v="0"/>
    <x v="0"/>
    <x v="56"/>
    <x v="63"/>
    <n v="229177"/>
    <n v="15261"/>
    <n v="90325"/>
    <n v="1"/>
    <n v="383"/>
    <m/>
    <n v="1658160966"/>
    <n v="0.02"/>
    <n v="33163219.32"/>
    <m/>
    <n v="1"/>
    <n v="1658160966"/>
    <n v="1691324185.3199999"/>
    <n v="1658160966"/>
    <n v="33163219"/>
    <n v="1691324185"/>
    <n v="1164.8478861959959"/>
    <n v="33758769"/>
    <n v="28741469"/>
    <n v="0"/>
    <n v="1595660728"/>
    <m/>
    <n v="1658160966"/>
    <n v="1658160966"/>
    <n v="233216360"/>
    <n v="199457591"/>
    <n v="199457591"/>
    <n v="199457591"/>
    <n v="199457591"/>
    <n v="199457591"/>
    <n v="199457591"/>
    <n v="228199060"/>
    <n v="1658160966"/>
    <n v="0"/>
    <s v="CONTRATO COSTEADO CON ALIMENTACION"/>
    <b v="1"/>
    <n v="0"/>
    <b v="1"/>
    <n v="0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A18705-6BB2-4029-B178-15A6FC142F7D}" name="TablaDinámica1" cacheId="3984" applyNumberFormats="0" applyBorderFormats="0" applyFontFormats="0" applyPatternFormats="0" applyAlignmentFormats="0" applyWidthHeightFormats="1" dataCaption="Valores" updatedVersion="8" minRefreshableVersion="3" useAutoFormatting="1" rowGrandTotals="0" colGrandTotals="0" itemPrintTitles="1" createdVersion="8" indent="0" compact="0" compactData="0" multipleFieldFilters="0">
  <location ref="A3:I15" firstHeaderRow="0" firstDataRow="1" firstDataCol="4"/>
  <pivotFields count="61">
    <pivotField axis="axisRow" compact="0" outline="0" showAll="0" defaultSubtotal="0">
      <items count="10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5">
        <item x="1"/>
        <item x="9"/>
        <item x="11"/>
        <item x="14"/>
        <item x="8"/>
        <item x="13"/>
        <item x="5"/>
        <item x="12"/>
        <item x="10"/>
        <item x="4"/>
        <item x="0"/>
        <item x="2"/>
        <item x="3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75">
        <item x="2"/>
        <item x="51"/>
        <item x="54"/>
        <item x="38"/>
        <item x="62"/>
        <item x="66"/>
        <item x="68"/>
        <item x="24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2"/>
        <item x="53"/>
        <item x="55"/>
        <item x="56"/>
        <item x="57"/>
        <item x="58"/>
        <item x="59"/>
        <item x="60"/>
        <item x="61"/>
        <item x="63"/>
        <item x="64"/>
        <item x="65"/>
        <item x="67"/>
        <item x="69"/>
        <item x="70"/>
        <item x="71"/>
        <item x="72"/>
        <item x="73"/>
        <item x="7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2">
        <item x="2"/>
        <item x="7"/>
        <item x="4"/>
        <item x="5"/>
        <item x="8"/>
        <item x="1"/>
        <item x="3"/>
        <item x="9"/>
        <item x="0"/>
        <item x="6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3">
        <item x="14"/>
        <item x="61"/>
        <item x="50"/>
        <item x="23"/>
        <item x="0"/>
        <item x="42"/>
        <item x="62"/>
        <item x="17"/>
        <item x="60"/>
        <item x="58"/>
        <item x="26"/>
        <item x="41"/>
        <item x="6"/>
        <item x="53"/>
        <item x="35"/>
        <item x="30"/>
        <item x="51"/>
        <item x="24"/>
        <item x="38"/>
        <item x="8"/>
        <item x="20"/>
        <item x="43"/>
        <item x="27"/>
        <item x="31"/>
        <item x="16"/>
        <item x="25"/>
        <item x="45"/>
        <item x="19"/>
        <item x="57"/>
        <item x="46"/>
        <item x="15"/>
        <item x="13"/>
        <item x="49"/>
        <item x="33"/>
        <item x="28"/>
        <item x="9"/>
        <item x="2"/>
        <item x="48"/>
        <item x="1"/>
        <item x="11"/>
        <item x="4"/>
        <item x="40"/>
        <item x="36"/>
        <item x="52"/>
        <item x="3"/>
        <item x="47"/>
        <item x="7"/>
        <item x="22"/>
        <item x="37"/>
        <item x="59"/>
        <item x="39"/>
        <item x="12"/>
        <item x="56"/>
        <item x="5"/>
        <item x="21"/>
        <item x="55"/>
        <item x="10"/>
        <item x="18"/>
        <item x="32"/>
        <item x="44"/>
        <item x="34"/>
        <item x="29"/>
        <item x="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4">
        <item x="18"/>
        <item x="0"/>
        <item x="15"/>
        <item x="36"/>
        <item x="24"/>
        <item x="17"/>
        <item x="48"/>
        <item x="47"/>
        <item x="27"/>
        <item x="25"/>
        <item x="13"/>
        <item x="51"/>
        <item x="44"/>
        <item x="50"/>
        <item x="19"/>
        <item x="61"/>
        <item x="22"/>
        <item x="60"/>
        <item x="41"/>
        <item x="62"/>
        <item x="16"/>
        <item x="11"/>
        <item x="43"/>
        <item x="58"/>
        <item x="33"/>
        <item x="9"/>
        <item x="21"/>
        <item x="46"/>
        <item x="30"/>
        <item x="29"/>
        <item x="40"/>
        <item x="39"/>
        <item x="1"/>
        <item x="3"/>
        <item x="2"/>
        <item x="49"/>
        <item x="37"/>
        <item x="23"/>
        <item x="42"/>
        <item x="14"/>
        <item x="32"/>
        <item x="34"/>
        <item x="5"/>
        <item x="26"/>
        <item x="45"/>
        <item x="4"/>
        <item x="10"/>
        <item x="12"/>
        <item x="35"/>
        <item x="55"/>
        <item x="59"/>
        <item x="31"/>
        <item x="53"/>
        <item x="7"/>
        <item x="57"/>
        <item x="20"/>
        <item x="28"/>
        <item x="63"/>
        <item x="56"/>
        <item x="38"/>
        <item x="8"/>
        <item x="6"/>
        <item x="54"/>
        <item x="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9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">
        <item x="0"/>
        <item h="1" x="1"/>
        <item h="1"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0"/>
    <field x="19"/>
    <field x="18"/>
    <field x="59"/>
  </rowFields>
  <rowItems count="12">
    <i>
      <x/>
      <x v="1"/>
      <x v="4"/>
      <x/>
    </i>
    <i>
      <x v="10"/>
      <x v="46"/>
      <x v="56"/>
      <x/>
    </i>
    <i>
      <x v="22"/>
      <x v="14"/>
      <x v="20"/>
      <x/>
    </i>
    <i>
      <x v="35"/>
      <x v="29"/>
      <x v="15"/>
      <x/>
    </i>
    <i>
      <x v="42"/>
      <x v="24"/>
      <x v="60"/>
      <x v="3"/>
    </i>
    <i>
      <x v="44"/>
      <x v="48"/>
      <x v="42"/>
      <x/>
    </i>
    <i>
      <x v="45"/>
      <x v="37"/>
      <x v="17"/>
      <x/>
    </i>
    <i>
      <x v="46"/>
      <x v="3"/>
      <x v="48"/>
      <x/>
    </i>
    <i>
      <x v="63"/>
      <x v="1"/>
      <x v="4"/>
      <x/>
    </i>
    <i>
      <x v="64"/>
      <x v="12"/>
      <x v="26"/>
      <x/>
    </i>
    <i>
      <x v="86"/>
      <x v="1"/>
      <x v="4"/>
      <x/>
    </i>
    <i>
      <x v="91"/>
      <x v="58"/>
      <x v="52"/>
      <x v="3"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uma de UDS" fld="9" baseField="0" baseItem="0"/>
    <dataField name="Suma de TOTAL COBERTURA" fld="10" baseField="0" baseItem="0"/>
    <dataField name="Suma de VALOR CONTRAPARTIDA" fld="28" baseField="0" baseItem="0" numFmtId="165"/>
    <dataField name="Suma de TOTAL APORTES ICBF" fld="31" baseField="0" baseItem="0" numFmtId="165"/>
    <dataField name="Suma de TOTAL CONTRATO (ICBF+EAS)" fld="32" baseField="0" baseItem="0" numFmtId="165"/>
  </dataFields>
  <formats count="1">
    <format dxfId="201">
      <pivotArea field="5" type="button" dataOnly="0" labelOnly="1" outline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87EF8AA-CDE5-4971-A14D-DFD18F27644D}" name="Tabla4" displayName="Tabla4" ref="A19:BJ1312" totalsRowShown="0" headerRowDxfId="200" dataDxfId="199" headerRowBorderDxfId="197" tableBorderDxfId="198" totalsRowBorderDxfId="196" headerRowCellStyle="Moneda">
  <autoFilter ref="A19:BJ1312" xr:uid="{A87EF8AA-CDE5-4971-A14D-DFD18F27644D}"/>
  <tableColumns count="62">
    <tableColumn id="1" xr3:uid="{A47CEDC3-F03B-4187-97A9-B8BEEB02BCF2}" name="ZONA DEFINITIVO" dataDxfId="195"/>
    <tableColumn id="63" xr3:uid="{61A6E521-4B74-4B68-832C-180492ED7E45}" name="N° CONTRATO" dataDxfId="194"/>
    <tableColumn id="2" xr3:uid="{EB697256-F6A2-4447-BFB1-D0729C6D1B75}" name="LOTE PROCESO 2025(ETAPA DEFINITIVOS)" dataDxfId="193"/>
    <tableColumn id="3" xr3:uid="{C6CF5E2F-F68B-4AB8-8766-74FB35702554}" name="CENTRO ZONAL" dataDxfId="192"/>
    <tableColumn id="4" xr3:uid="{2C0A2293-0874-47FA-AB13-35445AD11B2B}" name="MUNICIPIO" dataDxfId="191"/>
    <tableColumn id="5" xr3:uid="{203298B5-8F6C-4605-97FB-94D3954E450F}" name="SERVICIO 2025" dataDxfId="190"/>
    <tableColumn id="6" xr3:uid="{8A5F89FB-74EB-4A94-9691-F2CCFBB9A1BF}" name="OBJETO" dataDxfId="189"/>
    <tableColumn id="7" xr3:uid="{9E959B8B-F59C-4D67-99AD-CE10E993D187}" name="DIRECCION UDS" dataDxfId="188"/>
    <tableColumn id="8" xr3:uid="{F434F87A-454E-42F7-A077-B83ADFEA94FE}" name="CÓDIGO UDS" dataDxfId="187"/>
    <tableColumn id="9" xr3:uid="{71D38C4A-9BCA-4D69-B057-AA7C6BDD9A78}" name="UNIDAD DE SERVICIO (UDS)" dataDxfId="186"/>
    <tableColumn id="10" xr3:uid="{6EED2445-9332-4159-A694-E7433C71A72F}" name="UDS" dataDxfId="185"/>
    <tableColumn id="11" xr3:uid="{CA9B4C8D-26CF-41CB-9E29-6801F30AC0D9}" name="TOTAL COBERTURA" dataDxfId="184"/>
    <tableColumn id="12" xr3:uid="{C65C6BB8-DFF8-40A2-B111-251E4CEA3465}" name="DESPLAZADOS" dataDxfId="183"/>
    <tableColumn id="13" xr3:uid="{2B5575AD-39F5-4830-A001-2AEB244E597A}" name="CONSECUTIVO MATRIZ" dataDxfId="182"/>
    <tableColumn id="14" xr3:uid="{29BB5B04-DAEC-466E-B993-5C695B3D8420}" name="FORMA DE CONTRATACION" dataDxfId="181"/>
    <tableColumn id="15" xr3:uid="{0AFA1085-9959-4785-B4BA-B002B250ADB0}" name="SECOP NUMERO DE ZONA" dataDxfId="180"/>
    <tableColumn id="16" xr3:uid="{DE87E6A9-BE91-4A80-8A47-6D438CF95F61}" name="DE QUIEN ES LA INFRAESTRUCTURA" dataDxfId="179"/>
    <tableColumn id="17" xr3:uid="{1B99ABC5-68B1-4885-90FC-E91A1BF1AA79}" name="RUBRO" dataDxfId="178"/>
    <tableColumn id="18" xr3:uid="{D2B33F01-386C-4B22-833B-A9B0E5294BF5}" name="RECURSO" dataDxfId="177"/>
    <tableColumn id="19" xr3:uid="{EF95ADB0-C2BD-46A7-9E84-56BD9624B7B0}" name="NIT" dataDxfId="176"/>
    <tableColumn id="20" xr3:uid="{B3FF5FF4-CEF2-47A1-A28F-86D18A19191F}" name="NOMBRE EAS" dataDxfId="175"/>
    <tableColumn id="21" xr3:uid="{4F5766F9-812D-4818-9FF0-31C72D8ABD79}" name="SITCO" dataDxfId="174">
      <calculatedColumnFormula>VLOOKUP(Tabla4[[#This Row],[ZONA DEFINITIVO]],Hoja1!$A$1:$D$121,3,0)</calculatedColumnFormula>
    </tableColumn>
    <tableColumn id="22" xr3:uid="{1FF5B850-2D2A-47FF-8DDB-2519CAE638CA}" name="PACCO" dataDxfId="173">
      <calculatedColumnFormula>VLOOKUP(Tabla4[[#This Row],[ZONA DEFINITIVO]],Hoja1!$A$1:$D$121,2,0)</calculatedColumnFormula>
    </tableColumn>
    <tableColumn id="23" xr3:uid="{14756FF5-61C2-4204-AB37-737E3BC424C8}" name="CDP" dataDxfId="172">
      <calculatedColumnFormula>VLOOKUP(Tabla4[[#This Row],[ZONA DEFINITIVO]],Hoja1!$A$1:$D$121,4,0)</calculatedColumnFormula>
    </tableColumn>
    <tableColumn id="25" xr3:uid="{CF4ACDE3-9CBC-40B1-BA00-37687B92584C}" name="Suma UDS X Invitación (Auto)" dataDxfId="171">
      <calculatedColumnFormula>+IF(Tabla4[[#This Row],[AGRUPACIONES]]=1,SUMIFS(Tabla4[UDS],Tabla4[ZONA DEFINITIVO],Tabla4[[#This Row],[ZONA DEFINITIVO]])," ")</calculatedColumnFormula>
    </tableColumn>
    <tableColumn id="26" xr3:uid="{E61539CC-C5CD-44EF-89EA-36E3BF23BFFD}" name="Cupos x Invitacion (Auto)" dataDxfId="170">
      <calculatedColumnFormula>+IF(Tabla4[[#This Row],[AGRUPACIONES]]=1,SUMIFS(Tabla4[TOTAL COBERTURA],Tabla4[ZONA DEFINITIVO],Tabla4[[#This Row],[ZONA DEFINITIVO]])," ")</calculatedColumnFormula>
    </tableColumn>
    <tableColumn id="27" xr3:uid="{4E52E600-1D8E-4B5B-B726-9EAA8D5C910B}" name="OBSERVACIÓN" dataDxfId="169"/>
    <tableColumn id="28" xr3:uid="{DC32A7AA-B3A3-4071-A29C-CDEB50293EA7}" name="VALOR ATENCIÓN (8 MESES)" dataDxfId="168" dataCellStyle="Millares"/>
    <tableColumn id="29" xr3:uid="{677C88B2-5094-4984-A30D-4738EC22133E}" name="% CONTRAPARTIDA" dataDxfId="167" dataCellStyle="Porcentaje"/>
    <tableColumn id="30" xr3:uid="{9766DB04-889E-40BB-B33E-F0FE63088D7E}" name="VALOR CONTRAPARTIDA" dataDxfId="166" dataCellStyle="Millares">
      <calculatedColumnFormula>AB20*AC20</calculatedColumnFormula>
    </tableColumn>
    <tableColumn id="31" xr3:uid="{746E525D-0244-49B3-91E8-D036924EC2D8}" name="TASAS COMPENSATORIAS" dataDxfId="165"/>
    <tableColumn id="32" xr3:uid="{F471741F-1C7B-4720-AA1C-8AAAA5A3ACF4}" name="AGRUPACIONES" dataDxfId="164">
      <calculatedColumnFormula>COUNTIF($A$20:A20,A20)</calculatedColumnFormula>
    </tableColumn>
    <tableColumn id="33" xr3:uid="{9C4D50A7-5A2A-431C-B5C0-3BA185414CB2}" name="TOTAL APORTES ICBF" dataDxfId="163" dataCellStyle="Millares"/>
    <tableColumn id="58" xr3:uid="{AD3E471E-7558-46E9-B11A-185BD0241632}" name="TOTAL CONTRATO (ICBF+EAS)" dataDxfId="162" dataCellStyle="Millares">
      <calculatedColumnFormula>Tabla4[[#This Row],[VALOR CONTRAPARTIDA]]+Tabla4[[#This Row],[TOTAL APORTES ICBF]]</calculatedColumnFormula>
    </tableColumn>
    <tableColumn id="34" xr3:uid="{AD50027C-3A97-4078-87AF-5C38A5FCFF45}" name="TOTAL APORTES ICBF AGRUPADO" dataDxfId="161" dataCellStyle="Millares">
      <calculatedColumnFormula>ROUND(+IF(Tabla4[[#This Row],[AGRUPACIONES]]=1,SUMIFS(Tabla4[TOTAL APORTES ICBF],Tabla4[ZONA DEFINITIVO],Tabla4[[#This Row],[ZONA DEFINITIVO]])," "),0)</calculatedColumnFormula>
    </tableColumn>
    <tableColumn id="56" xr3:uid="{4CE0209A-3784-4636-9910-3D28C9E80FF8}" name="TOTAL CONTRAPARTIDA AGRUPADO" dataDxfId="160" dataCellStyle="Millares">
      <calculatedColumnFormula>ROUND(+IF(Tabla4[[#This Row],[AGRUPACIONES]]=1,SUMIFS(Tabla4[VALOR CONTRAPARTIDA],Tabla4[ZONA DEFINITIVO],Tabla4[[#This Row],[ZONA DEFINITIVO]])," "),0)</calculatedColumnFormula>
    </tableColumn>
    <tableColumn id="57" xr3:uid="{D6FBEAD2-AB91-4A08-8E68-4EAA99FA2E97}" name="VALOR TOTAL CONTRATO AGRUPADO" dataDxfId="159" dataCellStyle="Millares">
      <calculatedColumnFormula>Tabla4[[#This Row],[TOTAL APORTES ICBF AGRUPADO]]+Tabla4[[#This Row],[TOTAL CONTRAPARTIDA AGRUPADO]]</calculatedColumnFormula>
    </tableColumn>
    <tableColumn id="35" xr3:uid="{A8F13F1C-D760-4D0D-8316-31D6531DFBBD}" name="SMMLV" dataDxfId="158">
      <calculatedColumnFormula>Tabla4[[#This Row],[TOTAL APORTES ICBF AGRUPADO]]/$AL$18</calculatedColumnFormula>
    </tableColumn>
    <tableColumn id="36" xr3:uid="{D60321D7-EE4A-420C-8BF9-180EE11A54D4}" name="VALOR FASE PREPARATORIA DE ALISTAMIENTO" dataDxfId="157" dataCellStyle="Millares">
      <calculatedColumnFormula>VLOOKUP(Tabla4[[#This Row],[SERVICIO 2025]],$J$2:$V$14,5,0)*Tabla4[[#This Row],[TOTAL COBERTURA]]</calculatedColumnFormula>
    </tableColumn>
    <tableColumn id="37" xr3:uid="{BB3EAEDC-E18C-433D-B428-C43D93B044AB}" name="VALOR FASE PREPARATORIA DE CIERRE" dataDxfId="156" dataCellStyle="Millares">
      <calculatedColumnFormula>VLOOKUP(Tabla4[[#This Row],[SERVICIO 2025]],$J$2:$V$14,6,0)*Tabla4[[#This Row],[TOTAL COBERTURA]]</calculatedColumnFormula>
    </tableColumn>
    <tableColumn id="38" xr3:uid="{6DEDDC3D-A5E8-4005-9467-E81720E1EFA7}" name="DOTACIÓN ÚNICA" dataDxfId="155" dataCellStyle="Millares">
      <calculatedColumnFormula>VLOOKUP(Tabla4[[#This Row],[SERVICIO 2025]],$J$2:$V$14,8,0)*Tabla4[[#This Row],[TOTAL COBERTURA]]</calculatedColumnFormula>
    </tableColumn>
    <tableColumn id="39" xr3:uid="{440507E2-A7D8-422D-AD18-9D165E838737}" name="VALOR ATENCIÓN" dataDxfId="154" dataCellStyle="Millares">
      <calculatedColumnFormula>VLOOKUP(Tabla4[[#This Row],[SERVICIO 2025]],$J$2:$V$14,3,0)*Tabla4[[#This Row],[TOTAL COBERTURA]]*8</calculatedColumnFormula>
    </tableColumn>
    <tableColumn id="40" xr3:uid="{3DF50285-18A6-4FF7-A093-668209537AC7}" name="VALOR RACION PREPARADA" dataDxfId="153" dataCellStyle="Millares"/>
    <tableColumn id="41" xr3:uid="{79760D2A-7FC4-4C55-8E5B-EA82CD4C6D37}" name="VALOR TOTAL" dataDxfId="152" dataCellStyle="Millares">
      <calculatedColumnFormula>Tabla4[[#This Row],[VALOR FASE PREPARATORIA DE ALISTAMIENTO]]+Tabla4[[#This Row],[VALOR FASE PREPARATORIA DE CIERRE]]+Tabla4[[#This Row],[DOTACIÓN ÚNICA]]+Tabla4[[#This Row],[VALOR ATENCIÓN]]+Tabla4[[#This Row],[VALOR RACION PREPARADA]]</calculatedColumnFormula>
    </tableColumn>
    <tableColumn id="60" xr3:uid="{8A908582-D265-4130-BED0-658A2E007E26}" name="TOTAL AGRUPADO" dataDxfId="151" dataCellStyle="Millares">
      <calculatedColumnFormula>+IF(Tabla4[[#This Row],[AGRUPACIONES]]=1,SUMIFS(Tabla4[VALOR TOTAL],Tabla4[ZONA DEFINITIVO],Tabla4[[#This Row],[ZONA DEFINITIVO]])," ")</calculatedColumnFormula>
    </tableColumn>
    <tableColumn id="42" xr3:uid="{DBA61E51-9EF8-47CA-B3E5-AF53C13B726A}" name="DESEMBOLSO 1" dataDxfId="150">
      <calculatedColumnFormula>(VLOOKUP(Tabla4[[#This Row],[SERVICIO 2025]],$J$2:$V$14,3,0)*Tabla4[[#This Row],[TOTAL COBERTURA]])+Tabla4[[#This Row],[VALOR FASE PREPARATORIA DE ALISTAMIENTO]]+Tabla4[[#This Row],[DOTACIÓN ÚNICA]]</calculatedColumnFormula>
    </tableColumn>
    <tableColumn id="43" xr3:uid="{0B3AD3EA-0A65-4FCC-A502-093C4D4EF6E0}" name="DESEMBOLSO 2" dataDxfId="149" dataCellStyle="Millares">
      <calculatedColumnFormula>(VLOOKUP(Tabla4[[#This Row],[SERVICIO 2025]],$J$2:$V$14,3,0)*Tabla4[[#This Row],[TOTAL COBERTURA]])</calculatedColumnFormula>
    </tableColumn>
    <tableColumn id="44" xr3:uid="{36EEFDC4-D22F-4138-A969-34D7D1D775C4}" name="DESEMBOLSO 3" dataDxfId="148" dataCellStyle="Millares">
      <calculatedColumnFormula>(VLOOKUP(Tabla4[[#This Row],[SERVICIO 2025]],$J$2:$V$14,3,0)*Tabla4[[#This Row],[TOTAL COBERTURA]])</calculatedColumnFormula>
    </tableColumn>
    <tableColumn id="45" xr3:uid="{3452741F-CB2F-442C-9788-4EC94255DAB4}" name="DESEMBOLSO 4" dataDxfId="147" dataCellStyle="Millares">
      <calculatedColumnFormula>(VLOOKUP(Tabla4[[#This Row],[SERVICIO 2025]],$J$2:$V$14,3,0)*Tabla4[[#This Row],[TOTAL COBERTURA]])</calculatedColumnFormula>
    </tableColumn>
    <tableColumn id="46" xr3:uid="{1ED54F01-48DB-43C6-945E-7E4D83AFD0E3}" name="DESEMBOLSO 5" dataDxfId="146" dataCellStyle="Millares">
      <calculatedColumnFormula>(VLOOKUP(Tabla4[[#This Row],[SERVICIO 2025]],$J$2:$V$14,3,0)*Tabla4[[#This Row],[TOTAL COBERTURA]])</calculatedColumnFormula>
    </tableColumn>
    <tableColumn id="47" xr3:uid="{52239E13-BC81-485E-B00A-98CD7467CB88}" name="DESEMBOLSO 6" dataDxfId="145" dataCellStyle="Millares">
      <calculatedColumnFormula>(VLOOKUP(Tabla4[[#This Row],[SERVICIO 2025]],$J$2:$V$14,3,0)*Tabla4[[#This Row],[TOTAL COBERTURA]])</calculatedColumnFormula>
    </tableColumn>
    <tableColumn id="48" xr3:uid="{81851C0D-97BE-4B67-9EB4-762B06B49481}" name="DESEMBOLSO 7" dataDxfId="144" dataCellStyle="Millares">
      <calculatedColumnFormula>(VLOOKUP(Tabla4[[#This Row],[SERVICIO 2025]],$J$2:$V$14,3,0)*Tabla4[[#This Row],[TOTAL COBERTURA]])</calculatedColumnFormula>
    </tableColumn>
    <tableColumn id="49" xr3:uid="{DFED6371-87E5-4BBF-BAE2-4F5D8B4FA60D}" name="DESEMBOLSO 8" dataDxfId="143" dataCellStyle="Millares">
      <calculatedColumnFormula>(VLOOKUP(Tabla4[[#This Row],[SERVICIO 2025]],$J$2:$V$14,3,0)*Tabla4[[#This Row],[TOTAL COBERTURA]])+Tabla4[[#This Row],[VALOR FASE PREPARATORIA DE CIERRE]]</calculatedColumnFormula>
    </tableColumn>
    <tableColumn id="50" xr3:uid="{13A34F4F-F486-4514-B245-3E2508592299}" name="TOTAL DESEMBOLSOS" dataDxfId="142" dataCellStyle="Millares">
      <calculatedColumnFormula>SUM(Tabla4[[#This Row],[DESEMBOLSO 1]:[DESEMBOLSO 8]])</calculatedColumnFormula>
    </tableColumn>
    <tableColumn id="24" xr3:uid="{C6BA8CC7-3A43-4E1D-A3ED-EAB1BC45F4AE}" name="VALOR COMPONENTE ALIMENTACION NO ASIGNADO" dataDxfId="141" dataCellStyle="Millares">
      <calculatedColumnFormula>VLOOKUP(Tabla4[[#This Row],[SERVICIO 2025]],$J$2:$V$14,10,0)*Tabla4[[#This Row],[TOTAL COBERTURA]]*$W$3</calculatedColumnFormula>
    </tableColumn>
    <tableColumn id="51" xr3:uid="{E1AF6F10-DA4C-43CB-8270-7F4ACE21A7FB}" name="UDS CON COMPONENTE DE ALIMENTACION EJECUTADO POR EL ICBF" dataDxfId="140"/>
    <tableColumn id="52" xr3:uid="{995D7154-781E-47AD-B2DA-DDB7E0C3E75C}" name="VALIDADOR" dataDxfId="139">
      <calculatedColumnFormula>EXACT(Tabla4[[#This Row],[VALOR ATENCIÓN (8 MESES)]],Tabla4[[#This Row],[VALOR TOTAL]])</calculatedColumnFormula>
    </tableColumn>
    <tableColumn id="53" xr3:uid="{699A9BFD-8F40-4436-B9A3-CAC8E3B8924E}" name="DIFERENCIA" dataDxfId="138">
      <calculatedColumnFormula>Tabla4[[#This Row],[VALOR ATENCIÓN (8 MESES)]]-Tabla4[[#This Row],[VALOR TOTAL]]</calculatedColumnFormula>
    </tableColumn>
    <tableColumn id="54" xr3:uid="{95893548-71B8-4BDC-8D7C-1F728A6D90FB}" name="VALIDADOR DESEMBOLSOS" dataDxfId="137">
      <calculatedColumnFormula>EXACT(Tabla4[[#This Row],[TOTAL DESEMBOLSOS]],Tabla4[[#This Row],[VALOR ATENCIÓN (8 MESES)]])</calculatedColumnFormula>
    </tableColumn>
    <tableColumn id="55" xr3:uid="{CD150A12-59D6-4A40-BC5F-B4AB612745B5}" name="DIFERENCIA DESEMBOLSOS" dataDxfId="136">
      <calculatedColumnFormula>Tabla4[[#This Row],[TOTAL DESEMBOLSOS]]-Tabla4[[#This Row],[VALOR ATENCIÓN (8 MESES)]]</calculatedColumnFormula>
    </tableColumn>
    <tableColumn id="59" xr3:uid="{C7ACCD08-4A43-426E-8C16-466F26A03C11}" name="RADICADO" dataDxfId="135"/>
    <tableColumn id="61" xr3:uid="{76E9A73A-BEDC-437C-8F5B-262BB1D2E898}" name="CRUCE MATRIZ" dataDxfId="13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8DF222-7FB3-485B-B6A1-78136CF49337}" name="Tabla44" displayName="Tabla44" ref="A19:BJ561" totalsRowShown="0" headerRowDxfId="133" dataDxfId="132" headerRowBorderDxfId="130" tableBorderDxfId="131" totalsRowBorderDxfId="129" headerRowCellStyle="Moneda">
  <autoFilter ref="A19:BJ561" xr:uid="{A87EF8AA-CDE5-4971-A14D-DFD18F27644D}"/>
  <tableColumns count="62">
    <tableColumn id="1" xr3:uid="{07DB7452-3183-4715-80EE-7CB4D7151779}" name="ZONA DEFINITIVO" dataDxfId="128"/>
    <tableColumn id="62" xr3:uid="{7A8CE4AF-6374-4D56-8F53-FDC6911FD6FF}" name="N° CONTRATO" dataDxfId="127"/>
    <tableColumn id="2" xr3:uid="{D59DC8F2-E4E2-47A6-B4DB-F4D70A33E576}" name="LOTE PROCESO 2025(ETAPA DEFINITIVOS)" dataDxfId="126"/>
    <tableColumn id="3" xr3:uid="{C2795497-921B-46C3-81A5-6A08033DD673}" name="CENTRO ZONAL" dataDxfId="125"/>
    <tableColumn id="4" xr3:uid="{99544920-0ACA-4158-A5A7-4C15BAD04A39}" name="MUNICIPIO" dataDxfId="124"/>
    <tableColumn id="5" xr3:uid="{C9020389-62F9-4EC6-BEEF-9DF066589FDC}" name="SERVICIO 2025" dataDxfId="123"/>
    <tableColumn id="6" xr3:uid="{63A5B486-9C6C-417A-81BD-80FBC2837246}" name="OBJETO" dataDxfId="122"/>
    <tableColumn id="7" xr3:uid="{BC023EB7-7926-4BF0-8DB8-54E40CDB79DC}" name="DIRECCION UDS" dataDxfId="121"/>
    <tableColumn id="8" xr3:uid="{41CA9CF3-4E9A-478B-96D2-FB54098055EC}" name="CÓDIGO UDS" dataDxfId="120"/>
    <tableColumn id="9" xr3:uid="{FAB9775C-75AC-48A8-800D-D267FEF436B9}" name="UNIDAD DE SERVICIO (UDS)" dataDxfId="119"/>
    <tableColumn id="10" xr3:uid="{849795E1-785A-4A43-A258-4DB9A2856F6D}" name="UDS" dataDxfId="118"/>
    <tableColumn id="11" xr3:uid="{E3A9187D-FC28-4A54-8E5B-0DD548755CC4}" name="TOTAL COBERTURA" dataDxfId="117"/>
    <tableColumn id="12" xr3:uid="{D3931437-943A-4E28-84DC-EE41BE43FF2D}" name="DESPLAZADOS" dataDxfId="116"/>
    <tableColumn id="13" xr3:uid="{6071BA16-B5CD-4B57-ADCC-A84B7D47EEDD}" name="CONSECUTIVO MATRIZ" dataDxfId="115"/>
    <tableColumn id="14" xr3:uid="{1AE8A62E-AD96-4781-B7F1-C1525FF4E682}" name="FORMA DE CONTRATACION" dataDxfId="114"/>
    <tableColumn id="15" xr3:uid="{1D349130-DE08-42AA-8EA4-160D575E4BA0}" name="SECOP NUMERO DE ZONA" dataDxfId="113"/>
    <tableColumn id="16" xr3:uid="{9B5D519A-B379-45BA-BD8E-FB4265D30643}" name="DE QUIEN ES LA INFRAESTRUCTURA" dataDxfId="112"/>
    <tableColumn id="17" xr3:uid="{8B45D5FD-7F52-4DC0-918E-D4452493F590}" name="RUBRO" dataDxfId="111"/>
    <tableColumn id="18" xr3:uid="{E6DFDD8F-6D19-4B85-899C-727C0C521686}" name="RECURSO" dataDxfId="110"/>
    <tableColumn id="19" xr3:uid="{584CC48E-0D36-4334-8AAD-DA7099AFA267}" name="NIT" dataDxfId="109"/>
    <tableColumn id="20" xr3:uid="{C77D898E-3A85-4165-8401-ABC72A7DDEB9}" name="NOMBRE EAS" dataDxfId="108"/>
    <tableColumn id="21" xr3:uid="{ED76F44E-E336-426B-9F08-129118E25EE4}" name="SITCO" dataDxfId="107">
      <calculatedColumnFormula>VLOOKUP(Tabla44[[#This Row],[ZONA DEFINITIVO]],[1]Hoja1!$A$1:$D$125,3,0)</calculatedColumnFormula>
    </tableColumn>
    <tableColumn id="22" xr3:uid="{881413CF-1BD4-4DFD-88CE-DF13E9F617B7}" name="PACCO" dataDxfId="106">
      <calculatedColumnFormula>VLOOKUP(Tabla44[[#This Row],[ZONA DEFINITIVO]],[1]Hoja1!$A$1:$D$125,2,0)</calculatedColumnFormula>
    </tableColumn>
    <tableColumn id="23" xr3:uid="{B1EC80F9-75DF-424A-B3F2-78880A17DC69}" name="CDP" dataDxfId="105">
      <calculatedColumnFormula>VLOOKUP(Tabla44[[#This Row],[ZONA DEFINITIVO]],[1]Hoja1!$A$1:$D$125,4,0)</calculatedColumnFormula>
    </tableColumn>
    <tableColumn id="25" xr3:uid="{8D5D1176-6B49-4DE1-9B2D-E3958BDB190E}" name="Suma UDS X Invitación (Auto)" dataDxfId="104">
      <calculatedColumnFormula>+IF(Tabla44[[#This Row],[AGRUPACIONES]]=1,SUMIFS(Tabla44[UDS],Tabla44[ZONA DEFINITIVO],Tabla44[[#This Row],[ZONA DEFINITIVO]])," ")</calculatedColumnFormula>
    </tableColumn>
    <tableColumn id="26" xr3:uid="{F9F5DD30-496E-45FF-8693-64CBF7685E85}" name="Cupos x Invitacion (Auto)" dataDxfId="103">
      <calculatedColumnFormula>+IF(Tabla44[[#This Row],[AGRUPACIONES]]=1,SUMIFS(Tabla44[TOTAL COBERTURA],Tabla44[ZONA DEFINITIVO],Tabla44[[#This Row],[ZONA DEFINITIVO]])," ")</calculatedColumnFormula>
    </tableColumn>
    <tableColumn id="27" xr3:uid="{498123F9-096B-46B6-AD41-C5A20B1EB623}" name="OBSERVACIÓN" dataDxfId="102"/>
    <tableColumn id="28" xr3:uid="{C5E46FEB-131E-4589-8B2F-C3216C53998F}" name="VALOR ATENCIÓN (8 MESES)" dataDxfId="101" dataCellStyle="Millares"/>
    <tableColumn id="29" xr3:uid="{2CAD0270-2488-4F73-9274-C1308008EB0A}" name="% CONTRAPARTIDA" dataDxfId="100" dataCellStyle="Porcentaje"/>
    <tableColumn id="30" xr3:uid="{DD654E1F-54E3-4D28-A42D-54ED371F0859}" name="VALOR CONTRAPARTIDA" dataDxfId="99" dataCellStyle="Millares">
      <calculatedColumnFormula>AB20*AC20</calculatedColumnFormula>
    </tableColumn>
    <tableColumn id="31" xr3:uid="{9054F6E5-CC3B-4616-B5E1-9B8CCF58019C}" name="TASAS COMPENSATORIAS" dataDxfId="98"/>
    <tableColumn id="32" xr3:uid="{0177B344-BCFF-4A82-A4F6-16594EA7DEAB}" name="AGRUPACIONES" dataDxfId="97">
      <calculatedColumnFormula>COUNTIF($A$20:A20,A20)</calculatedColumnFormula>
    </tableColumn>
    <tableColumn id="33" xr3:uid="{014312C2-F916-4D11-9996-90CE417D0B5B}" name="TOTAL APORTES ICBF" dataDxfId="96" dataCellStyle="Millares"/>
    <tableColumn id="58" xr3:uid="{0C6355F0-23E3-4AA4-9D7E-7F0760FFA48E}" name="TOTAL CONTRATO (ICBF+EAS)" dataDxfId="95" dataCellStyle="Millares">
      <calculatedColumnFormula>Tabla44[[#This Row],[VALOR CONTRAPARTIDA]]+Tabla44[[#This Row],[TOTAL APORTES ICBF]]</calculatedColumnFormula>
    </tableColumn>
    <tableColumn id="34" xr3:uid="{14D16982-7C64-4827-898F-74221172007B}" name="TOTAL APORTES ICBF AGRUPADO" dataDxfId="94" dataCellStyle="Millares">
      <calculatedColumnFormula>+IF(Tabla44[[#This Row],[AGRUPACIONES]]=1,SUMIFS(Tabla44[TOTAL APORTES ICBF],Tabla44[ZONA DEFINITIVO],Tabla44[[#This Row],[ZONA DEFINITIVO]])," ")</calculatedColumnFormula>
    </tableColumn>
    <tableColumn id="56" xr3:uid="{C48DD960-B043-437F-856D-599A568611B7}" name="TOTAL CONTRAPARTIDA AGRUPADO" dataDxfId="93" dataCellStyle="Millares">
      <calculatedColumnFormula>ROUND(+IF(Tabla44[[#This Row],[AGRUPACIONES]]=1,SUMIFS(Tabla44[VALOR CONTRAPARTIDA],Tabla44[ZONA DEFINITIVO],Tabla44[[#This Row],[ZONA DEFINITIVO]])," "),0)</calculatedColumnFormula>
    </tableColumn>
    <tableColumn id="57" xr3:uid="{D933EA0D-504A-4034-A2A8-EC91AE62EDDB}" name="VALOR TOTAL CONTRATO AGRUPADO" dataDxfId="92" dataCellStyle="Millares">
      <calculatedColumnFormula>Tabla44[[#This Row],[TOTAL APORTES ICBF AGRUPADO]]+Tabla44[[#This Row],[TOTAL CONTRAPARTIDA AGRUPADO]]</calculatedColumnFormula>
    </tableColumn>
    <tableColumn id="35" xr3:uid="{54AFA0F3-8F1B-4C37-B1CC-F3421515A5CF}" name="SMMLV" dataDxfId="91" dataCellStyle="Millares">
      <calculatedColumnFormula>Tabla44[[#This Row],[TOTAL APORTES ICBF AGRUPADO]]/$AL$18</calculatedColumnFormula>
    </tableColumn>
    <tableColumn id="36" xr3:uid="{4AC806AD-C78E-4525-B2A3-F07FB5FABCB3}" name="VALOR FASE PREPARATORIA DE ALISTAMIENTO" dataDxfId="90" dataCellStyle="Millares">
      <calculatedColumnFormula>VLOOKUP(Tabla44[[#This Row],[SERVICIO 2025]],$J$2:$V$15,5,0)*Tabla44[[#This Row],[TOTAL COBERTURA]]</calculatedColumnFormula>
    </tableColumn>
    <tableColumn id="37" xr3:uid="{CCCF686F-4B5B-4247-9BF1-21E94AAA15A2}" name="VALOR FASE PREPARATORIA DE CIERRE" dataDxfId="89" dataCellStyle="Millares">
      <calculatedColumnFormula>VLOOKUP(Tabla44[[#This Row],[SERVICIO 2025]],$J$2:$V$15,6,0)*Tabla44[[#This Row],[TOTAL COBERTURA]]</calculatedColumnFormula>
    </tableColumn>
    <tableColumn id="38" xr3:uid="{EC987528-AB06-494A-8B1C-950813E8391F}" name="DOTACIÓN ÚNICA" dataDxfId="88" dataCellStyle="Millares">
      <calculatedColumnFormula>VLOOKUP(Tabla44[[#This Row],[SERVICIO 2025]],$J$2:$V$15,8,0)*Tabla44[[#This Row],[TOTAL COBERTURA]]</calculatedColumnFormula>
    </tableColumn>
    <tableColumn id="39" xr3:uid="{364BD340-89A5-46AD-8CC9-98554D245CD7}" name="VALOR ATENCIÓN" dataDxfId="87" dataCellStyle="Millares">
      <calculatedColumnFormula>VLOOKUP(Tabla44[[#This Row],[SERVICIO 2025]],$J$2:$V$15,3,0)*Tabla44[[#This Row],[TOTAL COBERTURA]]*8</calculatedColumnFormula>
    </tableColumn>
    <tableColumn id="40" xr3:uid="{3EADFC7B-9528-48FA-B16B-334EF0F24579}" name="VALOR RACION PREPARADA" dataDxfId="86" dataCellStyle="Millares"/>
    <tableColumn id="41" xr3:uid="{D3828952-B38C-4CFA-A724-4024424FE8F7}" name="VALOR TOTAL" dataDxfId="85" dataCellStyle="Millares">
      <calculatedColumnFormula>SUM(Tabla44[[#This Row],[VALOR FASE PREPARATORIA DE ALISTAMIENTO]:[VALOR RACION PREPARADA]])</calculatedColumnFormula>
    </tableColumn>
    <tableColumn id="60" xr3:uid="{8123E457-1433-4EA1-9608-2B79897992A3}" name="TOTAL AGRUPADO" dataDxfId="84" dataCellStyle="Millares">
      <calculatedColumnFormula>+IF(Tabla44[[#This Row],[AGRUPACIONES]]=1,SUMIFS(Tabla44[VALOR TOTAL],Tabla44[ZONA DEFINITIVO],Tabla44[[#This Row],[ZONA DEFINITIVO]])," ")</calculatedColumnFormula>
    </tableColumn>
    <tableColumn id="24" xr3:uid="{4AA1D68D-78C9-497F-9A83-570DB22194F9}" name="VALOR COMPONENTE ALIMENTACION NO ASIGNADO" dataDxfId="83" dataCellStyle="Millares">
      <calculatedColumnFormula>VLOOKUP(Tabla44[[#This Row],[SERVICIO 2025]],$J$2:$V$15,10,0)*Tabla44[[#This Row],[TOTAL COBERTURA]]*$X$7</calculatedColumnFormula>
    </tableColumn>
    <tableColumn id="51" xr3:uid="{C5B5EDCB-49ED-44C6-8D6F-93C922A8E334}" name="VALOR TOTAL DEL CONTRATO INCLUIDO EL COMPONENTE DE ALIMENTACIÓN" dataDxfId="82" dataCellStyle="Millares">
      <calculatedColumnFormula>Tabla44[[#This Row],[TOTAL CONTRATO (ICBF+EAS)]]+Tabla44[[#This Row],[VALOR COMPONENTE ALIMENTACION NO ASIGNADO]]</calculatedColumnFormula>
    </tableColumn>
    <tableColumn id="42" xr3:uid="{27E50234-E8A9-491E-AF00-F993105E41BE}" name="DESEMBOLSO 1" dataDxfId="81">
      <calculatedColumnFormula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calculatedColumnFormula>
    </tableColumn>
    <tableColumn id="43" xr3:uid="{0D8F1297-86E9-4F17-B129-3A3BB982E3A7}" name="DESEMBOLSO 2" dataDxfId="80" dataCellStyle="Millares">
      <calculatedColumnFormula>(VLOOKUP(Tabla44[[#This Row],[SERVICIO 2025]],$J$2:$V$15,3,0)*Tabla44[[#This Row],[TOTAL COBERTURA]])+VLOOKUP(Tabla44[[#This Row],[SERVICIO 2025]],$J$2:$V$15,10,0)*Tabla44[[#This Row],[TOTAL COBERTURA]]</calculatedColumnFormula>
    </tableColumn>
    <tableColumn id="44" xr3:uid="{3F8B8CEA-51BE-4DF6-9BCF-1FA79C90D1A7}" name="DESEMBOLSO 3" dataDxfId="79" dataCellStyle="Millares">
      <calculatedColumnFormula>(VLOOKUP(Tabla44[[#This Row],[SERVICIO 2025]],$J$2:$V$15,3,0)*Tabla44[[#This Row],[TOTAL COBERTURA]])+VLOOKUP(Tabla44[[#This Row],[SERVICIO 2025]],$J$2:$V$15,10,0)*Tabla44[[#This Row],[TOTAL COBERTURA]]</calculatedColumnFormula>
    </tableColumn>
    <tableColumn id="45" xr3:uid="{3427544C-F1D1-4005-BC51-B11C046083E9}" name="DESEMBOLSO 4" dataDxfId="78" dataCellStyle="Millares">
      <calculatedColumnFormula>(VLOOKUP(Tabla44[[#This Row],[SERVICIO 2025]],$J$2:$V$15,3,0)*Tabla44[[#This Row],[TOTAL COBERTURA]])+VLOOKUP(Tabla44[[#This Row],[SERVICIO 2025]],$J$2:$V$15,10,0)*Tabla44[[#This Row],[TOTAL COBERTURA]]</calculatedColumnFormula>
    </tableColumn>
    <tableColumn id="46" xr3:uid="{B2615BDB-3233-40CD-AB8C-C25A09DABA40}" name="DESEMBOLSO 5" dataDxfId="77" dataCellStyle="Millares">
      <calculatedColumnFormula>(VLOOKUP(Tabla44[[#This Row],[SERVICIO 2025]],$J$2:$V$15,3,0)*Tabla44[[#This Row],[TOTAL COBERTURA]])+VLOOKUP(Tabla44[[#This Row],[SERVICIO 2025]],$J$2:$V$15,10,0)*Tabla44[[#This Row],[TOTAL COBERTURA]]</calculatedColumnFormula>
    </tableColumn>
    <tableColumn id="47" xr3:uid="{631E0725-16E6-47B4-B170-AEC8F9059234}" name="DESEMBOLSO 6" dataDxfId="76" dataCellStyle="Millares">
      <calculatedColumnFormula>(VLOOKUP(Tabla44[[#This Row],[SERVICIO 2025]],$J$2:$V$15,3,0)*Tabla44[[#This Row],[TOTAL COBERTURA]])+VLOOKUP(Tabla44[[#This Row],[SERVICIO 2025]],$J$2:$V$15,10,0)*Tabla44[[#This Row],[TOTAL COBERTURA]]</calculatedColumnFormula>
    </tableColumn>
    <tableColumn id="48" xr3:uid="{76CFBFDD-0236-468A-A31A-A479F94A191F}" name="DESEMBOLSO 7" dataDxfId="75" dataCellStyle="Millares">
      <calculatedColumnFormula>(VLOOKUP(Tabla44[[#This Row],[SERVICIO 2025]],$J$2:$V$15,3,0)*Tabla44[[#This Row],[TOTAL COBERTURA]])+VLOOKUP(Tabla44[[#This Row],[SERVICIO 2025]],$J$2:$V$15,10,0)*Tabla44[[#This Row],[TOTAL COBERTURA]]</calculatedColumnFormula>
    </tableColumn>
    <tableColumn id="49" xr3:uid="{AAA76DCF-41A9-4601-B1A3-3C728600ED58}" name="DESEMBOLSO 8" dataDxfId="74" dataCellStyle="Millares">
      <calculatedColumnFormula>(VLOOKUP(Tabla44[[#This Row],[SERVICIO 2025]],$J$2:$V$15,3,0)*Tabla44[[#This Row],[TOTAL COBERTURA]])+Tabla44[[#This Row],[VALOR FASE PREPARATORIA DE CIERRE]]+VLOOKUP(Tabla44[[#This Row],[SERVICIO 2025]],$J$2:$V$15,10,0)*Tabla44[[#This Row],[TOTAL COBERTURA]]</calculatedColumnFormula>
    </tableColumn>
    <tableColumn id="50" xr3:uid="{D70DBF1D-1C7E-47D5-9AD6-6203CE98A8ED}" name="TOTAL DESEMBOLSOS" dataDxfId="73" dataCellStyle="Millares">
      <calculatedColumnFormula>SUM(Tabla44[[#This Row],[DESEMBOLSO 1]:[DESEMBOLSO 8]])</calculatedColumnFormula>
    </tableColumn>
    <tableColumn id="52" xr3:uid="{8804B97F-742A-45A9-B3FC-622DD3F7D91C}" name="VALIDADOR" dataDxfId="72">
      <calculatedColumnFormula>EXACT(Tabla44[[#This Row],[VALOR ATENCIÓN (8 MESES)]],Tabla44[[#This Row],[VALOR TOTAL]])</calculatedColumnFormula>
    </tableColumn>
    <tableColumn id="53" xr3:uid="{46D9B837-97B6-4563-90DB-F945A7EA7D3F}" name="DIFERENCIA" dataDxfId="71">
      <calculatedColumnFormula>Tabla44[[#This Row],[VALOR ATENCIÓN (8 MESES)]]-Tabla44[[#This Row],[VALOR TOTAL]]</calculatedColumnFormula>
    </tableColumn>
    <tableColumn id="54" xr3:uid="{5A031E8B-7BEC-4B34-9A40-1516459216B5}" name="VALIDADOR DESEMBOLSOS" dataDxfId="70">
      <calculatedColumnFormula>EXACT(Tabla44[[#This Row],[TOTAL DESEMBOLSOS]],Tabla44[[#This Row],[VALOR TOTAL DEL CONTRATO INCLUIDO EL COMPONENTE DE ALIMENTACIÓN]])</calculatedColumnFormula>
    </tableColumn>
    <tableColumn id="55" xr3:uid="{57EE1B98-616A-4FC8-9C62-E5D954F8A227}" name="DIFERENCIA DESEMBOLSOS" dataDxfId="69">
      <calculatedColumnFormula>Tabla44[[#This Row],[TOTAL DESEMBOLSOS]]-Tabla44[[#This Row],[VALOR TOTAL DEL CONTRATO INCLUIDO EL COMPONENTE DE ALIMENTACIÓN]]</calculatedColumnFormula>
    </tableColumn>
    <tableColumn id="59" xr3:uid="{B828848E-B8DE-4765-9F26-CC4657E75963}" name="OBSERVACIONES" dataDxfId="68"/>
    <tableColumn id="61" xr3:uid="{9C6E93B4-2CDA-436A-AC86-A6616663867F}" name="RADICADO" dataDxfId="67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7E52FD-96AB-44C3-94E8-2160C3F33573}" name="Tabla43" displayName="Tabla43" ref="A21:BJ274" totalsRowShown="0" headerRowDxfId="66" dataDxfId="65" headerRowBorderDxfId="63" tableBorderDxfId="64" totalsRowBorderDxfId="62" headerRowCellStyle="Moneda">
  <autoFilter ref="A21:BJ274" xr:uid="{A87EF8AA-CDE5-4971-A14D-DFD18F27644D}">
    <filterColumn colId="0">
      <filters>
        <filter val="1935-1"/>
      </filters>
    </filterColumn>
  </autoFilter>
  <tableColumns count="62">
    <tableColumn id="1" xr3:uid="{B8FD955F-D0A4-48CB-8712-A8D59CDD9292}" name="ZONA DEFINITIVO" dataDxfId="61"/>
    <tableColumn id="63" xr3:uid="{2A928951-AC94-436D-BA73-F17918912BF8}" name="N° CONTRATO" dataDxfId="60"/>
    <tableColumn id="2" xr3:uid="{2ADEEB96-EE4D-4E48-B30F-7113DA36A072}" name="LOTE PROCESO 2025(ETAPA DEFINITIVOS)" dataDxfId="59"/>
    <tableColumn id="3" xr3:uid="{F067ACC9-DB00-442F-A8CC-DF9F3C0A16C9}" name="CENTRO ZONAL" dataDxfId="58"/>
    <tableColumn id="4" xr3:uid="{36F34DD9-A091-42F4-966A-A2A146D94F6B}" name="MUNICIPIO" dataDxfId="57"/>
    <tableColumn id="5" xr3:uid="{3D5A2E47-2AE8-4790-AB23-9BA90C72C107}" name="SERVICIO 2025" dataDxfId="56"/>
    <tableColumn id="6" xr3:uid="{141476D9-0FAE-4E15-9051-A1F1C487D05F}" name="OBJETO" dataDxfId="55"/>
    <tableColumn id="7" xr3:uid="{2066CDDF-34BD-42E3-BF42-F6C267DBBC30}" name="DIRECCION UDS" dataDxfId="54"/>
    <tableColumn id="8" xr3:uid="{162CCC26-B0C6-4D5C-9D3E-15A75A3EA60B}" name="CÓDIGO UDS" dataDxfId="53"/>
    <tableColumn id="9" xr3:uid="{8028F453-922A-4CE9-B3CB-D169D9ED4E32}" name="UNIDAD DE SERVICIO (UDS)" dataDxfId="52"/>
    <tableColumn id="10" xr3:uid="{6922EE3C-4EA7-4685-9D04-944DEEAA6A00}" name="UDS" dataDxfId="51"/>
    <tableColumn id="11" xr3:uid="{DC271852-85A0-4052-9634-22605C926F65}" name="TOTAL COBERTURA" dataDxfId="50"/>
    <tableColumn id="12" xr3:uid="{7A8FB745-F9B1-4E38-BA52-DF1A1E082A2D}" name="DESPLAZADOS" dataDxfId="49"/>
    <tableColumn id="13" xr3:uid="{E224D74F-8C9C-48E2-BD05-731BC1123D5D}" name="CONSECUTIVO MATRIZ" dataDxfId="48"/>
    <tableColumn id="14" xr3:uid="{A5A162B0-2446-4EA0-954E-96C1E40E51C5}" name="FORMA DE CONTRATACION" dataDxfId="47"/>
    <tableColumn id="15" xr3:uid="{210114B6-D21C-4622-BB72-4F3CF6F1FA4E}" name="SECOP NUMERO DE ZONA" dataDxfId="46"/>
    <tableColumn id="16" xr3:uid="{96FAD331-0A75-4C8F-8ED6-1D1A5D833F03}" name="DE QUIEN ES LA INFRAESTRUCTURA" dataDxfId="45"/>
    <tableColumn id="17" xr3:uid="{A0CB369D-2A00-4DCB-B343-F8E0E9453574}" name="RUBRO" dataDxfId="44"/>
    <tableColumn id="18" xr3:uid="{ABC0AFBB-429A-46E2-88EF-FDC3C8D95224}" name="RECURSO" dataDxfId="43"/>
    <tableColumn id="19" xr3:uid="{2D6EB795-BAC6-4E9C-AC17-4EB6FC0F28C9}" name="NIT" dataDxfId="42"/>
    <tableColumn id="20" xr3:uid="{84B87A4E-EF65-4269-95BB-A2269CD129DD}" name="NOMBRE EAS" dataDxfId="41"/>
    <tableColumn id="21" xr3:uid="{390814AC-44DC-4B6E-B8E1-6B459A683D32}" name="SITCO" dataDxfId="40">
      <calculatedColumnFormula>VLOOKUP(Tabla43[[#This Row],[ZONA DEFINITIVO]],Hoja1!$A$1:$D$129,3,0)</calculatedColumnFormula>
    </tableColumn>
    <tableColumn id="22" xr3:uid="{F5CCDB3B-9E4D-4FC8-A969-B6C2C8A5012E}" name="PACCO" dataDxfId="39">
      <calculatedColumnFormula>VLOOKUP(Tabla43[[#This Row],[ZONA DEFINITIVO]],Hoja1!$A$1:$D$129,2,0)</calculatedColumnFormula>
    </tableColumn>
    <tableColumn id="23" xr3:uid="{5625471E-1BDA-4921-A996-73C97ADDE9E5}" name="CDP" dataDxfId="38">
      <calculatedColumnFormula>VLOOKUP(Tabla43[[#This Row],[ZONA DEFINITIVO]],Hoja1!$A$1:$D$129,4,0)</calculatedColumnFormula>
    </tableColumn>
    <tableColumn id="25" xr3:uid="{AB7604F8-A21B-4252-B563-F3C3D990B3FE}" name="Suma UDS X Invitación (Auto)" dataDxfId="37">
      <calculatedColumnFormula>+IF(Tabla43[[#This Row],[AGRUPACIONES]]=1,SUMIFS(Tabla43[UDS],Tabla43[ZONA DEFINITIVO],Tabla43[[#This Row],[ZONA DEFINITIVO]])," ")</calculatedColumnFormula>
    </tableColumn>
    <tableColumn id="26" xr3:uid="{BECF87C4-CC97-43B5-A3A5-5937A2FAC9BE}" name="Cupos x Invitacion (Auto)" dataDxfId="36">
      <calculatedColumnFormula>+IF(Tabla43[[#This Row],[AGRUPACIONES]]=1,SUMIFS(Tabla43[TOTAL COBERTURA],Tabla43[ZONA DEFINITIVO],Tabla43[[#This Row],[ZONA DEFINITIVO]])," ")</calculatedColumnFormula>
    </tableColumn>
    <tableColumn id="27" xr3:uid="{0FC197F8-CE8F-4C10-BB78-29133191B631}" name="OBSERVACIÓN" dataDxfId="35"/>
    <tableColumn id="29" xr3:uid="{53998203-7705-4174-89E4-F12796AF73DC}" name="VALOR ATENCIÓN (7 MESES)" dataDxfId="34" dataCellStyle="Millares">
      <calculatedColumnFormula>VLOOKUP(Tabla43[[#This Row],[SERVICIO 2025]],$J$2:$V$16,3,0)*Tabla43[[#This Row],[TOTAL COBERTURA]]*7+Tabla43[[#This Row],[VALOR FASE PREPARATORIA DE ALISTAMIENTO]]+Tabla43[[#This Row],[VALOR FASE PREPARATORIA DE CIERRE]]+Tabla43[[#This Row],[DOTACIÓN ÚNICA]]</calculatedColumnFormula>
    </tableColumn>
    <tableColumn id="28" xr3:uid="{0FEFF68E-316A-4049-9AB3-9235F5FB14A9}" name="% CONTRAPARTIDA" dataDxfId="33" dataCellStyle="Millares"/>
    <tableColumn id="30" xr3:uid="{16946DBD-2BF8-472D-BA4A-45606E0A3BDE}" name="VALOR CONTRAPARTIDA" dataDxfId="32" dataCellStyle="Millares">
      <calculatedColumnFormula>Tabla43[[#This Row],[VALOR ATENCIÓN (7 MESES)]]*Tabla43[[#This Row],[% CONTRAPARTIDA]]</calculatedColumnFormula>
    </tableColumn>
    <tableColumn id="31" xr3:uid="{9C9BCB84-0F29-4016-A950-65DB8CC7356B}" name="TASAS COMPENSATORIAS" dataDxfId="31"/>
    <tableColumn id="32" xr3:uid="{FB0EEC48-CF9F-4154-96FB-28822277F074}" name="AGRUPACIONES" dataDxfId="30">
      <calculatedColumnFormula>COUNTIF($A$22:A22,A22)</calculatedColumnFormula>
    </tableColumn>
    <tableColumn id="33" xr3:uid="{CB487E30-5541-45F7-BADD-AE7DC1408CB3}" name="TOTAL APORTES ICBF" dataDxfId="29" dataCellStyle="Millares">
      <calculatedColumnFormula>VLOOKUP(Tabla43[[#This Row],[SERVICIO 2025]],$J$2:$V$16,3,0)*Tabla43[[#This Row],[TOTAL COBERTURA]]*7</calculatedColumnFormula>
    </tableColumn>
    <tableColumn id="58" xr3:uid="{EA1E91C9-0F80-4509-9B6F-6E74A90964E6}" name="TOTAL CONTRATO (ICBF+EAS)" dataDxfId="28" dataCellStyle="Millares">
      <calculatedColumnFormula>Tabla43[[#This Row],[VALOR CONTRAPARTIDA]]+Tabla43[[#This Row],[TOTAL APORTES ICBF]]</calculatedColumnFormula>
    </tableColumn>
    <tableColumn id="34" xr3:uid="{760FB915-8E25-47DD-90D7-9089C86498CD}" name="TOTAL APORTES ICBF AGRUPADO" dataDxfId="27" dataCellStyle="Millares">
      <calculatedColumnFormula>+IF(Tabla43[[#This Row],[AGRUPACIONES]]=1,SUMIFS(Tabla43[TOTAL APORTES ICBF],Tabla43[ZONA DEFINITIVO],Tabla43[[#This Row],[ZONA DEFINITIVO]])," ")</calculatedColumnFormula>
    </tableColumn>
    <tableColumn id="56" xr3:uid="{41F300E1-EED0-458D-92EE-1056758A6F58}" name="TOTAL CONTRAPARTIDA AGRUPADO" dataDxfId="26" dataCellStyle="Millares">
      <calculatedColumnFormula>ROUND(+IF(Tabla43[[#This Row],[AGRUPACIONES]]=1,SUMIFS(Tabla43[VALOR CONTRAPARTIDA],Tabla43[ZONA DEFINITIVO],Tabla43[[#This Row],[ZONA DEFINITIVO]])," "),0)</calculatedColumnFormula>
    </tableColumn>
    <tableColumn id="57" xr3:uid="{C73DC39B-82DB-433E-BC8E-5142B7623736}" name="VALOR TOTAL CONTRATO AGRUPADO" dataDxfId="25" dataCellStyle="Millares">
      <calculatedColumnFormula>Tabla43[[#This Row],[TOTAL APORTES ICBF AGRUPADO]]+Tabla43[[#This Row],[TOTAL CONTRAPARTIDA AGRUPADO]]</calculatedColumnFormula>
    </tableColumn>
    <tableColumn id="35" xr3:uid="{7C9B7767-8197-4199-9D52-36C47B04366B}" name="SMMLV" dataDxfId="24">
      <calculatedColumnFormula>Tabla43[[#This Row],[TOTAL APORTES ICBF AGRUPADO]]/$AL$20</calculatedColumnFormula>
    </tableColumn>
    <tableColumn id="36" xr3:uid="{3A3F8376-0DB8-4F94-9673-C3D900F375FF}" name="VALOR FASE PREPARATORIA DE ALISTAMIENTO" dataDxfId="23" dataCellStyle="Millares">
      <calculatedColumnFormula>VLOOKUP(Tabla43[[#This Row],[SERVICIO 2025]],$J$2:$V$16,5,0)*Tabla43[[#This Row],[TOTAL COBERTURA]]</calculatedColumnFormula>
    </tableColumn>
    <tableColumn id="37" xr3:uid="{5C31ADFF-83AC-4844-8E36-AEB81B9E100B}" name="VALOR FASE PREPARATORIA DE CIERRE" dataDxfId="22" dataCellStyle="Millares">
      <calculatedColumnFormula>VLOOKUP(Tabla43[[#This Row],[SERVICIO 2025]],$J$2:$V$16,6,0)*Tabla43[[#This Row],[TOTAL COBERTURA]]</calculatedColumnFormula>
    </tableColumn>
    <tableColumn id="38" xr3:uid="{3CD9898B-DBD7-4EA9-ADA0-B4F262828EB8}" name="DOTACIÓN ÚNICA" dataDxfId="21" dataCellStyle="Millares">
      <calculatedColumnFormula>VLOOKUP(Tabla43[[#This Row],[SERVICIO 2025]],$J$2:$V$16,8,0)*Tabla43[[#This Row],[TOTAL COBERTURA]]</calculatedColumnFormula>
    </tableColumn>
    <tableColumn id="39" xr3:uid="{5BDFE4E8-76CE-45B6-A129-224750521834}" name="VALOR ATENCIÓN" dataDxfId="20" dataCellStyle="Millares">
      <calculatedColumnFormula>VLOOKUP(Tabla43[[#This Row],[SERVICIO 2025]],$J$2:$V$16,3,0)*Tabla43[[#This Row],[TOTAL COBERTURA]]*7</calculatedColumnFormula>
    </tableColumn>
    <tableColumn id="40" xr3:uid="{F426942C-29E4-4471-9145-6FC5B37C6D28}" name="VALOR RACION PREPARADA" dataDxfId="19" dataCellStyle="Millares">
      <calculatedColumnFormula>VLOOKUP(Tabla43[[#This Row],[SERVICIO 2025]],$J$2:$V$16,10,0)*Tabla43[[#This Row],[TOTAL COBERTURA]]*7</calculatedColumnFormula>
    </tableColumn>
    <tableColumn id="41" xr3:uid="{EA7A4F7D-6ADB-4816-AEE7-7632B8D0EE78}" name="VALOR TOTAL" dataDxfId="18" dataCellStyle="Millares">
      <calculatedColumnFormula>Tabla43[[#This Row],[VALOR FASE PREPARATORIA DE ALISTAMIENTO]]+Tabla43[[#This Row],[VALOR FASE PREPARATORIA DE CIERRE]]+Tabla43[[#This Row],[DOTACIÓN ÚNICA]]+Tabla43[[#This Row],[VALOR ATENCIÓN]]+Tabla43[[#This Row],[VALOR RACION PREPARADA]]</calculatedColumnFormula>
    </tableColumn>
    <tableColumn id="60" xr3:uid="{16576391-A03C-4050-9F24-F952C5F7CF83}" name="TOTAL AGRUPADO" dataDxfId="17" dataCellStyle="Millares">
      <calculatedColumnFormula>+IF(Tabla43[[#This Row],[AGRUPACIONES]]=1,SUMIFS(Tabla43[VALOR TOTAL],Tabla43[ZONA DEFINITIVO],Tabla43[[#This Row],[ZONA DEFINITIVO]])," ")</calculatedColumnFormula>
    </tableColumn>
    <tableColumn id="42" xr3:uid="{7FA6EDA8-29A0-4F84-A1DB-FFC5C0A24053}" name="DESEMBOLSO 1" dataDxfId="16">
      <calculatedColumnFormula>VLOOKUP(Tabla43[[#This Row],[SERVICIO 2025]],$J$2:$V$16,3,0)*Tabla43[[#This Row],[TOTAL COBERTURA]]+Tabla43[[#This Row],[VALOR FASE PREPARATORIA DE ALISTAMIENTO]]+Tabla43[[#This Row],[DOTACIÓN ÚNICA]]+Tabla43[[#This Row],[VALOR RACION PREPARADA]]/7</calculatedColumnFormula>
    </tableColumn>
    <tableColumn id="43" xr3:uid="{2BA6EE51-B63C-4ED4-85C9-4E623698A85A}" name="DESEMBOLSO 2" dataDxfId="15" dataCellStyle="Millares">
      <calculatedColumnFormula>VLOOKUP(Tabla43[[#This Row],[SERVICIO 2025]],$J$2:$V$16,3,0)*Tabla43[[#This Row],[TOTAL COBERTURA]]+Tabla43[[#This Row],[VALOR RACION PREPARADA]]/7</calculatedColumnFormula>
    </tableColumn>
    <tableColumn id="44" xr3:uid="{0E7377A8-7F39-4506-9F49-C095C91404D5}" name="DESEMBOLSO 3" dataDxfId="14" dataCellStyle="Millares">
      <calculatedColumnFormula>VLOOKUP(Tabla43[[#This Row],[SERVICIO 2025]],$J$2:$V$16,3,0)*Tabla43[[#This Row],[TOTAL COBERTURA]]+Tabla43[[#This Row],[VALOR RACION PREPARADA]]/7</calculatedColumnFormula>
    </tableColumn>
    <tableColumn id="45" xr3:uid="{37E423E8-698D-4E8C-9F7F-0A78CE00CED8}" name="DESEMBOLSO 4" dataDxfId="13" dataCellStyle="Millares">
      <calculatedColumnFormula>VLOOKUP(Tabla43[[#This Row],[SERVICIO 2025]],$J$2:$V$16,3,0)*Tabla43[[#This Row],[TOTAL COBERTURA]]+Tabla43[[#This Row],[VALOR RACION PREPARADA]]/7</calculatedColumnFormula>
    </tableColumn>
    <tableColumn id="46" xr3:uid="{E91EB9CB-5827-4708-8AC3-55961C37706D}" name="DESEMBOLSO 5" dataDxfId="12" dataCellStyle="Millares">
      <calculatedColumnFormula>VLOOKUP(Tabla43[[#This Row],[SERVICIO 2025]],$J$2:$V$16,3,0)*Tabla43[[#This Row],[TOTAL COBERTURA]]+Tabla43[[#This Row],[VALOR RACION PREPARADA]]/7</calculatedColumnFormula>
    </tableColumn>
    <tableColumn id="47" xr3:uid="{C5D3540C-6EE1-420B-B94E-147748A72CB9}" name="DESEMBOLSO 6" dataDxfId="11" dataCellStyle="Millares">
      <calculatedColumnFormula>VLOOKUP(Tabla43[[#This Row],[SERVICIO 2025]],$J$2:$V$16,3,0)*Tabla43[[#This Row],[TOTAL COBERTURA]]+Tabla43[[#This Row],[VALOR RACION PREPARADA]]/7</calculatedColumnFormula>
    </tableColumn>
    <tableColumn id="48" xr3:uid="{998E2F3A-02A5-4F01-9CEC-39F4AB01DF20}" name="DESEMBOLSO 7" dataDxfId="10" dataCellStyle="Millares">
      <calculatedColumnFormula>VLOOKUP(Tabla43[[#This Row],[SERVICIO 2025]],$J$2:$V$16,3,0)*Tabla43[[#This Row],[TOTAL COBERTURA]]+Tabla43[[#This Row],[VALOR RACION PREPARADA]]/7+Tabla43[[#This Row],[VALOR FASE PREPARATORIA DE CIERRE]]</calculatedColumnFormula>
    </tableColumn>
    <tableColumn id="49" xr3:uid="{578913F2-7EE1-45AF-BFE1-2A3C3C53A04D}" name="DESEMBOLSO 8" dataDxfId="9" dataCellStyle="Millares"/>
    <tableColumn id="50" xr3:uid="{F3364D75-57BE-4BC7-B142-2398D2D01EAA}" name="TOTAL DESEMBOLSOS" dataDxfId="8" dataCellStyle="Millares">
      <calculatedColumnFormula>SUM(Tabla43[[#This Row],[DESEMBOLSO 1]:[DESEMBOLSO 8]])</calculatedColumnFormula>
    </tableColumn>
    <tableColumn id="24" xr3:uid="{2AF096C6-2A14-49F7-93D3-ADD07B549070}" name="VALOR COMPONENTE ALIMENTACION NO ASIGNADO" dataDxfId="7" dataCellStyle="Millares">
      <calculatedColumnFormula>VLOOKUP(Tabla43[[#This Row],[SERVICIO 2025]],$J$2:$V$16,10,0)*Tabla43[[#This Row],[TOTAL COBERTURA]]*$W$3</calculatedColumnFormula>
    </tableColumn>
    <tableColumn id="51" xr3:uid="{63268F74-CD13-4436-9095-F23F178572D6}" name="UDS CON COMPONENTE DE ALIMENTACION EJECUTADO POR EL ICBF" dataDxfId="6"/>
    <tableColumn id="52" xr3:uid="{B26DE2F7-BFD6-4D9D-B135-08B01AF20F04}" name="VALIDADOR" dataDxfId="5">
      <calculatedColumnFormula>EXACT(Tabla43[[#This Row],[TOTAL APORTES ICBF]],Tabla43[[#This Row],[VALOR TOTAL]])</calculatedColumnFormula>
    </tableColumn>
    <tableColumn id="53" xr3:uid="{901489C0-A655-4DAC-A567-619AC83F5625}" name="DIFERENCIA" dataDxfId="4">
      <calculatedColumnFormula>SUM(Tabla43[[#This Row],[VALOR FASE PREPARATORIA DE ALISTAMIENTO]:[VALOR RACION PREPARADA]])-Tabla43[[#This Row],[VALOR TOTAL]]</calculatedColumnFormula>
    </tableColumn>
    <tableColumn id="54" xr3:uid="{729C5C56-B6F7-4AC4-AB26-FCE1B0CECAB5}" name="VALIDADOR DESEMBOLSOS" dataDxfId="3">
      <calculatedColumnFormula>EXACT(Tabla43[[#This Row],[VALOR TOTAL]],Tabla43[[#This Row],[TOTAL DESEMBOLSOS]])</calculatedColumnFormula>
    </tableColumn>
    <tableColumn id="55" xr3:uid="{25F69634-FA68-4B91-AC0A-B5DB2DE6F9E8}" name="DIFERENCIA DESEMBOLSOS" dataDxfId="2">
      <calculatedColumnFormula>Tabla43[[#This Row],[TOTAL DESEMBOLSOS]]-Tabla43[[#This Row],[VALOR TOTAL]]</calculatedColumnFormula>
    </tableColumn>
    <tableColumn id="59" xr3:uid="{67D30CBD-1C55-4CF5-8E0C-B0A4EE0F4995}" name="RADICADO" dataDxfId="1"/>
    <tableColumn id="61" xr3:uid="{5658635D-C01F-443A-98C6-FF2D7947FC83}" name="TIPO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338A2-DADC-43F6-AB28-72D36FE5F917}">
  <dimension ref="A2:BJ1312"/>
  <sheetViews>
    <sheetView topLeftCell="Q75" zoomScale="85" zoomScaleNormal="85" workbookViewId="0">
      <selection activeCell="C19" sqref="C19"/>
    </sheetView>
  </sheetViews>
  <sheetFormatPr defaultColWidth="11.42578125" defaultRowHeight="14.45"/>
  <cols>
    <col min="1" max="2" width="18.140625" customWidth="1"/>
    <col min="3" max="3" width="15" customWidth="1"/>
    <col min="4" max="4" width="23.42578125" customWidth="1"/>
    <col min="5" max="5" width="17.7109375" customWidth="1"/>
    <col min="6" max="6" width="78.140625" bestFit="1" customWidth="1"/>
    <col min="7" max="7" width="18.42578125" customWidth="1"/>
    <col min="8" max="8" width="44.5703125" customWidth="1"/>
    <col min="9" max="9" width="25.28515625" customWidth="1"/>
    <col min="10" max="10" width="63.42578125" customWidth="1"/>
    <col min="11" max="11" width="18.7109375" customWidth="1"/>
    <col min="12" max="12" width="19.140625" customWidth="1"/>
    <col min="13" max="13" width="15.7109375" customWidth="1"/>
    <col min="14" max="14" width="22.42578125" customWidth="1"/>
    <col min="15" max="15" width="26" customWidth="1"/>
    <col min="16" max="16" width="24.85546875" customWidth="1"/>
    <col min="17" max="17" width="33" customWidth="1"/>
    <col min="18" max="18" width="35.28515625" customWidth="1"/>
    <col min="19" max="19" width="17.140625" customWidth="1"/>
    <col min="20" max="20" width="11.42578125" customWidth="1"/>
    <col min="21" max="21" width="45.5703125" customWidth="1"/>
    <col min="22" max="22" width="16.5703125" customWidth="1"/>
    <col min="23" max="23" width="17.5703125" customWidth="1"/>
    <col min="24" max="24" width="11.42578125" customWidth="1"/>
    <col min="25" max="25" width="27.85546875" customWidth="1"/>
    <col min="26" max="26" width="24.140625" customWidth="1"/>
    <col min="27" max="27" width="15.7109375" customWidth="1"/>
    <col min="28" max="28" width="27.7109375" customWidth="1"/>
    <col min="29" max="29" width="20.28515625" customWidth="1"/>
    <col min="30" max="30" width="24.28515625" customWidth="1"/>
    <col min="31" max="31" width="25.85546875" customWidth="1"/>
    <col min="32" max="32" width="18.140625" customWidth="1"/>
    <col min="33" max="33" width="21.5703125" customWidth="1"/>
    <col min="34" max="34" width="27" customWidth="1"/>
    <col min="35" max="35" width="31.7109375" customWidth="1"/>
    <col min="36" max="37" width="31.7109375" style="11" customWidth="1"/>
    <col min="38" max="38" width="13.42578125" customWidth="1"/>
    <col min="39" max="39" width="43.140625" style="25" customWidth="1"/>
    <col min="40" max="40" width="36.7109375" style="25" customWidth="1"/>
    <col min="41" max="41" width="19" style="25" customWidth="1"/>
    <col min="42" max="42" width="18.85546875" style="25" customWidth="1"/>
    <col min="43" max="43" width="27.28515625" style="25" customWidth="1"/>
    <col min="44" max="45" width="18" style="25" customWidth="1"/>
    <col min="46" max="46" width="25.85546875" customWidth="1"/>
    <col min="47" max="51" width="25.85546875" style="11" customWidth="1"/>
    <col min="52" max="52" width="24.42578125" style="11" customWidth="1"/>
    <col min="53" max="53" width="22.7109375" style="11" customWidth="1"/>
    <col min="54" max="54" width="22.42578125" style="11" customWidth="1"/>
    <col min="55" max="55" width="27.140625" style="11" customWidth="1"/>
    <col min="56" max="56" width="60.7109375" customWidth="1"/>
    <col min="57" max="57" width="23" customWidth="1"/>
    <col min="58" max="58" width="14.140625" customWidth="1"/>
    <col min="59" max="59" width="27.140625" customWidth="1"/>
    <col min="60" max="60" width="24.5703125" customWidth="1"/>
    <col min="61" max="61" width="21.28515625" customWidth="1"/>
  </cols>
  <sheetData>
    <row r="2" spans="10:23" ht="21.6">
      <c r="J2" s="1" t="s">
        <v>0</v>
      </c>
      <c r="K2" s="1" t="s">
        <v>1</v>
      </c>
      <c r="L2" s="1" t="s">
        <v>2</v>
      </c>
      <c r="M2" s="1" t="s">
        <v>3</v>
      </c>
      <c r="N2" s="1" t="s">
        <v>4</v>
      </c>
      <c r="O2" s="1" t="s">
        <v>5</v>
      </c>
      <c r="P2" s="1" t="s">
        <v>6</v>
      </c>
      <c r="Q2" s="1" t="s">
        <v>7</v>
      </c>
      <c r="R2" s="1" t="s">
        <v>8</v>
      </c>
      <c r="S2" s="1" t="s">
        <v>9</v>
      </c>
      <c r="T2" s="1" t="s">
        <v>10</v>
      </c>
      <c r="U2" s="1" t="s">
        <v>11</v>
      </c>
      <c r="V2" s="1" t="s">
        <v>12</v>
      </c>
    </row>
    <row r="3" spans="10:23">
      <c r="J3" s="2" t="s">
        <v>13</v>
      </c>
      <c r="K3" s="2"/>
      <c r="L3" s="3">
        <v>349190</v>
      </c>
      <c r="M3" s="4">
        <v>8</v>
      </c>
      <c r="N3" s="3">
        <v>88143</v>
      </c>
      <c r="O3" s="3">
        <v>75043</v>
      </c>
      <c r="P3" s="5">
        <v>8</v>
      </c>
      <c r="Q3" s="3"/>
      <c r="R3" s="3">
        <f>(L3*M3)+N3+O3</f>
        <v>2956706</v>
      </c>
      <c r="S3" s="3">
        <v>154018</v>
      </c>
      <c r="T3" s="6">
        <v>45930</v>
      </c>
      <c r="U3" s="7"/>
      <c r="V3" s="8">
        <v>2025</v>
      </c>
      <c r="W3">
        <v>8</v>
      </c>
    </row>
    <row r="4" spans="10:23">
      <c r="J4" s="2" t="s">
        <v>14</v>
      </c>
      <c r="K4" s="2"/>
      <c r="L4" s="3">
        <v>503208</v>
      </c>
      <c r="M4" s="4">
        <v>8</v>
      </c>
      <c r="N4" s="3">
        <v>88143</v>
      </c>
      <c r="O4" s="3">
        <v>75043</v>
      </c>
      <c r="P4" s="5">
        <v>8</v>
      </c>
      <c r="Q4" s="3"/>
      <c r="R4" s="3">
        <f>(L4*M4)+N4+O4</f>
        <v>4188850</v>
      </c>
      <c r="S4" s="3"/>
      <c r="T4" s="6">
        <v>45930</v>
      </c>
      <c r="U4" s="7"/>
      <c r="V4" s="8">
        <v>2025</v>
      </c>
    </row>
    <row r="5" spans="10:23">
      <c r="J5" s="2" t="s">
        <v>15</v>
      </c>
      <c r="K5" s="2"/>
      <c r="L5" s="3">
        <v>520777</v>
      </c>
      <c r="M5" s="4">
        <v>8</v>
      </c>
      <c r="N5" s="3">
        <v>88143</v>
      </c>
      <c r="O5" s="3">
        <v>75043</v>
      </c>
      <c r="P5" s="5">
        <v>8</v>
      </c>
      <c r="Q5" s="3"/>
      <c r="R5" s="3">
        <f>(L5*M5)+N5+O5</f>
        <v>4329402</v>
      </c>
      <c r="S5" s="3"/>
      <c r="T5" s="6">
        <v>45930</v>
      </c>
      <c r="U5" s="7"/>
      <c r="V5" s="8">
        <v>2025</v>
      </c>
    </row>
    <row r="6" spans="10:23">
      <c r="J6" s="9" t="s">
        <v>16</v>
      </c>
      <c r="K6" s="2"/>
      <c r="L6" s="3">
        <v>462016</v>
      </c>
      <c r="M6" s="4">
        <v>8</v>
      </c>
      <c r="N6" s="3">
        <v>73965</v>
      </c>
      <c r="O6" s="3">
        <v>32651</v>
      </c>
      <c r="P6" s="5">
        <v>8</v>
      </c>
      <c r="Q6" s="3">
        <v>29099</v>
      </c>
      <c r="R6" s="3">
        <f t="shared" ref="R6:R14" si="0">(L6*M6)+N6+O6+Q6</f>
        <v>3831843</v>
      </c>
      <c r="S6" s="3"/>
      <c r="T6" s="6">
        <v>45930</v>
      </c>
      <c r="U6" s="7"/>
      <c r="V6" s="8">
        <v>2025</v>
      </c>
    </row>
    <row r="7" spans="10:23">
      <c r="J7" s="9" t="s">
        <v>17</v>
      </c>
      <c r="K7" s="2"/>
      <c r="L7" s="3">
        <v>298914</v>
      </c>
      <c r="M7" s="4">
        <v>8</v>
      </c>
      <c r="N7" s="3">
        <v>73965</v>
      </c>
      <c r="O7" s="3">
        <v>32651</v>
      </c>
      <c r="P7" s="5">
        <v>8</v>
      </c>
      <c r="Q7" s="3">
        <v>29099</v>
      </c>
      <c r="R7" s="3">
        <f t="shared" si="0"/>
        <v>2527027</v>
      </c>
      <c r="S7" s="3">
        <v>163102</v>
      </c>
      <c r="T7" s="6">
        <v>45930</v>
      </c>
      <c r="U7" s="7"/>
      <c r="V7" s="8">
        <v>2025</v>
      </c>
    </row>
    <row r="8" spans="10:23">
      <c r="J8" s="9" t="s">
        <v>18</v>
      </c>
      <c r="K8" s="2"/>
      <c r="L8" s="3">
        <v>257586</v>
      </c>
      <c r="M8" s="4">
        <v>8</v>
      </c>
      <c r="N8" s="3">
        <v>49376</v>
      </c>
      <c r="O8" s="3">
        <v>41029</v>
      </c>
      <c r="P8" s="5">
        <v>8</v>
      </c>
      <c r="Q8" s="3">
        <f>27428+1672</f>
        <v>29100</v>
      </c>
      <c r="R8" s="3">
        <f t="shared" si="0"/>
        <v>2180193</v>
      </c>
      <c r="S8" s="3">
        <v>180383</v>
      </c>
      <c r="T8" s="6">
        <v>45930</v>
      </c>
      <c r="U8" s="7"/>
      <c r="V8" s="8">
        <v>2025</v>
      </c>
    </row>
    <row r="9" spans="10:23">
      <c r="J9" s="9" t="s">
        <v>19</v>
      </c>
      <c r="K9" s="2"/>
      <c r="L9" s="3">
        <v>265934</v>
      </c>
      <c r="M9" s="4">
        <v>8</v>
      </c>
      <c r="N9" s="3">
        <v>51463</v>
      </c>
      <c r="O9" s="3">
        <v>43116</v>
      </c>
      <c r="P9" s="5">
        <v>8</v>
      </c>
      <c r="Q9" s="3">
        <f>27428+1672</f>
        <v>29100</v>
      </c>
      <c r="R9" s="3">
        <f t="shared" si="0"/>
        <v>2251151</v>
      </c>
      <c r="S9" s="3">
        <v>180383</v>
      </c>
      <c r="T9" s="6">
        <v>45930</v>
      </c>
      <c r="U9" s="7"/>
      <c r="V9" s="8">
        <v>2025</v>
      </c>
    </row>
    <row r="10" spans="10:23">
      <c r="J10" s="9" t="s">
        <v>20</v>
      </c>
      <c r="K10" s="2"/>
      <c r="L10" s="3">
        <v>367661</v>
      </c>
      <c r="M10" s="4">
        <v>8</v>
      </c>
      <c r="N10" s="3">
        <v>46744</v>
      </c>
      <c r="O10" s="3">
        <v>37841</v>
      </c>
      <c r="P10" s="5">
        <v>8</v>
      </c>
      <c r="Q10" s="3"/>
      <c r="R10" s="3">
        <f t="shared" si="0"/>
        <v>3025873</v>
      </c>
      <c r="S10" s="3"/>
      <c r="T10" s="6">
        <v>45930</v>
      </c>
      <c r="U10" s="7"/>
      <c r="V10" s="8">
        <v>2025</v>
      </c>
    </row>
    <row r="11" spans="10:23">
      <c r="J11" s="9" t="s">
        <v>21</v>
      </c>
      <c r="K11" s="2"/>
      <c r="L11" s="3">
        <v>179340</v>
      </c>
      <c r="M11" s="4">
        <v>8</v>
      </c>
      <c r="N11" s="3">
        <v>46744</v>
      </c>
      <c r="O11" s="3">
        <v>37841</v>
      </c>
      <c r="P11" s="5">
        <v>8</v>
      </c>
      <c r="Q11" s="3"/>
      <c r="R11" s="3">
        <f t="shared" si="0"/>
        <v>1519305</v>
      </c>
      <c r="S11" s="3">
        <v>188321</v>
      </c>
      <c r="T11" s="6">
        <v>45930</v>
      </c>
      <c r="U11" s="7"/>
      <c r="V11" s="8">
        <v>2025</v>
      </c>
    </row>
    <row r="12" spans="10:23">
      <c r="J12" s="2" t="s">
        <v>22</v>
      </c>
      <c r="K12" s="2"/>
      <c r="L12" s="3">
        <v>503208</v>
      </c>
      <c r="M12" s="4">
        <v>8</v>
      </c>
      <c r="N12" s="3">
        <v>88143</v>
      </c>
      <c r="O12" s="3">
        <v>75043</v>
      </c>
      <c r="P12" s="5">
        <v>8</v>
      </c>
      <c r="Q12" s="3"/>
      <c r="R12" s="3">
        <f t="shared" si="0"/>
        <v>4188850</v>
      </c>
      <c r="S12" s="3"/>
      <c r="T12" s="6">
        <v>45930</v>
      </c>
      <c r="U12" s="7"/>
      <c r="V12" s="8">
        <v>2025</v>
      </c>
    </row>
    <row r="13" spans="10:23">
      <c r="J13" s="2" t="s">
        <v>23</v>
      </c>
      <c r="K13" s="2"/>
      <c r="L13" s="3">
        <v>349190</v>
      </c>
      <c r="M13" s="4">
        <v>8</v>
      </c>
      <c r="N13" s="3">
        <v>88143</v>
      </c>
      <c r="O13" s="3">
        <v>75043</v>
      </c>
      <c r="P13" s="5">
        <v>8</v>
      </c>
      <c r="Q13" s="3"/>
      <c r="R13" s="3">
        <f t="shared" si="0"/>
        <v>2956706</v>
      </c>
      <c r="S13" s="3">
        <v>154018</v>
      </c>
      <c r="T13" s="6">
        <v>45930</v>
      </c>
      <c r="U13" s="7"/>
      <c r="V13" s="8">
        <v>2025</v>
      </c>
    </row>
    <row r="14" spans="10:23">
      <c r="J14" s="2" t="s">
        <v>24</v>
      </c>
      <c r="K14" s="2"/>
      <c r="L14" s="3">
        <v>310056</v>
      </c>
      <c r="M14" s="4">
        <v>8</v>
      </c>
      <c r="N14" s="3">
        <v>66244</v>
      </c>
      <c r="O14" s="3">
        <v>28221</v>
      </c>
      <c r="P14" s="5">
        <v>8</v>
      </c>
      <c r="Q14" s="3">
        <v>29099</v>
      </c>
      <c r="R14" s="3">
        <f t="shared" si="0"/>
        <v>2604012</v>
      </c>
      <c r="S14" s="3">
        <v>158339</v>
      </c>
      <c r="T14" s="6">
        <v>45930</v>
      </c>
      <c r="U14" s="7"/>
      <c r="V14" s="8">
        <v>2025</v>
      </c>
    </row>
    <row r="18" spans="1:62">
      <c r="L18">
        <f>SUBTOTAL(9,L112:L1313)</f>
        <v>50478</v>
      </c>
      <c r="AL18" s="11">
        <v>1423500</v>
      </c>
      <c r="AT18" s="30">
        <f>SUBTOTAL(9,Tabla4[DESEMBOLSO 1])</f>
        <v>21960966873</v>
      </c>
      <c r="AU18" s="30">
        <f>SUBTOTAL(9,Tabla4[DESEMBOLSO 2])</f>
        <v>17865455658</v>
      </c>
      <c r="AV18" s="30">
        <f>SUBTOTAL(9,Tabla4[DESEMBOLSO 3])</f>
        <v>17865455658</v>
      </c>
      <c r="AW18" s="30">
        <f>SUBTOTAL(9,Tabla4[DESEMBOLSO 4])</f>
        <v>17865455658</v>
      </c>
      <c r="AX18" s="30">
        <f>SUBTOTAL(9,Tabla4[DESEMBOLSO 5])</f>
        <v>17865455658</v>
      </c>
      <c r="AY18" s="30">
        <f>SUBTOTAL(9,Tabla4[DESEMBOLSO 6])</f>
        <v>17865455658</v>
      </c>
      <c r="AZ18" s="30">
        <f>SUBTOTAL(9,Tabla4[DESEMBOLSO 7])</f>
        <v>17865455658</v>
      </c>
      <c r="BA18" s="30">
        <f>SUBTOTAL(9,Tabla4[DESEMBOLSO 8])</f>
        <v>20757201955</v>
      </c>
      <c r="BB18" s="30">
        <f>SUBTOTAL(9,Tabla4[TOTAL DESEMBOLSOS])</f>
        <v>149910902776</v>
      </c>
      <c r="BC18" s="33">
        <f>SUBTOTAL(9,Tabla4[VALOR COMPONENTE ALIMENTACION NO ASIGNADO])</f>
        <v>43549835284</v>
      </c>
    </row>
    <row r="19" spans="1:62" s="10" customFormat="1" ht="43.15">
      <c r="A19" s="14" t="s">
        <v>25</v>
      </c>
      <c r="B19" s="14" t="s">
        <v>26</v>
      </c>
      <c r="C19" s="15" t="s">
        <v>27</v>
      </c>
      <c r="D19" s="16" t="s">
        <v>28</v>
      </c>
      <c r="E19" s="16" t="s">
        <v>29</v>
      </c>
      <c r="F19" s="15" t="s">
        <v>30</v>
      </c>
      <c r="G19" s="15" t="s">
        <v>31</v>
      </c>
      <c r="H19" s="15" t="s">
        <v>32</v>
      </c>
      <c r="I19" s="17" t="s">
        <v>33</v>
      </c>
      <c r="J19" s="16" t="s">
        <v>34</v>
      </c>
      <c r="K19" s="16" t="s">
        <v>35</v>
      </c>
      <c r="L19" s="18" t="s">
        <v>36</v>
      </c>
      <c r="M19" s="18" t="s">
        <v>37</v>
      </c>
      <c r="N19" s="18" t="s">
        <v>38</v>
      </c>
      <c r="O19" s="18" t="s">
        <v>39</v>
      </c>
      <c r="P19" s="18" t="s">
        <v>40</v>
      </c>
      <c r="Q19" s="18" t="s">
        <v>41</v>
      </c>
      <c r="R19" s="18" t="s">
        <v>42</v>
      </c>
      <c r="S19" s="18" t="s">
        <v>43</v>
      </c>
      <c r="T19" s="18" t="s">
        <v>44</v>
      </c>
      <c r="U19" s="15" t="s">
        <v>45</v>
      </c>
      <c r="V19" s="15" t="s">
        <v>46</v>
      </c>
      <c r="W19" s="15" t="s">
        <v>47</v>
      </c>
      <c r="X19" s="15" t="s">
        <v>48</v>
      </c>
      <c r="Y19" s="15" t="s">
        <v>49</v>
      </c>
      <c r="Z19" s="15" t="s">
        <v>50</v>
      </c>
      <c r="AA19" s="15" t="s">
        <v>51</v>
      </c>
      <c r="AB19" s="19" t="s">
        <v>52</v>
      </c>
      <c r="AC19" s="19" t="s">
        <v>53</v>
      </c>
      <c r="AD19" s="19" t="s">
        <v>54</v>
      </c>
      <c r="AE19" s="19" t="s">
        <v>55</v>
      </c>
      <c r="AF19" s="19" t="s">
        <v>56</v>
      </c>
      <c r="AG19" s="19" t="s">
        <v>57</v>
      </c>
      <c r="AH19" s="19" t="s">
        <v>58</v>
      </c>
      <c r="AI19" s="19" t="s">
        <v>59</v>
      </c>
      <c r="AJ19" s="24" t="s">
        <v>60</v>
      </c>
      <c r="AK19" s="24" t="s">
        <v>61</v>
      </c>
      <c r="AL19" s="19" t="s">
        <v>62</v>
      </c>
      <c r="AM19" s="26" t="s">
        <v>63</v>
      </c>
      <c r="AN19" s="26" t="s">
        <v>64</v>
      </c>
      <c r="AO19" s="26" t="s">
        <v>7</v>
      </c>
      <c r="AP19" s="26" t="s">
        <v>65</v>
      </c>
      <c r="AQ19" s="26" t="s">
        <v>66</v>
      </c>
      <c r="AR19" s="26" t="s">
        <v>67</v>
      </c>
      <c r="AS19" s="26" t="s">
        <v>68</v>
      </c>
      <c r="AT19" s="19" t="s">
        <v>69</v>
      </c>
      <c r="AU19" s="24" t="s">
        <v>70</v>
      </c>
      <c r="AV19" s="24" t="s">
        <v>71</v>
      </c>
      <c r="AW19" s="24" t="s">
        <v>72</v>
      </c>
      <c r="AX19" s="24" t="s">
        <v>73</v>
      </c>
      <c r="AY19" s="24" t="s">
        <v>74</v>
      </c>
      <c r="AZ19" s="24" t="s">
        <v>75</v>
      </c>
      <c r="BA19" s="24" t="s">
        <v>76</v>
      </c>
      <c r="BB19" s="24" t="s">
        <v>77</v>
      </c>
      <c r="BC19" s="24" t="s">
        <v>78</v>
      </c>
      <c r="BD19" s="19" t="s">
        <v>79</v>
      </c>
      <c r="BE19" s="19" t="s">
        <v>80</v>
      </c>
      <c r="BF19" s="19" t="s">
        <v>81</v>
      </c>
      <c r="BG19" s="19" t="s">
        <v>82</v>
      </c>
      <c r="BH19" s="20" t="s">
        <v>83</v>
      </c>
      <c r="BI19" s="19" t="s">
        <v>84</v>
      </c>
      <c r="BJ19" s="19" t="s">
        <v>85</v>
      </c>
    </row>
    <row r="20" spans="1:62">
      <c r="A20" s="13">
        <v>1887</v>
      </c>
      <c r="B20" s="13" t="s">
        <v>86</v>
      </c>
      <c r="C20" s="12" t="s">
        <v>87</v>
      </c>
      <c r="D20" s="12" t="s">
        <v>88</v>
      </c>
      <c r="E20" s="12" t="s">
        <v>89</v>
      </c>
      <c r="F20" s="12" t="s">
        <v>21</v>
      </c>
      <c r="G20" s="12" t="s">
        <v>90</v>
      </c>
      <c r="H20" s="12" t="s">
        <v>91</v>
      </c>
      <c r="I20" s="12">
        <v>52121119066</v>
      </c>
      <c r="J20" s="12" t="s">
        <v>92</v>
      </c>
      <c r="K20" s="12">
        <v>1</v>
      </c>
      <c r="L20" s="12">
        <v>15</v>
      </c>
      <c r="M20" s="12"/>
      <c r="N20" s="13">
        <v>1887</v>
      </c>
      <c r="O20" s="12" t="s">
        <v>93</v>
      </c>
      <c r="P20" s="12"/>
      <c r="Q20" s="12"/>
      <c r="R20" s="12" t="s">
        <v>94</v>
      </c>
      <c r="S20" s="12">
        <v>10</v>
      </c>
      <c r="T20" s="12" t="s">
        <v>95</v>
      </c>
      <c r="U20" s="12" t="s">
        <v>96</v>
      </c>
      <c r="V20" s="12">
        <f>VLOOKUP(Tabla4[[#This Row],[ZONA DEFINITIVO]],Hoja1!$A$1:$D$121,3,0)</f>
        <v>228985</v>
      </c>
      <c r="W20" s="12">
        <f>VLOOKUP(Tabla4[[#This Row],[ZONA DEFINITIVO]],Hoja1!$A$1:$D$121,2,0)</f>
        <v>15146</v>
      </c>
      <c r="X20" s="12">
        <f>VLOOKUP(Tabla4[[#This Row],[ZONA DEFINITIVO]],Hoja1!$A$1:$D$121,4,0)</f>
        <v>90725</v>
      </c>
      <c r="Y20" s="12">
        <f>+IF(Tabla4[[#This Row],[AGRUPACIONES]]=1,SUMIFS(Tabla4[UDS],Tabla4[ZONA DEFINITIVO],Tabla4[[#This Row],[ZONA DEFINITIVO]])," ")</f>
        <v>18</v>
      </c>
      <c r="Z20" s="12">
        <f>+IF(Tabla4[[#This Row],[AGRUPACIONES]]=1,SUMIFS(Tabla4[TOTAL COBERTURA],Tabla4[ZONA DEFINITIVO],Tabla4[[#This Row],[ZONA DEFINITIVO]])," ")</f>
        <v>693</v>
      </c>
      <c r="AA20" s="12"/>
      <c r="AB20" s="38">
        <v>22789575</v>
      </c>
      <c r="AC20" s="37">
        <v>0.02</v>
      </c>
      <c r="AD20" s="38">
        <f t="shared" ref="AD20:AD83" si="1">AB20*AC20</f>
        <v>455791.5</v>
      </c>
      <c r="AE20" s="12"/>
      <c r="AF20" s="12">
        <f>COUNTIF($A$20:A20,A20)</f>
        <v>1</v>
      </c>
      <c r="AG20" s="38">
        <v>22789575</v>
      </c>
      <c r="AH20" s="38">
        <f>Tabla4[[#This Row],[VALOR CONTRAPARTIDA]]+Tabla4[[#This Row],[TOTAL APORTES ICBF]]</f>
        <v>23245366.5</v>
      </c>
      <c r="AI20" s="35">
        <f>ROUND(+IF(Tabla4[[#This Row],[AGRUPACIONES]]=1,SUMIFS(Tabla4[TOTAL APORTES ICBF],Tabla4[ZONA DEFINITIVO],Tabla4[[#This Row],[ZONA DEFINITIVO]])," "),0)</f>
        <v>1864420045</v>
      </c>
      <c r="AJ20" s="38">
        <f>ROUND(+IF(Tabla4[[#This Row],[AGRUPACIONES]]=1,SUMIFS(Tabla4[VALOR CONTRAPARTIDA],Tabla4[ZONA DEFINITIVO],Tabla4[[#This Row],[ZONA DEFINITIVO]])," "),0)</f>
        <v>37288401</v>
      </c>
      <c r="AK20" s="38">
        <f>Tabla4[[#This Row],[TOTAL APORTES ICBF AGRUPADO]]+Tabla4[[#This Row],[TOTAL CONTRAPARTIDA AGRUPADO]]</f>
        <v>1901708446</v>
      </c>
      <c r="AL20" s="23">
        <f>Tabla4[[#This Row],[TOTAL APORTES ICBF AGRUPADO]]/$AL$18</f>
        <v>1309.743621355813</v>
      </c>
      <c r="AM20" s="35">
        <f>VLOOKUP(Tabla4[[#This Row],[SERVICIO 2025]],$J$2:$V$14,5,0)*Tabla4[[#This Row],[TOTAL COBERTURA]]</f>
        <v>701160</v>
      </c>
      <c r="AN20" s="35">
        <f>VLOOKUP(Tabla4[[#This Row],[SERVICIO 2025]],$J$2:$V$14,6,0)*Tabla4[[#This Row],[TOTAL COBERTURA]]</f>
        <v>567615</v>
      </c>
      <c r="AO20" s="35">
        <f>VLOOKUP(Tabla4[[#This Row],[SERVICIO 2025]],$J$2:$V$14,8,0)*Tabla4[[#This Row],[TOTAL COBERTURA]]</f>
        <v>0</v>
      </c>
      <c r="AP20" s="35">
        <f>VLOOKUP(Tabla4[[#This Row],[SERVICIO 2025]],$J$2:$V$14,3,0)*Tabla4[[#This Row],[TOTAL COBERTURA]]*8</f>
        <v>21520800</v>
      </c>
      <c r="AQ20" s="35"/>
      <c r="AR20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20" s="35">
        <f>+IF(Tabla4[[#This Row],[AGRUPACIONES]]=1,SUMIFS(Tabla4[VALOR TOTAL],Tabla4[ZONA DEFINITIVO],Tabla4[[#This Row],[ZONA DEFINITIVO]])," ")</f>
        <v>1864420045</v>
      </c>
      <c r="AT20" s="27">
        <f>(VLOOKUP(Tabla4[[#This Row],[SERVICIO 2025]],$J$2:$V$14,3,0)*Tabla4[[#This Row],[TOTAL COBERTURA]])+Tabla4[[#This Row],[VALOR FASE PREPARATORIA DE ALISTAMIENTO]]+Tabla4[[#This Row],[DOTACIÓN ÚNICA]]</f>
        <v>3391260</v>
      </c>
      <c r="AU20" s="35">
        <f>(VLOOKUP(Tabla4[[#This Row],[SERVICIO 2025]],$J$2:$V$14,3,0)*Tabla4[[#This Row],[TOTAL COBERTURA]])</f>
        <v>2690100</v>
      </c>
      <c r="AV20" s="35">
        <f>(VLOOKUP(Tabla4[[#This Row],[SERVICIO 2025]],$J$2:$V$14,3,0)*Tabla4[[#This Row],[TOTAL COBERTURA]])</f>
        <v>2690100</v>
      </c>
      <c r="AW20" s="35">
        <f>(VLOOKUP(Tabla4[[#This Row],[SERVICIO 2025]],$J$2:$V$14,3,0)*Tabla4[[#This Row],[TOTAL COBERTURA]])</f>
        <v>2690100</v>
      </c>
      <c r="AX20" s="35">
        <f>(VLOOKUP(Tabla4[[#This Row],[SERVICIO 2025]],$J$2:$V$14,3,0)*Tabla4[[#This Row],[TOTAL COBERTURA]])</f>
        <v>2690100</v>
      </c>
      <c r="AY20" s="35">
        <f>(VLOOKUP(Tabla4[[#This Row],[SERVICIO 2025]],$J$2:$V$14,3,0)*Tabla4[[#This Row],[TOTAL COBERTURA]])</f>
        <v>2690100</v>
      </c>
      <c r="AZ20" s="35">
        <f>(VLOOKUP(Tabla4[[#This Row],[SERVICIO 2025]],$J$2:$V$14,3,0)*Tabla4[[#This Row],[TOTAL COBERTURA]])</f>
        <v>2690100</v>
      </c>
      <c r="BA20" s="35">
        <f>(VLOOKUP(Tabla4[[#This Row],[SERVICIO 2025]],$J$2:$V$14,3,0)*Tabla4[[#This Row],[TOTAL COBERTURA]])+Tabla4[[#This Row],[VALOR FASE PREPARATORIA DE CIERRE]]</f>
        <v>3257715</v>
      </c>
      <c r="BB20" s="35">
        <f>SUM(Tabla4[[#This Row],[DESEMBOLSO 1]:[DESEMBOLSO 8]])</f>
        <v>22789575</v>
      </c>
      <c r="BC20" s="35"/>
      <c r="BD20" s="47" t="s">
        <v>97</v>
      </c>
      <c r="BE20" s="12" t="b">
        <f>EXACT(Tabla4[[#This Row],[VALOR ATENCIÓN (8 MESES)]],Tabla4[[#This Row],[VALOR TOTAL]])</f>
        <v>1</v>
      </c>
      <c r="BF20" s="23">
        <f>Tabla4[[#This Row],[VALOR ATENCIÓN (8 MESES)]]-Tabla4[[#This Row],[VALOR TOTAL]]</f>
        <v>0</v>
      </c>
      <c r="BG20" s="12" t="b">
        <f>EXACT(Tabla4[[#This Row],[TOTAL DESEMBOLSOS]],Tabla4[[#This Row],[VALOR ATENCIÓN (8 MESES)]])</f>
        <v>1</v>
      </c>
      <c r="BH20" s="29">
        <f>Tabla4[[#This Row],[TOTAL DESEMBOLSOS]]-Tabla4[[#This Row],[VALOR ATENCIÓN (8 MESES)]]</f>
        <v>0</v>
      </c>
      <c r="BI20" t="s">
        <v>98</v>
      </c>
    </row>
    <row r="21" spans="1:62">
      <c r="A21" s="13">
        <v>1887</v>
      </c>
      <c r="B21" s="13" t="s">
        <v>86</v>
      </c>
      <c r="C21" s="12" t="s">
        <v>87</v>
      </c>
      <c r="D21" s="12" t="s">
        <v>88</v>
      </c>
      <c r="E21" s="12" t="s">
        <v>89</v>
      </c>
      <c r="F21" s="12" t="s">
        <v>21</v>
      </c>
      <c r="G21" s="12" t="s">
        <v>90</v>
      </c>
      <c r="H21" s="12" t="s">
        <v>99</v>
      </c>
      <c r="I21" s="12">
        <v>52121136513</v>
      </c>
      <c r="J21" s="12" t="s">
        <v>100</v>
      </c>
      <c r="K21" s="12">
        <v>1</v>
      </c>
      <c r="L21" s="12">
        <v>20</v>
      </c>
      <c r="M21" s="12"/>
      <c r="N21" s="13">
        <v>1887</v>
      </c>
      <c r="O21" s="12" t="s">
        <v>93</v>
      </c>
      <c r="P21" s="12"/>
      <c r="Q21" s="12"/>
      <c r="R21" s="12" t="s">
        <v>94</v>
      </c>
      <c r="S21" s="12">
        <v>10</v>
      </c>
      <c r="T21" s="12" t="s">
        <v>95</v>
      </c>
      <c r="U21" s="12" t="s">
        <v>96</v>
      </c>
      <c r="V21" s="12">
        <f>VLOOKUP(Tabla4[[#This Row],[ZONA DEFINITIVO]],Hoja1!$A$1:$D$121,3,0)</f>
        <v>228985</v>
      </c>
      <c r="W21" s="12">
        <f>VLOOKUP(Tabla4[[#This Row],[ZONA DEFINITIVO]],Hoja1!$A$1:$D$121,2,0)</f>
        <v>15146</v>
      </c>
      <c r="X21" s="12">
        <f>VLOOKUP(Tabla4[[#This Row],[ZONA DEFINITIVO]],Hoja1!$A$1:$D$121,4,0)</f>
        <v>90725</v>
      </c>
      <c r="Y21" s="12" t="str">
        <f>+IF(Tabla4[[#This Row],[AGRUPACIONES]]=1,SUMIFS(Tabla4[UDS],Tabla4[ZONA DEFINITIVO],Tabla4[[#This Row],[ZONA DEFINITIVO]])," ")</f>
        <v xml:space="preserve"> </v>
      </c>
      <c r="Z21" s="12" t="str">
        <f>+IF(Tabla4[[#This Row],[AGRUPACIONES]]=1,SUMIFS(Tabla4[TOTAL COBERTURA],Tabla4[ZONA DEFINITIVO],Tabla4[[#This Row],[ZONA DEFINITIVO]])," ")</f>
        <v xml:space="preserve"> </v>
      </c>
      <c r="AA21" s="12"/>
      <c r="AB21" s="38">
        <v>30386100</v>
      </c>
      <c r="AC21" s="37">
        <v>0.02</v>
      </c>
      <c r="AD21" s="38">
        <f t="shared" si="1"/>
        <v>607722</v>
      </c>
      <c r="AE21" s="12"/>
      <c r="AF21" s="12">
        <f>COUNTIF($A$20:A21,A21)</f>
        <v>2</v>
      </c>
      <c r="AG21" s="38">
        <v>30386100</v>
      </c>
      <c r="AH21" s="38">
        <f>Tabla4[[#This Row],[VALOR CONTRAPARTIDA]]+Tabla4[[#This Row],[TOTAL APORTES ICBF]]</f>
        <v>30993822</v>
      </c>
      <c r="AI21" s="35"/>
      <c r="AJ21" s="38"/>
      <c r="AK21" s="38"/>
      <c r="AL21" s="23"/>
      <c r="AM21" s="35">
        <f>VLOOKUP(Tabla4[[#This Row],[SERVICIO 2025]],$J$2:$V$14,5,0)*Tabla4[[#This Row],[TOTAL COBERTURA]]</f>
        <v>934880</v>
      </c>
      <c r="AN21" s="35">
        <f>VLOOKUP(Tabla4[[#This Row],[SERVICIO 2025]],$J$2:$V$14,6,0)*Tabla4[[#This Row],[TOTAL COBERTURA]]</f>
        <v>756820</v>
      </c>
      <c r="AO21" s="35">
        <f>VLOOKUP(Tabla4[[#This Row],[SERVICIO 2025]],$J$2:$V$14,8,0)*Tabla4[[#This Row],[TOTAL COBERTURA]]</f>
        <v>0</v>
      </c>
      <c r="AP21" s="35">
        <f>VLOOKUP(Tabla4[[#This Row],[SERVICIO 2025]],$J$2:$V$14,3,0)*Tabla4[[#This Row],[TOTAL COBERTURA]]*8</f>
        <v>28694400</v>
      </c>
      <c r="AQ21" s="35"/>
      <c r="AR21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21" s="35" t="str">
        <f>+IF(Tabla4[[#This Row],[AGRUPACIONES]]=1,SUMIFS(Tabla4[VALOR TOTAL],Tabla4[ZONA DEFINITIVO],Tabla4[[#This Row],[ZONA DEFINITIVO]])," ")</f>
        <v xml:space="preserve"> </v>
      </c>
      <c r="AT21" s="27">
        <f>(VLOOKUP(Tabla4[[#This Row],[SERVICIO 2025]],$J$2:$V$14,3,0)*Tabla4[[#This Row],[TOTAL COBERTURA]])+Tabla4[[#This Row],[VALOR FASE PREPARATORIA DE ALISTAMIENTO]]+Tabla4[[#This Row],[DOTACIÓN ÚNICA]]</f>
        <v>4521680</v>
      </c>
      <c r="AU21" s="35">
        <f>(VLOOKUP(Tabla4[[#This Row],[SERVICIO 2025]],$J$2:$V$14,3,0)*Tabla4[[#This Row],[TOTAL COBERTURA]])</f>
        <v>3586800</v>
      </c>
      <c r="AV21" s="35">
        <f>(VLOOKUP(Tabla4[[#This Row],[SERVICIO 2025]],$J$2:$V$14,3,0)*Tabla4[[#This Row],[TOTAL COBERTURA]])</f>
        <v>3586800</v>
      </c>
      <c r="AW21" s="35">
        <f>(VLOOKUP(Tabla4[[#This Row],[SERVICIO 2025]],$J$2:$V$14,3,0)*Tabla4[[#This Row],[TOTAL COBERTURA]])</f>
        <v>3586800</v>
      </c>
      <c r="AX21" s="35">
        <f>(VLOOKUP(Tabla4[[#This Row],[SERVICIO 2025]],$J$2:$V$14,3,0)*Tabla4[[#This Row],[TOTAL COBERTURA]])</f>
        <v>3586800</v>
      </c>
      <c r="AY21" s="35">
        <f>(VLOOKUP(Tabla4[[#This Row],[SERVICIO 2025]],$J$2:$V$14,3,0)*Tabla4[[#This Row],[TOTAL COBERTURA]])</f>
        <v>3586800</v>
      </c>
      <c r="AZ21" s="35">
        <f>(VLOOKUP(Tabla4[[#This Row],[SERVICIO 2025]],$J$2:$V$14,3,0)*Tabla4[[#This Row],[TOTAL COBERTURA]])</f>
        <v>3586800</v>
      </c>
      <c r="BA21" s="35">
        <f>(VLOOKUP(Tabla4[[#This Row],[SERVICIO 2025]],$J$2:$V$14,3,0)*Tabla4[[#This Row],[TOTAL COBERTURA]])+Tabla4[[#This Row],[VALOR FASE PREPARATORIA DE CIERRE]]</f>
        <v>4343620</v>
      </c>
      <c r="BB21" s="35">
        <f>SUM(Tabla4[[#This Row],[DESEMBOLSO 1]:[DESEMBOLSO 8]])</f>
        <v>30386100</v>
      </c>
      <c r="BC21" s="35"/>
      <c r="BD21" s="47" t="s">
        <v>97</v>
      </c>
      <c r="BE21" s="12" t="b">
        <f>EXACT(Tabla4[[#This Row],[VALOR ATENCIÓN (8 MESES)]],Tabla4[[#This Row],[VALOR TOTAL]])</f>
        <v>1</v>
      </c>
      <c r="BF21" s="23">
        <f>Tabla4[[#This Row],[VALOR ATENCIÓN (8 MESES)]]-Tabla4[[#This Row],[VALOR TOTAL]]</f>
        <v>0</v>
      </c>
      <c r="BG21" s="12" t="b">
        <f>EXACT(Tabla4[[#This Row],[TOTAL DESEMBOLSOS]],Tabla4[[#This Row],[VALOR ATENCIÓN (8 MESES)]])</f>
        <v>1</v>
      </c>
      <c r="BH21" s="29">
        <f>Tabla4[[#This Row],[TOTAL DESEMBOLSOS]]-Tabla4[[#This Row],[VALOR ATENCIÓN (8 MESES)]]</f>
        <v>0</v>
      </c>
      <c r="BI21" t="s">
        <v>98</v>
      </c>
    </row>
    <row r="22" spans="1:62">
      <c r="A22" s="13">
        <v>1887</v>
      </c>
      <c r="B22" s="13" t="s">
        <v>86</v>
      </c>
      <c r="C22" s="12" t="s">
        <v>87</v>
      </c>
      <c r="D22" s="12" t="s">
        <v>88</v>
      </c>
      <c r="E22" s="12" t="s">
        <v>89</v>
      </c>
      <c r="F22" s="12" t="s">
        <v>21</v>
      </c>
      <c r="G22" s="12" t="s">
        <v>90</v>
      </c>
      <c r="H22" s="12" t="s">
        <v>101</v>
      </c>
      <c r="I22" s="12">
        <v>52121136534</v>
      </c>
      <c r="J22" s="12" t="s">
        <v>102</v>
      </c>
      <c r="K22" s="12">
        <v>1</v>
      </c>
      <c r="L22" s="12">
        <v>15</v>
      </c>
      <c r="M22" s="12"/>
      <c r="N22" s="13">
        <v>1887</v>
      </c>
      <c r="O22" s="12" t="s">
        <v>93</v>
      </c>
      <c r="P22" s="12"/>
      <c r="Q22" s="12"/>
      <c r="R22" s="12" t="s">
        <v>94</v>
      </c>
      <c r="S22" s="12">
        <v>10</v>
      </c>
      <c r="T22" s="12" t="s">
        <v>95</v>
      </c>
      <c r="U22" s="12" t="s">
        <v>96</v>
      </c>
      <c r="V22" s="12">
        <f>VLOOKUP(Tabla4[[#This Row],[ZONA DEFINITIVO]],Hoja1!$A$1:$D$121,3,0)</f>
        <v>228985</v>
      </c>
      <c r="W22" s="12">
        <f>VLOOKUP(Tabla4[[#This Row],[ZONA DEFINITIVO]],Hoja1!$A$1:$D$121,2,0)</f>
        <v>15146</v>
      </c>
      <c r="X22" s="12">
        <f>VLOOKUP(Tabla4[[#This Row],[ZONA DEFINITIVO]],Hoja1!$A$1:$D$121,4,0)</f>
        <v>90725</v>
      </c>
      <c r="Y22" s="12" t="str">
        <f>+IF(Tabla4[[#This Row],[AGRUPACIONES]]=1,SUMIFS(Tabla4[UDS],Tabla4[ZONA DEFINITIVO],Tabla4[[#This Row],[ZONA DEFINITIVO]])," ")</f>
        <v xml:space="preserve"> </v>
      </c>
      <c r="Z22" s="12" t="str">
        <f>+IF(Tabla4[[#This Row],[AGRUPACIONES]]=1,SUMIFS(Tabla4[TOTAL COBERTURA],Tabla4[ZONA DEFINITIVO],Tabla4[[#This Row],[ZONA DEFINITIVO]])," ")</f>
        <v xml:space="preserve"> </v>
      </c>
      <c r="AA22" s="12"/>
      <c r="AB22" s="38">
        <v>22789575</v>
      </c>
      <c r="AC22" s="37">
        <v>0.02</v>
      </c>
      <c r="AD22" s="38">
        <f t="shared" si="1"/>
        <v>455791.5</v>
      </c>
      <c r="AE22" s="12"/>
      <c r="AF22" s="12">
        <f>COUNTIF($A$20:A22,A22)</f>
        <v>3</v>
      </c>
      <c r="AG22" s="38">
        <v>22789575</v>
      </c>
      <c r="AH22" s="38">
        <f>Tabla4[[#This Row],[VALOR CONTRAPARTIDA]]+Tabla4[[#This Row],[TOTAL APORTES ICBF]]</f>
        <v>23245366.5</v>
      </c>
      <c r="AI22" s="35"/>
      <c r="AJ22" s="38"/>
      <c r="AK22" s="38"/>
      <c r="AL22" s="23"/>
      <c r="AM22" s="35">
        <f>VLOOKUP(Tabla4[[#This Row],[SERVICIO 2025]],$J$2:$V$14,5,0)*Tabla4[[#This Row],[TOTAL COBERTURA]]</f>
        <v>701160</v>
      </c>
      <c r="AN22" s="35">
        <f>VLOOKUP(Tabla4[[#This Row],[SERVICIO 2025]],$J$2:$V$14,6,0)*Tabla4[[#This Row],[TOTAL COBERTURA]]</f>
        <v>567615</v>
      </c>
      <c r="AO22" s="35">
        <f>VLOOKUP(Tabla4[[#This Row],[SERVICIO 2025]],$J$2:$V$14,8,0)*Tabla4[[#This Row],[TOTAL COBERTURA]]</f>
        <v>0</v>
      </c>
      <c r="AP22" s="35">
        <f>VLOOKUP(Tabla4[[#This Row],[SERVICIO 2025]],$J$2:$V$14,3,0)*Tabla4[[#This Row],[TOTAL COBERTURA]]*8</f>
        <v>21520800</v>
      </c>
      <c r="AQ22" s="35"/>
      <c r="AR22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22" s="35" t="str">
        <f>+IF(Tabla4[[#This Row],[AGRUPACIONES]]=1,SUMIFS(Tabla4[VALOR TOTAL],Tabla4[ZONA DEFINITIVO],Tabla4[[#This Row],[ZONA DEFINITIVO]])," ")</f>
        <v xml:space="preserve"> </v>
      </c>
      <c r="AT22" s="27">
        <f>(VLOOKUP(Tabla4[[#This Row],[SERVICIO 2025]],$J$2:$V$14,3,0)*Tabla4[[#This Row],[TOTAL COBERTURA]])+Tabla4[[#This Row],[VALOR FASE PREPARATORIA DE ALISTAMIENTO]]+Tabla4[[#This Row],[DOTACIÓN ÚNICA]]</f>
        <v>3391260</v>
      </c>
      <c r="AU22" s="35">
        <f>(VLOOKUP(Tabla4[[#This Row],[SERVICIO 2025]],$J$2:$V$14,3,0)*Tabla4[[#This Row],[TOTAL COBERTURA]])</f>
        <v>2690100</v>
      </c>
      <c r="AV22" s="35">
        <f>(VLOOKUP(Tabla4[[#This Row],[SERVICIO 2025]],$J$2:$V$14,3,0)*Tabla4[[#This Row],[TOTAL COBERTURA]])</f>
        <v>2690100</v>
      </c>
      <c r="AW22" s="35">
        <f>(VLOOKUP(Tabla4[[#This Row],[SERVICIO 2025]],$J$2:$V$14,3,0)*Tabla4[[#This Row],[TOTAL COBERTURA]])</f>
        <v>2690100</v>
      </c>
      <c r="AX22" s="35">
        <f>(VLOOKUP(Tabla4[[#This Row],[SERVICIO 2025]],$J$2:$V$14,3,0)*Tabla4[[#This Row],[TOTAL COBERTURA]])</f>
        <v>2690100</v>
      </c>
      <c r="AY22" s="35">
        <f>(VLOOKUP(Tabla4[[#This Row],[SERVICIO 2025]],$J$2:$V$14,3,0)*Tabla4[[#This Row],[TOTAL COBERTURA]])</f>
        <v>2690100</v>
      </c>
      <c r="AZ22" s="35">
        <f>(VLOOKUP(Tabla4[[#This Row],[SERVICIO 2025]],$J$2:$V$14,3,0)*Tabla4[[#This Row],[TOTAL COBERTURA]])</f>
        <v>2690100</v>
      </c>
      <c r="BA22" s="35">
        <f>(VLOOKUP(Tabla4[[#This Row],[SERVICIO 2025]],$J$2:$V$14,3,0)*Tabla4[[#This Row],[TOTAL COBERTURA]])+Tabla4[[#This Row],[VALOR FASE PREPARATORIA DE CIERRE]]</f>
        <v>3257715</v>
      </c>
      <c r="BB22" s="35">
        <f>SUM(Tabla4[[#This Row],[DESEMBOLSO 1]:[DESEMBOLSO 8]])</f>
        <v>22789575</v>
      </c>
      <c r="BC22" s="35"/>
      <c r="BD22" s="47" t="s">
        <v>97</v>
      </c>
      <c r="BE22" s="12" t="b">
        <f>EXACT(Tabla4[[#This Row],[VALOR ATENCIÓN (8 MESES)]],Tabla4[[#This Row],[VALOR TOTAL]])</f>
        <v>1</v>
      </c>
      <c r="BF22" s="23">
        <f>Tabla4[[#This Row],[VALOR ATENCIÓN (8 MESES)]]-Tabla4[[#This Row],[VALOR TOTAL]]</f>
        <v>0</v>
      </c>
      <c r="BG22" s="12" t="b">
        <f>EXACT(Tabla4[[#This Row],[TOTAL DESEMBOLSOS]],Tabla4[[#This Row],[VALOR ATENCIÓN (8 MESES)]])</f>
        <v>1</v>
      </c>
      <c r="BH22" s="29">
        <f>Tabla4[[#This Row],[TOTAL DESEMBOLSOS]]-Tabla4[[#This Row],[VALOR ATENCIÓN (8 MESES)]]</f>
        <v>0</v>
      </c>
      <c r="BI22" t="s">
        <v>98</v>
      </c>
    </row>
    <row r="23" spans="1:62">
      <c r="A23" s="13">
        <v>1887</v>
      </c>
      <c r="B23" s="13" t="s">
        <v>86</v>
      </c>
      <c r="C23" s="12" t="s">
        <v>87</v>
      </c>
      <c r="D23" s="12" t="s">
        <v>88</v>
      </c>
      <c r="E23" s="12" t="s">
        <v>89</v>
      </c>
      <c r="F23" s="12" t="s">
        <v>21</v>
      </c>
      <c r="G23" s="12" t="s">
        <v>90</v>
      </c>
      <c r="H23" s="12" t="s">
        <v>103</v>
      </c>
      <c r="I23" s="12">
        <v>52121144547</v>
      </c>
      <c r="J23" s="12" t="s">
        <v>104</v>
      </c>
      <c r="K23" s="12">
        <v>1</v>
      </c>
      <c r="L23" s="12">
        <v>20</v>
      </c>
      <c r="M23" s="12"/>
      <c r="N23" s="13">
        <v>1887</v>
      </c>
      <c r="O23" s="12" t="s">
        <v>93</v>
      </c>
      <c r="P23" s="12"/>
      <c r="Q23" s="12"/>
      <c r="R23" s="12" t="s">
        <v>94</v>
      </c>
      <c r="S23" s="12">
        <v>10</v>
      </c>
      <c r="T23" s="12" t="s">
        <v>95</v>
      </c>
      <c r="U23" s="12" t="s">
        <v>96</v>
      </c>
      <c r="V23" s="12">
        <f>VLOOKUP(Tabla4[[#This Row],[ZONA DEFINITIVO]],Hoja1!$A$1:$D$121,3,0)</f>
        <v>228985</v>
      </c>
      <c r="W23" s="12">
        <f>VLOOKUP(Tabla4[[#This Row],[ZONA DEFINITIVO]],Hoja1!$A$1:$D$121,2,0)</f>
        <v>15146</v>
      </c>
      <c r="X23" s="12">
        <f>VLOOKUP(Tabla4[[#This Row],[ZONA DEFINITIVO]],Hoja1!$A$1:$D$121,4,0)</f>
        <v>90725</v>
      </c>
      <c r="Y23" s="12" t="str">
        <f>+IF(Tabla4[[#This Row],[AGRUPACIONES]]=1,SUMIFS(Tabla4[UDS],Tabla4[ZONA DEFINITIVO],Tabla4[[#This Row],[ZONA DEFINITIVO]])," ")</f>
        <v xml:space="preserve"> </v>
      </c>
      <c r="Z23" s="12" t="str">
        <f>+IF(Tabla4[[#This Row],[AGRUPACIONES]]=1,SUMIFS(Tabla4[TOTAL COBERTURA],Tabla4[ZONA DEFINITIVO],Tabla4[[#This Row],[ZONA DEFINITIVO]])," ")</f>
        <v xml:space="preserve"> </v>
      </c>
      <c r="AA23" s="12"/>
      <c r="AB23" s="38">
        <v>30386100</v>
      </c>
      <c r="AC23" s="37">
        <v>0.02</v>
      </c>
      <c r="AD23" s="38">
        <f t="shared" si="1"/>
        <v>607722</v>
      </c>
      <c r="AE23" s="12"/>
      <c r="AF23" s="12">
        <f>COUNTIF($A$20:A23,A23)</f>
        <v>4</v>
      </c>
      <c r="AG23" s="38">
        <v>30386100</v>
      </c>
      <c r="AH23" s="38">
        <f>Tabla4[[#This Row],[VALOR CONTRAPARTIDA]]+Tabla4[[#This Row],[TOTAL APORTES ICBF]]</f>
        <v>30993822</v>
      </c>
      <c r="AI23" s="35"/>
      <c r="AJ23" s="38"/>
      <c r="AK23" s="38"/>
      <c r="AL23" s="23"/>
      <c r="AM23" s="35">
        <f>VLOOKUP(Tabla4[[#This Row],[SERVICIO 2025]],$J$2:$V$14,5,0)*Tabla4[[#This Row],[TOTAL COBERTURA]]</f>
        <v>934880</v>
      </c>
      <c r="AN23" s="35">
        <f>VLOOKUP(Tabla4[[#This Row],[SERVICIO 2025]],$J$2:$V$14,6,0)*Tabla4[[#This Row],[TOTAL COBERTURA]]</f>
        <v>756820</v>
      </c>
      <c r="AO23" s="35">
        <f>VLOOKUP(Tabla4[[#This Row],[SERVICIO 2025]],$J$2:$V$14,8,0)*Tabla4[[#This Row],[TOTAL COBERTURA]]</f>
        <v>0</v>
      </c>
      <c r="AP23" s="35">
        <f>VLOOKUP(Tabla4[[#This Row],[SERVICIO 2025]],$J$2:$V$14,3,0)*Tabla4[[#This Row],[TOTAL COBERTURA]]*8</f>
        <v>28694400</v>
      </c>
      <c r="AQ23" s="35"/>
      <c r="AR23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23" s="35" t="str">
        <f>+IF(Tabla4[[#This Row],[AGRUPACIONES]]=1,SUMIFS(Tabla4[VALOR TOTAL],Tabla4[ZONA DEFINITIVO],Tabla4[[#This Row],[ZONA DEFINITIVO]])," ")</f>
        <v xml:space="preserve"> </v>
      </c>
      <c r="AT23" s="27">
        <f>(VLOOKUP(Tabla4[[#This Row],[SERVICIO 2025]],$J$2:$V$14,3,0)*Tabla4[[#This Row],[TOTAL COBERTURA]])+Tabla4[[#This Row],[VALOR FASE PREPARATORIA DE ALISTAMIENTO]]+Tabla4[[#This Row],[DOTACIÓN ÚNICA]]</f>
        <v>4521680</v>
      </c>
      <c r="AU23" s="35">
        <f>(VLOOKUP(Tabla4[[#This Row],[SERVICIO 2025]],$J$2:$V$14,3,0)*Tabla4[[#This Row],[TOTAL COBERTURA]])</f>
        <v>3586800</v>
      </c>
      <c r="AV23" s="35">
        <f>(VLOOKUP(Tabla4[[#This Row],[SERVICIO 2025]],$J$2:$V$14,3,0)*Tabla4[[#This Row],[TOTAL COBERTURA]])</f>
        <v>3586800</v>
      </c>
      <c r="AW23" s="35">
        <f>(VLOOKUP(Tabla4[[#This Row],[SERVICIO 2025]],$J$2:$V$14,3,0)*Tabla4[[#This Row],[TOTAL COBERTURA]])</f>
        <v>3586800</v>
      </c>
      <c r="AX23" s="35">
        <f>(VLOOKUP(Tabla4[[#This Row],[SERVICIO 2025]],$J$2:$V$14,3,0)*Tabla4[[#This Row],[TOTAL COBERTURA]])</f>
        <v>3586800</v>
      </c>
      <c r="AY23" s="35">
        <f>(VLOOKUP(Tabla4[[#This Row],[SERVICIO 2025]],$J$2:$V$14,3,0)*Tabla4[[#This Row],[TOTAL COBERTURA]])</f>
        <v>3586800</v>
      </c>
      <c r="AZ23" s="35">
        <f>(VLOOKUP(Tabla4[[#This Row],[SERVICIO 2025]],$J$2:$V$14,3,0)*Tabla4[[#This Row],[TOTAL COBERTURA]])</f>
        <v>3586800</v>
      </c>
      <c r="BA23" s="35">
        <f>(VLOOKUP(Tabla4[[#This Row],[SERVICIO 2025]],$J$2:$V$14,3,0)*Tabla4[[#This Row],[TOTAL COBERTURA]])+Tabla4[[#This Row],[VALOR FASE PREPARATORIA DE CIERRE]]</f>
        <v>4343620</v>
      </c>
      <c r="BB23" s="35">
        <f>SUM(Tabla4[[#This Row],[DESEMBOLSO 1]:[DESEMBOLSO 8]])</f>
        <v>30386100</v>
      </c>
      <c r="BC23" s="35"/>
      <c r="BD23" s="47" t="s">
        <v>97</v>
      </c>
      <c r="BE23" s="12" t="b">
        <f>EXACT(Tabla4[[#This Row],[VALOR ATENCIÓN (8 MESES)]],Tabla4[[#This Row],[VALOR TOTAL]])</f>
        <v>1</v>
      </c>
      <c r="BF23" s="23">
        <f>Tabla4[[#This Row],[VALOR ATENCIÓN (8 MESES)]]-Tabla4[[#This Row],[VALOR TOTAL]]</f>
        <v>0</v>
      </c>
      <c r="BG23" s="12" t="b">
        <f>EXACT(Tabla4[[#This Row],[TOTAL DESEMBOLSOS]],Tabla4[[#This Row],[VALOR ATENCIÓN (8 MESES)]])</f>
        <v>1</v>
      </c>
      <c r="BH23" s="29">
        <f>Tabla4[[#This Row],[TOTAL DESEMBOLSOS]]-Tabla4[[#This Row],[VALOR ATENCIÓN (8 MESES)]]</f>
        <v>0</v>
      </c>
      <c r="BI23" t="s">
        <v>98</v>
      </c>
    </row>
    <row r="24" spans="1:62">
      <c r="A24" s="13">
        <v>1887</v>
      </c>
      <c r="B24" s="13" t="s">
        <v>86</v>
      </c>
      <c r="C24" s="12" t="s">
        <v>87</v>
      </c>
      <c r="D24" s="12" t="s">
        <v>88</v>
      </c>
      <c r="E24" s="12" t="s">
        <v>89</v>
      </c>
      <c r="F24" s="12" t="s">
        <v>21</v>
      </c>
      <c r="G24" s="12" t="s">
        <v>90</v>
      </c>
      <c r="H24" s="12" t="s">
        <v>105</v>
      </c>
      <c r="I24" s="12">
        <v>52121144553</v>
      </c>
      <c r="J24" s="12" t="s">
        <v>106</v>
      </c>
      <c r="K24" s="12">
        <v>1</v>
      </c>
      <c r="L24" s="12">
        <v>20</v>
      </c>
      <c r="M24" s="12"/>
      <c r="N24" s="13">
        <v>1887</v>
      </c>
      <c r="O24" s="12" t="s">
        <v>93</v>
      </c>
      <c r="P24" s="12"/>
      <c r="Q24" s="12"/>
      <c r="R24" s="12" t="s">
        <v>94</v>
      </c>
      <c r="S24" s="12">
        <v>10</v>
      </c>
      <c r="T24" s="12" t="s">
        <v>95</v>
      </c>
      <c r="U24" s="12" t="s">
        <v>96</v>
      </c>
      <c r="V24" s="12">
        <f>VLOOKUP(Tabla4[[#This Row],[ZONA DEFINITIVO]],Hoja1!$A$1:$D$121,3,0)</f>
        <v>228985</v>
      </c>
      <c r="W24" s="12">
        <f>VLOOKUP(Tabla4[[#This Row],[ZONA DEFINITIVO]],Hoja1!$A$1:$D$121,2,0)</f>
        <v>15146</v>
      </c>
      <c r="X24" s="12">
        <f>VLOOKUP(Tabla4[[#This Row],[ZONA DEFINITIVO]],Hoja1!$A$1:$D$121,4,0)</f>
        <v>90725</v>
      </c>
      <c r="Y24" s="12" t="str">
        <f>+IF(Tabla4[[#This Row],[AGRUPACIONES]]=1,SUMIFS(Tabla4[UDS],Tabla4[ZONA DEFINITIVO],Tabla4[[#This Row],[ZONA DEFINITIVO]])," ")</f>
        <v xml:space="preserve"> </v>
      </c>
      <c r="Z24" s="12" t="str">
        <f>+IF(Tabla4[[#This Row],[AGRUPACIONES]]=1,SUMIFS(Tabla4[TOTAL COBERTURA],Tabla4[ZONA DEFINITIVO],Tabla4[[#This Row],[ZONA DEFINITIVO]])," ")</f>
        <v xml:space="preserve"> </v>
      </c>
      <c r="AA24" s="12"/>
      <c r="AB24" s="38">
        <v>30386100</v>
      </c>
      <c r="AC24" s="37">
        <v>0.02</v>
      </c>
      <c r="AD24" s="38">
        <f t="shared" si="1"/>
        <v>607722</v>
      </c>
      <c r="AE24" s="12"/>
      <c r="AF24" s="12">
        <f>COUNTIF($A$20:A24,A24)</f>
        <v>5</v>
      </c>
      <c r="AG24" s="38">
        <v>30386100</v>
      </c>
      <c r="AH24" s="38">
        <f>Tabla4[[#This Row],[VALOR CONTRAPARTIDA]]+Tabla4[[#This Row],[TOTAL APORTES ICBF]]</f>
        <v>30993822</v>
      </c>
      <c r="AI24" s="35"/>
      <c r="AJ24" s="38"/>
      <c r="AK24" s="38"/>
      <c r="AL24" s="23"/>
      <c r="AM24" s="35">
        <f>VLOOKUP(Tabla4[[#This Row],[SERVICIO 2025]],$J$2:$V$14,5,0)*Tabla4[[#This Row],[TOTAL COBERTURA]]</f>
        <v>934880</v>
      </c>
      <c r="AN24" s="35">
        <f>VLOOKUP(Tabla4[[#This Row],[SERVICIO 2025]],$J$2:$V$14,6,0)*Tabla4[[#This Row],[TOTAL COBERTURA]]</f>
        <v>756820</v>
      </c>
      <c r="AO24" s="35">
        <f>VLOOKUP(Tabla4[[#This Row],[SERVICIO 2025]],$J$2:$V$14,8,0)*Tabla4[[#This Row],[TOTAL COBERTURA]]</f>
        <v>0</v>
      </c>
      <c r="AP24" s="35">
        <f>VLOOKUP(Tabla4[[#This Row],[SERVICIO 2025]],$J$2:$V$14,3,0)*Tabla4[[#This Row],[TOTAL COBERTURA]]*8</f>
        <v>28694400</v>
      </c>
      <c r="AQ24" s="35"/>
      <c r="AR24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24" s="35" t="str">
        <f>+IF(Tabla4[[#This Row],[AGRUPACIONES]]=1,SUMIFS(Tabla4[VALOR TOTAL],Tabla4[ZONA DEFINITIVO],Tabla4[[#This Row],[ZONA DEFINITIVO]])," ")</f>
        <v xml:space="preserve"> </v>
      </c>
      <c r="AT24" s="27">
        <f>(VLOOKUP(Tabla4[[#This Row],[SERVICIO 2025]],$J$2:$V$14,3,0)*Tabla4[[#This Row],[TOTAL COBERTURA]])+Tabla4[[#This Row],[VALOR FASE PREPARATORIA DE ALISTAMIENTO]]+Tabla4[[#This Row],[DOTACIÓN ÚNICA]]</f>
        <v>4521680</v>
      </c>
      <c r="AU24" s="35">
        <f>(VLOOKUP(Tabla4[[#This Row],[SERVICIO 2025]],$J$2:$V$14,3,0)*Tabla4[[#This Row],[TOTAL COBERTURA]])</f>
        <v>3586800</v>
      </c>
      <c r="AV24" s="35">
        <f>(VLOOKUP(Tabla4[[#This Row],[SERVICIO 2025]],$J$2:$V$14,3,0)*Tabla4[[#This Row],[TOTAL COBERTURA]])</f>
        <v>3586800</v>
      </c>
      <c r="AW24" s="35">
        <f>(VLOOKUP(Tabla4[[#This Row],[SERVICIO 2025]],$J$2:$V$14,3,0)*Tabla4[[#This Row],[TOTAL COBERTURA]])</f>
        <v>3586800</v>
      </c>
      <c r="AX24" s="35">
        <f>(VLOOKUP(Tabla4[[#This Row],[SERVICIO 2025]],$J$2:$V$14,3,0)*Tabla4[[#This Row],[TOTAL COBERTURA]])</f>
        <v>3586800</v>
      </c>
      <c r="AY24" s="35">
        <f>(VLOOKUP(Tabla4[[#This Row],[SERVICIO 2025]],$J$2:$V$14,3,0)*Tabla4[[#This Row],[TOTAL COBERTURA]])</f>
        <v>3586800</v>
      </c>
      <c r="AZ24" s="35">
        <f>(VLOOKUP(Tabla4[[#This Row],[SERVICIO 2025]],$J$2:$V$14,3,0)*Tabla4[[#This Row],[TOTAL COBERTURA]])</f>
        <v>3586800</v>
      </c>
      <c r="BA24" s="35">
        <f>(VLOOKUP(Tabla4[[#This Row],[SERVICIO 2025]],$J$2:$V$14,3,0)*Tabla4[[#This Row],[TOTAL COBERTURA]])+Tabla4[[#This Row],[VALOR FASE PREPARATORIA DE CIERRE]]</f>
        <v>4343620</v>
      </c>
      <c r="BB24" s="35">
        <f>SUM(Tabla4[[#This Row],[DESEMBOLSO 1]:[DESEMBOLSO 8]])</f>
        <v>30386100</v>
      </c>
      <c r="BC24" s="35"/>
      <c r="BD24" s="47" t="s">
        <v>97</v>
      </c>
      <c r="BE24" s="12" t="b">
        <f>EXACT(Tabla4[[#This Row],[VALOR ATENCIÓN (8 MESES)]],Tabla4[[#This Row],[VALOR TOTAL]])</f>
        <v>1</v>
      </c>
      <c r="BF24" s="23">
        <f>Tabla4[[#This Row],[VALOR ATENCIÓN (8 MESES)]]-Tabla4[[#This Row],[VALOR TOTAL]]</f>
        <v>0</v>
      </c>
      <c r="BG24" s="12" t="b">
        <f>EXACT(Tabla4[[#This Row],[TOTAL DESEMBOLSOS]],Tabla4[[#This Row],[VALOR ATENCIÓN (8 MESES)]])</f>
        <v>1</v>
      </c>
      <c r="BH24" s="29">
        <f>Tabla4[[#This Row],[TOTAL DESEMBOLSOS]]-Tabla4[[#This Row],[VALOR ATENCIÓN (8 MESES)]]</f>
        <v>0</v>
      </c>
      <c r="BI24" t="s">
        <v>98</v>
      </c>
    </row>
    <row r="25" spans="1:62">
      <c r="A25" s="13">
        <v>1887</v>
      </c>
      <c r="B25" s="13" t="s">
        <v>86</v>
      </c>
      <c r="C25" s="12" t="s">
        <v>87</v>
      </c>
      <c r="D25" s="12" t="s">
        <v>88</v>
      </c>
      <c r="E25" s="12" t="s">
        <v>89</v>
      </c>
      <c r="F25" s="12" t="s">
        <v>21</v>
      </c>
      <c r="G25" s="12" t="s">
        <v>90</v>
      </c>
      <c r="H25" s="12" t="s">
        <v>107</v>
      </c>
      <c r="I25" s="12">
        <v>52121144566</v>
      </c>
      <c r="J25" s="12" t="s">
        <v>108</v>
      </c>
      <c r="K25" s="12">
        <v>1</v>
      </c>
      <c r="L25" s="12">
        <v>15</v>
      </c>
      <c r="M25" s="12"/>
      <c r="N25" s="13">
        <v>1887</v>
      </c>
      <c r="O25" s="12" t="s">
        <v>93</v>
      </c>
      <c r="P25" s="12"/>
      <c r="Q25" s="12"/>
      <c r="R25" s="12" t="s">
        <v>94</v>
      </c>
      <c r="S25" s="12">
        <v>10</v>
      </c>
      <c r="T25" s="12" t="s">
        <v>95</v>
      </c>
      <c r="U25" s="12" t="s">
        <v>96</v>
      </c>
      <c r="V25" s="12">
        <f>VLOOKUP(Tabla4[[#This Row],[ZONA DEFINITIVO]],Hoja1!$A$1:$D$121,3,0)</f>
        <v>228985</v>
      </c>
      <c r="W25" s="12">
        <f>VLOOKUP(Tabla4[[#This Row],[ZONA DEFINITIVO]],Hoja1!$A$1:$D$121,2,0)</f>
        <v>15146</v>
      </c>
      <c r="X25" s="12">
        <f>VLOOKUP(Tabla4[[#This Row],[ZONA DEFINITIVO]],Hoja1!$A$1:$D$121,4,0)</f>
        <v>90725</v>
      </c>
      <c r="Y25" s="12" t="str">
        <f>+IF(Tabla4[[#This Row],[AGRUPACIONES]]=1,SUMIFS(Tabla4[UDS],Tabla4[ZONA DEFINITIVO],Tabla4[[#This Row],[ZONA DEFINITIVO]])," ")</f>
        <v xml:space="preserve"> </v>
      </c>
      <c r="Z25" s="12" t="str">
        <f>+IF(Tabla4[[#This Row],[AGRUPACIONES]]=1,SUMIFS(Tabla4[TOTAL COBERTURA],Tabla4[ZONA DEFINITIVO],Tabla4[[#This Row],[ZONA DEFINITIVO]])," ")</f>
        <v xml:space="preserve"> </v>
      </c>
      <c r="AA25" s="12"/>
      <c r="AB25" s="38">
        <v>22789575</v>
      </c>
      <c r="AC25" s="37">
        <v>0.02</v>
      </c>
      <c r="AD25" s="38">
        <f t="shared" si="1"/>
        <v>455791.5</v>
      </c>
      <c r="AE25" s="12"/>
      <c r="AF25" s="12">
        <f>COUNTIF($A$20:A25,A25)</f>
        <v>6</v>
      </c>
      <c r="AG25" s="38">
        <v>22789575</v>
      </c>
      <c r="AH25" s="38">
        <f>Tabla4[[#This Row],[VALOR CONTRAPARTIDA]]+Tabla4[[#This Row],[TOTAL APORTES ICBF]]</f>
        <v>23245366.5</v>
      </c>
      <c r="AI25" s="35"/>
      <c r="AJ25" s="38"/>
      <c r="AK25" s="38"/>
      <c r="AL25" s="23"/>
      <c r="AM25" s="35">
        <f>VLOOKUP(Tabla4[[#This Row],[SERVICIO 2025]],$J$2:$V$14,5,0)*Tabla4[[#This Row],[TOTAL COBERTURA]]</f>
        <v>701160</v>
      </c>
      <c r="AN25" s="35">
        <f>VLOOKUP(Tabla4[[#This Row],[SERVICIO 2025]],$J$2:$V$14,6,0)*Tabla4[[#This Row],[TOTAL COBERTURA]]</f>
        <v>567615</v>
      </c>
      <c r="AO25" s="35">
        <f>VLOOKUP(Tabla4[[#This Row],[SERVICIO 2025]],$J$2:$V$14,8,0)*Tabla4[[#This Row],[TOTAL COBERTURA]]</f>
        <v>0</v>
      </c>
      <c r="AP25" s="35">
        <f>VLOOKUP(Tabla4[[#This Row],[SERVICIO 2025]],$J$2:$V$14,3,0)*Tabla4[[#This Row],[TOTAL COBERTURA]]*8</f>
        <v>21520800</v>
      </c>
      <c r="AQ25" s="35"/>
      <c r="AR25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25" s="35" t="str">
        <f>+IF(Tabla4[[#This Row],[AGRUPACIONES]]=1,SUMIFS(Tabla4[VALOR TOTAL],Tabla4[ZONA DEFINITIVO],Tabla4[[#This Row],[ZONA DEFINITIVO]])," ")</f>
        <v xml:space="preserve"> </v>
      </c>
      <c r="AT25" s="27">
        <f>(VLOOKUP(Tabla4[[#This Row],[SERVICIO 2025]],$J$2:$V$14,3,0)*Tabla4[[#This Row],[TOTAL COBERTURA]])+Tabla4[[#This Row],[VALOR FASE PREPARATORIA DE ALISTAMIENTO]]+Tabla4[[#This Row],[DOTACIÓN ÚNICA]]</f>
        <v>3391260</v>
      </c>
      <c r="AU25" s="35">
        <f>(VLOOKUP(Tabla4[[#This Row],[SERVICIO 2025]],$J$2:$V$14,3,0)*Tabla4[[#This Row],[TOTAL COBERTURA]])</f>
        <v>2690100</v>
      </c>
      <c r="AV25" s="35">
        <f>(VLOOKUP(Tabla4[[#This Row],[SERVICIO 2025]],$J$2:$V$14,3,0)*Tabla4[[#This Row],[TOTAL COBERTURA]])</f>
        <v>2690100</v>
      </c>
      <c r="AW25" s="35">
        <f>(VLOOKUP(Tabla4[[#This Row],[SERVICIO 2025]],$J$2:$V$14,3,0)*Tabla4[[#This Row],[TOTAL COBERTURA]])</f>
        <v>2690100</v>
      </c>
      <c r="AX25" s="35">
        <f>(VLOOKUP(Tabla4[[#This Row],[SERVICIO 2025]],$J$2:$V$14,3,0)*Tabla4[[#This Row],[TOTAL COBERTURA]])</f>
        <v>2690100</v>
      </c>
      <c r="AY25" s="35">
        <f>(VLOOKUP(Tabla4[[#This Row],[SERVICIO 2025]],$J$2:$V$14,3,0)*Tabla4[[#This Row],[TOTAL COBERTURA]])</f>
        <v>2690100</v>
      </c>
      <c r="AZ25" s="35">
        <f>(VLOOKUP(Tabla4[[#This Row],[SERVICIO 2025]],$J$2:$V$14,3,0)*Tabla4[[#This Row],[TOTAL COBERTURA]])</f>
        <v>2690100</v>
      </c>
      <c r="BA25" s="35">
        <f>(VLOOKUP(Tabla4[[#This Row],[SERVICIO 2025]],$J$2:$V$14,3,0)*Tabla4[[#This Row],[TOTAL COBERTURA]])+Tabla4[[#This Row],[VALOR FASE PREPARATORIA DE CIERRE]]</f>
        <v>3257715</v>
      </c>
      <c r="BB25" s="35">
        <f>SUM(Tabla4[[#This Row],[DESEMBOLSO 1]:[DESEMBOLSO 8]])</f>
        <v>22789575</v>
      </c>
      <c r="BC25" s="35"/>
      <c r="BD25" s="47" t="s">
        <v>97</v>
      </c>
      <c r="BE25" s="12" t="b">
        <f>EXACT(Tabla4[[#This Row],[VALOR ATENCIÓN (8 MESES)]],Tabla4[[#This Row],[VALOR TOTAL]])</f>
        <v>1</v>
      </c>
      <c r="BF25" s="23">
        <f>Tabla4[[#This Row],[VALOR ATENCIÓN (8 MESES)]]-Tabla4[[#This Row],[VALOR TOTAL]]</f>
        <v>0</v>
      </c>
      <c r="BG25" s="12" t="b">
        <f>EXACT(Tabla4[[#This Row],[TOTAL DESEMBOLSOS]],Tabla4[[#This Row],[VALOR ATENCIÓN (8 MESES)]])</f>
        <v>1</v>
      </c>
      <c r="BH25" s="29">
        <f>Tabla4[[#This Row],[TOTAL DESEMBOLSOS]]-Tabla4[[#This Row],[VALOR ATENCIÓN (8 MESES)]]</f>
        <v>0</v>
      </c>
      <c r="BI25" t="s">
        <v>98</v>
      </c>
    </row>
    <row r="26" spans="1:62">
      <c r="A26" s="13">
        <v>1887</v>
      </c>
      <c r="B26" s="13" t="s">
        <v>86</v>
      </c>
      <c r="C26" s="12" t="s">
        <v>87</v>
      </c>
      <c r="D26" s="12" t="s">
        <v>88</v>
      </c>
      <c r="E26" s="12" t="s">
        <v>89</v>
      </c>
      <c r="F26" s="12" t="s">
        <v>21</v>
      </c>
      <c r="G26" s="12" t="s">
        <v>90</v>
      </c>
      <c r="H26" s="12" t="s">
        <v>109</v>
      </c>
      <c r="I26" s="12">
        <v>52121144569</v>
      </c>
      <c r="J26" s="12" t="s">
        <v>110</v>
      </c>
      <c r="K26" s="12">
        <v>1</v>
      </c>
      <c r="L26" s="12">
        <v>15</v>
      </c>
      <c r="M26" s="12"/>
      <c r="N26" s="13">
        <v>1887</v>
      </c>
      <c r="O26" s="12" t="s">
        <v>93</v>
      </c>
      <c r="P26" s="12"/>
      <c r="Q26" s="12"/>
      <c r="R26" s="12" t="s">
        <v>94</v>
      </c>
      <c r="S26" s="12">
        <v>10</v>
      </c>
      <c r="T26" s="12" t="s">
        <v>95</v>
      </c>
      <c r="U26" s="12" t="s">
        <v>96</v>
      </c>
      <c r="V26" s="12">
        <f>VLOOKUP(Tabla4[[#This Row],[ZONA DEFINITIVO]],Hoja1!$A$1:$D$121,3,0)</f>
        <v>228985</v>
      </c>
      <c r="W26" s="12">
        <f>VLOOKUP(Tabla4[[#This Row],[ZONA DEFINITIVO]],Hoja1!$A$1:$D$121,2,0)</f>
        <v>15146</v>
      </c>
      <c r="X26" s="12">
        <f>VLOOKUP(Tabla4[[#This Row],[ZONA DEFINITIVO]],Hoja1!$A$1:$D$121,4,0)</f>
        <v>90725</v>
      </c>
      <c r="Y26" s="12" t="str">
        <f>+IF(Tabla4[[#This Row],[AGRUPACIONES]]=1,SUMIFS(Tabla4[UDS],Tabla4[ZONA DEFINITIVO],Tabla4[[#This Row],[ZONA DEFINITIVO]])," ")</f>
        <v xml:space="preserve"> </v>
      </c>
      <c r="Z26" s="12" t="str">
        <f>+IF(Tabla4[[#This Row],[AGRUPACIONES]]=1,SUMIFS(Tabla4[TOTAL COBERTURA],Tabla4[ZONA DEFINITIVO],Tabla4[[#This Row],[ZONA DEFINITIVO]])," ")</f>
        <v xml:space="preserve"> </v>
      </c>
      <c r="AA26" s="12"/>
      <c r="AB26" s="38">
        <v>22789575</v>
      </c>
      <c r="AC26" s="37">
        <v>0.02</v>
      </c>
      <c r="AD26" s="38">
        <f t="shared" si="1"/>
        <v>455791.5</v>
      </c>
      <c r="AE26" s="12"/>
      <c r="AF26" s="12">
        <f>COUNTIF($A$20:A26,A26)</f>
        <v>7</v>
      </c>
      <c r="AG26" s="38">
        <v>22789575</v>
      </c>
      <c r="AH26" s="38">
        <f>Tabla4[[#This Row],[VALOR CONTRAPARTIDA]]+Tabla4[[#This Row],[TOTAL APORTES ICBF]]</f>
        <v>23245366.5</v>
      </c>
      <c r="AI26" s="35"/>
      <c r="AJ26" s="38"/>
      <c r="AK26" s="38"/>
      <c r="AL26" s="23"/>
      <c r="AM26" s="35">
        <f>VLOOKUP(Tabla4[[#This Row],[SERVICIO 2025]],$J$2:$V$14,5,0)*Tabla4[[#This Row],[TOTAL COBERTURA]]</f>
        <v>701160</v>
      </c>
      <c r="AN26" s="35">
        <f>VLOOKUP(Tabla4[[#This Row],[SERVICIO 2025]],$J$2:$V$14,6,0)*Tabla4[[#This Row],[TOTAL COBERTURA]]</f>
        <v>567615</v>
      </c>
      <c r="AO26" s="35">
        <f>VLOOKUP(Tabla4[[#This Row],[SERVICIO 2025]],$J$2:$V$14,8,0)*Tabla4[[#This Row],[TOTAL COBERTURA]]</f>
        <v>0</v>
      </c>
      <c r="AP26" s="35">
        <f>VLOOKUP(Tabla4[[#This Row],[SERVICIO 2025]],$J$2:$V$14,3,0)*Tabla4[[#This Row],[TOTAL COBERTURA]]*8</f>
        <v>21520800</v>
      </c>
      <c r="AQ26" s="35"/>
      <c r="AR26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26" s="35" t="str">
        <f>+IF(Tabla4[[#This Row],[AGRUPACIONES]]=1,SUMIFS(Tabla4[VALOR TOTAL],Tabla4[ZONA DEFINITIVO],Tabla4[[#This Row],[ZONA DEFINITIVO]])," ")</f>
        <v xml:space="preserve"> </v>
      </c>
      <c r="AT26" s="27">
        <f>(VLOOKUP(Tabla4[[#This Row],[SERVICIO 2025]],$J$2:$V$14,3,0)*Tabla4[[#This Row],[TOTAL COBERTURA]])+Tabla4[[#This Row],[VALOR FASE PREPARATORIA DE ALISTAMIENTO]]+Tabla4[[#This Row],[DOTACIÓN ÚNICA]]</f>
        <v>3391260</v>
      </c>
      <c r="AU26" s="35">
        <f>(VLOOKUP(Tabla4[[#This Row],[SERVICIO 2025]],$J$2:$V$14,3,0)*Tabla4[[#This Row],[TOTAL COBERTURA]])</f>
        <v>2690100</v>
      </c>
      <c r="AV26" s="35">
        <f>(VLOOKUP(Tabla4[[#This Row],[SERVICIO 2025]],$J$2:$V$14,3,0)*Tabla4[[#This Row],[TOTAL COBERTURA]])</f>
        <v>2690100</v>
      </c>
      <c r="AW26" s="35">
        <f>(VLOOKUP(Tabla4[[#This Row],[SERVICIO 2025]],$J$2:$V$14,3,0)*Tabla4[[#This Row],[TOTAL COBERTURA]])</f>
        <v>2690100</v>
      </c>
      <c r="AX26" s="35">
        <f>(VLOOKUP(Tabla4[[#This Row],[SERVICIO 2025]],$J$2:$V$14,3,0)*Tabla4[[#This Row],[TOTAL COBERTURA]])</f>
        <v>2690100</v>
      </c>
      <c r="AY26" s="35">
        <f>(VLOOKUP(Tabla4[[#This Row],[SERVICIO 2025]],$J$2:$V$14,3,0)*Tabla4[[#This Row],[TOTAL COBERTURA]])</f>
        <v>2690100</v>
      </c>
      <c r="AZ26" s="35">
        <f>(VLOOKUP(Tabla4[[#This Row],[SERVICIO 2025]],$J$2:$V$14,3,0)*Tabla4[[#This Row],[TOTAL COBERTURA]])</f>
        <v>2690100</v>
      </c>
      <c r="BA26" s="35">
        <f>(VLOOKUP(Tabla4[[#This Row],[SERVICIO 2025]],$J$2:$V$14,3,0)*Tabla4[[#This Row],[TOTAL COBERTURA]])+Tabla4[[#This Row],[VALOR FASE PREPARATORIA DE CIERRE]]</f>
        <v>3257715</v>
      </c>
      <c r="BB26" s="35">
        <f>SUM(Tabla4[[#This Row],[DESEMBOLSO 1]:[DESEMBOLSO 8]])</f>
        <v>22789575</v>
      </c>
      <c r="BC26" s="35"/>
      <c r="BD26" s="47" t="s">
        <v>97</v>
      </c>
      <c r="BE26" s="12" t="b">
        <f>EXACT(Tabla4[[#This Row],[VALOR ATENCIÓN (8 MESES)]],Tabla4[[#This Row],[VALOR TOTAL]])</f>
        <v>1</v>
      </c>
      <c r="BF26" s="23">
        <f>Tabla4[[#This Row],[VALOR ATENCIÓN (8 MESES)]]-Tabla4[[#This Row],[VALOR TOTAL]]</f>
        <v>0</v>
      </c>
      <c r="BG26" s="12" t="b">
        <f>EXACT(Tabla4[[#This Row],[TOTAL DESEMBOLSOS]],Tabla4[[#This Row],[VALOR ATENCIÓN (8 MESES)]])</f>
        <v>1</v>
      </c>
      <c r="BH26" s="29">
        <f>Tabla4[[#This Row],[TOTAL DESEMBOLSOS]]-Tabla4[[#This Row],[VALOR ATENCIÓN (8 MESES)]]</f>
        <v>0</v>
      </c>
      <c r="BI26" t="s">
        <v>98</v>
      </c>
    </row>
    <row r="27" spans="1:62">
      <c r="A27" s="13">
        <v>1887</v>
      </c>
      <c r="B27" s="13" t="s">
        <v>86</v>
      </c>
      <c r="C27" s="12" t="s">
        <v>87</v>
      </c>
      <c r="D27" s="12" t="s">
        <v>88</v>
      </c>
      <c r="E27" s="12" t="s">
        <v>89</v>
      </c>
      <c r="F27" s="12" t="s">
        <v>21</v>
      </c>
      <c r="G27" s="12" t="s">
        <v>90</v>
      </c>
      <c r="H27" s="12" t="s">
        <v>111</v>
      </c>
      <c r="I27" s="12">
        <v>52121148719</v>
      </c>
      <c r="J27" s="12" t="s">
        <v>112</v>
      </c>
      <c r="K27" s="12">
        <v>1</v>
      </c>
      <c r="L27" s="12">
        <v>20</v>
      </c>
      <c r="M27" s="12"/>
      <c r="N27" s="13">
        <v>1887</v>
      </c>
      <c r="O27" s="12" t="s">
        <v>93</v>
      </c>
      <c r="P27" s="12"/>
      <c r="Q27" s="12"/>
      <c r="R27" s="12" t="s">
        <v>94</v>
      </c>
      <c r="S27" s="12">
        <v>10</v>
      </c>
      <c r="T27" s="12" t="s">
        <v>95</v>
      </c>
      <c r="U27" s="12" t="s">
        <v>96</v>
      </c>
      <c r="V27" s="12">
        <f>VLOOKUP(Tabla4[[#This Row],[ZONA DEFINITIVO]],Hoja1!$A$1:$D$121,3,0)</f>
        <v>228985</v>
      </c>
      <c r="W27" s="12">
        <f>VLOOKUP(Tabla4[[#This Row],[ZONA DEFINITIVO]],Hoja1!$A$1:$D$121,2,0)</f>
        <v>15146</v>
      </c>
      <c r="X27" s="12">
        <f>VLOOKUP(Tabla4[[#This Row],[ZONA DEFINITIVO]],Hoja1!$A$1:$D$121,4,0)</f>
        <v>90725</v>
      </c>
      <c r="Y27" s="12" t="str">
        <f>+IF(Tabla4[[#This Row],[AGRUPACIONES]]=1,SUMIFS(Tabla4[UDS],Tabla4[ZONA DEFINITIVO],Tabla4[[#This Row],[ZONA DEFINITIVO]])," ")</f>
        <v xml:space="preserve"> </v>
      </c>
      <c r="Z27" s="12" t="str">
        <f>+IF(Tabla4[[#This Row],[AGRUPACIONES]]=1,SUMIFS(Tabla4[TOTAL COBERTURA],Tabla4[ZONA DEFINITIVO],Tabla4[[#This Row],[ZONA DEFINITIVO]])," ")</f>
        <v xml:space="preserve"> </v>
      </c>
      <c r="AA27" s="12"/>
      <c r="AB27" s="38">
        <v>30386100</v>
      </c>
      <c r="AC27" s="37">
        <v>0.02</v>
      </c>
      <c r="AD27" s="38">
        <f t="shared" si="1"/>
        <v>607722</v>
      </c>
      <c r="AE27" s="12"/>
      <c r="AF27" s="12">
        <f>COUNTIF($A$20:A27,A27)</f>
        <v>8</v>
      </c>
      <c r="AG27" s="38">
        <v>30386100</v>
      </c>
      <c r="AH27" s="38">
        <f>Tabla4[[#This Row],[VALOR CONTRAPARTIDA]]+Tabla4[[#This Row],[TOTAL APORTES ICBF]]</f>
        <v>30993822</v>
      </c>
      <c r="AI27" s="35"/>
      <c r="AJ27" s="38"/>
      <c r="AK27" s="38"/>
      <c r="AL27" s="23"/>
      <c r="AM27" s="35">
        <f>VLOOKUP(Tabla4[[#This Row],[SERVICIO 2025]],$J$2:$V$14,5,0)*Tabla4[[#This Row],[TOTAL COBERTURA]]</f>
        <v>934880</v>
      </c>
      <c r="AN27" s="35">
        <f>VLOOKUP(Tabla4[[#This Row],[SERVICIO 2025]],$J$2:$V$14,6,0)*Tabla4[[#This Row],[TOTAL COBERTURA]]</f>
        <v>756820</v>
      </c>
      <c r="AO27" s="35">
        <f>VLOOKUP(Tabla4[[#This Row],[SERVICIO 2025]],$J$2:$V$14,8,0)*Tabla4[[#This Row],[TOTAL COBERTURA]]</f>
        <v>0</v>
      </c>
      <c r="AP27" s="35">
        <f>VLOOKUP(Tabla4[[#This Row],[SERVICIO 2025]],$J$2:$V$14,3,0)*Tabla4[[#This Row],[TOTAL COBERTURA]]*8</f>
        <v>28694400</v>
      </c>
      <c r="AQ27" s="35"/>
      <c r="AR27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27" s="35" t="str">
        <f>+IF(Tabla4[[#This Row],[AGRUPACIONES]]=1,SUMIFS(Tabla4[VALOR TOTAL],Tabla4[ZONA DEFINITIVO],Tabla4[[#This Row],[ZONA DEFINITIVO]])," ")</f>
        <v xml:space="preserve"> </v>
      </c>
      <c r="AT27" s="27">
        <f>(VLOOKUP(Tabla4[[#This Row],[SERVICIO 2025]],$J$2:$V$14,3,0)*Tabla4[[#This Row],[TOTAL COBERTURA]])+Tabla4[[#This Row],[VALOR FASE PREPARATORIA DE ALISTAMIENTO]]+Tabla4[[#This Row],[DOTACIÓN ÚNICA]]</f>
        <v>4521680</v>
      </c>
      <c r="AU27" s="35">
        <f>(VLOOKUP(Tabla4[[#This Row],[SERVICIO 2025]],$J$2:$V$14,3,0)*Tabla4[[#This Row],[TOTAL COBERTURA]])</f>
        <v>3586800</v>
      </c>
      <c r="AV27" s="35">
        <f>(VLOOKUP(Tabla4[[#This Row],[SERVICIO 2025]],$J$2:$V$14,3,0)*Tabla4[[#This Row],[TOTAL COBERTURA]])</f>
        <v>3586800</v>
      </c>
      <c r="AW27" s="35">
        <f>(VLOOKUP(Tabla4[[#This Row],[SERVICIO 2025]],$J$2:$V$14,3,0)*Tabla4[[#This Row],[TOTAL COBERTURA]])</f>
        <v>3586800</v>
      </c>
      <c r="AX27" s="35">
        <f>(VLOOKUP(Tabla4[[#This Row],[SERVICIO 2025]],$J$2:$V$14,3,0)*Tabla4[[#This Row],[TOTAL COBERTURA]])</f>
        <v>3586800</v>
      </c>
      <c r="AY27" s="35">
        <f>(VLOOKUP(Tabla4[[#This Row],[SERVICIO 2025]],$J$2:$V$14,3,0)*Tabla4[[#This Row],[TOTAL COBERTURA]])</f>
        <v>3586800</v>
      </c>
      <c r="AZ27" s="35">
        <f>(VLOOKUP(Tabla4[[#This Row],[SERVICIO 2025]],$J$2:$V$14,3,0)*Tabla4[[#This Row],[TOTAL COBERTURA]])</f>
        <v>3586800</v>
      </c>
      <c r="BA27" s="35">
        <f>(VLOOKUP(Tabla4[[#This Row],[SERVICIO 2025]],$J$2:$V$14,3,0)*Tabla4[[#This Row],[TOTAL COBERTURA]])+Tabla4[[#This Row],[VALOR FASE PREPARATORIA DE CIERRE]]</f>
        <v>4343620</v>
      </c>
      <c r="BB27" s="35">
        <f>SUM(Tabla4[[#This Row],[DESEMBOLSO 1]:[DESEMBOLSO 8]])</f>
        <v>30386100</v>
      </c>
      <c r="BC27" s="35"/>
      <c r="BD27" s="47" t="s">
        <v>97</v>
      </c>
      <c r="BE27" s="12" t="b">
        <f>EXACT(Tabla4[[#This Row],[VALOR ATENCIÓN (8 MESES)]],Tabla4[[#This Row],[VALOR TOTAL]])</f>
        <v>1</v>
      </c>
      <c r="BF27" s="23">
        <f>Tabla4[[#This Row],[VALOR ATENCIÓN (8 MESES)]]-Tabla4[[#This Row],[VALOR TOTAL]]</f>
        <v>0</v>
      </c>
      <c r="BG27" s="12" t="b">
        <f>EXACT(Tabla4[[#This Row],[TOTAL DESEMBOLSOS]],Tabla4[[#This Row],[VALOR ATENCIÓN (8 MESES)]])</f>
        <v>1</v>
      </c>
      <c r="BH27" s="29">
        <f>Tabla4[[#This Row],[TOTAL DESEMBOLSOS]]-Tabla4[[#This Row],[VALOR ATENCIÓN (8 MESES)]]</f>
        <v>0</v>
      </c>
      <c r="BI27" t="s">
        <v>98</v>
      </c>
    </row>
    <row r="28" spans="1:62">
      <c r="A28" s="13">
        <v>1887</v>
      </c>
      <c r="B28" s="13" t="s">
        <v>86</v>
      </c>
      <c r="C28" s="12" t="s">
        <v>87</v>
      </c>
      <c r="D28" s="12" t="s">
        <v>88</v>
      </c>
      <c r="E28" s="12" t="s">
        <v>89</v>
      </c>
      <c r="F28" s="12" t="s">
        <v>21</v>
      </c>
      <c r="G28" s="12" t="s">
        <v>90</v>
      </c>
      <c r="H28" s="12" t="s">
        <v>113</v>
      </c>
      <c r="I28" s="12">
        <v>52121148724</v>
      </c>
      <c r="J28" s="12" t="s">
        <v>114</v>
      </c>
      <c r="K28" s="12">
        <v>1</v>
      </c>
      <c r="L28" s="12">
        <v>16</v>
      </c>
      <c r="M28" s="12"/>
      <c r="N28" s="13">
        <v>1887</v>
      </c>
      <c r="O28" s="12" t="s">
        <v>93</v>
      </c>
      <c r="P28" s="12"/>
      <c r="Q28" s="12"/>
      <c r="R28" s="12" t="s">
        <v>94</v>
      </c>
      <c r="S28" s="12">
        <v>10</v>
      </c>
      <c r="T28" s="12" t="s">
        <v>95</v>
      </c>
      <c r="U28" s="12" t="s">
        <v>96</v>
      </c>
      <c r="V28" s="12">
        <f>VLOOKUP(Tabla4[[#This Row],[ZONA DEFINITIVO]],Hoja1!$A$1:$D$121,3,0)</f>
        <v>228985</v>
      </c>
      <c r="W28" s="12">
        <f>VLOOKUP(Tabla4[[#This Row],[ZONA DEFINITIVO]],Hoja1!$A$1:$D$121,2,0)</f>
        <v>15146</v>
      </c>
      <c r="X28" s="12">
        <f>VLOOKUP(Tabla4[[#This Row],[ZONA DEFINITIVO]],Hoja1!$A$1:$D$121,4,0)</f>
        <v>90725</v>
      </c>
      <c r="Y28" s="12" t="str">
        <f>+IF(Tabla4[[#This Row],[AGRUPACIONES]]=1,SUMIFS(Tabla4[UDS],Tabla4[ZONA DEFINITIVO],Tabla4[[#This Row],[ZONA DEFINITIVO]])," ")</f>
        <v xml:space="preserve"> </v>
      </c>
      <c r="Z28" s="12" t="str">
        <f>+IF(Tabla4[[#This Row],[AGRUPACIONES]]=1,SUMIFS(Tabla4[TOTAL COBERTURA],Tabla4[ZONA DEFINITIVO],Tabla4[[#This Row],[ZONA DEFINITIVO]])," ")</f>
        <v xml:space="preserve"> </v>
      </c>
      <c r="AA28" s="12"/>
      <c r="AB28" s="38">
        <v>24308880</v>
      </c>
      <c r="AC28" s="37">
        <v>0.02</v>
      </c>
      <c r="AD28" s="38">
        <f t="shared" si="1"/>
        <v>486177.60000000003</v>
      </c>
      <c r="AE28" s="12"/>
      <c r="AF28" s="12">
        <f>COUNTIF($A$20:A28,A28)</f>
        <v>9</v>
      </c>
      <c r="AG28" s="38">
        <v>24308880</v>
      </c>
      <c r="AH28" s="38">
        <f>Tabla4[[#This Row],[VALOR CONTRAPARTIDA]]+Tabla4[[#This Row],[TOTAL APORTES ICBF]]</f>
        <v>24795057.600000001</v>
      </c>
      <c r="AI28" s="35"/>
      <c r="AJ28" s="38"/>
      <c r="AK28" s="38"/>
      <c r="AL28" s="23"/>
      <c r="AM28" s="35">
        <f>VLOOKUP(Tabla4[[#This Row],[SERVICIO 2025]],$J$2:$V$14,5,0)*Tabla4[[#This Row],[TOTAL COBERTURA]]</f>
        <v>747904</v>
      </c>
      <c r="AN28" s="35">
        <f>VLOOKUP(Tabla4[[#This Row],[SERVICIO 2025]],$J$2:$V$14,6,0)*Tabla4[[#This Row],[TOTAL COBERTURA]]</f>
        <v>605456</v>
      </c>
      <c r="AO28" s="35">
        <f>VLOOKUP(Tabla4[[#This Row],[SERVICIO 2025]],$J$2:$V$14,8,0)*Tabla4[[#This Row],[TOTAL COBERTURA]]</f>
        <v>0</v>
      </c>
      <c r="AP28" s="35">
        <f>VLOOKUP(Tabla4[[#This Row],[SERVICIO 2025]],$J$2:$V$14,3,0)*Tabla4[[#This Row],[TOTAL COBERTURA]]*8</f>
        <v>22955520</v>
      </c>
      <c r="AQ28" s="35"/>
      <c r="AR28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28" s="35" t="str">
        <f>+IF(Tabla4[[#This Row],[AGRUPACIONES]]=1,SUMIFS(Tabla4[VALOR TOTAL],Tabla4[ZONA DEFINITIVO],Tabla4[[#This Row],[ZONA DEFINITIVO]])," ")</f>
        <v xml:space="preserve"> </v>
      </c>
      <c r="AT28" s="27">
        <f>(VLOOKUP(Tabla4[[#This Row],[SERVICIO 2025]],$J$2:$V$14,3,0)*Tabla4[[#This Row],[TOTAL COBERTURA]])+Tabla4[[#This Row],[VALOR FASE PREPARATORIA DE ALISTAMIENTO]]+Tabla4[[#This Row],[DOTACIÓN ÚNICA]]</f>
        <v>3617344</v>
      </c>
      <c r="AU28" s="35">
        <f>(VLOOKUP(Tabla4[[#This Row],[SERVICIO 2025]],$J$2:$V$14,3,0)*Tabla4[[#This Row],[TOTAL COBERTURA]])</f>
        <v>2869440</v>
      </c>
      <c r="AV28" s="35">
        <f>(VLOOKUP(Tabla4[[#This Row],[SERVICIO 2025]],$J$2:$V$14,3,0)*Tabla4[[#This Row],[TOTAL COBERTURA]])</f>
        <v>2869440</v>
      </c>
      <c r="AW28" s="35">
        <f>(VLOOKUP(Tabla4[[#This Row],[SERVICIO 2025]],$J$2:$V$14,3,0)*Tabla4[[#This Row],[TOTAL COBERTURA]])</f>
        <v>2869440</v>
      </c>
      <c r="AX28" s="35">
        <f>(VLOOKUP(Tabla4[[#This Row],[SERVICIO 2025]],$J$2:$V$14,3,0)*Tabla4[[#This Row],[TOTAL COBERTURA]])</f>
        <v>2869440</v>
      </c>
      <c r="AY28" s="35">
        <f>(VLOOKUP(Tabla4[[#This Row],[SERVICIO 2025]],$J$2:$V$14,3,0)*Tabla4[[#This Row],[TOTAL COBERTURA]])</f>
        <v>2869440</v>
      </c>
      <c r="AZ28" s="35">
        <f>(VLOOKUP(Tabla4[[#This Row],[SERVICIO 2025]],$J$2:$V$14,3,0)*Tabla4[[#This Row],[TOTAL COBERTURA]])</f>
        <v>2869440</v>
      </c>
      <c r="BA28" s="35">
        <f>(VLOOKUP(Tabla4[[#This Row],[SERVICIO 2025]],$J$2:$V$14,3,0)*Tabla4[[#This Row],[TOTAL COBERTURA]])+Tabla4[[#This Row],[VALOR FASE PREPARATORIA DE CIERRE]]</f>
        <v>3474896</v>
      </c>
      <c r="BB28" s="35">
        <f>SUM(Tabla4[[#This Row],[DESEMBOLSO 1]:[DESEMBOLSO 8]])</f>
        <v>24308880</v>
      </c>
      <c r="BC28" s="35"/>
      <c r="BD28" s="47" t="s">
        <v>97</v>
      </c>
      <c r="BE28" s="12" t="b">
        <f>EXACT(Tabla4[[#This Row],[VALOR ATENCIÓN (8 MESES)]],Tabla4[[#This Row],[VALOR TOTAL]])</f>
        <v>1</v>
      </c>
      <c r="BF28" s="23">
        <f>Tabla4[[#This Row],[VALOR ATENCIÓN (8 MESES)]]-Tabla4[[#This Row],[VALOR TOTAL]]</f>
        <v>0</v>
      </c>
      <c r="BG28" s="12" t="b">
        <f>EXACT(Tabla4[[#This Row],[TOTAL DESEMBOLSOS]],Tabla4[[#This Row],[VALOR ATENCIÓN (8 MESES)]])</f>
        <v>1</v>
      </c>
      <c r="BH28" s="29">
        <f>Tabla4[[#This Row],[TOTAL DESEMBOLSOS]]-Tabla4[[#This Row],[VALOR ATENCIÓN (8 MESES)]]</f>
        <v>0</v>
      </c>
      <c r="BI28" t="s">
        <v>98</v>
      </c>
    </row>
    <row r="29" spans="1:62">
      <c r="A29" s="13">
        <v>1887</v>
      </c>
      <c r="B29" s="13" t="s">
        <v>86</v>
      </c>
      <c r="C29" s="12" t="s">
        <v>87</v>
      </c>
      <c r="D29" s="12" t="s">
        <v>88</v>
      </c>
      <c r="E29" s="12" t="s">
        <v>89</v>
      </c>
      <c r="F29" s="12" t="s">
        <v>21</v>
      </c>
      <c r="G29" s="12" t="s">
        <v>90</v>
      </c>
      <c r="H29" s="12" t="s">
        <v>115</v>
      </c>
      <c r="I29" s="12">
        <v>52121152081</v>
      </c>
      <c r="J29" s="12" t="s">
        <v>116</v>
      </c>
      <c r="K29" s="12">
        <v>1</v>
      </c>
      <c r="L29" s="12">
        <v>113</v>
      </c>
      <c r="M29" s="12"/>
      <c r="N29" s="13">
        <v>1887</v>
      </c>
      <c r="O29" s="12" t="s">
        <v>93</v>
      </c>
      <c r="P29" s="12"/>
      <c r="Q29" s="12"/>
      <c r="R29" s="12" t="s">
        <v>94</v>
      </c>
      <c r="S29" s="12">
        <v>10</v>
      </c>
      <c r="T29" s="12" t="s">
        <v>95</v>
      </c>
      <c r="U29" s="12" t="s">
        <v>96</v>
      </c>
      <c r="V29" s="12">
        <f>VLOOKUP(Tabla4[[#This Row],[ZONA DEFINITIVO]],Hoja1!$A$1:$D$121,3,0)</f>
        <v>228985</v>
      </c>
      <c r="W29" s="12">
        <f>VLOOKUP(Tabla4[[#This Row],[ZONA DEFINITIVO]],Hoja1!$A$1:$D$121,2,0)</f>
        <v>15146</v>
      </c>
      <c r="X29" s="12">
        <f>VLOOKUP(Tabla4[[#This Row],[ZONA DEFINITIVO]],Hoja1!$A$1:$D$121,4,0)</f>
        <v>90725</v>
      </c>
      <c r="Y29" s="12" t="str">
        <f>+IF(Tabla4[[#This Row],[AGRUPACIONES]]=1,SUMIFS(Tabla4[UDS],Tabla4[ZONA DEFINITIVO],Tabla4[[#This Row],[ZONA DEFINITIVO]])," ")</f>
        <v xml:space="preserve"> </v>
      </c>
      <c r="Z29" s="12" t="str">
        <f>+IF(Tabla4[[#This Row],[AGRUPACIONES]]=1,SUMIFS(Tabla4[TOTAL COBERTURA],Tabla4[ZONA DEFINITIVO],Tabla4[[#This Row],[ZONA DEFINITIVO]])," ")</f>
        <v xml:space="preserve"> </v>
      </c>
      <c r="AA29" s="12"/>
      <c r="AB29" s="38">
        <v>171681465</v>
      </c>
      <c r="AC29" s="37">
        <v>0.02</v>
      </c>
      <c r="AD29" s="38">
        <f t="shared" si="1"/>
        <v>3433629.3000000003</v>
      </c>
      <c r="AE29" s="12"/>
      <c r="AF29" s="12">
        <f>COUNTIF($A$20:A29,A29)</f>
        <v>10</v>
      </c>
      <c r="AG29" s="38">
        <v>171681465</v>
      </c>
      <c r="AH29" s="38">
        <f>Tabla4[[#This Row],[VALOR CONTRAPARTIDA]]+Tabla4[[#This Row],[TOTAL APORTES ICBF]]</f>
        <v>175115094.30000001</v>
      </c>
      <c r="AI29" s="35"/>
      <c r="AJ29" s="38"/>
      <c r="AK29" s="38"/>
      <c r="AL29" s="23"/>
      <c r="AM29" s="35">
        <f>VLOOKUP(Tabla4[[#This Row],[SERVICIO 2025]],$J$2:$V$14,5,0)*Tabla4[[#This Row],[TOTAL COBERTURA]]</f>
        <v>5282072</v>
      </c>
      <c r="AN29" s="35">
        <f>VLOOKUP(Tabla4[[#This Row],[SERVICIO 2025]],$J$2:$V$14,6,0)*Tabla4[[#This Row],[TOTAL COBERTURA]]</f>
        <v>4276033</v>
      </c>
      <c r="AO29" s="35">
        <f>VLOOKUP(Tabla4[[#This Row],[SERVICIO 2025]],$J$2:$V$14,8,0)*Tabla4[[#This Row],[TOTAL COBERTURA]]</f>
        <v>0</v>
      </c>
      <c r="AP29" s="35">
        <f>VLOOKUP(Tabla4[[#This Row],[SERVICIO 2025]],$J$2:$V$14,3,0)*Tabla4[[#This Row],[TOTAL COBERTURA]]*8</f>
        <v>162123360</v>
      </c>
      <c r="AQ29" s="35"/>
      <c r="AR29" s="35">
        <f>Tabla4[[#This Row],[VALOR FASE PREPARATORIA DE ALISTAMIENTO]]+Tabla4[[#This Row],[VALOR FASE PREPARATORIA DE CIERRE]]+Tabla4[[#This Row],[DOTACIÓN ÚNICA]]+Tabla4[[#This Row],[VALOR ATENCIÓN]]+Tabla4[[#This Row],[VALOR RACION PREPARADA]]</f>
        <v>171681465</v>
      </c>
      <c r="AS29" s="35" t="str">
        <f>+IF(Tabla4[[#This Row],[AGRUPACIONES]]=1,SUMIFS(Tabla4[VALOR TOTAL],Tabla4[ZONA DEFINITIVO],Tabla4[[#This Row],[ZONA DEFINITIVO]])," ")</f>
        <v xml:space="preserve"> </v>
      </c>
      <c r="AT29" s="27">
        <f>(VLOOKUP(Tabla4[[#This Row],[SERVICIO 2025]],$J$2:$V$14,3,0)*Tabla4[[#This Row],[TOTAL COBERTURA]])+Tabla4[[#This Row],[VALOR FASE PREPARATORIA DE ALISTAMIENTO]]+Tabla4[[#This Row],[DOTACIÓN ÚNICA]]</f>
        <v>25547492</v>
      </c>
      <c r="AU29" s="35">
        <f>(VLOOKUP(Tabla4[[#This Row],[SERVICIO 2025]],$J$2:$V$14,3,0)*Tabla4[[#This Row],[TOTAL COBERTURA]])</f>
        <v>20265420</v>
      </c>
      <c r="AV29" s="35">
        <f>(VLOOKUP(Tabla4[[#This Row],[SERVICIO 2025]],$J$2:$V$14,3,0)*Tabla4[[#This Row],[TOTAL COBERTURA]])</f>
        <v>20265420</v>
      </c>
      <c r="AW29" s="35">
        <f>(VLOOKUP(Tabla4[[#This Row],[SERVICIO 2025]],$J$2:$V$14,3,0)*Tabla4[[#This Row],[TOTAL COBERTURA]])</f>
        <v>20265420</v>
      </c>
      <c r="AX29" s="35">
        <f>(VLOOKUP(Tabla4[[#This Row],[SERVICIO 2025]],$J$2:$V$14,3,0)*Tabla4[[#This Row],[TOTAL COBERTURA]])</f>
        <v>20265420</v>
      </c>
      <c r="AY29" s="35">
        <f>(VLOOKUP(Tabla4[[#This Row],[SERVICIO 2025]],$J$2:$V$14,3,0)*Tabla4[[#This Row],[TOTAL COBERTURA]])</f>
        <v>20265420</v>
      </c>
      <c r="AZ29" s="35">
        <f>(VLOOKUP(Tabla4[[#This Row],[SERVICIO 2025]],$J$2:$V$14,3,0)*Tabla4[[#This Row],[TOTAL COBERTURA]])</f>
        <v>20265420</v>
      </c>
      <c r="BA29" s="35">
        <f>(VLOOKUP(Tabla4[[#This Row],[SERVICIO 2025]],$J$2:$V$14,3,0)*Tabla4[[#This Row],[TOTAL COBERTURA]])+Tabla4[[#This Row],[VALOR FASE PREPARATORIA DE CIERRE]]</f>
        <v>24541453</v>
      </c>
      <c r="BB29" s="35">
        <f>SUM(Tabla4[[#This Row],[DESEMBOLSO 1]:[DESEMBOLSO 8]])</f>
        <v>171681465</v>
      </c>
      <c r="BC29" s="35"/>
      <c r="BD29" s="47" t="s">
        <v>97</v>
      </c>
      <c r="BE29" s="12" t="b">
        <f>EXACT(Tabla4[[#This Row],[VALOR ATENCIÓN (8 MESES)]],Tabla4[[#This Row],[VALOR TOTAL]])</f>
        <v>1</v>
      </c>
      <c r="BF29" s="23">
        <f>Tabla4[[#This Row],[VALOR ATENCIÓN (8 MESES)]]-Tabla4[[#This Row],[VALOR TOTAL]]</f>
        <v>0</v>
      </c>
      <c r="BG29" s="12" t="b">
        <f>EXACT(Tabla4[[#This Row],[TOTAL DESEMBOLSOS]],Tabla4[[#This Row],[VALOR ATENCIÓN (8 MESES)]])</f>
        <v>1</v>
      </c>
      <c r="BH29" s="29">
        <f>Tabla4[[#This Row],[TOTAL DESEMBOLSOS]]-Tabla4[[#This Row],[VALOR ATENCIÓN (8 MESES)]]</f>
        <v>0</v>
      </c>
      <c r="BI29" t="s">
        <v>98</v>
      </c>
    </row>
    <row r="30" spans="1:62">
      <c r="A30" s="13">
        <v>1887</v>
      </c>
      <c r="B30" s="13" t="s">
        <v>86</v>
      </c>
      <c r="C30" s="12" t="s">
        <v>87</v>
      </c>
      <c r="D30" s="12" t="s">
        <v>88</v>
      </c>
      <c r="E30" s="12" t="s">
        <v>89</v>
      </c>
      <c r="F30" s="12" t="s">
        <v>21</v>
      </c>
      <c r="G30" s="12" t="s">
        <v>90</v>
      </c>
      <c r="H30" s="12" t="s">
        <v>117</v>
      </c>
      <c r="I30" s="12">
        <v>52121152146</v>
      </c>
      <c r="J30" s="12" t="s">
        <v>118</v>
      </c>
      <c r="K30" s="12">
        <v>1</v>
      </c>
      <c r="L30" s="12">
        <v>14</v>
      </c>
      <c r="M30" s="12"/>
      <c r="N30" s="13">
        <v>1887</v>
      </c>
      <c r="O30" s="12" t="s">
        <v>93</v>
      </c>
      <c r="P30" s="12"/>
      <c r="Q30" s="12"/>
      <c r="R30" s="12" t="s">
        <v>94</v>
      </c>
      <c r="S30" s="12">
        <v>10</v>
      </c>
      <c r="T30" s="12" t="s">
        <v>95</v>
      </c>
      <c r="U30" s="12" t="s">
        <v>96</v>
      </c>
      <c r="V30" s="12">
        <f>VLOOKUP(Tabla4[[#This Row],[ZONA DEFINITIVO]],Hoja1!$A$1:$D$121,3,0)</f>
        <v>228985</v>
      </c>
      <c r="W30" s="12">
        <f>VLOOKUP(Tabla4[[#This Row],[ZONA DEFINITIVO]],Hoja1!$A$1:$D$121,2,0)</f>
        <v>15146</v>
      </c>
      <c r="X30" s="12">
        <f>VLOOKUP(Tabla4[[#This Row],[ZONA DEFINITIVO]],Hoja1!$A$1:$D$121,4,0)</f>
        <v>90725</v>
      </c>
      <c r="Y30" s="12" t="str">
        <f>+IF(Tabla4[[#This Row],[AGRUPACIONES]]=1,SUMIFS(Tabla4[UDS],Tabla4[ZONA DEFINITIVO],Tabla4[[#This Row],[ZONA DEFINITIVO]])," ")</f>
        <v xml:space="preserve"> </v>
      </c>
      <c r="Z30" s="12" t="str">
        <f>+IF(Tabla4[[#This Row],[AGRUPACIONES]]=1,SUMIFS(Tabla4[TOTAL COBERTURA],Tabla4[ZONA DEFINITIVO],Tabla4[[#This Row],[ZONA DEFINITIVO]])," ")</f>
        <v xml:space="preserve"> </v>
      </c>
      <c r="AA30" s="12"/>
      <c r="AB30" s="38">
        <v>21270270</v>
      </c>
      <c r="AC30" s="37">
        <v>0.02</v>
      </c>
      <c r="AD30" s="38">
        <f t="shared" si="1"/>
        <v>425405.4</v>
      </c>
      <c r="AE30" s="12"/>
      <c r="AF30" s="12">
        <f>COUNTIF($A$20:A30,A30)</f>
        <v>11</v>
      </c>
      <c r="AG30" s="38">
        <v>21270270</v>
      </c>
      <c r="AH30" s="38">
        <f>Tabla4[[#This Row],[VALOR CONTRAPARTIDA]]+Tabla4[[#This Row],[TOTAL APORTES ICBF]]</f>
        <v>21695675.399999999</v>
      </c>
      <c r="AI30" s="35"/>
      <c r="AJ30" s="38"/>
      <c r="AK30" s="38"/>
      <c r="AL30" s="23"/>
      <c r="AM30" s="35">
        <f>VLOOKUP(Tabla4[[#This Row],[SERVICIO 2025]],$J$2:$V$14,5,0)*Tabla4[[#This Row],[TOTAL COBERTURA]]</f>
        <v>654416</v>
      </c>
      <c r="AN30" s="35">
        <f>VLOOKUP(Tabla4[[#This Row],[SERVICIO 2025]],$J$2:$V$14,6,0)*Tabla4[[#This Row],[TOTAL COBERTURA]]</f>
        <v>529774</v>
      </c>
      <c r="AO30" s="35">
        <f>VLOOKUP(Tabla4[[#This Row],[SERVICIO 2025]],$J$2:$V$14,8,0)*Tabla4[[#This Row],[TOTAL COBERTURA]]</f>
        <v>0</v>
      </c>
      <c r="AP30" s="35">
        <f>VLOOKUP(Tabla4[[#This Row],[SERVICIO 2025]],$J$2:$V$14,3,0)*Tabla4[[#This Row],[TOTAL COBERTURA]]*8</f>
        <v>20086080</v>
      </c>
      <c r="AQ30" s="35"/>
      <c r="AR30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30" s="35" t="str">
        <f>+IF(Tabla4[[#This Row],[AGRUPACIONES]]=1,SUMIFS(Tabla4[VALOR TOTAL],Tabla4[ZONA DEFINITIVO],Tabla4[[#This Row],[ZONA DEFINITIVO]])," ")</f>
        <v xml:space="preserve"> </v>
      </c>
      <c r="AT30" s="27">
        <f>(VLOOKUP(Tabla4[[#This Row],[SERVICIO 2025]],$J$2:$V$14,3,0)*Tabla4[[#This Row],[TOTAL COBERTURA]])+Tabla4[[#This Row],[VALOR FASE PREPARATORIA DE ALISTAMIENTO]]+Tabla4[[#This Row],[DOTACIÓN ÚNICA]]</f>
        <v>3165176</v>
      </c>
      <c r="AU30" s="35">
        <f>(VLOOKUP(Tabla4[[#This Row],[SERVICIO 2025]],$J$2:$V$14,3,0)*Tabla4[[#This Row],[TOTAL COBERTURA]])</f>
        <v>2510760</v>
      </c>
      <c r="AV30" s="35">
        <f>(VLOOKUP(Tabla4[[#This Row],[SERVICIO 2025]],$J$2:$V$14,3,0)*Tabla4[[#This Row],[TOTAL COBERTURA]])</f>
        <v>2510760</v>
      </c>
      <c r="AW30" s="35">
        <f>(VLOOKUP(Tabla4[[#This Row],[SERVICIO 2025]],$J$2:$V$14,3,0)*Tabla4[[#This Row],[TOTAL COBERTURA]])</f>
        <v>2510760</v>
      </c>
      <c r="AX30" s="35">
        <f>(VLOOKUP(Tabla4[[#This Row],[SERVICIO 2025]],$J$2:$V$14,3,0)*Tabla4[[#This Row],[TOTAL COBERTURA]])</f>
        <v>2510760</v>
      </c>
      <c r="AY30" s="35">
        <f>(VLOOKUP(Tabla4[[#This Row],[SERVICIO 2025]],$J$2:$V$14,3,0)*Tabla4[[#This Row],[TOTAL COBERTURA]])</f>
        <v>2510760</v>
      </c>
      <c r="AZ30" s="35">
        <f>(VLOOKUP(Tabla4[[#This Row],[SERVICIO 2025]],$J$2:$V$14,3,0)*Tabla4[[#This Row],[TOTAL COBERTURA]])</f>
        <v>2510760</v>
      </c>
      <c r="BA30" s="35">
        <f>(VLOOKUP(Tabla4[[#This Row],[SERVICIO 2025]],$J$2:$V$14,3,0)*Tabla4[[#This Row],[TOTAL COBERTURA]])+Tabla4[[#This Row],[VALOR FASE PREPARATORIA DE CIERRE]]</f>
        <v>3040534</v>
      </c>
      <c r="BB30" s="35">
        <f>SUM(Tabla4[[#This Row],[DESEMBOLSO 1]:[DESEMBOLSO 8]])</f>
        <v>21270270</v>
      </c>
      <c r="BC30" s="35"/>
      <c r="BD30" s="47" t="s">
        <v>97</v>
      </c>
      <c r="BE30" s="12" t="b">
        <f>EXACT(Tabla4[[#This Row],[VALOR ATENCIÓN (8 MESES)]],Tabla4[[#This Row],[VALOR TOTAL]])</f>
        <v>1</v>
      </c>
      <c r="BF30" s="23">
        <f>Tabla4[[#This Row],[VALOR ATENCIÓN (8 MESES)]]-Tabla4[[#This Row],[VALOR TOTAL]]</f>
        <v>0</v>
      </c>
      <c r="BG30" s="12" t="b">
        <f>EXACT(Tabla4[[#This Row],[TOTAL DESEMBOLSOS]],Tabla4[[#This Row],[VALOR ATENCIÓN (8 MESES)]])</f>
        <v>1</v>
      </c>
      <c r="BH30" s="29">
        <f>Tabla4[[#This Row],[TOTAL DESEMBOLSOS]]-Tabla4[[#This Row],[VALOR ATENCIÓN (8 MESES)]]</f>
        <v>0</v>
      </c>
      <c r="BI30" t="s">
        <v>98</v>
      </c>
    </row>
    <row r="31" spans="1:62">
      <c r="A31" s="13">
        <v>1887</v>
      </c>
      <c r="B31" s="13" t="s">
        <v>86</v>
      </c>
      <c r="C31" s="12" t="s">
        <v>87</v>
      </c>
      <c r="D31" s="12" t="s">
        <v>88</v>
      </c>
      <c r="E31" s="12" t="s">
        <v>89</v>
      </c>
      <c r="F31" s="12" t="s">
        <v>21</v>
      </c>
      <c r="G31" s="12" t="s">
        <v>90</v>
      </c>
      <c r="H31" s="12" t="s">
        <v>119</v>
      </c>
      <c r="I31" s="12">
        <v>52121152813</v>
      </c>
      <c r="J31" s="12" t="s">
        <v>120</v>
      </c>
      <c r="K31" s="12">
        <v>1</v>
      </c>
      <c r="L31" s="12">
        <v>10</v>
      </c>
      <c r="M31" s="12"/>
      <c r="N31" s="13">
        <v>1887</v>
      </c>
      <c r="O31" s="12" t="s">
        <v>93</v>
      </c>
      <c r="P31" s="12"/>
      <c r="Q31" s="12"/>
      <c r="R31" s="12" t="s">
        <v>94</v>
      </c>
      <c r="S31" s="12">
        <v>10</v>
      </c>
      <c r="T31" s="12" t="s">
        <v>95</v>
      </c>
      <c r="U31" s="12" t="s">
        <v>96</v>
      </c>
      <c r="V31" s="12">
        <f>VLOOKUP(Tabla4[[#This Row],[ZONA DEFINITIVO]],Hoja1!$A$1:$D$121,3,0)</f>
        <v>228985</v>
      </c>
      <c r="W31" s="12">
        <f>VLOOKUP(Tabla4[[#This Row],[ZONA DEFINITIVO]],Hoja1!$A$1:$D$121,2,0)</f>
        <v>15146</v>
      </c>
      <c r="X31" s="12">
        <f>VLOOKUP(Tabla4[[#This Row],[ZONA DEFINITIVO]],Hoja1!$A$1:$D$121,4,0)</f>
        <v>90725</v>
      </c>
      <c r="Y31" s="12" t="str">
        <f>+IF(Tabla4[[#This Row],[AGRUPACIONES]]=1,SUMIFS(Tabla4[UDS],Tabla4[ZONA DEFINITIVO],Tabla4[[#This Row],[ZONA DEFINITIVO]])," ")</f>
        <v xml:space="preserve"> </v>
      </c>
      <c r="Z31" s="12" t="str">
        <f>+IF(Tabla4[[#This Row],[AGRUPACIONES]]=1,SUMIFS(Tabla4[TOTAL COBERTURA],Tabla4[ZONA DEFINITIVO],Tabla4[[#This Row],[ZONA DEFINITIVO]])," ")</f>
        <v xml:space="preserve"> </v>
      </c>
      <c r="AA31" s="12"/>
      <c r="AB31" s="38">
        <v>15193050</v>
      </c>
      <c r="AC31" s="37">
        <v>0.02</v>
      </c>
      <c r="AD31" s="38">
        <f t="shared" si="1"/>
        <v>303861</v>
      </c>
      <c r="AE31" s="12"/>
      <c r="AF31" s="12">
        <f>COUNTIF($A$20:A31,A31)</f>
        <v>12</v>
      </c>
      <c r="AG31" s="38">
        <v>15193050</v>
      </c>
      <c r="AH31" s="38">
        <f>Tabla4[[#This Row],[VALOR CONTRAPARTIDA]]+Tabla4[[#This Row],[TOTAL APORTES ICBF]]</f>
        <v>15496911</v>
      </c>
      <c r="AI31" s="35"/>
      <c r="AJ31" s="38"/>
      <c r="AK31" s="38"/>
      <c r="AL31" s="23"/>
      <c r="AM31" s="35">
        <f>VLOOKUP(Tabla4[[#This Row],[SERVICIO 2025]],$J$2:$V$14,5,0)*Tabla4[[#This Row],[TOTAL COBERTURA]]</f>
        <v>467440</v>
      </c>
      <c r="AN31" s="35">
        <f>VLOOKUP(Tabla4[[#This Row],[SERVICIO 2025]],$J$2:$V$14,6,0)*Tabla4[[#This Row],[TOTAL COBERTURA]]</f>
        <v>378410</v>
      </c>
      <c r="AO31" s="35">
        <f>VLOOKUP(Tabla4[[#This Row],[SERVICIO 2025]],$J$2:$V$14,8,0)*Tabla4[[#This Row],[TOTAL COBERTURA]]</f>
        <v>0</v>
      </c>
      <c r="AP31" s="35">
        <f>VLOOKUP(Tabla4[[#This Row],[SERVICIO 2025]],$J$2:$V$14,3,0)*Tabla4[[#This Row],[TOTAL COBERTURA]]*8</f>
        <v>14347200</v>
      </c>
      <c r="AQ31" s="35"/>
      <c r="AR31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31" s="35" t="str">
        <f>+IF(Tabla4[[#This Row],[AGRUPACIONES]]=1,SUMIFS(Tabla4[VALOR TOTAL],Tabla4[ZONA DEFINITIVO],Tabla4[[#This Row],[ZONA DEFINITIVO]])," ")</f>
        <v xml:space="preserve"> </v>
      </c>
      <c r="AT31" s="27">
        <f>(VLOOKUP(Tabla4[[#This Row],[SERVICIO 2025]],$J$2:$V$14,3,0)*Tabla4[[#This Row],[TOTAL COBERTURA]])+Tabla4[[#This Row],[VALOR FASE PREPARATORIA DE ALISTAMIENTO]]+Tabla4[[#This Row],[DOTACIÓN ÚNICA]]</f>
        <v>2260840</v>
      </c>
      <c r="AU31" s="35">
        <f>(VLOOKUP(Tabla4[[#This Row],[SERVICIO 2025]],$J$2:$V$14,3,0)*Tabla4[[#This Row],[TOTAL COBERTURA]])</f>
        <v>1793400</v>
      </c>
      <c r="AV31" s="35">
        <f>(VLOOKUP(Tabla4[[#This Row],[SERVICIO 2025]],$J$2:$V$14,3,0)*Tabla4[[#This Row],[TOTAL COBERTURA]])</f>
        <v>1793400</v>
      </c>
      <c r="AW31" s="35">
        <f>(VLOOKUP(Tabla4[[#This Row],[SERVICIO 2025]],$J$2:$V$14,3,0)*Tabla4[[#This Row],[TOTAL COBERTURA]])</f>
        <v>1793400</v>
      </c>
      <c r="AX31" s="35">
        <f>(VLOOKUP(Tabla4[[#This Row],[SERVICIO 2025]],$J$2:$V$14,3,0)*Tabla4[[#This Row],[TOTAL COBERTURA]])</f>
        <v>1793400</v>
      </c>
      <c r="AY31" s="35">
        <f>(VLOOKUP(Tabla4[[#This Row],[SERVICIO 2025]],$J$2:$V$14,3,0)*Tabla4[[#This Row],[TOTAL COBERTURA]])</f>
        <v>1793400</v>
      </c>
      <c r="AZ31" s="35">
        <f>(VLOOKUP(Tabla4[[#This Row],[SERVICIO 2025]],$J$2:$V$14,3,0)*Tabla4[[#This Row],[TOTAL COBERTURA]])</f>
        <v>1793400</v>
      </c>
      <c r="BA31" s="35">
        <f>(VLOOKUP(Tabla4[[#This Row],[SERVICIO 2025]],$J$2:$V$14,3,0)*Tabla4[[#This Row],[TOTAL COBERTURA]])+Tabla4[[#This Row],[VALOR FASE PREPARATORIA DE CIERRE]]</f>
        <v>2171810</v>
      </c>
      <c r="BB31" s="35">
        <f>SUM(Tabla4[[#This Row],[DESEMBOLSO 1]:[DESEMBOLSO 8]])</f>
        <v>15193050</v>
      </c>
      <c r="BC31" s="35"/>
      <c r="BD31" s="47" t="s">
        <v>97</v>
      </c>
      <c r="BE31" s="12" t="b">
        <f>EXACT(Tabla4[[#This Row],[VALOR ATENCIÓN (8 MESES)]],Tabla4[[#This Row],[VALOR TOTAL]])</f>
        <v>1</v>
      </c>
      <c r="BF31" s="23">
        <f>Tabla4[[#This Row],[VALOR ATENCIÓN (8 MESES)]]-Tabla4[[#This Row],[VALOR TOTAL]]</f>
        <v>0</v>
      </c>
      <c r="BG31" s="12" t="b">
        <f>EXACT(Tabla4[[#This Row],[TOTAL DESEMBOLSOS]],Tabla4[[#This Row],[VALOR ATENCIÓN (8 MESES)]])</f>
        <v>1</v>
      </c>
      <c r="BH31" s="29">
        <f>Tabla4[[#This Row],[TOTAL DESEMBOLSOS]]-Tabla4[[#This Row],[VALOR ATENCIÓN (8 MESES)]]</f>
        <v>0</v>
      </c>
      <c r="BI31" t="s">
        <v>98</v>
      </c>
    </row>
    <row r="32" spans="1:62">
      <c r="A32" s="13">
        <v>1887</v>
      </c>
      <c r="B32" s="13" t="s">
        <v>86</v>
      </c>
      <c r="C32" s="12" t="s">
        <v>87</v>
      </c>
      <c r="D32" s="12" t="s">
        <v>88</v>
      </c>
      <c r="E32" s="12" t="s">
        <v>89</v>
      </c>
      <c r="F32" s="12" t="s">
        <v>21</v>
      </c>
      <c r="G32" s="12" t="s">
        <v>90</v>
      </c>
      <c r="H32" s="12" t="s">
        <v>121</v>
      </c>
      <c r="I32" s="12">
        <v>52121155788</v>
      </c>
      <c r="J32" s="12" t="s">
        <v>122</v>
      </c>
      <c r="K32" s="12">
        <v>1</v>
      </c>
      <c r="L32" s="12">
        <v>46</v>
      </c>
      <c r="M32" s="12"/>
      <c r="N32" s="13">
        <v>1887</v>
      </c>
      <c r="O32" s="12" t="s">
        <v>93</v>
      </c>
      <c r="P32" s="12"/>
      <c r="Q32" s="12"/>
      <c r="R32" s="12" t="s">
        <v>94</v>
      </c>
      <c r="S32" s="12">
        <v>10</v>
      </c>
      <c r="T32" s="12" t="s">
        <v>95</v>
      </c>
      <c r="U32" s="12" t="s">
        <v>96</v>
      </c>
      <c r="V32" s="12">
        <f>VLOOKUP(Tabla4[[#This Row],[ZONA DEFINITIVO]],Hoja1!$A$1:$D$121,3,0)</f>
        <v>228985</v>
      </c>
      <c r="W32" s="12">
        <f>VLOOKUP(Tabla4[[#This Row],[ZONA DEFINITIVO]],Hoja1!$A$1:$D$121,2,0)</f>
        <v>15146</v>
      </c>
      <c r="X32" s="12">
        <f>VLOOKUP(Tabla4[[#This Row],[ZONA DEFINITIVO]],Hoja1!$A$1:$D$121,4,0)</f>
        <v>90725</v>
      </c>
      <c r="Y32" s="12" t="str">
        <f>+IF(Tabla4[[#This Row],[AGRUPACIONES]]=1,SUMIFS(Tabla4[UDS],Tabla4[ZONA DEFINITIVO],Tabla4[[#This Row],[ZONA DEFINITIVO]])," ")</f>
        <v xml:space="preserve"> </v>
      </c>
      <c r="Z32" s="12" t="str">
        <f>+IF(Tabla4[[#This Row],[AGRUPACIONES]]=1,SUMIFS(Tabla4[TOTAL COBERTURA],Tabla4[ZONA DEFINITIVO],Tabla4[[#This Row],[ZONA DEFINITIVO]])," ")</f>
        <v xml:space="preserve"> </v>
      </c>
      <c r="AA32" s="12"/>
      <c r="AB32" s="38">
        <v>69888030</v>
      </c>
      <c r="AC32" s="37">
        <v>0.02</v>
      </c>
      <c r="AD32" s="38">
        <f t="shared" si="1"/>
        <v>1397760.6</v>
      </c>
      <c r="AE32" s="12"/>
      <c r="AF32" s="12">
        <f>COUNTIF($A$20:A32,A32)</f>
        <v>13</v>
      </c>
      <c r="AG32" s="38">
        <v>69888030</v>
      </c>
      <c r="AH32" s="38">
        <f>Tabla4[[#This Row],[VALOR CONTRAPARTIDA]]+Tabla4[[#This Row],[TOTAL APORTES ICBF]]</f>
        <v>71285790.599999994</v>
      </c>
      <c r="AI32" s="35"/>
      <c r="AJ32" s="38"/>
      <c r="AK32" s="38"/>
      <c r="AL32" s="23"/>
      <c r="AM32" s="35">
        <f>VLOOKUP(Tabla4[[#This Row],[SERVICIO 2025]],$J$2:$V$14,5,0)*Tabla4[[#This Row],[TOTAL COBERTURA]]</f>
        <v>2150224</v>
      </c>
      <c r="AN32" s="35">
        <f>VLOOKUP(Tabla4[[#This Row],[SERVICIO 2025]],$J$2:$V$14,6,0)*Tabla4[[#This Row],[TOTAL COBERTURA]]</f>
        <v>1740686</v>
      </c>
      <c r="AO32" s="35">
        <f>VLOOKUP(Tabla4[[#This Row],[SERVICIO 2025]],$J$2:$V$14,8,0)*Tabla4[[#This Row],[TOTAL COBERTURA]]</f>
        <v>0</v>
      </c>
      <c r="AP32" s="35">
        <f>VLOOKUP(Tabla4[[#This Row],[SERVICIO 2025]],$J$2:$V$14,3,0)*Tabla4[[#This Row],[TOTAL COBERTURA]]*8</f>
        <v>65997120</v>
      </c>
      <c r="AQ32" s="35"/>
      <c r="AR32" s="35">
        <f>Tabla4[[#This Row],[VALOR FASE PREPARATORIA DE ALISTAMIENTO]]+Tabla4[[#This Row],[VALOR FASE PREPARATORIA DE CIERRE]]+Tabla4[[#This Row],[DOTACIÓN ÚNICA]]+Tabla4[[#This Row],[VALOR ATENCIÓN]]+Tabla4[[#This Row],[VALOR RACION PREPARADA]]</f>
        <v>69888030</v>
      </c>
      <c r="AS32" s="35" t="str">
        <f>+IF(Tabla4[[#This Row],[AGRUPACIONES]]=1,SUMIFS(Tabla4[VALOR TOTAL],Tabla4[ZONA DEFINITIVO],Tabla4[[#This Row],[ZONA DEFINITIVO]])," ")</f>
        <v xml:space="preserve"> </v>
      </c>
      <c r="AT32" s="27">
        <f>(VLOOKUP(Tabla4[[#This Row],[SERVICIO 2025]],$J$2:$V$14,3,0)*Tabla4[[#This Row],[TOTAL COBERTURA]])+Tabla4[[#This Row],[VALOR FASE PREPARATORIA DE ALISTAMIENTO]]+Tabla4[[#This Row],[DOTACIÓN ÚNICA]]</f>
        <v>10399864</v>
      </c>
      <c r="AU32" s="35">
        <f>(VLOOKUP(Tabla4[[#This Row],[SERVICIO 2025]],$J$2:$V$14,3,0)*Tabla4[[#This Row],[TOTAL COBERTURA]])</f>
        <v>8249640</v>
      </c>
      <c r="AV32" s="35">
        <f>(VLOOKUP(Tabla4[[#This Row],[SERVICIO 2025]],$J$2:$V$14,3,0)*Tabla4[[#This Row],[TOTAL COBERTURA]])</f>
        <v>8249640</v>
      </c>
      <c r="AW32" s="35">
        <f>(VLOOKUP(Tabla4[[#This Row],[SERVICIO 2025]],$J$2:$V$14,3,0)*Tabla4[[#This Row],[TOTAL COBERTURA]])</f>
        <v>8249640</v>
      </c>
      <c r="AX32" s="35">
        <f>(VLOOKUP(Tabla4[[#This Row],[SERVICIO 2025]],$J$2:$V$14,3,0)*Tabla4[[#This Row],[TOTAL COBERTURA]])</f>
        <v>8249640</v>
      </c>
      <c r="AY32" s="35">
        <f>(VLOOKUP(Tabla4[[#This Row],[SERVICIO 2025]],$J$2:$V$14,3,0)*Tabla4[[#This Row],[TOTAL COBERTURA]])</f>
        <v>8249640</v>
      </c>
      <c r="AZ32" s="35">
        <f>(VLOOKUP(Tabla4[[#This Row],[SERVICIO 2025]],$J$2:$V$14,3,0)*Tabla4[[#This Row],[TOTAL COBERTURA]])</f>
        <v>8249640</v>
      </c>
      <c r="BA32" s="35">
        <f>(VLOOKUP(Tabla4[[#This Row],[SERVICIO 2025]],$J$2:$V$14,3,0)*Tabla4[[#This Row],[TOTAL COBERTURA]])+Tabla4[[#This Row],[VALOR FASE PREPARATORIA DE CIERRE]]</f>
        <v>9990326</v>
      </c>
      <c r="BB32" s="35">
        <f>SUM(Tabla4[[#This Row],[DESEMBOLSO 1]:[DESEMBOLSO 8]])</f>
        <v>69888030</v>
      </c>
      <c r="BC32" s="35"/>
      <c r="BD32" s="47" t="s">
        <v>97</v>
      </c>
      <c r="BE32" s="12" t="b">
        <f>EXACT(Tabla4[[#This Row],[VALOR ATENCIÓN (8 MESES)]],Tabla4[[#This Row],[VALOR TOTAL]])</f>
        <v>1</v>
      </c>
      <c r="BF32" s="23">
        <f>Tabla4[[#This Row],[VALOR ATENCIÓN (8 MESES)]]-Tabla4[[#This Row],[VALOR TOTAL]]</f>
        <v>0</v>
      </c>
      <c r="BG32" s="12" t="b">
        <f>EXACT(Tabla4[[#This Row],[TOTAL DESEMBOLSOS]],Tabla4[[#This Row],[VALOR ATENCIÓN (8 MESES)]])</f>
        <v>1</v>
      </c>
      <c r="BH32" s="29">
        <f>Tabla4[[#This Row],[TOTAL DESEMBOLSOS]]-Tabla4[[#This Row],[VALOR ATENCIÓN (8 MESES)]]</f>
        <v>0</v>
      </c>
      <c r="BI32" t="s">
        <v>98</v>
      </c>
    </row>
    <row r="33" spans="1:61">
      <c r="A33" s="13">
        <v>1887</v>
      </c>
      <c r="B33" s="13" t="s">
        <v>86</v>
      </c>
      <c r="C33" s="12" t="s">
        <v>87</v>
      </c>
      <c r="D33" s="12" t="s">
        <v>88</v>
      </c>
      <c r="E33" s="12" t="s">
        <v>89</v>
      </c>
      <c r="F33" s="12" t="s">
        <v>21</v>
      </c>
      <c r="G33" s="12" t="s">
        <v>90</v>
      </c>
      <c r="H33" s="12" t="s">
        <v>123</v>
      </c>
      <c r="I33" s="12">
        <v>52121155789</v>
      </c>
      <c r="J33" s="12" t="s">
        <v>124</v>
      </c>
      <c r="K33" s="12">
        <v>1</v>
      </c>
      <c r="L33" s="12">
        <v>37</v>
      </c>
      <c r="M33" s="12"/>
      <c r="N33" s="13">
        <v>1887</v>
      </c>
      <c r="O33" s="12" t="s">
        <v>93</v>
      </c>
      <c r="P33" s="12"/>
      <c r="Q33" s="12"/>
      <c r="R33" s="12" t="s">
        <v>94</v>
      </c>
      <c r="S33" s="12">
        <v>10</v>
      </c>
      <c r="T33" s="12" t="s">
        <v>95</v>
      </c>
      <c r="U33" s="12" t="s">
        <v>96</v>
      </c>
      <c r="V33" s="12">
        <f>VLOOKUP(Tabla4[[#This Row],[ZONA DEFINITIVO]],Hoja1!$A$1:$D$121,3,0)</f>
        <v>228985</v>
      </c>
      <c r="W33" s="12">
        <f>VLOOKUP(Tabla4[[#This Row],[ZONA DEFINITIVO]],Hoja1!$A$1:$D$121,2,0)</f>
        <v>15146</v>
      </c>
      <c r="X33" s="12">
        <f>VLOOKUP(Tabla4[[#This Row],[ZONA DEFINITIVO]],Hoja1!$A$1:$D$121,4,0)</f>
        <v>90725</v>
      </c>
      <c r="Y33" s="12" t="str">
        <f>+IF(Tabla4[[#This Row],[AGRUPACIONES]]=1,SUMIFS(Tabla4[UDS],Tabla4[ZONA DEFINITIVO],Tabla4[[#This Row],[ZONA DEFINITIVO]])," ")</f>
        <v xml:space="preserve"> </v>
      </c>
      <c r="Z33" s="12" t="str">
        <f>+IF(Tabla4[[#This Row],[AGRUPACIONES]]=1,SUMIFS(Tabla4[TOTAL COBERTURA],Tabla4[ZONA DEFINITIVO],Tabla4[[#This Row],[ZONA DEFINITIVO]])," ")</f>
        <v xml:space="preserve"> </v>
      </c>
      <c r="AA33" s="12"/>
      <c r="AB33" s="38">
        <v>56214285</v>
      </c>
      <c r="AC33" s="37">
        <v>0.02</v>
      </c>
      <c r="AD33" s="38">
        <f t="shared" si="1"/>
        <v>1124285.7</v>
      </c>
      <c r="AE33" s="12"/>
      <c r="AF33" s="12">
        <f>COUNTIF($A$20:A33,A33)</f>
        <v>14</v>
      </c>
      <c r="AG33" s="38">
        <v>56214285</v>
      </c>
      <c r="AH33" s="38">
        <f>Tabla4[[#This Row],[VALOR CONTRAPARTIDA]]+Tabla4[[#This Row],[TOTAL APORTES ICBF]]</f>
        <v>57338570.700000003</v>
      </c>
      <c r="AI33" s="35"/>
      <c r="AJ33" s="38"/>
      <c r="AK33" s="38"/>
      <c r="AL33" s="23"/>
      <c r="AM33" s="35">
        <f>VLOOKUP(Tabla4[[#This Row],[SERVICIO 2025]],$J$2:$V$14,5,0)*Tabla4[[#This Row],[TOTAL COBERTURA]]</f>
        <v>1729528</v>
      </c>
      <c r="AN33" s="35">
        <f>VLOOKUP(Tabla4[[#This Row],[SERVICIO 2025]],$J$2:$V$14,6,0)*Tabla4[[#This Row],[TOTAL COBERTURA]]</f>
        <v>1400117</v>
      </c>
      <c r="AO33" s="35">
        <f>VLOOKUP(Tabla4[[#This Row],[SERVICIO 2025]],$J$2:$V$14,8,0)*Tabla4[[#This Row],[TOTAL COBERTURA]]</f>
        <v>0</v>
      </c>
      <c r="AP33" s="35">
        <f>VLOOKUP(Tabla4[[#This Row],[SERVICIO 2025]],$J$2:$V$14,3,0)*Tabla4[[#This Row],[TOTAL COBERTURA]]*8</f>
        <v>53084640</v>
      </c>
      <c r="AQ33" s="35"/>
      <c r="AR33" s="35">
        <f>Tabla4[[#This Row],[VALOR FASE PREPARATORIA DE ALISTAMIENTO]]+Tabla4[[#This Row],[VALOR FASE PREPARATORIA DE CIERRE]]+Tabla4[[#This Row],[DOTACIÓN ÚNICA]]+Tabla4[[#This Row],[VALOR ATENCIÓN]]+Tabla4[[#This Row],[VALOR RACION PREPARADA]]</f>
        <v>56214285</v>
      </c>
      <c r="AS33" s="35" t="str">
        <f>+IF(Tabla4[[#This Row],[AGRUPACIONES]]=1,SUMIFS(Tabla4[VALOR TOTAL],Tabla4[ZONA DEFINITIVO],Tabla4[[#This Row],[ZONA DEFINITIVO]])," ")</f>
        <v xml:space="preserve"> </v>
      </c>
      <c r="AT33" s="27">
        <f>(VLOOKUP(Tabla4[[#This Row],[SERVICIO 2025]],$J$2:$V$14,3,0)*Tabla4[[#This Row],[TOTAL COBERTURA]])+Tabla4[[#This Row],[VALOR FASE PREPARATORIA DE ALISTAMIENTO]]+Tabla4[[#This Row],[DOTACIÓN ÚNICA]]</f>
        <v>8365108</v>
      </c>
      <c r="AU33" s="35">
        <f>(VLOOKUP(Tabla4[[#This Row],[SERVICIO 2025]],$J$2:$V$14,3,0)*Tabla4[[#This Row],[TOTAL COBERTURA]])</f>
        <v>6635580</v>
      </c>
      <c r="AV33" s="35">
        <f>(VLOOKUP(Tabla4[[#This Row],[SERVICIO 2025]],$J$2:$V$14,3,0)*Tabla4[[#This Row],[TOTAL COBERTURA]])</f>
        <v>6635580</v>
      </c>
      <c r="AW33" s="35">
        <f>(VLOOKUP(Tabla4[[#This Row],[SERVICIO 2025]],$J$2:$V$14,3,0)*Tabla4[[#This Row],[TOTAL COBERTURA]])</f>
        <v>6635580</v>
      </c>
      <c r="AX33" s="35">
        <f>(VLOOKUP(Tabla4[[#This Row],[SERVICIO 2025]],$J$2:$V$14,3,0)*Tabla4[[#This Row],[TOTAL COBERTURA]])</f>
        <v>6635580</v>
      </c>
      <c r="AY33" s="35">
        <f>(VLOOKUP(Tabla4[[#This Row],[SERVICIO 2025]],$J$2:$V$14,3,0)*Tabla4[[#This Row],[TOTAL COBERTURA]])</f>
        <v>6635580</v>
      </c>
      <c r="AZ33" s="35">
        <f>(VLOOKUP(Tabla4[[#This Row],[SERVICIO 2025]],$J$2:$V$14,3,0)*Tabla4[[#This Row],[TOTAL COBERTURA]])</f>
        <v>6635580</v>
      </c>
      <c r="BA33" s="35">
        <f>(VLOOKUP(Tabla4[[#This Row],[SERVICIO 2025]],$J$2:$V$14,3,0)*Tabla4[[#This Row],[TOTAL COBERTURA]])+Tabla4[[#This Row],[VALOR FASE PREPARATORIA DE CIERRE]]</f>
        <v>8035697</v>
      </c>
      <c r="BB33" s="35">
        <f>SUM(Tabla4[[#This Row],[DESEMBOLSO 1]:[DESEMBOLSO 8]])</f>
        <v>56214285</v>
      </c>
      <c r="BC33" s="35"/>
      <c r="BD33" s="47" t="s">
        <v>97</v>
      </c>
      <c r="BE33" s="12" t="b">
        <f>EXACT(Tabla4[[#This Row],[VALOR ATENCIÓN (8 MESES)]],Tabla4[[#This Row],[VALOR TOTAL]])</f>
        <v>1</v>
      </c>
      <c r="BF33" s="23">
        <f>Tabla4[[#This Row],[VALOR ATENCIÓN (8 MESES)]]-Tabla4[[#This Row],[VALOR TOTAL]]</f>
        <v>0</v>
      </c>
      <c r="BG33" s="12" t="b">
        <f>EXACT(Tabla4[[#This Row],[TOTAL DESEMBOLSOS]],Tabla4[[#This Row],[VALOR ATENCIÓN (8 MESES)]])</f>
        <v>1</v>
      </c>
      <c r="BH33" s="29">
        <f>Tabla4[[#This Row],[TOTAL DESEMBOLSOS]]-Tabla4[[#This Row],[VALOR ATENCIÓN (8 MESES)]]</f>
        <v>0</v>
      </c>
      <c r="BI33" t="s">
        <v>98</v>
      </c>
    </row>
    <row r="34" spans="1:61">
      <c r="A34" s="13">
        <v>1887</v>
      </c>
      <c r="B34" s="13" t="s">
        <v>86</v>
      </c>
      <c r="C34" s="12" t="s">
        <v>87</v>
      </c>
      <c r="D34" s="12" t="s">
        <v>88</v>
      </c>
      <c r="E34" s="12" t="s">
        <v>89</v>
      </c>
      <c r="F34" s="12" t="s">
        <v>14</v>
      </c>
      <c r="G34" s="12" t="s">
        <v>90</v>
      </c>
      <c r="H34" s="12" t="s">
        <v>125</v>
      </c>
      <c r="I34" s="48" t="s">
        <v>126</v>
      </c>
      <c r="J34" s="12" t="s">
        <v>127</v>
      </c>
      <c r="K34" s="12">
        <v>1</v>
      </c>
      <c r="L34" s="12">
        <v>185</v>
      </c>
      <c r="M34" s="12"/>
      <c r="N34" s="13">
        <v>1887</v>
      </c>
      <c r="O34" s="12" t="s">
        <v>93</v>
      </c>
      <c r="P34" s="12"/>
      <c r="Q34" s="12"/>
      <c r="R34" s="12" t="s">
        <v>94</v>
      </c>
      <c r="S34" s="12">
        <v>10</v>
      </c>
      <c r="T34" s="12" t="s">
        <v>95</v>
      </c>
      <c r="U34" s="12" t="s">
        <v>96</v>
      </c>
      <c r="V34" s="12">
        <f>VLOOKUP(Tabla4[[#This Row],[ZONA DEFINITIVO]],Hoja1!$A$1:$D$121,3,0)</f>
        <v>228985</v>
      </c>
      <c r="W34" s="12">
        <f>VLOOKUP(Tabla4[[#This Row],[ZONA DEFINITIVO]],Hoja1!$A$1:$D$121,2,0)</f>
        <v>15146</v>
      </c>
      <c r="X34" s="12">
        <f>VLOOKUP(Tabla4[[#This Row],[ZONA DEFINITIVO]],Hoja1!$A$1:$D$121,4,0)</f>
        <v>90725</v>
      </c>
      <c r="Y34" s="12" t="str">
        <f>+IF(Tabla4[[#This Row],[AGRUPACIONES]]=1,SUMIFS(Tabla4[UDS],Tabla4[ZONA DEFINITIVO],Tabla4[[#This Row],[ZONA DEFINITIVO]])," ")</f>
        <v xml:space="preserve"> </v>
      </c>
      <c r="Z34" s="12" t="str">
        <f>+IF(Tabla4[[#This Row],[AGRUPACIONES]]=1,SUMIFS(Tabla4[TOTAL COBERTURA],Tabla4[ZONA DEFINITIVO],Tabla4[[#This Row],[ZONA DEFINITIVO]])," ")</f>
        <v xml:space="preserve"> </v>
      </c>
      <c r="AA34" s="12"/>
      <c r="AB34" s="38">
        <v>774937250</v>
      </c>
      <c r="AC34" s="37">
        <v>0.02</v>
      </c>
      <c r="AD34" s="38">
        <f t="shared" si="1"/>
        <v>15498745</v>
      </c>
      <c r="AE34" s="12"/>
      <c r="AF34" s="12">
        <f>COUNTIF($A$20:A34,A34)</f>
        <v>15</v>
      </c>
      <c r="AG34" s="38">
        <v>774937250</v>
      </c>
      <c r="AH34" s="38">
        <f>Tabla4[[#This Row],[VALOR CONTRAPARTIDA]]+Tabla4[[#This Row],[TOTAL APORTES ICBF]]</f>
        <v>790435995</v>
      </c>
      <c r="AI34" s="35"/>
      <c r="AJ34" s="38"/>
      <c r="AK34" s="38"/>
      <c r="AL34" s="23"/>
      <c r="AM34" s="35">
        <f>VLOOKUP(Tabla4[[#This Row],[SERVICIO 2025]],$J$2:$V$14,5,0)*Tabla4[[#This Row],[TOTAL COBERTURA]]</f>
        <v>16306455</v>
      </c>
      <c r="AN34" s="35">
        <f>VLOOKUP(Tabla4[[#This Row],[SERVICIO 2025]],$J$2:$V$14,6,0)*Tabla4[[#This Row],[TOTAL COBERTURA]]</f>
        <v>13882955</v>
      </c>
      <c r="AO34" s="35">
        <f>VLOOKUP(Tabla4[[#This Row],[SERVICIO 2025]],$J$2:$V$14,8,0)*Tabla4[[#This Row],[TOTAL COBERTURA]]</f>
        <v>0</v>
      </c>
      <c r="AP34" s="35">
        <f>VLOOKUP(Tabla4[[#This Row],[SERVICIO 2025]],$J$2:$V$14,3,0)*Tabla4[[#This Row],[TOTAL COBERTURA]]*8</f>
        <v>744747840</v>
      </c>
      <c r="AQ34" s="35"/>
      <c r="AR34" s="35">
        <f>Tabla4[[#This Row],[VALOR FASE PREPARATORIA DE ALISTAMIENTO]]+Tabla4[[#This Row],[VALOR FASE PREPARATORIA DE CIERRE]]+Tabla4[[#This Row],[DOTACIÓN ÚNICA]]+Tabla4[[#This Row],[VALOR ATENCIÓN]]+Tabla4[[#This Row],[VALOR RACION PREPARADA]]</f>
        <v>774937250</v>
      </c>
      <c r="AS34" s="35" t="str">
        <f>+IF(Tabla4[[#This Row],[AGRUPACIONES]]=1,SUMIFS(Tabla4[VALOR TOTAL],Tabla4[ZONA DEFINITIVO],Tabla4[[#This Row],[ZONA DEFINITIVO]])," ")</f>
        <v xml:space="preserve"> </v>
      </c>
      <c r="AT34" s="27">
        <f>(VLOOKUP(Tabla4[[#This Row],[SERVICIO 2025]],$J$2:$V$14,3,0)*Tabla4[[#This Row],[TOTAL COBERTURA]])+Tabla4[[#This Row],[VALOR FASE PREPARATORIA DE ALISTAMIENTO]]+Tabla4[[#This Row],[DOTACIÓN ÚNICA]]</f>
        <v>109399935</v>
      </c>
      <c r="AU34" s="35">
        <f>(VLOOKUP(Tabla4[[#This Row],[SERVICIO 2025]],$J$2:$V$14,3,0)*Tabla4[[#This Row],[TOTAL COBERTURA]])</f>
        <v>93093480</v>
      </c>
      <c r="AV34" s="35">
        <f>(VLOOKUP(Tabla4[[#This Row],[SERVICIO 2025]],$J$2:$V$14,3,0)*Tabla4[[#This Row],[TOTAL COBERTURA]])</f>
        <v>93093480</v>
      </c>
      <c r="AW34" s="35">
        <f>(VLOOKUP(Tabla4[[#This Row],[SERVICIO 2025]],$J$2:$V$14,3,0)*Tabla4[[#This Row],[TOTAL COBERTURA]])</f>
        <v>93093480</v>
      </c>
      <c r="AX34" s="35">
        <f>(VLOOKUP(Tabla4[[#This Row],[SERVICIO 2025]],$J$2:$V$14,3,0)*Tabla4[[#This Row],[TOTAL COBERTURA]])</f>
        <v>93093480</v>
      </c>
      <c r="AY34" s="35">
        <f>(VLOOKUP(Tabla4[[#This Row],[SERVICIO 2025]],$J$2:$V$14,3,0)*Tabla4[[#This Row],[TOTAL COBERTURA]])</f>
        <v>93093480</v>
      </c>
      <c r="AZ34" s="35">
        <f>(VLOOKUP(Tabla4[[#This Row],[SERVICIO 2025]],$J$2:$V$14,3,0)*Tabla4[[#This Row],[TOTAL COBERTURA]])</f>
        <v>93093480</v>
      </c>
      <c r="BA34" s="35">
        <f>(VLOOKUP(Tabla4[[#This Row],[SERVICIO 2025]],$J$2:$V$14,3,0)*Tabla4[[#This Row],[TOTAL COBERTURA]])+Tabla4[[#This Row],[VALOR FASE PREPARATORIA DE CIERRE]]</f>
        <v>106976435</v>
      </c>
      <c r="BB34" s="35">
        <f>SUM(Tabla4[[#This Row],[DESEMBOLSO 1]:[DESEMBOLSO 8]])</f>
        <v>774937250</v>
      </c>
      <c r="BC34" s="35"/>
      <c r="BD34" s="47" t="s">
        <v>97</v>
      </c>
      <c r="BE34" s="12" t="b">
        <f>EXACT(Tabla4[[#This Row],[VALOR ATENCIÓN (8 MESES)]],Tabla4[[#This Row],[VALOR TOTAL]])</f>
        <v>1</v>
      </c>
      <c r="BF34" s="23">
        <f>Tabla4[[#This Row],[VALOR ATENCIÓN (8 MESES)]]-Tabla4[[#This Row],[VALOR TOTAL]]</f>
        <v>0</v>
      </c>
      <c r="BG34" s="12" t="b">
        <f>EXACT(Tabla4[[#This Row],[TOTAL DESEMBOLSOS]],Tabla4[[#This Row],[VALOR ATENCIÓN (8 MESES)]])</f>
        <v>1</v>
      </c>
      <c r="BH34" s="29">
        <f>Tabla4[[#This Row],[TOTAL DESEMBOLSOS]]-Tabla4[[#This Row],[VALOR ATENCIÓN (8 MESES)]]</f>
        <v>0</v>
      </c>
      <c r="BI34" t="s">
        <v>98</v>
      </c>
    </row>
    <row r="35" spans="1:61">
      <c r="A35" s="13">
        <v>1887</v>
      </c>
      <c r="B35" s="13" t="s">
        <v>86</v>
      </c>
      <c r="C35" s="12" t="s">
        <v>87</v>
      </c>
      <c r="D35" s="12" t="s">
        <v>88</v>
      </c>
      <c r="E35" s="12" t="s">
        <v>89</v>
      </c>
      <c r="F35" s="12" t="s">
        <v>14</v>
      </c>
      <c r="G35" s="12" t="s">
        <v>90</v>
      </c>
      <c r="H35" s="12" t="s">
        <v>128</v>
      </c>
      <c r="I35" s="48" t="s">
        <v>129</v>
      </c>
      <c r="J35" s="12" t="s">
        <v>130</v>
      </c>
      <c r="K35" s="12">
        <v>1</v>
      </c>
      <c r="L35" s="12">
        <v>59</v>
      </c>
      <c r="M35" s="12"/>
      <c r="N35" s="13">
        <v>1887</v>
      </c>
      <c r="O35" s="12" t="s">
        <v>93</v>
      </c>
      <c r="P35" s="12"/>
      <c r="Q35" s="12"/>
      <c r="R35" s="12" t="s">
        <v>94</v>
      </c>
      <c r="S35" s="12">
        <v>10</v>
      </c>
      <c r="T35" s="12" t="s">
        <v>95</v>
      </c>
      <c r="U35" s="12" t="s">
        <v>96</v>
      </c>
      <c r="V35" s="12">
        <f>VLOOKUP(Tabla4[[#This Row],[ZONA DEFINITIVO]],Hoja1!$A$1:$D$121,3,0)</f>
        <v>228985</v>
      </c>
      <c r="W35" s="12">
        <f>VLOOKUP(Tabla4[[#This Row],[ZONA DEFINITIVO]],Hoja1!$A$1:$D$121,2,0)</f>
        <v>15146</v>
      </c>
      <c r="X35" s="12">
        <f>VLOOKUP(Tabla4[[#This Row],[ZONA DEFINITIVO]],Hoja1!$A$1:$D$121,4,0)</f>
        <v>90725</v>
      </c>
      <c r="Y35" s="12" t="str">
        <f>+IF(Tabla4[[#This Row],[AGRUPACIONES]]=1,SUMIFS(Tabla4[UDS],Tabla4[ZONA DEFINITIVO],Tabla4[[#This Row],[ZONA DEFINITIVO]])," ")</f>
        <v xml:space="preserve"> </v>
      </c>
      <c r="Z35" s="12" t="str">
        <f>+IF(Tabla4[[#This Row],[AGRUPACIONES]]=1,SUMIFS(Tabla4[TOTAL COBERTURA],Tabla4[ZONA DEFINITIVO],Tabla4[[#This Row],[ZONA DEFINITIVO]])," ")</f>
        <v xml:space="preserve"> </v>
      </c>
      <c r="AA35" s="12"/>
      <c r="AB35" s="38">
        <v>247142150</v>
      </c>
      <c r="AC35" s="37">
        <v>0.02</v>
      </c>
      <c r="AD35" s="38">
        <f t="shared" si="1"/>
        <v>4942843</v>
      </c>
      <c r="AE35" s="12"/>
      <c r="AF35" s="12">
        <f>COUNTIF($A$20:A35,A35)</f>
        <v>16</v>
      </c>
      <c r="AG35" s="38">
        <v>247142150</v>
      </c>
      <c r="AH35" s="38">
        <f>Tabla4[[#This Row],[VALOR CONTRAPARTIDA]]+Tabla4[[#This Row],[TOTAL APORTES ICBF]]</f>
        <v>252084993</v>
      </c>
      <c r="AI35" s="35"/>
      <c r="AJ35" s="38"/>
      <c r="AK35" s="38"/>
      <c r="AL35" s="23"/>
      <c r="AM35" s="35">
        <f>VLOOKUP(Tabla4[[#This Row],[SERVICIO 2025]],$J$2:$V$14,5,0)*Tabla4[[#This Row],[TOTAL COBERTURA]]</f>
        <v>5200437</v>
      </c>
      <c r="AN35" s="35">
        <f>VLOOKUP(Tabla4[[#This Row],[SERVICIO 2025]],$J$2:$V$14,6,0)*Tabla4[[#This Row],[TOTAL COBERTURA]]</f>
        <v>4427537</v>
      </c>
      <c r="AO35" s="35">
        <f>VLOOKUP(Tabla4[[#This Row],[SERVICIO 2025]],$J$2:$V$14,8,0)*Tabla4[[#This Row],[TOTAL COBERTURA]]</f>
        <v>0</v>
      </c>
      <c r="AP35" s="35">
        <f>VLOOKUP(Tabla4[[#This Row],[SERVICIO 2025]],$J$2:$V$14,3,0)*Tabla4[[#This Row],[TOTAL COBERTURA]]*8</f>
        <v>237514176</v>
      </c>
      <c r="AQ35" s="35"/>
      <c r="AR35" s="35">
        <f>Tabla4[[#This Row],[VALOR FASE PREPARATORIA DE ALISTAMIENTO]]+Tabla4[[#This Row],[VALOR FASE PREPARATORIA DE CIERRE]]+Tabla4[[#This Row],[DOTACIÓN ÚNICA]]+Tabla4[[#This Row],[VALOR ATENCIÓN]]+Tabla4[[#This Row],[VALOR RACION PREPARADA]]</f>
        <v>247142150</v>
      </c>
      <c r="AS35" s="35" t="str">
        <f>+IF(Tabla4[[#This Row],[AGRUPACIONES]]=1,SUMIFS(Tabla4[VALOR TOTAL],Tabla4[ZONA DEFINITIVO],Tabla4[[#This Row],[ZONA DEFINITIVO]])," ")</f>
        <v xml:space="preserve"> </v>
      </c>
      <c r="AT35" s="27">
        <f>(VLOOKUP(Tabla4[[#This Row],[SERVICIO 2025]],$J$2:$V$14,3,0)*Tabla4[[#This Row],[TOTAL COBERTURA]])+Tabla4[[#This Row],[VALOR FASE PREPARATORIA DE ALISTAMIENTO]]+Tabla4[[#This Row],[DOTACIÓN ÚNICA]]</f>
        <v>34889709</v>
      </c>
      <c r="AU35" s="35">
        <f>(VLOOKUP(Tabla4[[#This Row],[SERVICIO 2025]],$J$2:$V$14,3,0)*Tabla4[[#This Row],[TOTAL COBERTURA]])</f>
        <v>29689272</v>
      </c>
      <c r="AV35" s="35">
        <f>(VLOOKUP(Tabla4[[#This Row],[SERVICIO 2025]],$J$2:$V$14,3,0)*Tabla4[[#This Row],[TOTAL COBERTURA]])</f>
        <v>29689272</v>
      </c>
      <c r="AW35" s="35">
        <f>(VLOOKUP(Tabla4[[#This Row],[SERVICIO 2025]],$J$2:$V$14,3,0)*Tabla4[[#This Row],[TOTAL COBERTURA]])</f>
        <v>29689272</v>
      </c>
      <c r="AX35" s="35">
        <f>(VLOOKUP(Tabla4[[#This Row],[SERVICIO 2025]],$J$2:$V$14,3,0)*Tabla4[[#This Row],[TOTAL COBERTURA]])</f>
        <v>29689272</v>
      </c>
      <c r="AY35" s="35">
        <f>(VLOOKUP(Tabla4[[#This Row],[SERVICIO 2025]],$J$2:$V$14,3,0)*Tabla4[[#This Row],[TOTAL COBERTURA]])</f>
        <v>29689272</v>
      </c>
      <c r="AZ35" s="35">
        <f>(VLOOKUP(Tabla4[[#This Row],[SERVICIO 2025]],$J$2:$V$14,3,0)*Tabla4[[#This Row],[TOTAL COBERTURA]])</f>
        <v>29689272</v>
      </c>
      <c r="BA35" s="35">
        <f>(VLOOKUP(Tabla4[[#This Row],[SERVICIO 2025]],$J$2:$V$14,3,0)*Tabla4[[#This Row],[TOTAL COBERTURA]])+Tabla4[[#This Row],[VALOR FASE PREPARATORIA DE CIERRE]]</f>
        <v>34116809</v>
      </c>
      <c r="BB35" s="35">
        <f>SUM(Tabla4[[#This Row],[DESEMBOLSO 1]:[DESEMBOLSO 8]])</f>
        <v>247142150</v>
      </c>
      <c r="BC35" s="35"/>
      <c r="BD35" s="47" t="s">
        <v>97</v>
      </c>
      <c r="BE35" s="12" t="b">
        <f>EXACT(Tabla4[[#This Row],[VALOR ATENCIÓN (8 MESES)]],Tabla4[[#This Row],[VALOR TOTAL]])</f>
        <v>1</v>
      </c>
      <c r="BF35" s="23">
        <f>Tabla4[[#This Row],[VALOR ATENCIÓN (8 MESES)]]-Tabla4[[#This Row],[VALOR TOTAL]]</f>
        <v>0</v>
      </c>
      <c r="BG35" s="12" t="b">
        <f>EXACT(Tabla4[[#This Row],[TOTAL DESEMBOLSOS]],Tabla4[[#This Row],[VALOR ATENCIÓN (8 MESES)]])</f>
        <v>1</v>
      </c>
      <c r="BH35" s="29">
        <f>Tabla4[[#This Row],[TOTAL DESEMBOLSOS]]-Tabla4[[#This Row],[VALOR ATENCIÓN (8 MESES)]]</f>
        <v>0</v>
      </c>
      <c r="BI35" t="s">
        <v>98</v>
      </c>
    </row>
    <row r="36" spans="1:61">
      <c r="A36" s="13">
        <v>1887</v>
      </c>
      <c r="B36" s="13" t="s">
        <v>86</v>
      </c>
      <c r="C36" s="12" t="s">
        <v>87</v>
      </c>
      <c r="D36" s="12" t="s">
        <v>88</v>
      </c>
      <c r="E36" s="12" t="s">
        <v>89</v>
      </c>
      <c r="F36" s="12" t="s">
        <v>14</v>
      </c>
      <c r="G36" s="12" t="s">
        <v>90</v>
      </c>
      <c r="H36" s="12" t="s">
        <v>131</v>
      </c>
      <c r="I36" s="48" t="s">
        <v>132</v>
      </c>
      <c r="J36" s="12" t="s">
        <v>133</v>
      </c>
      <c r="K36" s="12">
        <v>1</v>
      </c>
      <c r="L36" s="12">
        <v>60</v>
      </c>
      <c r="M36" s="12"/>
      <c r="N36" s="13">
        <v>1887</v>
      </c>
      <c r="O36" s="12" t="s">
        <v>93</v>
      </c>
      <c r="P36" s="12"/>
      <c r="Q36" s="12"/>
      <c r="R36" s="12" t="s">
        <v>94</v>
      </c>
      <c r="S36" s="12">
        <v>10</v>
      </c>
      <c r="T36" s="12" t="s">
        <v>95</v>
      </c>
      <c r="U36" s="12" t="s">
        <v>96</v>
      </c>
      <c r="V36" s="12">
        <f>VLOOKUP(Tabla4[[#This Row],[ZONA DEFINITIVO]],Hoja1!$A$1:$D$121,3,0)</f>
        <v>228985</v>
      </c>
      <c r="W36" s="12">
        <f>VLOOKUP(Tabla4[[#This Row],[ZONA DEFINITIVO]],Hoja1!$A$1:$D$121,2,0)</f>
        <v>15146</v>
      </c>
      <c r="X36" s="12">
        <f>VLOOKUP(Tabla4[[#This Row],[ZONA DEFINITIVO]],Hoja1!$A$1:$D$121,4,0)</f>
        <v>90725</v>
      </c>
      <c r="Y36" s="12" t="str">
        <f>+IF(Tabla4[[#This Row],[AGRUPACIONES]]=1,SUMIFS(Tabla4[UDS],Tabla4[ZONA DEFINITIVO],Tabla4[[#This Row],[ZONA DEFINITIVO]])," ")</f>
        <v xml:space="preserve"> </v>
      </c>
      <c r="Z36" s="12" t="str">
        <f>+IF(Tabla4[[#This Row],[AGRUPACIONES]]=1,SUMIFS(Tabla4[TOTAL COBERTURA],Tabla4[ZONA DEFINITIVO],Tabla4[[#This Row],[ZONA DEFINITIVO]])," ")</f>
        <v xml:space="preserve"> </v>
      </c>
      <c r="AA36" s="12"/>
      <c r="AB36" s="38">
        <v>251331000</v>
      </c>
      <c r="AC36" s="37">
        <v>0.02</v>
      </c>
      <c r="AD36" s="38">
        <f t="shared" si="1"/>
        <v>5026620</v>
      </c>
      <c r="AE36" s="12"/>
      <c r="AF36" s="12">
        <f>COUNTIF($A$20:A36,A36)</f>
        <v>17</v>
      </c>
      <c r="AG36" s="38">
        <v>251331000</v>
      </c>
      <c r="AH36" s="38">
        <f>Tabla4[[#This Row],[VALOR CONTRAPARTIDA]]+Tabla4[[#This Row],[TOTAL APORTES ICBF]]</f>
        <v>256357620</v>
      </c>
      <c r="AI36" s="35"/>
      <c r="AJ36" s="38"/>
      <c r="AK36" s="38"/>
      <c r="AL36" s="23"/>
      <c r="AM36" s="35">
        <f>VLOOKUP(Tabla4[[#This Row],[SERVICIO 2025]],$J$2:$V$14,5,0)*Tabla4[[#This Row],[TOTAL COBERTURA]]</f>
        <v>5288580</v>
      </c>
      <c r="AN36" s="35">
        <f>VLOOKUP(Tabla4[[#This Row],[SERVICIO 2025]],$J$2:$V$14,6,0)*Tabla4[[#This Row],[TOTAL COBERTURA]]</f>
        <v>4502580</v>
      </c>
      <c r="AO36" s="35">
        <f>VLOOKUP(Tabla4[[#This Row],[SERVICIO 2025]],$J$2:$V$14,8,0)*Tabla4[[#This Row],[TOTAL COBERTURA]]</f>
        <v>0</v>
      </c>
      <c r="AP36" s="35">
        <f>VLOOKUP(Tabla4[[#This Row],[SERVICIO 2025]],$J$2:$V$14,3,0)*Tabla4[[#This Row],[TOTAL COBERTURA]]*8</f>
        <v>241539840</v>
      </c>
      <c r="AQ36" s="35"/>
      <c r="AR36" s="35">
        <f>Tabla4[[#This Row],[VALOR FASE PREPARATORIA DE ALISTAMIENTO]]+Tabla4[[#This Row],[VALOR FASE PREPARATORIA DE CIERRE]]+Tabla4[[#This Row],[DOTACIÓN ÚNICA]]+Tabla4[[#This Row],[VALOR ATENCIÓN]]+Tabla4[[#This Row],[VALOR RACION PREPARADA]]</f>
        <v>251331000</v>
      </c>
      <c r="AS36" s="35" t="str">
        <f>+IF(Tabla4[[#This Row],[AGRUPACIONES]]=1,SUMIFS(Tabla4[VALOR TOTAL],Tabla4[ZONA DEFINITIVO],Tabla4[[#This Row],[ZONA DEFINITIVO]])," ")</f>
        <v xml:space="preserve"> </v>
      </c>
      <c r="AT36" s="27">
        <f>(VLOOKUP(Tabla4[[#This Row],[SERVICIO 2025]],$J$2:$V$14,3,0)*Tabla4[[#This Row],[TOTAL COBERTURA]])+Tabla4[[#This Row],[VALOR FASE PREPARATORIA DE ALISTAMIENTO]]+Tabla4[[#This Row],[DOTACIÓN ÚNICA]]</f>
        <v>35481060</v>
      </c>
      <c r="AU36" s="35">
        <f>(VLOOKUP(Tabla4[[#This Row],[SERVICIO 2025]],$J$2:$V$14,3,0)*Tabla4[[#This Row],[TOTAL COBERTURA]])</f>
        <v>30192480</v>
      </c>
      <c r="AV36" s="35">
        <f>(VLOOKUP(Tabla4[[#This Row],[SERVICIO 2025]],$J$2:$V$14,3,0)*Tabla4[[#This Row],[TOTAL COBERTURA]])</f>
        <v>30192480</v>
      </c>
      <c r="AW36" s="35">
        <f>(VLOOKUP(Tabla4[[#This Row],[SERVICIO 2025]],$J$2:$V$14,3,0)*Tabla4[[#This Row],[TOTAL COBERTURA]])</f>
        <v>30192480</v>
      </c>
      <c r="AX36" s="35">
        <f>(VLOOKUP(Tabla4[[#This Row],[SERVICIO 2025]],$J$2:$V$14,3,0)*Tabla4[[#This Row],[TOTAL COBERTURA]])</f>
        <v>30192480</v>
      </c>
      <c r="AY36" s="35">
        <f>(VLOOKUP(Tabla4[[#This Row],[SERVICIO 2025]],$J$2:$V$14,3,0)*Tabla4[[#This Row],[TOTAL COBERTURA]])</f>
        <v>30192480</v>
      </c>
      <c r="AZ36" s="35">
        <f>(VLOOKUP(Tabla4[[#This Row],[SERVICIO 2025]],$J$2:$V$14,3,0)*Tabla4[[#This Row],[TOTAL COBERTURA]])</f>
        <v>30192480</v>
      </c>
      <c r="BA36" s="35">
        <f>(VLOOKUP(Tabla4[[#This Row],[SERVICIO 2025]],$J$2:$V$14,3,0)*Tabla4[[#This Row],[TOTAL COBERTURA]])+Tabla4[[#This Row],[VALOR FASE PREPARATORIA DE CIERRE]]</f>
        <v>34695060</v>
      </c>
      <c r="BB36" s="35">
        <f>SUM(Tabla4[[#This Row],[DESEMBOLSO 1]:[DESEMBOLSO 8]])</f>
        <v>251331000</v>
      </c>
      <c r="BC36" s="35"/>
      <c r="BD36" s="47" t="s">
        <v>97</v>
      </c>
      <c r="BE36" s="12" t="b">
        <f>EXACT(Tabla4[[#This Row],[VALOR ATENCIÓN (8 MESES)]],Tabla4[[#This Row],[VALOR TOTAL]])</f>
        <v>1</v>
      </c>
      <c r="BF36" s="23">
        <f>Tabla4[[#This Row],[VALOR ATENCIÓN (8 MESES)]]-Tabla4[[#This Row],[VALOR TOTAL]]</f>
        <v>0</v>
      </c>
      <c r="BG36" s="12" t="b">
        <f>EXACT(Tabla4[[#This Row],[TOTAL DESEMBOLSOS]],Tabla4[[#This Row],[VALOR ATENCIÓN (8 MESES)]])</f>
        <v>1</v>
      </c>
      <c r="BH36" s="29">
        <f>Tabla4[[#This Row],[TOTAL DESEMBOLSOS]]-Tabla4[[#This Row],[VALOR ATENCIÓN (8 MESES)]]</f>
        <v>0</v>
      </c>
      <c r="BI36" t="s">
        <v>98</v>
      </c>
    </row>
    <row r="37" spans="1:61">
      <c r="A37" s="13">
        <v>1887</v>
      </c>
      <c r="B37" s="13" t="s">
        <v>86</v>
      </c>
      <c r="C37" s="12" t="s">
        <v>87</v>
      </c>
      <c r="D37" s="12" t="s">
        <v>88</v>
      </c>
      <c r="E37" s="12" t="s">
        <v>89</v>
      </c>
      <c r="F37" s="12" t="s">
        <v>21</v>
      </c>
      <c r="G37" s="12" t="s">
        <v>90</v>
      </c>
      <c r="H37" s="12" t="s">
        <v>134</v>
      </c>
      <c r="I37" s="48" t="s">
        <v>135</v>
      </c>
      <c r="J37" s="12" t="s">
        <v>136</v>
      </c>
      <c r="K37" s="12">
        <v>1</v>
      </c>
      <c r="L37" s="12">
        <v>13</v>
      </c>
      <c r="M37" s="12"/>
      <c r="N37" s="13">
        <v>1887</v>
      </c>
      <c r="O37" s="12" t="s">
        <v>93</v>
      </c>
      <c r="P37" s="12"/>
      <c r="Q37" s="12"/>
      <c r="R37" s="12" t="s">
        <v>94</v>
      </c>
      <c r="S37" s="12">
        <v>10</v>
      </c>
      <c r="T37" s="12" t="s">
        <v>95</v>
      </c>
      <c r="U37" s="12" t="s">
        <v>96</v>
      </c>
      <c r="V37" s="12">
        <f>VLOOKUP(Tabla4[[#This Row],[ZONA DEFINITIVO]],Hoja1!$A$1:$D$121,3,0)</f>
        <v>228985</v>
      </c>
      <c r="W37" s="12">
        <f>VLOOKUP(Tabla4[[#This Row],[ZONA DEFINITIVO]],Hoja1!$A$1:$D$121,2,0)</f>
        <v>15146</v>
      </c>
      <c r="X37" s="12">
        <f>VLOOKUP(Tabla4[[#This Row],[ZONA DEFINITIVO]],Hoja1!$A$1:$D$121,4,0)</f>
        <v>90725</v>
      </c>
      <c r="Y37" s="12" t="str">
        <f>+IF(Tabla4[[#This Row],[AGRUPACIONES]]=1,SUMIFS(Tabla4[UDS],Tabla4[ZONA DEFINITIVO],Tabla4[[#This Row],[ZONA DEFINITIVO]])," ")</f>
        <v xml:space="preserve"> </v>
      </c>
      <c r="Z37" s="12" t="str">
        <f>+IF(Tabla4[[#This Row],[AGRUPACIONES]]=1,SUMIFS(Tabla4[TOTAL COBERTURA],Tabla4[ZONA DEFINITIVO],Tabla4[[#This Row],[ZONA DEFINITIVO]])," ")</f>
        <v xml:space="preserve"> </v>
      </c>
      <c r="AA37" s="12"/>
      <c r="AB37" s="38">
        <v>19750965</v>
      </c>
      <c r="AC37" s="37">
        <v>0.02</v>
      </c>
      <c r="AD37" s="38">
        <f t="shared" si="1"/>
        <v>395019.3</v>
      </c>
      <c r="AE37" s="12"/>
      <c r="AF37" s="12">
        <f>COUNTIF($A$20:A37,A37)</f>
        <v>18</v>
      </c>
      <c r="AG37" s="38">
        <v>19750965</v>
      </c>
      <c r="AH37" s="38">
        <f>Tabla4[[#This Row],[VALOR CONTRAPARTIDA]]+Tabla4[[#This Row],[TOTAL APORTES ICBF]]</f>
        <v>20145984.300000001</v>
      </c>
      <c r="AI37" s="35"/>
      <c r="AJ37" s="38"/>
      <c r="AK37" s="38"/>
      <c r="AL37" s="23"/>
      <c r="AM37" s="35">
        <f>VLOOKUP(Tabla4[[#This Row],[SERVICIO 2025]],$J$2:$V$14,5,0)*Tabla4[[#This Row],[TOTAL COBERTURA]]</f>
        <v>607672</v>
      </c>
      <c r="AN37" s="35">
        <f>VLOOKUP(Tabla4[[#This Row],[SERVICIO 2025]],$J$2:$V$14,6,0)*Tabla4[[#This Row],[TOTAL COBERTURA]]</f>
        <v>491933</v>
      </c>
      <c r="AO37" s="35">
        <f>VLOOKUP(Tabla4[[#This Row],[SERVICIO 2025]],$J$2:$V$14,8,0)*Tabla4[[#This Row],[TOTAL COBERTURA]]</f>
        <v>0</v>
      </c>
      <c r="AP37" s="35">
        <f>VLOOKUP(Tabla4[[#This Row],[SERVICIO 2025]],$J$2:$V$14,3,0)*Tabla4[[#This Row],[TOTAL COBERTURA]]*8</f>
        <v>18651360</v>
      </c>
      <c r="AQ37" s="35"/>
      <c r="AR37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37" s="35" t="str">
        <f>+IF(Tabla4[[#This Row],[AGRUPACIONES]]=1,SUMIFS(Tabla4[VALOR TOTAL],Tabla4[ZONA DEFINITIVO],Tabla4[[#This Row],[ZONA DEFINITIVO]])," ")</f>
        <v xml:space="preserve"> </v>
      </c>
      <c r="AT37" s="27">
        <f>(VLOOKUP(Tabla4[[#This Row],[SERVICIO 2025]],$J$2:$V$14,3,0)*Tabla4[[#This Row],[TOTAL COBERTURA]])+Tabla4[[#This Row],[VALOR FASE PREPARATORIA DE ALISTAMIENTO]]+Tabla4[[#This Row],[DOTACIÓN ÚNICA]]</f>
        <v>2939092</v>
      </c>
      <c r="AU37" s="35">
        <f>(VLOOKUP(Tabla4[[#This Row],[SERVICIO 2025]],$J$2:$V$14,3,0)*Tabla4[[#This Row],[TOTAL COBERTURA]])</f>
        <v>2331420</v>
      </c>
      <c r="AV37" s="35">
        <f>(VLOOKUP(Tabla4[[#This Row],[SERVICIO 2025]],$J$2:$V$14,3,0)*Tabla4[[#This Row],[TOTAL COBERTURA]])</f>
        <v>2331420</v>
      </c>
      <c r="AW37" s="35">
        <f>(VLOOKUP(Tabla4[[#This Row],[SERVICIO 2025]],$J$2:$V$14,3,0)*Tabla4[[#This Row],[TOTAL COBERTURA]])</f>
        <v>2331420</v>
      </c>
      <c r="AX37" s="35">
        <f>(VLOOKUP(Tabla4[[#This Row],[SERVICIO 2025]],$J$2:$V$14,3,0)*Tabla4[[#This Row],[TOTAL COBERTURA]])</f>
        <v>2331420</v>
      </c>
      <c r="AY37" s="35">
        <f>(VLOOKUP(Tabla4[[#This Row],[SERVICIO 2025]],$J$2:$V$14,3,0)*Tabla4[[#This Row],[TOTAL COBERTURA]])</f>
        <v>2331420</v>
      </c>
      <c r="AZ37" s="35">
        <f>(VLOOKUP(Tabla4[[#This Row],[SERVICIO 2025]],$J$2:$V$14,3,0)*Tabla4[[#This Row],[TOTAL COBERTURA]])</f>
        <v>2331420</v>
      </c>
      <c r="BA37" s="35">
        <f>(VLOOKUP(Tabla4[[#This Row],[SERVICIO 2025]],$J$2:$V$14,3,0)*Tabla4[[#This Row],[TOTAL COBERTURA]])+Tabla4[[#This Row],[VALOR FASE PREPARATORIA DE CIERRE]]</f>
        <v>2823353</v>
      </c>
      <c r="BB37" s="35">
        <f>SUM(Tabla4[[#This Row],[DESEMBOLSO 1]:[DESEMBOLSO 8]])</f>
        <v>19750965</v>
      </c>
      <c r="BC37" s="35"/>
      <c r="BD37" s="47" t="s">
        <v>97</v>
      </c>
      <c r="BE37" s="12" t="b">
        <f>EXACT(Tabla4[[#This Row],[VALOR ATENCIÓN (8 MESES)]],Tabla4[[#This Row],[VALOR TOTAL]])</f>
        <v>1</v>
      </c>
      <c r="BF37" s="23">
        <f>Tabla4[[#This Row],[VALOR ATENCIÓN (8 MESES)]]-Tabla4[[#This Row],[VALOR TOTAL]]</f>
        <v>0</v>
      </c>
      <c r="BG37" s="12" t="b">
        <f>EXACT(Tabla4[[#This Row],[TOTAL DESEMBOLSOS]],Tabla4[[#This Row],[VALOR ATENCIÓN (8 MESES)]])</f>
        <v>1</v>
      </c>
      <c r="BH37" s="29">
        <f>Tabla4[[#This Row],[TOTAL DESEMBOLSOS]]-Tabla4[[#This Row],[VALOR ATENCIÓN (8 MESES)]]</f>
        <v>0</v>
      </c>
      <c r="BI37" t="s">
        <v>98</v>
      </c>
    </row>
    <row r="38" spans="1:61">
      <c r="A38" s="13">
        <v>1888</v>
      </c>
      <c r="B38" s="13" t="s">
        <v>137</v>
      </c>
      <c r="C38" s="12" t="s">
        <v>87</v>
      </c>
      <c r="D38" s="12" t="s">
        <v>138</v>
      </c>
      <c r="E38" s="12" t="s">
        <v>139</v>
      </c>
      <c r="F38" s="12" t="s">
        <v>22</v>
      </c>
      <c r="G38" s="12" t="s">
        <v>90</v>
      </c>
      <c r="H38" s="12" t="s">
        <v>140</v>
      </c>
      <c r="I38" s="48" t="s">
        <v>141</v>
      </c>
      <c r="J38" s="12" t="s">
        <v>142</v>
      </c>
      <c r="K38" s="12">
        <v>1</v>
      </c>
      <c r="L38" s="12">
        <v>91</v>
      </c>
      <c r="M38" s="12"/>
      <c r="N38" s="13">
        <v>1888</v>
      </c>
      <c r="O38" s="12" t="s">
        <v>93</v>
      </c>
      <c r="P38" s="12"/>
      <c r="Q38" s="12"/>
      <c r="R38" s="12" t="s">
        <v>94</v>
      </c>
      <c r="S38" s="12">
        <v>10</v>
      </c>
      <c r="T38" s="12" t="s">
        <v>143</v>
      </c>
      <c r="U38" s="12" t="s">
        <v>144</v>
      </c>
      <c r="V38" s="12">
        <f>VLOOKUP(Tabla4[[#This Row],[ZONA DEFINITIVO]],Hoja1!$A$1:$D$121,3,0)</f>
        <v>228987</v>
      </c>
      <c r="W38" s="12">
        <f>VLOOKUP(Tabla4[[#This Row],[ZONA DEFINITIVO]],Hoja1!$A$1:$D$121,2,0)</f>
        <v>15168</v>
      </c>
      <c r="X38" s="12">
        <f>VLOOKUP(Tabla4[[#This Row],[ZONA DEFINITIVO]],Hoja1!$A$1:$D$121,4,0)</f>
        <v>91025</v>
      </c>
      <c r="Y38" s="12">
        <f>+IF(Tabla4[[#This Row],[AGRUPACIONES]]=1,SUMIFS(Tabla4[UDS],Tabla4[ZONA DEFINITIVO],Tabla4[[#This Row],[ZONA DEFINITIVO]])," ")</f>
        <v>6</v>
      </c>
      <c r="Z38" s="12">
        <f>+IF(Tabla4[[#This Row],[AGRUPACIONES]]=1,SUMIFS(Tabla4[TOTAL COBERTURA],Tabla4[ZONA DEFINITIVO],Tabla4[[#This Row],[ZONA DEFINITIVO]])," ")</f>
        <v>490</v>
      </c>
      <c r="AA38" s="12"/>
      <c r="AB38" s="38">
        <v>381185350</v>
      </c>
      <c r="AC38" s="37">
        <v>0.02</v>
      </c>
      <c r="AD38" s="38">
        <f t="shared" si="1"/>
        <v>7623707</v>
      </c>
      <c r="AE38" s="12"/>
      <c r="AF38" s="12">
        <f>COUNTIF($A$20:A38,A38)</f>
        <v>1</v>
      </c>
      <c r="AG38" s="38">
        <v>381185350</v>
      </c>
      <c r="AH38" s="38">
        <f>Tabla4[[#This Row],[VALOR CONTRAPARTIDA]]+Tabla4[[#This Row],[TOTAL APORTES ICBF]]</f>
        <v>388809057</v>
      </c>
      <c r="AI38" s="35">
        <f>ROUND(+IF(Tabla4[[#This Row],[AGRUPACIONES]]=1,SUMIFS(Tabla4[TOTAL APORTES ICBF],Tabla4[ZONA DEFINITIVO],Tabla4[[#This Row],[ZONA DEFINITIVO]])," "),0)</f>
        <v>2053520364</v>
      </c>
      <c r="AJ38" s="38">
        <f>ROUND(+IF(Tabla4[[#This Row],[AGRUPACIONES]]=1,SUMIFS(Tabla4[VALOR CONTRAPARTIDA],Tabla4[ZONA DEFINITIVO],Tabla4[[#This Row],[ZONA DEFINITIVO]])," "),0)</f>
        <v>41070407</v>
      </c>
      <c r="AK38" s="38">
        <f>Tabla4[[#This Row],[TOTAL APORTES ICBF AGRUPADO]]+Tabla4[[#This Row],[TOTAL CONTRAPARTIDA AGRUPADO]]</f>
        <v>2094590771</v>
      </c>
      <c r="AL38" s="23">
        <f>Tabla4[[#This Row],[TOTAL APORTES ICBF AGRUPADO]]/$AL$18</f>
        <v>1442.5854330874604</v>
      </c>
      <c r="AM38" s="35">
        <f>VLOOKUP(Tabla4[[#This Row],[SERVICIO 2025]],$J$2:$V$14,5,0)*Tabla4[[#This Row],[TOTAL COBERTURA]]</f>
        <v>8021013</v>
      </c>
      <c r="AN38" s="35">
        <f>VLOOKUP(Tabla4[[#This Row],[SERVICIO 2025]],$J$2:$V$14,6,0)*Tabla4[[#This Row],[TOTAL COBERTURA]]</f>
        <v>6828913</v>
      </c>
      <c r="AO38" s="35">
        <f>VLOOKUP(Tabla4[[#This Row],[SERVICIO 2025]],$J$2:$V$14,8,0)*Tabla4[[#This Row],[TOTAL COBERTURA]]</f>
        <v>0</v>
      </c>
      <c r="AP38" s="35">
        <f>VLOOKUP(Tabla4[[#This Row],[SERVICIO 2025]],$J$2:$V$14,3,0)*Tabla4[[#This Row],[TOTAL COBERTURA]]*8</f>
        <v>366335424</v>
      </c>
      <c r="AQ38" s="35"/>
      <c r="AR38" s="35">
        <f>Tabla4[[#This Row],[VALOR FASE PREPARATORIA DE ALISTAMIENTO]]+Tabla4[[#This Row],[VALOR FASE PREPARATORIA DE CIERRE]]+Tabla4[[#This Row],[DOTACIÓN ÚNICA]]+Tabla4[[#This Row],[VALOR ATENCIÓN]]+Tabla4[[#This Row],[VALOR RACION PREPARADA]]</f>
        <v>381185350</v>
      </c>
      <c r="AS38" s="35">
        <f>+IF(Tabla4[[#This Row],[AGRUPACIONES]]=1,SUMIFS(Tabla4[VALOR TOTAL],Tabla4[ZONA DEFINITIVO],Tabla4[[#This Row],[ZONA DEFINITIVO]])," ")</f>
        <v>2053520364</v>
      </c>
      <c r="AT38" s="27">
        <f>(VLOOKUP(Tabla4[[#This Row],[SERVICIO 2025]],$J$2:$V$14,3,0)*Tabla4[[#This Row],[TOTAL COBERTURA]])+Tabla4[[#This Row],[VALOR FASE PREPARATORIA DE ALISTAMIENTO]]+Tabla4[[#This Row],[DOTACIÓN ÚNICA]]</f>
        <v>53812941</v>
      </c>
      <c r="AU38" s="35">
        <f>(VLOOKUP(Tabla4[[#This Row],[SERVICIO 2025]],$J$2:$V$14,3,0)*Tabla4[[#This Row],[TOTAL COBERTURA]])</f>
        <v>45791928</v>
      </c>
      <c r="AV38" s="35">
        <f>(VLOOKUP(Tabla4[[#This Row],[SERVICIO 2025]],$J$2:$V$14,3,0)*Tabla4[[#This Row],[TOTAL COBERTURA]])</f>
        <v>45791928</v>
      </c>
      <c r="AW38" s="35">
        <f>(VLOOKUP(Tabla4[[#This Row],[SERVICIO 2025]],$J$2:$V$14,3,0)*Tabla4[[#This Row],[TOTAL COBERTURA]])</f>
        <v>45791928</v>
      </c>
      <c r="AX38" s="35">
        <f>(VLOOKUP(Tabla4[[#This Row],[SERVICIO 2025]],$J$2:$V$14,3,0)*Tabla4[[#This Row],[TOTAL COBERTURA]])</f>
        <v>45791928</v>
      </c>
      <c r="AY38" s="35">
        <f>(VLOOKUP(Tabla4[[#This Row],[SERVICIO 2025]],$J$2:$V$14,3,0)*Tabla4[[#This Row],[TOTAL COBERTURA]])</f>
        <v>45791928</v>
      </c>
      <c r="AZ38" s="35">
        <f>(VLOOKUP(Tabla4[[#This Row],[SERVICIO 2025]],$J$2:$V$14,3,0)*Tabla4[[#This Row],[TOTAL COBERTURA]])</f>
        <v>45791928</v>
      </c>
      <c r="BA38" s="35">
        <f>(VLOOKUP(Tabla4[[#This Row],[SERVICIO 2025]],$J$2:$V$14,3,0)*Tabla4[[#This Row],[TOTAL COBERTURA]])+Tabla4[[#This Row],[VALOR FASE PREPARATORIA DE CIERRE]]</f>
        <v>52620841</v>
      </c>
      <c r="BB38" s="35">
        <f>SUM(Tabla4[[#This Row],[DESEMBOLSO 1]:[DESEMBOLSO 8]])</f>
        <v>381185350</v>
      </c>
      <c r="BC38" s="35">
        <f>VLOOKUP(Tabla4[[#This Row],[SERVICIO 2025]],$J$2:$V$14,10,0)*Tabla4[[#This Row],[TOTAL COBERTURA]]*$W$3</f>
        <v>0</v>
      </c>
      <c r="BD38" s="47" t="s">
        <v>145</v>
      </c>
      <c r="BE38" s="12" t="b">
        <f>EXACT(Tabla4[[#This Row],[VALOR ATENCIÓN (8 MESES)]],Tabla4[[#This Row],[VALOR TOTAL]])</f>
        <v>1</v>
      </c>
      <c r="BF38" s="23">
        <f>Tabla4[[#This Row],[VALOR ATENCIÓN (8 MESES)]]-Tabla4[[#This Row],[VALOR TOTAL]]</f>
        <v>0</v>
      </c>
      <c r="BG38" s="12" t="b">
        <f>EXACT(Tabla4[[#This Row],[TOTAL DESEMBOLSOS]],Tabla4[[#This Row],[VALOR ATENCIÓN (8 MESES)]])</f>
        <v>1</v>
      </c>
      <c r="BH38" s="29">
        <f>Tabla4[[#This Row],[TOTAL DESEMBOLSOS]]-Tabla4[[#This Row],[VALOR ATENCIÓN (8 MESES)]]</f>
        <v>0</v>
      </c>
      <c r="BI38" t="s">
        <v>98</v>
      </c>
    </row>
    <row r="39" spans="1:61">
      <c r="A39" s="13">
        <v>1888</v>
      </c>
      <c r="B39" s="13" t="s">
        <v>137</v>
      </c>
      <c r="C39" s="12" t="s">
        <v>87</v>
      </c>
      <c r="D39" s="12" t="s">
        <v>138</v>
      </c>
      <c r="E39" s="12" t="s">
        <v>139</v>
      </c>
      <c r="F39" s="12" t="s">
        <v>15</v>
      </c>
      <c r="G39" s="12" t="s">
        <v>90</v>
      </c>
      <c r="H39" s="12" t="s">
        <v>146</v>
      </c>
      <c r="I39" s="48" t="s">
        <v>147</v>
      </c>
      <c r="J39" s="12" t="s">
        <v>148</v>
      </c>
      <c r="K39" s="12">
        <v>1</v>
      </c>
      <c r="L39" s="12">
        <v>7</v>
      </c>
      <c r="M39" s="12"/>
      <c r="N39" s="13">
        <v>1888</v>
      </c>
      <c r="O39" s="12" t="s">
        <v>93</v>
      </c>
      <c r="P39" s="12"/>
      <c r="Q39" s="12"/>
      <c r="R39" s="12" t="s">
        <v>94</v>
      </c>
      <c r="S39" s="12">
        <v>10</v>
      </c>
      <c r="T39" s="12" t="s">
        <v>143</v>
      </c>
      <c r="U39" s="12" t="s">
        <v>144</v>
      </c>
      <c r="V39" s="12">
        <f>VLOOKUP(Tabla4[[#This Row],[ZONA DEFINITIVO]],Hoja1!$A$1:$D$121,3,0)</f>
        <v>228987</v>
      </c>
      <c r="W39" s="12">
        <f>VLOOKUP(Tabla4[[#This Row],[ZONA DEFINITIVO]],Hoja1!$A$1:$D$121,2,0)</f>
        <v>15168</v>
      </c>
      <c r="X39" s="12">
        <f>VLOOKUP(Tabla4[[#This Row],[ZONA DEFINITIVO]],Hoja1!$A$1:$D$121,4,0)</f>
        <v>91025</v>
      </c>
      <c r="Y39" s="12" t="str">
        <f>+IF(Tabla4[[#This Row],[AGRUPACIONES]]=1,SUMIFS(Tabla4[UDS],Tabla4[ZONA DEFINITIVO],Tabla4[[#This Row],[ZONA DEFINITIVO]])," ")</f>
        <v xml:space="preserve"> </v>
      </c>
      <c r="Z39" s="12" t="str">
        <f>+IF(Tabla4[[#This Row],[AGRUPACIONES]]=1,SUMIFS(Tabla4[TOTAL COBERTURA],Tabla4[ZONA DEFINITIVO],Tabla4[[#This Row],[ZONA DEFINITIVO]])," ")</f>
        <v xml:space="preserve"> </v>
      </c>
      <c r="AA39" s="12"/>
      <c r="AB39" s="38">
        <v>30305814</v>
      </c>
      <c r="AC39" s="37">
        <v>0.02</v>
      </c>
      <c r="AD39" s="38">
        <f t="shared" si="1"/>
        <v>606116.28</v>
      </c>
      <c r="AE39" s="12"/>
      <c r="AF39" s="12">
        <f>COUNTIF($A$20:A39,A39)</f>
        <v>2</v>
      </c>
      <c r="AG39" s="38">
        <v>30305814</v>
      </c>
      <c r="AH39" s="38">
        <f>Tabla4[[#This Row],[VALOR CONTRAPARTIDA]]+Tabla4[[#This Row],[TOTAL APORTES ICBF]]</f>
        <v>30911930.280000001</v>
      </c>
      <c r="AI39" s="35"/>
      <c r="AJ39" s="38"/>
      <c r="AK39" s="38"/>
      <c r="AL39" s="23"/>
      <c r="AM39" s="35">
        <f>VLOOKUP(Tabla4[[#This Row],[SERVICIO 2025]],$J$2:$V$14,5,0)*Tabla4[[#This Row],[TOTAL COBERTURA]]</f>
        <v>617001</v>
      </c>
      <c r="AN39" s="35">
        <f>VLOOKUP(Tabla4[[#This Row],[SERVICIO 2025]],$J$2:$V$14,6,0)*Tabla4[[#This Row],[TOTAL COBERTURA]]</f>
        <v>525301</v>
      </c>
      <c r="AO39" s="35">
        <f>VLOOKUP(Tabla4[[#This Row],[SERVICIO 2025]],$J$2:$V$14,8,0)*Tabla4[[#This Row],[TOTAL COBERTURA]]</f>
        <v>0</v>
      </c>
      <c r="AP39" s="35">
        <f>VLOOKUP(Tabla4[[#This Row],[SERVICIO 2025]],$J$2:$V$14,3,0)*Tabla4[[#This Row],[TOTAL COBERTURA]]*8</f>
        <v>29163512</v>
      </c>
      <c r="AQ39" s="35"/>
      <c r="AR39" s="35">
        <f>Tabla4[[#This Row],[VALOR FASE PREPARATORIA DE ALISTAMIENTO]]+Tabla4[[#This Row],[VALOR FASE PREPARATORIA DE CIERRE]]+Tabla4[[#This Row],[DOTACIÓN ÚNICA]]+Tabla4[[#This Row],[VALOR ATENCIÓN]]+Tabla4[[#This Row],[VALOR RACION PREPARADA]]</f>
        <v>30305814</v>
      </c>
      <c r="AS39" s="35" t="str">
        <f>+IF(Tabla4[[#This Row],[AGRUPACIONES]]=1,SUMIFS(Tabla4[VALOR TOTAL],Tabla4[ZONA DEFINITIVO],Tabla4[[#This Row],[ZONA DEFINITIVO]])," ")</f>
        <v xml:space="preserve"> </v>
      </c>
      <c r="AT39" s="27">
        <f>(VLOOKUP(Tabla4[[#This Row],[SERVICIO 2025]],$J$2:$V$14,3,0)*Tabla4[[#This Row],[TOTAL COBERTURA]])+Tabla4[[#This Row],[VALOR FASE PREPARATORIA DE ALISTAMIENTO]]+Tabla4[[#This Row],[DOTACIÓN ÚNICA]]</f>
        <v>4262440</v>
      </c>
      <c r="AU39" s="35">
        <f>(VLOOKUP(Tabla4[[#This Row],[SERVICIO 2025]],$J$2:$V$14,3,0)*Tabla4[[#This Row],[TOTAL COBERTURA]])</f>
        <v>3645439</v>
      </c>
      <c r="AV39" s="35">
        <f>(VLOOKUP(Tabla4[[#This Row],[SERVICIO 2025]],$J$2:$V$14,3,0)*Tabla4[[#This Row],[TOTAL COBERTURA]])</f>
        <v>3645439</v>
      </c>
      <c r="AW39" s="35">
        <f>(VLOOKUP(Tabla4[[#This Row],[SERVICIO 2025]],$J$2:$V$14,3,0)*Tabla4[[#This Row],[TOTAL COBERTURA]])</f>
        <v>3645439</v>
      </c>
      <c r="AX39" s="35">
        <f>(VLOOKUP(Tabla4[[#This Row],[SERVICIO 2025]],$J$2:$V$14,3,0)*Tabla4[[#This Row],[TOTAL COBERTURA]])</f>
        <v>3645439</v>
      </c>
      <c r="AY39" s="35">
        <f>(VLOOKUP(Tabla4[[#This Row],[SERVICIO 2025]],$J$2:$V$14,3,0)*Tabla4[[#This Row],[TOTAL COBERTURA]])</f>
        <v>3645439</v>
      </c>
      <c r="AZ39" s="35">
        <f>(VLOOKUP(Tabla4[[#This Row],[SERVICIO 2025]],$J$2:$V$14,3,0)*Tabla4[[#This Row],[TOTAL COBERTURA]])</f>
        <v>3645439</v>
      </c>
      <c r="BA39" s="35">
        <f>(VLOOKUP(Tabla4[[#This Row],[SERVICIO 2025]],$J$2:$V$14,3,0)*Tabla4[[#This Row],[TOTAL COBERTURA]])+Tabla4[[#This Row],[VALOR FASE PREPARATORIA DE CIERRE]]</f>
        <v>4170740</v>
      </c>
      <c r="BB39" s="35">
        <f>SUM(Tabla4[[#This Row],[DESEMBOLSO 1]:[DESEMBOLSO 8]])</f>
        <v>30305814</v>
      </c>
      <c r="BC39" s="35">
        <f>VLOOKUP(Tabla4[[#This Row],[SERVICIO 2025]],$J$2:$V$14,10,0)*Tabla4[[#This Row],[TOTAL COBERTURA]]*$W$3</f>
        <v>0</v>
      </c>
      <c r="BD39" s="47" t="s">
        <v>145</v>
      </c>
      <c r="BE39" s="12" t="b">
        <f>EXACT(Tabla4[[#This Row],[VALOR ATENCIÓN (8 MESES)]],Tabla4[[#This Row],[VALOR TOTAL]])</f>
        <v>1</v>
      </c>
      <c r="BF39" s="23">
        <f>Tabla4[[#This Row],[VALOR ATENCIÓN (8 MESES)]]-Tabla4[[#This Row],[VALOR TOTAL]]</f>
        <v>0</v>
      </c>
      <c r="BG39" s="12" t="b">
        <f>EXACT(Tabla4[[#This Row],[TOTAL DESEMBOLSOS]],Tabla4[[#This Row],[VALOR ATENCIÓN (8 MESES)]])</f>
        <v>1</v>
      </c>
      <c r="BH39" s="29">
        <f>Tabla4[[#This Row],[TOTAL DESEMBOLSOS]]-Tabla4[[#This Row],[VALOR ATENCIÓN (8 MESES)]]</f>
        <v>0</v>
      </c>
      <c r="BI39" t="s">
        <v>98</v>
      </c>
    </row>
    <row r="40" spans="1:61">
      <c r="A40" s="13">
        <v>1888</v>
      </c>
      <c r="B40" s="13" t="s">
        <v>137</v>
      </c>
      <c r="C40" s="12" t="s">
        <v>87</v>
      </c>
      <c r="D40" s="12" t="s">
        <v>138</v>
      </c>
      <c r="E40" s="12" t="s">
        <v>139</v>
      </c>
      <c r="F40" s="12" t="s">
        <v>22</v>
      </c>
      <c r="G40" s="12" t="s">
        <v>90</v>
      </c>
      <c r="H40" s="12" t="s">
        <v>149</v>
      </c>
      <c r="I40" s="48" t="s">
        <v>150</v>
      </c>
      <c r="J40" s="12" t="s">
        <v>151</v>
      </c>
      <c r="K40" s="12">
        <v>1</v>
      </c>
      <c r="L40" s="12">
        <v>210</v>
      </c>
      <c r="M40" s="12"/>
      <c r="N40" s="13">
        <v>1888</v>
      </c>
      <c r="O40" s="12" t="s">
        <v>93</v>
      </c>
      <c r="P40" s="12"/>
      <c r="Q40" s="12"/>
      <c r="R40" s="12" t="s">
        <v>94</v>
      </c>
      <c r="S40" s="12">
        <v>10</v>
      </c>
      <c r="T40" s="12" t="s">
        <v>143</v>
      </c>
      <c r="U40" s="12" t="s">
        <v>144</v>
      </c>
      <c r="V40" s="12">
        <f>VLOOKUP(Tabla4[[#This Row],[ZONA DEFINITIVO]],Hoja1!$A$1:$D$121,3,0)</f>
        <v>228987</v>
      </c>
      <c r="W40" s="12">
        <f>VLOOKUP(Tabla4[[#This Row],[ZONA DEFINITIVO]],Hoja1!$A$1:$D$121,2,0)</f>
        <v>15168</v>
      </c>
      <c r="X40" s="12">
        <f>VLOOKUP(Tabla4[[#This Row],[ZONA DEFINITIVO]],Hoja1!$A$1:$D$121,4,0)</f>
        <v>91025</v>
      </c>
      <c r="Y40" s="12" t="str">
        <f>+IF(Tabla4[[#This Row],[AGRUPACIONES]]=1,SUMIFS(Tabla4[UDS],Tabla4[ZONA DEFINITIVO],Tabla4[[#This Row],[ZONA DEFINITIVO]])," ")</f>
        <v xml:space="preserve"> </v>
      </c>
      <c r="Z40" s="12" t="str">
        <f>+IF(Tabla4[[#This Row],[AGRUPACIONES]]=1,SUMIFS(Tabla4[TOTAL COBERTURA],Tabla4[ZONA DEFINITIVO],Tabla4[[#This Row],[ZONA DEFINITIVO]])," ")</f>
        <v xml:space="preserve"> </v>
      </c>
      <c r="AA40" s="12"/>
      <c r="AB40" s="38">
        <v>879658500</v>
      </c>
      <c r="AC40" s="37">
        <v>0.02</v>
      </c>
      <c r="AD40" s="38">
        <f t="shared" si="1"/>
        <v>17593170</v>
      </c>
      <c r="AE40" s="12"/>
      <c r="AF40" s="12">
        <f>COUNTIF($A$20:A40,A40)</f>
        <v>3</v>
      </c>
      <c r="AG40" s="38">
        <v>879658500</v>
      </c>
      <c r="AH40" s="38">
        <f>Tabla4[[#This Row],[VALOR CONTRAPARTIDA]]+Tabla4[[#This Row],[TOTAL APORTES ICBF]]</f>
        <v>897251670</v>
      </c>
      <c r="AI40" s="35"/>
      <c r="AJ40" s="38"/>
      <c r="AK40" s="38"/>
      <c r="AL40" s="23"/>
      <c r="AM40" s="35">
        <f>VLOOKUP(Tabla4[[#This Row],[SERVICIO 2025]],$J$2:$V$14,5,0)*Tabla4[[#This Row],[TOTAL COBERTURA]]</f>
        <v>18510030</v>
      </c>
      <c r="AN40" s="35">
        <f>VLOOKUP(Tabla4[[#This Row],[SERVICIO 2025]],$J$2:$V$14,6,0)*Tabla4[[#This Row],[TOTAL COBERTURA]]</f>
        <v>15759030</v>
      </c>
      <c r="AO40" s="35">
        <f>VLOOKUP(Tabla4[[#This Row],[SERVICIO 2025]],$J$2:$V$14,8,0)*Tabla4[[#This Row],[TOTAL COBERTURA]]</f>
        <v>0</v>
      </c>
      <c r="AP40" s="35">
        <f>VLOOKUP(Tabla4[[#This Row],[SERVICIO 2025]],$J$2:$V$14,3,0)*Tabla4[[#This Row],[TOTAL COBERTURA]]*8</f>
        <v>845389440</v>
      </c>
      <c r="AQ40" s="35"/>
      <c r="AR40" s="35">
        <f>Tabla4[[#This Row],[VALOR FASE PREPARATORIA DE ALISTAMIENTO]]+Tabla4[[#This Row],[VALOR FASE PREPARATORIA DE CIERRE]]+Tabla4[[#This Row],[DOTACIÓN ÚNICA]]+Tabla4[[#This Row],[VALOR ATENCIÓN]]+Tabla4[[#This Row],[VALOR RACION PREPARADA]]</f>
        <v>879658500</v>
      </c>
      <c r="AS40" s="35" t="str">
        <f>+IF(Tabla4[[#This Row],[AGRUPACIONES]]=1,SUMIFS(Tabla4[VALOR TOTAL],Tabla4[ZONA DEFINITIVO],Tabla4[[#This Row],[ZONA DEFINITIVO]])," ")</f>
        <v xml:space="preserve"> </v>
      </c>
      <c r="AT40" s="27">
        <f>(VLOOKUP(Tabla4[[#This Row],[SERVICIO 2025]],$J$2:$V$14,3,0)*Tabla4[[#This Row],[TOTAL COBERTURA]])+Tabla4[[#This Row],[VALOR FASE PREPARATORIA DE ALISTAMIENTO]]+Tabla4[[#This Row],[DOTACIÓN ÚNICA]]</f>
        <v>124183710</v>
      </c>
      <c r="AU40" s="35">
        <f>(VLOOKUP(Tabla4[[#This Row],[SERVICIO 2025]],$J$2:$V$14,3,0)*Tabla4[[#This Row],[TOTAL COBERTURA]])</f>
        <v>105673680</v>
      </c>
      <c r="AV40" s="35">
        <f>(VLOOKUP(Tabla4[[#This Row],[SERVICIO 2025]],$J$2:$V$14,3,0)*Tabla4[[#This Row],[TOTAL COBERTURA]])</f>
        <v>105673680</v>
      </c>
      <c r="AW40" s="35">
        <f>(VLOOKUP(Tabla4[[#This Row],[SERVICIO 2025]],$J$2:$V$14,3,0)*Tabla4[[#This Row],[TOTAL COBERTURA]])</f>
        <v>105673680</v>
      </c>
      <c r="AX40" s="35">
        <f>(VLOOKUP(Tabla4[[#This Row],[SERVICIO 2025]],$J$2:$V$14,3,0)*Tabla4[[#This Row],[TOTAL COBERTURA]])</f>
        <v>105673680</v>
      </c>
      <c r="AY40" s="35">
        <f>(VLOOKUP(Tabla4[[#This Row],[SERVICIO 2025]],$J$2:$V$14,3,0)*Tabla4[[#This Row],[TOTAL COBERTURA]])</f>
        <v>105673680</v>
      </c>
      <c r="AZ40" s="35">
        <f>(VLOOKUP(Tabla4[[#This Row],[SERVICIO 2025]],$J$2:$V$14,3,0)*Tabla4[[#This Row],[TOTAL COBERTURA]])</f>
        <v>105673680</v>
      </c>
      <c r="BA40" s="35">
        <f>(VLOOKUP(Tabla4[[#This Row],[SERVICIO 2025]],$J$2:$V$14,3,0)*Tabla4[[#This Row],[TOTAL COBERTURA]])+Tabla4[[#This Row],[VALOR FASE PREPARATORIA DE CIERRE]]</f>
        <v>121432710</v>
      </c>
      <c r="BB40" s="35">
        <f>SUM(Tabla4[[#This Row],[DESEMBOLSO 1]:[DESEMBOLSO 8]])</f>
        <v>879658500</v>
      </c>
      <c r="BC40" s="35">
        <f>VLOOKUP(Tabla4[[#This Row],[SERVICIO 2025]],$J$2:$V$14,10,0)*Tabla4[[#This Row],[TOTAL COBERTURA]]*$W$3</f>
        <v>0</v>
      </c>
      <c r="BD40" s="47" t="s">
        <v>145</v>
      </c>
      <c r="BE40" s="12" t="b">
        <f>EXACT(Tabla4[[#This Row],[VALOR ATENCIÓN (8 MESES)]],Tabla4[[#This Row],[VALOR TOTAL]])</f>
        <v>1</v>
      </c>
      <c r="BF40" s="23">
        <f>Tabla4[[#This Row],[VALOR ATENCIÓN (8 MESES)]]-Tabla4[[#This Row],[VALOR TOTAL]]</f>
        <v>0</v>
      </c>
      <c r="BG40" s="12" t="b">
        <f>EXACT(Tabla4[[#This Row],[TOTAL DESEMBOLSOS]],Tabla4[[#This Row],[VALOR ATENCIÓN (8 MESES)]])</f>
        <v>1</v>
      </c>
      <c r="BH40" s="29">
        <f>Tabla4[[#This Row],[TOTAL DESEMBOLSOS]]-Tabla4[[#This Row],[VALOR ATENCIÓN (8 MESES)]]</f>
        <v>0</v>
      </c>
      <c r="BI40" t="s">
        <v>98</v>
      </c>
    </row>
    <row r="41" spans="1:61">
      <c r="A41" s="13">
        <v>1888</v>
      </c>
      <c r="B41" s="13" t="s">
        <v>137</v>
      </c>
      <c r="C41" s="12" t="s">
        <v>87</v>
      </c>
      <c r="D41" s="12" t="s">
        <v>138</v>
      </c>
      <c r="E41" s="12" t="s">
        <v>139</v>
      </c>
      <c r="F41" s="12" t="s">
        <v>22</v>
      </c>
      <c r="G41" s="12" t="s">
        <v>90</v>
      </c>
      <c r="H41" s="12" t="s">
        <v>152</v>
      </c>
      <c r="I41" s="48" t="s">
        <v>153</v>
      </c>
      <c r="J41" s="12" t="s">
        <v>154</v>
      </c>
      <c r="K41" s="12">
        <v>1</v>
      </c>
      <c r="L41" s="12">
        <v>87</v>
      </c>
      <c r="M41" s="12"/>
      <c r="N41" s="13">
        <v>1888</v>
      </c>
      <c r="O41" s="12" t="s">
        <v>93</v>
      </c>
      <c r="P41" s="12"/>
      <c r="Q41" s="12"/>
      <c r="R41" s="12" t="s">
        <v>94</v>
      </c>
      <c r="S41" s="12">
        <v>10</v>
      </c>
      <c r="T41" s="12" t="s">
        <v>143</v>
      </c>
      <c r="U41" s="12" t="s">
        <v>144</v>
      </c>
      <c r="V41" s="12">
        <f>VLOOKUP(Tabla4[[#This Row],[ZONA DEFINITIVO]],Hoja1!$A$1:$D$121,3,0)</f>
        <v>228987</v>
      </c>
      <c r="W41" s="12">
        <f>VLOOKUP(Tabla4[[#This Row],[ZONA DEFINITIVO]],Hoja1!$A$1:$D$121,2,0)</f>
        <v>15168</v>
      </c>
      <c r="X41" s="12">
        <f>VLOOKUP(Tabla4[[#This Row],[ZONA DEFINITIVO]],Hoja1!$A$1:$D$121,4,0)</f>
        <v>91025</v>
      </c>
      <c r="Y41" s="12" t="str">
        <f>+IF(Tabla4[[#This Row],[AGRUPACIONES]]=1,SUMIFS(Tabla4[UDS],Tabla4[ZONA DEFINITIVO],Tabla4[[#This Row],[ZONA DEFINITIVO]])," ")</f>
        <v xml:space="preserve"> </v>
      </c>
      <c r="Z41" s="12" t="str">
        <f>+IF(Tabla4[[#This Row],[AGRUPACIONES]]=1,SUMIFS(Tabla4[TOTAL COBERTURA],Tabla4[ZONA DEFINITIVO],Tabla4[[#This Row],[ZONA DEFINITIVO]])," ")</f>
        <v xml:space="preserve"> </v>
      </c>
      <c r="AA41" s="12"/>
      <c r="AB41" s="38">
        <v>364429950</v>
      </c>
      <c r="AC41" s="37">
        <v>0.02</v>
      </c>
      <c r="AD41" s="38">
        <f t="shared" si="1"/>
        <v>7288599</v>
      </c>
      <c r="AE41" s="12"/>
      <c r="AF41" s="12">
        <f>COUNTIF($A$20:A41,A41)</f>
        <v>4</v>
      </c>
      <c r="AG41" s="38">
        <v>364429950</v>
      </c>
      <c r="AH41" s="38">
        <f>Tabla4[[#This Row],[VALOR CONTRAPARTIDA]]+Tabla4[[#This Row],[TOTAL APORTES ICBF]]</f>
        <v>371718549</v>
      </c>
      <c r="AI41" s="35"/>
      <c r="AJ41" s="38"/>
      <c r="AK41" s="38"/>
      <c r="AL41" s="23"/>
      <c r="AM41" s="35">
        <f>VLOOKUP(Tabla4[[#This Row],[SERVICIO 2025]],$J$2:$V$14,5,0)*Tabla4[[#This Row],[TOTAL COBERTURA]]</f>
        <v>7668441</v>
      </c>
      <c r="AN41" s="35">
        <f>VLOOKUP(Tabla4[[#This Row],[SERVICIO 2025]],$J$2:$V$14,6,0)*Tabla4[[#This Row],[TOTAL COBERTURA]]</f>
        <v>6528741</v>
      </c>
      <c r="AO41" s="35">
        <f>VLOOKUP(Tabla4[[#This Row],[SERVICIO 2025]],$J$2:$V$14,8,0)*Tabla4[[#This Row],[TOTAL COBERTURA]]</f>
        <v>0</v>
      </c>
      <c r="AP41" s="35">
        <f>VLOOKUP(Tabla4[[#This Row],[SERVICIO 2025]],$J$2:$V$14,3,0)*Tabla4[[#This Row],[TOTAL COBERTURA]]*8</f>
        <v>350232768</v>
      </c>
      <c r="AQ41" s="35"/>
      <c r="AR41" s="35">
        <f>Tabla4[[#This Row],[VALOR FASE PREPARATORIA DE ALISTAMIENTO]]+Tabla4[[#This Row],[VALOR FASE PREPARATORIA DE CIERRE]]+Tabla4[[#This Row],[DOTACIÓN ÚNICA]]+Tabla4[[#This Row],[VALOR ATENCIÓN]]+Tabla4[[#This Row],[VALOR RACION PREPARADA]]</f>
        <v>364429950</v>
      </c>
      <c r="AS41" s="35" t="str">
        <f>+IF(Tabla4[[#This Row],[AGRUPACIONES]]=1,SUMIFS(Tabla4[VALOR TOTAL],Tabla4[ZONA DEFINITIVO],Tabla4[[#This Row],[ZONA DEFINITIVO]])," ")</f>
        <v xml:space="preserve"> </v>
      </c>
      <c r="AT41" s="27">
        <f>(VLOOKUP(Tabla4[[#This Row],[SERVICIO 2025]],$J$2:$V$14,3,0)*Tabla4[[#This Row],[TOTAL COBERTURA]])+Tabla4[[#This Row],[VALOR FASE PREPARATORIA DE ALISTAMIENTO]]+Tabla4[[#This Row],[DOTACIÓN ÚNICA]]</f>
        <v>51447537</v>
      </c>
      <c r="AU41" s="35">
        <f>(VLOOKUP(Tabla4[[#This Row],[SERVICIO 2025]],$J$2:$V$14,3,0)*Tabla4[[#This Row],[TOTAL COBERTURA]])</f>
        <v>43779096</v>
      </c>
      <c r="AV41" s="35">
        <f>(VLOOKUP(Tabla4[[#This Row],[SERVICIO 2025]],$J$2:$V$14,3,0)*Tabla4[[#This Row],[TOTAL COBERTURA]])</f>
        <v>43779096</v>
      </c>
      <c r="AW41" s="35">
        <f>(VLOOKUP(Tabla4[[#This Row],[SERVICIO 2025]],$J$2:$V$14,3,0)*Tabla4[[#This Row],[TOTAL COBERTURA]])</f>
        <v>43779096</v>
      </c>
      <c r="AX41" s="35">
        <f>(VLOOKUP(Tabla4[[#This Row],[SERVICIO 2025]],$J$2:$V$14,3,0)*Tabla4[[#This Row],[TOTAL COBERTURA]])</f>
        <v>43779096</v>
      </c>
      <c r="AY41" s="35">
        <f>(VLOOKUP(Tabla4[[#This Row],[SERVICIO 2025]],$J$2:$V$14,3,0)*Tabla4[[#This Row],[TOTAL COBERTURA]])</f>
        <v>43779096</v>
      </c>
      <c r="AZ41" s="35">
        <f>(VLOOKUP(Tabla4[[#This Row],[SERVICIO 2025]],$J$2:$V$14,3,0)*Tabla4[[#This Row],[TOTAL COBERTURA]])</f>
        <v>43779096</v>
      </c>
      <c r="BA41" s="35">
        <f>(VLOOKUP(Tabla4[[#This Row],[SERVICIO 2025]],$J$2:$V$14,3,0)*Tabla4[[#This Row],[TOTAL COBERTURA]])+Tabla4[[#This Row],[VALOR FASE PREPARATORIA DE CIERRE]]</f>
        <v>50307837</v>
      </c>
      <c r="BB41" s="35">
        <f>SUM(Tabla4[[#This Row],[DESEMBOLSO 1]:[DESEMBOLSO 8]])</f>
        <v>364429950</v>
      </c>
      <c r="BC41" s="35">
        <f>VLOOKUP(Tabla4[[#This Row],[SERVICIO 2025]],$J$2:$V$14,10,0)*Tabla4[[#This Row],[TOTAL COBERTURA]]*$W$3</f>
        <v>0</v>
      </c>
      <c r="BD41" s="47" t="s">
        <v>145</v>
      </c>
      <c r="BE41" s="12" t="b">
        <f>EXACT(Tabla4[[#This Row],[VALOR ATENCIÓN (8 MESES)]],Tabla4[[#This Row],[VALOR TOTAL]])</f>
        <v>1</v>
      </c>
      <c r="BF41" s="23">
        <f>Tabla4[[#This Row],[VALOR ATENCIÓN (8 MESES)]]-Tabla4[[#This Row],[VALOR TOTAL]]</f>
        <v>0</v>
      </c>
      <c r="BG41" s="12" t="b">
        <f>EXACT(Tabla4[[#This Row],[TOTAL DESEMBOLSOS]],Tabla4[[#This Row],[VALOR ATENCIÓN (8 MESES)]])</f>
        <v>1</v>
      </c>
      <c r="BH41" s="29">
        <f>Tabla4[[#This Row],[TOTAL DESEMBOLSOS]]-Tabla4[[#This Row],[VALOR ATENCIÓN (8 MESES)]]</f>
        <v>0</v>
      </c>
      <c r="BI41" t="s">
        <v>98</v>
      </c>
    </row>
    <row r="42" spans="1:61">
      <c r="A42" s="13">
        <v>1888</v>
      </c>
      <c r="B42" s="13" t="s">
        <v>137</v>
      </c>
      <c r="C42" s="12" t="s">
        <v>87</v>
      </c>
      <c r="D42" s="12" t="s">
        <v>138</v>
      </c>
      <c r="E42" s="12" t="s">
        <v>139</v>
      </c>
      <c r="F42" s="12" t="s">
        <v>22</v>
      </c>
      <c r="G42" s="12" t="s">
        <v>90</v>
      </c>
      <c r="H42" s="12" t="s">
        <v>155</v>
      </c>
      <c r="I42" s="48" t="s">
        <v>156</v>
      </c>
      <c r="J42" s="12" t="s">
        <v>157</v>
      </c>
      <c r="K42" s="12">
        <v>1</v>
      </c>
      <c r="L42" s="12">
        <v>28</v>
      </c>
      <c r="M42" s="12"/>
      <c r="N42" s="13">
        <v>1888</v>
      </c>
      <c r="O42" s="12" t="s">
        <v>93</v>
      </c>
      <c r="P42" s="12"/>
      <c r="Q42" s="12"/>
      <c r="R42" s="12" t="s">
        <v>94</v>
      </c>
      <c r="S42" s="12">
        <v>10</v>
      </c>
      <c r="T42" s="12" t="s">
        <v>143</v>
      </c>
      <c r="U42" s="12" t="s">
        <v>144</v>
      </c>
      <c r="V42" s="12">
        <f>VLOOKUP(Tabla4[[#This Row],[ZONA DEFINITIVO]],Hoja1!$A$1:$D$121,3,0)</f>
        <v>228987</v>
      </c>
      <c r="W42" s="12">
        <f>VLOOKUP(Tabla4[[#This Row],[ZONA DEFINITIVO]],Hoja1!$A$1:$D$121,2,0)</f>
        <v>15168</v>
      </c>
      <c r="X42" s="12">
        <f>VLOOKUP(Tabla4[[#This Row],[ZONA DEFINITIVO]],Hoja1!$A$1:$D$121,4,0)</f>
        <v>91025</v>
      </c>
      <c r="Y42" s="12" t="str">
        <f>+IF(Tabla4[[#This Row],[AGRUPACIONES]]=1,SUMIFS(Tabla4[UDS],Tabla4[ZONA DEFINITIVO],Tabla4[[#This Row],[ZONA DEFINITIVO]])," ")</f>
        <v xml:space="preserve"> </v>
      </c>
      <c r="Z42" s="12" t="str">
        <f>+IF(Tabla4[[#This Row],[AGRUPACIONES]]=1,SUMIFS(Tabla4[TOTAL COBERTURA],Tabla4[ZONA DEFINITIVO],Tabla4[[#This Row],[ZONA DEFINITIVO]])," ")</f>
        <v xml:space="preserve"> </v>
      </c>
      <c r="AA42" s="12"/>
      <c r="AB42" s="38">
        <v>117287800</v>
      </c>
      <c r="AC42" s="37">
        <v>0.02</v>
      </c>
      <c r="AD42" s="38">
        <f t="shared" si="1"/>
        <v>2345756</v>
      </c>
      <c r="AE42" s="12"/>
      <c r="AF42" s="12">
        <f>COUNTIF($A$20:A42,A42)</f>
        <v>5</v>
      </c>
      <c r="AG42" s="38">
        <v>117287800</v>
      </c>
      <c r="AH42" s="38">
        <f>Tabla4[[#This Row],[VALOR CONTRAPARTIDA]]+Tabla4[[#This Row],[TOTAL APORTES ICBF]]</f>
        <v>119633556</v>
      </c>
      <c r="AI42" s="35"/>
      <c r="AJ42" s="38"/>
      <c r="AK42" s="38"/>
      <c r="AL42" s="23"/>
      <c r="AM42" s="35">
        <f>VLOOKUP(Tabla4[[#This Row],[SERVICIO 2025]],$J$2:$V$14,5,0)*Tabla4[[#This Row],[TOTAL COBERTURA]]</f>
        <v>2468004</v>
      </c>
      <c r="AN42" s="35">
        <f>VLOOKUP(Tabla4[[#This Row],[SERVICIO 2025]],$J$2:$V$14,6,0)*Tabla4[[#This Row],[TOTAL COBERTURA]]</f>
        <v>2101204</v>
      </c>
      <c r="AO42" s="35">
        <f>VLOOKUP(Tabla4[[#This Row],[SERVICIO 2025]],$J$2:$V$14,8,0)*Tabla4[[#This Row],[TOTAL COBERTURA]]</f>
        <v>0</v>
      </c>
      <c r="AP42" s="35">
        <f>VLOOKUP(Tabla4[[#This Row],[SERVICIO 2025]],$J$2:$V$14,3,0)*Tabla4[[#This Row],[TOTAL COBERTURA]]*8</f>
        <v>112718592</v>
      </c>
      <c r="AQ42" s="35"/>
      <c r="AR42" s="35">
        <f>Tabla4[[#This Row],[VALOR FASE PREPARATORIA DE ALISTAMIENTO]]+Tabla4[[#This Row],[VALOR FASE PREPARATORIA DE CIERRE]]+Tabla4[[#This Row],[DOTACIÓN ÚNICA]]+Tabla4[[#This Row],[VALOR ATENCIÓN]]+Tabla4[[#This Row],[VALOR RACION PREPARADA]]</f>
        <v>117287800</v>
      </c>
      <c r="AS42" s="35" t="str">
        <f>+IF(Tabla4[[#This Row],[AGRUPACIONES]]=1,SUMIFS(Tabla4[VALOR TOTAL],Tabla4[ZONA DEFINITIVO],Tabla4[[#This Row],[ZONA DEFINITIVO]])," ")</f>
        <v xml:space="preserve"> </v>
      </c>
      <c r="AT42" s="27">
        <f>(VLOOKUP(Tabla4[[#This Row],[SERVICIO 2025]],$J$2:$V$14,3,0)*Tabla4[[#This Row],[TOTAL COBERTURA]])+Tabla4[[#This Row],[VALOR FASE PREPARATORIA DE ALISTAMIENTO]]+Tabla4[[#This Row],[DOTACIÓN ÚNICA]]</f>
        <v>16557828</v>
      </c>
      <c r="AU42" s="35">
        <f>(VLOOKUP(Tabla4[[#This Row],[SERVICIO 2025]],$J$2:$V$14,3,0)*Tabla4[[#This Row],[TOTAL COBERTURA]])</f>
        <v>14089824</v>
      </c>
      <c r="AV42" s="35">
        <f>(VLOOKUP(Tabla4[[#This Row],[SERVICIO 2025]],$J$2:$V$14,3,0)*Tabla4[[#This Row],[TOTAL COBERTURA]])</f>
        <v>14089824</v>
      </c>
      <c r="AW42" s="35">
        <f>(VLOOKUP(Tabla4[[#This Row],[SERVICIO 2025]],$J$2:$V$14,3,0)*Tabla4[[#This Row],[TOTAL COBERTURA]])</f>
        <v>14089824</v>
      </c>
      <c r="AX42" s="35">
        <f>(VLOOKUP(Tabla4[[#This Row],[SERVICIO 2025]],$J$2:$V$14,3,0)*Tabla4[[#This Row],[TOTAL COBERTURA]])</f>
        <v>14089824</v>
      </c>
      <c r="AY42" s="35">
        <f>(VLOOKUP(Tabla4[[#This Row],[SERVICIO 2025]],$J$2:$V$14,3,0)*Tabla4[[#This Row],[TOTAL COBERTURA]])</f>
        <v>14089824</v>
      </c>
      <c r="AZ42" s="35">
        <f>(VLOOKUP(Tabla4[[#This Row],[SERVICIO 2025]],$J$2:$V$14,3,0)*Tabla4[[#This Row],[TOTAL COBERTURA]])</f>
        <v>14089824</v>
      </c>
      <c r="BA42" s="35">
        <f>(VLOOKUP(Tabla4[[#This Row],[SERVICIO 2025]],$J$2:$V$14,3,0)*Tabla4[[#This Row],[TOTAL COBERTURA]])+Tabla4[[#This Row],[VALOR FASE PREPARATORIA DE CIERRE]]</f>
        <v>16191028</v>
      </c>
      <c r="BB42" s="35">
        <f>SUM(Tabla4[[#This Row],[DESEMBOLSO 1]:[DESEMBOLSO 8]])</f>
        <v>117287800</v>
      </c>
      <c r="BC42" s="35">
        <f>VLOOKUP(Tabla4[[#This Row],[SERVICIO 2025]],$J$2:$V$14,10,0)*Tabla4[[#This Row],[TOTAL COBERTURA]]*$W$3</f>
        <v>0</v>
      </c>
      <c r="BD42" s="47" t="s">
        <v>145</v>
      </c>
      <c r="BE42" s="12" t="b">
        <f>EXACT(Tabla4[[#This Row],[VALOR ATENCIÓN (8 MESES)]],Tabla4[[#This Row],[VALOR TOTAL]])</f>
        <v>1</v>
      </c>
      <c r="BF42" s="23">
        <f>Tabla4[[#This Row],[VALOR ATENCIÓN (8 MESES)]]-Tabla4[[#This Row],[VALOR TOTAL]]</f>
        <v>0</v>
      </c>
      <c r="BG42" s="12" t="b">
        <f>EXACT(Tabla4[[#This Row],[TOTAL DESEMBOLSOS]],Tabla4[[#This Row],[VALOR ATENCIÓN (8 MESES)]])</f>
        <v>1</v>
      </c>
      <c r="BH42" s="29">
        <f>Tabla4[[#This Row],[TOTAL DESEMBOLSOS]]-Tabla4[[#This Row],[VALOR ATENCIÓN (8 MESES)]]</f>
        <v>0</v>
      </c>
      <c r="BI42" t="s">
        <v>98</v>
      </c>
    </row>
    <row r="43" spans="1:61">
      <c r="A43" s="13">
        <v>1888</v>
      </c>
      <c r="B43" s="13" t="s">
        <v>137</v>
      </c>
      <c r="C43" s="12" t="s">
        <v>87</v>
      </c>
      <c r="D43" s="12" t="s">
        <v>138</v>
      </c>
      <c r="E43" s="12" t="s">
        <v>139</v>
      </c>
      <c r="F43" s="12" t="s">
        <v>22</v>
      </c>
      <c r="G43" s="12" t="s">
        <v>90</v>
      </c>
      <c r="H43" s="12" t="s">
        <v>158</v>
      </c>
      <c r="I43" s="48" t="s">
        <v>159</v>
      </c>
      <c r="J43" s="12" t="s">
        <v>160</v>
      </c>
      <c r="K43" s="12">
        <v>1</v>
      </c>
      <c r="L43" s="12">
        <v>67</v>
      </c>
      <c r="M43" s="12"/>
      <c r="N43" s="13">
        <v>1888</v>
      </c>
      <c r="O43" s="12" t="s">
        <v>93</v>
      </c>
      <c r="P43" s="12"/>
      <c r="Q43" s="12"/>
      <c r="R43" s="12" t="s">
        <v>94</v>
      </c>
      <c r="S43" s="12">
        <v>10</v>
      </c>
      <c r="T43" s="12" t="s">
        <v>143</v>
      </c>
      <c r="U43" s="12" t="s">
        <v>144</v>
      </c>
      <c r="V43" s="12">
        <f>VLOOKUP(Tabla4[[#This Row],[ZONA DEFINITIVO]],Hoja1!$A$1:$D$121,3,0)</f>
        <v>228987</v>
      </c>
      <c r="W43" s="12">
        <f>VLOOKUP(Tabla4[[#This Row],[ZONA DEFINITIVO]],Hoja1!$A$1:$D$121,2,0)</f>
        <v>15168</v>
      </c>
      <c r="X43" s="12">
        <f>VLOOKUP(Tabla4[[#This Row],[ZONA DEFINITIVO]],Hoja1!$A$1:$D$121,4,0)</f>
        <v>91025</v>
      </c>
      <c r="Y43" s="12" t="str">
        <f>+IF(Tabla4[[#This Row],[AGRUPACIONES]]=1,SUMIFS(Tabla4[UDS],Tabla4[ZONA DEFINITIVO],Tabla4[[#This Row],[ZONA DEFINITIVO]])," ")</f>
        <v xml:space="preserve"> </v>
      </c>
      <c r="Z43" s="12" t="str">
        <f>+IF(Tabla4[[#This Row],[AGRUPACIONES]]=1,SUMIFS(Tabla4[TOTAL COBERTURA],Tabla4[ZONA DEFINITIVO],Tabla4[[#This Row],[ZONA DEFINITIVO]])," ")</f>
        <v xml:space="preserve"> </v>
      </c>
      <c r="AA43" s="12"/>
      <c r="AB43" s="38">
        <v>280652950</v>
      </c>
      <c r="AC43" s="37">
        <v>0.02</v>
      </c>
      <c r="AD43" s="38">
        <f t="shared" si="1"/>
        <v>5613059</v>
      </c>
      <c r="AE43" s="12"/>
      <c r="AF43" s="12">
        <f>COUNTIF($A$20:A43,A43)</f>
        <v>6</v>
      </c>
      <c r="AG43" s="38">
        <v>280652950</v>
      </c>
      <c r="AH43" s="38">
        <f>Tabla4[[#This Row],[VALOR CONTRAPARTIDA]]+Tabla4[[#This Row],[TOTAL APORTES ICBF]]</f>
        <v>286266009</v>
      </c>
      <c r="AI43" s="35"/>
      <c r="AJ43" s="38"/>
      <c r="AK43" s="38"/>
      <c r="AL43" s="23"/>
      <c r="AM43" s="35">
        <f>VLOOKUP(Tabla4[[#This Row],[SERVICIO 2025]],$J$2:$V$14,5,0)*Tabla4[[#This Row],[TOTAL COBERTURA]]</f>
        <v>5905581</v>
      </c>
      <c r="AN43" s="35">
        <f>VLOOKUP(Tabla4[[#This Row],[SERVICIO 2025]],$J$2:$V$14,6,0)*Tabla4[[#This Row],[TOTAL COBERTURA]]</f>
        <v>5027881</v>
      </c>
      <c r="AO43" s="35">
        <f>VLOOKUP(Tabla4[[#This Row],[SERVICIO 2025]],$J$2:$V$14,8,0)*Tabla4[[#This Row],[TOTAL COBERTURA]]</f>
        <v>0</v>
      </c>
      <c r="AP43" s="35">
        <f>VLOOKUP(Tabla4[[#This Row],[SERVICIO 2025]],$J$2:$V$14,3,0)*Tabla4[[#This Row],[TOTAL COBERTURA]]*8</f>
        <v>269719488</v>
      </c>
      <c r="AQ43" s="35"/>
      <c r="AR43" s="35">
        <f>Tabla4[[#This Row],[VALOR FASE PREPARATORIA DE ALISTAMIENTO]]+Tabla4[[#This Row],[VALOR FASE PREPARATORIA DE CIERRE]]+Tabla4[[#This Row],[DOTACIÓN ÚNICA]]+Tabla4[[#This Row],[VALOR ATENCIÓN]]+Tabla4[[#This Row],[VALOR RACION PREPARADA]]</f>
        <v>280652950</v>
      </c>
      <c r="AS43" s="35" t="str">
        <f>+IF(Tabla4[[#This Row],[AGRUPACIONES]]=1,SUMIFS(Tabla4[VALOR TOTAL],Tabla4[ZONA DEFINITIVO],Tabla4[[#This Row],[ZONA DEFINITIVO]])," ")</f>
        <v xml:space="preserve"> </v>
      </c>
      <c r="AT43" s="27">
        <f>(VLOOKUP(Tabla4[[#This Row],[SERVICIO 2025]],$J$2:$V$14,3,0)*Tabla4[[#This Row],[TOTAL COBERTURA]])+Tabla4[[#This Row],[VALOR FASE PREPARATORIA DE ALISTAMIENTO]]+Tabla4[[#This Row],[DOTACIÓN ÚNICA]]</f>
        <v>39620517</v>
      </c>
      <c r="AU43" s="35">
        <f>(VLOOKUP(Tabla4[[#This Row],[SERVICIO 2025]],$J$2:$V$14,3,0)*Tabla4[[#This Row],[TOTAL COBERTURA]])</f>
        <v>33714936</v>
      </c>
      <c r="AV43" s="35">
        <f>(VLOOKUP(Tabla4[[#This Row],[SERVICIO 2025]],$J$2:$V$14,3,0)*Tabla4[[#This Row],[TOTAL COBERTURA]])</f>
        <v>33714936</v>
      </c>
      <c r="AW43" s="35">
        <f>(VLOOKUP(Tabla4[[#This Row],[SERVICIO 2025]],$J$2:$V$14,3,0)*Tabla4[[#This Row],[TOTAL COBERTURA]])</f>
        <v>33714936</v>
      </c>
      <c r="AX43" s="35">
        <f>(VLOOKUP(Tabla4[[#This Row],[SERVICIO 2025]],$J$2:$V$14,3,0)*Tabla4[[#This Row],[TOTAL COBERTURA]])</f>
        <v>33714936</v>
      </c>
      <c r="AY43" s="35">
        <f>(VLOOKUP(Tabla4[[#This Row],[SERVICIO 2025]],$J$2:$V$14,3,0)*Tabla4[[#This Row],[TOTAL COBERTURA]])</f>
        <v>33714936</v>
      </c>
      <c r="AZ43" s="35">
        <f>(VLOOKUP(Tabla4[[#This Row],[SERVICIO 2025]],$J$2:$V$14,3,0)*Tabla4[[#This Row],[TOTAL COBERTURA]])</f>
        <v>33714936</v>
      </c>
      <c r="BA43" s="35">
        <f>(VLOOKUP(Tabla4[[#This Row],[SERVICIO 2025]],$J$2:$V$14,3,0)*Tabla4[[#This Row],[TOTAL COBERTURA]])+Tabla4[[#This Row],[VALOR FASE PREPARATORIA DE CIERRE]]</f>
        <v>38742817</v>
      </c>
      <c r="BB43" s="35">
        <f>SUM(Tabla4[[#This Row],[DESEMBOLSO 1]:[DESEMBOLSO 8]])</f>
        <v>280652950</v>
      </c>
      <c r="BC43" s="35">
        <f>VLOOKUP(Tabla4[[#This Row],[SERVICIO 2025]],$J$2:$V$14,10,0)*Tabla4[[#This Row],[TOTAL COBERTURA]]*$W$3</f>
        <v>0</v>
      </c>
      <c r="BD43" s="47" t="s">
        <v>145</v>
      </c>
      <c r="BE43" s="12" t="b">
        <f>EXACT(Tabla4[[#This Row],[VALOR ATENCIÓN (8 MESES)]],Tabla4[[#This Row],[VALOR TOTAL]])</f>
        <v>1</v>
      </c>
      <c r="BF43" s="23">
        <f>Tabla4[[#This Row],[VALOR ATENCIÓN (8 MESES)]]-Tabla4[[#This Row],[VALOR TOTAL]]</f>
        <v>0</v>
      </c>
      <c r="BG43" s="12" t="b">
        <f>EXACT(Tabla4[[#This Row],[TOTAL DESEMBOLSOS]],Tabla4[[#This Row],[VALOR ATENCIÓN (8 MESES)]])</f>
        <v>1</v>
      </c>
      <c r="BH43" s="29">
        <f>Tabla4[[#This Row],[TOTAL DESEMBOLSOS]]-Tabla4[[#This Row],[VALOR ATENCIÓN (8 MESES)]]</f>
        <v>0</v>
      </c>
      <c r="BI43" t="s">
        <v>98</v>
      </c>
    </row>
    <row r="44" spans="1:61">
      <c r="A44" s="13">
        <v>1889</v>
      </c>
      <c r="B44" s="13" t="s">
        <v>161</v>
      </c>
      <c r="C44" s="12" t="s">
        <v>87</v>
      </c>
      <c r="D44" s="12" t="s">
        <v>162</v>
      </c>
      <c r="E44" s="12" t="s">
        <v>139</v>
      </c>
      <c r="F44" s="12" t="s">
        <v>15</v>
      </c>
      <c r="G44" s="12" t="s">
        <v>90</v>
      </c>
      <c r="H44" s="12" t="s">
        <v>163</v>
      </c>
      <c r="I44" s="48" t="s">
        <v>164</v>
      </c>
      <c r="J44" s="12" t="s">
        <v>165</v>
      </c>
      <c r="K44" s="12">
        <v>1</v>
      </c>
      <c r="L44" s="12">
        <v>22</v>
      </c>
      <c r="M44" s="12"/>
      <c r="N44" s="13">
        <v>1889</v>
      </c>
      <c r="O44" s="12" t="s">
        <v>93</v>
      </c>
      <c r="P44" s="12"/>
      <c r="Q44" s="12"/>
      <c r="R44" s="12" t="s">
        <v>94</v>
      </c>
      <c r="S44" s="12">
        <v>10</v>
      </c>
      <c r="T44" s="12" t="s">
        <v>166</v>
      </c>
      <c r="U44" s="12" t="s">
        <v>167</v>
      </c>
      <c r="V44" s="12">
        <f>VLOOKUP(Tabla4[[#This Row],[ZONA DEFINITIVO]],Hoja1!$A$1:$D$121,3,0)</f>
        <v>228989</v>
      </c>
      <c r="W44" s="12">
        <f>VLOOKUP(Tabla4[[#This Row],[ZONA DEFINITIVO]],Hoja1!$A$1:$D$121,2,0)</f>
        <v>15178</v>
      </c>
      <c r="X44" s="12">
        <f>VLOOKUP(Tabla4[[#This Row],[ZONA DEFINITIVO]],Hoja1!$A$1:$D$121,4,0)</f>
        <v>82025</v>
      </c>
      <c r="Y44" s="12">
        <f>+IF(Tabla4[[#This Row],[AGRUPACIONES]]=1,SUMIFS(Tabla4[UDS],Tabla4[ZONA DEFINITIVO],Tabla4[[#This Row],[ZONA DEFINITIVO]])," ")</f>
        <v>13</v>
      </c>
      <c r="Z44" s="12">
        <f>+IF(Tabla4[[#This Row],[AGRUPACIONES]]=1,SUMIFS(Tabla4[TOTAL COBERTURA],Tabla4[ZONA DEFINITIVO],Tabla4[[#This Row],[ZONA DEFINITIVO]])," ")</f>
        <v>682</v>
      </c>
      <c r="AA44" s="12"/>
      <c r="AB44" s="38">
        <v>95246844</v>
      </c>
      <c r="AC44" s="37">
        <v>0.02</v>
      </c>
      <c r="AD44" s="38">
        <f t="shared" si="1"/>
        <v>1904936.8800000001</v>
      </c>
      <c r="AE44" s="12"/>
      <c r="AF44" s="12">
        <f>COUNTIF($A$20:A44,A44)</f>
        <v>1</v>
      </c>
      <c r="AG44" s="38">
        <v>95246844</v>
      </c>
      <c r="AH44" s="38">
        <f>Tabla4[[#This Row],[VALOR CONTRAPARTIDA]]+Tabla4[[#This Row],[TOTAL APORTES ICBF]]</f>
        <v>97151780.879999995</v>
      </c>
      <c r="AI44" s="35">
        <f>ROUND(+IF(Tabla4[[#This Row],[AGRUPACIONES]]=1,SUMIFS(Tabla4[TOTAL APORTES ICBF],Tabla4[ZONA DEFINITIVO],Tabla4[[#This Row],[ZONA DEFINITIVO]])," "),0)</f>
        <v>2908237732</v>
      </c>
      <c r="AJ44" s="38">
        <f>ROUND(+IF(Tabla4[[#This Row],[AGRUPACIONES]]=1,SUMIFS(Tabla4[VALOR CONTRAPARTIDA],Tabla4[ZONA DEFINITIVO],Tabla4[[#This Row],[ZONA DEFINITIVO]])," "),0)</f>
        <v>58164755</v>
      </c>
      <c r="AK44" s="38">
        <f>Tabla4[[#This Row],[TOTAL APORTES ICBF AGRUPADO]]+Tabla4[[#This Row],[TOTAL CONTRAPARTIDA AGRUPADO]]</f>
        <v>2966402487</v>
      </c>
      <c r="AL44" s="23">
        <f>Tabla4[[#This Row],[TOTAL APORTES ICBF AGRUPADO]]/$AL$18</f>
        <v>2043.0191303126098</v>
      </c>
      <c r="AM44" s="35">
        <f>VLOOKUP(Tabla4[[#This Row],[SERVICIO 2025]],$J$2:$V$14,5,0)*Tabla4[[#This Row],[TOTAL COBERTURA]]</f>
        <v>1939146</v>
      </c>
      <c r="AN44" s="35">
        <f>VLOOKUP(Tabla4[[#This Row],[SERVICIO 2025]],$J$2:$V$14,6,0)*Tabla4[[#This Row],[TOTAL COBERTURA]]</f>
        <v>1650946</v>
      </c>
      <c r="AO44" s="35">
        <f>VLOOKUP(Tabla4[[#This Row],[SERVICIO 2025]],$J$2:$V$14,8,0)*Tabla4[[#This Row],[TOTAL COBERTURA]]</f>
        <v>0</v>
      </c>
      <c r="AP44" s="35">
        <f>VLOOKUP(Tabla4[[#This Row],[SERVICIO 2025]],$J$2:$V$14,3,0)*Tabla4[[#This Row],[TOTAL COBERTURA]]*8</f>
        <v>91656752</v>
      </c>
      <c r="AQ44" s="35"/>
      <c r="AR44" s="35">
        <f>Tabla4[[#This Row],[VALOR FASE PREPARATORIA DE ALISTAMIENTO]]+Tabla4[[#This Row],[VALOR FASE PREPARATORIA DE CIERRE]]+Tabla4[[#This Row],[DOTACIÓN ÚNICA]]+Tabla4[[#This Row],[VALOR ATENCIÓN]]+Tabla4[[#This Row],[VALOR RACION PREPARADA]]</f>
        <v>95246844</v>
      </c>
      <c r="AS44" s="35">
        <f>+IF(Tabla4[[#This Row],[AGRUPACIONES]]=1,SUMIFS(Tabla4[VALOR TOTAL],Tabla4[ZONA DEFINITIVO],Tabla4[[#This Row],[ZONA DEFINITIVO]])," ")</f>
        <v>2908237732</v>
      </c>
      <c r="AT44" s="27">
        <f>(VLOOKUP(Tabla4[[#This Row],[SERVICIO 2025]],$J$2:$V$14,3,0)*Tabla4[[#This Row],[TOTAL COBERTURA]])+Tabla4[[#This Row],[VALOR FASE PREPARATORIA DE ALISTAMIENTO]]+Tabla4[[#This Row],[DOTACIÓN ÚNICA]]</f>
        <v>13396240</v>
      </c>
      <c r="AU44" s="35">
        <f>(VLOOKUP(Tabla4[[#This Row],[SERVICIO 2025]],$J$2:$V$14,3,0)*Tabla4[[#This Row],[TOTAL COBERTURA]])</f>
        <v>11457094</v>
      </c>
      <c r="AV44" s="35">
        <f>(VLOOKUP(Tabla4[[#This Row],[SERVICIO 2025]],$J$2:$V$14,3,0)*Tabla4[[#This Row],[TOTAL COBERTURA]])</f>
        <v>11457094</v>
      </c>
      <c r="AW44" s="35">
        <f>(VLOOKUP(Tabla4[[#This Row],[SERVICIO 2025]],$J$2:$V$14,3,0)*Tabla4[[#This Row],[TOTAL COBERTURA]])</f>
        <v>11457094</v>
      </c>
      <c r="AX44" s="35">
        <f>(VLOOKUP(Tabla4[[#This Row],[SERVICIO 2025]],$J$2:$V$14,3,0)*Tabla4[[#This Row],[TOTAL COBERTURA]])</f>
        <v>11457094</v>
      </c>
      <c r="AY44" s="35">
        <f>(VLOOKUP(Tabla4[[#This Row],[SERVICIO 2025]],$J$2:$V$14,3,0)*Tabla4[[#This Row],[TOTAL COBERTURA]])</f>
        <v>11457094</v>
      </c>
      <c r="AZ44" s="35">
        <f>(VLOOKUP(Tabla4[[#This Row],[SERVICIO 2025]],$J$2:$V$14,3,0)*Tabla4[[#This Row],[TOTAL COBERTURA]])</f>
        <v>11457094</v>
      </c>
      <c r="BA44" s="35">
        <f>(VLOOKUP(Tabla4[[#This Row],[SERVICIO 2025]],$J$2:$V$14,3,0)*Tabla4[[#This Row],[TOTAL COBERTURA]])+Tabla4[[#This Row],[VALOR FASE PREPARATORIA DE CIERRE]]</f>
        <v>13108040</v>
      </c>
      <c r="BB44" s="35">
        <f>SUM(Tabla4[[#This Row],[DESEMBOLSO 1]:[DESEMBOLSO 8]])</f>
        <v>95246844</v>
      </c>
      <c r="BC44" s="35">
        <f>VLOOKUP(Tabla4[[#This Row],[SERVICIO 2025]],$J$2:$V$14,10,0)*Tabla4[[#This Row],[TOTAL COBERTURA]]*$W$3</f>
        <v>0</v>
      </c>
      <c r="BD44" s="47" t="s">
        <v>145</v>
      </c>
      <c r="BE44" s="12" t="b">
        <f>EXACT(Tabla4[[#This Row],[VALOR ATENCIÓN (8 MESES)]],Tabla4[[#This Row],[VALOR TOTAL]])</f>
        <v>1</v>
      </c>
      <c r="BF44" s="23">
        <f>Tabla4[[#This Row],[VALOR ATENCIÓN (8 MESES)]]-Tabla4[[#This Row],[VALOR TOTAL]]</f>
        <v>0</v>
      </c>
      <c r="BG44" s="12" t="b">
        <f>EXACT(Tabla4[[#This Row],[TOTAL DESEMBOLSOS]],Tabla4[[#This Row],[VALOR ATENCIÓN (8 MESES)]])</f>
        <v>1</v>
      </c>
      <c r="BH44" s="29">
        <f>Tabla4[[#This Row],[TOTAL DESEMBOLSOS]]-Tabla4[[#This Row],[VALOR ATENCIÓN (8 MESES)]]</f>
        <v>0</v>
      </c>
      <c r="BI44" t="s">
        <v>98</v>
      </c>
    </row>
    <row r="45" spans="1:61">
      <c r="A45" s="13">
        <v>1889</v>
      </c>
      <c r="B45" s="13" t="s">
        <v>161</v>
      </c>
      <c r="C45" s="12" t="s">
        <v>87</v>
      </c>
      <c r="D45" s="12" t="s">
        <v>162</v>
      </c>
      <c r="E45" s="12" t="s">
        <v>139</v>
      </c>
      <c r="F45" s="12" t="s">
        <v>14</v>
      </c>
      <c r="G45" s="12" t="s">
        <v>90</v>
      </c>
      <c r="H45" s="12" t="s">
        <v>168</v>
      </c>
      <c r="I45" s="48" t="s">
        <v>169</v>
      </c>
      <c r="J45" s="12" t="s">
        <v>170</v>
      </c>
      <c r="K45" s="12">
        <v>1</v>
      </c>
      <c r="L45" s="12">
        <v>170</v>
      </c>
      <c r="M45" s="12"/>
      <c r="N45" s="13">
        <v>1889</v>
      </c>
      <c r="O45" s="12" t="s">
        <v>93</v>
      </c>
      <c r="P45" s="12"/>
      <c r="Q45" s="12"/>
      <c r="R45" s="12" t="s">
        <v>94</v>
      </c>
      <c r="S45" s="12">
        <v>10</v>
      </c>
      <c r="T45" s="12" t="s">
        <v>166</v>
      </c>
      <c r="U45" s="12" t="s">
        <v>167</v>
      </c>
      <c r="V45" s="12">
        <f>VLOOKUP(Tabla4[[#This Row],[ZONA DEFINITIVO]],Hoja1!$A$1:$D$121,3,0)</f>
        <v>228989</v>
      </c>
      <c r="W45" s="12">
        <f>VLOOKUP(Tabla4[[#This Row],[ZONA DEFINITIVO]],Hoja1!$A$1:$D$121,2,0)</f>
        <v>15178</v>
      </c>
      <c r="X45" s="12">
        <f>VLOOKUP(Tabla4[[#This Row],[ZONA DEFINITIVO]],Hoja1!$A$1:$D$121,4,0)</f>
        <v>82025</v>
      </c>
      <c r="Y45" s="12" t="str">
        <f>+IF(Tabla4[[#This Row],[AGRUPACIONES]]=1,SUMIFS(Tabla4[UDS],Tabla4[ZONA DEFINITIVO],Tabla4[[#This Row],[ZONA DEFINITIVO]])," ")</f>
        <v xml:space="preserve"> </v>
      </c>
      <c r="Z45" s="12" t="str">
        <f>+IF(Tabla4[[#This Row],[AGRUPACIONES]]=1,SUMIFS(Tabla4[TOTAL COBERTURA],Tabla4[ZONA DEFINITIVO],Tabla4[[#This Row],[ZONA DEFINITIVO]])," ")</f>
        <v xml:space="preserve"> </v>
      </c>
      <c r="AA45" s="12"/>
      <c r="AB45" s="38">
        <v>712104500</v>
      </c>
      <c r="AC45" s="37">
        <v>0.02</v>
      </c>
      <c r="AD45" s="38">
        <f t="shared" si="1"/>
        <v>14242090</v>
      </c>
      <c r="AE45" s="12"/>
      <c r="AF45" s="12">
        <f>COUNTIF($A$20:A45,A45)</f>
        <v>2</v>
      </c>
      <c r="AG45" s="38">
        <v>712104500</v>
      </c>
      <c r="AH45" s="38">
        <f>Tabla4[[#This Row],[VALOR CONTRAPARTIDA]]+Tabla4[[#This Row],[TOTAL APORTES ICBF]]</f>
        <v>726346590</v>
      </c>
      <c r="AI45" s="35"/>
      <c r="AJ45" s="38"/>
      <c r="AK45" s="38"/>
      <c r="AL45" s="23"/>
      <c r="AM45" s="35">
        <f>VLOOKUP(Tabla4[[#This Row],[SERVICIO 2025]],$J$2:$V$14,5,0)*Tabla4[[#This Row],[TOTAL COBERTURA]]</f>
        <v>14984310</v>
      </c>
      <c r="AN45" s="35">
        <f>VLOOKUP(Tabla4[[#This Row],[SERVICIO 2025]],$J$2:$V$14,6,0)*Tabla4[[#This Row],[TOTAL COBERTURA]]</f>
        <v>12757310</v>
      </c>
      <c r="AO45" s="35">
        <f>VLOOKUP(Tabla4[[#This Row],[SERVICIO 2025]],$J$2:$V$14,8,0)*Tabla4[[#This Row],[TOTAL COBERTURA]]</f>
        <v>0</v>
      </c>
      <c r="AP45" s="35">
        <f>VLOOKUP(Tabla4[[#This Row],[SERVICIO 2025]],$J$2:$V$14,3,0)*Tabla4[[#This Row],[TOTAL COBERTURA]]*8</f>
        <v>684362880</v>
      </c>
      <c r="AQ45" s="35"/>
      <c r="AR45" s="35">
        <f>Tabla4[[#This Row],[VALOR FASE PREPARATORIA DE ALISTAMIENTO]]+Tabla4[[#This Row],[VALOR FASE PREPARATORIA DE CIERRE]]+Tabla4[[#This Row],[DOTACIÓN ÚNICA]]+Tabla4[[#This Row],[VALOR ATENCIÓN]]+Tabla4[[#This Row],[VALOR RACION PREPARADA]]</f>
        <v>712104500</v>
      </c>
      <c r="AS45" s="35" t="str">
        <f>+IF(Tabla4[[#This Row],[AGRUPACIONES]]=1,SUMIFS(Tabla4[VALOR TOTAL],Tabla4[ZONA DEFINITIVO],Tabla4[[#This Row],[ZONA DEFINITIVO]])," ")</f>
        <v xml:space="preserve"> </v>
      </c>
      <c r="AT45" s="27">
        <f>(VLOOKUP(Tabla4[[#This Row],[SERVICIO 2025]],$J$2:$V$14,3,0)*Tabla4[[#This Row],[TOTAL COBERTURA]])+Tabla4[[#This Row],[VALOR FASE PREPARATORIA DE ALISTAMIENTO]]+Tabla4[[#This Row],[DOTACIÓN ÚNICA]]</f>
        <v>100529670</v>
      </c>
      <c r="AU45" s="35">
        <f>(VLOOKUP(Tabla4[[#This Row],[SERVICIO 2025]],$J$2:$V$14,3,0)*Tabla4[[#This Row],[TOTAL COBERTURA]])</f>
        <v>85545360</v>
      </c>
      <c r="AV45" s="35">
        <f>(VLOOKUP(Tabla4[[#This Row],[SERVICIO 2025]],$J$2:$V$14,3,0)*Tabla4[[#This Row],[TOTAL COBERTURA]])</f>
        <v>85545360</v>
      </c>
      <c r="AW45" s="35">
        <f>(VLOOKUP(Tabla4[[#This Row],[SERVICIO 2025]],$J$2:$V$14,3,0)*Tabla4[[#This Row],[TOTAL COBERTURA]])</f>
        <v>85545360</v>
      </c>
      <c r="AX45" s="35">
        <f>(VLOOKUP(Tabla4[[#This Row],[SERVICIO 2025]],$J$2:$V$14,3,0)*Tabla4[[#This Row],[TOTAL COBERTURA]])</f>
        <v>85545360</v>
      </c>
      <c r="AY45" s="35">
        <f>(VLOOKUP(Tabla4[[#This Row],[SERVICIO 2025]],$J$2:$V$14,3,0)*Tabla4[[#This Row],[TOTAL COBERTURA]])</f>
        <v>85545360</v>
      </c>
      <c r="AZ45" s="35">
        <f>(VLOOKUP(Tabla4[[#This Row],[SERVICIO 2025]],$J$2:$V$14,3,0)*Tabla4[[#This Row],[TOTAL COBERTURA]])</f>
        <v>85545360</v>
      </c>
      <c r="BA45" s="35">
        <f>(VLOOKUP(Tabla4[[#This Row],[SERVICIO 2025]],$J$2:$V$14,3,0)*Tabla4[[#This Row],[TOTAL COBERTURA]])+Tabla4[[#This Row],[VALOR FASE PREPARATORIA DE CIERRE]]</f>
        <v>98302670</v>
      </c>
      <c r="BB45" s="35">
        <f>SUM(Tabla4[[#This Row],[DESEMBOLSO 1]:[DESEMBOLSO 8]])</f>
        <v>712104500</v>
      </c>
      <c r="BC45" s="35">
        <f>VLOOKUP(Tabla4[[#This Row],[SERVICIO 2025]],$J$2:$V$14,10,0)*Tabla4[[#This Row],[TOTAL COBERTURA]]*$W$3</f>
        <v>0</v>
      </c>
      <c r="BD45" s="47" t="s">
        <v>145</v>
      </c>
      <c r="BE45" s="12" t="b">
        <f>EXACT(Tabla4[[#This Row],[VALOR ATENCIÓN (8 MESES)]],Tabla4[[#This Row],[VALOR TOTAL]])</f>
        <v>1</v>
      </c>
      <c r="BF45" s="23">
        <f>Tabla4[[#This Row],[VALOR ATENCIÓN (8 MESES)]]-Tabla4[[#This Row],[VALOR TOTAL]]</f>
        <v>0</v>
      </c>
      <c r="BG45" s="12" t="b">
        <f>EXACT(Tabla4[[#This Row],[TOTAL DESEMBOLSOS]],Tabla4[[#This Row],[VALOR ATENCIÓN (8 MESES)]])</f>
        <v>1</v>
      </c>
      <c r="BH45" s="29">
        <f>Tabla4[[#This Row],[TOTAL DESEMBOLSOS]]-Tabla4[[#This Row],[VALOR ATENCIÓN (8 MESES)]]</f>
        <v>0</v>
      </c>
      <c r="BI45" t="s">
        <v>98</v>
      </c>
    </row>
    <row r="46" spans="1:61">
      <c r="A46" s="13">
        <v>1889</v>
      </c>
      <c r="B46" s="13" t="s">
        <v>161</v>
      </c>
      <c r="C46" s="12" t="s">
        <v>87</v>
      </c>
      <c r="D46" s="12" t="s">
        <v>162</v>
      </c>
      <c r="E46" s="12" t="s">
        <v>139</v>
      </c>
      <c r="F46" s="12" t="s">
        <v>15</v>
      </c>
      <c r="G46" s="12" t="s">
        <v>90</v>
      </c>
      <c r="H46" s="12" t="s">
        <v>171</v>
      </c>
      <c r="I46" s="48" t="s">
        <v>172</v>
      </c>
      <c r="J46" s="12" t="s">
        <v>173</v>
      </c>
      <c r="K46" s="12">
        <v>1</v>
      </c>
      <c r="L46" s="12">
        <v>111</v>
      </c>
      <c r="M46" s="12"/>
      <c r="N46" s="13">
        <v>1889</v>
      </c>
      <c r="O46" s="12" t="s">
        <v>93</v>
      </c>
      <c r="P46" s="12"/>
      <c r="Q46" s="12"/>
      <c r="R46" s="12" t="s">
        <v>94</v>
      </c>
      <c r="S46" s="12">
        <v>10</v>
      </c>
      <c r="T46" s="12" t="s">
        <v>166</v>
      </c>
      <c r="U46" s="12" t="s">
        <v>167</v>
      </c>
      <c r="V46" s="12">
        <f>VLOOKUP(Tabla4[[#This Row],[ZONA DEFINITIVO]],Hoja1!$A$1:$D$121,3,0)</f>
        <v>228989</v>
      </c>
      <c r="W46" s="12">
        <f>VLOOKUP(Tabla4[[#This Row],[ZONA DEFINITIVO]],Hoja1!$A$1:$D$121,2,0)</f>
        <v>15178</v>
      </c>
      <c r="X46" s="12">
        <f>VLOOKUP(Tabla4[[#This Row],[ZONA DEFINITIVO]],Hoja1!$A$1:$D$121,4,0)</f>
        <v>82025</v>
      </c>
      <c r="Y46" s="12" t="str">
        <f>+IF(Tabla4[[#This Row],[AGRUPACIONES]]=1,SUMIFS(Tabla4[UDS],Tabla4[ZONA DEFINITIVO],Tabla4[[#This Row],[ZONA DEFINITIVO]])," ")</f>
        <v xml:space="preserve"> </v>
      </c>
      <c r="Z46" s="12" t="str">
        <f>+IF(Tabla4[[#This Row],[AGRUPACIONES]]=1,SUMIFS(Tabla4[TOTAL COBERTURA],Tabla4[ZONA DEFINITIVO],Tabla4[[#This Row],[ZONA DEFINITIVO]])," ")</f>
        <v xml:space="preserve"> </v>
      </c>
      <c r="AA46" s="12"/>
      <c r="AB46" s="38">
        <v>480563622</v>
      </c>
      <c r="AC46" s="37">
        <v>0.02</v>
      </c>
      <c r="AD46" s="38">
        <f t="shared" si="1"/>
        <v>9611272.4399999995</v>
      </c>
      <c r="AE46" s="12"/>
      <c r="AF46" s="12">
        <f>COUNTIF($A$20:A46,A46)</f>
        <v>3</v>
      </c>
      <c r="AG46" s="38">
        <v>480563622</v>
      </c>
      <c r="AH46" s="38">
        <f>Tabla4[[#This Row],[VALOR CONTRAPARTIDA]]+Tabla4[[#This Row],[TOTAL APORTES ICBF]]</f>
        <v>490174894.44</v>
      </c>
      <c r="AI46" s="35"/>
      <c r="AJ46" s="38"/>
      <c r="AK46" s="38"/>
      <c r="AL46" s="23"/>
      <c r="AM46" s="35">
        <f>VLOOKUP(Tabla4[[#This Row],[SERVICIO 2025]],$J$2:$V$14,5,0)*Tabla4[[#This Row],[TOTAL COBERTURA]]</f>
        <v>9783873</v>
      </c>
      <c r="AN46" s="35">
        <f>VLOOKUP(Tabla4[[#This Row],[SERVICIO 2025]],$J$2:$V$14,6,0)*Tabla4[[#This Row],[TOTAL COBERTURA]]</f>
        <v>8329773</v>
      </c>
      <c r="AO46" s="35">
        <f>VLOOKUP(Tabla4[[#This Row],[SERVICIO 2025]],$J$2:$V$14,8,0)*Tabla4[[#This Row],[TOTAL COBERTURA]]</f>
        <v>0</v>
      </c>
      <c r="AP46" s="35">
        <f>VLOOKUP(Tabla4[[#This Row],[SERVICIO 2025]],$J$2:$V$14,3,0)*Tabla4[[#This Row],[TOTAL COBERTURA]]*8</f>
        <v>462449976</v>
      </c>
      <c r="AQ46" s="35"/>
      <c r="AR46" s="35">
        <f>Tabla4[[#This Row],[VALOR FASE PREPARATORIA DE ALISTAMIENTO]]+Tabla4[[#This Row],[VALOR FASE PREPARATORIA DE CIERRE]]+Tabla4[[#This Row],[DOTACIÓN ÚNICA]]+Tabla4[[#This Row],[VALOR ATENCIÓN]]+Tabla4[[#This Row],[VALOR RACION PREPARADA]]</f>
        <v>480563622</v>
      </c>
      <c r="AS46" s="35" t="str">
        <f>+IF(Tabla4[[#This Row],[AGRUPACIONES]]=1,SUMIFS(Tabla4[VALOR TOTAL],Tabla4[ZONA DEFINITIVO],Tabla4[[#This Row],[ZONA DEFINITIVO]])," ")</f>
        <v xml:space="preserve"> </v>
      </c>
      <c r="AT46" s="27">
        <f>(VLOOKUP(Tabla4[[#This Row],[SERVICIO 2025]],$J$2:$V$14,3,0)*Tabla4[[#This Row],[TOTAL COBERTURA]])+Tabla4[[#This Row],[VALOR FASE PREPARATORIA DE ALISTAMIENTO]]+Tabla4[[#This Row],[DOTACIÓN ÚNICA]]</f>
        <v>67590120</v>
      </c>
      <c r="AU46" s="35">
        <f>(VLOOKUP(Tabla4[[#This Row],[SERVICIO 2025]],$J$2:$V$14,3,0)*Tabla4[[#This Row],[TOTAL COBERTURA]])</f>
        <v>57806247</v>
      </c>
      <c r="AV46" s="35">
        <f>(VLOOKUP(Tabla4[[#This Row],[SERVICIO 2025]],$J$2:$V$14,3,0)*Tabla4[[#This Row],[TOTAL COBERTURA]])</f>
        <v>57806247</v>
      </c>
      <c r="AW46" s="35">
        <f>(VLOOKUP(Tabla4[[#This Row],[SERVICIO 2025]],$J$2:$V$14,3,0)*Tabla4[[#This Row],[TOTAL COBERTURA]])</f>
        <v>57806247</v>
      </c>
      <c r="AX46" s="35">
        <f>(VLOOKUP(Tabla4[[#This Row],[SERVICIO 2025]],$J$2:$V$14,3,0)*Tabla4[[#This Row],[TOTAL COBERTURA]])</f>
        <v>57806247</v>
      </c>
      <c r="AY46" s="35">
        <f>(VLOOKUP(Tabla4[[#This Row],[SERVICIO 2025]],$J$2:$V$14,3,0)*Tabla4[[#This Row],[TOTAL COBERTURA]])</f>
        <v>57806247</v>
      </c>
      <c r="AZ46" s="35">
        <f>(VLOOKUP(Tabla4[[#This Row],[SERVICIO 2025]],$J$2:$V$14,3,0)*Tabla4[[#This Row],[TOTAL COBERTURA]])</f>
        <v>57806247</v>
      </c>
      <c r="BA46" s="35">
        <f>(VLOOKUP(Tabla4[[#This Row],[SERVICIO 2025]],$J$2:$V$14,3,0)*Tabla4[[#This Row],[TOTAL COBERTURA]])+Tabla4[[#This Row],[VALOR FASE PREPARATORIA DE CIERRE]]</f>
        <v>66136020</v>
      </c>
      <c r="BB46" s="35">
        <f>SUM(Tabla4[[#This Row],[DESEMBOLSO 1]:[DESEMBOLSO 8]])</f>
        <v>480563622</v>
      </c>
      <c r="BC46" s="35">
        <f>VLOOKUP(Tabla4[[#This Row],[SERVICIO 2025]],$J$2:$V$14,10,0)*Tabla4[[#This Row],[TOTAL COBERTURA]]*$W$3</f>
        <v>0</v>
      </c>
      <c r="BD46" s="47" t="s">
        <v>145</v>
      </c>
      <c r="BE46" s="12" t="b">
        <f>EXACT(Tabla4[[#This Row],[VALOR ATENCIÓN (8 MESES)]],Tabla4[[#This Row],[VALOR TOTAL]])</f>
        <v>1</v>
      </c>
      <c r="BF46" s="23">
        <f>Tabla4[[#This Row],[VALOR ATENCIÓN (8 MESES)]]-Tabla4[[#This Row],[VALOR TOTAL]]</f>
        <v>0</v>
      </c>
      <c r="BG46" s="12" t="b">
        <f>EXACT(Tabla4[[#This Row],[TOTAL DESEMBOLSOS]],Tabla4[[#This Row],[VALOR ATENCIÓN (8 MESES)]])</f>
        <v>1</v>
      </c>
      <c r="BH46" s="29">
        <f>Tabla4[[#This Row],[TOTAL DESEMBOLSOS]]-Tabla4[[#This Row],[VALOR ATENCIÓN (8 MESES)]]</f>
        <v>0</v>
      </c>
      <c r="BI46" t="s">
        <v>98</v>
      </c>
    </row>
    <row r="47" spans="1:61">
      <c r="A47" s="13">
        <v>1889</v>
      </c>
      <c r="B47" s="13" t="s">
        <v>161</v>
      </c>
      <c r="C47" s="12" t="s">
        <v>87</v>
      </c>
      <c r="D47" s="12" t="s">
        <v>162</v>
      </c>
      <c r="E47" s="12" t="s">
        <v>139</v>
      </c>
      <c r="F47" s="12" t="s">
        <v>15</v>
      </c>
      <c r="G47" s="12" t="s">
        <v>90</v>
      </c>
      <c r="H47" s="12" t="s">
        <v>174</v>
      </c>
      <c r="I47" s="48" t="s">
        <v>175</v>
      </c>
      <c r="J47" s="12" t="s">
        <v>176</v>
      </c>
      <c r="K47" s="12">
        <v>1</v>
      </c>
      <c r="L47" s="12">
        <v>26</v>
      </c>
      <c r="M47" s="12"/>
      <c r="N47" s="13">
        <v>1889</v>
      </c>
      <c r="O47" s="12" t="s">
        <v>93</v>
      </c>
      <c r="P47" s="12"/>
      <c r="Q47" s="12"/>
      <c r="R47" s="12" t="s">
        <v>94</v>
      </c>
      <c r="S47" s="12">
        <v>10</v>
      </c>
      <c r="T47" s="12" t="s">
        <v>166</v>
      </c>
      <c r="U47" s="12" t="s">
        <v>167</v>
      </c>
      <c r="V47" s="12">
        <f>VLOOKUP(Tabla4[[#This Row],[ZONA DEFINITIVO]],Hoja1!$A$1:$D$121,3,0)</f>
        <v>228989</v>
      </c>
      <c r="W47" s="12">
        <f>VLOOKUP(Tabla4[[#This Row],[ZONA DEFINITIVO]],Hoja1!$A$1:$D$121,2,0)</f>
        <v>15178</v>
      </c>
      <c r="X47" s="12">
        <f>VLOOKUP(Tabla4[[#This Row],[ZONA DEFINITIVO]],Hoja1!$A$1:$D$121,4,0)</f>
        <v>82025</v>
      </c>
      <c r="Y47" s="12" t="str">
        <f>+IF(Tabla4[[#This Row],[AGRUPACIONES]]=1,SUMIFS(Tabla4[UDS],Tabla4[ZONA DEFINITIVO],Tabla4[[#This Row],[ZONA DEFINITIVO]])," ")</f>
        <v xml:space="preserve"> </v>
      </c>
      <c r="Z47" s="12" t="str">
        <f>+IF(Tabla4[[#This Row],[AGRUPACIONES]]=1,SUMIFS(Tabla4[TOTAL COBERTURA],Tabla4[ZONA DEFINITIVO],Tabla4[[#This Row],[ZONA DEFINITIVO]])," ")</f>
        <v xml:space="preserve"> </v>
      </c>
      <c r="AA47" s="12"/>
      <c r="AB47" s="38">
        <v>112564452</v>
      </c>
      <c r="AC47" s="37">
        <v>0.02</v>
      </c>
      <c r="AD47" s="38">
        <f t="shared" si="1"/>
        <v>2251289.04</v>
      </c>
      <c r="AE47" s="12"/>
      <c r="AF47" s="12">
        <f>COUNTIF($A$20:A47,A47)</f>
        <v>4</v>
      </c>
      <c r="AG47" s="38">
        <v>112564452</v>
      </c>
      <c r="AH47" s="38">
        <f>Tabla4[[#This Row],[VALOR CONTRAPARTIDA]]+Tabla4[[#This Row],[TOTAL APORTES ICBF]]</f>
        <v>114815741.04000001</v>
      </c>
      <c r="AI47" s="35"/>
      <c r="AJ47" s="38"/>
      <c r="AK47" s="38"/>
      <c r="AL47" s="23"/>
      <c r="AM47" s="35">
        <f>VLOOKUP(Tabla4[[#This Row],[SERVICIO 2025]],$J$2:$V$14,5,0)*Tabla4[[#This Row],[TOTAL COBERTURA]]</f>
        <v>2291718</v>
      </c>
      <c r="AN47" s="35">
        <f>VLOOKUP(Tabla4[[#This Row],[SERVICIO 2025]],$J$2:$V$14,6,0)*Tabla4[[#This Row],[TOTAL COBERTURA]]</f>
        <v>1951118</v>
      </c>
      <c r="AO47" s="35">
        <f>VLOOKUP(Tabla4[[#This Row],[SERVICIO 2025]],$J$2:$V$14,8,0)*Tabla4[[#This Row],[TOTAL COBERTURA]]</f>
        <v>0</v>
      </c>
      <c r="AP47" s="35">
        <f>VLOOKUP(Tabla4[[#This Row],[SERVICIO 2025]],$J$2:$V$14,3,0)*Tabla4[[#This Row],[TOTAL COBERTURA]]*8</f>
        <v>108321616</v>
      </c>
      <c r="AQ47" s="35"/>
      <c r="AR47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112564452</v>
      </c>
      <c r="AS47" s="35" t="str">
        <f>+IF(Tabla4[[#This Row],[AGRUPACIONES]]=1,SUMIFS(Tabla4[VALOR TOTAL],Tabla4[ZONA DEFINITIVO],Tabla4[[#This Row],[ZONA DEFINITIVO]])," ")</f>
        <v xml:space="preserve"> </v>
      </c>
      <c r="AT47" s="27">
        <f>(VLOOKUP(Tabla4[[#This Row],[SERVICIO 2025]],$J$2:$V$14,3,0)*Tabla4[[#This Row],[TOTAL COBERTURA]])+Tabla4[[#This Row],[VALOR FASE PREPARATORIA DE ALISTAMIENTO]]+Tabla4[[#This Row],[DOTACIÓN ÚNICA]]</f>
        <v>15831920</v>
      </c>
      <c r="AU47" s="35">
        <f>(VLOOKUP(Tabla4[[#This Row],[SERVICIO 2025]],$J$2:$V$14,3,0)*Tabla4[[#This Row],[TOTAL COBERTURA]])</f>
        <v>13540202</v>
      </c>
      <c r="AV47" s="35">
        <f>(VLOOKUP(Tabla4[[#This Row],[SERVICIO 2025]],$J$2:$V$14,3,0)*Tabla4[[#This Row],[TOTAL COBERTURA]])</f>
        <v>13540202</v>
      </c>
      <c r="AW47" s="35">
        <f>(VLOOKUP(Tabla4[[#This Row],[SERVICIO 2025]],$J$2:$V$14,3,0)*Tabla4[[#This Row],[TOTAL COBERTURA]])</f>
        <v>13540202</v>
      </c>
      <c r="AX47" s="35">
        <f>(VLOOKUP(Tabla4[[#This Row],[SERVICIO 2025]],$J$2:$V$14,3,0)*Tabla4[[#This Row],[TOTAL COBERTURA]])</f>
        <v>13540202</v>
      </c>
      <c r="AY47" s="35">
        <f>(VLOOKUP(Tabla4[[#This Row],[SERVICIO 2025]],$J$2:$V$14,3,0)*Tabla4[[#This Row],[TOTAL COBERTURA]])</f>
        <v>13540202</v>
      </c>
      <c r="AZ47" s="35">
        <f>(VLOOKUP(Tabla4[[#This Row],[SERVICIO 2025]],$J$2:$V$14,3,0)*Tabla4[[#This Row],[TOTAL COBERTURA]])</f>
        <v>13540202</v>
      </c>
      <c r="BA47" s="35">
        <f>(VLOOKUP(Tabla4[[#This Row],[SERVICIO 2025]],$J$2:$V$14,3,0)*Tabla4[[#This Row],[TOTAL COBERTURA]])+Tabla4[[#This Row],[VALOR FASE PREPARATORIA DE CIERRE]]</f>
        <v>15491320</v>
      </c>
      <c r="BB47" s="35">
        <f>SUM(Tabla4[[#This Row],[DESEMBOLSO 1]:[DESEMBOLSO 8]])</f>
        <v>112564452</v>
      </c>
      <c r="BC47" s="35">
        <f>VLOOKUP(Tabla4[[#This Row],[SERVICIO 2025]],$J$2:$V$14,10,0)*Tabla4[[#This Row],[TOTAL COBERTURA]]*$W$3</f>
        <v>0</v>
      </c>
      <c r="BD47" s="47" t="s">
        <v>145</v>
      </c>
      <c r="BE47" s="12" t="b">
        <f>EXACT(Tabla4[[#This Row],[VALOR ATENCIÓN (8 MESES)]],Tabla4[[#This Row],[VALOR TOTAL]])</f>
        <v>1</v>
      </c>
      <c r="BF47" s="23">
        <f>Tabla4[[#This Row],[VALOR ATENCIÓN (8 MESES)]]-Tabla4[[#This Row],[VALOR TOTAL]]</f>
        <v>0</v>
      </c>
      <c r="BG47" s="12" t="b">
        <f>EXACT(Tabla4[[#This Row],[TOTAL DESEMBOLSOS]],Tabla4[[#This Row],[VALOR ATENCIÓN (8 MESES)]])</f>
        <v>1</v>
      </c>
      <c r="BH47" s="29">
        <f>Tabla4[[#This Row],[TOTAL DESEMBOLSOS]]-Tabla4[[#This Row],[VALOR ATENCIÓN (8 MESES)]]</f>
        <v>0</v>
      </c>
      <c r="BI47" t="s">
        <v>98</v>
      </c>
    </row>
    <row r="48" spans="1:61">
      <c r="A48" s="13">
        <v>1889</v>
      </c>
      <c r="B48" s="13" t="s">
        <v>161</v>
      </c>
      <c r="C48" s="12" t="s">
        <v>87</v>
      </c>
      <c r="D48" s="12" t="s">
        <v>162</v>
      </c>
      <c r="E48" s="12" t="s">
        <v>139</v>
      </c>
      <c r="F48" s="12" t="s">
        <v>15</v>
      </c>
      <c r="G48" s="12" t="s">
        <v>90</v>
      </c>
      <c r="H48" s="12" t="s">
        <v>177</v>
      </c>
      <c r="I48" s="48" t="s">
        <v>178</v>
      </c>
      <c r="J48" s="12" t="s">
        <v>179</v>
      </c>
      <c r="K48" s="12">
        <v>1</v>
      </c>
      <c r="L48" s="12">
        <v>18</v>
      </c>
      <c r="M48" s="12"/>
      <c r="N48" s="13">
        <v>1889</v>
      </c>
      <c r="O48" s="12" t="s">
        <v>93</v>
      </c>
      <c r="P48" s="12"/>
      <c r="Q48" s="12"/>
      <c r="R48" s="12" t="s">
        <v>94</v>
      </c>
      <c r="S48" s="12">
        <v>10</v>
      </c>
      <c r="T48" s="12" t="s">
        <v>166</v>
      </c>
      <c r="U48" s="12" t="s">
        <v>167</v>
      </c>
      <c r="V48" s="12">
        <f>VLOOKUP(Tabla4[[#This Row],[ZONA DEFINITIVO]],Hoja1!$A$1:$D$121,3,0)</f>
        <v>228989</v>
      </c>
      <c r="W48" s="12">
        <f>VLOOKUP(Tabla4[[#This Row],[ZONA DEFINITIVO]],Hoja1!$A$1:$D$121,2,0)</f>
        <v>15178</v>
      </c>
      <c r="X48" s="12">
        <f>VLOOKUP(Tabla4[[#This Row],[ZONA DEFINITIVO]],Hoja1!$A$1:$D$121,4,0)</f>
        <v>82025</v>
      </c>
      <c r="Y48" s="12" t="str">
        <f>+IF(Tabla4[[#This Row],[AGRUPACIONES]]=1,SUMIFS(Tabla4[UDS],Tabla4[ZONA DEFINITIVO],Tabla4[[#This Row],[ZONA DEFINITIVO]])," ")</f>
        <v xml:space="preserve"> </v>
      </c>
      <c r="Z48" s="12" t="str">
        <f>+IF(Tabla4[[#This Row],[AGRUPACIONES]]=1,SUMIFS(Tabla4[TOTAL COBERTURA],Tabla4[ZONA DEFINITIVO],Tabla4[[#This Row],[ZONA DEFINITIVO]])," ")</f>
        <v xml:space="preserve"> </v>
      </c>
      <c r="AA48" s="12"/>
      <c r="AB48" s="38">
        <v>77929236</v>
      </c>
      <c r="AC48" s="37">
        <v>0.02</v>
      </c>
      <c r="AD48" s="38">
        <f t="shared" si="1"/>
        <v>1558584.72</v>
      </c>
      <c r="AE48" s="12"/>
      <c r="AF48" s="12">
        <f>COUNTIF($A$20:A48,A48)</f>
        <v>5</v>
      </c>
      <c r="AG48" s="38">
        <v>77929236</v>
      </c>
      <c r="AH48" s="38">
        <f>Tabla4[[#This Row],[VALOR CONTRAPARTIDA]]+Tabla4[[#This Row],[TOTAL APORTES ICBF]]</f>
        <v>79487820.719999999</v>
      </c>
      <c r="AI48" s="35"/>
      <c r="AJ48" s="38"/>
      <c r="AK48" s="38"/>
      <c r="AL48" s="23"/>
      <c r="AM48" s="35">
        <f>VLOOKUP(Tabla4[[#This Row],[SERVICIO 2025]],$J$2:$V$14,5,0)*Tabla4[[#This Row],[TOTAL COBERTURA]]</f>
        <v>1586574</v>
      </c>
      <c r="AN48" s="35">
        <f>VLOOKUP(Tabla4[[#This Row],[SERVICIO 2025]],$J$2:$V$14,6,0)*Tabla4[[#This Row],[TOTAL COBERTURA]]</f>
        <v>1350774</v>
      </c>
      <c r="AO48" s="35">
        <f>VLOOKUP(Tabla4[[#This Row],[SERVICIO 2025]],$J$2:$V$14,8,0)*Tabla4[[#This Row],[TOTAL COBERTURA]]</f>
        <v>0</v>
      </c>
      <c r="AP48" s="35">
        <f>VLOOKUP(Tabla4[[#This Row],[SERVICIO 2025]],$J$2:$V$14,3,0)*Tabla4[[#This Row],[TOTAL COBERTURA]]*8</f>
        <v>74991888</v>
      </c>
      <c r="AQ48" s="35"/>
      <c r="AR48" s="35">
        <f>Tabla4[[#This Row],[VALOR FASE PREPARATORIA DE ALISTAMIENTO]]+Tabla4[[#This Row],[VALOR FASE PREPARATORIA DE CIERRE]]+Tabla4[[#This Row],[DOTACIÓN ÚNICA]]+Tabla4[[#This Row],[VALOR ATENCIÓN]]+Tabla4[[#This Row],[VALOR RACION PREPARADA]]</f>
        <v>77929236</v>
      </c>
      <c r="AS48" s="35" t="str">
        <f>+IF(Tabla4[[#This Row],[AGRUPACIONES]]=1,SUMIFS(Tabla4[VALOR TOTAL],Tabla4[ZONA DEFINITIVO],Tabla4[[#This Row],[ZONA DEFINITIVO]])," ")</f>
        <v xml:space="preserve"> </v>
      </c>
      <c r="AT48" s="27">
        <f>(VLOOKUP(Tabla4[[#This Row],[SERVICIO 2025]],$J$2:$V$14,3,0)*Tabla4[[#This Row],[TOTAL COBERTURA]])+Tabla4[[#This Row],[VALOR FASE PREPARATORIA DE ALISTAMIENTO]]+Tabla4[[#This Row],[DOTACIÓN ÚNICA]]</f>
        <v>10960560</v>
      </c>
      <c r="AU48" s="35">
        <f>(VLOOKUP(Tabla4[[#This Row],[SERVICIO 2025]],$J$2:$V$14,3,0)*Tabla4[[#This Row],[TOTAL COBERTURA]])</f>
        <v>9373986</v>
      </c>
      <c r="AV48" s="35">
        <f>(VLOOKUP(Tabla4[[#This Row],[SERVICIO 2025]],$J$2:$V$14,3,0)*Tabla4[[#This Row],[TOTAL COBERTURA]])</f>
        <v>9373986</v>
      </c>
      <c r="AW48" s="35">
        <f>(VLOOKUP(Tabla4[[#This Row],[SERVICIO 2025]],$J$2:$V$14,3,0)*Tabla4[[#This Row],[TOTAL COBERTURA]])</f>
        <v>9373986</v>
      </c>
      <c r="AX48" s="35">
        <f>(VLOOKUP(Tabla4[[#This Row],[SERVICIO 2025]],$J$2:$V$14,3,0)*Tabla4[[#This Row],[TOTAL COBERTURA]])</f>
        <v>9373986</v>
      </c>
      <c r="AY48" s="35">
        <f>(VLOOKUP(Tabla4[[#This Row],[SERVICIO 2025]],$J$2:$V$14,3,0)*Tabla4[[#This Row],[TOTAL COBERTURA]])</f>
        <v>9373986</v>
      </c>
      <c r="AZ48" s="35">
        <f>(VLOOKUP(Tabla4[[#This Row],[SERVICIO 2025]],$J$2:$V$14,3,0)*Tabla4[[#This Row],[TOTAL COBERTURA]])</f>
        <v>9373986</v>
      </c>
      <c r="BA48" s="35">
        <f>(VLOOKUP(Tabla4[[#This Row],[SERVICIO 2025]],$J$2:$V$14,3,0)*Tabla4[[#This Row],[TOTAL COBERTURA]])+Tabla4[[#This Row],[VALOR FASE PREPARATORIA DE CIERRE]]</f>
        <v>10724760</v>
      </c>
      <c r="BB48" s="35">
        <f>SUM(Tabla4[[#This Row],[DESEMBOLSO 1]:[DESEMBOLSO 8]])</f>
        <v>77929236</v>
      </c>
      <c r="BC48" s="35">
        <f>VLOOKUP(Tabla4[[#This Row],[SERVICIO 2025]],$J$2:$V$14,10,0)*Tabla4[[#This Row],[TOTAL COBERTURA]]*$W$3</f>
        <v>0</v>
      </c>
      <c r="BD48" s="47" t="s">
        <v>145</v>
      </c>
      <c r="BE48" s="12" t="b">
        <f>EXACT(Tabla4[[#This Row],[VALOR ATENCIÓN (8 MESES)]],Tabla4[[#This Row],[VALOR TOTAL]])</f>
        <v>1</v>
      </c>
      <c r="BF48" s="23">
        <f>Tabla4[[#This Row],[VALOR ATENCIÓN (8 MESES)]]-Tabla4[[#This Row],[VALOR TOTAL]]</f>
        <v>0</v>
      </c>
      <c r="BG48" s="12" t="b">
        <f>EXACT(Tabla4[[#This Row],[TOTAL DESEMBOLSOS]],Tabla4[[#This Row],[VALOR ATENCIÓN (8 MESES)]])</f>
        <v>1</v>
      </c>
      <c r="BH48" s="29">
        <f>Tabla4[[#This Row],[TOTAL DESEMBOLSOS]]-Tabla4[[#This Row],[VALOR ATENCIÓN (8 MESES)]]</f>
        <v>0</v>
      </c>
      <c r="BI48" t="s">
        <v>98</v>
      </c>
    </row>
    <row r="49" spans="1:62">
      <c r="A49" s="13">
        <v>1889</v>
      </c>
      <c r="B49" s="13" t="s">
        <v>161</v>
      </c>
      <c r="C49" s="12" t="s">
        <v>87</v>
      </c>
      <c r="D49" s="12" t="s">
        <v>162</v>
      </c>
      <c r="E49" s="12" t="s">
        <v>139</v>
      </c>
      <c r="F49" s="12" t="s">
        <v>15</v>
      </c>
      <c r="G49" s="12" t="s">
        <v>90</v>
      </c>
      <c r="H49" s="12" t="s">
        <v>180</v>
      </c>
      <c r="I49" s="48" t="s">
        <v>181</v>
      </c>
      <c r="J49" s="12" t="s">
        <v>182</v>
      </c>
      <c r="K49" s="12">
        <v>1</v>
      </c>
      <c r="L49" s="12">
        <v>21</v>
      </c>
      <c r="M49" s="12"/>
      <c r="N49" s="13">
        <v>1889</v>
      </c>
      <c r="O49" s="12" t="s">
        <v>93</v>
      </c>
      <c r="P49" s="12"/>
      <c r="Q49" s="12"/>
      <c r="R49" s="12" t="s">
        <v>94</v>
      </c>
      <c r="S49" s="12">
        <v>10</v>
      </c>
      <c r="T49" s="12" t="s">
        <v>166</v>
      </c>
      <c r="U49" s="12" t="s">
        <v>167</v>
      </c>
      <c r="V49" s="12">
        <f>VLOOKUP(Tabla4[[#This Row],[ZONA DEFINITIVO]],Hoja1!$A$1:$D$121,3,0)</f>
        <v>228989</v>
      </c>
      <c r="W49" s="12">
        <f>VLOOKUP(Tabla4[[#This Row],[ZONA DEFINITIVO]],Hoja1!$A$1:$D$121,2,0)</f>
        <v>15178</v>
      </c>
      <c r="X49" s="12">
        <f>VLOOKUP(Tabla4[[#This Row],[ZONA DEFINITIVO]],Hoja1!$A$1:$D$121,4,0)</f>
        <v>82025</v>
      </c>
      <c r="Y49" s="12" t="str">
        <f>+IF(Tabla4[[#This Row],[AGRUPACIONES]]=1,SUMIFS(Tabla4[UDS],Tabla4[ZONA DEFINITIVO],Tabla4[[#This Row],[ZONA DEFINITIVO]])," ")</f>
        <v xml:space="preserve"> </v>
      </c>
      <c r="Z49" s="12" t="str">
        <f>+IF(Tabla4[[#This Row],[AGRUPACIONES]]=1,SUMIFS(Tabla4[TOTAL COBERTURA],Tabla4[ZONA DEFINITIVO],Tabla4[[#This Row],[ZONA DEFINITIVO]])," ")</f>
        <v xml:space="preserve"> </v>
      </c>
      <c r="AA49" s="12"/>
      <c r="AB49" s="38">
        <v>90917442</v>
      </c>
      <c r="AC49" s="37">
        <v>0.02</v>
      </c>
      <c r="AD49" s="38">
        <f t="shared" si="1"/>
        <v>1818348.84</v>
      </c>
      <c r="AE49" s="12"/>
      <c r="AF49" s="12">
        <f>COUNTIF($A$20:A49,A49)</f>
        <v>6</v>
      </c>
      <c r="AG49" s="38">
        <v>90917442</v>
      </c>
      <c r="AH49" s="38">
        <f>Tabla4[[#This Row],[VALOR CONTRAPARTIDA]]+Tabla4[[#This Row],[TOTAL APORTES ICBF]]</f>
        <v>92735790.840000004</v>
      </c>
      <c r="AI49" s="35"/>
      <c r="AJ49" s="38"/>
      <c r="AK49" s="38"/>
      <c r="AL49" s="23"/>
      <c r="AM49" s="35">
        <f>VLOOKUP(Tabla4[[#This Row],[SERVICIO 2025]],$J$2:$V$14,5,0)*Tabla4[[#This Row],[TOTAL COBERTURA]]</f>
        <v>1851003</v>
      </c>
      <c r="AN49" s="35">
        <f>VLOOKUP(Tabla4[[#This Row],[SERVICIO 2025]],$J$2:$V$14,6,0)*Tabla4[[#This Row],[TOTAL COBERTURA]]</f>
        <v>1575903</v>
      </c>
      <c r="AO49" s="35">
        <f>VLOOKUP(Tabla4[[#This Row],[SERVICIO 2025]],$J$2:$V$14,8,0)*Tabla4[[#This Row],[TOTAL COBERTURA]]</f>
        <v>0</v>
      </c>
      <c r="AP49" s="35">
        <f>VLOOKUP(Tabla4[[#This Row],[SERVICIO 2025]],$J$2:$V$14,3,0)*Tabla4[[#This Row],[TOTAL COBERTURA]]*8</f>
        <v>87490536</v>
      </c>
      <c r="AQ49" s="35"/>
      <c r="AR49" s="35">
        <f>Tabla4[[#This Row],[VALOR FASE PREPARATORIA DE ALISTAMIENTO]]+Tabla4[[#This Row],[VALOR FASE PREPARATORIA DE CIERRE]]+Tabla4[[#This Row],[DOTACIÓN ÚNICA]]+Tabla4[[#This Row],[VALOR ATENCIÓN]]+Tabla4[[#This Row],[VALOR RACION PREPARADA]]</f>
        <v>90917442</v>
      </c>
      <c r="AS49" s="35" t="str">
        <f>+IF(Tabla4[[#This Row],[AGRUPACIONES]]=1,SUMIFS(Tabla4[VALOR TOTAL],Tabla4[ZONA DEFINITIVO],Tabla4[[#This Row],[ZONA DEFINITIVO]])," ")</f>
        <v xml:space="preserve"> </v>
      </c>
      <c r="AT49" s="27">
        <f>(VLOOKUP(Tabla4[[#This Row],[SERVICIO 2025]],$J$2:$V$14,3,0)*Tabla4[[#This Row],[TOTAL COBERTURA]])+Tabla4[[#This Row],[VALOR FASE PREPARATORIA DE ALISTAMIENTO]]+Tabla4[[#This Row],[DOTACIÓN ÚNICA]]</f>
        <v>12787320</v>
      </c>
      <c r="AU49" s="35">
        <f>(VLOOKUP(Tabla4[[#This Row],[SERVICIO 2025]],$J$2:$V$14,3,0)*Tabla4[[#This Row],[TOTAL COBERTURA]])</f>
        <v>10936317</v>
      </c>
      <c r="AV49" s="35">
        <f>(VLOOKUP(Tabla4[[#This Row],[SERVICIO 2025]],$J$2:$V$14,3,0)*Tabla4[[#This Row],[TOTAL COBERTURA]])</f>
        <v>10936317</v>
      </c>
      <c r="AW49" s="35">
        <f>(VLOOKUP(Tabla4[[#This Row],[SERVICIO 2025]],$J$2:$V$14,3,0)*Tabla4[[#This Row],[TOTAL COBERTURA]])</f>
        <v>10936317</v>
      </c>
      <c r="AX49" s="35">
        <f>(VLOOKUP(Tabla4[[#This Row],[SERVICIO 2025]],$J$2:$V$14,3,0)*Tabla4[[#This Row],[TOTAL COBERTURA]])</f>
        <v>10936317</v>
      </c>
      <c r="AY49" s="35">
        <f>(VLOOKUP(Tabla4[[#This Row],[SERVICIO 2025]],$J$2:$V$14,3,0)*Tabla4[[#This Row],[TOTAL COBERTURA]])</f>
        <v>10936317</v>
      </c>
      <c r="AZ49" s="35">
        <f>(VLOOKUP(Tabla4[[#This Row],[SERVICIO 2025]],$J$2:$V$14,3,0)*Tabla4[[#This Row],[TOTAL COBERTURA]])</f>
        <v>10936317</v>
      </c>
      <c r="BA49" s="35">
        <f>(VLOOKUP(Tabla4[[#This Row],[SERVICIO 2025]],$J$2:$V$14,3,0)*Tabla4[[#This Row],[TOTAL COBERTURA]])+Tabla4[[#This Row],[VALOR FASE PREPARATORIA DE CIERRE]]</f>
        <v>12512220</v>
      </c>
      <c r="BB49" s="35">
        <f>SUM(Tabla4[[#This Row],[DESEMBOLSO 1]:[DESEMBOLSO 8]])</f>
        <v>90917442</v>
      </c>
      <c r="BC49" s="35">
        <f>VLOOKUP(Tabla4[[#This Row],[SERVICIO 2025]],$J$2:$V$14,10,0)*Tabla4[[#This Row],[TOTAL COBERTURA]]*$W$3</f>
        <v>0</v>
      </c>
      <c r="BD49" s="47" t="s">
        <v>145</v>
      </c>
      <c r="BE49" s="12" t="b">
        <f>EXACT(Tabla4[[#This Row],[VALOR ATENCIÓN (8 MESES)]],Tabla4[[#This Row],[VALOR TOTAL]])</f>
        <v>1</v>
      </c>
      <c r="BF49" s="23">
        <f>Tabla4[[#This Row],[VALOR ATENCIÓN (8 MESES)]]-Tabla4[[#This Row],[VALOR TOTAL]]</f>
        <v>0</v>
      </c>
      <c r="BG49" s="12" t="b">
        <f>EXACT(Tabla4[[#This Row],[TOTAL DESEMBOLSOS]],Tabla4[[#This Row],[VALOR ATENCIÓN (8 MESES)]])</f>
        <v>1</v>
      </c>
      <c r="BH49" s="29">
        <f>Tabla4[[#This Row],[TOTAL DESEMBOLSOS]]-Tabla4[[#This Row],[VALOR ATENCIÓN (8 MESES)]]</f>
        <v>0</v>
      </c>
      <c r="BI49" t="s">
        <v>98</v>
      </c>
    </row>
    <row r="50" spans="1:62">
      <c r="A50" s="13">
        <v>1889</v>
      </c>
      <c r="B50" s="13" t="s">
        <v>161</v>
      </c>
      <c r="C50" s="12" t="s">
        <v>87</v>
      </c>
      <c r="D50" s="12" t="s">
        <v>162</v>
      </c>
      <c r="E50" s="12" t="s">
        <v>139</v>
      </c>
      <c r="F50" s="12" t="s">
        <v>15</v>
      </c>
      <c r="G50" s="12" t="s">
        <v>90</v>
      </c>
      <c r="H50" s="12" t="s">
        <v>183</v>
      </c>
      <c r="I50" s="48" t="s">
        <v>184</v>
      </c>
      <c r="J50" s="12" t="s">
        <v>185</v>
      </c>
      <c r="K50" s="12">
        <v>1</v>
      </c>
      <c r="L50" s="12">
        <v>23</v>
      </c>
      <c r="M50" s="12"/>
      <c r="N50" s="13">
        <v>1889</v>
      </c>
      <c r="O50" s="12" t="s">
        <v>93</v>
      </c>
      <c r="P50" s="12"/>
      <c r="Q50" s="12"/>
      <c r="R50" s="12" t="s">
        <v>94</v>
      </c>
      <c r="S50" s="12">
        <v>10</v>
      </c>
      <c r="T50" s="12" t="s">
        <v>166</v>
      </c>
      <c r="U50" s="12" t="s">
        <v>167</v>
      </c>
      <c r="V50" s="12">
        <f>VLOOKUP(Tabla4[[#This Row],[ZONA DEFINITIVO]],Hoja1!$A$1:$D$121,3,0)</f>
        <v>228989</v>
      </c>
      <c r="W50" s="12">
        <f>VLOOKUP(Tabla4[[#This Row],[ZONA DEFINITIVO]],Hoja1!$A$1:$D$121,2,0)</f>
        <v>15178</v>
      </c>
      <c r="X50" s="12">
        <f>VLOOKUP(Tabla4[[#This Row],[ZONA DEFINITIVO]],Hoja1!$A$1:$D$121,4,0)</f>
        <v>82025</v>
      </c>
      <c r="Y50" s="12" t="str">
        <f>+IF(Tabla4[[#This Row],[AGRUPACIONES]]=1,SUMIFS(Tabla4[UDS],Tabla4[ZONA DEFINITIVO],Tabla4[[#This Row],[ZONA DEFINITIVO]])," ")</f>
        <v xml:space="preserve"> </v>
      </c>
      <c r="Z50" s="12" t="str">
        <f>+IF(Tabla4[[#This Row],[AGRUPACIONES]]=1,SUMIFS(Tabla4[TOTAL COBERTURA],Tabla4[ZONA DEFINITIVO],Tabla4[[#This Row],[ZONA DEFINITIVO]])," ")</f>
        <v xml:space="preserve"> </v>
      </c>
      <c r="AA50" s="12"/>
      <c r="AB50" s="38">
        <v>99576246</v>
      </c>
      <c r="AC50" s="37">
        <v>0.02</v>
      </c>
      <c r="AD50" s="38">
        <f t="shared" si="1"/>
        <v>1991524.92</v>
      </c>
      <c r="AE50" s="12"/>
      <c r="AF50" s="12">
        <f>COUNTIF($A$20:A50,A50)</f>
        <v>7</v>
      </c>
      <c r="AG50" s="38">
        <v>99576246</v>
      </c>
      <c r="AH50" s="38">
        <f>Tabla4[[#This Row],[VALOR CONTRAPARTIDA]]+Tabla4[[#This Row],[TOTAL APORTES ICBF]]</f>
        <v>101567770.92</v>
      </c>
      <c r="AI50" s="35"/>
      <c r="AJ50" s="38"/>
      <c r="AK50" s="38"/>
      <c r="AL50" s="23"/>
      <c r="AM50" s="35">
        <f>VLOOKUP(Tabla4[[#This Row],[SERVICIO 2025]],$J$2:$V$14,5,0)*Tabla4[[#This Row],[TOTAL COBERTURA]]</f>
        <v>2027289</v>
      </c>
      <c r="AN50" s="35">
        <f>VLOOKUP(Tabla4[[#This Row],[SERVICIO 2025]],$J$2:$V$14,6,0)*Tabla4[[#This Row],[TOTAL COBERTURA]]</f>
        <v>1725989</v>
      </c>
      <c r="AO50" s="35">
        <f>VLOOKUP(Tabla4[[#This Row],[SERVICIO 2025]],$J$2:$V$14,8,0)*Tabla4[[#This Row],[TOTAL COBERTURA]]</f>
        <v>0</v>
      </c>
      <c r="AP50" s="35">
        <f>VLOOKUP(Tabla4[[#This Row],[SERVICIO 2025]],$J$2:$V$14,3,0)*Tabla4[[#This Row],[TOTAL COBERTURA]]*8</f>
        <v>95822968</v>
      </c>
      <c r="AQ50" s="35"/>
      <c r="AR50" s="35">
        <f>Tabla4[[#This Row],[VALOR FASE PREPARATORIA DE ALISTAMIENTO]]+Tabla4[[#This Row],[VALOR FASE PREPARATORIA DE CIERRE]]+Tabla4[[#This Row],[DOTACIÓN ÚNICA]]+Tabla4[[#This Row],[VALOR ATENCIÓN]]+Tabla4[[#This Row],[VALOR RACION PREPARADA]]</f>
        <v>99576246</v>
      </c>
      <c r="AS50" s="35" t="str">
        <f>+IF(Tabla4[[#This Row],[AGRUPACIONES]]=1,SUMIFS(Tabla4[VALOR TOTAL],Tabla4[ZONA DEFINITIVO],Tabla4[[#This Row],[ZONA DEFINITIVO]])," ")</f>
        <v xml:space="preserve"> </v>
      </c>
      <c r="AT50" s="27">
        <f>(VLOOKUP(Tabla4[[#This Row],[SERVICIO 2025]],$J$2:$V$14,3,0)*Tabla4[[#This Row],[TOTAL COBERTURA]])+Tabla4[[#This Row],[VALOR FASE PREPARATORIA DE ALISTAMIENTO]]+Tabla4[[#This Row],[DOTACIÓN ÚNICA]]</f>
        <v>14005160</v>
      </c>
      <c r="AU50" s="35">
        <f>(VLOOKUP(Tabla4[[#This Row],[SERVICIO 2025]],$J$2:$V$14,3,0)*Tabla4[[#This Row],[TOTAL COBERTURA]])</f>
        <v>11977871</v>
      </c>
      <c r="AV50" s="35">
        <f>(VLOOKUP(Tabla4[[#This Row],[SERVICIO 2025]],$J$2:$V$14,3,0)*Tabla4[[#This Row],[TOTAL COBERTURA]])</f>
        <v>11977871</v>
      </c>
      <c r="AW50" s="35">
        <f>(VLOOKUP(Tabla4[[#This Row],[SERVICIO 2025]],$J$2:$V$14,3,0)*Tabla4[[#This Row],[TOTAL COBERTURA]])</f>
        <v>11977871</v>
      </c>
      <c r="AX50" s="35">
        <f>(VLOOKUP(Tabla4[[#This Row],[SERVICIO 2025]],$J$2:$V$14,3,0)*Tabla4[[#This Row],[TOTAL COBERTURA]])</f>
        <v>11977871</v>
      </c>
      <c r="AY50" s="35">
        <f>(VLOOKUP(Tabla4[[#This Row],[SERVICIO 2025]],$J$2:$V$14,3,0)*Tabla4[[#This Row],[TOTAL COBERTURA]])</f>
        <v>11977871</v>
      </c>
      <c r="AZ50" s="35">
        <f>(VLOOKUP(Tabla4[[#This Row],[SERVICIO 2025]],$J$2:$V$14,3,0)*Tabla4[[#This Row],[TOTAL COBERTURA]])</f>
        <v>11977871</v>
      </c>
      <c r="BA50" s="35">
        <f>(VLOOKUP(Tabla4[[#This Row],[SERVICIO 2025]],$J$2:$V$14,3,0)*Tabla4[[#This Row],[TOTAL COBERTURA]])+Tabla4[[#This Row],[VALOR FASE PREPARATORIA DE CIERRE]]</f>
        <v>13703860</v>
      </c>
      <c r="BB50" s="35">
        <f>SUM(Tabla4[[#This Row],[DESEMBOLSO 1]:[DESEMBOLSO 8]])</f>
        <v>99576246</v>
      </c>
      <c r="BC50" s="35">
        <f>VLOOKUP(Tabla4[[#This Row],[SERVICIO 2025]],$J$2:$V$14,10,0)*Tabla4[[#This Row],[TOTAL COBERTURA]]*$W$3</f>
        <v>0</v>
      </c>
      <c r="BD50" s="47" t="s">
        <v>145</v>
      </c>
      <c r="BE50" s="12" t="b">
        <f>EXACT(Tabla4[[#This Row],[VALOR ATENCIÓN (8 MESES)]],Tabla4[[#This Row],[VALOR TOTAL]])</f>
        <v>1</v>
      </c>
      <c r="BF50" s="23">
        <f>Tabla4[[#This Row],[VALOR ATENCIÓN (8 MESES)]]-Tabla4[[#This Row],[VALOR TOTAL]]</f>
        <v>0</v>
      </c>
      <c r="BG50" s="12" t="b">
        <f>EXACT(Tabla4[[#This Row],[TOTAL DESEMBOLSOS]],Tabla4[[#This Row],[VALOR ATENCIÓN (8 MESES)]])</f>
        <v>1</v>
      </c>
      <c r="BH50" s="29">
        <f>Tabla4[[#This Row],[TOTAL DESEMBOLSOS]]-Tabla4[[#This Row],[VALOR ATENCIÓN (8 MESES)]]</f>
        <v>0</v>
      </c>
      <c r="BI50" t="s">
        <v>98</v>
      </c>
    </row>
    <row r="51" spans="1:62">
      <c r="A51" s="13">
        <v>1889</v>
      </c>
      <c r="B51" s="13" t="s">
        <v>161</v>
      </c>
      <c r="C51" s="12" t="s">
        <v>87</v>
      </c>
      <c r="D51" s="12" t="s">
        <v>162</v>
      </c>
      <c r="E51" s="12" t="s">
        <v>139</v>
      </c>
      <c r="F51" s="12" t="s">
        <v>15</v>
      </c>
      <c r="G51" s="12" t="s">
        <v>90</v>
      </c>
      <c r="H51" s="12" t="s">
        <v>186</v>
      </c>
      <c r="I51" s="48" t="s">
        <v>187</v>
      </c>
      <c r="J51" s="12" t="s">
        <v>188</v>
      </c>
      <c r="K51" s="12">
        <v>1</v>
      </c>
      <c r="L51" s="12">
        <v>5</v>
      </c>
      <c r="M51" s="12"/>
      <c r="N51" s="13">
        <v>1889</v>
      </c>
      <c r="O51" s="12" t="s">
        <v>93</v>
      </c>
      <c r="P51" s="12"/>
      <c r="Q51" s="12"/>
      <c r="R51" s="12" t="s">
        <v>94</v>
      </c>
      <c r="S51" s="12">
        <v>10</v>
      </c>
      <c r="T51" s="12" t="s">
        <v>166</v>
      </c>
      <c r="U51" s="12" t="s">
        <v>167</v>
      </c>
      <c r="V51" s="12">
        <f>VLOOKUP(Tabla4[[#This Row],[ZONA DEFINITIVO]],Hoja1!$A$1:$D$121,3,0)</f>
        <v>228989</v>
      </c>
      <c r="W51" s="12">
        <f>VLOOKUP(Tabla4[[#This Row],[ZONA DEFINITIVO]],Hoja1!$A$1:$D$121,2,0)</f>
        <v>15178</v>
      </c>
      <c r="X51" s="12">
        <f>VLOOKUP(Tabla4[[#This Row],[ZONA DEFINITIVO]],Hoja1!$A$1:$D$121,4,0)</f>
        <v>82025</v>
      </c>
      <c r="Y51" s="12" t="str">
        <f>+IF(Tabla4[[#This Row],[AGRUPACIONES]]=1,SUMIFS(Tabla4[UDS],Tabla4[ZONA DEFINITIVO],Tabla4[[#This Row],[ZONA DEFINITIVO]])," ")</f>
        <v xml:space="preserve"> </v>
      </c>
      <c r="Z51" s="12" t="str">
        <f>+IF(Tabla4[[#This Row],[AGRUPACIONES]]=1,SUMIFS(Tabla4[TOTAL COBERTURA],Tabla4[ZONA DEFINITIVO],Tabla4[[#This Row],[ZONA DEFINITIVO]])," ")</f>
        <v xml:space="preserve"> </v>
      </c>
      <c r="AA51" s="12"/>
      <c r="AB51" s="38">
        <v>21647010</v>
      </c>
      <c r="AC51" s="37">
        <v>0.02</v>
      </c>
      <c r="AD51" s="38">
        <f t="shared" si="1"/>
        <v>432940.2</v>
      </c>
      <c r="AE51" s="12"/>
      <c r="AF51" s="12">
        <f>COUNTIF($A$20:A51,A51)</f>
        <v>8</v>
      </c>
      <c r="AG51" s="38">
        <v>21647010</v>
      </c>
      <c r="AH51" s="38">
        <f>Tabla4[[#This Row],[VALOR CONTRAPARTIDA]]+Tabla4[[#This Row],[TOTAL APORTES ICBF]]</f>
        <v>22079950.199999999</v>
      </c>
      <c r="AI51" s="35"/>
      <c r="AJ51" s="38"/>
      <c r="AK51" s="38"/>
      <c r="AL51" s="23"/>
      <c r="AM51" s="35">
        <f>VLOOKUP(Tabla4[[#This Row],[SERVICIO 2025]],$J$2:$V$14,5,0)*Tabla4[[#This Row],[TOTAL COBERTURA]]</f>
        <v>440715</v>
      </c>
      <c r="AN51" s="35">
        <f>VLOOKUP(Tabla4[[#This Row],[SERVICIO 2025]],$J$2:$V$14,6,0)*Tabla4[[#This Row],[TOTAL COBERTURA]]</f>
        <v>375215</v>
      </c>
      <c r="AO51" s="35">
        <f>VLOOKUP(Tabla4[[#This Row],[SERVICIO 2025]],$J$2:$V$14,8,0)*Tabla4[[#This Row],[TOTAL COBERTURA]]</f>
        <v>0</v>
      </c>
      <c r="AP51" s="35">
        <f>VLOOKUP(Tabla4[[#This Row],[SERVICIO 2025]],$J$2:$V$14,3,0)*Tabla4[[#This Row],[TOTAL COBERTURA]]*8</f>
        <v>20831080</v>
      </c>
      <c r="AQ51" s="35"/>
      <c r="AR51" s="35">
        <f>Tabla4[[#This Row],[VALOR FASE PREPARATORIA DE ALISTAMIENTO]]+Tabla4[[#This Row],[VALOR FASE PREPARATORIA DE CIERRE]]+Tabla4[[#This Row],[DOTACIÓN ÚNICA]]+Tabla4[[#This Row],[VALOR ATENCIÓN]]+Tabla4[[#This Row],[VALOR RACION PREPARADA]]</f>
        <v>21647010</v>
      </c>
      <c r="AS51" s="35" t="str">
        <f>+IF(Tabla4[[#This Row],[AGRUPACIONES]]=1,SUMIFS(Tabla4[VALOR TOTAL],Tabla4[ZONA DEFINITIVO],Tabla4[[#This Row],[ZONA DEFINITIVO]])," ")</f>
        <v xml:space="preserve"> </v>
      </c>
      <c r="AT51" s="27">
        <f>(VLOOKUP(Tabla4[[#This Row],[SERVICIO 2025]],$J$2:$V$14,3,0)*Tabla4[[#This Row],[TOTAL COBERTURA]])+Tabla4[[#This Row],[VALOR FASE PREPARATORIA DE ALISTAMIENTO]]+Tabla4[[#This Row],[DOTACIÓN ÚNICA]]</f>
        <v>3044600</v>
      </c>
      <c r="AU51" s="35">
        <f>(VLOOKUP(Tabla4[[#This Row],[SERVICIO 2025]],$J$2:$V$14,3,0)*Tabla4[[#This Row],[TOTAL COBERTURA]])</f>
        <v>2603885</v>
      </c>
      <c r="AV51" s="35">
        <f>(VLOOKUP(Tabla4[[#This Row],[SERVICIO 2025]],$J$2:$V$14,3,0)*Tabla4[[#This Row],[TOTAL COBERTURA]])</f>
        <v>2603885</v>
      </c>
      <c r="AW51" s="35">
        <f>(VLOOKUP(Tabla4[[#This Row],[SERVICIO 2025]],$J$2:$V$14,3,0)*Tabla4[[#This Row],[TOTAL COBERTURA]])</f>
        <v>2603885</v>
      </c>
      <c r="AX51" s="35">
        <f>(VLOOKUP(Tabla4[[#This Row],[SERVICIO 2025]],$J$2:$V$14,3,0)*Tabla4[[#This Row],[TOTAL COBERTURA]])</f>
        <v>2603885</v>
      </c>
      <c r="AY51" s="35">
        <f>(VLOOKUP(Tabla4[[#This Row],[SERVICIO 2025]],$J$2:$V$14,3,0)*Tabla4[[#This Row],[TOTAL COBERTURA]])</f>
        <v>2603885</v>
      </c>
      <c r="AZ51" s="35">
        <f>(VLOOKUP(Tabla4[[#This Row],[SERVICIO 2025]],$J$2:$V$14,3,0)*Tabla4[[#This Row],[TOTAL COBERTURA]])</f>
        <v>2603885</v>
      </c>
      <c r="BA51" s="35">
        <f>(VLOOKUP(Tabla4[[#This Row],[SERVICIO 2025]],$J$2:$V$14,3,0)*Tabla4[[#This Row],[TOTAL COBERTURA]])+Tabla4[[#This Row],[VALOR FASE PREPARATORIA DE CIERRE]]</f>
        <v>2979100</v>
      </c>
      <c r="BB51" s="35">
        <f>SUM(Tabla4[[#This Row],[DESEMBOLSO 1]:[DESEMBOLSO 8]])</f>
        <v>21647010</v>
      </c>
      <c r="BC51" s="35">
        <f>VLOOKUP(Tabla4[[#This Row],[SERVICIO 2025]],$J$2:$V$14,10,0)*Tabla4[[#This Row],[TOTAL COBERTURA]]*$W$3</f>
        <v>0</v>
      </c>
      <c r="BD51" s="47" t="s">
        <v>145</v>
      </c>
      <c r="BE51" s="12" t="b">
        <f>EXACT(Tabla4[[#This Row],[VALOR ATENCIÓN (8 MESES)]],Tabla4[[#This Row],[VALOR TOTAL]])</f>
        <v>1</v>
      </c>
      <c r="BF51" s="23">
        <f>Tabla4[[#This Row],[VALOR ATENCIÓN (8 MESES)]]-Tabla4[[#This Row],[VALOR TOTAL]]</f>
        <v>0</v>
      </c>
      <c r="BG51" s="12" t="b">
        <f>EXACT(Tabla4[[#This Row],[TOTAL DESEMBOLSOS]],Tabla4[[#This Row],[VALOR ATENCIÓN (8 MESES)]])</f>
        <v>1</v>
      </c>
      <c r="BH51" s="29">
        <f>Tabla4[[#This Row],[TOTAL DESEMBOLSOS]]-Tabla4[[#This Row],[VALOR ATENCIÓN (8 MESES)]]</f>
        <v>0</v>
      </c>
      <c r="BI51" t="s">
        <v>98</v>
      </c>
    </row>
    <row r="52" spans="1:62">
      <c r="A52" s="13">
        <v>1889</v>
      </c>
      <c r="B52" s="13" t="s">
        <v>161</v>
      </c>
      <c r="C52" s="12" t="s">
        <v>87</v>
      </c>
      <c r="D52" s="12" t="s">
        <v>162</v>
      </c>
      <c r="E52" s="12" t="s">
        <v>139</v>
      </c>
      <c r="F52" s="12" t="s">
        <v>15</v>
      </c>
      <c r="G52" s="12" t="s">
        <v>90</v>
      </c>
      <c r="H52" s="12" t="s">
        <v>189</v>
      </c>
      <c r="I52" s="48" t="s">
        <v>190</v>
      </c>
      <c r="J52" s="12" t="s">
        <v>191</v>
      </c>
      <c r="K52" s="12">
        <v>1</v>
      </c>
      <c r="L52" s="12">
        <v>57</v>
      </c>
      <c r="M52" s="12"/>
      <c r="N52" s="13">
        <v>1889</v>
      </c>
      <c r="O52" s="12" t="s">
        <v>93</v>
      </c>
      <c r="P52" s="12"/>
      <c r="Q52" s="12"/>
      <c r="R52" s="12" t="s">
        <v>94</v>
      </c>
      <c r="S52" s="12">
        <v>10</v>
      </c>
      <c r="T52" s="12" t="s">
        <v>166</v>
      </c>
      <c r="U52" s="12" t="s">
        <v>167</v>
      </c>
      <c r="V52" s="12">
        <f>VLOOKUP(Tabla4[[#This Row],[ZONA DEFINITIVO]],Hoja1!$A$1:$D$121,3,0)</f>
        <v>228989</v>
      </c>
      <c r="W52" s="12">
        <f>VLOOKUP(Tabla4[[#This Row],[ZONA DEFINITIVO]],Hoja1!$A$1:$D$121,2,0)</f>
        <v>15178</v>
      </c>
      <c r="X52" s="12">
        <f>VLOOKUP(Tabla4[[#This Row],[ZONA DEFINITIVO]],Hoja1!$A$1:$D$121,4,0)</f>
        <v>82025</v>
      </c>
      <c r="Y52" s="12" t="str">
        <f>+IF(Tabla4[[#This Row],[AGRUPACIONES]]=1,SUMIFS(Tabla4[UDS],Tabla4[ZONA DEFINITIVO],Tabla4[[#This Row],[ZONA DEFINITIVO]])," ")</f>
        <v xml:space="preserve"> </v>
      </c>
      <c r="Z52" s="12" t="str">
        <f>+IF(Tabla4[[#This Row],[AGRUPACIONES]]=1,SUMIFS(Tabla4[TOTAL COBERTURA],Tabla4[ZONA DEFINITIVO],Tabla4[[#This Row],[ZONA DEFINITIVO]])," ")</f>
        <v xml:space="preserve"> </v>
      </c>
      <c r="AA52" s="12"/>
      <c r="AB52" s="38">
        <v>246775914</v>
      </c>
      <c r="AC52" s="37">
        <v>0.02</v>
      </c>
      <c r="AD52" s="38">
        <f t="shared" si="1"/>
        <v>4935518.28</v>
      </c>
      <c r="AE52" s="12"/>
      <c r="AF52" s="12">
        <f>COUNTIF($A$20:A52,A52)</f>
        <v>9</v>
      </c>
      <c r="AG52" s="38">
        <v>246775914</v>
      </c>
      <c r="AH52" s="38">
        <f>Tabla4[[#This Row],[VALOR CONTRAPARTIDA]]+Tabla4[[#This Row],[TOTAL APORTES ICBF]]</f>
        <v>251711432.28</v>
      </c>
      <c r="AI52" s="35"/>
      <c r="AJ52" s="38"/>
      <c r="AK52" s="38"/>
      <c r="AL52" s="23"/>
      <c r="AM52" s="35">
        <f>VLOOKUP(Tabla4[[#This Row],[SERVICIO 2025]],$J$2:$V$14,5,0)*Tabla4[[#This Row],[TOTAL COBERTURA]]</f>
        <v>5024151</v>
      </c>
      <c r="AN52" s="35">
        <f>VLOOKUP(Tabla4[[#This Row],[SERVICIO 2025]],$J$2:$V$14,6,0)*Tabla4[[#This Row],[TOTAL COBERTURA]]</f>
        <v>4277451</v>
      </c>
      <c r="AO52" s="35">
        <f>VLOOKUP(Tabla4[[#This Row],[SERVICIO 2025]],$J$2:$V$14,8,0)*Tabla4[[#This Row],[TOTAL COBERTURA]]</f>
        <v>0</v>
      </c>
      <c r="AP52" s="35">
        <f>VLOOKUP(Tabla4[[#This Row],[SERVICIO 2025]],$J$2:$V$14,3,0)*Tabla4[[#This Row],[TOTAL COBERTURA]]*8</f>
        <v>237474312</v>
      </c>
      <c r="AQ52" s="35"/>
      <c r="AR52" s="35">
        <f>Tabla4[[#This Row],[VALOR FASE PREPARATORIA DE ALISTAMIENTO]]+Tabla4[[#This Row],[VALOR FASE PREPARATORIA DE CIERRE]]+Tabla4[[#This Row],[DOTACIÓN ÚNICA]]+Tabla4[[#This Row],[VALOR ATENCIÓN]]+Tabla4[[#This Row],[VALOR RACION PREPARADA]]</f>
        <v>246775914</v>
      </c>
      <c r="AS52" s="35" t="str">
        <f>+IF(Tabla4[[#This Row],[AGRUPACIONES]]=1,SUMIFS(Tabla4[VALOR TOTAL],Tabla4[ZONA DEFINITIVO],Tabla4[[#This Row],[ZONA DEFINITIVO]])," ")</f>
        <v xml:space="preserve"> </v>
      </c>
      <c r="AT52" s="27">
        <f>(VLOOKUP(Tabla4[[#This Row],[SERVICIO 2025]],$J$2:$V$14,3,0)*Tabla4[[#This Row],[TOTAL COBERTURA]])+Tabla4[[#This Row],[VALOR FASE PREPARATORIA DE ALISTAMIENTO]]+Tabla4[[#This Row],[DOTACIÓN ÚNICA]]</f>
        <v>34708440</v>
      </c>
      <c r="AU52" s="35">
        <f>(VLOOKUP(Tabla4[[#This Row],[SERVICIO 2025]],$J$2:$V$14,3,0)*Tabla4[[#This Row],[TOTAL COBERTURA]])</f>
        <v>29684289</v>
      </c>
      <c r="AV52" s="35">
        <f>(VLOOKUP(Tabla4[[#This Row],[SERVICIO 2025]],$J$2:$V$14,3,0)*Tabla4[[#This Row],[TOTAL COBERTURA]])</f>
        <v>29684289</v>
      </c>
      <c r="AW52" s="35">
        <f>(VLOOKUP(Tabla4[[#This Row],[SERVICIO 2025]],$J$2:$V$14,3,0)*Tabla4[[#This Row],[TOTAL COBERTURA]])</f>
        <v>29684289</v>
      </c>
      <c r="AX52" s="35">
        <f>(VLOOKUP(Tabla4[[#This Row],[SERVICIO 2025]],$J$2:$V$14,3,0)*Tabla4[[#This Row],[TOTAL COBERTURA]])</f>
        <v>29684289</v>
      </c>
      <c r="AY52" s="35">
        <f>(VLOOKUP(Tabla4[[#This Row],[SERVICIO 2025]],$J$2:$V$14,3,0)*Tabla4[[#This Row],[TOTAL COBERTURA]])</f>
        <v>29684289</v>
      </c>
      <c r="AZ52" s="35">
        <f>(VLOOKUP(Tabla4[[#This Row],[SERVICIO 2025]],$J$2:$V$14,3,0)*Tabla4[[#This Row],[TOTAL COBERTURA]])</f>
        <v>29684289</v>
      </c>
      <c r="BA52" s="35">
        <f>(VLOOKUP(Tabla4[[#This Row],[SERVICIO 2025]],$J$2:$V$14,3,0)*Tabla4[[#This Row],[TOTAL COBERTURA]])+Tabla4[[#This Row],[VALOR FASE PREPARATORIA DE CIERRE]]</f>
        <v>33961740</v>
      </c>
      <c r="BB52" s="35">
        <f>SUM(Tabla4[[#This Row],[DESEMBOLSO 1]:[DESEMBOLSO 8]])</f>
        <v>246775914</v>
      </c>
      <c r="BC52" s="35">
        <f>VLOOKUP(Tabla4[[#This Row],[SERVICIO 2025]],$J$2:$V$14,10,0)*Tabla4[[#This Row],[TOTAL COBERTURA]]*$W$3</f>
        <v>0</v>
      </c>
      <c r="BD52" s="47" t="s">
        <v>145</v>
      </c>
      <c r="BE52" s="12" t="b">
        <f>EXACT(Tabla4[[#This Row],[VALOR ATENCIÓN (8 MESES)]],Tabla4[[#This Row],[VALOR TOTAL]])</f>
        <v>1</v>
      </c>
      <c r="BF52" s="23">
        <f>Tabla4[[#This Row],[VALOR ATENCIÓN (8 MESES)]]-Tabla4[[#This Row],[VALOR TOTAL]]</f>
        <v>0</v>
      </c>
      <c r="BG52" s="12" t="b">
        <f>EXACT(Tabla4[[#This Row],[TOTAL DESEMBOLSOS]],Tabla4[[#This Row],[VALOR ATENCIÓN (8 MESES)]])</f>
        <v>1</v>
      </c>
      <c r="BH52" s="29">
        <f>Tabla4[[#This Row],[TOTAL DESEMBOLSOS]]-Tabla4[[#This Row],[VALOR ATENCIÓN (8 MESES)]]</f>
        <v>0</v>
      </c>
      <c r="BI52" t="s">
        <v>98</v>
      </c>
    </row>
    <row r="53" spans="1:62">
      <c r="A53" s="13">
        <v>1889</v>
      </c>
      <c r="B53" s="13" t="s">
        <v>161</v>
      </c>
      <c r="C53" s="12" t="s">
        <v>87</v>
      </c>
      <c r="D53" s="12" t="s">
        <v>162</v>
      </c>
      <c r="E53" s="12" t="s">
        <v>139</v>
      </c>
      <c r="F53" s="12" t="s">
        <v>15</v>
      </c>
      <c r="G53" s="12" t="s">
        <v>90</v>
      </c>
      <c r="H53" s="12" t="s">
        <v>192</v>
      </c>
      <c r="I53" s="48" t="s">
        <v>193</v>
      </c>
      <c r="J53" s="12" t="s">
        <v>194</v>
      </c>
      <c r="K53" s="12">
        <v>1</v>
      </c>
      <c r="L53" s="12">
        <v>61</v>
      </c>
      <c r="M53" s="12"/>
      <c r="N53" s="13">
        <v>1889</v>
      </c>
      <c r="O53" s="12" t="s">
        <v>93</v>
      </c>
      <c r="P53" s="12"/>
      <c r="Q53" s="12"/>
      <c r="R53" s="12" t="s">
        <v>94</v>
      </c>
      <c r="S53" s="12">
        <v>10</v>
      </c>
      <c r="T53" s="12" t="s">
        <v>166</v>
      </c>
      <c r="U53" s="12" t="s">
        <v>167</v>
      </c>
      <c r="V53" s="12">
        <f>VLOOKUP(Tabla4[[#This Row],[ZONA DEFINITIVO]],Hoja1!$A$1:$D$121,3,0)</f>
        <v>228989</v>
      </c>
      <c r="W53" s="12">
        <f>VLOOKUP(Tabla4[[#This Row],[ZONA DEFINITIVO]],Hoja1!$A$1:$D$121,2,0)</f>
        <v>15178</v>
      </c>
      <c r="X53" s="12">
        <f>VLOOKUP(Tabla4[[#This Row],[ZONA DEFINITIVO]],Hoja1!$A$1:$D$121,4,0)</f>
        <v>82025</v>
      </c>
      <c r="Y53" s="12" t="str">
        <f>+IF(Tabla4[[#This Row],[AGRUPACIONES]]=1,SUMIFS(Tabla4[UDS],Tabla4[ZONA DEFINITIVO],Tabla4[[#This Row],[ZONA DEFINITIVO]])," ")</f>
        <v xml:space="preserve"> </v>
      </c>
      <c r="Z53" s="12" t="str">
        <f>+IF(Tabla4[[#This Row],[AGRUPACIONES]]=1,SUMIFS(Tabla4[TOTAL COBERTURA],Tabla4[ZONA DEFINITIVO],Tabla4[[#This Row],[ZONA DEFINITIVO]])," ")</f>
        <v xml:space="preserve"> </v>
      </c>
      <c r="AA53" s="12"/>
      <c r="AB53" s="38">
        <v>264093522</v>
      </c>
      <c r="AC53" s="37">
        <v>0.02</v>
      </c>
      <c r="AD53" s="38">
        <f t="shared" si="1"/>
        <v>5281870.4400000004</v>
      </c>
      <c r="AE53" s="12"/>
      <c r="AF53" s="12">
        <f>COUNTIF($A$20:A53,A53)</f>
        <v>10</v>
      </c>
      <c r="AG53" s="38">
        <v>264093522</v>
      </c>
      <c r="AH53" s="38">
        <f>Tabla4[[#This Row],[VALOR CONTRAPARTIDA]]+Tabla4[[#This Row],[TOTAL APORTES ICBF]]</f>
        <v>269375392.44</v>
      </c>
      <c r="AI53" s="35"/>
      <c r="AJ53" s="38"/>
      <c r="AK53" s="38"/>
      <c r="AL53" s="23"/>
      <c r="AM53" s="35">
        <f>VLOOKUP(Tabla4[[#This Row],[SERVICIO 2025]],$J$2:$V$14,5,0)*Tabla4[[#This Row],[TOTAL COBERTURA]]</f>
        <v>5376723</v>
      </c>
      <c r="AN53" s="35">
        <f>VLOOKUP(Tabla4[[#This Row],[SERVICIO 2025]],$J$2:$V$14,6,0)*Tabla4[[#This Row],[TOTAL COBERTURA]]</f>
        <v>4577623</v>
      </c>
      <c r="AO53" s="35">
        <f>VLOOKUP(Tabla4[[#This Row],[SERVICIO 2025]],$J$2:$V$14,8,0)*Tabla4[[#This Row],[TOTAL COBERTURA]]</f>
        <v>0</v>
      </c>
      <c r="AP53" s="35">
        <f>VLOOKUP(Tabla4[[#This Row],[SERVICIO 2025]],$J$2:$V$14,3,0)*Tabla4[[#This Row],[TOTAL COBERTURA]]*8</f>
        <v>254139176</v>
      </c>
      <c r="AQ53" s="35"/>
      <c r="AR53" s="35">
        <f>Tabla4[[#This Row],[VALOR FASE PREPARATORIA DE ALISTAMIENTO]]+Tabla4[[#This Row],[VALOR FASE PREPARATORIA DE CIERRE]]+Tabla4[[#This Row],[DOTACIÓN ÚNICA]]+Tabla4[[#This Row],[VALOR ATENCIÓN]]+Tabla4[[#This Row],[VALOR RACION PREPARADA]]</f>
        <v>264093522</v>
      </c>
      <c r="AS53" s="35" t="str">
        <f>+IF(Tabla4[[#This Row],[AGRUPACIONES]]=1,SUMIFS(Tabla4[VALOR TOTAL],Tabla4[ZONA DEFINITIVO],Tabla4[[#This Row],[ZONA DEFINITIVO]])," ")</f>
        <v xml:space="preserve"> </v>
      </c>
      <c r="AT53" s="27">
        <f>(VLOOKUP(Tabla4[[#This Row],[SERVICIO 2025]],$J$2:$V$14,3,0)*Tabla4[[#This Row],[TOTAL COBERTURA]])+Tabla4[[#This Row],[VALOR FASE PREPARATORIA DE ALISTAMIENTO]]+Tabla4[[#This Row],[DOTACIÓN ÚNICA]]</f>
        <v>37144120</v>
      </c>
      <c r="AU53" s="35">
        <f>(VLOOKUP(Tabla4[[#This Row],[SERVICIO 2025]],$J$2:$V$14,3,0)*Tabla4[[#This Row],[TOTAL COBERTURA]])</f>
        <v>31767397</v>
      </c>
      <c r="AV53" s="35">
        <f>(VLOOKUP(Tabla4[[#This Row],[SERVICIO 2025]],$J$2:$V$14,3,0)*Tabla4[[#This Row],[TOTAL COBERTURA]])</f>
        <v>31767397</v>
      </c>
      <c r="AW53" s="35">
        <f>(VLOOKUP(Tabla4[[#This Row],[SERVICIO 2025]],$J$2:$V$14,3,0)*Tabla4[[#This Row],[TOTAL COBERTURA]])</f>
        <v>31767397</v>
      </c>
      <c r="AX53" s="35">
        <f>(VLOOKUP(Tabla4[[#This Row],[SERVICIO 2025]],$J$2:$V$14,3,0)*Tabla4[[#This Row],[TOTAL COBERTURA]])</f>
        <v>31767397</v>
      </c>
      <c r="AY53" s="35">
        <f>(VLOOKUP(Tabla4[[#This Row],[SERVICIO 2025]],$J$2:$V$14,3,0)*Tabla4[[#This Row],[TOTAL COBERTURA]])</f>
        <v>31767397</v>
      </c>
      <c r="AZ53" s="35">
        <f>(VLOOKUP(Tabla4[[#This Row],[SERVICIO 2025]],$J$2:$V$14,3,0)*Tabla4[[#This Row],[TOTAL COBERTURA]])</f>
        <v>31767397</v>
      </c>
      <c r="BA53" s="35">
        <f>(VLOOKUP(Tabla4[[#This Row],[SERVICIO 2025]],$J$2:$V$14,3,0)*Tabla4[[#This Row],[TOTAL COBERTURA]])+Tabla4[[#This Row],[VALOR FASE PREPARATORIA DE CIERRE]]</f>
        <v>36345020</v>
      </c>
      <c r="BB53" s="35">
        <f>SUM(Tabla4[[#This Row],[DESEMBOLSO 1]:[DESEMBOLSO 8]])</f>
        <v>264093522</v>
      </c>
      <c r="BC53" s="35">
        <f>VLOOKUP(Tabla4[[#This Row],[SERVICIO 2025]],$J$2:$V$14,10,0)*Tabla4[[#This Row],[TOTAL COBERTURA]]*$W$3</f>
        <v>0</v>
      </c>
      <c r="BD53" s="47" t="s">
        <v>145</v>
      </c>
      <c r="BE53" s="12" t="b">
        <f>EXACT(Tabla4[[#This Row],[VALOR ATENCIÓN (8 MESES)]],Tabla4[[#This Row],[VALOR TOTAL]])</f>
        <v>1</v>
      </c>
      <c r="BF53" s="23">
        <f>Tabla4[[#This Row],[VALOR ATENCIÓN (8 MESES)]]-Tabla4[[#This Row],[VALOR TOTAL]]</f>
        <v>0</v>
      </c>
      <c r="BG53" s="12" t="b">
        <f>EXACT(Tabla4[[#This Row],[TOTAL DESEMBOLSOS]],Tabla4[[#This Row],[VALOR ATENCIÓN (8 MESES)]])</f>
        <v>1</v>
      </c>
      <c r="BH53" s="29">
        <f>Tabla4[[#This Row],[TOTAL DESEMBOLSOS]]-Tabla4[[#This Row],[VALOR ATENCIÓN (8 MESES)]]</f>
        <v>0</v>
      </c>
      <c r="BI53" t="s">
        <v>98</v>
      </c>
    </row>
    <row r="54" spans="1:62">
      <c r="A54" s="13">
        <v>1889</v>
      </c>
      <c r="B54" s="13" t="s">
        <v>161</v>
      </c>
      <c r="C54" s="12" t="s">
        <v>87</v>
      </c>
      <c r="D54" s="12" t="s">
        <v>162</v>
      </c>
      <c r="E54" s="12" t="s">
        <v>139</v>
      </c>
      <c r="F54" s="12" t="s">
        <v>14</v>
      </c>
      <c r="G54" s="12" t="s">
        <v>90</v>
      </c>
      <c r="H54" s="12" t="s">
        <v>195</v>
      </c>
      <c r="I54" s="48" t="s">
        <v>196</v>
      </c>
      <c r="J54" s="12" t="s">
        <v>197</v>
      </c>
      <c r="K54" s="12">
        <v>1</v>
      </c>
      <c r="L54" s="12">
        <v>104</v>
      </c>
      <c r="M54" s="12"/>
      <c r="N54" s="13">
        <v>1889</v>
      </c>
      <c r="O54" s="12" t="s">
        <v>93</v>
      </c>
      <c r="P54" s="12"/>
      <c r="Q54" s="12"/>
      <c r="R54" s="12" t="s">
        <v>94</v>
      </c>
      <c r="S54" s="12">
        <v>10</v>
      </c>
      <c r="T54" s="12" t="s">
        <v>166</v>
      </c>
      <c r="U54" s="12" t="s">
        <v>167</v>
      </c>
      <c r="V54" s="12">
        <f>VLOOKUP(Tabla4[[#This Row],[ZONA DEFINITIVO]],Hoja1!$A$1:$D$121,3,0)</f>
        <v>228989</v>
      </c>
      <c r="W54" s="12">
        <f>VLOOKUP(Tabla4[[#This Row],[ZONA DEFINITIVO]],Hoja1!$A$1:$D$121,2,0)</f>
        <v>15178</v>
      </c>
      <c r="X54" s="12">
        <f>VLOOKUP(Tabla4[[#This Row],[ZONA DEFINITIVO]],Hoja1!$A$1:$D$121,4,0)</f>
        <v>82025</v>
      </c>
      <c r="Y54" s="12" t="str">
        <f>+IF(Tabla4[[#This Row],[AGRUPACIONES]]=1,SUMIFS(Tabla4[UDS],Tabla4[ZONA DEFINITIVO],Tabla4[[#This Row],[ZONA DEFINITIVO]])," ")</f>
        <v xml:space="preserve"> </v>
      </c>
      <c r="Z54" s="12" t="str">
        <f>+IF(Tabla4[[#This Row],[AGRUPACIONES]]=1,SUMIFS(Tabla4[TOTAL COBERTURA],Tabla4[ZONA DEFINITIVO],Tabla4[[#This Row],[ZONA DEFINITIVO]])," ")</f>
        <v xml:space="preserve"> </v>
      </c>
      <c r="AA54" s="12"/>
      <c r="AB54" s="38">
        <v>435640400</v>
      </c>
      <c r="AC54" s="37">
        <v>0.02</v>
      </c>
      <c r="AD54" s="38">
        <f t="shared" si="1"/>
        <v>8712808</v>
      </c>
      <c r="AE54" s="12"/>
      <c r="AF54" s="12">
        <f>COUNTIF($A$20:A54,A54)</f>
        <v>11</v>
      </c>
      <c r="AG54" s="38">
        <v>435640400</v>
      </c>
      <c r="AH54" s="38">
        <f>Tabla4[[#This Row],[VALOR CONTRAPARTIDA]]+Tabla4[[#This Row],[TOTAL APORTES ICBF]]</f>
        <v>444353208</v>
      </c>
      <c r="AI54" s="35"/>
      <c r="AJ54" s="38"/>
      <c r="AK54" s="38"/>
      <c r="AL54" s="23"/>
      <c r="AM54" s="35">
        <f>VLOOKUP(Tabla4[[#This Row],[SERVICIO 2025]],$J$2:$V$14,5,0)*Tabla4[[#This Row],[TOTAL COBERTURA]]</f>
        <v>9166872</v>
      </c>
      <c r="AN54" s="35">
        <f>VLOOKUP(Tabla4[[#This Row],[SERVICIO 2025]],$J$2:$V$14,6,0)*Tabla4[[#This Row],[TOTAL COBERTURA]]</f>
        <v>7804472</v>
      </c>
      <c r="AO54" s="35">
        <f>VLOOKUP(Tabla4[[#This Row],[SERVICIO 2025]],$J$2:$V$14,8,0)*Tabla4[[#This Row],[TOTAL COBERTURA]]</f>
        <v>0</v>
      </c>
      <c r="AP54" s="35">
        <f>VLOOKUP(Tabla4[[#This Row],[SERVICIO 2025]],$J$2:$V$14,3,0)*Tabla4[[#This Row],[TOTAL COBERTURA]]*8</f>
        <v>418669056</v>
      </c>
      <c r="AQ54" s="35"/>
      <c r="AR54" s="35">
        <f>Tabla4[[#This Row],[VALOR FASE PREPARATORIA DE ALISTAMIENTO]]+Tabla4[[#This Row],[VALOR FASE PREPARATORIA DE CIERRE]]+Tabla4[[#This Row],[DOTACIÓN ÚNICA]]+Tabla4[[#This Row],[VALOR ATENCIÓN]]+Tabla4[[#This Row],[VALOR RACION PREPARADA]]</f>
        <v>435640400</v>
      </c>
      <c r="AS54" s="35" t="str">
        <f>+IF(Tabla4[[#This Row],[AGRUPACIONES]]=1,SUMIFS(Tabla4[VALOR TOTAL],Tabla4[ZONA DEFINITIVO],Tabla4[[#This Row],[ZONA DEFINITIVO]])," ")</f>
        <v xml:space="preserve"> </v>
      </c>
      <c r="AT54" s="27">
        <f>(VLOOKUP(Tabla4[[#This Row],[SERVICIO 2025]],$J$2:$V$14,3,0)*Tabla4[[#This Row],[TOTAL COBERTURA]])+Tabla4[[#This Row],[VALOR FASE PREPARATORIA DE ALISTAMIENTO]]+Tabla4[[#This Row],[DOTACIÓN ÚNICA]]</f>
        <v>61500504</v>
      </c>
      <c r="AU54" s="35">
        <f>(VLOOKUP(Tabla4[[#This Row],[SERVICIO 2025]],$J$2:$V$14,3,0)*Tabla4[[#This Row],[TOTAL COBERTURA]])</f>
        <v>52333632</v>
      </c>
      <c r="AV54" s="35">
        <f>(VLOOKUP(Tabla4[[#This Row],[SERVICIO 2025]],$J$2:$V$14,3,0)*Tabla4[[#This Row],[TOTAL COBERTURA]])</f>
        <v>52333632</v>
      </c>
      <c r="AW54" s="35">
        <f>(VLOOKUP(Tabla4[[#This Row],[SERVICIO 2025]],$J$2:$V$14,3,0)*Tabla4[[#This Row],[TOTAL COBERTURA]])</f>
        <v>52333632</v>
      </c>
      <c r="AX54" s="35">
        <f>(VLOOKUP(Tabla4[[#This Row],[SERVICIO 2025]],$J$2:$V$14,3,0)*Tabla4[[#This Row],[TOTAL COBERTURA]])</f>
        <v>52333632</v>
      </c>
      <c r="AY54" s="35">
        <f>(VLOOKUP(Tabla4[[#This Row],[SERVICIO 2025]],$J$2:$V$14,3,0)*Tabla4[[#This Row],[TOTAL COBERTURA]])</f>
        <v>52333632</v>
      </c>
      <c r="AZ54" s="35">
        <f>(VLOOKUP(Tabla4[[#This Row],[SERVICIO 2025]],$J$2:$V$14,3,0)*Tabla4[[#This Row],[TOTAL COBERTURA]])</f>
        <v>52333632</v>
      </c>
      <c r="BA54" s="35">
        <f>(VLOOKUP(Tabla4[[#This Row],[SERVICIO 2025]],$J$2:$V$14,3,0)*Tabla4[[#This Row],[TOTAL COBERTURA]])+Tabla4[[#This Row],[VALOR FASE PREPARATORIA DE CIERRE]]</f>
        <v>60138104</v>
      </c>
      <c r="BB54" s="35">
        <f>SUM(Tabla4[[#This Row],[DESEMBOLSO 1]:[DESEMBOLSO 8]])</f>
        <v>435640400</v>
      </c>
      <c r="BC54" s="35">
        <f>VLOOKUP(Tabla4[[#This Row],[SERVICIO 2025]],$J$2:$V$14,10,0)*Tabla4[[#This Row],[TOTAL COBERTURA]]*$W$3</f>
        <v>0</v>
      </c>
      <c r="BD54" s="47" t="s">
        <v>145</v>
      </c>
      <c r="BE54" s="12" t="b">
        <f>EXACT(Tabla4[[#This Row],[VALOR ATENCIÓN (8 MESES)]],Tabla4[[#This Row],[VALOR TOTAL]])</f>
        <v>1</v>
      </c>
      <c r="BF54" s="23">
        <f>Tabla4[[#This Row],[VALOR ATENCIÓN (8 MESES)]]-Tabla4[[#This Row],[VALOR TOTAL]]</f>
        <v>0</v>
      </c>
      <c r="BG54" s="12" t="b">
        <f>EXACT(Tabla4[[#This Row],[TOTAL DESEMBOLSOS]],Tabla4[[#This Row],[VALOR ATENCIÓN (8 MESES)]])</f>
        <v>1</v>
      </c>
      <c r="BH54" s="29">
        <f>Tabla4[[#This Row],[TOTAL DESEMBOLSOS]]-Tabla4[[#This Row],[VALOR ATENCIÓN (8 MESES)]]</f>
        <v>0</v>
      </c>
      <c r="BI54" t="s">
        <v>98</v>
      </c>
    </row>
    <row r="55" spans="1:62">
      <c r="A55" s="13">
        <v>1889</v>
      </c>
      <c r="B55" s="13" t="s">
        <v>161</v>
      </c>
      <c r="C55" s="12" t="s">
        <v>87</v>
      </c>
      <c r="D55" s="12" t="s">
        <v>162</v>
      </c>
      <c r="E55" s="12" t="s">
        <v>139</v>
      </c>
      <c r="F55" s="12" t="s">
        <v>14</v>
      </c>
      <c r="G55" s="12" t="s">
        <v>90</v>
      </c>
      <c r="H55" s="12" t="s">
        <v>198</v>
      </c>
      <c r="I55" s="48" t="s">
        <v>199</v>
      </c>
      <c r="J55" s="12" t="s">
        <v>200</v>
      </c>
      <c r="K55" s="12">
        <v>1</v>
      </c>
      <c r="L55" s="12">
        <v>42</v>
      </c>
      <c r="M55" s="12"/>
      <c r="N55" s="13">
        <v>1889</v>
      </c>
      <c r="O55" s="12" t="s">
        <v>93</v>
      </c>
      <c r="P55" s="12"/>
      <c r="Q55" s="12"/>
      <c r="R55" s="12" t="s">
        <v>94</v>
      </c>
      <c r="S55" s="12">
        <v>10</v>
      </c>
      <c r="T55" s="12" t="s">
        <v>166</v>
      </c>
      <c r="U55" s="12" t="s">
        <v>167</v>
      </c>
      <c r="V55" s="12">
        <f>VLOOKUP(Tabla4[[#This Row],[ZONA DEFINITIVO]],Hoja1!$A$1:$D$121,3,0)</f>
        <v>228989</v>
      </c>
      <c r="W55" s="12">
        <f>VLOOKUP(Tabla4[[#This Row],[ZONA DEFINITIVO]],Hoja1!$A$1:$D$121,2,0)</f>
        <v>15178</v>
      </c>
      <c r="X55" s="12">
        <f>VLOOKUP(Tabla4[[#This Row],[ZONA DEFINITIVO]],Hoja1!$A$1:$D$121,4,0)</f>
        <v>82025</v>
      </c>
      <c r="Y55" s="12" t="str">
        <f>+IF(Tabla4[[#This Row],[AGRUPACIONES]]=1,SUMIFS(Tabla4[UDS],Tabla4[ZONA DEFINITIVO],Tabla4[[#This Row],[ZONA DEFINITIVO]])," ")</f>
        <v xml:space="preserve"> </v>
      </c>
      <c r="Z55" s="12" t="str">
        <f>+IF(Tabla4[[#This Row],[AGRUPACIONES]]=1,SUMIFS(Tabla4[TOTAL COBERTURA],Tabla4[ZONA DEFINITIVO],Tabla4[[#This Row],[ZONA DEFINITIVO]])," ")</f>
        <v xml:space="preserve"> </v>
      </c>
      <c r="AA55" s="12"/>
      <c r="AB55" s="38">
        <v>175931700</v>
      </c>
      <c r="AC55" s="37">
        <v>0.02</v>
      </c>
      <c r="AD55" s="38">
        <f t="shared" si="1"/>
        <v>3518634</v>
      </c>
      <c r="AE55" s="12"/>
      <c r="AF55" s="12">
        <f>COUNTIF($A$20:A55,A55)</f>
        <v>12</v>
      </c>
      <c r="AG55" s="38">
        <v>175931700</v>
      </c>
      <c r="AH55" s="38">
        <f>Tabla4[[#This Row],[VALOR CONTRAPARTIDA]]+Tabla4[[#This Row],[TOTAL APORTES ICBF]]</f>
        <v>179450334</v>
      </c>
      <c r="AI55" s="35"/>
      <c r="AJ55" s="38"/>
      <c r="AK55" s="38"/>
      <c r="AL55" s="23"/>
      <c r="AM55" s="35">
        <f>VLOOKUP(Tabla4[[#This Row],[SERVICIO 2025]],$J$2:$V$14,5,0)*Tabla4[[#This Row],[TOTAL COBERTURA]]</f>
        <v>3702006</v>
      </c>
      <c r="AN55" s="35">
        <f>VLOOKUP(Tabla4[[#This Row],[SERVICIO 2025]],$J$2:$V$14,6,0)*Tabla4[[#This Row],[TOTAL COBERTURA]]</f>
        <v>3151806</v>
      </c>
      <c r="AO55" s="35">
        <f>VLOOKUP(Tabla4[[#This Row],[SERVICIO 2025]],$J$2:$V$14,8,0)*Tabla4[[#This Row],[TOTAL COBERTURA]]</f>
        <v>0</v>
      </c>
      <c r="AP55" s="35">
        <f>VLOOKUP(Tabla4[[#This Row],[SERVICIO 2025]],$J$2:$V$14,3,0)*Tabla4[[#This Row],[TOTAL COBERTURA]]*8</f>
        <v>169077888</v>
      </c>
      <c r="AQ55" s="35"/>
      <c r="AR55" s="35">
        <f>Tabla4[[#This Row],[VALOR FASE PREPARATORIA DE ALISTAMIENTO]]+Tabla4[[#This Row],[VALOR FASE PREPARATORIA DE CIERRE]]+Tabla4[[#This Row],[DOTACIÓN ÚNICA]]+Tabla4[[#This Row],[VALOR ATENCIÓN]]+Tabla4[[#This Row],[VALOR RACION PREPARADA]]</f>
        <v>175931700</v>
      </c>
      <c r="AS55" s="35" t="str">
        <f>+IF(Tabla4[[#This Row],[AGRUPACIONES]]=1,SUMIFS(Tabla4[VALOR TOTAL],Tabla4[ZONA DEFINITIVO],Tabla4[[#This Row],[ZONA DEFINITIVO]])," ")</f>
        <v xml:space="preserve"> </v>
      </c>
      <c r="AT55" s="27">
        <f>(VLOOKUP(Tabla4[[#This Row],[SERVICIO 2025]],$J$2:$V$14,3,0)*Tabla4[[#This Row],[TOTAL COBERTURA]])+Tabla4[[#This Row],[VALOR FASE PREPARATORIA DE ALISTAMIENTO]]+Tabla4[[#This Row],[DOTACIÓN ÚNICA]]</f>
        <v>24836742</v>
      </c>
      <c r="AU55" s="35">
        <f>(VLOOKUP(Tabla4[[#This Row],[SERVICIO 2025]],$J$2:$V$14,3,0)*Tabla4[[#This Row],[TOTAL COBERTURA]])</f>
        <v>21134736</v>
      </c>
      <c r="AV55" s="35">
        <f>(VLOOKUP(Tabla4[[#This Row],[SERVICIO 2025]],$J$2:$V$14,3,0)*Tabla4[[#This Row],[TOTAL COBERTURA]])</f>
        <v>21134736</v>
      </c>
      <c r="AW55" s="35">
        <f>(VLOOKUP(Tabla4[[#This Row],[SERVICIO 2025]],$J$2:$V$14,3,0)*Tabla4[[#This Row],[TOTAL COBERTURA]])</f>
        <v>21134736</v>
      </c>
      <c r="AX55" s="35">
        <f>(VLOOKUP(Tabla4[[#This Row],[SERVICIO 2025]],$J$2:$V$14,3,0)*Tabla4[[#This Row],[TOTAL COBERTURA]])</f>
        <v>21134736</v>
      </c>
      <c r="AY55" s="35">
        <f>(VLOOKUP(Tabla4[[#This Row],[SERVICIO 2025]],$J$2:$V$14,3,0)*Tabla4[[#This Row],[TOTAL COBERTURA]])</f>
        <v>21134736</v>
      </c>
      <c r="AZ55" s="35">
        <f>(VLOOKUP(Tabla4[[#This Row],[SERVICIO 2025]],$J$2:$V$14,3,0)*Tabla4[[#This Row],[TOTAL COBERTURA]])</f>
        <v>21134736</v>
      </c>
      <c r="BA55" s="35">
        <f>(VLOOKUP(Tabla4[[#This Row],[SERVICIO 2025]],$J$2:$V$14,3,0)*Tabla4[[#This Row],[TOTAL COBERTURA]])+Tabla4[[#This Row],[VALOR FASE PREPARATORIA DE CIERRE]]</f>
        <v>24286542</v>
      </c>
      <c r="BB55" s="35">
        <f>SUM(Tabla4[[#This Row],[DESEMBOLSO 1]:[DESEMBOLSO 8]])</f>
        <v>175931700</v>
      </c>
      <c r="BC55" s="35">
        <f>VLOOKUP(Tabla4[[#This Row],[SERVICIO 2025]],$J$2:$V$14,10,0)*Tabla4[[#This Row],[TOTAL COBERTURA]]*$W$3</f>
        <v>0</v>
      </c>
      <c r="BD55" s="47" t="s">
        <v>145</v>
      </c>
      <c r="BE55" s="12" t="b">
        <f>EXACT(Tabla4[[#This Row],[VALOR ATENCIÓN (8 MESES)]],Tabla4[[#This Row],[VALOR TOTAL]])</f>
        <v>1</v>
      </c>
      <c r="BF55" s="23">
        <f>Tabla4[[#This Row],[VALOR ATENCIÓN (8 MESES)]]-Tabla4[[#This Row],[VALOR TOTAL]]</f>
        <v>0</v>
      </c>
      <c r="BG55" s="12" t="b">
        <f>EXACT(Tabla4[[#This Row],[TOTAL DESEMBOLSOS]],Tabla4[[#This Row],[VALOR ATENCIÓN (8 MESES)]])</f>
        <v>1</v>
      </c>
      <c r="BH55" s="29">
        <f>Tabla4[[#This Row],[TOTAL DESEMBOLSOS]]-Tabla4[[#This Row],[VALOR ATENCIÓN (8 MESES)]]</f>
        <v>0</v>
      </c>
      <c r="BI55" t="s">
        <v>98</v>
      </c>
    </row>
    <row r="56" spans="1:62">
      <c r="A56" s="13">
        <v>1889</v>
      </c>
      <c r="B56" s="13" t="s">
        <v>161</v>
      </c>
      <c r="C56" s="12" t="s">
        <v>87</v>
      </c>
      <c r="D56" s="12" t="s">
        <v>162</v>
      </c>
      <c r="E56" s="12" t="s">
        <v>139</v>
      </c>
      <c r="F56" s="12" t="s">
        <v>15</v>
      </c>
      <c r="G56" s="12" t="s">
        <v>90</v>
      </c>
      <c r="H56" s="12" t="s">
        <v>201</v>
      </c>
      <c r="I56" s="48" t="s">
        <v>202</v>
      </c>
      <c r="J56" s="12" t="s">
        <v>203</v>
      </c>
      <c r="K56" s="12">
        <v>1</v>
      </c>
      <c r="L56" s="12">
        <v>22</v>
      </c>
      <c r="M56" s="12"/>
      <c r="N56" s="13">
        <v>1889</v>
      </c>
      <c r="O56" s="12" t="s">
        <v>93</v>
      </c>
      <c r="P56" s="12"/>
      <c r="Q56" s="12"/>
      <c r="R56" s="12" t="s">
        <v>94</v>
      </c>
      <c r="S56" s="12">
        <v>10</v>
      </c>
      <c r="T56" s="12" t="s">
        <v>166</v>
      </c>
      <c r="U56" s="12" t="s">
        <v>167</v>
      </c>
      <c r="V56" s="12">
        <f>VLOOKUP(Tabla4[[#This Row],[ZONA DEFINITIVO]],Hoja1!$A$1:$D$121,3,0)</f>
        <v>228989</v>
      </c>
      <c r="W56" s="12">
        <f>VLOOKUP(Tabla4[[#This Row],[ZONA DEFINITIVO]],Hoja1!$A$1:$D$121,2,0)</f>
        <v>15178</v>
      </c>
      <c r="X56" s="12">
        <f>VLOOKUP(Tabla4[[#This Row],[ZONA DEFINITIVO]],Hoja1!$A$1:$D$121,4,0)</f>
        <v>82025</v>
      </c>
      <c r="Y56" s="12" t="str">
        <f>+IF(Tabla4[[#This Row],[AGRUPACIONES]]=1,SUMIFS(Tabla4[UDS],Tabla4[ZONA DEFINITIVO],Tabla4[[#This Row],[ZONA DEFINITIVO]])," ")</f>
        <v xml:space="preserve"> </v>
      </c>
      <c r="Z56" s="12" t="str">
        <f>+IF(Tabla4[[#This Row],[AGRUPACIONES]]=1,SUMIFS(Tabla4[TOTAL COBERTURA],Tabla4[ZONA DEFINITIVO],Tabla4[[#This Row],[ZONA DEFINITIVO]])," ")</f>
        <v xml:space="preserve"> </v>
      </c>
      <c r="AA56" s="12"/>
      <c r="AB56" s="38">
        <v>95246844</v>
      </c>
      <c r="AC56" s="37">
        <v>0.02</v>
      </c>
      <c r="AD56" s="38">
        <f t="shared" si="1"/>
        <v>1904936.8800000001</v>
      </c>
      <c r="AE56" s="12"/>
      <c r="AF56" s="12">
        <f>COUNTIF($A$20:A56,A56)</f>
        <v>13</v>
      </c>
      <c r="AG56" s="38">
        <v>95246844</v>
      </c>
      <c r="AH56" s="38">
        <f>Tabla4[[#This Row],[VALOR CONTRAPARTIDA]]+Tabla4[[#This Row],[TOTAL APORTES ICBF]]</f>
        <v>97151780.879999995</v>
      </c>
      <c r="AI56" s="35"/>
      <c r="AJ56" s="38"/>
      <c r="AK56" s="38"/>
      <c r="AL56" s="23"/>
      <c r="AM56" s="35">
        <f>VLOOKUP(Tabla4[[#This Row],[SERVICIO 2025]],$J$2:$V$14,5,0)*Tabla4[[#This Row],[TOTAL COBERTURA]]</f>
        <v>1939146</v>
      </c>
      <c r="AN56" s="35">
        <f>VLOOKUP(Tabla4[[#This Row],[SERVICIO 2025]],$J$2:$V$14,6,0)*Tabla4[[#This Row],[TOTAL COBERTURA]]</f>
        <v>1650946</v>
      </c>
      <c r="AO56" s="35">
        <f>VLOOKUP(Tabla4[[#This Row],[SERVICIO 2025]],$J$2:$V$14,8,0)*Tabla4[[#This Row],[TOTAL COBERTURA]]</f>
        <v>0</v>
      </c>
      <c r="AP56" s="35">
        <f>VLOOKUP(Tabla4[[#This Row],[SERVICIO 2025]],$J$2:$V$14,3,0)*Tabla4[[#This Row],[TOTAL COBERTURA]]*8</f>
        <v>91656752</v>
      </c>
      <c r="AQ56" s="35"/>
      <c r="AR56" s="35">
        <f>Tabla4[[#This Row],[VALOR FASE PREPARATORIA DE ALISTAMIENTO]]+Tabla4[[#This Row],[VALOR FASE PREPARATORIA DE CIERRE]]+Tabla4[[#This Row],[DOTACIÓN ÚNICA]]+Tabla4[[#This Row],[VALOR ATENCIÓN]]+Tabla4[[#This Row],[VALOR RACION PREPARADA]]</f>
        <v>95246844</v>
      </c>
      <c r="AS56" s="35" t="str">
        <f>+IF(Tabla4[[#This Row],[AGRUPACIONES]]=1,SUMIFS(Tabla4[VALOR TOTAL],Tabla4[ZONA DEFINITIVO],Tabla4[[#This Row],[ZONA DEFINITIVO]])," ")</f>
        <v xml:space="preserve"> </v>
      </c>
      <c r="AT56" s="27">
        <f>(VLOOKUP(Tabla4[[#This Row],[SERVICIO 2025]],$J$2:$V$14,3,0)*Tabla4[[#This Row],[TOTAL COBERTURA]])+Tabla4[[#This Row],[VALOR FASE PREPARATORIA DE ALISTAMIENTO]]+Tabla4[[#This Row],[DOTACIÓN ÚNICA]]</f>
        <v>13396240</v>
      </c>
      <c r="AU56" s="35">
        <f>(VLOOKUP(Tabla4[[#This Row],[SERVICIO 2025]],$J$2:$V$14,3,0)*Tabla4[[#This Row],[TOTAL COBERTURA]])</f>
        <v>11457094</v>
      </c>
      <c r="AV56" s="35">
        <f>(VLOOKUP(Tabla4[[#This Row],[SERVICIO 2025]],$J$2:$V$14,3,0)*Tabla4[[#This Row],[TOTAL COBERTURA]])</f>
        <v>11457094</v>
      </c>
      <c r="AW56" s="35">
        <f>(VLOOKUP(Tabla4[[#This Row],[SERVICIO 2025]],$J$2:$V$14,3,0)*Tabla4[[#This Row],[TOTAL COBERTURA]])</f>
        <v>11457094</v>
      </c>
      <c r="AX56" s="35">
        <f>(VLOOKUP(Tabla4[[#This Row],[SERVICIO 2025]],$J$2:$V$14,3,0)*Tabla4[[#This Row],[TOTAL COBERTURA]])</f>
        <v>11457094</v>
      </c>
      <c r="AY56" s="35">
        <f>(VLOOKUP(Tabla4[[#This Row],[SERVICIO 2025]],$J$2:$V$14,3,0)*Tabla4[[#This Row],[TOTAL COBERTURA]])</f>
        <v>11457094</v>
      </c>
      <c r="AZ56" s="35">
        <f>(VLOOKUP(Tabla4[[#This Row],[SERVICIO 2025]],$J$2:$V$14,3,0)*Tabla4[[#This Row],[TOTAL COBERTURA]])</f>
        <v>11457094</v>
      </c>
      <c r="BA56" s="35">
        <f>(VLOOKUP(Tabla4[[#This Row],[SERVICIO 2025]],$J$2:$V$14,3,0)*Tabla4[[#This Row],[TOTAL COBERTURA]])+Tabla4[[#This Row],[VALOR FASE PREPARATORIA DE CIERRE]]</f>
        <v>13108040</v>
      </c>
      <c r="BB56" s="35">
        <f>SUM(Tabla4[[#This Row],[DESEMBOLSO 1]:[DESEMBOLSO 8]])</f>
        <v>95246844</v>
      </c>
      <c r="BC56" s="35">
        <f>VLOOKUP(Tabla4[[#This Row],[SERVICIO 2025]],$J$2:$V$14,10,0)*Tabla4[[#This Row],[TOTAL COBERTURA]]*$W$3</f>
        <v>0</v>
      </c>
      <c r="BD56" s="47" t="s">
        <v>145</v>
      </c>
      <c r="BE56" s="12" t="b">
        <f>EXACT(Tabla4[[#This Row],[VALOR ATENCIÓN (8 MESES)]],Tabla4[[#This Row],[VALOR TOTAL]])</f>
        <v>1</v>
      </c>
      <c r="BF56" s="23">
        <f>Tabla4[[#This Row],[VALOR ATENCIÓN (8 MESES)]]-Tabla4[[#This Row],[VALOR TOTAL]]</f>
        <v>0</v>
      </c>
      <c r="BG56" s="12" t="b">
        <f>EXACT(Tabla4[[#This Row],[TOTAL DESEMBOLSOS]],Tabla4[[#This Row],[VALOR ATENCIÓN (8 MESES)]])</f>
        <v>1</v>
      </c>
      <c r="BH56" s="29">
        <f>Tabla4[[#This Row],[TOTAL DESEMBOLSOS]]-Tabla4[[#This Row],[VALOR ATENCIÓN (8 MESES)]]</f>
        <v>0</v>
      </c>
      <c r="BI56" t="s">
        <v>98</v>
      </c>
    </row>
    <row r="57" spans="1:62">
      <c r="A57" s="13">
        <v>1890</v>
      </c>
      <c r="B57" s="13" t="s">
        <v>204</v>
      </c>
      <c r="C57" s="12" t="s">
        <v>87</v>
      </c>
      <c r="D57" s="12" t="s">
        <v>205</v>
      </c>
      <c r="E57" s="12" t="s">
        <v>206</v>
      </c>
      <c r="F57" s="12" t="s">
        <v>21</v>
      </c>
      <c r="G57" s="12" t="s">
        <v>90</v>
      </c>
      <c r="H57" s="12" t="s">
        <v>207</v>
      </c>
      <c r="I57" s="12">
        <v>51011115085</v>
      </c>
      <c r="J57" s="12" t="s">
        <v>208</v>
      </c>
      <c r="K57" s="12">
        <v>1</v>
      </c>
      <c r="L57" s="12">
        <v>13</v>
      </c>
      <c r="M57" s="12"/>
      <c r="N57" s="13">
        <v>1890</v>
      </c>
      <c r="O57" s="12" t="s">
        <v>93</v>
      </c>
      <c r="P57" s="12"/>
      <c r="Q57" s="12"/>
      <c r="R57" s="12" t="s">
        <v>94</v>
      </c>
      <c r="S57" s="12">
        <v>10</v>
      </c>
      <c r="T57" s="12" t="s">
        <v>209</v>
      </c>
      <c r="U57" s="12" t="s">
        <v>210</v>
      </c>
      <c r="V57" s="12">
        <f>VLOOKUP(Tabla4[[#This Row],[ZONA DEFINITIVO]],Hoja1!$A$1:$D$121,3,0)</f>
        <v>228990</v>
      </c>
      <c r="W57" s="12">
        <f>VLOOKUP(Tabla4[[#This Row],[ZONA DEFINITIVO]],Hoja1!$A$1:$D$121,2,0)</f>
        <v>15150</v>
      </c>
      <c r="X57" s="12">
        <f>VLOOKUP(Tabla4[[#This Row],[ZONA DEFINITIVO]],Hoja1!$A$1:$D$121,4,0)</f>
        <v>90625</v>
      </c>
      <c r="Y57" s="12">
        <f>+IF(Tabla4[[#This Row],[AGRUPACIONES]]=1,SUMIFS(Tabla4[UDS],Tabla4[ZONA DEFINITIVO],Tabla4[[#This Row],[ZONA DEFINITIVO]])," ")</f>
        <v>27</v>
      </c>
      <c r="Z57" s="12">
        <f>+IF(Tabla4[[#This Row],[AGRUPACIONES]]=1,SUMIFS(Tabla4[TOTAL COBERTURA],Tabla4[ZONA DEFINITIVO],Tabla4[[#This Row],[ZONA DEFINITIVO]])," ")</f>
        <v>810</v>
      </c>
      <c r="AA57" s="12"/>
      <c r="AB57" s="38">
        <v>19750965</v>
      </c>
      <c r="AC57" s="37">
        <v>0.02</v>
      </c>
      <c r="AD57" s="38">
        <f t="shared" si="1"/>
        <v>395019.3</v>
      </c>
      <c r="AE57" s="12"/>
      <c r="AF57" s="12">
        <f>COUNTIF($A$20:A57,A57)</f>
        <v>1</v>
      </c>
      <c r="AG57" s="38">
        <v>19750965</v>
      </c>
      <c r="AH57" s="38">
        <f>Tabla4[[#This Row],[VALOR CONTRAPARTIDA]]+Tabla4[[#This Row],[TOTAL APORTES ICBF]]</f>
        <v>20145984.300000001</v>
      </c>
      <c r="AI57" s="35">
        <f>ROUND(+IF(Tabla4[[#This Row],[AGRUPACIONES]]=1,SUMIFS(Tabla4[TOTAL APORTES ICBF],Tabla4[ZONA DEFINITIVO],Tabla4[[#This Row],[ZONA DEFINITIVO]])," "),0)</f>
        <v>1719163785</v>
      </c>
      <c r="AJ57" s="38">
        <f>ROUND(+IF(Tabla4[[#This Row],[AGRUPACIONES]]=1,SUMIFS(Tabla4[VALOR CONTRAPARTIDA],Tabla4[ZONA DEFINITIVO],Tabla4[[#This Row],[ZONA DEFINITIVO]])," "),0)</f>
        <v>34383276</v>
      </c>
      <c r="AK57" s="38">
        <f>Tabla4[[#This Row],[TOTAL APORTES ICBF AGRUPADO]]+Tabla4[[#This Row],[TOTAL CONTRAPARTIDA AGRUPADO]]</f>
        <v>1753547061</v>
      </c>
      <c r="AL57" s="23">
        <f>Tabla4[[#This Row],[TOTAL APORTES ICBF AGRUPADO]]/$AL$18</f>
        <v>1207.7019915700737</v>
      </c>
      <c r="AM57" s="35">
        <f>VLOOKUP(Tabla4[[#This Row],[SERVICIO 2025]],$J$2:$V$14,5,0)*Tabla4[[#This Row],[TOTAL COBERTURA]]</f>
        <v>607672</v>
      </c>
      <c r="AN57" s="35">
        <f>VLOOKUP(Tabla4[[#This Row],[SERVICIO 2025]],$J$2:$V$14,6,0)*Tabla4[[#This Row],[TOTAL COBERTURA]]</f>
        <v>491933</v>
      </c>
      <c r="AO57" s="35">
        <f>VLOOKUP(Tabla4[[#This Row],[SERVICIO 2025]],$J$2:$V$14,8,0)*Tabla4[[#This Row],[TOTAL COBERTURA]]</f>
        <v>0</v>
      </c>
      <c r="AP57" s="35">
        <f>VLOOKUP(Tabla4[[#This Row],[SERVICIO 2025]],$J$2:$V$14,3,0)*Tabla4[[#This Row],[TOTAL COBERTURA]]*8</f>
        <v>18651360</v>
      </c>
      <c r="AQ57" s="35"/>
      <c r="AR57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57" s="35">
        <f>+IF(Tabla4[[#This Row],[AGRUPACIONES]]=1,SUMIFS(Tabla4[VALOR TOTAL],Tabla4[ZONA DEFINITIVO],Tabla4[[#This Row],[ZONA DEFINITIVO]])," ")</f>
        <v>1719163785</v>
      </c>
      <c r="AT57" s="27">
        <f>(VLOOKUP(Tabla4[[#This Row],[SERVICIO 2025]],$J$2:$V$14,3,0)*Tabla4[[#This Row],[TOTAL COBERTURA]])+Tabla4[[#This Row],[VALOR FASE PREPARATORIA DE ALISTAMIENTO]]+Tabla4[[#This Row],[DOTACIÓN ÚNICA]]</f>
        <v>2939092</v>
      </c>
      <c r="AU57" s="35">
        <f>(VLOOKUP(Tabla4[[#This Row],[SERVICIO 2025]],$J$2:$V$14,3,0)*Tabla4[[#This Row],[TOTAL COBERTURA]])</f>
        <v>2331420</v>
      </c>
      <c r="AV57" s="35">
        <f>(VLOOKUP(Tabla4[[#This Row],[SERVICIO 2025]],$J$2:$V$14,3,0)*Tabla4[[#This Row],[TOTAL COBERTURA]])</f>
        <v>2331420</v>
      </c>
      <c r="AW57" s="35">
        <f>(VLOOKUP(Tabla4[[#This Row],[SERVICIO 2025]],$J$2:$V$14,3,0)*Tabla4[[#This Row],[TOTAL COBERTURA]])</f>
        <v>2331420</v>
      </c>
      <c r="AX57" s="35">
        <f>(VLOOKUP(Tabla4[[#This Row],[SERVICIO 2025]],$J$2:$V$14,3,0)*Tabla4[[#This Row],[TOTAL COBERTURA]])</f>
        <v>2331420</v>
      </c>
      <c r="AY57" s="35">
        <f>(VLOOKUP(Tabla4[[#This Row],[SERVICIO 2025]],$J$2:$V$14,3,0)*Tabla4[[#This Row],[TOTAL COBERTURA]])</f>
        <v>2331420</v>
      </c>
      <c r="AZ57" s="35">
        <f>(VLOOKUP(Tabla4[[#This Row],[SERVICIO 2025]],$J$2:$V$14,3,0)*Tabla4[[#This Row],[TOTAL COBERTURA]])</f>
        <v>2331420</v>
      </c>
      <c r="BA57" s="35">
        <f>(VLOOKUP(Tabla4[[#This Row],[SERVICIO 2025]],$J$2:$V$14,3,0)*Tabla4[[#This Row],[TOTAL COBERTURA]])+Tabla4[[#This Row],[VALOR FASE PREPARATORIA DE CIERRE]]</f>
        <v>2823353</v>
      </c>
      <c r="BB57" s="35">
        <f>SUM(Tabla4[[#This Row],[DESEMBOLSO 1]:[DESEMBOLSO 8]])</f>
        <v>19750965</v>
      </c>
      <c r="BC57" s="35">
        <f>VLOOKUP(Tabla4[[#This Row],[SERVICIO 2025]],$J$2:$V$14,10,0)*Tabla4[[#This Row],[TOTAL COBERTURA]]*$W$3</f>
        <v>19585384</v>
      </c>
      <c r="BD57" s="47" t="s">
        <v>211</v>
      </c>
      <c r="BE57" s="12" t="b">
        <f>EXACT(Tabla4[[#This Row],[VALOR ATENCIÓN (8 MESES)]],Tabla4[[#This Row],[VALOR TOTAL]])</f>
        <v>1</v>
      </c>
      <c r="BF57" s="23">
        <f>Tabla4[[#This Row],[VALOR ATENCIÓN (8 MESES)]]-Tabla4[[#This Row],[VALOR TOTAL]]</f>
        <v>0</v>
      </c>
      <c r="BG57" s="12" t="b">
        <f>EXACT(Tabla4[[#This Row],[TOTAL DESEMBOLSOS]],Tabla4[[#This Row],[VALOR ATENCIÓN (8 MESES)]])</f>
        <v>1</v>
      </c>
      <c r="BH57" s="29">
        <f>Tabla4[[#This Row],[TOTAL DESEMBOLSOS]]-Tabla4[[#This Row],[VALOR ATENCIÓN (8 MESES)]]</f>
        <v>0</v>
      </c>
      <c r="BI57" t="s">
        <v>98</v>
      </c>
      <c r="BJ57">
        <v>1890</v>
      </c>
    </row>
    <row r="58" spans="1:62">
      <c r="A58" s="13">
        <v>1890</v>
      </c>
      <c r="B58" s="13" t="s">
        <v>204</v>
      </c>
      <c r="C58" s="12" t="s">
        <v>87</v>
      </c>
      <c r="D58" s="12" t="s">
        <v>205</v>
      </c>
      <c r="E58" s="12" t="s">
        <v>206</v>
      </c>
      <c r="F58" s="12" t="s">
        <v>21</v>
      </c>
      <c r="G58" s="12" t="s">
        <v>90</v>
      </c>
      <c r="H58" s="12" t="s">
        <v>212</v>
      </c>
      <c r="I58" s="12">
        <v>51011115088</v>
      </c>
      <c r="J58" s="12" t="s">
        <v>213</v>
      </c>
      <c r="K58" s="12">
        <v>1</v>
      </c>
      <c r="L58" s="12">
        <v>20</v>
      </c>
      <c r="M58" s="12"/>
      <c r="N58" s="13">
        <v>1890</v>
      </c>
      <c r="O58" s="12" t="s">
        <v>93</v>
      </c>
      <c r="P58" s="12"/>
      <c r="Q58" s="12"/>
      <c r="R58" s="12" t="s">
        <v>94</v>
      </c>
      <c r="S58" s="12">
        <v>10</v>
      </c>
      <c r="T58" s="12" t="s">
        <v>209</v>
      </c>
      <c r="U58" s="12" t="s">
        <v>210</v>
      </c>
      <c r="V58" s="12">
        <f>VLOOKUP(Tabla4[[#This Row],[ZONA DEFINITIVO]],Hoja1!$A$1:$D$121,3,0)</f>
        <v>228990</v>
      </c>
      <c r="W58" s="12">
        <f>VLOOKUP(Tabla4[[#This Row],[ZONA DEFINITIVO]],Hoja1!$A$1:$D$121,2,0)</f>
        <v>15150</v>
      </c>
      <c r="X58" s="12">
        <f>VLOOKUP(Tabla4[[#This Row],[ZONA DEFINITIVO]],Hoja1!$A$1:$D$121,4,0)</f>
        <v>90625</v>
      </c>
      <c r="Y58" s="12" t="str">
        <f>+IF(Tabla4[[#This Row],[AGRUPACIONES]]=1,SUMIFS(Tabla4[UDS],Tabla4[ZONA DEFINITIVO],Tabla4[[#This Row],[ZONA DEFINITIVO]])," ")</f>
        <v xml:space="preserve"> </v>
      </c>
      <c r="Z58" s="12" t="str">
        <f>+IF(Tabla4[[#This Row],[AGRUPACIONES]]=1,SUMIFS(Tabla4[TOTAL COBERTURA],Tabla4[ZONA DEFINITIVO],Tabla4[[#This Row],[ZONA DEFINITIVO]])," ")</f>
        <v xml:space="preserve"> </v>
      </c>
      <c r="AA58" s="12"/>
      <c r="AB58" s="38">
        <v>30386100</v>
      </c>
      <c r="AC58" s="37">
        <v>0.02</v>
      </c>
      <c r="AD58" s="38">
        <f t="shared" si="1"/>
        <v>607722</v>
      </c>
      <c r="AE58" s="12"/>
      <c r="AF58" s="12">
        <f>COUNTIF($A$20:A58,A58)</f>
        <v>2</v>
      </c>
      <c r="AG58" s="38">
        <v>30386100</v>
      </c>
      <c r="AH58" s="38">
        <f>Tabla4[[#This Row],[VALOR CONTRAPARTIDA]]+Tabla4[[#This Row],[TOTAL APORTES ICBF]]</f>
        <v>30993822</v>
      </c>
      <c r="AI58" s="35"/>
      <c r="AJ58" s="38"/>
      <c r="AK58" s="38"/>
      <c r="AL58" s="23"/>
      <c r="AM58" s="35">
        <f>VLOOKUP(Tabla4[[#This Row],[SERVICIO 2025]],$J$2:$V$14,5,0)*Tabla4[[#This Row],[TOTAL COBERTURA]]</f>
        <v>934880</v>
      </c>
      <c r="AN58" s="35">
        <f>VLOOKUP(Tabla4[[#This Row],[SERVICIO 2025]],$J$2:$V$14,6,0)*Tabla4[[#This Row],[TOTAL COBERTURA]]</f>
        <v>756820</v>
      </c>
      <c r="AO58" s="35">
        <f>VLOOKUP(Tabla4[[#This Row],[SERVICIO 2025]],$J$2:$V$14,8,0)*Tabla4[[#This Row],[TOTAL COBERTURA]]</f>
        <v>0</v>
      </c>
      <c r="AP58" s="35">
        <f>VLOOKUP(Tabla4[[#This Row],[SERVICIO 2025]],$J$2:$V$14,3,0)*Tabla4[[#This Row],[TOTAL COBERTURA]]*8</f>
        <v>28694400</v>
      </c>
      <c r="AQ58" s="35"/>
      <c r="AR58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58" s="35" t="str">
        <f>+IF(Tabla4[[#This Row],[AGRUPACIONES]]=1,SUMIFS(Tabla4[VALOR TOTAL],Tabla4[ZONA DEFINITIVO],Tabla4[[#This Row],[ZONA DEFINITIVO]])," ")</f>
        <v xml:space="preserve"> </v>
      </c>
      <c r="AT58" s="27">
        <f>(VLOOKUP(Tabla4[[#This Row],[SERVICIO 2025]],$J$2:$V$14,3,0)*Tabla4[[#This Row],[TOTAL COBERTURA]])+Tabla4[[#This Row],[VALOR FASE PREPARATORIA DE ALISTAMIENTO]]+Tabla4[[#This Row],[DOTACIÓN ÚNICA]]</f>
        <v>4521680</v>
      </c>
      <c r="AU58" s="35">
        <f>(VLOOKUP(Tabla4[[#This Row],[SERVICIO 2025]],$J$2:$V$14,3,0)*Tabla4[[#This Row],[TOTAL COBERTURA]])</f>
        <v>3586800</v>
      </c>
      <c r="AV58" s="35">
        <f>(VLOOKUP(Tabla4[[#This Row],[SERVICIO 2025]],$J$2:$V$14,3,0)*Tabla4[[#This Row],[TOTAL COBERTURA]])</f>
        <v>3586800</v>
      </c>
      <c r="AW58" s="35">
        <f>(VLOOKUP(Tabla4[[#This Row],[SERVICIO 2025]],$J$2:$V$14,3,0)*Tabla4[[#This Row],[TOTAL COBERTURA]])</f>
        <v>3586800</v>
      </c>
      <c r="AX58" s="35">
        <f>(VLOOKUP(Tabla4[[#This Row],[SERVICIO 2025]],$J$2:$V$14,3,0)*Tabla4[[#This Row],[TOTAL COBERTURA]])</f>
        <v>3586800</v>
      </c>
      <c r="AY58" s="35">
        <f>(VLOOKUP(Tabla4[[#This Row],[SERVICIO 2025]],$J$2:$V$14,3,0)*Tabla4[[#This Row],[TOTAL COBERTURA]])</f>
        <v>3586800</v>
      </c>
      <c r="AZ58" s="35">
        <f>(VLOOKUP(Tabla4[[#This Row],[SERVICIO 2025]],$J$2:$V$14,3,0)*Tabla4[[#This Row],[TOTAL COBERTURA]])</f>
        <v>3586800</v>
      </c>
      <c r="BA58" s="35">
        <f>(VLOOKUP(Tabla4[[#This Row],[SERVICIO 2025]],$J$2:$V$14,3,0)*Tabla4[[#This Row],[TOTAL COBERTURA]])+Tabla4[[#This Row],[VALOR FASE PREPARATORIA DE CIERRE]]</f>
        <v>4343620</v>
      </c>
      <c r="BB58" s="35">
        <f>SUM(Tabla4[[#This Row],[DESEMBOLSO 1]:[DESEMBOLSO 8]])</f>
        <v>30386100</v>
      </c>
      <c r="BC58" s="35">
        <f>VLOOKUP(Tabla4[[#This Row],[SERVICIO 2025]],$J$2:$V$14,10,0)*Tabla4[[#This Row],[TOTAL COBERTURA]]*$W$3</f>
        <v>30131360</v>
      </c>
      <c r="BD58" s="47" t="s">
        <v>211</v>
      </c>
      <c r="BE58" s="12" t="b">
        <f>EXACT(Tabla4[[#This Row],[VALOR ATENCIÓN (8 MESES)]],Tabla4[[#This Row],[VALOR TOTAL]])</f>
        <v>1</v>
      </c>
      <c r="BF58" s="23">
        <f>Tabla4[[#This Row],[VALOR ATENCIÓN (8 MESES)]]-Tabla4[[#This Row],[VALOR TOTAL]]</f>
        <v>0</v>
      </c>
      <c r="BG58" s="12" t="b">
        <f>EXACT(Tabla4[[#This Row],[TOTAL DESEMBOLSOS]],Tabla4[[#This Row],[VALOR ATENCIÓN (8 MESES)]])</f>
        <v>1</v>
      </c>
      <c r="BH58" s="29">
        <f>Tabla4[[#This Row],[TOTAL DESEMBOLSOS]]-Tabla4[[#This Row],[VALOR ATENCIÓN (8 MESES)]]</f>
        <v>0</v>
      </c>
      <c r="BI58" t="s">
        <v>98</v>
      </c>
      <c r="BJ58">
        <v>1890</v>
      </c>
    </row>
    <row r="59" spans="1:62">
      <c r="A59" s="13">
        <v>1890</v>
      </c>
      <c r="B59" s="13" t="s">
        <v>204</v>
      </c>
      <c r="C59" s="12" t="s">
        <v>87</v>
      </c>
      <c r="D59" s="12" t="s">
        <v>205</v>
      </c>
      <c r="E59" s="12" t="s">
        <v>206</v>
      </c>
      <c r="F59" s="12" t="s">
        <v>21</v>
      </c>
      <c r="G59" s="12" t="s">
        <v>90</v>
      </c>
      <c r="H59" s="12" t="s">
        <v>214</v>
      </c>
      <c r="I59" s="12">
        <v>51011115092</v>
      </c>
      <c r="J59" s="12" t="s">
        <v>215</v>
      </c>
      <c r="K59" s="12">
        <v>1</v>
      </c>
      <c r="L59" s="12">
        <v>38</v>
      </c>
      <c r="M59" s="12"/>
      <c r="N59" s="13">
        <v>1890</v>
      </c>
      <c r="O59" s="12" t="s">
        <v>93</v>
      </c>
      <c r="P59" s="12"/>
      <c r="Q59" s="12"/>
      <c r="R59" s="12" t="s">
        <v>94</v>
      </c>
      <c r="S59" s="12">
        <v>10</v>
      </c>
      <c r="T59" s="12" t="s">
        <v>209</v>
      </c>
      <c r="U59" s="12" t="s">
        <v>210</v>
      </c>
      <c r="V59" s="12">
        <f>VLOOKUP(Tabla4[[#This Row],[ZONA DEFINITIVO]],Hoja1!$A$1:$D$121,3,0)</f>
        <v>228990</v>
      </c>
      <c r="W59" s="12">
        <f>VLOOKUP(Tabla4[[#This Row],[ZONA DEFINITIVO]],Hoja1!$A$1:$D$121,2,0)</f>
        <v>15150</v>
      </c>
      <c r="X59" s="12">
        <f>VLOOKUP(Tabla4[[#This Row],[ZONA DEFINITIVO]],Hoja1!$A$1:$D$121,4,0)</f>
        <v>90625</v>
      </c>
      <c r="Y59" s="12" t="str">
        <f>+IF(Tabla4[[#This Row],[AGRUPACIONES]]=1,SUMIFS(Tabla4[UDS],Tabla4[ZONA DEFINITIVO],Tabla4[[#This Row],[ZONA DEFINITIVO]])," ")</f>
        <v xml:space="preserve"> </v>
      </c>
      <c r="Z59" s="12" t="str">
        <f>+IF(Tabla4[[#This Row],[AGRUPACIONES]]=1,SUMIFS(Tabla4[TOTAL COBERTURA],Tabla4[ZONA DEFINITIVO],Tabla4[[#This Row],[ZONA DEFINITIVO]])," ")</f>
        <v xml:space="preserve"> </v>
      </c>
      <c r="AA59" s="12"/>
      <c r="AB59" s="38">
        <v>57733590</v>
      </c>
      <c r="AC59" s="37">
        <v>0.02</v>
      </c>
      <c r="AD59" s="38">
        <f t="shared" si="1"/>
        <v>1154671.8</v>
      </c>
      <c r="AE59" s="12"/>
      <c r="AF59" s="12">
        <f>COUNTIF($A$20:A59,A59)</f>
        <v>3</v>
      </c>
      <c r="AG59" s="38">
        <v>57733590</v>
      </c>
      <c r="AH59" s="38">
        <f>Tabla4[[#This Row],[VALOR CONTRAPARTIDA]]+Tabla4[[#This Row],[TOTAL APORTES ICBF]]</f>
        <v>58888261.799999997</v>
      </c>
      <c r="AI59" s="35"/>
      <c r="AJ59" s="38"/>
      <c r="AK59" s="38"/>
      <c r="AL59" s="23"/>
      <c r="AM59" s="35">
        <f>VLOOKUP(Tabla4[[#This Row],[SERVICIO 2025]],$J$2:$V$14,5,0)*Tabla4[[#This Row],[TOTAL COBERTURA]]</f>
        <v>1776272</v>
      </c>
      <c r="AN59" s="35">
        <f>VLOOKUP(Tabla4[[#This Row],[SERVICIO 2025]],$J$2:$V$14,6,0)*Tabla4[[#This Row],[TOTAL COBERTURA]]</f>
        <v>1437958</v>
      </c>
      <c r="AO59" s="35">
        <f>VLOOKUP(Tabla4[[#This Row],[SERVICIO 2025]],$J$2:$V$14,8,0)*Tabla4[[#This Row],[TOTAL COBERTURA]]</f>
        <v>0</v>
      </c>
      <c r="AP59" s="35">
        <f>VLOOKUP(Tabla4[[#This Row],[SERVICIO 2025]],$J$2:$V$14,3,0)*Tabla4[[#This Row],[TOTAL COBERTURA]]*8</f>
        <v>54519360</v>
      </c>
      <c r="AQ59" s="35"/>
      <c r="AR59" s="35">
        <f>Tabla4[[#This Row],[VALOR FASE PREPARATORIA DE ALISTAMIENTO]]+Tabla4[[#This Row],[VALOR FASE PREPARATORIA DE CIERRE]]+Tabla4[[#This Row],[DOTACIÓN ÚNICA]]+Tabla4[[#This Row],[VALOR ATENCIÓN]]+Tabla4[[#This Row],[VALOR RACION PREPARADA]]</f>
        <v>57733590</v>
      </c>
      <c r="AS59" s="35" t="str">
        <f>+IF(Tabla4[[#This Row],[AGRUPACIONES]]=1,SUMIFS(Tabla4[VALOR TOTAL],Tabla4[ZONA DEFINITIVO],Tabla4[[#This Row],[ZONA DEFINITIVO]])," ")</f>
        <v xml:space="preserve"> </v>
      </c>
      <c r="AT59" s="27">
        <f>(VLOOKUP(Tabla4[[#This Row],[SERVICIO 2025]],$J$2:$V$14,3,0)*Tabla4[[#This Row],[TOTAL COBERTURA]])+Tabla4[[#This Row],[VALOR FASE PREPARATORIA DE ALISTAMIENTO]]+Tabla4[[#This Row],[DOTACIÓN ÚNICA]]</f>
        <v>8591192</v>
      </c>
      <c r="AU59" s="35">
        <f>(VLOOKUP(Tabla4[[#This Row],[SERVICIO 2025]],$J$2:$V$14,3,0)*Tabla4[[#This Row],[TOTAL COBERTURA]])</f>
        <v>6814920</v>
      </c>
      <c r="AV59" s="35">
        <f>(VLOOKUP(Tabla4[[#This Row],[SERVICIO 2025]],$J$2:$V$14,3,0)*Tabla4[[#This Row],[TOTAL COBERTURA]])</f>
        <v>6814920</v>
      </c>
      <c r="AW59" s="35">
        <f>(VLOOKUP(Tabla4[[#This Row],[SERVICIO 2025]],$J$2:$V$14,3,0)*Tabla4[[#This Row],[TOTAL COBERTURA]])</f>
        <v>6814920</v>
      </c>
      <c r="AX59" s="35">
        <f>(VLOOKUP(Tabla4[[#This Row],[SERVICIO 2025]],$J$2:$V$14,3,0)*Tabla4[[#This Row],[TOTAL COBERTURA]])</f>
        <v>6814920</v>
      </c>
      <c r="AY59" s="35">
        <f>(VLOOKUP(Tabla4[[#This Row],[SERVICIO 2025]],$J$2:$V$14,3,0)*Tabla4[[#This Row],[TOTAL COBERTURA]])</f>
        <v>6814920</v>
      </c>
      <c r="AZ59" s="35">
        <f>(VLOOKUP(Tabla4[[#This Row],[SERVICIO 2025]],$J$2:$V$14,3,0)*Tabla4[[#This Row],[TOTAL COBERTURA]])</f>
        <v>6814920</v>
      </c>
      <c r="BA59" s="35">
        <f>(VLOOKUP(Tabla4[[#This Row],[SERVICIO 2025]],$J$2:$V$14,3,0)*Tabla4[[#This Row],[TOTAL COBERTURA]])+Tabla4[[#This Row],[VALOR FASE PREPARATORIA DE CIERRE]]</f>
        <v>8252878</v>
      </c>
      <c r="BB59" s="35">
        <f>SUM(Tabla4[[#This Row],[DESEMBOLSO 1]:[DESEMBOLSO 8]])</f>
        <v>57733590</v>
      </c>
      <c r="BC59" s="35">
        <f>VLOOKUP(Tabla4[[#This Row],[SERVICIO 2025]],$J$2:$V$14,10,0)*Tabla4[[#This Row],[TOTAL COBERTURA]]*$W$3</f>
        <v>57249584</v>
      </c>
      <c r="BD59" s="47" t="s">
        <v>211</v>
      </c>
      <c r="BE59" s="12" t="b">
        <f>EXACT(Tabla4[[#This Row],[VALOR ATENCIÓN (8 MESES)]],Tabla4[[#This Row],[VALOR TOTAL]])</f>
        <v>1</v>
      </c>
      <c r="BF59" s="23">
        <f>Tabla4[[#This Row],[VALOR ATENCIÓN (8 MESES)]]-Tabla4[[#This Row],[VALOR TOTAL]]</f>
        <v>0</v>
      </c>
      <c r="BG59" s="12" t="b">
        <f>EXACT(Tabla4[[#This Row],[TOTAL DESEMBOLSOS]],Tabla4[[#This Row],[VALOR ATENCIÓN (8 MESES)]])</f>
        <v>1</v>
      </c>
      <c r="BH59" s="29">
        <f>Tabla4[[#This Row],[TOTAL DESEMBOLSOS]]-Tabla4[[#This Row],[VALOR ATENCIÓN (8 MESES)]]</f>
        <v>0</v>
      </c>
      <c r="BI59" t="s">
        <v>98</v>
      </c>
      <c r="BJ59">
        <v>1890</v>
      </c>
    </row>
    <row r="60" spans="1:62">
      <c r="A60" s="13">
        <v>1890</v>
      </c>
      <c r="B60" s="13" t="s">
        <v>204</v>
      </c>
      <c r="C60" s="12" t="s">
        <v>87</v>
      </c>
      <c r="D60" s="12" t="s">
        <v>205</v>
      </c>
      <c r="E60" s="12" t="s">
        <v>206</v>
      </c>
      <c r="F60" s="12" t="s">
        <v>21</v>
      </c>
      <c r="G60" s="12" t="s">
        <v>90</v>
      </c>
      <c r="H60" s="12" t="s">
        <v>216</v>
      </c>
      <c r="I60" s="12">
        <v>51011115095</v>
      </c>
      <c r="J60" s="12" t="s">
        <v>217</v>
      </c>
      <c r="K60" s="12">
        <v>1</v>
      </c>
      <c r="L60" s="12">
        <v>9</v>
      </c>
      <c r="M60" s="12"/>
      <c r="N60" s="13">
        <v>1890</v>
      </c>
      <c r="O60" s="12" t="s">
        <v>93</v>
      </c>
      <c r="P60" s="12"/>
      <c r="Q60" s="12"/>
      <c r="R60" s="12" t="s">
        <v>94</v>
      </c>
      <c r="S60" s="12">
        <v>10</v>
      </c>
      <c r="T60" s="12" t="s">
        <v>209</v>
      </c>
      <c r="U60" s="12" t="s">
        <v>210</v>
      </c>
      <c r="V60" s="12">
        <f>VLOOKUP(Tabla4[[#This Row],[ZONA DEFINITIVO]],Hoja1!$A$1:$D$121,3,0)</f>
        <v>228990</v>
      </c>
      <c r="W60" s="12">
        <f>VLOOKUP(Tabla4[[#This Row],[ZONA DEFINITIVO]],Hoja1!$A$1:$D$121,2,0)</f>
        <v>15150</v>
      </c>
      <c r="X60" s="12">
        <f>VLOOKUP(Tabla4[[#This Row],[ZONA DEFINITIVO]],Hoja1!$A$1:$D$121,4,0)</f>
        <v>90625</v>
      </c>
      <c r="Y60" s="12" t="str">
        <f>+IF(Tabla4[[#This Row],[AGRUPACIONES]]=1,SUMIFS(Tabla4[UDS],Tabla4[ZONA DEFINITIVO],Tabla4[[#This Row],[ZONA DEFINITIVO]])," ")</f>
        <v xml:space="preserve"> </v>
      </c>
      <c r="Z60" s="12" t="str">
        <f>+IF(Tabla4[[#This Row],[AGRUPACIONES]]=1,SUMIFS(Tabla4[TOTAL COBERTURA],Tabla4[ZONA DEFINITIVO],Tabla4[[#This Row],[ZONA DEFINITIVO]])," ")</f>
        <v xml:space="preserve"> </v>
      </c>
      <c r="AA60" s="12"/>
      <c r="AB60" s="38">
        <v>13673745</v>
      </c>
      <c r="AC60" s="37">
        <v>0.02</v>
      </c>
      <c r="AD60" s="38">
        <f t="shared" si="1"/>
        <v>273474.90000000002</v>
      </c>
      <c r="AE60" s="12"/>
      <c r="AF60" s="12">
        <f>COUNTIF($A$20:A60,A60)</f>
        <v>4</v>
      </c>
      <c r="AG60" s="38">
        <v>13673745</v>
      </c>
      <c r="AH60" s="38">
        <f>Tabla4[[#This Row],[VALOR CONTRAPARTIDA]]+Tabla4[[#This Row],[TOTAL APORTES ICBF]]</f>
        <v>13947219.9</v>
      </c>
      <c r="AI60" s="35"/>
      <c r="AJ60" s="38"/>
      <c r="AK60" s="38"/>
      <c r="AL60" s="23"/>
      <c r="AM60" s="35">
        <f>VLOOKUP(Tabla4[[#This Row],[SERVICIO 2025]],$J$2:$V$14,5,0)*Tabla4[[#This Row],[TOTAL COBERTURA]]</f>
        <v>420696</v>
      </c>
      <c r="AN60" s="35">
        <f>VLOOKUP(Tabla4[[#This Row],[SERVICIO 2025]],$J$2:$V$14,6,0)*Tabla4[[#This Row],[TOTAL COBERTURA]]</f>
        <v>340569</v>
      </c>
      <c r="AO60" s="35">
        <f>VLOOKUP(Tabla4[[#This Row],[SERVICIO 2025]],$J$2:$V$14,8,0)*Tabla4[[#This Row],[TOTAL COBERTURA]]</f>
        <v>0</v>
      </c>
      <c r="AP60" s="35">
        <f>VLOOKUP(Tabla4[[#This Row],[SERVICIO 2025]],$J$2:$V$14,3,0)*Tabla4[[#This Row],[TOTAL COBERTURA]]*8</f>
        <v>12912480</v>
      </c>
      <c r="AQ60" s="35"/>
      <c r="AR60" s="35">
        <f>Tabla4[[#This Row],[VALOR FASE PREPARATORIA DE ALISTAMIENTO]]+Tabla4[[#This Row],[VALOR FASE PREPARATORIA DE CIERRE]]+Tabla4[[#This Row],[DOTACIÓN ÚNICA]]+Tabla4[[#This Row],[VALOR ATENCIÓN]]+Tabla4[[#This Row],[VALOR RACION PREPARADA]]</f>
        <v>13673745</v>
      </c>
      <c r="AS60" s="35" t="str">
        <f>+IF(Tabla4[[#This Row],[AGRUPACIONES]]=1,SUMIFS(Tabla4[VALOR TOTAL],Tabla4[ZONA DEFINITIVO],Tabla4[[#This Row],[ZONA DEFINITIVO]])," ")</f>
        <v xml:space="preserve"> </v>
      </c>
      <c r="AT60" s="27">
        <f>(VLOOKUP(Tabla4[[#This Row],[SERVICIO 2025]],$J$2:$V$14,3,0)*Tabla4[[#This Row],[TOTAL COBERTURA]])+Tabla4[[#This Row],[VALOR FASE PREPARATORIA DE ALISTAMIENTO]]+Tabla4[[#This Row],[DOTACIÓN ÚNICA]]</f>
        <v>2034756</v>
      </c>
      <c r="AU60" s="35">
        <f>(VLOOKUP(Tabla4[[#This Row],[SERVICIO 2025]],$J$2:$V$14,3,0)*Tabla4[[#This Row],[TOTAL COBERTURA]])</f>
        <v>1614060</v>
      </c>
      <c r="AV60" s="35">
        <f>(VLOOKUP(Tabla4[[#This Row],[SERVICIO 2025]],$J$2:$V$14,3,0)*Tabla4[[#This Row],[TOTAL COBERTURA]])</f>
        <v>1614060</v>
      </c>
      <c r="AW60" s="35">
        <f>(VLOOKUP(Tabla4[[#This Row],[SERVICIO 2025]],$J$2:$V$14,3,0)*Tabla4[[#This Row],[TOTAL COBERTURA]])</f>
        <v>1614060</v>
      </c>
      <c r="AX60" s="35">
        <f>(VLOOKUP(Tabla4[[#This Row],[SERVICIO 2025]],$J$2:$V$14,3,0)*Tabla4[[#This Row],[TOTAL COBERTURA]])</f>
        <v>1614060</v>
      </c>
      <c r="AY60" s="35">
        <f>(VLOOKUP(Tabla4[[#This Row],[SERVICIO 2025]],$J$2:$V$14,3,0)*Tabla4[[#This Row],[TOTAL COBERTURA]])</f>
        <v>1614060</v>
      </c>
      <c r="AZ60" s="35">
        <f>(VLOOKUP(Tabla4[[#This Row],[SERVICIO 2025]],$J$2:$V$14,3,0)*Tabla4[[#This Row],[TOTAL COBERTURA]])</f>
        <v>1614060</v>
      </c>
      <c r="BA60" s="35">
        <f>(VLOOKUP(Tabla4[[#This Row],[SERVICIO 2025]],$J$2:$V$14,3,0)*Tabla4[[#This Row],[TOTAL COBERTURA]])+Tabla4[[#This Row],[VALOR FASE PREPARATORIA DE CIERRE]]</f>
        <v>1954629</v>
      </c>
      <c r="BB60" s="35">
        <f>SUM(Tabla4[[#This Row],[DESEMBOLSO 1]:[DESEMBOLSO 8]])</f>
        <v>13673745</v>
      </c>
      <c r="BC60" s="35">
        <f>VLOOKUP(Tabla4[[#This Row],[SERVICIO 2025]],$J$2:$V$14,10,0)*Tabla4[[#This Row],[TOTAL COBERTURA]]*$W$3</f>
        <v>13559112</v>
      </c>
      <c r="BD60" s="47" t="s">
        <v>211</v>
      </c>
      <c r="BE60" s="12" t="b">
        <f>EXACT(Tabla4[[#This Row],[VALOR ATENCIÓN (8 MESES)]],Tabla4[[#This Row],[VALOR TOTAL]])</f>
        <v>1</v>
      </c>
      <c r="BF60" s="23">
        <f>Tabla4[[#This Row],[VALOR ATENCIÓN (8 MESES)]]-Tabla4[[#This Row],[VALOR TOTAL]]</f>
        <v>0</v>
      </c>
      <c r="BG60" s="12" t="b">
        <f>EXACT(Tabla4[[#This Row],[TOTAL DESEMBOLSOS]],Tabla4[[#This Row],[VALOR ATENCIÓN (8 MESES)]])</f>
        <v>1</v>
      </c>
      <c r="BH60" s="29">
        <f>Tabla4[[#This Row],[TOTAL DESEMBOLSOS]]-Tabla4[[#This Row],[VALOR ATENCIÓN (8 MESES)]]</f>
        <v>0</v>
      </c>
      <c r="BI60" t="s">
        <v>98</v>
      </c>
      <c r="BJ60">
        <v>1890</v>
      </c>
    </row>
    <row r="61" spans="1:62">
      <c r="A61" s="13">
        <v>1890</v>
      </c>
      <c r="B61" s="13" t="s">
        <v>204</v>
      </c>
      <c r="C61" s="12" t="s">
        <v>87</v>
      </c>
      <c r="D61" s="12" t="s">
        <v>205</v>
      </c>
      <c r="E61" s="12" t="s">
        <v>206</v>
      </c>
      <c r="F61" s="12" t="s">
        <v>21</v>
      </c>
      <c r="G61" s="12" t="s">
        <v>90</v>
      </c>
      <c r="H61" s="12" t="s">
        <v>218</v>
      </c>
      <c r="I61" s="12">
        <v>51011115102</v>
      </c>
      <c r="J61" s="12" t="s">
        <v>219</v>
      </c>
      <c r="K61" s="12">
        <v>1</v>
      </c>
      <c r="L61" s="12">
        <v>71</v>
      </c>
      <c r="M61" s="12"/>
      <c r="N61" s="13">
        <v>1890</v>
      </c>
      <c r="O61" s="12" t="s">
        <v>93</v>
      </c>
      <c r="P61" s="12"/>
      <c r="Q61" s="12"/>
      <c r="R61" s="12" t="s">
        <v>94</v>
      </c>
      <c r="S61" s="12">
        <v>10</v>
      </c>
      <c r="T61" s="12" t="s">
        <v>209</v>
      </c>
      <c r="U61" s="12" t="s">
        <v>210</v>
      </c>
      <c r="V61" s="12">
        <f>VLOOKUP(Tabla4[[#This Row],[ZONA DEFINITIVO]],Hoja1!$A$1:$D$121,3,0)</f>
        <v>228990</v>
      </c>
      <c r="W61" s="12">
        <f>VLOOKUP(Tabla4[[#This Row],[ZONA DEFINITIVO]],Hoja1!$A$1:$D$121,2,0)</f>
        <v>15150</v>
      </c>
      <c r="X61" s="12">
        <f>VLOOKUP(Tabla4[[#This Row],[ZONA DEFINITIVO]],Hoja1!$A$1:$D$121,4,0)</f>
        <v>90625</v>
      </c>
      <c r="Y61" s="12" t="str">
        <f>+IF(Tabla4[[#This Row],[AGRUPACIONES]]=1,SUMIFS(Tabla4[UDS],Tabla4[ZONA DEFINITIVO],Tabla4[[#This Row],[ZONA DEFINITIVO]])," ")</f>
        <v xml:space="preserve"> </v>
      </c>
      <c r="Z61" s="12" t="str">
        <f>+IF(Tabla4[[#This Row],[AGRUPACIONES]]=1,SUMIFS(Tabla4[TOTAL COBERTURA],Tabla4[ZONA DEFINITIVO],Tabla4[[#This Row],[ZONA DEFINITIVO]])," ")</f>
        <v xml:space="preserve"> </v>
      </c>
      <c r="AA61" s="12"/>
      <c r="AB61" s="38">
        <v>107870655</v>
      </c>
      <c r="AC61" s="37">
        <v>0.02</v>
      </c>
      <c r="AD61" s="38">
        <f t="shared" si="1"/>
        <v>2157413.1</v>
      </c>
      <c r="AE61" s="12"/>
      <c r="AF61" s="12">
        <f>COUNTIF($A$20:A61,A61)</f>
        <v>5</v>
      </c>
      <c r="AG61" s="38">
        <v>107870655</v>
      </c>
      <c r="AH61" s="38">
        <f>Tabla4[[#This Row],[VALOR CONTRAPARTIDA]]+Tabla4[[#This Row],[TOTAL APORTES ICBF]]</f>
        <v>110028068.09999999</v>
      </c>
      <c r="AI61" s="35"/>
      <c r="AJ61" s="38"/>
      <c r="AK61" s="38"/>
      <c r="AL61" s="23"/>
      <c r="AM61" s="35">
        <f>VLOOKUP(Tabla4[[#This Row],[SERVICIO 2025]],$J$2:$V$14,5,0)*Tabla4[[#This Row],[TOTAL COBERTURA]]</f>
        <v>3318824</v>
      </c>
      <c r="AN61" s="35">
        <f>VLOOKUP(Tabla4[[#This Row],[SERVICIO 2025]],$J$2:$V$14,6,0)*Tabla4[[#This Row],[TOTAL COBERTURA]]</f>
        <v>2686711</v>
      </c>
      <c r="AO61" s="35">
        <f>VLOOKUP(Tabla4[[#This Row],[SERVICIO 2025]],$J$2:$V$14,8,0)*Tabla4[[#This Row],[TOTAL COBERTURA]]</f>
        <v>0</v>
      </c>
      <c r="AP61" s="35">
        <f>VLOOKUP(Tabla4[[#This Row],[SERVICIO 2025]],$J$2:$V$14,3,0)*Tabla4[[#This Row],[TOTAL COBERTURA]]*8</f>
        <v>101865120</v>
      </c>
      <c r="AQ61" s="35"/>
      <c r="AR61" s="35">
        <f>Tabla4[[#This Row],[VALOR FASE PREPARATORIA DE ALISTAMIENTO]]+Tabla4[[#This Row],[VALOR FASE PREPARATORIA DE CIERRE]]+Tabla4[[#This Row],[DOTACIÓN ÚNICA]]+Tabla4[[#This Row],[VALOR ATENCIÓN]]+Tabla4[[#This Row],[VALOR RACION PREPARADA]]</f>
        <v>107870655</v>
      </c>
      <c r="AS61" s="35" t="str">
        <f>+IF(Tabla4[[#This Row],[AGRUPACIONES]]=1,SUMIFS(Tabla4[VALOR TOTAL],Tabla4[ZONA DEFINITIVO],Tabla4[[#This Row],[ZONA DEFINITIVO]])," ")</f>
        <v xml:space="preserve"> </v>
      </c>
      <c r="AT61" s="27">
        <f>(VLOOKUP(Tabla4[[#This Row],[SERVICIO 2025]],$J$2:$V$14,3,0)*Tabla4[[#This Row],[TOTAL COBERTURA]])+Tabla4[[#This Row],[VALOR FASE PREPARATORIA DE ALISTAMIENTO]]+Tabla4[[#This Row],[DOTACIÓN ÚNICA]]</f>
        <v>16051964</v>
      </c>
      <c r="AU61" s="35">
        <f>(VLOOKUP(Tabla4[[#This Row],[SERVICIO 2025]],$J$2:$V$14,3,0)*Tabla4[[#This Row],[TOTAL COBERTURA]])</f>
        <v>12733140</v>
      </c>
      <c r="AV61" s="35">
        <f>(VLOOKUP(Tabla4[[#This Row],[SERVICIO 2025]],$J$2:$V$14,3,0)*Tabla4[[#This Row],[TOTAL COBERTURA]])</f>
        <v>12733140</v>
      </c>
      <c r="AW61" s="35">
        <f>(VLOOKUP(Tabla4[[#This Row],[SERVICIO 2025]],$J$2:$V$14,3,0)*Tabla4[[#This Row],[TOTAL COBERTURA]])</f>
        <v>12733140</v>
      </c>
      <c r="AX61" s="35">
        <f>(VLOOKUP(Tabla4[[#This Row],[SERVICIO 2025]],$J$2:$V$14,3,0)*Tabla4[[#This Row],[TOTAL COBERTURA]])</f>
        <v>12733140</v>
      </c>
      <c r="AY61" s="35">
        <f>(VLOOKUP(Tabla4[[#This Row],[SERVICIO 2025]],$J$2:$V$14,3,0)*Tabla4[[#This Row],[TOTAL COBERTURA]])</f>
        <v>12733140</v>
      </c>
      <c r="AZ61" s="35">
        <f>(VLOOKUP(Tabla4[[#This Row],[SERVICIO 2025]],$J$2:$V$14,3,0)*Tabla4[[#This Row],[TOTAL COBERTURA]])</f>
        <v>12733140</v>
      </c>
      <c r="BA61" s="35">
        <f>(VLOOKUP(Tabla4[[#This Row],[SERVICIO 2025]],$J$2:$V$14,3,0)*Tabla4[[#This Row],[TOTAL COBERTURA]])+Tabla4[[#This Row],[VALOR FASE PREPARATORIA DE CIERRE]]</f>
        <v>15419851</v>
      </c>
      <c r="BB61" s="35">
        <f>SUM(Tabla4[[#This Row],[DESEMBOLSO 1]:[DESEMBOLSO 8]])</f>
        <v>107870655</v>
      </c>
      <c r="BC61" s="35">
        <f>VLOOKUP(Tabla4[[#This Row],[SERVICIO 2025]],$J$2:$V$14,10,0)*Tabla4[[#This Row],[TOTAL COBERTURA]]*$W$3</f>
        <v>106966328</v>
      </c>
      <c r="BD61" s="47" t="s">
        <v>211</v>
      </c>
      <c r="BE61" s="12" t="b">
        <f>EXACT(Tabla4[[#This Row],[VALOR ATENCIÓN (8 MESES)]],Tabla4[[#This Row],[VALOR TOTAL]])</f>
        <v>1</v>
      </c>
      <c r="BF61" s="23">
        <f>Tabla4[[#This Row],[VALOR ATENCIÓN (8 MESES)]]-Tabla4[[#This Row],[VALOR TOTAL]]</f>
        <v>0</v>
      </c>
      <c r="BG61" s="12" t="b">
        <f>EXACT(Tabla4[[#This Row],[TOTAL DESEMBOLSOS]],Tabla4[[#This Row],[VALOR ATENCIÓN (8 MESES)]])</f>
        <v>1</v>
      </c>
      <c r="BH61" s="29">
        <f>Tabla4[[#This Row],[TOTAL DESEMBOLSOS]]-Tabla4[[#This Row],[VALOR ATENCIÓN (8 MESES)]]</f>
        <v>0</v>
      </c>
      <c r="BI61" t="s">
        <v>98</v>
      </c>
      <c r="BJ61">
        <v>1890</v>
      </c>
    </row>
    <row r="62" spans="1:62">
      <c r="A62" s="13">
        <v>1890</v>
      </c>
      <c r="B62" s="13" t="s">
        <v>204</v>
      </c>
      <c r="C62" s="12" t="s">
        <v>87</v>
      </c>
      <c r="D62" s="12" t="s">
        <v>205</v>
      </c>
      <c r="E62" s="12" t="s">
        <v>206</v>
      </c>
      <c r="F62" s="12" t="s">
        <v>21</v>
      </c>
      <c r="G62" s="12" t="s">
        <v>90</v>
      </c>
      <c r="H62" s="12" t="s">
        <v>220</v>
      </c>
      <c r="I62" s="12">
        <v>51011115107</v>
      </c>
      <c r="J62" s="12" t="s">
        <v>221</v>
      </c>
      <c r="K62" s="12">
        <v>1</v>
      </c>
      <c r="L62" s="12">
        <v>40</v>
      </c>
      <c r="M62" s="12"/>
      <c r="N62" s="13">
        <v>1890</v>
      </c>
      <c r="O62" s="12" t="s">
        <v>93</v>
      </c>
      <c r="P62" s="12"/>
      <c r="Q62" s="12"/>
      <c r="R62" s="12" t="s">
        <v>94</v>
      </c>
      <c r="S62" s="12">
        <v>10</v>
      </c>
      <c r="T62" s="12" t="s">
        <v>209</v>
      </c>
      <c r="U62" s="12" t="s">
        <v>210</v>
      </c>
      <c r="V62" s="12">
        <f>VLOOKUP(Tabla4[[#This Row],[ZONA DEFINITIVO]],Hoja1!$A$1:$D$121,3,0)</f>
        <v>228990</v>
      </c>
      <c r="W62" s="12">
        <f>VLOOKUP(Tabla4[[#This Row],[ZONA DEFINITIVO]],Hoja1!$A$1:$D$121,2,0)</f>
        <v>15150</v>
      </c>
      <c r="X62" s="12">
        <f>VLOOKUP(Tabla4[[#This Row],[ZONA DEFINITIVO]],Hoja1!$A$1:$D$121,4,0)</f>
        <v>90625</v>
      </c>
      <c r="Y62" s="12" t="str">
        <f>+IF(Tabla4[[#This Row],[AGRUPACIONES]]=1,SUMIFS(Tabla4[UDS],Tabla4[ZONA DEFINITIVO],Tabla4[[#This Row],[ZONA DEFINITIVO]])," ")</f>
        <v xml:space="preserve"> </v>
      </c>
      <c r="Z62" s="12" t="str">
        <f>+IF(Tabla4[[#This Row],[AGRUPACIONES]]=1,SUMIFS(Tabla4[TOTAL COBERTURA],Tabla4[ZONA DEFINITIVO],Tabla4[[#This Row],[ZONA DEFINITIVO]])," ")</f>
        <v xml:space="preserve"> </v>
      </c>
      <c r="AA62" s="12"/>
      <c r="AB62" s="38">
        <v>60772200</v>
      </c>
      <c r="AC62" s="37">
        <v>0.02</v>
      </c>
      <c r="AD62" s="38">
        <f t="shared" si="1"/>
        <v>1215444</v>
      </c>
      <c r="AE62" s="12"/>
      <c r="AF62" s="12">
        <f>COUNTIF($A$20:A62,A62)</f>
        <v>6</v>
      </c>
      <c r="AG62" s="38">
        <v>60772200</v>
      </c>
      <c r="AH62" s="38">
        <f>Tabla4[[#This Row],[VALOR CONTRAPARTIDA]]+Tabla4[[#This Row],[TOTAL APORTES ICBF]]</f>
        <v>61987644</v>
      </c>
      <c r="AI62" s="35"/>
      <c r="AJ62" s="38"/>
      <c r="AK62" s="38"/>
      <c r="AL62" s="23"/>
      <c r="AM62" s="35">
        <f>VLOOKUP(Tabla4[[#This Row],[SERVICIO 2025]],$J$2:$V$14,5,0)*Tabla4[[#This Row],[TOTAL COBERTURA]]</f>
        <v>1869760</v>
      </c>
      <c r="AN62" s="35">
        <f>VLOOKUP(Tabla4[[#This Row],[SERVICIO 2025]],$J$2:$V$14,6,0)*Tabla4[[#This Row],[TOTAL COBERTURA]]</f>
        <v>1513640</v>
      </c>
      <c r="AO62" s="35">
        <f>VLOOKUP(Tabla4[[#This Row],[SERVICIO 2025]],$J$2:$V$14,8,0)*Tabla4[[#This Row],[TOTAL COBERTURA]]</f>
        <v>0</v>
      </c>
      <c r="AP62" s="35">
        <f>VLOOKUP(Tabla4[[#This Row],[SERVICIO 2025]],$J$2:$V$14,3,0)*Tabla4[[#This Row],[TOTAL COBERTURA]]*8</f>
        <v>57388800</v>
      </c>
      <c r="AQ62" s="35"/>
      <c r="AR62" s="35">
        <f>Tabla4[[#This Row],[VALOR FASE PREPARATORIA DE ALISTAMIENTO]]+Tabla4[[#This Row],[VALOR FASE PREPARATORIA DE CIERRE]]+Tabla4[[#This Row],[DOTACIÓN ÚNICA]]+Tabla4[[#This Row],[VALOR ATENCIÓN]]+Tabla4[[#This Row],[VALOR RACION PREPARADA]]</f>
        <v>60772200</v>
      </c>
      <c r="AS62" s="35" t="str">
        <f>+IF(Tabla4[[#This Row],[AGRUPACIONES]]=1,SUMIFS(Tabla4[VALOR TOTAL],Tabla4[ZONA DEFINITIVO],Tabla4[[#This Row],[ZONA DEFINITIVO]])," ")</f>
        <v xml:space="preserve"> </v>
      </c>
      <c r="AT62" s="27">
        <f>(VLOOKUP(Tabla4[[#This Row],[SERVICIO 2025]],$J$2:$V$14,3,0)*Tabla4[[#This Row],[TOTAL COBERTURA]])+Tabla4[[#This Row],[VALOR FASE PREPARATORIA DE ALISTAMIENTO]]+Tabla4[[#This Row],[DOTACIÓN ÚNICA]]</f>
        <v>9043360</v>
      </c>
      <c r="AU62" s="35">
        <f>(VLOOKUP(Tabla4[[#This Row],[SERVICIO 2025]],$J$2:$V$14,3,0)*Tabla4[[#This Row],[TOTAL COBERTURA]])</f>
        <v>7173600</v>
      </c>
      <c r="AV62" s="35">
        <f>(VLOOKUP(Tabla4[[#This Row],[SERVICIO 2025]],$J$2:$V$14,3,0)*Tabla4[[#This Row],[TOTAL COBERTURA]])</f>
        <v>7173600</v>
      </c>
      <c r="AW62" s="35">
        <f>(VLOOKUP(Tabla4[[#This Row],[SERVICIO 2025]],$J$2:$V$14,3,0)*Tabla4[[#This Row],[TOTAL COBERTURA]])</f>
        <v>7173600</v>
      </c>
      <c r="AX62" s="35">
        <f>(VLOOKUP(Tabla4[[#This Row],[SERVICIO 2025]],$J$2:$V$14,3,0)*Tabla4[[#This Row],[TOTAL COBERTURA]])</f>
        <v>7173600</v>
      </c>
      <c r="AY62" s="35">
        <f>(VLOOKUP(Tabla4[[#This Row],[SERVICIO 2025]],$J$2:$V$14,3,0)*Tabla4[[#This Row],[TOTAL COBERTURA]])</f>
        <v>7173600</v>
      </c>
      <c r="AZ62" s="35">
        <f>(VLOOKUP(Tabla4[[#This Row],[SERVICIO 2025]],$J$2:$V$14,3,0)*Tabla4[[#This Row],[TOTAL COBERTURA]])</f>
        <v>7173600</v>
      </c>
      <c r="BA62" s="35">
        <f>(VLOOKUP(Tabla4[[#This Row],[SERVICIO 2025]],$J$2:$V$14,3,0)*Tabla4[[#This Row],[TOTAL COBERTURA]])+Tabla4[[#This Row],[VALOR FASE PREPARATORIA DE CIERRE]]</f>
        <v>8687240</v>
      </c>
      <c r="BB62" s="35">
        <f>SUM(Tabla4[[#This Row],[DESEMBOLSO 1]:[DESEMBOLSO 8]])</f>
        <v>60772200</v>
      </c>
      <c r="BC62" s="35">
        <f>VLOOKUP(Tabla4[[#This Row],[SERVICIO 2025]],$J$2:$V$14,10,0)*Tabla4[[#This Row],[TOTAL COBERTURA]]*$W$3</f>
        <v>60262720</v>
      </c>
      <c r="BD62" s="47" t="s">
        <v>211</v>
      </c>
      <c r="BE62" s="12" t="b">
        <f>EXACT(Tabla4[[#This Row],[VALOR ATENCIÓN (8 MESES)]],Tabla4[[#This Row],[VALOR TOTAL]])</f>
        <v>1</v>
      </c>
      <c r="BF62" s="23">
        <f>Tabla4[[#This Row],[VALOR ATENCIÓN (8 MESES)]]-Tabla4[[#This Row],[VALOR TOTAL]]</f>
        <v>0</v>
      </c>
      <c r="BG62" s="12" t="b">
        <f>EXACT(Tabla4[[#This Row],[TOTAL DESEMBOLSOS]],Tabla4[[#This Row],[VALOR ATENCIÓN (8 MESES)]])</f>
        <v>1</v>
      </c>
      <c r="BH62" s="29">
        <f>Tabla4[[#This Row],[TOTAL DESEMBOLSOS]]-Tabla4[[#This Row],[VALOR ATENCIÓN (8 MESES)]]</f>
        <v>0</v>
      </c>
      <c r="BI62" t="s">
        <v>98</v>
      </c>
      <c r="BJ62">
        <v>1890</v>
      </c>
    </row>
    <row r="63" spans="1:62">
      <c r="A63" s="13">
        <v>1890</v>
      </c>
      <c r="B63" s="13" t="s">
        <v>204</v>
      </c>
      <c r="C63" s="12" t="s">
        <v>87</v>
      </c>
      <c r="D63" s="12" t="s">
        <v>205</v>
      </c>
      <c r="E63" s="12" t="s">
        <v>206</v>
      </c>
      <c r="F63" s="12" t="s">
        <v>21</v>
      </c>
      <c r="G63" s="12" t="s">
        <v>90</v>
      </c>
      <c r="H63" s="12" t="s">
        <v>222</v>
      </c>
      <c r="I63" s="12">
        <v>51011115109</v>
      </c>
      <c r="J63" s="12" t="s">
        <v>223</v>
      </c>
      <c r="K63" s="12">
        <v>1</v>
      </c>
      <c r="L63" s="12">
        <v>19</v>
      </c>
      <c r="M63" s="12"/>
      <c r="N63" s="13">
        <v>1890</v>
      </c>
      <c r="O63" s="12" t="s">
        <v>93</v>
      </c>
      <c r="P63" s="12"/>
      <c r="Q63" s="12"/>
      <c r="R63" s="12" t="s">
        <v>94</v>
      </c>
      <c r="S63" s="12">
        <v>10</v>
      </c>
      <c r="T63" s="12" t="s">
        <v>209</v>
      </c>
      <c r="U63" s="12" t="s">
        <v>210</v>
      </c>
      <c r="V63" s="12">
        <f>VLOOKUP(Tabla4[[#This Row],[ZONA DEFINITIVO]],Hoja1!$A$1:$D$121,3,0)</f>
        <v>228990</v>
      </c>
      <c r="W63" s="12">
        <f>VLOOKUP(Tabla4[[#This Row],[ZONA DEFINITIVO]],Hoja1!$A$1:$D$121,2,0)</f>
        <v>15150</v>
      </c>
      <c r="X63" s="12">
        <f>VLOOKUP(Tabla4[[#This Row],[ZONA DEFINITIVO]],Hoja1!$A$1:$D$121,4,0)</f>
        <v>90625</v>
      </c>
      <c r="Y63" s="12" t="str">
        <f>+IF(Tabla4[[#This Row],[AGRUPACIONES]]=1,SUMIFS(Tabla4[UDS],Tabla4[ZONA DEFINITIVO],Tabla4[[#This Row],[ZONA DEFINITIVO]])," ")</f>
        <v xml:space="preserve"> </v>
      </c>
      <c r="Z63" s="12" t="str">
        <f>+IF(Tabla4[[#This Row],[AGRUPACIONES]]=1,SUMIFS(Tabla4[TOTAL COBERTURA],Tabla4[ZONA DEFINITIVO],Tabla4[[#This Row],[ZONA DEFINITIVO]])," ")</f>
        <v xml:space="preserve"> </v>
      </c>
      <c r="AA63" s="12"/>
      <c r="AB63" s="38">
        <v>28866795</v>
      </c>
      <c r="AC63" s="37">
        <v>0.02</v>
      </c>
      <c r="AD63" s="38">
        <f t="shared" si="1"/>
        <v>577335.9</v>
      </c>
      <c r="AE63" s="12"/>
      <c r="AF63" s="12">
        <f>COUNTIF($A$20:A63,A63)</f>
        <v>7</v>
      </c>
      <c r="AG63" s="38">
        <v>28866795</v>
      </c>
      <c r="AH63" s="38">
        <f>Tabla4[[#This Row],[VALOR CONTRAPARTIDA]]+Tabla4[[#This Row],[TOTAL APORTES ICBF]]</f>
        <v>29444130.899999999</v>
      </c>
      <c r="AI63" s="35"/>
      <c r="AJ63" s="38"/>
      <c r="AK63" s="38"/>
      <c r="AL63" s="23"/>
      <c r="AM63" s="35">
        <f>VLOOKUP(Tabla4[[#This Row],[SERVICIO 2025]],$J$2:$V$14,5,0)*Tabla4[[#This Row],[TOTAL COBERTURA]]</f>
        <v>888136</v>
      </c>
      <c r="AN63" s="35">
        <f>VLOOKUP(Tabla4[[#This Row],[SERVICIO 2025]],$J$2:$V$14,6,0)*Tabla4[[#This Row],[TOTAL COBERTURA]]</f>
        <v>718979</v>
      </c>
      <c r="AO63" s="35">
        <f>VLOOKUP(Tabla4[[#This Row],[SERVICIO 2025]],$J$2:$V$14,8,0)*Tabla4[[#This Row],[TOTAL COBERTURA]]</f>
        <v>0</v>
      </c>
      <c r="AP63" s="35">
        <f>VLOOKUP(Tabla4[[#This Row],[SERVICIO 2025]],$J$2:$V$14,3,0)*Tabla4[[#This Row],[TOTAL COBERTURA]]*8</f>
        <v>27259680</v>
      </c>
      <c r="AQ63" s="35"/>
      <c r="AR63" s="35">
        <f>Tabla4[[#This Row],[VALOR FASE PREPARATORIA DE ALISTAMIENTO]]+Tabla4[[#This Row],[VALOR FASE PREPARATORIA DE CIERRE]]+Tabla4[[#This Row],[DOTACIÓN ÚNICA]]+Tabla4[[#This Row],[VALOR ATENCIÓN]]+Tabla4[[#This Row],[VALOR RACION PREPARADA]]</f>
        <v>28866795</v>
      </c>
      <c r="AS63" s="35" t="str">
        <f>+IF(Tabla4[[#This Row],[AGRUPACIONES]]=1,SUMIFS(Tabla4[VALOR TOTAL],Tabla4[ZONA DEFINITIVO],Tabla4[[#This Row],[ZONA DEFINITIVO]])," ")</f>
        <v xml:space="preserve"> </v>
      </c>
      <c r="AT63" s="27">
        <f>(VLOOKUP(Tabla4[[#This Row],[SERVICIO 2025]],$J$2:$V$14,3,0)*Tabla4[[#This Row],[TOTAL COBERTURA]])+Tabla4[[#This Row],[VALOR FASE PREPARATORIA DE ALISTAMIENTO]]+Tabla4[[#This Row],[DOTACIÓN ÚNICA]]</f>
        <v>4295596</v>
      </c>
      <c r="AU63" s="35">
        <f>(VLOOKUP(Tabla4[[#This Row],[SERVICIO 2025]],$J$2:$V$14,3,0)*Tabla4[[#This Row],[TOTAL COBERTURA]])</f>
        <v>3407460</v>
      </c>
      <c r="AV63" s="35">
        <f>(VLOOKUP(Tabla4[[#This Row],[SERVICIO 2025]],$J$2:$V$14,3,0)*Tabla4[[#This Row],[TOTAL COBERTURA]])</f>
        <v>3407460</v>
      </c>
      <c r="AW63" s="35">
        <f>(VLOOKUP(Tabla4[[#This Row],[SERVICIO 2025]],$J$2:$V$14,3,0)*Tabla4[[#This Row],[TOTAL COBERTURA]])</f>
        <v>3407460</v>
      </c>
      <c r="AX63" s="35">
        <f>(VLOOKUP(Tabla4[[#This Row],[SERVICIO 2025]],$J$2:$V$14,3,0)*Tabla4[[#This Row],[TOTAL COBERTURA]])</f>
        <v>3407460</v>
      </c>
      <c r="AY63" s="35">
        <f>(VLOOKUP(Tabla4[[#This Row],[SERVICIO 2025]],$J$2:$V$14,3,0)*Tabla4[[#This Row],[TOTAL COBERTURA]])</f>
        <v>3407460</v>
      </c>
      <c r="AZ63" s="35">
        <f>(VLOOKUP(Tabla4[[#This Row],[SERVICIO 2025]],$J$2:$V$14,3,0)*Tabla4[[#This Row],[TOTAL COBERTURA]])</f>
        <v>3407460</v>
      </c>
      <c r="BA63" s="35">
        <f>(VLOOKUP(Tabla4[[#This Row],[SERVICIO 2025]],$J$2:$V$14,3,0)*Tabla4[[#This Row],[TOTAL COBERTURA]])+Tabla4[[#This Row],[VALOR FASE PREPARATORIA DE CIERRE]]</f>
        <v>4126439</v>
      </c>
      <c r="BB63" s="35">
        <f>SUM(Tabla4[[#This Row],[DESEMBOLSO 1]:[DESEMBOLSO 8]])</f>
        <v>28866795</v>
      </c>
      <c r="BC63" s="35">
        <f>VLOOKUP(Tabla4[[#This Row],[SERVICIO 2025]],$J$2:$V$14,10,0)*Tabla4[[#This Row],[TOTAL COBERTURA]]*$W$3</f>
        <v>28624792</v>
      </c>
      <c r="BD63" s="47" t="s">
        <v>211</v>
      </c>
      <c r="BE63" s="12" t="b">
        <f>EXACT(Tabla4[[#This Row],[VALOR ATENCIÓN (8 MESES)]],Tabla4[[#This Row],[VALOR TOTAL]])</f>
        <v>1</v>
      </c>
      <c r="BF63" s="23">
        <f>Tabla4[[#This Row],[VALOR ATENCIÓN (8 MESES)]]-Tabla4[[#This Row],[VALOR TOTAL]]</f>
        <v>0</v>
      </c>
      <c r="BG63" s="12" t="b">
        <f>EXACT(Tabla4[[#This Row],[TOTAL DESEMBOLSOS]],Tabla4[[#This Row],[VALOR ATENCIÓN (8 MESES)]])</f>
        <v>1</v>
      </c>
      <c r="BH63" s="29">
        <f>Tabla4[[#This Row],[TOTAL DESEMBOLSOS]]-Tabla4[[#This Row],[VALOR ATENCIÓN (8 MESES)]]</f>
        <v>0</v>
      </c>
      <c r="BI63" t="s">
        <v>98</v>
      </c>
      <c r="BJ63">
        <v>1890</v>
      </c>
    </row>
    <row r="64" spans="1:62">
      <c r="A64" s="13">
        <v>1890</v>
      </c>
      <c r="B64" s="13" t="s">
        <v>204</v>
      </c>
      <c r="C64" s="12" t="s">
        <v>87</v>
      </c>
      <c r="D64" s="12" t="s">
        <v>205</v>
      </c>
      <c r="E64" s="12" t="s">
        <v>206</v>
      </c>
      <c r="F64" s="12" t="s">
        <v>21</v>
      </c>
      <c r="G64" s="12" t="s">
        <v>90</v>
      </c>
      <c r="H64" s="12" t="s">
        <v>224</v>
      </c>
      <c r="I64" s="12">
        <v>51011134626</v>
      </c>
      <c r="J64" s="12" t="s">
        <v>225</v>
      </c>
      <c r="K64" s="12">
        <v>1</v>
      </c>
      <c r="L64" s="12">
        <v>20</v>
      </c>
      <c r="M64" s="12"/>
      <c r="N64" s="13">
        <v>1890</v>
      </c>
      <c r="O64" s="12" t="s">
        <v>93</v>
      </c>
      <c r="P64" s="12"/>
      <c r="Q64" s="12"/>
      <c r="R64" s="12" t="s">
        <v>94</v>
      </c>
      <c r="S64" s="12">
        <v>10</v>
      </c>
      <c r="T64" s="12" t="s">
        <v>209</v>
      </c>
      <c r="U64" s="12" t="s">
        <v>210</v>
      </c>
      <c r="V64" s="12">
        <f>VLOOKUP(Tabla4[[#This Row],[ZONA DEFINITIVO]],Hoja1!$A$1:$D$121,3,0)</f>
        <v>228990</v>
      </c>
      <c r="W64" s="12">
        <f>VLOOKUP(Tabla4[[#This Row],[ZONA DEFINITIVO]],Hoja1!$A$1:$D$121,2,0)</f>
        <v>15150</v>
      </c>
      <c r="X64" s="12">
        <f>VLOOKUP(Tabla4[[#This Row],[ZONA DEFINITIVO]],Hoja1!$A$1:$D$121,4,0)</f>
        <v>90625</v>
      </c>
      <c r="Y64" s="12" t="str">
        <f>+IF(Tabla4[[#This Row],[AGRUPACIONES]]=1,SUMIFS(Tabla4[UDS],Tabla4[ZONA DEFINITIVO],Tabla4[[#This Row],[ZONA DEFINITIVO]])," ")</f>
        <v xml:space="preserve"> </v>
      </c>
      <c r="Z64" s="12" t="str">
        <f>+IF(Tabla4[[#This Row],[AGRUPACIONES]]=1,SUMIFS(Tabla4[TOTAL COBERTURA],Tabla4[ZONA DEFINITIVO],Tabla4[[#This Row],[ZONA DEFINITIVO]])," ")</f>
        <v xml:space="preserve"> </v>
      </c>
      <c r="AA64" s="12"/>
      <c r="AB64" s="38">
        <v>30386100</v>
      </c>
      <c r="AC64" s="37">
        <v>0.02</v>
      </c>
      <c r="AD64" s="38">
        <f t="shared" si="1"/>
        <v>607722</v>
      </c>
      <c r="AE64" s="12"/>
      <c r="AF64" s="12">
        <f>COUNTIF($A$20:A64,A64)</f>
        <v>8</v>
      </c>
      <c r="AG64" s="38">
        <v>30386100</v>
      </c>
      <c r="AH64" s="38">
        <f>Tabla4[[#This Row],[VALOR CONTRAPARTIDA]]+Tabla4[[#This Row],[TOTAL APORTES ICBF]]</f>
        <v>30993822</v>
      </c>
      <c r="AI64" s="35"/>
      <c r="AJ64" s="38"/>
      <c r="AK64" s="38"/>
      <c r="AL64" s="23"/>
      <c r="AM64" s="35">
        <f>VLOOKUP(Tabla4[[#This Row],[SERVICIO 2025]],$J$2:$V$14,5,0)*Tabla4[[#This Row],[TOTAL COBERTURA]]</f>
        <v>934880</v>
      </c>
      <c r="AN64" s="35">
        <f>VLOOKUP(Tabla4[[#This Row],[SERVICIO 2025]],$J$2:$V$14,6,0)*Tabla4[[#This Row],[TOTAL COBERTURA]]</f>
        <v>756820</v>
      </c>
      <c r="AO64" s="35">
        <f>VLOOKUP(Tabla4[[#This Row],[SERVICIO 2025]],$J$2:$V$14,8,0)*Tabla4[[#This Row],[TOTAL COBERTURA]]</f>
        <v>0</v>
      </c>
      <c r="AP64" s="35">
        <f>VLOOKUP(Tabla4[[#This Row],[SERVICIO 2025]],$J$2:$V$14,3,0)*Tabla4[[#This Row],[TOTAL COBERTURA]]*8</f>
        <v>28694400</v>
      </c>
      <c r="AQ64" s="35"/>
      <c r="AR64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64" s="35" t="str">
        <f>+IF(Tabla4[[#This Row],[AGRUPACIONES]]=1,SUMIFS(Tabla4[VALOR TOTAL],Tabla4[ZONA DEFINITIVO],Tabla4[[#This Row],[ZONA DEFINITIVO]])," ")</f>
        <v xml:space="preserve"> </v>
      </c>
      <c r="AT64" s="27">
        <f>(VLOOKUP(Tabla4[[#This Row],[SERVICIO 2025]],$J$2:$V$14,3,0)*Tabla4[[#This Row],[TOTAL COBERTURA]])+Tabla4[[#This Row],[VALOR FASE PREPARATORIA DE ALISTAMIENTO]]+Tabla4[[#This Row],[DOTACIÓN ÚNICA]]</f>
        <v>4521680</v>
      </c>
      <c r="AU64" s="35">
        <f>(VLOOKUP(Tabla4[[#This Row],[SERVICIO 2025]],$J$2:$V$14,3,0)*Tabla4[[#This Row],[TOTAL COBERTURA]])</f>
        <v>3586800</v>
      </c>
      <c r="AV64" s="35">
        <f>(VLOOKUP(Tabla4[[#This Row],[SERVICIO 2025]],$J$2:$V$14,3,0)*Tabla4[[#This Row],[TOTAL COBERTURA]])</f>
        <v>3586800</v>
      </c>
      <c r="AW64" s="35">
        <f>(VLOOKUP(Tabla4[[#This Row],[SERVICIO 2025]],$J$2:$V$14,3,0)*Tabla4[[#This Row],[TOTAL COBERTURA]])</f>
        <v>3586800</v>
      </c>
      <c r="AX64" s="35">
        <f>(VLOOKUP(Tabla4[[#This Row],[SERVICIO 2025]],$J$2:$V$14,3,0)*Tabla4[[#This Row],[TOTAL COBERTURA]])</f>
        <v>3586800</v>
      </c>
      <c r="AY64" s="35">
        <f>(VLOOKUP(Tabla4[[#This Row],[SERVICIO 2025]],$J$2:$V$14,3,0)*Tabla4[[#This Row],[TOTAL COBERTURA]])</f>
        <v>3586800</v>
      </c>
      <c r="AZ64" s="35">
        <f>(VLOOKUP(Tabla4[[#This Row],[SERVICIO 2025]],$J$2:$V$14,3,0)*Tabla4[[#This Row],[TOTAL COBERTURA]])</f>
        <v>3586800</v>
      </c>
      <c r="BA64" s="35">
        <f>(VLOOKUP(Tabla4[[#This Row],[SERVICIO 2025]],$J$2:$V$14,3,0)*Tabla4[[#This Row],[TOTAL COBERTURA]])+Tabla4[[#This Row],[VALOR FASE PREPARATORIA DE CIERRE]]</f>
        <v>4343620</v>
      </c>
      <c r="BB64" s="35">
        <f>SUM(Tabla4[[#This Row],[DESEMBOLSO 1]:[DESEMBOLSO 8]])</f>
        <v>30386100</v>
      </c>
      <c r="BC64" s="35">
        <f>VLOOKUP(Tabla4[[#This Row],[SERVICIO 2025]],$J$2:$V$14,10,0)*Tabla4[[#This Row],[TOTAL COBERTURA]]*$W$3</f>
        <v>30131360</v>
      </c>
      <c r="BD64" s="47" t="s">
        <v>211</v>
      </c>
      <c r="BE64" s="12" t="b">
        <f>EXACT(Tabla4[[#This Row],[VALOR ATENCIÓN (8 MESES)]],Tabla4[[#This Row],[VALOR TOTAL]])</f>
        <v>1</v>
      </c>
      <c r="BF64" s="23">
        <f>Tabla4[[#This Row],[VALOR ATENCIÓN (8 MESES)]]-Tabla4[[#This Row],[VALOR TOTAL]]</f>
        <v>0</v>
      </c>
      <c r="BG64" s="12" t="b">
        <f>EXACT(Tabla4[[#This Row],[TOTAL DESEMBOLSOS]],Tabla4[[#This Row],[VALOR ATENCIÓN (8 MESES)]])</f>
        <v>1</v>
      </c>
      <c r="BH64" s="29">
        <f>Tabla4[[#This Row],[TOTAL DESEMBOLSOS]]-Tabla4[[#This Row],[VALOR ATENCIÓN (8 MESES)]]</f>
        <v>0</v>
      </c>
      <c r="BI64" t="s">
        <v>98</v>
      </c>
      <c r="BJ64">
        <v>1890</v>
      </c>
    </row>
    <row r="65" spans="1:62">
      <c r="A65" s="13">
        <v>1890</v>
      </c>
      <c r="B65" s="13" t="s">
        <v>204</v>
      </c>
      <c r="C65" s="12" t="s">
        <v>87</v>
      </c>
      <c r="D65" s="12" t="s">
        <v>205</v>
      </c>
      <c r="E65" s="12" t="s">
        <v>206</v>
      </c>
      <c r="F65" s="12" t="s">
        <v>21</v>
      </c>
      <c r="G65" s="12" t="s">
        <v>90</v>
      </c>
      <c r="H65" s="12" t="s">
        <v>226</v>
      </c>
      <c r="I65" s="12">
        <v>51011134646</v>
      </c>
      <c r="J65" s="12" t="s">
        <v>227</v>
      </c>
      <c r="K65" s="12">
        <v>1</v>
      </c>
      <c r="L65" s="12">
        <v>29</v>
      </c>
      <c r="M65" s="12"/>
      <c r="N65" s="13">
        <v>1890</v>
      </c>
      <c r="O65" s="12" t="s">
        <v>93</v>
      </c>
      <c r="P65" s="12"/>
      <c r="Q65" s="12"/>
      <c r="R65" s="12" t="s">
        <v>94</v>
      </c>
      <c r="S65" s="12">
        <v>10</v>
      </c>
      <c r="T65" s="12" t="s">
        <v>209</v>
      </c>
      <c r="U65" s="12" t="s">
        <v>210</v>
      </c>
      <c r="V65" s="12">
        <f>VLOOKUP(Tabla4[[#This Row],[ZONA DEFINITIVO]],Hoja1!$A$1:$D$121,3,0)</f>
        <v>228990</v>
      </c>
      <c r="W65" s="12">
        <f>VLOOKUP(Tabla4[[#This Row],[ZONA DEFINITIVO]],Hoja1!$A$1:$D$121,2,0)</f>
        <v>15150</v>
      </c>
      <c r="X65" s="12">
        <f>VLOOKUP(Tabla4[[#This Row],[ZONA DEFINITIVO]],Hoja1!$A$1:$D$121,4,0)</f>
        <v>90625</v>
      </c>
      <c r="Y65" s="12" t="str">
        <f>+IF(Tabla4[[#This Row],[AGRUPACIONES]]=1,SUMIFS(Tabla4[UDS],Tabla4[ZONA DEFINITIVO],Tabla4[[#This Row],[ZONA DEFINITIVO]])," ")</f>
        <v xml:space="preserve"> </v>
      </c>
      <c r="Z65" s="12" t="str">
        <f>+IF(Tabla4[[#This Row],[AGRUPACIONES]]=1,SUMIFS(Tabla4[TOTAL COBERTURA],Tabla4[ZONA DEFINITIVO],Tabla4[[#This Row],[ZONA DEFINITIVO]])," ")</f>
        <v xml:space="preserve"> </v>
      </c>
      <c r="AA65" s="12"/>
      <c r="AB65" s="38">
        <v>44059845</v>
      </c>
      <c r="AC65" s="37">
        <v>0.02</v>
      </c>
      <c r="AD65" s="38">
        <f t="shared" si="1"/>
        <v>881196.9</v>
      </c>
      <c r="AE65" s="12"/>
      <c r="AF65" s="12">
        <f>COUNTIF($A$20:A65,A65)</f>
        <v>9</v>
      </c>
      <c r="AG65" s="38">
        <v>44059845</v>
      </c>
      <c r="AH65" s="38">
        <f>Tabla4[[#This Row],[VALOR CONTRAPARTIDA]]+Tabla4[[#This Row],[TOTAL APORTES ICBF]]</f>
        <v>44941041.899999999</v>
      </c>
      <c r="AI65" s="35"/>
      <c r="AJ65" s="38"/>
      <c r="AK65" s="38"/>
      <c r="AL65" s="23"/>
      <c r="AM65" s="35">
        <f>VLOOKUP(Tabla4[[#This Row],[SERVICIO 2025]],$J$2:$V$14,5,0)*Tabla4[[#This Row],[TOTAL COBERTURA]]</f>
        <v>1355576</v>
      </c>
      <c r="AN65" s="35">
        <f>VLOOKUP(Tabla4[[#This Row],[SERVICIO 2025]],$J$2:$V$14,6,0)*Tabla4[[#This Row],[TOTAL COBERTURA]]</f>
        <v>1097389</v>
      </c>
      <c r="AO65" s="35">
        <f>VLOOKUP(Tabla4[[#This Row],[SERVICIO 2025]],$J$2:$V$14,8,0)*Tabla4[[#This Row],[TOTAL COBERTURA]]</f>
        <v>0</v>
      </c>
      <c r="AP65" s="35">
        <f>VLOOKUP(Tabla4[[#This Row],[SERVICIO 2025]],$J$2:$V$14,3,0)*Tabla4[[#This Row],[TOTAL COBERTURA]]*8</f>
        <v>41606880</v>
      </c>
      <c r="AQ65" s="35"/>
      <c r="AR65" s="35">
        <f>Tabla4[[#This Row],[VALOR FASE PREPARATORIA DE ALISTAMIENTO]]+Tabla4[[#This Row],[VALOR FASE PREPARATORIA DE CIERRE]]+Tabla4[[#This Row],[DOTACIÓN ÚNICA]]+Tabla4[[#This Row],[VALOR ATENCIÓN]]+Tabla4[[#This Row],[VALOR RACION PREPARADA]]</f>
        <v>44059845</v>
      </c>
      <c r="AS65" s="35" t="str">
        <f>+IF(Tabla4[[#This Row],[AGRUPACIONES]]=1,SUMIFS(Tabla4[VALOR TOTAL],Tabla4[ZONA DEFINITIVO],Tabla4[[#This Row],[ZONA DEFINITIVO]])," ")</f>
        <v xml:space="preserve"> </v>
      </c>
      <c r="AT65" s="27">
        <f>(VLOOKUP(Tabla4[[#This Row],[SERVICIO 2025]],$J$2:$V$14,3,0)*Tabla4[[#This Row],[TOTAL COBERTURA]])+Tabla4[[#This Row],[VALOR FASE PREPARATORIA DE ALISTAMIENTO]]+Tabla4[[#This Row],[DOTACIÓN ÚNICA]]</f>
        <v>6556436</v>
      </c>
      <c r="AU65" s="35">
        <f>(VLOOKUP(Tabla4[[#This Row],[SERVICIO 2025]],$J$2:$V$14,3,0)*Tabla4[[#This Row],[TOTAL COBERTURA]])</f>
        <v>5200860</v>
      </c>
      <c r="AV65" s="35">
        <f>(VLOOKUP(Tabla4[[#This Row],[SERVICIO 2025]],$J$2:$V$14,3,0)*Tabla4[[#This Row],[TOTAL COBERTURA]])</f>
        <v>5200860</v>
      </c>
      <c r="AW65" s="35">
        <f>(VLOOKUP(Tabla4[[#This Row],[SERVICIO 2025]],$J$2:$V$14,3,0)*Tabla4[[#This Row],[TOTAL COBERTURA]])</f>
        <v>5200860</v>
      </c>
      <c r="AX65" s="35">
        <f>(VLOOKUP(Tabla4[[#This Row],[SERVICIO 2025]],$J$2:$V$14,3,0)*Tabla4[[#This Row],[TOTAL COBERTURA]])</f>
        <v>5200860</v>
      </c>
      <c r="AY65" s="35">
        <f>(VLOOKUP(Tabla4[[#This Row],[SERVICIO 2025]],$J$2:$V$14,3,0)*Tabla4[[#This Row],[TOTAL COBERTURA]])</f>
        <v>5200860</v>
      </c>
      <c r="AZ65" s="35">
        <f>(VLOOKUP(Tabla4[[#This Row],[SERVICIO 2025]],$J$2:$V$14,3,0)*Tabla4[[#This Row],[TOTAL COBERTURA]])</f>
        <v>5200860</v>
      </c>
      <c r="BA65" s="35">
        <f>(VLOOKUP(Tabla4[[#This Row],[SERVICIO 2025]],$J$2:$V$14,3,0)*Tabla4[[#This Row],[TOTAL COBERTURA]])+Tabla4[[#This Row],[VALOR FASE PREPARATORIA DE CIERRE]]</f>
        <v>6298249</v>
      </c>
      <c r="BB65" s="35">
        <f>SUM(Tabla4[[#This Row],[DESEMBOLSO 1]:[DESEMBOLSO 8]])</f>
        <v>44059845</v>
      </c>
      <c r="BC65" s="35">
        <f>VLOOKUP(Tabla4[[#This Row],[SERVICIO 2025]],$J$2:$V$14,10,0)*Tabla4[[#This Row],[TOTAL COBERTURA]]*$W$3</f>
        <v>43690472</v>
      </c>
      <c r="BD65" s="47" t="s">
        <v>211</v>
      </c>
      <c r="BE65" s="12" t="b">
        <f>EXACT(Tabla4[[#This Row],[VALOR ATENCIÓN (8 MESES)]],Tabla4[[#This Row],[VALOR TOTAL]])</f>
        <v>1</v>
      </c>
      <c r="BF65" s="23">
        <f>Tabla4[[#This Row],[VALOR ATENCIÓN (8 MESES)]]-Tabla4[[#This Row],[VALOR TOTAL]]</f>
        <v>0</v>
      </c>
      <c r="BG65" s="12" t="b">
        <f>EXACT(Tabla4[[#This Row],[TOTAL DESEMBOLSOS]],Tabla4[[#This Row],[VALOR ATENCIÓN (8 MESES)]])</f>
        <v>1</v>
      </c>
      <c r="BH65" s="29">
        <f>Tabla4[[#This Row],[TOTAL DESEMBOLSOS]]-Tabla4[[#This Row],[VALOR ATENCIÓN (8 MESES)]]</f>
        <v>0</v>
      </c>
      <c r="BI65" t="s">
        <v>98</v>
      </c>
      <c r="BJ65">
        <v>1890</v>
      </c>
    </row>
    <row r="66" spans="1:62">
      <c r="A66" s="13">
        <v>1890</v>
      </c>
      <c r="B66" s="13" t="s">
        <v>204</v>
      </c>
      <c r="C66" s="12" t="s">
        <v>87</v>
      </c>
      <c r="D66" s="12" t="s">
        <v>205</v>
      </c>
      <c r="E66" s="12" t="s">
        <v>206</v>
      </c>
      <c r="F66" s="12" t="s">
        <v>21</v>
      </c>
      <c r="G66" s="12" t="s">
        <v>90</v>
      </c>
      <c r="H66" s="12" t="s">
        <v>228</v>
      </c>
      <c r="I66" s="12">
        <v>51011134705</v>
      </c>
      <c r="J66" s="12" t="s">
        <v>229</v>
      </c>
      <c r="K66" s="12">
        <v>1</v>
      </c>
      <c r="L66" s="12">
        <v>48</v>
      </c>
      <c r="M66" s="12"/>
      <c r="N66" s="13">
        <v>1890</v>
      </c>
      <c r="O66" s="12" t="s">
        <v>93</v>
      </c>
      <c r="P66" s="12"/>
      <c r="Q66" s="12"/>
      <c r="R66" s="12" t="s">
        <v>94</v>
      </c>
      <c r="S66" s="12">
        <v>10</v>
      </c>
      <c r="T66" s="12" t="s">
        <v>209</v>
      </c>
      <c r="U66" s="12" t="s">
        <v>210</v>
      </c>
      <c r="V66" s="12">
        <f>VLOOKUP(Tabla4[[#This Row],[ZONA DEFINITIVO]],Hoja1!$A$1:$D$121,3,0)</f>
        <v>228990</v>
      </c>
      <c r="W66" s="12">
        <f>VLOOKUP(Tabla4[[#This Row],[ZONA DEFINITIVO]],Hoja1!$A$1:$D$121,2,0)</f>
        <v>15150</v>
      </c>
      <c r="X66" s="12">
        <f>VLOOKUP(Tabla4[[#This Row],[ZONA DEFINITIVO]],Hoja1!$A$1:$D$121,4,0)</f>
        <v>90625</v>
      </c>
      <c r="Y66" s="12" t="str">
        <f>+IF(Tabla4[[#This Row],[AGRUPACIONES]]=1,SUMIFS(Tabla4[UDS],Tabla4[ZONA DEFINITIVO],Tabla4[[#This Row],[ZONA DEFINITIVO]])," ")</f>
        <v xml:space="preserve"> </v>
      </c>
      <c r="Z66" s="12" t="str">
        <f>+IF(Tabla4[[#This Row],[AGRUPACIONES]]=1,SUMIFS(Tabla4[TOTAL COBERTURA],Tabla4[ZONA DEFINITIVO],Tabla4[[#This Row],[ZONA DEFINITIVO]])," ")</f>
        <v xml:space="preserve"> </v>
      </c>
      <c r="AA66" s="12"/>
      <c r="AB66" s="38">
        <v>72926640</v>
      </c>
      <c r="AC66" s="37">
        <v>0.02</v>
      </c>
      <c r="AD66" s="38">
        <f t="shared" si="1"/>
        <v>1458532.8</v>
      </c>
      <c r="AE66" s="12"/>
      <c r="AF66" s="12">
        <f>COUNTIF($A$20:A66,A66)</f>
        <v>10</v>
      </c>
      <c r="AG66" s="38">
        <v>72926640</v>
      </c>
      <c r="AH66" s="38">
        <f>Tabla4[[#This Row],[VALOR CONTRAPARTIDA]]+Tabla4[[#This Row],[TOTAL APORTES ICBF]]</f>
        <v>74385172.799999997</v>
      </c>
      <c r="AI66" s="35"/>
      <c r="AJ66" s="38"/>
      <c r="AK66" s="38"/>
      <c r="AL66" s="23"/>
      <c r="AM66" s="35">
        <f>VLOOKUP(Tabla4[[#This Row],[SERVICIO 2025]],$J$2:$V$14,5,0)*Tabla4[[#This Row],[TOTAL COBERTURA]]</f>
        <v>2243712</v>
      </c>
      <c r="AN66" s="35">
        <f>VLOOKUP(Tabla4[[#This Row],[SERVICIO 2025]],$J$2:$V$14,6,0)*Tabla4[[#This Row],[TOTAL COBERTURA]]</f>
        <v>1816368</v>
      </c>
      <c r="AO66" s="35">
        <f>VLOOKUP(Tabla4[[#This Row],[SERVICIO 2025]],$J$2:$V$14,8,0)*Tabla4[[#This Row],[TOTAL COBERTURA]]</f>
        <v>0</v>
      </c>
      <c r="AP66" s="35">
        <f>VLOOKUP(Tabla4[[#This Row],[SERVICIO 2025]],$J$2:$V$14,3,0)*Tabla4[[#This Row],[TOTAL COBERTURA]]*8</f>
        <v>68866560</v>
      </c>
      <c r="AQ66" s="35"/>
      <c r="AR66" s="35">
        <f>Tabla4[[#This Row],[VALOR FASE PREPARATORIA DE ALISTAMIENTO]]+Tabla4[[#This Row],[VALOR FASE PREPARATORIA DE CIERRE]]+Tabla4[[#This Row],[DOTACIÓN ÚNICA]]+Tabla4[[#This Row],[VALOR ATENCIÓN]]+Tabla4[[#This Row],[VALOR RACION PREPARADA]]</f>
        <v>72926640</v>
      </c>
      <c r="AS66" s="35" t="str">
        <f>+IF(Tabla4[[#This Row],[AGRUPACIONES]]=1,SUMIFS(Tabla4[VALOR TOTAL],Tabla4[ZONA DEFINITIVO],Tabla4[[#This Row],[ZONA DEFINITIVO]])," ")</f>
        <v xml:space="preserve"> </v>
      </c>
      <c r="AT66" s="27">
        <f>(VLOOKUP(Tabla4[[#This Row],[SERVICIO 2025]],$J$2:$V$14,3,0)*Tabla4[[#This Row],[TOTAL COBERTURA]])+Tabla4[[#This Row],[VALOR FASE PREPARATORIA DE ALISTAMIENTO]]+Tabla4[[#This Row],[DOTACIÓN ÚNICA]]</f>
        <v>10852032</v>
      </c>
      <c r="AU66" s="35">
        <f>(VLOOKUP(Tabla4[[#This Row],[SERVICIO 2025]],$J$2:$V$14,3,0)*Tabla4[[#This Row],[TOTAL COBERTURA]])</f>
        <v>8608320</v>
      </c>
      <c r="AV66" s="35">
        <f>(VLOOKUP(Tabla4[[#This Row],[SERVICIO 2025]],$J$2:$V$14,3,0)*Tabla4[[#This Row],[TOTAL COBERTURA]])</f>
        <v>8608320</v>
      </c>
      <c r="AW66" s="35">
        <f>(VLOOKUP(Tabla4[[#This Row],[SERVICIO 2025]],$J$2:$V$14,3,0)*Tabla4[[#This Row],[TOTAL COBERTURA]])</f>
        <v>8608320</v>
      </c>
      <c r="AX66" s="35">
        <f>(VLOOKUP(Tabla4[[#This Row],[SERVICIO 2025]],$J$2:$V$14,3,0)*Tabla4[[#This Row],[TOTAL COBERTURA]])</f>
        <v>8608320</v>
      </c>
      <c r="AY66" s="35">
        <f>(VLOOKUP(Tabla4[[#This Row],[SERVICIO 2025]],$J$2:$V$14,3,0)*Tabla4[[#This Row],[TOTAL COBERTURA]])</f>
        <v>8608320</v>
      </c>
      <c r="AZ66" s="35">
        <f>(VLOOKUP(Tabla4[[#This Row],[SERVICIO 2025]],$J$2:$V$14,3,0)*Tabla4[[#This Row],[TOTAL COBERTURA]])</f>
        <v>8608320</v>
      </c>
      <c r="BA66" s="35">
        <f>(VLOOKUP(Tabla4[[#This Row],[SERVICIO 2025]],$J$2:$V$14,3,0)*Tabla4[[#This Row],[TOTAL COBERTURA]])+Tabla4[[#This Row],[VALOR FASE PREPARATORIA DE CIERRE]]</f>
        <v>10424688</v>
      </c>
      <c r="BB66" s="35">
        <f>SUM(Tabla4[[#This Row],[DESEMBOLSO 1]:[DESEMBOLSO 8]])</f>
        <v>72926640</v>
      </c>
      <c r="BC66" s="35">
        <f>VLOOKUP(Tabla4[[#This Row],[SERVICIO 2025]],$J$2:$V$14,10,0)*Tabla4[[#This Row],[TOTAL COBERTURA]]*$W$3</f>
        <v>72315264</v>
      </c>
      <c r="BD66" s="47" t="s">
        <v>211</v>
      </c>
      <c r="BE66" s="12" t="b">
        <f>EXACT(Tabla4[[#This Row],[VALOR ATENCIÓN (8 MESES)]],Tabla4[[#This Row],[VALOR TOTAL]])</f>
        <v>1</v>
      </c>
      <c r="BF66" s="23">
        <f>Tabla4[[#This Row],[VALOR ATENCIÓN (8 MESES)]]-Tabla4[[#This Row],[VALOR TOTAL]]</f>
        <v>0</v>
      </c>
      <c r="BG66" s="12" t="b">
        <f>EXACT(Tabla4[[#This Row],[TOTAL DESEMBOLSOS]],Tabla4[[#This Row],[VALOR ATENCIÓN (8 MESES)]])</f>
        <v>1</v>
      </c>
      <c r="BH66" s="29">
        <f>Tabla4[[#This Row],[TOTAL DESEMBOLSOS]]-Tabla4[[#This Row],[VALOR ATENCIÓN (8 MESES)]]</f>
        <v>0</v>
      </c>
      <c r="BI66" t="s">
        <v>98</v>
      </c>
      <c r="BJ66">
        <v>1890</v>
      </c>
    </row>
    <row r="67" spans="1:62">
      <c r="A67" s="13">
        <v>1890</v>
      </c>
      <c r="B67" s="13" t="s">
        <v>204</v>
      </c>
      <c r="C67" s="12" t="s">
        <v>87</v>
      </c>
      <c r="D67" s="12" t="s">
        <v>205</v>
      </c>
      <c r="E67" s="12" t="s">
        <v>206</v>
      </c>
      <c r="F67" s="12" t="s">
        <v>21</v>
      </c>
      <c r="G67" s="12" t="s">
        <v>90</v>
      </c>
      <c r="H67" s="12" t="s">
        <v>230</v>
      </c>
      <c r="I67" s="12">
        <v>51011134738</v>
      </c>
      <c r="J67" s="12" t="s">
        <v>231</v>
      </c>
      <c r="K67" s="12">
        <v>1</v>
      </c>
      <c r="L67" s="12">
        <v>29</v>
      </c>
      <c r="M67" s="12"/>
      <c r="N67" s="13">
        <v>1890</v>
      </c>
      <c r="O67" s="12" t="s">
        <v>93</v>
      </c>
      <c r="P67" s="12"/>
      <c r="Q67" s="12"/>
      <c r="R67" s="12" t="s">
        <v>94</v>
      </c>
      <c r="S67" s="12">
        <v>10</v>
      </c>
      <c r="T67" s="12" t="s">
        <v>209</v>
      </c>
      <c r="U67" s="12" t="s">
        <v>210</v>
      </c>
      <c r="V67" s="12">
        <f>VLOOKUP(Tabla4[[#This Row],[ZONA DEFINITIVO]],Hoja1!$A$1:$D$121,3,0)</f>
        <v>228990</v>
      </c>
      <c r="W67" s="12">
        <f>VLOOKUP(Tabla4[[#This Row],[ZONA DEFINITIVO]],Hoja1!$A$1:$D$121,2,0)</f>
        <v>15150</v>
      </c>
      <c r="X67" s="12">
        <f>VLOOKUP(Tabla4[[#This Row],[ZONA DEFINITIVO]],Hoja1!$A$1:$D$121,4,0)</f>
        <v>90625</v>
      </c>
      <c r="Y67" s="12" t="str">
        <f>+IF(Tabla4[[#This Row],[AGRUPACIONES]]=1,SUMIFS(Tabla4[UDS],Tabla4[ZONA DEFINITIVO],Tabla4[[#This Row],[ZONA DEFINITIVO]])," ")</f>
        <v xml:space="preserve"> </v>
      </c>
      <c r="Z67" s="12" t="str">
        <f>+IF(Tabla4[[#This Row],[AGRUPACIONES]]=1,SUMIFS(Tabla4[TOTAL COBERTURA],Tabla4[ZONA DEFINITIVO],Tabla4[[#This Row],[ZONA DEFINITIVO]])," ")</f>
        <v xml:space="preserve"> </v>
      </c>
      <c r="AA67" s="12"/>
      <c r="AB67" s="38">
        <v>44059845</v>
      </c>
      <c r="AC67" s="37">
        <v>0.02</v>
      </c>
      <c r="AD67" s="38">
        <f t="shared" si="1"/>
        <v>881196.9</v>
      </c>
      <c r="AE67" s="12"/>
      <c r="AF67" s="12">
        <f>COUNTIF($A$20:A67,A67)</f>
        <v>11</v>
      </c>
      <c r="AG67" s="38">
        <v>44059845</v>
      </c>
      <c r="AH67" s="38">
        <f>Tabla4[[#This Row],[VALOR CONTRAPARTIDA]]+Tabla4[[#This Row],[TOTAL APORTES ICBF]]</f>
        <v>44941041.899999999</v>
      </c>
      <c r="AI67" s="35"/>
      <c r="AJ67" s="38"/>
      <c r="AK67" s="38"/>
      <c r="AL67" s="23"/>
      <c r="AM67" s="35">
        <f>VLOOKUP(Tabla4[[#This Row],[SERVICIO 2025]],$J$2:$V$14,5,0)*Tabla4[[#This Row],[TOTAL COBERTURA]]</f>
        <v>1355576</v>
      </c>
      <c r="AN67" s="35">
        <f>VLOOKUP(Tabla4[[#This Row],[SERVICIO 2025]],$J$2:$V$14,6,0)*Tabla4[[#This Row],[TOTAL COBERTURA]]</f>
        <v>1097389</v>
      </c>
      <c r="AO67" s="35">
        <f>VLOOKUP(Tabla4[[#This Row],[SERVICIO 2025]],$J$2:$V$14,8,0)*Tabla4[[#This Row],[TOTAL COBERTURA]]</f>
        <v>0</v>
      </c>
      <c r="AP67" s="35">
        <f>VLOOKUP(Tabla4[[#This Row],[SERVICIO 2025]],$J$2:$V$14,3,0)*Tabla4[[#This Row],[TOTAL COBERTURA]]*8</f>
        <v>41606880</v>
      </c>
      <c r="AQ67" s="35"/>
      <c r="AR67" s="35">
        <f>Tabla4[[#This Row],[VALOR FASE PREPARATORIA DE ALISTAMIENTO]]+Tabla4[[#This Row],[VALOR FASE PREPARATORIA DE CIERRE]]+Tabla4[[#This Row],[DOTACIÓN ÚNICA]]+Tabla4[[#This Row],[VALOR ATENCIÓN]]+Tabla4[[#This Row],[VALOR RACION PREPARADA]]</f>
        <v>44059845</v>
      </c>
      <c r="AS67" s="35" t="str">
        <f>+IF(Tabla4[[#This Row],[AGRUPACIONES]]=1,SUMIFS(Tabla4[VALOR TOTAL],Tabla4[ZONA DEFINITIVO],Tabla4[[#This Row],[ZONA DEFINITIVO]])," ")</f>
        <v xml:space="preserve"> </v>
      </c>
      <c r="AT67" s="27">
        <f>(VLOOKUP(Tabla4[[#This Row],[SERVICIO 2025]],$J$2:$V$14,3,0)*Tabla4[[#This Row],[TOTAL COBERTURA]])+Tabla4[[#This Row],[VALOR FASE PREPARATORIA DE ALISTAMIENTO]]+Tabla4[[#This Row],[DOTACIÓN ÚNICA]]</f>
        <v>6556436</v>
      </c>
      <c r="AU67" s="35">
        <f>(VLOOKUP(Tabla4[[#This Row],[SERVICIO 2025]],$J$2:$V$14,3,0)*Tabla4[[#This Row],[TOTAL COBERTURA]])</f>
        <v>5200860</v>
      </c>
      <c r="AV67" s="35">
        <f>(VLOOKUP(Tabla4[[#This Row],[SERVICIO 2025]],$J$2:$V$14,3,0)*Tabla4[[#This Row],[TOTAL COBERTURA]])</f>
        <v>5200860</v>
      </c>
      <c r="AW67" s="35">
        <f>(VLOOKUP(Tabla4[[#This Row],[SERVICIO 2025]],$J$2:$V$14,3,0)*Tabla4[[#This Row],[TOTAL COBERTURA]])</f>
        <v>5200860</v>
      </c>
      <c r="AX67" s="35">
        <f>(VLOOKUP(Tabla4[[#This Row],[SERVICIO 2025]],$J$2:$V$14,3,0)*Tabla4[[#This Row],[TOTAL COBERTURA]])</f>
        <v>5200860</v>
      </c>
      <c r="AY67" s="35">
        <f>(VLOOKUP(Tabla4[[#This Row],[SERVICIO 2025]],$J$2:$V$14,3,0)*Tabla4[[#This Row],[TOTAL COBERTURA]])</f>
        <v>5200860</v>
      </c>
      <c r="AZ67" s="35">
        <f>(VLOOKUP(Tabla4[[#This Row],[SERVICIO 2025]],$J$2:$V$14,3,0)*Tabla4[[#This Row],[TOTAL COBERTURA]])</f>
        <v>5200860</v>
      </c>
      <c r="BA67" s="35">
        <f>(VLOOKUP(Tabla4[[#This Row],[SERVICIO 2025]],$J$2:$V$14,3,0)*Tabla4[[#This Row],[TOTAL COBERTURA]])+Tabla4[[#This Row],[VALOR FASE PREPARATORIA DE CIERRE]]</f>
        <v>6298249</v>
      </c>
      <c r="BB67" s="35">
        <f>SUM(Tabla4[[#This Row],[DESEMBOLSO 1]:[DESEMBOLSO 8]])</f>
        <v>44059845</v>
      </c>
      <c r="BC67" s="35">
        <f>VLOOKUP(Tabla4[[#This Row],[SERVICIO 2025]],$J$2:$V$14,10,0)*Tabla4[[#This Row],[TOTAL COBERTURA]]*$W$3</f>
        <v>43690472</v>
      </c>
      <c r="BD67" s="47" t="s">
        <v>211</v>
      </c>
      <c r="BE67" s="12" t="b">
        <f>EXACT(Tabla4[[#This Row],[VALOR ATENCIÓN (8 MESES)]],Tabla4[[#This Row],[VALOR TOTAL]])</f>
        <v>1</v>
      </c>
      <c r="BF67" s="23">
        <f>Tabla4[[#This Row],[VALOR ATENCIÓN (8 MESES)]]-Tabla4[[#This Row],[VALOR TOTAL]]</f>
        <v>0</v>
      </c>
      <c r="BG67" s="12" t="b">
        <f>EXACT(Tabla4[[#This Row],[TOTAL DESEMBOLSOS]],Tabla4[[#This Row],[VALOR ATENCIÓN (8 MESES)]])</f>
        <v>1</v>
      </c>
      <c r="BH67" s="29">
        <f>Tabla4[[#This Row],[TOTAL DESEMBOLSOS]]-Tabla4[[#This Row],[VALOR ATENCIÓN (8 MESES)]]</f>
        <v>0</v>
      </c>
      <c r="BI67" t="s">
        <v>98</v>
      </c>
      <c r="BJ67">
        <v>1890</v>
      </c>
    </row>
    <row r="68" spans="1:62">
      <c r="A68" s="13">
        <v>1890</v>
      </c>
      <c r="B68" s="13" t="s">
        <v>204</v>
      </c>
      <c r="C68" s="12" t="s">
        <v>87</v>
      </c>
      <c r="D68" s="12" t="s">
        <v>205</v>
      </c>
      <c r="E68" s="12" t="s">
        <v>206</v>
      </c>
      <c r="F68" s="12" t="s">
        <v>21</v>
      </c>
      <c r="G68" s="12" t="s">
        <v>90</v>
      </c>
      <c r="H68" s="12" t="s">
        <v>232</v>
      </c>
      <c r="I68" s="12">
        <v>51011134745</v>
      </c>
      <c r="J68" s="12" t="s">
        <v>233</v>
      </c>
      <c r="K68" s="12">
        <v>1</v>
      </c>
      <c r="L68" s="12">
        <v>12</v>
      </c>
      <c r="M68" s="12"/>
      <c r="N68" s="13">
        <v>1890</v>
      </c>
      <c r="O68" s="12" t="s">
        <v>93</v>
      </c>
      <c r="P68" s="12"/>
      <c r="Q68" s="12"/>
      <c r="R68" s="12" t="s">
        <v>94</v>
      </c>
      <c r="S68" s="12">
        <v>10</v>
      </c>
      <c r="T68" s="12" t="s">
        <v>209</v>
      </c>
      <c r="U68" s="12" t="s">
        <v>210</v>
      </c>
      <c r="V68" s="12">
        <f>VLOOKUP(Tabla4[[#This Row],[ZONA DEFINITIVO]],Hoja1!$A$1:$D$121,3,0)</f>
        <v>228990</v>
      </c>
      <c r="W68" s="12">
        <f>VLOOKUP(Tabla4[[#This Row],[ZONA DEFINITIVO]],Hoja1!$A$1:$D$121,2,0)</f>
        <v>15150</v>
      </c>
      <c r="X68" s="12">
        <f>VLOOKUP(Tabla4[[#This Row],[ZONA DEFINITIVO]],Hoja1!$A$1:$D$121,4,0)</f>
        <v>90625</v>
      </c>
      <c r="Y68" s="12" t="str">
        <f>+IF(Tabla4[[#This Row],[AGRUPACIONES]]=1,SUMIFS(Tabla4[UDS],Tabla4[ZONA DEFINITIVO],Tabla4[[#This Row],[ZONA DEFINITIVO]])," ")</f>
        <v xml:space="preserve"> </v>
      </c>
      <c r="Z68" s="12" t="str">
        <f>+IF(Tabla4[[#This Row],[AGRUPACIONES]]=1,SUMIFS(Tabla4[TOTAL COBERTURA],Tabla4[ZONA DEFINITIVO],Tabla4[[#This Row],[ZONA DEFINITIVO]])," ")</f>
        <v xml:space="preserve"> </v>
      </c>
      <c r="AA68" s="12"/>
      <c r="AB68" s="38">
        <v>18231660</v>
      </c>
      <c r="AC68" s="37">
        <v>0.02</v>
      </c>
      <c r="AD68" s="38">
        <f t="shared" si="1"/>
        <v>364633.2</v>
      </c>
      <c r="AE68" s="12"/>
      <c r="AF68" s="12">
        <f>COUNTIF($A$20:A68,A68)</f>
        <v>12</v>
      </c>
      <c r="AG68" s="38">
        <v>18231660</v>
      </c>
      <c r="AH68" s="38">
        <f>Tabla4[[#This Row],[VALOR CONTRAPARTIDA]]+Tabla4[[#This Row],[TOTAL APORTES ICBF]]</f>
        <v>18596293.199999999</v>
      </c>
      <c r="AI68" s="35"/>
      <c r="AJ68" s="38"/>
      <c r="AK68" s="38"/>
      <c r="AL68" s="23"/>
      <c r="AM68" s="35">
        <f>VLOOKUP(Tabla4[[#This Row],[SERVICIO 2025]],$J$2:$V$14,5,0)*Tabla4[[#This Row],[TOTAL COBERTURA]]</f>
        <v>560928</v>
      </c>
      <c r="AN68" s="35">
        <f>VLOOKUP(Tabla4[[#This Row],[SERVICIO 2025]],$J$2:$V$14,6,0)*Tabla4[[#This Row],[TOTAL COBERTURA]]</f>
        <v>454092</v>
      </c>
      <c r="AO68" s="35">
        <f>VLOOKUP(Tabla4[[#This Row],[SERVICIO 2025]],$J$2:$V$14,8,0)*Tabla4[[#This Row],[TOTAL COBERTURA]]</f>
        <v>0</v>
      </c>
      <c r="AP68" s="35">
        <f>VLOOKUP(Tabla4[[#This Row],[SERVICIO 2025]],$J$2:$V$14,3,0)*Tabla4[[#This Row],[TOTAL COBERTURA]]*8</f>
        <v>17216640</v>
      </c>
      <c r="AQ68" s="35"/>
      <c r="AR68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68" s="35" t="str">
        <f>+IF(Tabla4[[#This Row],[AGRUPACIONES]]=1,SUMIFS(Tabla4[VALOR TOTAL],Tabla4[ZONA DEFINITIVO],Tabla4[[#This Row],[ZONA DEFINITIVO]])," ")</f>
        <v xml:space="preserve"> </v>
      </c>
      <c r="AT68" s="27">
        <f>(VLOOKUP(Tabla4[[#This Row],[SERVICIO 2025]],$J$2:$V$14,3,0)*Tabla4[[#This Row],[TOTAL COBERTURA]])+Tabla4[[#This Row],[VALOR FASE PREPARATORIA DE ALISTAMIENTO]]+Tabla4[[#This Row],[DOTACIÓN ÚNICA]]</f>
        <v>2713008</v>
      </c>
      <c r="AU68" s="35">
        <f>(VLOOKUP(Tabla4[[#This Row],[SERVICIO 2025]],$J$2:$V$14,3,0)*Tabla4[[#This Row],[TOTAL COBERTURA]])</f>
        <v>2152080</v>
      </c>
      <c r="AV68" s="35">
        <f>(VLOOKUP(Tabla4[[#This Row],[SERVICIO 2025]],$J$2:$V$14,3,0)*Tabla4[[#This Row],[TOTAL COBERTURA]])</f>
        <v>2152080</v>
      </c>
      <c r="AW68" s="35">
        <f>(VLOOKUP(Tabla4[[#This Row],[SERVICIO 2025]],$J$2:$V$14,3,0)*Tabla4[[#This Row],[TOTAL COBERTURA]])</f>
        <v>2152080</v>
      </c>
      <c r="AX68" s="35">
        <f>(VLOOKUP(Tabla4[[#This Row],[SERVICIO 2025]],$J$2:$V$14,3,0)*Tabla4[[#This Row],[TOTAL COBERTURA]])</f>
        <v>2152080</v>
      </c>
      <c r="AY68" s="35">
        <f>(VLOOKUP(Tabla4[[#This Row],[SERVICIO 2025]],$J$2:$V$14,3,0)*Tabla4[[#This Row],[TOTAL COBERTURA]])</f>
        <v>2152080</v>
      </c>
      <c r="AZ68" s="35">
        <f>(VLOOKUP(Tabla4[[#This Row],[SERVICIO 2025]],$J$2:$V$14,3,0)*Tabla4[[#This Row],[TOTAL COBERTURA]])</f>
        <v>2152080</v>
      </c>
      <c r="BA68" s="35">
        <f>(VLOOKUP(Tabla4[[#This Row],[SERVICIO 2025]],$J$2:$V$14,3,0)*Tabla4[[#This Row],[TOTAL COBERTURA]])+Tabla4[[#This Row],[VALOR FASE PREPARATORIA DE CIERRE]]</f>
        <v>2606172</v>
      </c>
      <c r="BB68" s="35">
        <f>SUM(Tabla4[[#This Row],[DESEMBOLSO 1]:[DESEMBOLSO 8]])</f>
        <v>18231660</v>
      </c>
      <c r="BC68" s="35">
        <f>VLOOKUP(Tabla4[[#This Row],[SERVICIO 2025]],$J$2:$V$14,10,0)*Tabla4[[#This Row],[TOTAL COBERTURA]]*$W$3</f>
        <v>18078816</v>
      </c>
      <c r="BD68" s="47" t="s">
        <v>211</v>
      </c>
      <c r="BE68" s="12" t="b">
        <f>EXACT(Tabla4[[#This Row],[VALOR ATENCIÓN (8 MESES)]],Tabla4[[#This Row],[VALOR TOTAL]])</f>
        <v>1</v>
      </c>
      <c r="BF68" s="23">
        <f>Tabla4[[#This Row],[VALOR ATENCIÓN (8 MESES)]]-Tabla4[[#This Row],[VALOR TOTAL]]</f>
        <v>0</v>
      </c>
      <c r="BG68" s="12" t="b">
        <f>EXACT(Tabla4[[#This Row],[TOTAL DESEMBOLSOS]],Tabla4[[#This Row],[VALOR ATENCIÓN (8 MESES)]])</f>
        <v>1</v>
      </c>
      <c r="BH68" s="29">
        <f>Tabla4[[#This Row],[TOTAL DESEMBOLSOS]]-Tabla4[[#This Row],[VALOR ATENCIÓN (8 MESES)]]</f>
        <v>0</v>
      </c>
      <c r="BI68" t="s">
        <v>98</v>
      </c>
      <c r="BJ68">
        <v>1890</v>
      </c>
    </row>
    <row r="69" spans="1:62">
      <c r="A69" s="13">
        <v>1890</v>
      </c>
      <c r="B69" s="13" t="s">
        <v>204</v>
      </c>
      <c r="C69" s="12" t="s">
        <v>87</v>
      </c>
      <c r="D69" s="12" t="s">
        <v>205</v>
      </c>
      <c r="E69" s="12" t="s">
        <v>206</v>
      </c>
      <c r="F69" s="12" t="s">
        <v>21</v>
      </c>
      <c r="G69" s="12" t="s">
        <v>90</v>
      </c>
      <c r="H69" s="12" t="s">
        <v>234</v>
      </c>
      <c r="I69" s="12">
        <v>51011134767</v>
      </c>
      <c r="J69" s="12" t="s">
        <v>235</v>
      </c>
      <c r="K69" s="12">
        <v>1</v>
      </c>
      <c r="L69" s="12">
        <v>14</v>
      </c>
      <c r="M69" s="12"/>
      <c r="N69" s="13">
        <v>1890</v>
      </c>
      <c r="O69" s="12" t="s">
        <v>93</v>
      </c>
      <c r="P69" s="12"/>
      <c r="Q69" s="12"/>
      <c r="R69" s="12" t="s">
        <v>94</v>
      </c>
      <c r="S69" s="12">
        <v>10</v>
      </c>
      <c r="T69" s="12" t="s">
        <v>209</v>
      </c>
      <c r="U69" s="12" t="s">
        <v>210</v>
      </c>
      <c r="V69" s="12">
        <f>VLOOKUP(Tabla4[[#This Row],[ZONA DEFINITIVO]],Hoja1!$A$1:$D$121,3,0)</f>
        <v>228990</v>
      </c>
      <c r="W69" s="12">
        <f>VLOOKUP(Tabla4[[#This Row],[ZONA DEFINITIVO]],Hoja1!$A$1:$D$121,2,0)</f>
        <v>15150</v>
      </c>
      <c r="X69" s="12">
        <f>VLOOKUP(Tabla4[[#This Row],[ZONA DEFINITIVO]],Hoja1!$A$1:$D$121,4,0)</f>
        <v>90625</v>
      </c>
      <c r="Y69" s="12" t="str">
        <f>+IF(Tabla4[[#This Row],[AGRUPACIONES]]=1,SUMIFS(Tabla4[UDS],Tabla4[ZONA DEFINITIVO],Tabla4[[#This Row],[ZONA DEFINITIVO]])," ")</f>
        <v xml:space="preserve"> </v>
      </c>
      <c r="Z69" s="12" t="str">
        <f>+IF(Tabla4[[#This Row],[AGRUPACIONES]]=1,SUMIFS(Tabla4[TOTAL COBERTURA],Tabla4[ZONA DEFINITIVO],Tabla4[[#This Row],[ZONA DEFINITIVO]])," ")</f>
        <v xml:space="preserve"> </v>
      </c>
      <c r="AA69" s="12"/>
      <c r="AB69" s="38">
        <v>21270270</v>
      </c>
      <c r="AC69" s="37">
        <v>0.02</v>
      </c>
      <c r="AD69" s="38">
        <f t="shared" si="1"/>
        <v>425405.4</v>
      </c>
      <c r="AE69" s="12"/>
      <c r="AF69" s="12">
        <f>COUNTIF($A$20:A69,A69)</f>
        <v>13</v>
      </c>
      <c r="AG69" s="38">
        <v>21270270</v>
      </c>
      <c r="AH69" s="38">
        <f>Tabla4[[#This Row],[VALOR CONTRAPARTIDA]]+Tabla4[[#This Row],[TOTAL APORTES ICBF]]</f>
        <v>21695675.399999999</v>
      </c>
      <c r="AI69" s="35"/>
      <c r="AJ69" s="38"/>
      <c r="AK69" s="38"/>
      <c r="AL69" s="23"/>
      <c r="AM69" s="35">
        <f>VLOOKUP(Tabla4[[#This Row],[SERVICIO 2025]],$J$2:$V$14,5,0)*Tabla4[[#This Row],[TOTAL COBERTURA]]</f>
        <v>654416</v>
      </c>
      <c r="AN69" s="35">
        <f>VLOOKUP(Tabla4[[#This Row],[SERVICIO 2025]],$J$2:$V$14,6,0)*Tabla4[[#This Row],[TOTAL COBERTURA]]</f>
        <v>529774</v>
      </c>
      <c r="AO69" s="35">
        <f>VLOOKUP(Tabla4[[#This Row],[SERVICIO 2025]],$J$2:$V$14,8,0)*Tabla4[[#This Row],[TOTAL COBERTURA]]</f>
        <v>0</v>
      </c>
      <c r="AP69" s="35">
        <f>VLOOKUP(Tabla4[[#This Row],[SERVICIO 2025]],$J$2:$V$14,3,0)*Tabla4[[#This Row],[TOTAL COBERTURA]]*8</f>
        <v>20086080</v>
      </c>
      <c r="AQ69" s="35"/>
      <c r="AR69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69" s="35" t="str">
        <f>+IF(Tabla4[[#This Row],[AGRUPACIONES]]=1,SUMIFS(Tabla4[VALOR TOTAL],Tabla4[ZONA DEFINITIVO],Tabla4[[#This Row],[ZONA DEFINITIVO]])," ")</f>
        <v xml:space="preserve"> </v>
      </c>
      <c r="AT69" s="27">
        <f>(VLOOKUP(Tabla4[[#This Row],[SERVICIO 2025]],$J$2:$V$14,3,0)*Tabla4[[#This Row],[TOTAL COBERTURA]])+Tabla4[[#This Row],[VALOR FASE PREPARATORIA DE ALISTAMIENTO]]+Tabla4[[#This Row],[DOTACIÓN ÚNICA]]</f>
        <v>3165176</v>
      </c>
      <c r="AU69" s="35">
        <f>(VLOOKUP(Tabla4[[#This Row],[SERVICIO 2025]],$J$2:$V$14,3,0)*Tabla4[[#This Row],[TOTAL COBERTURA]])</f>
        <v>2510760</v>
      </c>
      <c r="AV69" s="35">
        <f>(VLOOKUP(Tabla4[[#This Row],[SERVICIO 2025]],$J$2:$V$14,3,0)*Tabla4[[#This Row],[TOTAL COBERTURA]])</f>
        <v>2510760</v>
      </c>
      <c r="AW69" s="35">
        <f>(VLOOKUP(Tabla4[[#This Row],[SERVICIO 2025]],$J$2:$V$14,3,0)*Tabla4[[#This Row],[TOTAL COBERTURA]])</f>
        <v>2510760</v>
      </c>
      <c r="AX69" s="35">
        <f>(VLOOKUP(Tabla4[[#This Row],[SERVICIO 2025]],$J$2:$V$14,3,0)*Tabla4[[#This Row],[TOTAL COBERTURA]])</f>
        <v>2510760</v>
      </c>
      <c r="AY69" s="35">
        <f>(VLOOKUP(Tabla4[[#This Row],[SERVICIO 2025]],$J$2:$V$14,3,0)*Tabla4[[#This Row],[TOTAL COBERTURA]])</f>
        <v>2510760</v>
      </c>
      <c r="AZ69" s="35">
        <f>(VLOOKUP(Tabla4[[#This Row],[SERVICIO 2025]],$J$2:$V$14,3,0)*Tabla4[[#This Row],[TOTAL COBERTURA]])</f>
        <v>2510760</v>
      </c>
      <c r="BA69" s="35">
        <f>(VLOOKUP(Tabla4[[#This Row],[SERVICIO 2025]],$J$2:$V$14,3,0)*Tabla4[[#This Row],[TOTAL COBERTURA]])+Tabla4[[#This Row],[VALOR FASE PREPARATORIA DE CIERRE]]</f>
        <v>3040534</v>
      </c>
      <c r="BB69" s="35">
        <f>SUM(Tabla4[[#This Row],[DESEMBOLSO 1]:[DESEMBOLSO 8]])</f>
        <v>21270270</v>
      </c>
      <c r="BC69" s="35">
        <f>VLOOKUP(Tabla4[[#This Row],[SERVICIO 2025]],$J$2:$V$14,10,0)*Tabla4[[#This Row],[TOTAL COBERTURA]]*$W$3</f>
        <v>21091952</v>
      </c>
      <c r="BD69" s="47" t="s">
        <v>211</v>
      </c>
      <c r="BE69" s="12" t="b">
        <f>EXACT(Tabla4[[#This Row],[VALOR ATENCIÓN (8 MESES)]],Tabla4[[#This Row],[VALOR TOTAL]])</f>
        <v>1</v>
      </c>
      <c r="BF69" s="23">
        <f>Tabla4[[#This Row],[VALOR ATENCIÓN (8 MESES)]]-Tabla4[[#This Row],[VALOR TOTAL]]</f>
        <v>0</v>
      </c>
      <c r="BG69" s="12" t="b">
        <f>EXACT(Tabla4[[#This Row],[TOTAL DESEMBOLSOS]],Tabla4[[#This Row],[VALOR ATENCIÓN (8 MESES)]])</f>
        <v>1</v>
      </c>
      <c r="BH69" s="29">
        <f>Tabla4[[#This Row],[TOTAL DESEMBOLSOS]]-Tabla4[[#This Row],[VALOR ATENCIÓN (8 MESES)]]</f>
        <v>0</v>
      </c>
      <c r="BI69" t="s">
        <v>98</v>
      </c>
      <c r="BJ69">
        <v>1890</v>
      </c>
    </row>
    <row r="70" spans="1:62">
      <c r="A70" s="13">
        <v>1890</v>
      </c>
      <c r="B70" s="13" t="s">
        <v>204</v>
      </c>
      <c r="C70" s="12" t="s">
        <v>87</v>
      </c>
      <c r="D70" s="12" t="s">
        <v>205</v>
      </c>
      <c r="E70" s="12" t="s">
        <v>206</v>
      </c>
      <c r="F70" s="12" t="s">
        <v>21</v>
      </c>
      <c r="G70" s="12" t="s">
        <v>90</v>
      </c>
      <c r="H70" s="12" t="s">
        <v>236</v>
      </c>
      <c r="I70" s="12">
        <v>51011134783</v>
      </c>
      <c r="J70" s="12" t="s">
        <v>237</v>
      </c>
      <c r="K70" s="12">
        <v>1</v>
      </c>
      <c r="L70" s="12">
        <v>9</v>
      </c>
      <c r="M70" s="12"/>
      <c r="N70" s="13">
        <v>1890</v>
      </c>
      <c r="O70" s="12" t="s">
        <v>93</v>
      </c>
      <c r="P70" s="12"/>
      <c r="Q70" s="12"/>
      <c r="R70" s="12" t="s">
        <v>94</v>
      </c>
      <c r="S70" s="12">
        <v>10</v>
      </c>
      <c r="T70" s="12" t="s">
        <v>209</v>
      </c>
      <c r="U70" s="12" t="s">
        <v>210</v>
      </c>
      <c r="V70" s="12">
        <f>VLOOKUP(Tabla4[[#This Row],[ZONA DEFINITIVO]],Hoja1!$A$1:$D$121,3,0)</f>
        <v>228990</v>
      </c>
      <c r="W70" s="12">
        <f>VLOOKUP(Tabla4[[#This Row],[ZONA DEFINITIVO]],Hoja1!$A$1:$D$121,2,0)</f>
        <v>15150</v>
      </c>
      <c r="X70" s="12">
        <f>VLOOKUP(Tabla4[[#This Row],[ZONA DEFINITIVO]],Hoja1!$A$1:$D$121,4,0)</f>
        <v>90625</v>
      </c>
      <c r="Y70" s="12" t="str">
        <f>+IF(Tabla4[[#This Row],[AGRUPACIONES]]=1,SUMIFS(Tabla4[UDS],Tabla4[ZONA DEFINITIVO],Tabla4[[#This Row],[ZONA DEFINITIVO]])," ")</f>
        <v xml:space="preserve"> </v>
      </c>
      <c r="Z70" s="12" t="str">
        <f>+IF(Tabla4[[#This Row],[AGRUPACIONES]]=1,SUMIFS(Tabla4[TOTAL COBERTURA],Tabla4[ZONA DEFINITIVO],Tabla4[[#This Row],[ZONA DEFINITIVO]])," ")</f>
        <v xml:space="preserve"> </v>
      </c>
      <c r="AA70" s="12"/>
      <c r="AB70" s="38">
        <v>13673745</v>
      </c>
      <c r="AC70" s="37">
        <v>0.02</v>
      </c>
      <c r="AD70" s="38">
        <f t="shared" si="1"/>
        <v>273474.90000000002</v>
      </c>
      <c r="AE70" s="12"/>
      <c r="AF70" s="12">
        <f>COUNTIF($A$20:A70,A70)</f>
        <v>14</v>
      </c>
      <c r="AG70" s="38">
        <v>13673745</v>
      </c>
      <c r="AH70" s="38">
        <f>Tabla4[[#This Row],[VALOR CONTRAPARTIDA]]+Tabla4[[#This Row],[TOTAL APORTES ICBF]]</f>
        <v>13947219.9</v>
      </c>
      <c r="AI70" s="35"/>
      <c r="AJ70" s="38"/>
      <c r="AK70" s="38"/>
      <c r="AL70" s="23"/>
      <c r="AM70" s="35">
        <f>VLOOKUP(Tabla4[[#This Row],[SERVICIO 2025]],$J$2:$V$14,5,0)*Tabla4[[#This Row],[TOTAL COBERTURA]]</f>
        <v>420696</v>
      </c>
      <c r="AN70" s="35">
        <f>VLOOKUP(Tabla4[[#This Row],[SERVICIO 2025]],$J$2:$V$14,6,0)*Tabla4[[#This Row],[TOTAL COBERTURA]]</f>
        <v>340569</v>
      </c>
      <c r="AO70" s="35">
        <f>VLOOKUP(Tabla4[[#This Row],[SERVICIO 2025]],$J$2:$V$14,8,0)*Tabla4[[#This Row],[TOTAL COBERTURA]]</f>
        <v>0</v>
      </c>
      <c r="AP70" s="35">
        <f>VLOOKUP(Tabla4[[#This Row],[SERVICIO 2025]],$J$2:$V$14,3,0)*Tabla4[[#This Row],[TOTAL COBERTURA]]*8</f>
        <v>12912480</v>
      </c>
      <c r="AQ70" s="35"/>
      <c r="AR70" s="35">
        <f>Tabla4[[#This Row],[VALOR FASE PREPARATORIA DE ALISTAMIENTO]]+Tabla4[[#This Row],[VALOR FASE PREPARATORIA DE CIERRE]]+Tabla4[[#This Row],[DOTACIÓN ÚNICA]]+Tabla4[[#This Row],[VALOR ATENCIÓN]]+Tabla4[[#This Row],[VALOR RACION PREPARADA]]</f>
        <v>13673745</v>
      </c>
      <c r="AS70" s="35" t="str">
        <f>+IF(Tabla4[[#This Row],[AGRUPACIONES]]=1,SUMIFS(Tabla4[VALOR TOTAL],Tabla4[ZONA DEFINITIVO],Tabla4[[#This Row],[ZONA DEFINITIVO]])," ")</f>
        <v xml:space="preserve"> </v>
      </c>
      <c r="AT70" s="27">
        <f>(VLOOKUP(Tabla4[[#This Row],[SERVICIO 2025]],$J$2:$V$14,3,0)*Tabla4[[#This Row],[TOTAL COBERTURA]])+Tabla4[[#This Row],[VALOR FASE PREPARATORIA DE ALISTAMIENTO]]+Tabla4[[#This Row],[DOTACIÓN ÚNICA]]</f>
        <v>2034756</v>
      </c>
      <c r="AU70" s="35">
        <f>(VLOOKUP(Tabla4[[#This Row],[SERVICIO 2025]],$J$2:$V$14,3,0)*Tabla4[[#This Row],[TOTAL COBERTURA]])</f>
        <v>1614060</v>
      </c>
      <c r="AV70" s="35">
        <f>(VLOOKUP(Tabla4[[#This Row],[SERVICIO 2025]],$J$2:$V$14,3,0)*Tabla4[[#This Row],[TOTAL COBERTURA]])</f>
        <v>1614060</v>
      </c>
      <c r="AW70" s="35">
        <f>(VLOOKUP(Tabla4[[#This Row],[SERVICIO 2025]],$J$2:$V$14,3,0)*Tabla4[[#This Row],[TOTAL COBERTURA]])</f>
        <v>1614060</v>
      </c>
      <c r="AX70" s="35">
        <f>(VLOOKUP(Tabla4[[#This Row],[SERVICIO 2025]],$J$2:$V$14,3,0)*Tabla4[[#This Row],[TOTAL COBERTURA]])</f>
        <v>1614060</v>
      </c>
      <c r="AY70" s="35">
        <f>(VLOOKUP(Tabla4[[#This Row],[SERVICIO 2025]],$J$2:$V$14,3,0)*Tabla4[[#This Row],[TOTAL COBERTURA]])</f>
        <v>1614060</v>
      </c>
      <c r="AZ70" s="35">
        <f>(VLOOKUP(Tabla4[[#This Row],[SERVICIO 2025]],$J$2:$V$14,3,0)*Tabla4[[#This Row],[TOTAL COBERTURA]])</f>
        <v>1614060</v>
      </c>
      <c r="BA70" s="35">
        <f>(VLOOKUP(Tabla4[[#This Row],[SERVICIO 2025]],$J$2:$V$14,3,0)*Tabla4[[#This Row],[TOTAL COBERTURA]])+Tabla4[[#This Row],[VALOR FASE PREPARATORIA DE CIERRE]]</f>
        <v>1954629</v>
      </c>
      <c r="BB70" s="35">
        <f>SUM(Tabla4[[#This Row],[DESEMBOLSO 1]:[DESEMBOLSO 8]])</f>
        <v>13673745</v>
      </c>
      <c r="BC70" s="35">
        <f>VLOOKUP(Tabla4[[#This Row],[SERVICIO 2025]],$J$2:$V$14,10,0)*Tabla4[[#This Row],[TOTAL COBERTURA]]*$W$3</f>
        <v>13559112</v>
      </c>
      <c r="BD70" s="47" t="s">
        <v>211</v>
      </c>
      <c r="BE70" s="12" t="b">
        <f>EXACT(Tabla4[[#This Row],[VALOR ATENCIÓN (8 MESES)]],Tabla4[[#This Row],[VALOR TOTAL]])</f>
        <v>1</v>
      </c>
      <c r="BF70" s="23">
        <f>Tabla4[[#This Row],[VALOR ATENCIÓN (8 MESES)]]-Tabla4[[#This Row],[VALOR TOTAL]]</f>
        <v>0</v>
      </c>
      <c r="BG70" s="12" t="b">
        <f>EXACT(Tabla4[[#This Row],[TOTAL DESEMBOLSOS]],Tabla4[[#This Row],[VALOR ATENCIÓN (8 MESES)]])</f>
        <v>1</v>
      </c>
      <c r="BH70" s="29">
        <f>Tabla4[[#This Row],[TOTAL DESEMBOLSOS]]-Tabla4[[#This Row],[VALOR ATENCIÓN (8 MESES)]]</f>
        <v>0</v>
      </c>
      <c r="BI70" t="s">
        <v>98</v>
      </c>
      <c r="BJ70">
        <v>1890</v>
      </c>
    </row>
    <row r="71" spans="1:62">
      <c r="A71" s="13">
        <v>1890</v>
      </c>
      <c r="B71" s="13" t="s">
        <v>204</v>
      </c>
      <c r="C71" s="12" t="s">
        <v>87</v>
      </c>
      <c r="D71" s="12" t="s">
        <v>205</v>
      </c>
      <c r="E71" s="12" t="s">
        <v>206</v>
      </c>
      <c r="F71" s="12" t="s">
        <v>21</v>
      </c>
      <c r="G71" s="12" t="s">
        <v>90</v>
      </c>
      <c r="H71" s="12" t="s">
        <v>238</v>
      </c>
      <c r="I71" s="12">
        <v>51011134788</v>
      </c>
      <c r="J71" s="12" t="s">
        <v>239</v>
      </c>
      <c r="K71" s="12">
        <v>1</v>
      </c>
      <c r="L71" s="12">
        <v>4</v>
      </c>
      <c r="M71" s="12"/>
      <c r="N71" s="13">
        <v>1890</v>
      </c>
      <c r="O71" s="12" t="s">
        <v>93</v>
      </c>
      <c r="P71" s="12"/>
      <c r="Q71" s="12"/>
      <c r="R71" s="12" t="s">
        <v>94</v>
      </c>
      <c r="S71" s="12">
        <v>10</v>
      </c>
      <c r="T71" s="12" t="s">
        <v>209</v>
      </c>
      <c r="U71" s="12" t="s">
        <v>210</v>
      </c>
      <c r="V71" s="12">
        <f>VLOOKUP(Tabla4[[#This Row],[ZONA DEFINITIVO]],Hoja1!$A$1:$D$121,3,0)</f>
        <v>228990</v>
      </c>
      <c r="W71" s="12">
        <f>VLOOKUP(Tabla4[[#This Row],[ZONA DEFINITIVO]],Hoja1!$A$1:$D$121,2,0)</f>
        <v>15150</v>
      </c>
      <c r="X71" s="12">
        <f>VLOOKUP(Tabla4[[#This Row],[ZONA DEFINITIVO]],Hoja1!$A$1:$D$121,4,0)</f>
        <v>90625</v>
      </c>
      <c r="Y71" s="12" t="str">
        <f>+IF(Tabla4[[#This Row],[AGRUPACIONES]]=1,SUMIFS(Tabla4[UDS],Tabla4[ZONA DEFINITIVO],Tabla4[[#This Row],[ZONA DEFINITIVO]])," ")</f>
        <v xml:space="preserve"> </v>
      </c>
      <c r="Z71" s="12" t="str">
        <f>+IF(Tabla4[[#This Row],[AGRUPACIONES]]=1,SUMIFS(Tabla4[TOTAL COBERTURA],Tabla4[ZONA DEFINITIVO],Tabla4[[#This Row],[ZONA DEFINITIVO]])," ")</f>
        <v xml:space="preserve"> </v>
      </c>
      <c r="AA71" s="12"/>
      <c r="AB71" s="38">
        <v>6077220</v>
      </c>
      <c r="AC71" s="37">
        <v>0.02</v>
      </c>
      <c r="AD71" s="38">
        <f t="shared" si="1"/>
        <v>121544.40000000001</v>
      </c>
      <c r="AE71" s="12"/>
      <c r="AF71" s="12">
        <f>COUNTIF($A$20:A71,A71)</f>
        <v>15</v>
      </c>
      <c r="AG71" s="38">
        <v>6077220</v>
      </c>
      <c r="AH71" s="38">
        <f>Tabla4[[#This Row],[VALOR CONTRAPARTIDA]]+Tabla4[[#This Row],[TOTAL APORTES ICBF]]</f>
        <v>6198764.4000000004</v>
      </c>
      <c r="AI71" s="35"/>
      <c r="AJ71" s="38"/>
      <c r="AK71" s="38"/>
      <c r="AL71" s="23"/>
      <c r="AM71" s="35">
        <f>VLOOKUP(Tabla4[[#This Row],[SERVICIO 2025]],$J$2:$V$14,5,0)*Tabla4[[#This Row],[TOTAL COBERTURA]]</f>
        <v>186976</v>
      </c>
      <c r="AN71" s="35">
        <f>VLOOKUP(Tabla4[[#This Row],[SERVICIO 2025]],$J$2:$V$14,6,0)*Tabla4[[#This Row],[TOTAL COBERTURA]]</f>
        <v>151364</v>
      </c>
      <c r="AO71" s="35">
        <f>VLOOKUP(Tabla4[[#This Row],[SERVICIO 2025]],$J$2:$V$14,8,0)*Tabla4[[#This Row],[TOTAL COBERTURA]]</f>
        <v>0</v>
      </c>
      <c r="AP71" s="35">
        <f>VLOOKUP(Tabla4[[#This Row],[SERVICIO 2025]],$J$2:$V$14,3,0)*Tabla4[[#This Row],[TOTAL COBERTURA]]*8</f>
        <v>5738880</v>
      </c>
      <c r="AQ71" s="35"/>
      <c r="AR71" s="35">
        <f>Tabla4[[#This Row],[VALOR FASE PREPARATORIA DE ALISTAMIENTO]]+Tabla4[[#This Row],[VALOR FASE PREPARATORIA DE CIERRE]]+Tabla4[[#This Row],[DOTACIÓN ÚNICA]]+Tabla4[[#This Row],[VALOR ATENCIÓN]]+Tabla4[[#This Row],[VALOR RACION PREPARADA]]</f>
        <v>6077220</v>
      </c>
      <c r="AS71" s="35" t="str">
        <f>+IF(Tabla4[[#This Row],[AGRUPACIONES]]=1,SUMIFS(Tabla4[VALOR TOTAL],Tabla4[ZONA DEFINITIVO],Tabla4[[#This Row],[ZONA DEFINITIVO]])," ")</f>
        <v xml:space="preserve"> </v>
      </c>
      <c r="AT71" s="27">
        <f>(VLOOKUP(Tabla4[[#This Row],[SERVICIO 2025]],$J$2:$V$14,3,0)*Tabla4[[#This Row],[TOTAL COBERTURA]])+Tabla4[[#This Row],[VALOR FASE PREPARATORIA DE ALISTAMIENTO]]+Tabla4[[#This Row],[DOTACIÓN ÚNICA]]</f>
        <v>904336</v>
      </c>
      <c r="AU71" s="35">
        <f>(VLOOKUP(Tabla4[[#This Row],[SERVICIO 2025]],$J$2:$V$14,3,0)*Tabla4[[#This Row],[TOTAL COBERTURA]])</f>
        <v>717360</v>
      </c>
      <c r="AV71" s="35">
        <f>(VLOOKUP(Tabla4[[#This Row],[SERVICIO 2025]],$J$2:$V$14,3,0)*Tabla4[[#This Row],[TOTAL COBERTURA]])</f>
        <v>717360</v>
      </c>
      <c r="AW71" s="35">
        <f>(VLOOKUP(Tabla4[[#This Row],[SERVICIO 2025]],$J$2:$V$14,3,0)*Tabla4[[#This Row],[TOTAL COBERTURA]])</f>
        <v>717360</v>
      </c>
      <c r="AX71" s="35">
        <f>(VLOOKUP(Tabla4[[#This Row],[SERVICIO 2025]],$J$2:$V$14,3,0)*Tabla4[[#This Row],[TOTAL COBERTURA]])</f>
        <v>717360</v>
      </c>
      <c r="AY71" s="35">
        <f>(VLOOKUP(Tabla4[[#This Row],[SERVICIO 2025]],$J$2:$V$14,3,0)*Tabla4[[#This Row],[TOTAL COBERTURA]])</f>
        <v>717360</v>
      </c>
      <c r="AZ71" s="35">
        <f>(VLOOKUP(Tabla4[[#This Row],[SERVICIO 2025]],$J$2:$V$14,3,0)*Tabla4[[#This Row],[TOTAL COBERTURA]])</f>
        <v>717360</v>
      </c>
      <c r="BA71" s="35">
        <f>(VLOOKUP(Tabla4[[#This Row],[SERVICIO 2025]],$J$2:$V$14,3,0)*Tabla4[[#This Row],[TOTAL COBERTURA]])+Tabla4[[#This Row],[VALOR FASE PREPARATORIA DE CIERRE]]</f>
        <v>868724</v>
      </c>
      <c r="BB71" s="35">
        <f>SUM(Tabla4[[#This Row],[DESEMBOLSO 1]:[DESEMBOLSO 8]])</f>
        <v>6077220</v>
      </c>
      <c r="BC71" s="35">
        <f>VLOOKUP(Tabla4[[#This Row],[SERVICIO 2025]],$J$2:$V$14,10,0)*Tabla4[[#This Row],[TOTAL COBERTURA]]*$W$3</f>
        <v>6026272</v>
      </c>
      <c r="BD71" s="47" t="s">
        <v>211</v>
      </c>
      <c r="BE71" s="12" t="b">
        <f>EXACT(Tabla4[[#This Row],[VALOR ATENCIÓN (8 MESES)]],Tabla4[[#This Row],[VALOR TOTAL]])</f>
        <v>1</v>
      </c>
      <c r="BF71" s="23">
        <f>Tabla4[[#This Row],[VALOR ATENCIÓN (8 MESES)]]-Tabla4[[#This Row],[VALOR TOTAL]]</f>
        <v>0</v>
      </c>
      <c r="BG71" s="12" t="b">
        <f>EXACT(Tabla4[[#This Row],[TOTAL DESEMBOLSOS]],Tabla4[[#This Row],[VALOR ATENCIÓN (8 MESES)]])</f>
        <v>1</v>
      </c>
      <c r="BH71" s="29">
        <f>Tabla4[[#This Row],[TOTAL DESEMBOLSOS]]-Tabla4[[#This Row],[VALOR ATENCIÓN (8 MESES)]]</f>
        <v>0</v>
      </c>
      <c r="BI71" t="s">
        <v>98</v>
      </c>
      <c r="BJ71">
        <v>1890</v>
      </c>
    </row>
    <row r="72" spans="1:62">
      <c r="A72" s="13">
        <v>1890</v>
      </c>
      <c r="B72" s="13" t="s">
        <v>204</v>
      </c>
      <c r="C72" s="12" t="s">
        <v>87</v>
      </c>
      <c r="D72" s="12" t="s">
        <v>205</v>
      </c>
      <c r="E72" s="12" t="s">
        <v>206</v>
      </c>
      <c r="F72" s="12" t="s">
        <v>21</v>
      </c>
      <c r="G72" s="12" t="s">
        <v>90</v>
      </c>
      <c r="H72" s="12" t="s">
        <v>240</v>
      </c>
      <c r="I72" s="12">
        <v>51011134818</v>
      </c>
      <c r="J72" s="12" t="s">
        <v>241</v>
      </c>
      <c r="K72" s="12">
        <v>1</v>
      </c>
      <c r="L72" s="12">
        <v>9</v>
      </c>
      <c r="M72" s="12"/>
      <c r="N72" s="13">
        <v>1890</v>
      </c>
      <c r="O72" s="12" t="s">
        <v>93</v>
      </c>
      <c r="P72" s="12"/>
      <c r="Q72" s="12"/>
      <c r="R72" s="12" t="s">
        <v>94</v>
      </c>
      <c r="S72" s="12">
        <v>10</v>
      </c>
      <c r="T72" s="12" t="s">
        <v>209</v>
      </c>
      <c r="U72" s="12" t="s">
        <v>210</v>
      </c>
      <c r="V72" s="12">
        <f>VLOOKUP(Tabla4[[#This Row],[ZONA DEFINITIVO]],Hoja1!$A$1:$D$121,3,0)</f>
        <v>228990</v>
      </c>
      <c r="W72" s="12">
        <f>VLOOKUP(Tabla4[[#This Row],[ZONA DEFINITIVO]],Hoja1!$A$1:$D$121,2,0)</f>
        <v>15150</v>
      </c>
      <c r="X72" s="12">
        <f>VLOOKUP(Tabla4[[#This Row],[ZONA DEFINITIVO]],Hoja1!$A$1:$D$121,4,0)</f>
        <v>90625</v>
      </c>
      <c r="Y72" s="12" t="str">
        <f>+IF(Tabla4[[#This Row],[AGRUPACIONES]]=1,SUMIFS(Tabla4[UDS],Tabla4[ZONA DEFINITIVO],Tabla4[[#This Row],[ZONA DEFINITIVO]])," ")</f>
        <v xml:space="preserve"> </v>
      </c>
      <c r="Z72" s="12" t="str">
        <f>+IF(Tabla4[[#This Row],[AGRUPACIONES]]=1,SUMIFS(Tabla4[TOTAL COBERTURA],Tabla4[ZONA DEFINITIVO],Tabla4[[#This Row],[ZONA DEFINITIVO]])," ")</f>
        <v xml:space="preserve"> </v>
      </c>
      <c r="AA72" s="12"/>
      <c r="AB72" s="38">
        <v>13673745</v>
      </c>
      <c r="AC72" s="37">
        <v>0.02</v>
      </c>
      <c r="AD72" s="38">
        <f t="shared" si="1"/>
        <v>273474.90000000002</v>
      </c>
      <c r="AE72" s="12"/>
      <c r="AF72" s="12">
        <f>COUNTIF($A$20:A72,A72)</f>
        <v>16</v>
      </c>
      <c r="AG72" s="38">
        <v>13673745</v>
      </c>
      <c r="AH72" s="38">
        <f>Tabla4[[#This Row],[VALOR CONTRAPARTIDA]]+Tabla4[[#This Row],[TOTAL APORTES ICBF]]</f>
        <v>13947219.9</v>
      </c>
      <c r="AI72" s="35"/>
      <c r="AJ72" s="38"/>
      <c r="AK72" s="38"/>
      <c r="AL72" s="23"/>
      <c r="AM72" s="35">
        <f>VLOOKUP(Tabla4[[#This Row],[SERVICIO 2025]],$J$2:$V$14,5,0)*Tabla4[[#This Row],[TOTAL COBERTURA]]</f>
        <v>420696</v>
      </c>
      <c r="AN72" s="35">
        <f>VLOOKUP(Tabla4[[#This Row],[SERVICIO 2025]],$J$2:$V$14,6,0)*Tabla4[[#This Row],[TOTAL COBERTURA]]</f>
        <v>340569</v>
      </c>
      <c r="AO72" s="35">
        <f>VLOOKUP(Tabla4[[#This Row],[SERVICIO 2025]],$J$2:$V$14,8,0)*Tabla4[[#This Row],[TOTAL COBERTURA]]</f>
        <v>0</v>
      </c>
      <c r="AP72" s="35">
        <f>VLOOKUP(Tabla4[[#This Row],[SERVICIO 2025]],$J$2:$V$14,3,0)*Tabla4[[#This Row],[TOTAL COBERTURA]]*8</f>
        <v>12912480</v>
      </c>
      <c r="AQ72" s="35"/>
      <c r="AR72" s="35">
        <f>Tabla4[[#This Row],[VALOR FASE PREPARATORIA DE ALISTAMIENTO]]+Tabla4[[#This Row],[VALOR FASE PREPARATORIA DE CIERRE]]+Tabla4[[#This Row],[DOTACIÓN ÚNICA]]+Tabla4[[#This Row],[VALOR ATENCIÓN]]+Tabla4[[#This Row],[VALOR RACION PREPARADA]]</f>
        <v>13673745</v>
      </c>
      <c r="AS72" s="35" t="str">
        <f>+IF(Tabla4[[#This Row],[AGRUPACIONES]]=1,SUMIFS(Tabla4[VALOR TOTAL],Tabla4[ZONA DEFINITIVO],Tabla4[[#This Row],[ZONA DEFINITIVO]])," ")</f>
        <v xml:space="preserve"> </v>
      </c>
      <c r="AT72" s="27">
        <f>(VLOOKUP(Tabla4[[#This Row],[SERVICIO 2025]],$J$2:$V$14,3,0)*Tabla4[[#This Row],[TOTAL COBERTURA]])+Tabla4[[#This Row],[VALOR FASE PREPARATORIA DE ALISTAMIENTO]]+Tabla4[[#This Row],[DOTACIÓN ÚNICA]]</f>
        <v>2034756</v>
      </c>
      <c r="AU72" s="35">
        <f>(VLOOKUP(Tabla4[[#This Row],[SERVICIO 2025]],$J$2:$V$14,3,0)*Tabla4[[#This Row],[TOTAL COBERTURA]])</f>
        <v>1614060</v>
      </c>
      <c r="AV72" s="35">
        <f>(VLOOKUP(Tabla4[[#This Row],[SERVICIO 2025]],$J$2:$V$14,3,0)*Tabla4[[#This Row],[TOTAL COBERTURA]])</f>
        <v>1614060</v>
      </c>
      <c r="AW72" s="35">
        <f>(VLOOKUP(Tabla4[[#This Row],[SERVICIO 2025]],$J$2:$V$14,3,0)*Tabla4[[#This Row],[TOTAL COBERTURA]])</f>
        <v>1614060</v>
      </c>
      <c r="AX72" s="35">
        <f>(VLOOKUP(Tabla4[[#This Row],[SERVICIO 2025]],$J$2:$V$14,3,0)*Tabla4[[#This Row],[TOTAL COBERTURA]])</f>
        <v>1614060</v>
      </c>
      <c r="AY72" s="35">
        <f>(VLOOKUP(Tabla4[[#This Row],[SERVICIO 2025]],$J$2:$V$14,3,0)*Tabla4[[#This Row],[TOTAL COBERTURA]])</f>
        <v>1614060</v>
      </c>
      <c r="AZ72" s="35">
        <f>(VLOOKUP(Tabla4[[#This Row],[SERVICIO 2025]],$J$2:$V$14,3,0)*Tabla4[[#This Row],[TOTAL COBERTURA]])</f>
        <v>1614060</v>
      </c>
      <c r="BA72" s="35">
        <f>(VLOOKUP(Tabla4[[#This Row],[SERVICIO 2025]],$J$2:$V$14,3,0)*Tabla4[[#This Row],[TOTAL COBERTURA]])+Tabla4[[#This Row],[VALOR FASE PREPARATORIA DE CIERRE]]</f>
        <v>1954629</v>
      </c>
      <c r="BB72" s="35">
        <f>SUM(Tabla4[[#This Row],[DESEMBOLSO 1]:[DESEMBOLSO 8]])</f>
        <v>13673745</v>
      </c>
      <c r="BC72" s="35">
        <f>VLOOKUP(Tabla4[[#This Row],[SERVICIO 2025]],$J$2:$V$14,10,0)*Tabla4[[#This Row],[TOTAL COBERTURA]]*$W$3</f>
        <v>13559112</v>
      </c>
      <c r="BD72" s="47" t="s">
        <v>211</v>
      </c>
      <c r="BE72" s="12" t="b">
        <f>EXACT(Tabla4[[#This Row],[VALOR ATENCIÓN (8 MESES)]],Tabla4[[#This Row],[VALOR TOTAL]])</f>
        <v>1</v>
      </c>
      <c r="BF72" s="23">
        <f>Tabla4[[#This Row],[VALOR ATENCIÓN (8 MESES)]]-Tabla4[[#This Row],[VALOR TOTAL]]</f>
        <v>0</v>
      </c>
      <c r="BG72" s="12" t="b">
        <f>EXACT(Tabla4[[#This Row],[TOTAL DESEMBOLSOS]],Tabla4[[#This Row],[VALOR ATENCIÓN (8 MESES)]])</f>
        <v>1</v>
      </c>
      <c r="BH72" s="29">
        <f>Tabla4[[#This Row],[TOTAL DESEMBOLSOS]]-Tabla4[[#This Row],[VALOR ATENCIÓN (8 MESES)]]</f>
        <v>0</v>
      </c>
      <c r="BI72" t="s">
        <v>98</v>
      </c>
      <c r="BJ72">
        <v>1890</v>
      </c>
    </row>
    <row r="73" spans="1:62">
      <c r="A73" s="13">
        <v>1890</v>
      </c>
      <c r="B73" s="13" t="s">
        <v>204</v>
      </c>
      <c r="C73" s="12" t="s">
        <v>87</v>
      </c>
      <c r="D73" s="12" t="s">
        <v>205</v>
      </c>
      <c r="E73" s="12" t="s">
        <v>206</v>
      </c>
      <c r="F73" s="12" t="s">
        <v>21</v>
      </c>
      <c r="G73" s="12" t="s">
        <v>90</v>
      </c>
      <c r="H73" s="12" t="s">
        <v>242</v>
      </c>
      <c r="I73" s="12">
        <v>51011134844</v>
      </c>
      <c r="J73" s="12" t="s">
        <v>243</v>
      </c>
      <c r="K73" s="12">
        <v>1</v>
      </c>
      <c r="L73" s="12">
        <v>12</v>
      </c>
      <c r="M73" s="12"/>
      <c r="N73" s="13">
        <v>1890</v>
      </c>
      <c r="O73" s="12" t="s">
        <v>93</v>
      </c>
      <c r="P73" s="12"/>
      <c r="Q73" s="12"/>
      <c r="R73" s="12" t="s">
        <v>94</v>
      </c>
      <c r="S73" s="12">
        <v>10</v>
      </c>
      <c r="T73" s="12" t="s">
        <v>209</v>
      </c>
      <c r="U73" s="12" t="s">
        <v>210</v>
      </c>
      <c r="V73" s="12">
        <f>VLOOKUP(Tabla4[[#This Row],[ZONA DEFINITIVO]],Hoja1!$A$1:$D$121,3,0)</f>
        <v>228990</v>
      </c>
      <c r="W73" s="12">
        <f>VLOOKUP(Tabla4[[#This Row],[ZONA DEFINITIVO]],Hoja1!$A$1:$D$121,2,0)</f>
        <v>15150</v>
      </c>
      <c r="X73" s="12">
        <f>VLOOKUP(Tabla4[[#This Row],[ZONA DEFINITIVO]],Hoja1!$A$1:$D$121,4,0)</f>
        <v>90625</v>
      </c>
      <c r="Y73" s="12" t="str">
        <f>+IF(Tabla4[[#This Row],[AGRUPACIONES]]=1,SUMIFS(Tabla4[UDS],Tabla4[ZONA DEFINITIVO],Tabla4[[#This Row],[ZONA DEFINITIVO]])," ")</f>
        <v xml:space="preserve"> </v>
      </c>
      <c r="Z73" s="12" t="str">
        <f>+IF(Tabla4[[#This Row],[AGRUPACIONES]]=1,SUMIFS(Tabla4[TOTAL COBERTURA],Tabla4[ZONA DEFINITIVO],Tabla4[[#This Row],[ZONA DEFINITIVO]])," ")</f>
        <v xml:space="preserve"> </v>
      </c>
      <c r="AA73" s="12"/>
      <c r="AB73" s="38">
        <v>18231660</v>
      </c>
      <c r="AC73" s="37">
        <v>0.02</v>
      </c>
      <c r="AD73" s="38">
        <f t="shared" si="1"/>
        <v>364633.2</v>
      </c>
      <c r="AE73" s="12"/>
      <c r="AF73" s="12">
        <f>COUNTIF($A$20:A73,A73)</f>
        <v>17</v>
      </c>
      <c r="AG73" s="38">
        <v>18231660</v>
      </c>
      <c r="AH73" s="38">
        <f>Tabla4[[#This Row],[VALOR CONTRAPARTIDA]]+Tabla4[[#This Row],[TOTAL APORTES ICBF]]</f>
        <v>18596293.199999999</v>
      </c>
      <c r="AI73" s="35"/>
      <c r="AJ73" s="38"/>
      <c r="AK73" s="38"/>
      <c r="AL73" s="23"/>
      <c r="AM73" s="35">
        <f>VLOOKUP(Tabla4[[#This Row],[SERVICIO 2025]],$J$2:$V$14,5,0)*Tabla4[[#This Row],[TOTAL COBERTURA]]</f>
        <v>560928</v>
      </c>
      <c r="AN73" s="35">
        <f>VLOOKUP(Tabla4[[#This Row],[SERVICIO 2025]],$J$2:$V$14,6,0)*Tabla4[[#This Row],[TOTAL COBERTURA]]</f>
        <v>454092</v>
      </c>
      <c r="AO73" s="35">
        <f>VLOOKUP(Tabla4[[#This Row],[SERVICIO 2025]],$J$2:$V$14,8,0)*Tabla4[[#This Row],[TOTAL COBERTURA]]</f>
        <v>0</v>
      </c>
      <c r="AP73" s="35">
        <f>VLOOKUP(Tabla4[[#This Row],[SERVICIO 2025]],$J$2:$V$14,3,0)*Tabla4[[#This Row],[TOTAL COBERTURA]]*8</f>
        <v>17216640</v>
      </c>
      <c r="AQ73" s="35"/>
      <c r="AR73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73" s="35" t="str">
        <f>+IF(Tabla4[[#This Row],[AGRUPACIONES]]=1,SUMIFS(Tabla4[VALOR TOTAL],Tabla4[ZONA DEFINITIVO],Tabla4[[#This Row],[ZONA DEFINITIVO]])," ")</f>
        <v xml:space="preserve"> </v>
      </c>
      <c r="AT73" s="27">
        <f>(VLOOKUP(Tabla4[[#This Row],[SERVICIO 2025]],$J$2:$V$14,3,0)*Tabla4[[#This Row],[TOTAL COBERTURA]])+Tabla4[[#This Row],[VALOR FASE PREPARATORIA DE ALISTAMIENTO]]+Tabla4[[#This Row],[DOTACIÓN ÚNICA]]</f>
        <v>2713008</v>
      </c>
      <c r="AU73" s="35">
        <f>(VLOOKUP(Tabla4[[#This Row],[SERVICIO 2025]],$J$2:$V$14,3,0)*Tabla4[[#This Row],[TOTAL COBERTURA]])</f>
        <v>2152080</v>
      </c>
      <c r="AV73" s="35">
        <f>(VLOOKUP(Tabla4[[#This Row],[SERVICIO 2025]],$J$2:$V$14,3,0)*Tabla4[[#This Row],[TOTAL COBERTURA]])</f>
        <v>2152080</v>
      </c>
      <c r="AW73" s="35">
        <f>(VLOOKUP(Tabla4[[#This Row],[SERVICIO 2025]],$J$2:$V$14,3,0)*Tabla4[[#This Row],[TOTAL COBERTURA]])</f>
        <v>2152080</v>
      </c>
      <c r="AX73" s="35">
        <f>(VLOOKUP(Tabla4[[#This Row],[SERVICIO 2025]],$J$2:$V$14,3,0)*Tabla4[[#This Row],[TOTAL COBERTURA]])</f>
        <v>2152080</v>
      </c>
      <c r="AY73" s="35">
        <f>(VLOOKUP(Tabla4[[#This Row],[SERVICIO 2025]],$J$2:$V$14,3,0)*Tabla4[[#This Row],[TOTAL COBERTURA]])</f>
        <v>2152080</v>
      </c>
      <c r="AZ73" s="35">
        <f>(VLOOKUP(Tabla4[[#This Row],[SERVICIO 2025]],$J$2:$V$14,3,0)*Tabla4[[#This Row],[TOTAL COBERTURA]])</f>
        <v>2152080</v>
      </c>
      <c r="BA73" s="35">
        <f>(VLOOKUP(Tabla4[[#This Row],[SERVICIO 2025]],$J$2:$V$14,3,0)*Tabla4[[#This Row],[TOTAL COBERTURA]])+Tabla4[[#This Row],[VALOR FASE PREPARATORIA DE CIERRE]]</f>
        <v>2606172</v>
      </c>
      <c r="BB73" s="35">
        <f>SUM(Tabla4[[#This Row],[DESEMBOLSO 1]:[DESEMBOLSO 8]])</f>
        <v>18231660</v>
      </c>
      <c r="BC73" s="35">
        <f>VLOOKUP(Tabla4[[#This Row],[SERVICIO 2025]],$J$2:$V$14,10,0)*Tabla4[[#This Row],[TOTAL COBERTURA]]*$W$3</f>
        <v>18078816</v>
      </c>
      <c r="BD73" s="47" t="s">
        <v>211</v>
      </c>
      <c r="BE73" s="12" t="b">
        <f>EXACT(Tabla4[[#This Row],[VALOR ATENCIÓN (8 MESES)]],Tabla4[[#This Row],[VALOR TOTAL]])</f>
        <v>1</v>
      </c>
      <c r="BF73" s="23">
        <f>Tabla4[[#This Row],[VALOR ATENCIÓN (8 MESES)]]-Tabla4[[#This Row],[VALOR TOTAL]]</f>
        <v>0</v>
      </c>
      <c r="BG73" s="12" t="b">
        <f>EXACT(Tabla4[[#This Row],[TOTAL DESEMBOLSOS]],Tabla4[[#This Row],[VALOR ATENCIÓN (8 MESES)]])</f>
        <v>1</v>
      </c>
      <c r="BH73" s="29">
        <f>Tabla4[[#This Row],[TOTAL DESEMBOLSOS]]-Tabla4[[#This Row],[VALOR ATENCIÓN (8 MESES)]]</f>
        <v>0</v>
      </c>
      <c r="BI73" t="s">
        <v>98</v>
      </c>
      <c r="BJ73">
        <v>1890</v>
      </c>
    </row>
    <row r="74" spans="1:62">
      <c r="A74" s="13">
        <v>1890</v>
      </c>
      <c r="B74" s="13" t="s">
        <v>204</v>
      </c>
      <c r="C74" s="12" t="s">
        <v>87</v>
      </c>
      <c r="D74" s="12" t="s">
        <v>205</v>
      </c>
      <c r="E74" s="12" t="s">
        <v>206</v>
      </c>
      <c r="F74" s="12" t="s">
        <v>21</v>
      </c>
      <c r="G74" s="12" t="s">
        <v>90</v>
      </c>
      <c r="H74" s="12" t="s">
        <v>244</v>
      </c>
      <c r="I74" s="12">
        <v>51011134851</v>
      </c>
      <c r="J74" s="12" t="s">
        <v>245</v>
      </c>
      <c r="K74" s="12">
        <v>1</v>
      </c>
      <c r="L74" s="12">
        <v>19</v>
      </c>
      <c r="M74" s="12"/>
      <c r="N74" s="13">
        <v>1890</v>
      </c>
      <c r="O74" s="12" t="s">
        <v>93</v>
      </c>
      <c r="P74" s="12"/>
      <c r="Q74" s="12"/>
      <c r="R74" s="12" t="s">
        <v>94</v>
      </c>
      <c r="S74" s="12">
        <v>10</v>
      </c>
      <c r="T74" s="12" t="s">
        <v>209</v>
      </c>
      <c r="U74" s="12" t="s">
        <v>210</v>
      </c>
      <c r="V74" s="12">
        <f>VLOOKUP(Tabla4[[#This Row],[ZONA DEFINITIVO]],Hoja1!$A$1:$D$121,3,0)</f>
        <v>228990</v>
      </c>
      <c r="W74" s="12">
        <f>VLOOKUP(Tabla4[[#This Row],[ZONA DEFINITIVO]],Hoja1!$A$1:$D$121,2,0)</f>
        <v>15150</v>
      </c>
      <c r="X74" s="12">
        <f>VLOOKUP(Tabla4[[#This Row],[ZONA DEFINITIVO]],Hoja1!$A$1:$D$121,4,0)</f>
        <v>90625</v>
      </c>
      <c r="Y74" s="12" t="str">
        <f>+IF(Tabla4[[#This Row],[AGRUPACIONES]]=1,SUMIFS(Tabla4[UDS],Tabla4[ZONA DEFINITIVO],Tabla4[[#This Row],[ZONA DEFINITIVO]])," ")</f>
        <v xml:space="preserve"> </v>
      </c>
      <c r="Z74" s="12" t="str">
        <f>+IF(Tabla4[[#This Row],[AGRUPACIONES]]=1,SUMIFS(Tabla4[TOTAL COBERTURA],Tabla4[ZONA DEFINITIVO],Tabla4[[#This Row],[ZONA DEFINITIVO]])," ")</f>
        <v xml:space="preserve"> </v>
      </c>
      <c r="AA74" s="12"/>
      <c r="AB74" s="38">
        <v>28866795</v>
      </c>
      <c r="AC74" s="37">
        <v>0.02</v>
      </c>
      <c r="AD74" s="38">
        <f t="shared" si="1"/>
        <v>577335.9</v>
      </c>
      <c r="AE74" s="12"/>
      <c r="AF74" s="12">
        <f>COUNTIF($A$20:A74,A74)</f>
        <v>18</v>
      </c>
      <c r="AG74" s="38">
        <v>28866795</v>
      </c>
      <c r="AH74" s="38">
        <f>Tabla4[[#This Row],[VALOR CONTRAPARTIDA]]+Tabla4[[#This Row],[TOTAL APORTES ICBF]]</f>
        <v>29444130.899999999</v>
      </c>
      <c r="AI74" s="35"/>
      <c r="AJ74" s="38"/>
      <c r="AK74" s="38"/>
      <c r="AL74" s="23"/>
      <c r="AM74" s="35">
        <f>VLOOKUP(Tabla4[[#This Row],[SERVICIO 2025]],$J$2:$V$14,5,0)*Tabla4[[#This Row],[TOTAL COBERTURA]]</f>
        <v>888136</v>
      </c>
      <c r="AN74" s="35">
        <f>VLOOKUP(Tabla4[[#This Row],[SERVICIO 2025]],$J$2:$V$14,6,0)*Tabla4[[#This Row],[TOTAL COBERTURA]]</f>
        <v>718979</v>
      </c>
      <c r="AO74" s="35">
        <f>VLOOKUP(Tabla4[[#This Row],[SERVICIO 2025]],$J$2:$V$14,8,0)*Tabla4[[#This Row],[TOTAL COBERTURA]]</f>
        <v>0</v>
      </c>
      <c r="AP74" s="35">
        <f>VLOOKUP(Tabla4[[#This Row],[SERVICIO 2025]],$J$2:$V$14,3,0)*Tabla4[[#This Row],[TOTAL COBERTURA]]*8</f>
        <v>27259680</v>
      </c>
      <c r="AQ74" s="35"/>
      <c r="AR74" s="35">
        <f>Tabla4[[#This Row],[VALOR FASE PREPARATORIA DE ALISTAMIENTO]]+Tabla4[[#This Row],[VALOR FASE PREPARATORIA DE CIERRE]]+Tabla4[[#This Row],[DOTACIÓN ÚNICA]]+Tabla4[[#This Row],[VALOR ATENCIÓN]]+Tabla4[[#This Row],[VALOR RACION PREPARADA]]</f>
        <v>28866795</v>
      </c>
      <c r="AS74" s="35" t="str">
        <f>+IF(Tabla4[[#This Row],[AGRUPACIONES]]=1,SUMIFS(Tabla4[VALOR TOTAL],Tabla4[ZONA DEFINITIVO],Tabla4[[#This Row],[ZONA DEFINITIVO]])," ")</f>
        <v xml:space="preserve"> </v>
      </c>
      <c r="AT74" s="27">
        <f>(VLOOKUP(Tabla4[[#This Row],[SERVICIO 2025]],$J$2:$V$14,3,0)*Tabla4[[#This Row],[TOTAL COBERTURA]])+Tabla4[[#This Row],[VALOR FASE PREPARATORIA DE ALISTAMIENTO]]+Tabla4[[#This Row],[DOTACIÓN ÚNICA]]</f>
        <v>4295596</v>
      </c>
      <c r="AU74" s="35">
        <f>(VLOOKUP(Tabla4[[#This Row],[SERVICIO 2025]],$J$2:$V$14,3,0)*Tabla4[[#This Row],[TOTAL COBERTURA]])</f>
        <v>3407460</v>
      </c>
      <c r="AV74" s="35">
        <f>(VLOOKUP(Tabla4[[#This Row],[SERVICIO 2025]],$J$2:$V$14,3,0)*Tabla4[[#This Row],[TOTAL COBERTURA]])</f>
        <v>3407460</v>
      </c>
      <c r="AW74" s="35">
        <f>(VLOOKUP(Tabla4[[#This Row],[SERVICIO 2025]],$J$2:$V$14,3,0)*Tabla4[[#This Row],[TOTAL COBERTURA]])</f>
        <v>3407460</v>
      </c>
      <c r="AX74" s="35">
        <f>(VLOOKUP(Tabla4[[#This Row],[SERVICIO 2025]],$J$2:$V$14,3,0)*Tabla4[[#This Row],[TOTAL COBERTURA]])</f>
        <v>3407460</v>
      </c>
      <c r="AY74" s="35">
        <f>(VLOOKUP(Tabla4[[#This Row],[SERVICIO 2025]],$J$2:$V$14,3,0)*Tabla4[[#This Row],[TOTAL COBERTURA]])</f>
        <v>3407460</v>
      </c>
      <c r="AZ74" s="35">
        <f>(VLOOKUP(Tabla4[[#This Row],[SERVICIO 2025]],$J$2:$V$14,3,0)*Tabla4[[#This Row],[TOTAL COBERTURA]])</f>
        <v>3407460</v>
      </c>
      <c r="BA74" s="35">
        <f>(VLOOKUP(Tabla4[[#This Row],[SERVICIO 2025]],$J$2:$V$14,3,0)*Tabla4[[#This Row],[TOTAL COBERTURA]])+Tabla4[[#This Row],[VALOR FASE PREPARATORIA DE CIERRE]]</f>
        <v>4126439</v>
      </c>
      <c r="BB74" s="35">
        <f>SUM(Tabla4[[#This Row],[DESEMBOLSO 1]:[DESEMBOLSO 8]])</f>
        <v>28866795</v>
      </c>
      <c r="BC74" s="35">
        <f>VLOOKUP(Tabla4[[#This Row],[SERVICIO 2025]],$J$2:$V$14,10,0)*Tabla4[[#This Row],[TOTAL COBERTURA]]*$W$3</f>
        <v>28624792</v>
      </c>
      <c r="BD74" s="47" t="s">
        <v>211</v>
      </c>
      <c r="BE74" s="12" t="b">
        <f>EXACT(Tabla4[[#This Row],[VALOR ATENCIÓN (8 MESES)]],Tabla4[[#This Row],[VALOR TOTAL]])</f>
        <v>1</v>
      </c>
      <c r="BF74" s="23">
        <f>Tabla4[[#This Row],[VALOR ATENCIÓN (8 MESES)]]-Tabla4[[#This Row],[VALOR TOTAL]]</f>
        <v>0</v>
      </c>
      <c r="BG74" s="12" t="b">
        <f>EXACT(Tabla4[[#This Row],[TOTAL DESEMBOLSOS]],Tabla4[[#This Row],[VALOR ATENCIÓN (8 MESES)]])</f>
        <v>1</v>
      </c>
      <c r="BH74" s="29">
        <f>Tabla4[[#This Row],[TOTAL DESEMBOLSOS]]-Tabla4[[#This Row],[VALOR ATENCIÓN (8 MESES)]]</f>
        <v>0</v>
      </c>
      <c r="BI74" t="s">
        <v>98</v>
      </c>
      <c r="BJ74">
        <v>1890</v>
      </c>
    </row>
    <row r="75" spans="1:62">
      <c r="A75" s="13">
        <v>1890</v>
      </c>
      <c r="B75" s="13" t="s">
        <v>204</v>
      </c>
      <c r="C75" s="12" t="s">
        <v>87</v>
      </c>
      <c r="D75" s="12" t="s">
        <v>205</v>
      </c>
      <c r="E75" s="12" t="s">
        <v>206</v>
      </c>
      <c r="F75" s="12" t="s">
        <v>21</v>
      </c>
      <c r="G75" s="12" t="s">
        <v>90</v>
      </c>
      <c r="H75" s="12" t="s">
        <v>246</v>
      </c>
      <c r="I75" s="12">
        <v>51011134856</v>
      </c>
      <c r="J75" s="12" t="s">
        <v>247</v>
      </c>
      <c r="K75" s="12">
        <v>1</v>
      </c>
      <c r="L75" s="12">
        <v>19</v>
      </c>
      <c r="M75" s="12"/>
      <c r="N75" s="13">
        <v>1890</v>
      </c>
      <c r="O75" s="12" t="s">
        <v>93</v>
      </c>
      <c r="P75" s="12"/>
      <c r="Q75" s="12"/>
      <c r="R75" s="12" t="s">
        <v>94</v>
      </c>
      <c r="S75" s="12">
        <v>10</v>
      </c>
      <c r="T75" s="12" t="s">
        <v>209</v>
      </c>
      <c r="U75" s="12" t="s">
        <v>210</v>
      </c>
      <c r="V75" s="12">
        <f>VLOOKUP(Tabla4[[#This Row],[ZONA DEFINITIVO]],Hoja1!$A$1:$D$121,3,0)</f>
        <v>228990</v>
      </c>
      <c r="W75" s="12">
        <f>VLOOKUP(Tabla4[[#This Row],[ZONA DEFINITIVO]],Hoja1!$A$1:$D$121,2,0)</f>
        <v>15150</v>
      </c>
      <c r="X75" s="12">
        <f>VLOOKUP(Tabla4[[#This Row],[ZONA DEFINITIVO]],Hoja1!$A$1:$D$121,4,0)</f>
        <v>90625</v>
      </c>
      <c r="Y75" s="12" t="str">
        <f>+IF(Tabla4[[#This Row],[AGRUPACIONES]]=1,SUMIFS(Tabla4[UDS],Tabla4[ZONA DEFINITIVO],Tabla4[[#This Row],[ZONA DEFINITIVO]])," ")</f>
        <v xml:space="preserve"> </v>
      </c>
      <c r="Z75" s="12" t="str">
        <f>+IF(Tabla4[[#This Row],[AGRUPACIONES]]=1,SUMIFS(Tabla4[TOTAL COBERTURA],Tabla4[ZONA DEFINITIVO],Tabla4[[#This Row],[ZONA DEFINITIVO]])," ")</f>
        <v xml:space="preserve"> </v>
      </c>
      <c r="AA75" s="12"/>
      <c r="AB75" s="38">
        <v>28866795</v>
      </c>
      <c r="AC75" s="37">
        <v>0.02</v>
      </c>
      <c r="AD75" s="38">
        <f t="shared" si="1"/>
        <v>577335.9</v>
      </c>
      <c r="AE75" s="12"/>
      <c r="AF75" s="12">
        <f>COUNTIF($A$20:A75,A75)</f>
        <v>19</v>
      </c>
      <c r="AG75" s="38">
        <v>28866795</v>
      </c>
      <c r="AH75" s="38">
        <f>Tabla4[[#This Row],[VALOR CONTRAPARTIDA]]+Tabla4[[#This Row],[TOTAL APORTES ICBF]]</f>
        <v>29444130.899999999</v>
      </c>
      <c r="AI75" s="35"/>
      <c r="AJ75" s="38"/>
      <c r="AK75" s="38"/>
      <c r="AL75" s="23"/>
      <c r="AM75" s="35">
        <f>VLOOKUP(Tabla4[[#This Row],[SERVICIO 2025]],$J$2:$V$14,5,0)*Tabla4[[#This Row],[TOTAL COBERTURA]]</f>
        <v>888136</v>
      </c>
      <c r="AN75" s="35">
        <f>VLOOKUP(Tabla4[[#This Row],[SERVICIO 2025]],$J$2:$V$14,6,0)*Tabla4[[#This Row],[TOTAL COBERTURA]]</f>
        <v>718979</v>
      </c>
      <c r="AO75" s="35">
        <f>VLOOKUP(Tabla4[[#This Row],[SERVICIO 2025]],$J$2:$V$14,8,0)*Tabla4[[#This Row],[TOTAL COBERTURA]]</f>
        <v>0</v>
      </c>
      <c r="AP75" s="35">
        <f>VLOOKUP(Tabla4[[#This Row],[SERVICIO 2025]],$J$2:$V$14,3,0)*Tabla4[[#This Row],[TOTAL COBERTURA]]*8</f>
        <v>27259680</v>
      </c>
      <c r="AQ75" s="35"/>
      <c r="AR75" s="35">
        <f>Tabla4[[#This Row],[VALOR FASE PREPARATORIA DE ALISTAMIENTO]]+Tabla4[[#This Row],[VALOR FASE PREPARATORIA DE CIERRE]]+Tabla4[[#This Row],[DOTACIÓN ÚNICA]]+Tabla4[[#This Row],[VALOR ATENCIÓN]]+Tabla4[[#This Row],[VALOR RACION PREPARADA]]</f>
        <v>28866795</v>
      </c>
      <c r="AS75" s="35" t="str">
        <f>+IF(Tabla4[[#This Row],[AGRUPACIONES]]=1,SUMIFS(Tabla4[VALOR TOTAL],Tabla4[ZONA DEFINITIVO],Tabla4[[#This Row],[ZONA DEFINITIVO]])," ")</f>
        <v xml:space="preserve"> </v>
      </c>
      <c r="AT75" s="27">
        <f>(VLOOKUP(Tabla4[[#This Row],[SERVICIO 2025]],$J$2:$V$14,3,0)*Tabla4[[#This Row],[TOTAL COBERTURA]])+Tabla4[[#This Row],[VALOR FASE PREPARATORIA DE ALISTAMIENTO]]+Tabla4[[#This Row],[DOTACIÓN ÚNICA]]</f>
        <v>4295596</v>
      </c>
      <c r="AU75" s="35">
        <f>(VLOOKUP(Tabla4[[#This Row],[SERVICIO 2025]],$J$2:$V$14,3,0)*Tabla4[[#This Row],[TOTAL COBERTURA]])</f>
        <v>3407460</v>
      </c>
      <c r="AV75" s="35">
        <f>(VLOOKUP(Tabla4[[#This Row],[SERVICIO 2025]],$J$2:$V$14,3,0)*Tabla4[[#This Row],[TOTAL COBERTURA]])</f>
        <v>3407460</v>
      </c>
      <c r="AW75" s="35">
        <f>(VLOOKUP(Tabla4[[#This Row],[SERVICIO 2025]],$J$2:$V$14,3,0)*Tabla4[[#This Row],[TOTAL COBERTURA]])</f>
        <v>3407460</v>
      </c>
      <c r="AX75" s="35">
        <f>(VLOOKUP(Tabla4[[#This Row],[SERVICIO 2025]],$J$2:$V$14,3,0)*Tabla4[[#This Row],[TOTAL COBERTURA]])</f>
        <v>3407460</v>
      </c>
      <c r="AY75" s="35">
        <f>(VLOOKUP(Tabla4[[#This Row],[SERVICIO 2025]],$J$2:$V$14,3,0)*Tabla4[[#This Row],[TOTAL COBERTURA]])</f>
        <v>3407460</v>
      </c>
      <c r="AZ75" s="35">
        <f>(VLOOKUP(Tabla4[[#This Row],[SERVICIO 2025]],$J$2:$V$14,3,0)*Tabla4[[#This Row],[TOTAL COBERTURA]])</f>
        <v>3407460</v>
      </c>
      <c r="BA75" s="35">
        <f>(VLOOKUP(Tabla4[[#This Row],[SERVICIO 2025]],$J$2:$V$14,3,0)*Tabla4[[#This Row],[TOTAL COBERTURA]])+Tabla4[[#This Row],[VALOR FASE PREPARATORIA DE CIERRE]]</f>
        <v>4126439</v>
      </c>
      <c r="BB75" s="35">
        <f>SUM(Tabla4[[#This Row],[DESEMBOLSO 1]:[DESEMBOLSO 8]])</f>
        <v>28866795</v>
      </c>
      <c r="BC75" s="35">
        <f>VLOOKUP(Tabla4[[#This Row],[SERVICIO 2025]],$J$2:$V$14,10,0)*Tabla4[[#This Row],[TOTAL COBERTURA]]*$W$3</f>
        <v>28624792</v>
      </c>
      <c r="BD75" s="47" t="s">
        <v>211</v>
      </c>
      <c r="BE75" s="12" t="b">
        <f>EXACT(Tabla4[[#This Row],[VALOR ATENCIÓN (8 MESES)]],Tabla4[[#This Row],[VALOR TOTAL]])</f>
        <v>1</v>
      </c>
      <c r="BF75" s="23">
        <f>Tabla4[[#This Row],[VALOR ATENCIÓN (8 MESES)]]-Tabla4[[#This Row],[VALOR TOTAL]]</f>
        <v>0</v>
      </c>
      <c r="BG75" s="12" t="b">
        <f>EXACT(Tabla4[[#This Row],[TOTAL DESEMBOLSOS]],Tabla4[[#This Row],[VALOR ATENCIÓN (8 MESES)]])</f>
        <v>1</v>
      </c>
      <c r="BH75" s="29">
        <f>Tabla4[[#This Row],[TOTAL DESEMBOLSOS]]-Tabla4[[#This Row],[VALOR ATENCIÓN (8 MESES)]]</f>
        <v>0</v>
      </c>
      <c r="BI75" t="s">
        <v>98</v>
      </c>
      <c r="BJ75">
        <v>1890</v>
      </c>
    </row>
    <row r="76" spans="1:62">
      <c r="A76" s="13">
        <v>1890</v>
      </c>
      <c r="B76" s="13" t="s">
        <v>204</v>
      </c>
      <c r="C76" s="12" t="s">
        <v>87</v>
      </c>
      <c r="D76" s="12" t="s">
        <v>205</v>
      </c>
      <c r="E76" s="12" t="s">
        <v>206</v>
      </c>
      <c r="F76" s="12" t="s">
        <v>21</v>
      </c>
      <c r="G76" s="12" t="s">
        <v>90</v>
      </c>
      <c r="H76" s="12" t="s">
        <v>248</v>
      </c>
      <c r="I76" s="12">
        <v>51011134862</v>
      </c>
      <c r="J76" s="12" t="s">
        <v>249</v>
      </c>
      <c r="K76" s="12">
        <v>1</v>
      </c>
      <c r="L76" s="12">
        <v>24</v>
      </c>
      <c r="M76" s="12"/>
      <c r="N76" s="13">
        <v>1890</v>
      </c>
      <c r="O76" s="12" t="s">
        <v>93</v>
      </c>
      <c r="P76" s="12"/>
      <c r="Q76" s="12"/>
      <c r="R76" s="12" t="s">
        <v>94</v>
      </c>
      <c r="S76" s="12">
        <v>10</v>
      </c>
      <c r="T76" s="12" t="s">
        <v>209</v>
      </c>
      <c r="U76" s="12" t="s">
        <v>210</v>
      </c>
      <c r="V76" s="12">
        <f>VLOOKUP(Tabla4[[#This Row],[ZONA DEFINITIVO]],Hoja1!$A$1:$D$121,3,0)</f>
        <v>228990</v>
      </c>
      <c r="W76" s="12">
        <f>VLOOKUP(Tabla4[[#This Row],[ZONA DEFINITIVO]],Hoja1!$A$1:$D$121,2,0)</f>
        <v>15150</v>
      </c>
      <c r="X76" s="12">
        <f>VLOOKUP(Tabla4[[#This Row],[ZONA DEFINITIVO]],Hoja1!$A$1:$D$121,4,0)</f>
        <v>90625</v>
      </c>
      <c r="Y76" s="12" t="str">
        <f>+IF(Tabla4[[#This Row],[AGRUPACIONES]]=1,SUMIFS(Tabla4[UDS],Tabla4[ZONA DEFINITIVO],Tabla4[[#This Row],[ZONA DEFINITIVO]])," ")</f>
        <v xml:space="preserve"> </v>
      </c>
      <c r="Z76" s="12" t="str">
        <f>+IF(Tabla4[[#This Row],[AGRUPACIONES]]=1,SUMIFS(Tabla4[TOTAL COBERTURA],Tabla4[ZONA DEFINITIVO],Tabla4[[#This Row],[ZONA DEFINITIVO]])," ")</f>
        <v xml:space="preserve"> </v>
      </c>
      <c r="AA76" s="12"/>
      <c r="AB76" s="38">
        <v>36463320</v>
      </c>
      <c r="AC76" s="37">
        <v>0.02</v>
      </c>
      <c r="AD76" s="38">
        <f t="shared" si="1"/>
        <v>729266.4</v>
      </c>
      <c r="AE76" s="12"/>
      <c r="AF76" s="12">
        <f>COUNTIF($A$20:A76,A76)</f>
        <v>20</v>
      </c>
      <c r="AG76" s="38">
        <v>36463320</v>
      </c>
      <c r="AH76" s="38">
        <f>Tabla4[[#This Row],[VALOR CONTRAPARTIDA]]+Tabla4[[#This Row],[TOTAL APORTES ICBF]]</f>
        <v>37192586.399999999</v>
      </c>
      <c r="AI76" s="35"/>
      <c r="AJ76" s="38"/>
      <c r="AK76" s="38"/>
      <c r="AL76" s="23"/>
      <c r="AM76" s="35">
        <f>VLOOKUP(Tabla4[[#This Row],[SERVICIO 2025]],$J$2:$V$14,5,0)*Tabla4[[#This Row],[TOTAL COBERTURA]]</f>
        <v>1121856</v>
      </c>
      <c r="AN76" s="35">
        <f>VLOOKUP(Tabla4[[#This Row],[SERVICIO 2025]],$J$2:$V$14,6,0)*Tabla4[[#This Row],[TOTAL COBERTURA]]</f>
        <v>908184</v>
      </c>
      <c r="AO76" s="35">
        <f>VLOOKUP(Tabla4[[#This Row],[SERVICIO 2025]],$J$2:$V$14,8,0)*Tabla4[[#This Row],[TOTAL COBERTURA]]</f>
        <v>0</v>
      </c>
      <c r="AP76" s="35">
        <f>VLOOKUP(Tabla4[[#This Row],[SERVICIO 2025]],$J$2:$V$14,3,0)*Tabla4[[#This Row],[TOTAL COBERTURA]]*8</f>
        <v>34433280</v>
      </c>
      <c r="AQ76" s="35"/>
      <c r="AR76" s="35">
        <f>Tabla4[[#This Row],[VALOR FASE PREPARATORIA DE ALISTAMIENTO]]+Tabla4[[#This Row],[VALOR FASE PREPARATORIA DE CIERRE]]+Tabla4[[#This Row],[DOTACIÓN ÚNICA]]+Tabla4[[#This Row],[VALOR ATENCIÓN]]+Tabla4[[#This Row],[VALOR RACION PREPARADA]]</f>
        <v>36463320</v>
      </c>
      <c r="AS76" s="35" t="str">
        <f>+IF(Tabla4[[#This Row],[AGRUPACIONES]]=1,SUMIFS(Tabla4[VALOR TOTAL],Tabla4[ZONA DEFINITIVO],Tabla4[[#This Row],[ZONA DEFINITIVO]])," ")</f>
        <v xml:space="preserve"> </v>
      </c>
      <c r="AT76" s="27">
        <f>(VLOOKUP(Tabla4[[#This Row],[SERVICIO 2025]],$J$2:$V$14,3,0)*Tabla4[[#This Row],[TOTAL COBERTURA]])+Tabla4[[#This Row],[VALOR FASE PREPARATORIA DE ALISTAMIENTO]]+Tabla4[[#This Row],[DOTACIÓN ÚNICA]]</f>
        <v>5426016</v>
      </c>
      <c r="AU76" s="35">
        <f>(VLOOKUP(Tabla4[[#This Row],[SERVICIO 2025]],$J$2:$V$14,3,0)*Tabla4[[#This Row],[TOTAL COBERTURA]])</f>
        <v>4304160</v>
      </c>
      <c r="AV76" s="35">
        <f>(VLOOKUP(Tabla4[[#This Row],[SERVICIO 2025]],$J$2:$V$14,3,0)*Tabla4[[#This Row],[TOTAL COBERTURA]])</f>
        <v>4304160</v>
      </c>
      <c r="AW76" s="35">
        <f>(VLOOKUP(Tabla4[[#This Row],[SERVICIO 2025]],$J$2:$V$14,3,0)*Tabla4[[#This Row],[TOTAL COBERTURA]])</f>
        <v>4304160</v>
      </c>
      <c r="AX76" s="35">
        <f>(VLOOKUP(Tabla4[[#This Row],[SERVICIO 2025]],$J$2:$V$14,3,0)*Tabla4[[#This Row],[TOTAL COBERTURA]])</f>
        <v>4304160</v>
      </c>
      <c r="AY76" s="35">
        <f>(VLOOKUP(Tabla4[[#This Row],[SERVICIO 2025]],$J$2:$V$14,3,0)*Tabla4[[#This Row],[TOTAL COBERTURA]])</f>
        <v>4304160</v>
      </c>
      <c r="AZ76" s="35">
        <f>(VLOOKUP(Tabla4[[#This Row],[SERVICIO 2025]],$J$2:$V$14,3,0)*Tabla4[[#This Row],[TOTAL COBERTURA]])</f>
        <v>4304160</v>
      </c>
      <c r="BA76" s="35">
        <f>(VLOOKUP(Tabla4[[#This Row],[SERVICIO 2025]],$J$2:$V$14,3,0)*Tabla4[[#This Row],[TOTAL COBERTURA]])+Tabla4[[#This Row],[VALOR FASE PREPARATORIA DE CIERRE]]</f>
        <v>5212344</v>
      </c>
      <c r="BB76" s="35">
        <f>SUM(Tabla4[[#This Row],[DESEMBOLSO 1]:[DESEMBOLSO 8]])</f>
        <v>36463320</v>
      </c>
      <c r="BC76" s="35">
        <f>VLOOKUP(Tabla4[[#This Row],[SERVICIO 2025]],$J$2:$V$14,10,0)*Tabla4[[#This Row],[TOTAL COBERTURA]]*$W$3</f>
        <v>36157632</v>
      </c>
      <c r="BD76" s="47" t="s">
        <v>211</v>
      </c>
      <c r="BE76" s="12" t="b">
        <f>EXACT(Tabla4[[#This Row],[VALOR ATENCIÓN (8 MESES)]],Tabla4[[#This Row],[VALOR TOTAL]])</f>
        <v>1</v>
      </c>
      <c r="BF76" s="23">
        <f>Tabla4[[#This Row],[VALOR ATENCIÓN (8 MESES)]]-Tabla4[[#This Row],[VALOR TOTAL]]</f>
        <v>0</v>
      </c>
      <c r="BG76" s="12" t="b">
        <f>EXACT(Tabla4[[#This Row],[TOTAL DESEMBOLSOS]],Tabla4[[#This Row],[VALOR ATENCIÓN (8 MESES)]])</f>
        <v>1</v>
      </c>
      <c r="BH76" s="29">
        <f>Tabla4[[#This Row],[TOTAL DESEMBOLSOS]]-Tabla4[[#This Row],[VALOR ATENCIÓN (8 MESES)]]</f>
        <v>0</v>
      </c>
      <c r="BI76" t="s">
        <v>98</v>
      </c>
      <c r="BJ76">
        <v>1890</v>
      </c>
    </row>
    <row r="77" spans="1:62">
      <c r="A77" s="13">
        <v>1890</v>
      </c>
      <c r="B77" s="13" t="s">
        <v>204</v>
      </c>
      <c r="C77" s="12" t="s">
        <v>87</v>
      </c>
      <c r="D77" s="12" t="s">
        <v>205</v>
      </c>
      <c r="E77" s="12" t="s">
        <v>206</v>
      </c>
      <c r="F77" s="12" t="s">
        <v>21</v>
      </c>
      <c r="G77" s="12" t="s">
        <v>90</v>
      </c>
      <c r="H77" s="12" t="s">
        <v>250</v>
      </c>
      <c r="I77" s="12">
        <v>51011151172</v>
      </c>
      <c r="J77" s="12" t="s">
        <v>251</v>
      </c>
      <c r="K77" s="12">
        <v>1</v>
      </c>
      <c r="L77" s="12">
        <v>17</v>
      </c>
      <c r="M77" s="12"/>
      <c r="N77" s="13">
        <v>1890</v>
      </c>
      <c r="O77" s="12" t="s">
        <v>93</v>
      </c>
      <c r="P77" s="12"/>
      <c r="Q77" s="12"/>
      <c r="R77" s="12" t="s">
        <v>94</v>
      </c>
      <c r="S77" s="12">
        <v>10</v>
      </c>
      <c r="T77" s="12" t="s">
        <v>209</v>
      </c>
      <c r="U77" s="12" t="s">
        <v>210</v>
      </c>
      <c r="V77" s="12">
        <f>VLOOKUP(Tabla4[[#This Row],[ZONA DEFINITIVO]],Hoja1!$A$1:$D$121,3,0)</f>
        <v>228990</v>
      </c>
      <c r="W77" s="12">
        <f>VLOOKUP(Tabla4[[#This Row],[ZONA DEFINITIVO]],Hoja1!$A$1:$D$121,2,0)</f>
        <v>15150</v>
      </c>
      <c r="X77" s="12">
        <f>VLOOKUP(Tabla4[[#This Row],[ZONA DEFINITIVO]],Hoja1!$A$1:$D$121,4,0)</f>
        <v>90625</v>
      </c>
      <c r="Y77" s="12" t="str">
        <f>+IF(Tabla4[[#This Row],[AGRUPACIONES]]=1,SUMIFS(Tabla4[UDS],Tabla4[ZONA DEFINITIVO],Tabla4[[#This Row],[ZONA DEFINITIVO]])," ")</f>
        <v xml:space="preserve"> </v>
      </c>
      <c r="Z77" s="12" t="str">
        <f>+IF(Tabla4[[#This Row],[AGRUPACIONES]]=1,SUMIFS(Tabla4[TOTAL COBERTURA],Tabla4[ZONA DEFINITIVO],Tabla4[[#This Row],[ZONA DEFINITIVO]])," ")</f>
        <v xml:space="preserve"> </v>
      </c>
      <c r="AA77" s="12"/>
      <c r="AB77" s="38">
        <v>25828185</v>
      </c>
      <c r="AC77" s="37">
        <v>0.02</v>
      </c>
      <c r="AD77" s="38">
        <f t="shared" si="1"/>
        <v>516563.7</v>
      </c>
      <c r="AE77" s="12"/>
      <c r="AF77" s="12">
        <f>COUNTIF($A$20:A77,A77)</f>
        <v>21</v>
      </c>
      <c r="AG77" s="38">
        <v>25828185</v>
      </c>
      <c r="AH77" s="38">
        <f>Tabla4[[#This Row],[VALOR CONTRAPARTIDA]]+Tabla4[[#This Row],[TOTAL APORTES ICBF]]</f>
        <v>26344748.699999999</v>
      </c>
      <c r="AI77" s="35"/>
      <c r="AJ77" s="38"/>
      <c r="AK77" s="38"/>
      <c r="AL77" s="23"/>
      <c r="AM77" s="35">
        <f>VLOOKUP(Tabla4[[#This Row],[SERVICIO 2025]],$J$2:$V$14,5,0)*Tabla4[[#This Row],[TOTAL COBERTURA]]</f>
        <v>794648</v>
      </c>
      <c r="AN77" s="35">
        <f>VLOOKUP(Tabla4[[#This Row],[SERVICIO 2025]],$J$2:$V$14,6,0)*Tabla4[[#This Row],[TOTAL COBERTURA]]</f>
        <v>643297</v>
      </c>
      <c r="AO77" s="35">
        <f>VLOOKUP(Tabla4[[#This Row],[SERVICIO 2025]],$J$2:$V$14,8,0)*Tabla4[[#This Row],[TOTAL COBERTURA]]</f>
        <v>0</v>
      </c>
      <c r="AP77" s="35">
        <f>VLOOKUP(Tabla4[[#This Row],[SERVICIO 2025]],$J$2:$V$14,3,0)*Tabla4[[#This Row],[TOTAL COBERTURA]]*8</f>
        <v>24390240</v>
      </c>
      <c r="AQ77" s="35"/>
      <c r="AR77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77" s="35" t="str">
        <f>+IF(Tabla4[[#This Row],[AGRUPACIONES]]=1,SUMIFS(Tabla4[VALOR TOTAL],Tabla4[ZONA DEFINITIVO],Tabla4[[#This Row],[ZONA DEFINITIVO]])," ")</f>
        <v xml:space="preserve"> </v>
      </c>
      <c r="AT77" s="27">
        <f>(VLOOKUP(Tabla4[[#This Row],[SERVICIO 2025]],$J$2:$V$14,3,0)*Tabla4[[#This Row],[TOTAL COBERTURA]])+Tabla4[[#This Row],[VALOR FASE PREPARATORIA DE ALISTAMIENTO]]+Tabla4[[#This Row],[DOTACIÓN ÚNICA]]</f>
        <v>3843428</v>
      </c>
      <c r="AU77" s="35">
        <f>(VLOOKUP(Tabla4[[#This Row],[SERVICIO 2025]],$J$2:$V$14,3,0)*Tabla4[[#This Row],[TOTAL COBERTURA]])</f>
        <v>3048780</v>
      </c>
      <c r="AV77" s="35">
        <f>(VLOOKUP(Tabla4[[#This Row],[SERVICIO 2025]],$J$2:$V$14,3,0)*Tabla4[[#This Row],[TOTAL COBERTURA]])</f>
        <v>3048780</v>
      </c>
      <c r="AW77" s="35">
        <f>(VLOOKUP(Tabla4[[#This Row],[SERVICIO 2025]],$J$2:$V$14,3,0)*Tabla4[[#This Row],[TOTAL COBERTURA]])</f>
        <v>3048780</v>
      </c>
      <c r="AX77" s="35">
        <f>(VLOOKUP(Tabla4[[#This Row],[SERVICIO 2025]],$J$2:$V$14,3,0)*Tabla4[[#This Row],[TOTAL COBERTURA]])</f>
        <v>3048780</v>
      </c>
      <c r="AY77" s="35">
        <f>(VLOOKUP(Tabla4[[#This Row],[SERVICIO 2025]],$J$2:$V$14,3,0)*Tabla4[[#This Row],[TOTAL COBERTURA]])</f>
        <v>3048780</v>
      </c>
      <c r="AZ77" s="35">
        <f>(VLOOKUP(Tabla4[[#This Row],[SERVICIO 2025]],$J$2:$V$14,3,0)*Tabla4[[#This Row],[TOTAL COBERTURA]])</f>
        <v>3048780</v>
      </c>
      <c r="BA77" s="35">
        <f>(VLOOKUP(Tabla4[[#This Row],[SERVICIO 2025]],$J$2:$V$14,3,0)*Tabla4[[#This Row],[TOTAL COBERTURA]])+Tabla4[[#This Row],[VALOR FASE PREPARATORIA DE CIERRE]]</f>
        <v>3692077</v>
      </c>
      <c r="BB77" s="35">
        <f>SUM(Tabla4[[#This Row],[DESEMBOLSO 1]:[DESEMBOLSO 8]])</f>
        <v>25828185</v>
      </c>
      <c r="BC77" s="35">
        <f>VLOOKUP(Tabla4[[#This Row],[SERVICIO 2025]],$J$2:$V$14,10,0)*Tabla4[[#This Row],[TOTAL COBERTURA]]*$W$3</f>
        <v>25611656</v>
      </c>
      <c r="BD77" s="47" t="s">
        <v>211</v>
      </c>
      <c r="BE77" s="12" t="b">
        <f>EXACT(Tabla4[[#This Row],[VALOR ATENCIÓN (8 MESES)]],Tabla4[[#This Row],[VALOR TOTAL]])</f>
        <v>1</v>
      </c>
      <c r="BF77" s="23">
        <f>Tabla4[[#This Row],[VALOR ATENCIÓN (8 MESES)]]-Tabla4[[#This Row],[VALOR TOTAL]]</f>
        <v>0</v>
      </c>
      <c r="BG77" s="12" t="b">
        <f>EXACT(Tabla4[[#This Row],[TOTAL DESEMBOLSOS]],Tabla4[[#This Row],[VALOR ATENCIÓN (8 MESES)]])</f>
        <v>1</v>
      </c>
      <c r="BH77" s="29">
        <f>Tabla4[[#This Row],[TOTAL DESEMBOLSOS]]-Tabla4[[#This Row],[VALOR ATENCIÓN (8 MESES)]]</f>
        <v>0</v>
      </c>
      <c r="BI77" t="s">
        <v>98</v>
      </c>
      <c r="BJ77">
        <v>1890</v>
      </c>
    </row>
    <row r="78" spans="1:62">
      <c r="A78" s="13">
        <v>1890</v>
      </c>
      <c r="B78" s="13" t="s">
        <v>204</v>
      </c>
      <c r="C78" s="12" t="s">
        <v>87</v>
      </c>
      <c r="D78" s="12" t="s">
        <v>205</v>
      </c>
      <c r="E78" s="12" t="s">
        <v>206</v>
      </c>
      <c r="F78" s="12" t="s">
        <v>21</v>
      </c>
      <c r="G78" s="12" t="s">
        <v>90</v>
      </c>
      <c r="H78" s="12" t="s">
        <v>252</v>
      </c>
      <c r="I78" s="12">
        <v>51011152980</v>
      </c>
      <c r="J78" s="12" t="s">
        <v>253</v>
      </c>
      <c r="K78" s="12">
        <v>1</v>
      </c>
      <c r="L78" s="12">
        <v>4</v>
      </c>
      <c r="M78" s="12"/>
      <c r="N78" s="13">
        <v>1890</v>
      </c>
      <c r="O78" s="12" t="s">
        <v>93</v>
      </c>
      <c r="P78" s="12"/>
      <c r="Q78" s="12"/>
      <c r="R78" s="12" t="s">
        <v>94</v>
      </c>
      <c r="S78" s="12">
        <v>10</v>
      </c>
      <c r="T78" s="12" t="s">
        <v>209</v>
      </c>
      <c r="U78" s="12" t="s">
        <v>210</v>
      </c>
      <c r="V78" s="12">
        <f>VLOOKUP(Tabla4[[#This Row],[ZONA DEFINITIVO]],Hoja1!$A$1:$D$121,3,0)</f>
        <v>228990</v>
      </c>
      <c r="W78" s="12">
        <f>VLOOKUP(Tabla4[[#This Row],[ZONA DEFINITIVO]],Hoja1!$A$1:$D$121,2,0)</f>
        <v>15150</v>
      </c>
      <c r="X78" s="12">
        <f>VLOOKUP(Tabla4[[#This Row],[ZONA DEFINITIVO]],Hoja1!$A$1:$D$121,4,0)</f>
        <v>90625</v>
      </c>
      <c r="Y78" s="12" t="str">
        <f>+IF(Tabla4[[#This Row],[AGRUPACIONES]]=1,SUMIFS(Tabla4[UDS],Tabla4[ZONA DEFINITIVO],Tabla4[[#This Row],[ZONA DEFINITIVO]])," ")</f>
        <v xml:space="preserve"> </v>
      </c>
      <c r="Z78" s="12" t="str">
        <f>+IF(Tabla4[[#This Row],[AGRUPACIONES]]=1,SUMIFS(Tabla4[TOTAL COBERTURA],Tabla4[ZONA DEFINITIVO],Tabla4[[#This Row],[ZONA DEFINITIVO]])," ")</f>
        <v xml:space="preserve"> </v>
      </c>
      <c r="AA78" s="12"/>
      <c r="AB78" s="38">
        <v>6077220</v>
      </c>
      <c r="AC78" s="37">
        <v>0.02</v>
      </c>
      <c r="AD78" s="38">
        <f t="shared" si="1"/>
        <v>121544.40000000001</v>
      </c>
      <c r="AE78" s="12"/>
      <c r="AF78" s="12">
        <f>COUNTIF($A$20:A78,A78)</f>
        <v>22</v>
      </c>
      <c r="AG78" s="38">
        <v>6077220</v>
      </c>
      <c r="AH78" s="38">
        <f>Tabla4[[#This Row],[VALOR CONTRAPARTIDA]]+Tabla4[[#This Row],[TOTAL APORTES ICBF]]</f>
        <v>6198764.4000000004</v>
      </c>
      <c r="AI78" s="35"/>
      <c r="AJ78" s="38"/>
      <c r="AK78" s="38"/>
      <c r="AL78" s="23"/>
      <c r="AM78" s="35">
        <f>VLOOKUP(Tabla4[[#This Row],[SERVICIO 2025]],$J$2:$V$14,5,0)*Tabla4[[#This Row],[TOTAL COBERTURA]]</f>
        <v>186976</v>
      </c>
      <c r="AN78" s="35">
        <f>VLOOKUP(Tabla4[[#This Row],[SERVICIO 2025]],$J$2:$V$14,6,0)*Tabla4[[#This Row],[TOTAL COBERTURA]]</f>
        <v>151364</v>
      </c>
      <c r="AO78" s="35">
        <f>VLOOKUP(Tabla4[[#This Row],[SERVICIO 2025]],$J$2:$V$14,8,0)*Tabla4[[#This Row],[TOTAL COBERTURA]]</f>
        <v>0</v>
      </c>
      <c r="AP78" s="35">
        <f>VLOOKUP(Tabla4[[#This Row],[SERVICIO 2025]],$J$2:$V$14,3,0)*Tabla4[[#This Row],[TOTAL COBERTURA]]*8</f>
        <v>5738880</v>
      </c>
      <c r="AQ78" s="35"/>
      <c r="AR78" s="35">
        <f>Tabla4[[#This Row],[VALOR FASE PREPARATORIA DE ALISTAMIENTO]]+Tabla4[[#This Row],[VALOR FASE PREPARATORIA DE CIERRE]]+Tabla4[[#This Row],[DOTACIÓN ÚNICA]]+Tabla4[[#This Row],[VALOR ATENCIÓN]]+Tabla4[[#This Row],[VALOR RACION PREPARADA]]</f>
        <v>6077220</v>
      </c>
      <c r="AS78" s="35" t="str">
        <f>+IF(Tabla4[[#This Row],[AGRUPACIONES]]=1,SUMIFS(Tabla4[VALOR TOTAL],Tabla4[ZONA DEFINITIVO],Tabla4[[#This Row],[ZONA DEFINITIVO]])," ")</f>
        <v xml:space="preserve"> </v>
      </c>
      <c r="AT78" s="27">
        <f>(VLOOKUP(Tabla4[[#This Row],[SERVICIO 2025]],$J$2:$V$14,3,0)*Tabla4[[#This Row],[TOTAL COBERTURA]])+Tabla4[[#This Row],[VALOR FASE PREPARATORIA DE ALISTAMIENTO]]+Tabla4[[#This Row],[DOTACIÓN ÚNICA]]</f>
        <v>904336</v>
      </c>
      <c r="AU78" s="35">
        <f>(VLOOKUP(Tabla4[[#This Row],[SERVICIO 2025]],$J$2:$V$14,3,0)*Tabla4[[#This Row],[TOTAL COBERTURA]])</f>
        <v>717360</v>
      </c>
      <c r="AV78" s="35">
        <f>(VLOOKUP(Tabla4[[#This Row],[SERVICIO 2025]],$J$2:$V$14,3,0)*Tabla4[[#This Row],[TOTAL COBERTURA]])</f>
        <v>717360</v>
      </c>
      <c r="AW78" s="35">
        <f>(VLOOKUP(Tabla4[[#This Row],[SERVICIO 2025]],$J$2:$V$14,3,0)*Tabla4[[#This Row],[TOTAL COBERTURA]])</f>
        <v>717360</v>
      </c>
      <c r="AX78" s="35">
        <f>(VLOOKUP(Tabla4[[#This Row],[SERVICIO 2025]],$J$2:$V$14,3,0)*Tabla4[[#This Row],[TOTAL COBERTURA]])</f>
        <v>717360</v>
      </c>
      <c r="AY78" s="35">
        <f>(VLOOKUP(Tabla4[[#This Row],[SERVICIO 2025]],$J$2:$V$14,3,0)*Tabla4[[#This Row],[TOTAL COBERTURA]])</f>
        <v>717360</v>
      </c>
      <c r="AZ78" s="35">
        <f>(VLOOKUP(Tabla4[[#This Row],[SERVICIO 2025]],$J$2:$V$14,3,0)*Tabla4[[#This Row],[TOTAL COBERTURA]])</f>
        <v>717360</v>
      </c>
      <c r="BA78" s="35">
        <f>(VLOOKUP(Tabla4[[#This Row],[SERVICIO 2025]],$J$2:$V$14,3,0)*Tabla4[[#This Row],[TOTAL COBERTURA]])+Tabla4[[#This Row],[VALOR FASE PREPARATORIA DE CIERRE]]</f>
        <v>868724</v>
      </c>
      <c r="BB78" s="35">
        <f>SUM(Tabla4[[#This Row],[DESEMBOLSO 1]:[DESEMBOLSO 8]])</f>
        <v>6077220</v>
      </c>
      <c r="BC78" s="35">
        <f>VLOOKUP(Tabla4[[#This Row],[SERVICIO 2025]],$J$2:$V$14,10,0)*Tabla4[[#This Row],[TOTAL COBERTURA]]*$W$3</f>
        <v>6026272</v>
      </c>
      <c r="BD78" s="47" t="s">
        <v>211</v>
      </c>
      <c r="BE78" s="12" t="b">
        <f>EXACT(Tabla4[[#This Row],[VALOR ATENCIÓN (8 MESES)]],Tabla4[[#This Row],[VALOR TOTAL]])</f>
        <v>1</v>
      </c>
      <c r="BF78" s="23">
        <f>Tabla4[[#This Row],[VALOR ATENCIÓN (8 MESES)]]-Tabla4[[#This Row],[VALOR TOTAL]]</f>
        <v>0</v>
      </c>
      <c r="BG78" s="12" t="b">
        <f>EXACT(Tabla4[[#This Row],[TOTAL DESEMBOLSOS]],Tabla4[[#This Row],[VALOR ATENCIÓN (8 MESES)]])</f>
        <v>1</v>
      </c>
      <c r="BH78" s="29">
        <f>Tabla4[[#This Row],[TOTAL DESEMBOLSOS]]-Tabla4[[#This Row],[VALOR ATENCIÓN (8 MESES)]]</f>
        <v>0</v>
      </c>
      <c r="BI78" t="s">
        <v>98</v>
      </c>
      <c r="BJ78">
        <v>1890</v>
      </c>
    </row>
    <row r="79" spans="1:62">
      <c r="A79" s="13">
        <v>1890</v>
      </c>
      <c r="B79" s="13" t="s">
        <v>204</v>
      </c>
      <c r="C79" s="12" t="s">
        <v>87</v>
      </c>
      <c r="D79" s="12" t="s">
        <v>205</v>
      </c>
      <c r="E79" s="12" t="s">
        <v>206</v>
      </c>
      <c r="F79" s="12" t="s">
        <v>14</v>
      </c>
      <c r="G79" s="12" t="s">
        <v>90</v>
      </c>
      <c r="H79" s="12" t="s">
        <v>254</v>
      </c>
      <c r="I79" s="12">
        <v>510100020746</v>
      </c>
      <c r="J79" s="12" t="s">
        <v>255</v>
      </c>
      <c r="K79" s="12">
        <v>1</v>
      </c>
      <c r="L79" s="12">
        <v>183</v>
      </c>
      <c r="M79" s="12"/>
      <c r="N79" s="13">
        <v>1890</v>
      </c>
      <c r="O79" s="12" t="s">
        <v>93</v>
      </c>
      <c r="P79" s="12"/>
      <c r="Q79" s="12"/>
      <c r="R79" s="12" t="s">
        <v>94</v>
      </c>
      <c r="S79" s="12">
        <v>10</v>
      </c>
      <c r="T79" s="12" t="s">
        <v>209</v>
      </c>
      <c r="U79" s="12" t="s">
        <v>210</v>
      </c>
      <c r="V79" s="12">
        <f>VLOOKUP(Tabla4[[#This Row],[ZONA DEFINITIVO]],Hoja1!$A$1:$D$121,3,0)</f>
        <v>228990</v>
      </c>
      <c r="W79" s="12">
        <f>VLOOKUP(Tabla4[[#This Row],[ZONA DEFINITIVO]],Hoja1!$A$1:$D$121,2,0)</f>
        <v>15150</v>
      </c>
      <c r="X79" s="12">
        <f>VLOOKUP(Tabla4[[#This Row],[ZONA DEFINITIVO]],Hoja1!$A$1:$D$121,4,0)</f>
        <v>90625</v>
      </c>
      <c r="Y79" s="12" t="str">
        <f>+IF(Tabla4[[#This Row],[AGRUPACIONES]]=1,SUMIFS(Tabla4[UDS],Tabla4[ZONA DEFINITIVO],Tabla4[[#This Row],[ZONA DEFINITIVO]])," ")</f>
        <v xml:space="preserve"> </v>
      </c>
      <c r="Z79" s="12" t="str">
        <f>+IF(Tabla4[[#This Row],[AGRUPACIONES]]=1,SUMIFS(Tabla4[TOTAL COBERTURA],Tabla4[ZONA DEFINITIVO],Tabla4[[#This Row],[ZONA DEFINITIVO]])," ")</f>
        <v xml:space="preserve"> </v>
      </c>
      <c r="AA79" s="12"/>
      <c r="AB79" s="38">
        <v>766559550</v>
      </c>
      <c r="AC79" s="37">
        <v>0.02</v>
      </c>
      <c r="AD79" s="38">
        <f t="shared" si="1"/>
        <v>15331191</v>
      </c>
      <c r="AE79" s="12"/>
      <c r="AF79" s="12">
        <f>COUNTIF($A$20:A79,A79)</f>
        <v>23</v>
      </c>
      <c r="AG79" s="38">
        <v>766559550</v>
      </c>
      <c r="AH79" s="38">
        <f>Tabla4[[#This Row],[VALOR CONTRAPARTIDA]]+Tabla4[[#This Row],[TOTAL APORTES ICBF]]</f>
        <v>781890741</v>
      </c>
      <c r="AI79" s="35"/>
      <c r="AJ79" s="38"/>
      <c r="AK79" s="38"/>
      <c r="AL79" s="23"/>
      <c r="AM79" s="35">
        <f>VLOOKUP(Tabla4[[#This Row],[SERVICIO 2025]],$J$2:$V$14,5,0)*Tabla4[[#This Row],[TOTAL COBERTURA]]</f>
        <v>16130169</v>
      </c>
      <c r="AN79" s="35">
        <f>VLOOKUP(Tabla4[[#This Row],[SERVICIO 2025]],$J$2:$V$14,6,0)*Tabla4[[#This Row],[TOTAL COBERTURA]]</f>
        <v>13732869</v>
      </c>
      <c r="AO79" s="35">
        <f>VLOOKUP(Tabla4[[#This Row],[SERVICIO 2025]],$J$2:$V$14,8,0)*Tabla4[[#This Row],[TOTAL COBERTURA]]</f>
        <v>0</v>
      </c>
      <c r="AP79" s="35">
        <f>VLOOKUP(Tabla4[[#This Row],[SERVICIO 2025]],$J$2:$V$14,3,0)*Tabla4[[#This Row],[TOTAL COBERTURA]]*8</f>
        <v>736696512</v>
      </c>
      <c r="AQ79" s="35"/>
      <c r="AR79" s="35">
        <f>Tabla4[[#This Row],[VALOR FASE PREPARATORIA DE ALISTAMIENTO]]+Tabla4[[#This Row],[VALOR FASE PREPARATORIA DE CIERRE]]+Tabla4[[#This Row],[DOTACIÓN ÚNICA]]+Tabla4[[#This Row],[VALOR ATENCIÓN]]+Tabla4[[#This Row],[VALOR RACION PREPARADA]]</f>
        <v>766559550</v>
      </c>
      <c r="AS79" s="35" t="str">
        <f>+IF(Tabla4[[#This Row],[AGRUPACIONES]]=1,SUMIFS(Tabla4[VALOR TOTAL],Tabla4[ZONA DEFINITIVO],Tabla4[[#This Row],[ZONA DEFINITIVO]])," ")</f>
        <v xml:space="preserve"> </v>
      </c>
      <c r="AT79" s="27">
        <f>(VLOOKUP(Tabla4[[#This Row],[SERVICIO 2025]],$J$2:$V$14,3,0)*Tabla4[[#This Row],[TOTAL COBERTURA]])+Tabla4[[#This Row],[VALOR FASE PREPARATORIA DE ALISTAMIENTO]]+Tabla4[[#This Row],[DOTACIÓN ÚNICA]]</f>
        <v>108217233</v>
      </c>
      <c r="AU79" s="35">
        <f>(VLOOKUP(Tabla4[[#This Row],[SERVICIO 2025]],$J$2:$V$14,3,0)*Tabla4[[#This Row],[TOTAL COBERTURA]])</f>
        <v>92087064</v>
      </c>
      <c r="AV79" s="35">
        <f>(VLOOKUP(Tabla4[[#This Row],[SERVICIO 2025]],$J$2:$V$14,3,0)*Tabla4[[#This Row],[TOTAL COBERTURA]])</f>
        <v>92087064</v>
      </c>
      <c r="AW79" s="35">
        <f>(VLOOKUP(Tabla4[[#This Row],[SERVICIO 2025]],$J$2:$V$14,3,0)*Tabla4[[#This Row],[TOTAL COBERTURA]])</f>
        <v>92087064</v>
      </c>
      <c r="AX79" s="35">
        <f>(VLOOKUP(Tabla4[[#This Row],[SERVICIO 2025]],$J$2:$V$14,3,0)*Tabla4[[#This Row],[TOTAL COBERTURA]])</f>
        <v>92087064</v>
      </c>
      <c r="AY79" s="35">
        <f>(VLOOKUP(Tabla4[[#This Row],[SERVICIO 2025]],$J$2:$V$14,3,0)*Tabla4[[#This Row],[TOTAL COBERTURA]])</f>
        <v>92087064</v>
      </c>
      <c r="AZ79" s="35">
        <f>(VLOOKUP(Tabla4[[#This Row],[SERVICIO 2025]],$J$2:$V$14,3,0)*Tabla4[[#This Row],[TOTAL COBERTURA]])</f>
        <v>92087064</v>
      </c>
      <c r="BA79" s="35">
        <f>(VLOOKUP(Tabla4[[#This Row],[SERVICIO 2025]],$J$2:$V$14,3,0)*Tabla4[[#This Row],[TOTAL COBERTURA]])+Tabla4[[#This Row],[VALOR FASE PREPARATORIA DE CIERRE]]</f>
        <v>105819933</v>
      </c>
      <c r="BB79" s="35">
        <f>SUM(Tabla4[[#This Row],[DESEMBOLSO 1]:[DESEMBOLSO 8]])</f>
        <v>766559550</v>
      </c>
      <c r="BC79" s="35">
        <f>VLOOKUP(Tabla4[[#This Row],[SERVICIO 2025]],$J$2:$V$14,10,0)*Tabla4[[#This Row],[TOTAL COBERTURA]]*$W$3</f>
        <v>0</v>
      </c>
      <c r="BD79" s="47" t="s">
        <v>145</v>
      </c>
      <c r="BE79" s="12" t="b">
        <f>EXACT(Tabla4[[#This Row],[VALOR ATENCIÓN (8 MESES)]],Tabla4[[#This Row],[VALOR TOTAL]])</f>
        <v>1</v>
      </c>
      <c r="BF79" s="23">
        <f>Tabla4[[#This Row],[VALOR ATENCIÓN (8 MESES)]]-Tabla4[[#This Row],[VALOR TOTAL]]</f>
        <v>0</v>
      </c>
      <c r="BG79" s="12" t="b">
        <f>EXACT(Tabla4[[#This Row],[TOTAL DESEMBOLSOS]],Tabla4[[#This Row],[VALOR ATENCIÓN (8 MESES)]])</f>
        <v>1</v>
      </c>
      <c r="BH79" s="29">
        <f>Tabla4[[#This Row],[TOTAL DESEMBOLSOS]]-Tabla4[[#This Row],[VALOR ATENCIÓN (8 MESES)]]</f>
        <v>0</v>
      </c>
      <c r="BI79" t="s">
        <v>98</v>
      </c>
      <c r="BJ79">
        <v>1890</v>
      </c>
    </row>
    <row r="80" spans="1:62">
      <c r="A80" s="13">
        <v>1890</v>
      </c>
      <c r="B80" s="13" t="s">
        <v>204</v>
      </c>
      <c r="C80" s="12" t="s">
        <v>87</v>
      </c>
      <c r="D80" s="12" t="s">
        <v>205</v>
      </c>
      <c r="E80" s="12" t="s">
        <v>206</v>
      </c>
      <c r="F80" s="12" t="s">
        <v>21</v>
      </c>
      <c r="G80" s="12" t="s">
        <v>90</v>
      </c>
      <c r="H80" s="12" t="s">
        <v>256</v>
      </c>
      <c r="I80" s="12">
        <v>510100100030</v>
      </c>
      <c r="J80" s="12" t="s">
        <v>257</v>
      </c>
      <c r="K80" s="12">
        <v>1</v>
      </c>
      <c r="L80" s="12">
        <v>10</v>
      </c>
      <c r="M80" s="12"/>
      <c r="N80" s="13">
        <v>1890</v>
      </c>
      <c r="O80" s="12" t="s">
        <v>93</v>
      </c>
      <c r="P80" s="12"/>
      <c r="Q80" s="12"/>
      <c r="R80" s="12" t="s">
        <v>94</v>
      </c>
      <c r="S80" s="12">
        <v>10</v>
      </c>
      <c r="T80" s="12" t="s">
        <v>209</v>
      </c>
      <c r="U80" s="12" t="s">
        <v>210</v>
      </c>
      <c r="V80" s="12">
        <f>VLOOKUP(Tabla4[[#This Row],[ZONA DEFINITIVO]],Hoja1!$A$1:$D$121,3,0)</f>
        <v>228990</v>
      </c>
      <c r="W80" s="12">
        <f>VLOOKUP(Tabla4[[#This Row],[ZONA DEFINITIVO]],Hoja1!$A$1:$D$121,2,0)</f>
        <v>15150</v>
      </c>
      <c r="X80" s="12">
        <f>VLOOKUP(Tabla4[[#This Row],[ZONA DEFINITIVO]],Hoja1!$A$1:$D$121,4,0)</f>
        <v>90625</v>
      </c>
      <c r="Y80" s="12" t="str">
        <f>+IF(Tabla4[[#This Row],[AGRUPACIONES]]=1,SUMIFS(Tabla4[UDS],Tabla4[ZONA DEFINITIVO],Tabla4[[#This Row],[ZONA DEFINITIVO]])," ")</f>
        <v xml:space="preserve"> </v>
      </c>
      <c r="Z80" s="12" t="str">
        <f>+IF(Tabla4[[#This Row],[AGRUPACIONES]]=1,SUMIFS(Tabla4[TOTAL COBERTURA],Tabla4[ZONA DEFINITIVO],Tabla4[[#This Row],[ZONA DEFINITIVO]])," ")</f>
        <v xml:space="preserve"> </v>
      </c>
      <c r="AA80" s="12"/>
      <c r="AB80" s="38">
        <v>15193050</v>
      </c>
      <c r="AC80" s="37">
        <v>0.02</v>
      </c>
      <c r="AD80" s="38">
        <f t="shared" si="1"/>
        <v>303861</v>
      </c>
      <c r="AE80" s="12"/>
      <c r="AF80" s="12">
        <f>COUNTIF($A$20:A80,A80)</f>
        <v>24</v>
      </c>
      <c r="AG80" s="38">
        <v>15193050</v>
      </c>
      <c r="AH80" s="38">
        <f>Tabla4[[#This Row],[VALOR CONTRAPARTIDA]]+Tabla4[[#This Row],[TOTAL APORTES ICBF]]</f>
        <v>15496911</v>
      </c>
      <c r="AI80" s="35"/>
      <c r="AJ80" s="38"/>
      <c r="AK80" s="38"/>
      <c r="AL80" s="23"/>
      <c r="AM80" s="35">
        <f>VLOOKUP(Tabla4[[#This Row],[SERVICIO 2025]],$J$2:$V$14,5,0)*Tabla4[[#This Row],[TOTAL COBERTURA]]</f>
        <v>467440</v>
      </c>
      <c r="AN80" s="35">
        <f>VLOOKUP(Tabla4[[#This Row],[SERVICIO 2025]],$J$2:$V$14,6,0)*Tabla4[[#This Row],[TOTAL COBERTURA]]</f>
        <v>378410</v>
      </c>
      <c r="AO80" s="35">
        <f>VLOOKUP(Tabla4[[#This Row],[SERVICIO 2025]],$J$2:$V$14,8,0)*Tabla4[[#This Row],[TOTAL COBERTURA]]</f>
        <v>0</v>
      </c>
      <c r="AP80" s="35">
        <f>VLOOKUP(Tabla4[[#This Row],[SERVICIO 2025]],$J$2:$V$14,3,0)*Tabla4[[#This Row],[TOTAL COBERTURA]]*8</f>
        <v>14347200</v>
      </c>
      <c r="AQ80" s="35"/>
      <c r="AR80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80" s="35" t="str">
        <f>+IF(Tabla4[[#This Row],[AGRUPACIONES]]=1,SUMIFS(Tabla4[VALOR TOTAL],Tabla4[ZONA DEFINITIVO],Tabla4[[#This Row],[ZONA DEFINITIVO]])," ")</f>
        <v xml:space="preserve"> </v>
      </c>
      <c r="AT80" s="27">
        <f>(VLOOKUP(Tabla4[[#This Row],[SERVICIO 2025]],$J$2:$V$14,3,0)*Tabla4[[#This Row],[TOTAL COBERTURA]])+Tabla4[[#This Row],[VALOR FASE PREPARATORIA DE ALISTAMIENTO]]+Tabla4[[#This Row],[DOTACIÓN ÚNICA]]</f>
        <v>2260840</v>
      </c>
      <c r="AU80" s="35">
        <f>(VLOOKUP(Tabla4[[#This Row],[SERVICIO 2025]],$J$2:$V$14,3,0)*Tabla4[[#This Row],[TOTAL COBERTURA]])</f>
        <v>1793400</v>
      </c>
      <c r="AV80" s="35">
        <f>(VLOOKUP(Tabla4[[#This Row],[SERVICIO 2025]],$J$2:$V$14,3,0)*Tabla4[[#This Row],[TOTAL COBERTURA]])</f>
        <v>1793400</v>
      </c>
      <c r="AW80" s="35">
        <f>(VLOOKUP(Tabla4[[#This Row],[SERVICIO 2025]],$J$2:$V$14,3,0)*Tabla4[[#This Row],[TOTAL COBERTURA]])</f>
        <v>1793400</v>
      </c>
      <c r="AX80" s="35">
        <f>(VLOOKUP(Tabla4[[#This Row],[SERVICIO 2025]],$J$2:$V$14,3,0)*Tabla4[[#This Row],[TOTAL COBERTURA]])</f>
        <v>1793400</v>
      </c>
      <c r="AY80" s="35">
        <f>(VLOOKUP(Tabla4[[#This Row],[SERVICIO 2025]],$J$2:$V$14,3,0)*Tabla4[[#This Row],[TOTAL COBERTURA]])</f>
        <v>1793400</v>
      </c>
      <c r="AZ80" s="35">
        <f>(VLOOKUP(Tabla4[[#This Row],[SERVICIO 2025]],$J$2:$V$14,3,0)*Tabla4[[#This Row],[TOTAL COBERTURA]])</f>
        <v>1793400</v>
      </c>
      <c r="BA80" s="35">
        <f>(VLOOKUP(Tabla4[[#This Row],[SERVICIO 2025]],$J$2:$V$14,3,0)*Tabla4[[#This Row],[TOTAL COBERTURA]])+Tabla4[[#This Row],[VALOR FASE PREPARATORIA DE CIERRE]]</f>
        <v>2171810</v>
      </c>
      <c r="BB80" s="35">
        <f>SUM(Tabla4[[#This Row],[DESEMBOLSO 1]:[DESEMBOLSO 8]])</f>
        <v>15193050</v>
      </c>
      <c r="BC80" s="35">
        <f>VLOOKUP(Tabla4[[#This Row],[SERVICIO 2025]],$J$2:$V$14,10,0)*Tabla4[[#This Row],[TOTAL COBERTURA]]*$W$3</f>
        <v>15065680</v>
      </c>
      <c r="BD80" s="47" t="s">
        <v>211</v>
      </c>
      <c r="BE80" s="12" t="b">
        <f>EXACT(Tabla4[[#This Row],[VALOR ATENCIÓN (8 MESES)]],Tabla4[[#This Row],[VALOR TOTAL]])</f>
        <v>1</v>
      </c>
      <c r="BF80" s="23">
        <f>Tabla4[[#This Row],[VALOR ATENCIÓN (8 MESES)]]-Tabla4[[#This Row],[VALOR TOTAL]]</f>
        <v>0</v>
      </c>
      <c r="BG80" s="12" t="b">
        <f>EXACT(Tabla4[[#This Row],[TOTAL DESEMBOLSOS]],Tabla4[[#This Row],[VALOR ATENCIÓN (8 MESES)]])</f>
        <v>1</v>
      </c>
      <c r="BH80" s="29">
        <f>Tabla4[[#This Row],[TOTAL DESEMBOLSOS]]-Tabla4[[#This Row],[VALOR ATENCIÓN (8 MESES)]]</f>
        <v>0</v>
      </c>
      <c r="BI80" t="s">
        <v>98</v>
      </c>
      <c r="BJ80">
        <v>1890</v>
      </c>
    </row>
    <row r="81" spans="1:62">
      <c r="A81" s="13">
        <v>1890</v>
      </c>
      <c r="B81" s="13" t="s">
        <v>204</v>
      </c>
      <c r="C81" s="12" t="s">
        <v>87</v>
      </c>
      <c r="D81" s="12" t="s">
        <v>205</v>
      </c>
      <c r="E81" s="12" t="s">
        <v>258</v>
      </c>
      <c r="F81" s="12" t="s">
        <v>21</v>
      </c>
      <c r="G81" s="12" t="s">
        <v>90</v>
      </c>
      <c r="H81" s="12" t="s">
        <v>259</v>
      </c>
      <c r="I81" s="12">
        <v>53761117971</v>
      </c>
      <c r="J81" s="12" t="s">
        <v>260</v>
      </c>
      <c r="K81" s="12">
        <v>1</v>
      </c>
      <c r="L81" s="12">
        <v>38</v>
      </c>
      <c r="M81" s="12"/>
      <c r="N81" s="13">
        <v>1890</v>
      </c>
      <c r="O81" s="12" t="s">
        <v>93</v>
      </c>
      <c r="P81" s="12"/>
      <c r="Q81" s="12"/>
      <c r="R81" s="12" t="s">
        <v>94</v>
      </c>
      <c r="S81" s="12">
        <v>10</v>
      </c>
      <c r="T81" s="12" t="s">
        <v>209</v>
      </c>
      <c r="U81" s="12" t="s">
        <v>210</v>
      </c>
      <c r="V81" s="12">
        <f>VLOOKUP(Tabla4[[#This Row],[ZONA DEFINITIVO]],Hoja1!$A$1:$D$121,3,0)</f>
        <v>228990</v>
      </c>
      <c r="W81" s="12">
        <f>VLOOKUP(Tabla4[[#This Row],[ZONA DEFINITIVO]],Hoja1!$A$1:$D$121,2,0)</f>
        <v>15150</v>
      </c>
      <c r="X81" s="12">
        <f>VLOOKUP(Tabla4[[#This Row],[ZONA DEFINITIVO]],Hoja1!$A$1:$D$121,4,0)</f>
        <v>90625</v>
      </c>
      <c r="Y81" s="12" t="str">
        <f>+IF(Tabla4[[#This Row],[AGRUPACIONES]]=1,SUMIFS(Tabla4[UDS],Tabla4[ZONA DEFINITIVO],Tabla4[[#This Row],[ZONA DEFINITIVO]])," ")</f>
        <v xml:space="preserve"> </v>
      </c>
      <c r="Z81" s="12" t="str">
        <f>+IF(Tabla4[[#This Row],[AGRUPACIONES]]=1,SUMIFS(Tabla4[TOTAL COBERTURA],Tabla4[ZONA DEFINITIVO],Tabla4[[#This Row],[ZONA DEFINITIVO]])," ")</f>
        <v xml:space="preserve"> </v>
      </c>
      <c r="AA81" s="12"/>
      <c r="AB81" s="38">
        <v>57733590</v>
      </c>
      <c r="AC81" s="37">
        <v>0.02</v>
      </c>
      <c r="AD81" s="38">
        <f t="shared" si="1"/>
        <v>1154671.8</v>
      </c>
      <c r="AE81" s="12"/>
      <c r="AF81" s="12">
        <f>COUNTIF($A$20:A81,A81)</f>
        <v>25</v>
      </c>
      <c r="AG81" s="38">
        <v>57733590</v>
      </c>
      <c r="AH81" s="38">
        <f>Tabla4[[#This Row],[VALOR CONTRAPARTIDA]]+Tabla4[[#This Row],[TOTAL APORTES ICBF]]</f>
        <v>58888261.799999997</v>
      </c>
      <c r="AI81" s="35"/>
      <c r="AJ81" s="38"/>
      <c r="AK81" s="38"/>
      <c r="AL81" s="23"/>
      <c r="AM81" s="35">
        <f>VLOOKUP(Tabla4[[#This Row],[SERVICIO 2025]],$J$2:$V$14,5,0)*Tabla4[[#This Row],[TOTAL COBERTURA]]</f>
        <v>1776272</v>
      </c>
      <c r="AN81" s="35">
        <f>VLOOKUP(Tabla4[[#This Row],[SERVICIO 2025]],$J$2:$V$14,6,0)*Tabla4[[#This Row],[TOTAL COBERTURA]]</f>
        <v>1437958</v>
      </c>
      <c r="AO81" s="35">
        <f>VLOOKUP(Tabla4[[#This Row],[SERVICIO 2025]],$J$2:$V$14,8,0)*Tabla4[[#This Row],[TOTAL COBERTURA]]</f>
        <v>0</v>
      </c>
      <c r="AP81" s="35">
        <f>VLOOKUP(Tabla4[[#This Row],[SERVICIO 2025]],$J$2:$V$14,3,0)*Tabla4[[#This Row],[TOTAL COBERTURA]]*8</f>
        <v>54519360</v>
      </c>
      <c r="AQ81" s="35"/>
      <c r="AR81" s="35">
        <f>Tabla4[[#This Row],[VALOR FASE PREPARATORIA DE ALISTAMIENTO]]+Tabla4[[#This Row],[VALOR FASE PREPARATORIA DE CIERRE]]+Tabla4[[#This Row],[DOTACIÓN ÚNICA]]+Tabla4[[#This Row],[VALOR ATENCIÓN]]+Tabla4[[#This Row],[VALOR RACION PREPARADA]]</f>
        <v>57733590</v>
      </c>
      <c r="AS81" s="35" t="str">
        <f>+IF(Tabla4[[#This Row],[AGRUPACIONES]]=1,SUMIFS(Tabla4[VALOR TOTAL],Tabla4[ZONA DEFINITIVO],Tabla4[[#This Row],[ZONA DEFINITIVO]])," ")</f>
        <v xml:space="preserve"> </v>
      </c>
      <c r="AT81" s="27">
        <f>(VLOOKUP(Tabla4[[#This Row],[SERVICIO 2025]],$J$2:$V$14,3,0)*Tabla4[[#This Row],[TOTAL COBERTURA]])+Tabla4[[#This Row],[VALOR FASE PREPARATORIA DE ALISTAMIENTO]]+Tabla4[[#This Row],[DOTACIÓN ÚNICA]]</f>
        <v>8591192</v>
      </c>
      <c r="AU81" s="35">
        <f>(VLOOKUP(Tabla4[[#This Row],[SERVICIO 2025]],$J$2:$V$14,3,0)*Tabla4[[#This Row],[TOTAL COBERTURA]])</f>
        <v>6814920</v>
      </c>
      <c r="AV81" s="35">
        <f>(VLOOKUP(Tabla4[[#This Row],[SERVICIO 2025]],$J$2:$V$14,3,0)*Tabla4[[#This Row],[TOTAL COBERTURA]])</f>
        <v>6814920</v>
      </c>
      <c r="AW81" s="35">
        <f>(VLOOKUP(Tabla4[[#This Row],[SERVICIO 2025]],$J$2:$V$14,3,0)*Tabla4[[#This Row],[TOTAL COBERTURA]])</f>
        <v>6814920</v>
      </c>
      <c r="AX81" s="35">
        <f>(VLOOKUP(Tabla4[[#This Row],[SERVICIO 2025]],$J$2:$V$14,3,0)*Tabla4[[#This Row],[TOTAL COBERTURA]])</f>
        <v>6814920</v>
      </c>
      <c r="AY81" s="35">
        <f>(VLOOKUP(Tabla4[[#This Row],[SERVICIO 2025]],$J$2:$V$14,3,0)*Tabla4[[#This Row],[TOTAL COBERTURA]])</f>
        <v>6814920</v>
      </c>
      <c r="AZ81" s="35">
        <f>(VLOOKUP(Tabla4[[#This Row],[SERVICIO 2025]],$J$2:$V$14,3,0)*Tabla4[[#This Row],[TOTAL COBERTURA]])</f>
        <v>6814920</v>
      </c>
      <c r="BA81" s="35">
        <f>(VLOOKUP(Tabla4[[#This Row],[SERVICIO 2025]],$J$2:$V$14,3,0)*Tabla4[[#This Row],[TOTAL COBERTURA]])+Tabla4[[#This Row],[VALOR FASE PREPARATORIA DE CIERRE]]</f>
        <v>8252878</v>
      </c>
      <c r="BB81" s="35">
        <f>SUM(Tabla4[[#This Row],[DESEMBOLSO 1]:[DESEMBOLSO 8]])</f>
        <v>57733590</v>
      </c>
      <c r="BC81" s="35">
        <f>VLOOKUP(Tabla4[[#This Row],[SERVICIO 2025]],$J$2:$V$14,10,0)*Tabla4[[#This Row],[TOTAL COBERTURA]]*$W$3</f>
        <v>57249584</v>
      </c>
      <c r="BD81" s="47" t="s">
        <v>211</v>
      </c>
      <c r="BE81" s="12" t="b">
        <f>EXACT(Tabla4[[#This Row],[VALOR ATENCIÓN (8 MESES)]],Tabla4[[#This Row],[VALOR TOTAL]])</f>
        <v>1</v>
      </c>
      <c r="BF81" s="23">
        <f>Tabla4[[#This Row],[VALOR ATENCIÓN (8 MESES)]]-Tabla4[[#This Row],[VALOR TOTAL]]</f>
        <v>0</v>
      </c>
      <c r="BG81" s="12" t="b">
        <f>EXACT(Tabla4[[#This Row],[TOTAL DESEMBOLSOS]],Tabla4[[#This Row],[VALOR ATENCIÓN (8 MESES)]])</f>
        <v>1</v>
      </c>
      <c r="BH81" s="29">
        <f>Tabla4[[#This Row],[TOTAL DESEMBOLSOS]]-Tabla4[[#This Row],[VALOR ATENCIÓN (8 MESES)]]</f>
        <v>0</v>
      </c>
      <c r="BI81" t="s">
        <v>98</v>
      </c>
      <c r="BJ81">
        <v>1890</v>
      </c>
    </row>
    <row r="82" spans="1:62">
      <c r="A82" s="13">
        <v>1890</v>
      </c>
      <c r="B82" s="13" t="s">
        <v>204</v>
      </c>
      <c r="C82" s="12" t="s">
        <v>87</v>
      </c>
      <c r="D82" s="12" t="s">
        <v>205</v>
      </c>
      <c r="E82" s="12" t="s">
        <v>258</v>
      </c>
      <c r="F82" s="12" t="s">
        <v>21</v>
      </c>
      <c r="G82" s="12" t="s">
        <v>90</v>
      </c>
      <c r="H82" s="12" t="s">
        <v>261</v>
      </c>
      <c r="I82" s="12">
        <v>53761152918</v>
      </c>
      <c r="J82" s="12" t="s">
        <v>262</v>
      </c>
      <c r="K82" s="12">
        <v>1</v>
      </c>
      <c r="L82" s="12">
        <v>50</v>
      </c>
      <c r="M82" s="12"/>
      <c r="N82" s="13">
        <v>1890</v>
      </c>
      <c r="O82" s="12" t="s">
        <v>93</v>
      </c>
      <c r="P82" s="12"/>
      <c r="Q82" s="12"/>
      <c r="R82" s="12" t="s">
        <v>94</v>
      </c>
      <c r="S82" s="12">
        <v>10</v>
      </c>
      <c r="T82" s="12" t="s">
        <v>209</v>
      </c>
      <c r="U82" s="12" t="s">
        <v>210</v>
      </c>
      <c r="V82" s="12">
        <f>VLOOKUP(Tabla4[[#This Row],[ZONA DEFINITIVO]],Hoja1!$A$1:$D$121,3,0)</f>
        <v>228990</v>
      </c>
      <c r="W82" s="12">
        <f>VLOOKUP(Tabla4[[#This Row],[ZONA DEFINITIVO]],Hoja1!$A$1:$D$121,2,0)</f>
        <v>15150</v>
      </c>
      <c r="X82" s="12">
        <f>VLOOKUP(Tabla4[[#This Row],[ZONA DEFINITIVO]],Hoja1!$A$1:$D$121,4,0)</f>
        <v>90625</v>
      </c>
      <c r="Y82" s="12" t="str">
        <f>+IF(Tabla4[[#This Row],[AGRUPACIONES]]=1,SUMIFS(Tabla4[UDS],Tabla4[ZONA DEFINITIVO],Tabla4[[#This Row],[ZONA DEFINITIVO]])," ")</f>
        <v xml:space="preserve"> </v>
      </c>
      <c r="Z82" s="12" t="str">
        <f>+IF(Tabla4[[#This Row],[AGRUPACIONES]]=1,SUMIFS(Tabla4[TOTAL COBERTURA],Tabla4[ZONA DEFINITIVO],Tabla4[[#This Row],[ZONA DEFINITIVO]])," ")</f>
        <v xml:space="preserve"> </v>
      </c>
      <c r="AA82" s="12"/>
      <c r="AB82" s="38">
        <v>75965250</v>
      </c>
      <c r="AC82" s="37">
        <v>0.02</v>
      </c>
      <c r="AD82" s="38">
        <f t="shared" si="1"/>
        <v>1519305</v>
      </c>
      <c r="AE82" s="12"/>
      <c r="AF82" s="12">
        <f>COUNTIF($A$20:A82,A82)</f>
        <v>26</v>
      </c>
      <c r="AG82" s="38">
        <v>75965250</v>
      </c>
      <c r="AH82" s="38">
        <f>Tabla4[[#This Row],[VALOR CONTRAPARTIDA]]+Tabla4[[#This Row],[TOTAL APORTES ICBF]]</f>
        <v>77484555</v>
      </c>
      <c r="AI82" s="35"/>
      <c r="AJ82" s="38"/>
      <c r="AK82" s="38"/>
      <c r="AL82" s="23"/>
      <c r="AM82" s="35">
        <f>VLOOKUP(Tabla4[[#This Row],[SERVICIO 2025]],$J$2:$V$14,5,0)*Tabla4[[#This Row],[TOTAL COBERTURA]]</f>
        <v>2337200</v>
      </c>
      <c r="AN82" s="35">
        <f>VLOOKUP(Tabla4[[#This Row],[SERVICIO 2025]],$J$2:$V$14,6,0)*Tabla4[[#This Row],[TOTAL COBERTURA]]</f>
        <v>1892050</v>
      </c>
      <c r="AO82" s="35">
        <f>VLOOKUP(Tabla4[[#This Row],[SERVICIO 2025]],$J$2:$V$14,8,0)*Tabla4[[#This Row],[TOTAL COBERTURA]]</f>
        <v>0</v>
      </c>
      <c r="AP82" s="35">
        <f>VLOOKUP(Tabla4[[#This Row],[SERVICIO 2025]],$J$2:$V$14,3,0)*Tabla4[[#This Row],[TOTAL COBERTURA]]*8</f>
        <v>71736000</v>
      </c>
      <c r="AQ82" s="35"/>
      <c r="AR82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82" s="35" t="str">
        <f>+IF(Tabla4[[#This Row],[AGRUPACIONES]]=1,SUMIFS(Tabla4[VALOR TOTAL],Tabla4[ZONA DEFINITIVO],Tabla4[[#This Row],[ZONA DEFINITIVO]])," ")</f>
        <v xml:space="preserve"> </v>
      </c>
      <c r="AT82" s="27">
        <f>(VLOOKUP(Tabla4[[#This Row],[SERVICIO 2025]],$J$2:$V$14,3,0)*Tabla4[[#This Row],[TOTAL COBERTURA]])+Tabla4[[#This Row],[VALOR FASE PREPARATORIA DE ALISTAMIENTO]]+Tabla4[[#This Row],[DOTACIÓN ÚNICA]]</f>
        <v>11304200</v>
      </c>
      <c r="AU82" s="35">
        <f>(VLOOKUP(Tabla4[[#This Row],[SERVICIO 2025]],$J$2:$V$14,3,0)*Tabla4[[#This Row],[TOTAL COBERTURA]])</f>
        <v>8967000</v>
      </c>
      <c r="AV82" s="35">
        <f>(VLOOKUP(Tabla4[[#This Row],[SERVICIO 2025]],$J$2:$V$14,3,0)*Tabla4[[#This Row],[TOTAL COBERTURA]])</f>
        <v>8967000</v>
      </c>
      <c r="AW82" s="35">
        <f>(VLOOKUP(Tabla4[[#This Row],[SERVICIO 2025]],$J$2:$V$14,3,0)*Tabla4[[#This Row],[TOTAL COBERTURA]])</f>
        <v>8967000</v>
      </c>
      <c r="AX82" s="35">
        <f>(VLOOKUP(Tabla4[[#This Row],[SERVICIO 2025]],$J$2:$V$14,3,0)*Tabla4[[#This Row],[TOTAL COBERTURA]])</f>
        <v>8967000</v>
      </c>
      <c r="AY82" s="35">
        <f>(VLOOKUP(Tabla4[[#This Row],[SERVICIO 2025]],$J$2:$V$14,3,0)*Tabla4[[#This Row],[TOTAL COBERTURA]])</f>
        <v>8967000</v>
      </c>
      <c r="AZ82" s="35">
        <f>(VLOOKUP(Tabla4[[#This Row],[SERVICIO 2025]],$J$2:$V$14,3,0)*Tabla4[[#This Row],[TOTAL COBERTURA]])</f>
        <v>8967000</v>
      </c>
      <c r="BA82" s="35">
        <f>(VLOOKUP(Tabla4[[#This Row],[SERVICIO 2025]],$J$2:$V$14,3,0)*Tabla4[[#This Row],[TOTAL COBERTURA]])+Tabla4[[#This Row],[VALOR FASE PREPARATORIA DE CIERRE]]</f>
        <v>10859050</v>
      </c>
      <c r="BB82" s="35">
        <f>SUM(Tabla4[[#This Row],[DESEMBOLSO 1]:[DESEMBOLSO 8]])</f>
        <v>75965250</v>
      </c>
      <c r="BC82" s="35">
        <f>VLOOKUP(Tabla4[[#This Row],[SERVICIO 2025]],$J$2:$V$14,10,0)*Tabla4[[#This Row],[TOTAL COBERTURA]]*$W$3</f>
        <v>75328400</v>
      </c>
      <c r="BD82" s="47" t="s">
        <v>211</v>
      </c>
      <c r="BE82" s="12" t="b">
        <f>EXACT(Tabla4[[#This Row],[VALOR ATENCIÓN (8 MESES)]],Tabla4[[#This Row],[VALOR TOTAL]])</f>
        <v>1</v>
      </c>
      <c r="BF82" s="23">
        <f>Tabla4[[#This Row],[VALOR ATENCIÓN (8 MESES)]]-Tabla4[[#This Row],[VALOR TOTAL]]</f>
        <v>0</v>
      </c>
      <c r="BG82" s="12" t="b">
        <f>EXACT(Tabla4[[#This Row],[TOTAL DESEMBOLSOS]],Tabla4[[#This Row],[VALOR ATENCIÓN (8 MESES)]])</f>
        <v>1</v>
      </c>
      <c r="BH82" s="29">
        <f>Tabla4[[#This Row],[TOTAL DESEMBOLSOS]]-Tabla4[[#This Row],[VALOR ATENCIÓN (8 MESES)]]</f>
        <v>0</v>
      </c>
      <c r="BI82" t="s">
        <v>98</v>
      </c>
      <c r="BJ82">
        <v>1890</v>
      </c>
    </row>
    <row r="83" spans="1:62">
      <c r="A83" s="13">
        <v>1890</v>
      </c>
      <c r="B83" s="13" t="s">
        <v>204</v>
      </c>
      <c r="C83" s="12" t="s">
        <v>87</v>
      </c>
      <c r="D83" s="12" t="s">
        <v>205</v>
      </c>
      <c r="E83" s="12" t="s">
        <v>258</v>
      </c>
      <c r="F83" s="12" t="s">
        <v>21</v>
      </c>
      <c r="G83" s="12" t="s">
        <v>90</v>
      </c>
      <c r="H83" s="12" t="s">
        <v>263</v>
      </c>
      <c r="I83" s="12">
        <v>537600120528</v>
      </c>
      <c r="J83" s="12" t="s">
        <v>264</v>
      </c>
      <c r="K83" s="12">
        <v>1</v>
      </c>
      <c r="L83" s="12">
        <v>50</v>
      </c>
      <c r="M83" s="12"/>
      <c r="N83" s="13">
        <v>1890</v>
      </c>
      <c r="O83" s="12" t="s">
        <v>93</v>
      </c>
      <c r="P83" s="12"/>
      <c r="Q83" s="12"/>
      <c r="R83" s="12" t="s">
        <v>94</v>
      </c>
      <c r="S83" s="12">
        <v>10</v>
      </c>
      <c r="T83" s="12" t="s">
        <v>209</v>
      </c>
      <c r="U83" s="12" t="s">
        <v>210</v>
      </c>
      <c r="V83" s="12">
        <f>VLOOKUP(Tabla4[[#This Row],[ZONA DEFINITIVO]],Hoja1!$A$1:$D$121,3,0)</f>
        <v>228990</v>
      </c>
      <c r="W83" s="12">
        <f>VLOOKUP(Tabla4[[#This Row],[ZONA DEFINITIVO]],Hoja1!$A$1:$D$121,2,0)</f>
        <v>15150</v>
      </c>
      <c r="X83" s="12">
        <f>VLOOKUP(Tabla4[[#This Row],[ZONA DEFINITIVO]],Hoja1!$A$1:$D$121,4,0)</f>
        <v>90625</v>
      </c>
      <c r="Y83" s="12" t="str">
        <f>+IF(Tabla4[[#This Row],[AGRUPACIONES]]=1,SUMIFS(Tabla4[UDS],Tabla4[ZONA DEFINITIVO],Tabla4[[#This Row],[ZONA DEFINITIVO]])," ")</f>
        <v xml:space="preserve"> </v>
      </c>
      <c r="Z83" s="12" t="str">
        <f>+IF(Tabla4[[#This Row],[AGRUPACIONES]]=1,SUMIFS(Tabla4[TOTAL COBERTURA],Tabla4[ZONA DEFINITIVO],Tabla4[[#This Row],[ZONA DEFINITIVO]])," ")</f>
        <v xml:space="preserve"> </v>
      </c>
      <c r="AA83" s="12"/>
      <c r="AB83" s="38">
        <v>75965250</v>
      </c>
      <c r="AC83" s="37">
        <v>0.02</v>
      </c>
      <c r="AD83" s="38">
        <f t="shared" si="1"/>
        <v>1519305</v>
      </c>
      <c r="AE83" s="12"/>
      <c r="AF83" s="12">
        <f>COUNTIF($A$20:A83,A83)</f>
        <v>27</v>
      </c>
      <c r="AG83" s="38">
        <v>75965250</v>
      </c>
      <c r="AH83" s="38">
        <f>Tabla4[[#This Row],[VALOR CONTRAPARTIDA]]+Tabla4[[#This Row],[TOTAL APORTES ICBF]]</f>
        <v>77484555</v>
      </c>
      <c r="AI83" s="35"/>
      <c r="AJ83" s="38"/>
      <c r="AK83" s="38"/>
      <c r="AL83" s="23"/>
      <c r="AM83" s="35">
        <f>VLOOKUP(Tabla4[[#This Row],[SERVICIO 2025]],$J$2:$V$14,5,0)*Tabla4[[#This Row],[TOTAL COBERTURA]]</f>
        <v>2337200</v>
      </c>
      <c r="AN83" s="35">
        <f>VLOOKUP(Tabla4[[#This Row],[SERVICIO 2025]],$J$2:$V$14,6,0)*Tabla4[[#This Row],[TOTAL COBERTURA]]</f>
        <v>1892050</v>
      </c>
      <c r="AO83" s="35">
        <f>VLOOKUP(Tabla4[[#This Row],[SERVICIO 2025]],$J$2:$V$14,8,0)*Tabla4[[#This Row],[TOTAL COBERTURA]]</f>
        <v>0</v>
      </c>
      <c r="AP83" s="35">
        <f>VLOOKUP(Tabla4[[#This Row],[SERVICIO 2025]],$J$2:$V$14,3,0)*Tabla4[[#This Row],[TOTAL COBERTURA]]*8</f>
        <v>71736000</v>
      </c>
      <c r="AQ83" s="35"/>
      <c r="AR83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83" s="35" t="str">
        <f>+IF(Tabla4[[#This Row],[AGRUPACIONES]]=1,SUMIFS(Tabla4[VALOR TOTAL],Tabla4[ZONA DEFINITIVO],Tabla4[[#This Row],[ZONA DEFINITIVO]])," ")</f>
        <v xml:space="preserve"> </v>
      </c>
      <c r="AT83" s="27">
        <f>(VLOOKUP(Tabla4[[#This Row],[SERVICIO 2025]],$J$2:$V$14,3,0)*Tabla4[[#This Row],[TOTAL COBERTURA]])+Tabla4[[#This Row],[VALOR FASE PREPARATORIA DE ALISTAMIENTO]]+Tabla4[[#This Row],[DOTACIÓN ÚNICA]]</f>
        <v>11304200</v>
      </c>
      <c r="AU83" s="35">
        <f>(VLOOKUP(Tabla4[[#This Row],[SERVICIO 2025]],$J$2:$V$14,3,0)*Tabla4[[#This Row],[TOTAL COBERTURA]])</f>
        <v>8967000</v>
      </c>
      <c r="AV83" s="35">
        <f>(VLOOKUP(Tabla4[[#This Row],[SERVICIO 2025]],$J$2:$V$14,3,0)*Tabla4[[#This Row],[TOTAL COBERTURA]])</f>
        <v>8967000</v>
      </c>
      <c r="AW83" s="35">
        <f>(VLOOKUP(Tabla4[[#This Row],[SERVICIO 2025]],$J$2:$V$14,3,0)*Tabla4[[#This Row],[TOTAL COBERTURA]])</f>
        <v>8967000</v>
      </c>
      <c r="AX83" s="35">
        <f>(VLOOKUP(Tabla4[[#This Row],[SERVICIO 2025]],$J$2:$V$14,3,0)*Tabla4[[#This Row],[TOTAL COBERTURA]])</f>
        <v>8967000</v>
      </c>
      <c r="AY83" s="35">
        <f>(VLOOKUP(Tabla4[[#This Row],[SERVICIO 2025]],$J$2:$V$14,3,0)*Tabla4[[#This Row],[TOTAL COBERTURA]])</f>
        <v>8967000</v>
      </c>
      <c r="AZ83" s="35">
        <f>(VLOOKUP(Tabla4[[#This Row],[SERVICIO 2025]],$J$2:$V$14,3,0)*Tabla4[[#This Row],[TOTAL COBERTURA]])</f>
        <v>8967000</v>
      </c>
      <c r="BA83" s="35">
        <f>(VLOOKUP(Tabla4[[#This Row],[SERVICIO 2025]],$J$2:$V$14,3,0)*Tabla4[[#This Row],[TOTAL COBERTURA]])+Tabla4[[#This Row],[VALOR FASE PREPARATORIA DE CIERRE]]</f>
        <v>10859050</v>
      </c>
      <c r="BB83" s="35">
        <f>SUM(Tabla4[[#This Row],[DESEMBOLSO 1]:[DESEMBOLSO 8]])</f>
        <v>75965250</v>
      </c>
      <c r="BC83" s="35">
        <f>VLOOKUP(Tabla4[[#This Row],[SERVICIO 2025]],$J$2:$V$14,10,0)*Tabla4[[#This Row],[TOTAL COBERTURA]]*$W$3</f>
        <v>75328400</v>
      </c>
      <c r="BD83" s="47" t="s">
        <v>211</v>
      </c>
      <c r="BE83" s="12" t="b">
        <f>EXACT(Tabla4[[#This Row],[VALOR ATENCIÓN (8 MESES)]],Tabla4[[#This Row],[VALOR TOTAL]])</f>
        <v>1</v>
      </c>
      <c r="BF83" s="23">
        <f>Tabla4[[#This Row],[VALOR ATENCIÓN (8 MESES)]]-Tabla4[[#This Row],[VALOR TOTAL]]</f>
        <v>0</v>
      </c>
      <c r="BG83" s="12" t="b">
        <f>EXACT(Tabla4[[#This Row],[TOTAL DESEMBOLSOS]],Tabla4[[#This Row],[VALOR ATENCIÓN (8 MESES)]])</f>
        <v>1</v>
      </c>
      <c r="BH83" s="29">
        <f>Tabla4[[#This Row],[TOTAL DESEMBOLSOS]]-Tabla4[[#This Row],[VALOR ATENCIÓN (8 MESES)]]</f>
        <v>0</v>
      </c>
      <c r="BI83" t="s">
        <v>98</v>
      </c>
      <c r="BJ83">
        <v>1890</v>
      </c>
    </row>
    <row r="84" spans="1:62">
      <c r="A84" s="13">
        <v>1892</v>
      </c>
      <c r="B84" s="13" t="s">
        <v>265</v>
      </c>
      <c r="C84" s="12" t="s">
        <v>87</v>
      </c>
      <c r="D84" s="12" t="s">
        <v>266</v>
      </c>
      <c r="E84" s="12" t="s">
        <v>267</v>
      </c>
      <c r="F84" s="12" t="s">
        <v>18</v>
      </c>
      <c r="G84" s="12" t="s">
        <v>90</v>
      </c>
      <c r="H84" s="12" t="s">
        <v>268</v>
      </c>
      <c r="I84" s="12">
        <v>50931114929</v>
      </c>
      <c r="J84" s="12" t="s">
        <v>269</v>
      </c>
      <c r="K84" s="12">
        <v>1</v>
      </c>
      <c r="L84" s="12">
        <v>21</v>
      </c>
      <c r="M84" s="12"/>
      <c r="N84" s="13">
        <v>1892</v>
      </c>
      <c r="O84" s="12" t="s">
        <v>93</v>
      </c>
      <c r="P84" s="12"/>
      <c r="Q84" s="12"/>
      <c r="R84" s="12" t="s">
        <v>94</v>
      </c>
      <c r="S84" s="12">
        <v>10</v>
      </c>
      <c r="T84" s="12" t="s">
        <v>270</v>
      </c>
      <c r="U84" s="12" t="s">
        <v>271</v>
      </c>
      <c r="V84" s="12">
        <f>VLOOKUP(Tabla4[[#This Row],[ZONA DEFINITIVO]],Hoja1!$A$1:$D$121,3,0)</f>
        <v>228992</v>
      </c>
      <c r="W84" s="12">
        <f>VLOOKUP(Tabla4[[#This Row],[ZONA DEFINITIVO]],Hoja1!$A$1:$D$121,2,0)</f>
        <v>15170</v>
      </c>
      <c r="X84" s="12">
        <f>VLOOKUP(Tabla4[[#This Row],[ZONA DEFINITIVO]],Hoja1!$A$1:$D$121,4,0)</f>
        <v>91125</v>
      </c>
      <c r="Y84" s="12">
        <f>+IF(Tabla4[[#This Row],[AGRUPACIONES]]=1,SUMIFS(Tabla4[UDS],Tabla4[ZONA DEFINITIVO],Tabla4[[#This Row],[ZONA DEFINITIVO]])," ")</f>
        <v>28</v>
      </c>
      <c r="Z84" s="12">
        <f>+IF(Tabla4[[#This Row],[AGRUPACIONES]]=1,SUMIFS(Tabla4[TOTAL COBERTURA],Tabla4[ZONA DEFINITIVO],Tabla4[[#This Row],[ZONA DEFINITIVO]])," ")</f>
        <v>558</v>
      </c>
      <c r="AA84" s="12"/>
      <c r="AB84" s="38">
        <v>45784053</v>
      </c>
      <c r="AC84" s="37">
        <v>0.02</v>
      </c>
      <c r="AD84" s="38">
        <f t="shared" ref="AD84:AD147" si="2">AB84*AC84</f>
        <v>915681.06</v>
      </c>
      <c r="AE84" s="12"/>
      <c r="AF84" s="12">
        <f>COUNTIF($A$20:A84,A84)</f>
        <v>1</v>
      </c>
      <c r="AG84" s="38">
        <v>45784053</v>
      </c>
      <c r="AH84" s="38">
        <f>Tabla4[[#This Row],[VALOR CONTRAPARTIDA]]+Tabla4[[#This Row],[TOTAL APORTES ICBF]]</f>
        <v>46699734.060000002</v>
      </c>
      <c r="AI84" s="35">
        <f>ROUND(+IF(Tabla4[[#This Row],[AGRUPACIONES]]=1,SUMIFS(Tabla4[TOTAL APORTES ICBF],Tabla4[ZONA DEFINITIVO],Tabla4[[#This Row],[ZONA DEFINITIVO]])," "),0)</f>
        <v>1216547694</v>
      </c>
      <c r="AJ84" s="38">
        <f>ROUND(+IF(Tabla4[[#This Row],[AGRUPACIONES]]=1,SUMIFS(Tabla4[VALOR CONTRAPARTIDA],Tabla4[ZONA DEFINITIVO],Tabla4[[#This Row],[ZONA DEFINITIVO]])," "),0)</f>
        <v>24330954</v>
      </c>
      <c r="AK84" s="38">
        <f>Tabla4[[#This Row],[TOTAL APORTES ICBF AGRUPADO]]+Tabla4[[#This Row],[TOTAL CONTRAPARTIDA AGRUPADO]]</f>
        <v>1240878648</v>
      </c>
      <c r="AL84" s="23">
        <f>Tabla4[[#This Row],[TOTAL APORTES ICBF AGRUPADO]]/$AL$18</f>
        <v>854.61727713382504</v>
      </c>
      <c r="AM84" s="35">
        <f>VLOOKUP(Tabla4[[#This Row],[SERVICIO 2025]],$J$2:$V$14,5,0)*Tabla4[[#This Row],[TOTAL COBERTURA]]</f>
        <v>1036896</v>
      </c>
      <c r="AN84" s="35">
        <f>VLOOKUP(Tabla4[[#This Row],[SERVICIO 2025]],$J$2:$V$14,6,0)*Tabla4[[#This Row],[TOTAL COBERTURA]]</f>
        <v>861609</v>
      </c>
      <c r="AO84" s="35">
        <f>VLOOKUP(Tabla4[[#This Row],[SERVICIO 2025]],$J$2:$V$14,8,0)*Tabla4[[#This Row],[TOTAL COBERTURA]]</f>
        <v>611100</v>
      </c>
      <c r="AP84" s="35">
        <f>VLOOKUP(Tabla4[[#This Row],[SERVICIO 2025]],$J$2:$V$14,3,0)*Tabla4[[#This Row],[TOTAL COBERTURA]]*8</f>
        <v>43274448</v>
      </c>
      <c r="AQ84" s="35"/>
      <c r="AR84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84" s="35">
        <f>+IF(Tabla4[[#This Row],[AGRUPACIONES]]=1,SUMIFS(Tabla4[VALOR TOTAL],Tabla4[ZONA DEFINITIVO],Tabla4[[#This Row],[ZONA DEFINITIVO]])," ")</f>
        <v>1216547694</v>
      </c>
      <c r="AT84" s="27">
        <f>(VLOOKUP(Tabla4[[#This Row],[SERVICIO 2025]],$J$2:$V$14,3,0)*Tabla4[[#This Row],[TOTAL COBERTURA]])+Tabla4[[#This Row],[VALOR FASE PREPARATORIA DE ALISTAMIENTO]]+Tabla4[[#This Row],[DOTACIÓN ÚNICA]]</f>
        <v>7057302</v>
      </c>
      <c r="AU84" s="35">
        <f>(VLOOKUP(Tabla4[[#This Row],[SERVICIO 2025]],$J$2:$V$14,3,0)*Tabla4[[#This Row],[TOTAL COBERTURA]])</f>
        <v>5409306</v>
      </c>
      <c r="AV84" s="35">
        <f>(VLOOKUP(Tabla4[[#This Row],[SERVICIO 2025]],$J$2:$V$14,3,0)*Tabla4[[#This Row],[TOTAL COBERTURA]])</f>
        <v>5409306</v>
      </c>
      <c r="AW84" s="35">
        <f>(VLOOKUP(Tabla4[[#This Row],[SERVICIO 2025]],$J$2:$V$14,3,0)*Tabla4[[#This Row],[TOTAL COBERTURA]])</f>
        <v>5409306</v>
      </c>
      <c r="AX84" s="35">
        <f>(VLOOKUP(Tabla4[[#This Row],[SERVICIO 2025]],$J$2:$V$14,3,0)*Tabla4[[#This Row],[TOTAL COBERTURA]])</f>
        <v>5409306</v>
      </c>
      <c r="AY84" s="35">
        <f>(VLOOKUP(Tabla4[[#This Row],[SERVICIO 2025]],$J$2:$V$14,3,0)*Tabla4[[#This Row],[TOTAL COBERTURA]])</f>
        <v>5409306</v>
      </c>
      <c r="AZ84" s="35">
        <f>(VLOOKUP(Tabla4[[#This Row],[SERVICIO 2025]],$J$2:$V$14,3,0)*Tabla4[[#This Row],[TOTAL COBERTURA]])</f>
        <v>5409306</v>
      </c>
      <c r="BA84" s="35">
        <f>(VLOOKUP(Tabla4[[#This Row],[SERVICIO 2025]],$J$2:$V$14,3,0)*Tabla4[[#This Row],[TOTAL COBERTURA]])+Tabla4[[#This Row],[VALOR FASE PREPARATORIA DE CIERRE]]</f>
        <v>6270915</v>
      </c>
      <c r="BB84" s="35">
        <f>SUM(Tabla4[[#This Row],[DESEMBOLSO 1]:[DESEMBOLSO 8]])</f>
        <v>45784053</v>
      </c>
      <c r="BC84" s="35"/>
      <c r="BD84" s="47" t="s">
        <v>97</v>
      </c>
      <c r="BE84" s="12" t="b">
        <f>EXACT(Tabla4[[#This Row],[VALOR ATENCIÓN (8 MESES)]],Tabla4[[#This Row],[VALOR TOTAL]])</f>
        <v>1</v>
      </c>
      <c r="BF84" s="23">
        <f>Tabla4[[#This Row],[VALOR ATENCIÓN (8 MESES)]]-Tabla4[[#This Row],[VALOR TOTAL]]</f>
        <v>0</v>
      </c>
      <c r="BG84" s="12" t="b">
        <f>EXACT(Tabla4[[#This Row],[TOTAL DESEMBOLSOS]],Tabla4[[#This Row],[VALOR ATENCIÓN (8 MESES)]])</f>
        <v>1</v>
      </c>
      <c r="BH84" s="29">
        <f>Tabla4[[#This Row],[TOTAL DESEMBOLSOS]]-Tabla4[[#This Row],[VALOR ATENCIÓN (8 MESES)]]</f>
        <v>0</v>
      </c>
      <c r="BI84" t="s">
        <v>98</v>
      </c>
    </row>
    <row r="85" spans="1:62">
      <c r="A85" s="13">
        <v>1892</v>
      </c>
      <c r="B85" s="13" t="s">
        <v>265</v>
      </c>
      <c r="C85" s="12" t="s">
        <v>87</v>
      </c>
      <c r="D85" s="12" t="s">
        <v>266</v>
      </c>
      <c r="E85" s="12" t="s">
        <v>267</v>
      </c>
      <c r="F85" s="12" t="s">
        <v>18</v>
      </c>
      <c r="G85" s="12" t="s">
        <v>90</v>
      </c>
      <c r="H85" s="12" t="s">
        <v>272</v>
      </c>
      <c r="I85" s="12">
        <v>50931114934</v>
      </c>
      <c r="J85" s="12" t="s">
        <v>273</v>
      </c>
      <c r="K85" s="12">
        <v>1</v>
      </c>
      <c r="L85" s="12">
        <v>16</v>
      </c>
      <c r="M85" s="12"/>
      <c r="N85" s="13">
        <v>1892</v>
      </c>
      <c r="O85" s="12" t="s">
        <v>93</v>
      </c>
      <c r="P85" s="12"/>
      <c r="Q85" s="12"/>
      <c r="R85" s="12" t="s">
        <v>94</v>
      </c>
      <c r="S85" s="12">
        <v>10</v>
      </c>
      <c r="T85" s="12" t="s">
        <v>270</v>
      </c>
      <c r="U85" s="12" t="s">
        <v>271</v>
      </c>
      <c r="V85" s="12">
        <f>VLOOKUP(Tabla4[[#This Row],[ZONA DEFINITIVO]],Hoja1!$A$1:$D$121,3,0)</f>
        <v>228992</v>
      </c>
      <c r="W85" s="12">
        <f>VLOOKUP(Tabla4[[#This Row],[ZONA DEFINITIVO]],Hoja1!$A$1:$D$121,2,0)</f>
        <v>15170</v>
      </c>
      <c r="X85" s="12">
        <f>VLOOKUP(Tabla4[[#This Row],[ZONA DEFINITIVO]],Hoja1!$A$1:$D$121,4,0)</f>
        <v>91125</v>
      </c>
      <c r="Y85" s="12" t="str">
        <f>+IF(Tabla4[[#This Row],[AGRUPACIONES]]=1,SUMIFS(Tabla4[UDS],Tabla4[ZONA DEFINITIVO],Tabla4[[#This Row],[ZONA DEFINITIVO]])," ")</f>
        <v xml:space="preserve"> </v>
      </c>
      <c r="Z85" s="12" t="str">
        <f>+IF(Tabla4[[#This Row],[AGRUPACIONES]]=1,SUMIFS(Tabla4[TOTAL COBERTURA],Tabla4[ZONA DEFINITIVO],Tabla4[[#This Row],[ZONA DEFINITIVO]])," ")</f>
        <v xml:space="preserve"> </v>
      </c>
      <c r="AA85" s="12"/>
      <c r="AB85" s="38">
        <v>34883088</v>
      </c>
      <c r="AC85" s="37">
        <v>0.02</v>
      </c>
      <c r="AD85" s="38">
        <f t="shared" si="2"/>
        <v>697661.76</v>
      </c>
      <c r="AE85" s="12"/>
      <c r="AF85" s="12">
        <f>COUNTIF($A$20:A85,A85)</f>
        <v>2</v>
      </c>
      <c r="AG85" s="38">
        <v>34883088</v>
      </c>
      <c r="AH85" s="38">
        <f>Tabla4[[#This Row],[VALOR CONTRAPARTIDA]]+Tabla4[[#This Row],[TOTAL APORTES ICBF]]</f>
        <v>35580749.759999998</v>
      </c>
      <c r="AI85" s="35"/>
      <c r="AJ85" s="38"/>
      <c r="AK85" s="38"/>
      <c r="AL85" s="23"/>
      <c r="AM85" s="35">
        <f>VLOOKUP(Tabla4[[#This Row],[SERVICIO 2025]],$J$2:$V$14,5,0)*Tabla4[[#This Row],[TOTAL COBERTURA]]</f>
        <v>790016</v>
      </c>
      <c r="AN85" s="35">
        <f>VLOOKUP(Tabla4[[#This Row],[SERVICIO 2025]],$J$2:$V$14,6,0)*Tabla4[[#This Row],[TOTAL COBERTURA]]</f>
        <v>656464</v>
      </c>
      <c r="AO85" s="35">
        <f>VLOOKUP(Tabla4[[#This Row],[SERVICIO 2025]],$J$2:$V$14,8,0)*Tabla4[[#This Row],[TOTAL COBERTURA]]</f>
        <v>465600</v>
      </c>
      <c r="AP85" s="35">
        <f>VLOOKUP(Tabla4[[#This Row],[SERVICIO 2025]],$J$2:$V$14,3,0)*Tabla4[[#This Row],[TOTAL COBERTURA]]*8</f>
        <v>32971008</v>
      </c>
      <c r="AQ85" s="35"/>
      <c r="AR85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85" s="35" t="str">
        <f>+IF(Tabla4[[#This Row],[AGRUPACIONES]]=1,SUMIFS(Tabla4[VALOR TOTAL],Tabla4[ZONA DEFINITIVO],Tabla4[[#This Row],[ZONA DEFINITIVO]])," ")</f>
        <v xml:space="preserve"> </v>
      </c>
      <c r="AT85" s="27">
        <f>(VLOOKUP(Tabla4[[#This Row],[SERVICIO 2025]],$J$2:$V$14,3,0)*Tabla4[[#This Row],[TOTAL COBERTURA]])+Tabla4[[#This Row],[VALOR FASE PREPARATORIA DE ALISTAMIENTO]]+Tabla4[[#This Row],[DOTACIÓN ÚNICA]]</f>
        <v>5376992</v>
      </c>
      <c r="AU85" s="35">
        <f>(VLOOKUP(Tabla4[[#This Row],[SERVICIO 2025]],$J$2:$V$14,3,0)*Tabla4[[#This Row],[TOTAL COBERTURA]])</f>
        <v>4121376</v>
      </c>
      <c r="AV85" s="35">
        <f>(VLOOKUP(Tabla4[[#This Row],[SERVICIO 2025]],$J$2:$V$14,3,0)*Tabla4[[#This Row],[TOTAL COBERTURA]])</f>
        <v>4121376</v>
      </c>
      <c r="AW85" s="35">
        <f>(VLOOKUP(Tabla4[[#This Row],[SERVICIO 2025]],$J$2:$V$14,3,0)*Tabla4[[#This Row],[TOTAL COBERTURA]])</f>
        <v>4121376</v>
      </c>
      <c r="AX85" s="35">
        <f>(VLOOKUP(Tabla4[[#This Row],[SERVICIO 2025]],$J$2:$V$14,3,0)*Tabla4[[#This Row],[TOTAL COBERTURA]])</f>
        <v>4121376</v>
      </c>
      <c r="AY85" s="35">
        <f>(VLOOKUP(Tabla4[[#This Row],[SERVICIO 2025]],$J$2:$V$14,3,0)*Tabla4[[#This Row],[TOTAL COBERTURA]])</f>
        <v>4121376</v>
      </c>
      <c r="AZ85" s="35">
        <f>(VLOOKUP(Tabla4[[#This Row],[SERVICIO 2025]],$J$2:$V$14,3,0)*Tabla4[[#This Row],[TOTAL COBERTURA]])</f>
        <v>4121376</v>
      </c>
      <c r="BA85" s="35">
        <f>(VLOOKUP(Tabla4[[#This Row],[SERVICIO 2025]],$J$2:$V$14,3,0)*Tabla4[[#This Row],[TOTAL COBERTURA]])+Tabla4[[#This Row],[VALOR FASE PREPARATORIA DE CIERRE]]</f>
        <v>4777840</v>
      </c>
      <c r="BB85" s="35">
        <f>SUM(Tabla4[[#This Row],[DESEMBOLSO 1]:[DESEMBOLSO 8]])</f>
        <v>34883088</v>
      </c>
      <c r="BC85" s="35"/>
      <c r="BD85" s="47" t="s">
        <v>97</v>
      </c>
      <c r="BE85" s="12" t="b">
        <f>EXACT(Tabla4[[#This Row],[VALOR ATENCIÓN (8 MESES)]],Tabla4[[#This Row],[VALOR TOTAL]])</f>
        <v>1</v>
      </c>
      <c r="BF85" s="23">
        <f>Tabla4[[#This Row],[VALOR ATENCIÓN (8 MESES)]]-Tabla4[[#This Row],[VALOR TOTAL]]</f>
        <v>0</v>
      </c>
      <c r="BG85" s="12" t="b">
        <f>EXACT(Tabla4[[#This Row],[TOTAL DESEMBOLSOS]],Tabla4[[#This Row],[VALOR ATENCIÓN (8 MESES)]])</f>
        <v>1</v>
      </c>
      <c r="BH85" s="29">
        <f>Tabla4[[#This Row],[TOTAL DESEMBOLSOS]]-Tabla4[[#This Row],[VALOR ATENCIÓN (8 MESES)]]</f>
        <v>0</v>
      </c>
      <c r="BI85" t="s">
        <v>98</v>
      </c>
    </row>
    <row r="86" spans="1:62">
      <c r="A86" s="13">
        <v>1892</v>
      </c>
      <c r="B86" s="13" t="s">
        <v>265</v>
      </c>
      <c r="C86" s="12" t="s">
        <v>87</v>
      </c>
      <c r="D86" s="12" t="s">
        <v>266</v>
      </c>
      <c r="E86" s="12" t="s">
        <v>267</v>
      </c>
      <c r="F86" s="12" t="s">
        <v>18</v>
      </c>
      <c r="G86" s="12" t="s">
        <v>90</v>
      </c>
      <c r="H86" s="12" t="s">
        <v>274</v>
      </c>
      <c r="I86" s="12">
        <v>50931114936</v>
      </c>
      <c r="J86" s="12" t="s">
        <v>275</v>
      </c>
      <c r="K86" s="12">
        <v>1</v>
      </c>
      <c r="L86" s="12">
        <v>24</v>
      </c>
      <c r="M86" s="12"/>
      <c r="N86" s="13">
        <v>1892</v>
      </c>
      <c r="O86" s="12" t="s">
        <v>93</v>
      </c>
      <c r="P86" s="12"/>
      <c r="Q86" s="12"/>
      <c r="R86" s="12" t="s">
        <v>94</v>
      </c>
      <c r="S86" s="12">
        <v>10</v>
      </c>
      <c r="T86" s="12" t="s">
        <v>270</v>
      </c>
      <c r="U86" s="12" t="s">
        <v>271</v>
      </c>
      <c r="V86" s="12">
        <f>VLOOKUP(Tabla4[[#This Row],[ZONA DEFINITIVO]],Hoja1!$A$1:$D$121,3,0)</f>
        <v>228992</v>
      </c>
      <c r="W86" s="12">
        <f>VLOOKUP(Tabla4[[#This Row],[ZONA DEFINITIVO]],Hoja1!$A$1:$D$121,2,0)</f>
        <v>15170</v>
      </c>
      <c r="X86" s="12">
        <f>VLOOKUP(Tabla4[[#This Row],[ZONA DEFINITIVO]],Hoja1!$A$1:$D$121,4,0)</f>
        <v>91125</v>
      </c>
      <c r="Y86" s="12" t="str">
        <f>+IF(Tabla4[[#This Row],[AGRUPACIONES]]=1,SUMIFS(Tabla4[UDS],Tabla4[ZONA DEFINITIVO],Tabla4[[#This Row],[ZONA DEFINITIVO]])," ")</f>
        <v xml:space="preserve"> </v>
      </c>
      <c r="Z86" s="12" t="str">
        <f>+IF(Tabla4[[#This Row],[AGRUPACIONES]]=1,SUMIFS(Tabla4[TOTAL COBERTURA],Tabla4[ZONA DEFINITIVO],Tabla4[[#This Row],[ZONA DEFINITIVO]])," ")</f>
        <v xml:space="preserve"> </v>
      </c>
      <c r="AA86" s="12"/>
      <c r="AB86" s="38">
        <v>52324632</v>
      </c>
      <c r="AC86" s="37">
        <v>0.02</v>
      </c>
      <c r="AD86" s="38">
        <f t="shared" si="2"/>
        <v>1046492.64</v>
      </c>
      <c r="AE86" s="12"/>
      <c r="AF86" s="12">
        <f>COUNTIF($A$20:A86,A86)</f>
        <v>3</v>
      </c>
      <c r="AG86" s="38">
        <v>52324632</v>
      </c>
      <c r="AH86" s="38">
        <f>Tabla4[[#This Row],[VALOR CONTRAPARTIDA]]+Tabla4[[#This Row],[TOTAL APORTES ICBF]]</f>
        <v>53371124.640000001</v>
      </c>
      <c r="AI86" s="35"/>
      <c r="AJ86" s="38"/>
      <c r="AK86" s="38"/>
      <c r="AL86" s="23"/>
      <c r="AM86" s="35">
        <f>VLOOKUP(Tabla4[[#This Row],[SERVICIO 2025]],$J$2:$V$14,5,0)*Tabla4[[#This Row],[TOTAL COBERTURA]]</f>
        <v>1185024</v>
      </c>
      <c r="AN86" s="35">
        <f>VLOOKUP(Tabla4[[#This Row],[SERVICIO 2025]],$J$2:$V$14,6,0)*Tabla4[[#This Row],[TOTAL COBERTURA]]</f>
        <v>984696</v>
      </c>
      <c r="AO86" s="35">
        <f>VLOOKUP(Tabla4[[#This Row],[SERVICIO 2025]],$J$2:$V$14,8,0)*Tabla4[[#This Row],[TOTAL COBERTURA]]</f>
        <v>698400</v>
      </c>
      <c r="AP86" s="35">
        <f>VLOOKUP(Tabla4[[#This Row],[SERVICIO 2025]],$J$2:$V$14,3,0)*Tabla4[[#This Row],[TOTAL COBERTURA]]*8</f>
        <v>49456512</v>
      </c>
      <c r="AQ86" s="35"/>
      <c r="AR86" s="35">
        <f>Tabla4[[#This Row],[VALOR FASE PREPARATORIA DE ALISTAMIENTO]]+Tabla4[[#This Row],[VALOR FASE PREPARATORIA DE CIERRE]]+Tabla4[[#This Row],[DOTACIÓN ÚNICA]]+Tabla4[[#This Row],[VALOR ATENCIÓN]]+Tabla4[[#This Row],[VALOR RACION PREPARADA]]</f>
        <v>52324632</v>
      </c>
      <c r="AS86" s="35" t="str">
        <f>+IF(Tabla4[[#This Row],[AGRUPACIONES]]=1,SUMIFS(Tabla4[VALOR TOTAL],Tabla4[ZONA DEFINITIVO],Tabla4[[#This Row],[ZONA DEFINITIVO]])," ")</f>
        <v xml:space="preserve"> </v>
      </c>
      <c r="AT86" s="27">
        <f>(VLOOKUP(Tabla4[[#This Row],[SERVICIO 2025]],$J$2:$V$14,3,0)*Tabla4[[#This Row],[TOTAL COBERTURA]])+Tabla4[[#This Row],[VALOR FASE PREPARATORIA DE ALISTAMIENTO]]+Tabla4[[#This Row],[DOTACIÓN ÚNICA]]</f>
        <v>8065488</v>
      </c>
      <c r="AU86" s="35">
        <f>(VLOOKUP(Tabla4[[#This Row],[SERVICIO 2025]],$J$2:$V$14,3,0)*Tabla4[[#This Row],[TOTAL COBERTURA]])</f>
        <v>6182064</v>
      </c>
      <c r="AV86" s="35">
        <f>(VLOOKUP(Tabla4[[#This Row],[SERVICIO 2025]],$J$2:$V$14,3,0)*Tabla4[[#This Row],[TOTAL COBERTURA]])</f>
        <v>6182064</v>
      </c>
      <c r="AW86" s="35">
        <f>(VLOOKUP(Tabla4[[#This Row],[SERVICIO 2025]],$J$2:$V$14,3,0)*Tabla4[[#This Row],[TOTAL COBERTURA]])</f>
        <v>6182064</v>
      </c>
      <c r="AX86" s="35">
        <f>(VLOOKUP(Tabla4[[#This Row],[SERVICIO 2025]],$J$2:$V$14,3,0)*Tabla4[[#This Row],[TOTAL COBERTURA]])</f>
        <v>6182064</v>
      </c>
      <c r="AY86" s="35">
        <f>(VLOOKUP(Tabla4[[#This Row],[SERVICIO 2025]],$J$2:$V$14,3,0)*Tabla4[[#This Row],[TOTAL COBERTURA]])</f>
        <v>6182064</v>
      </c>
      <c r="AZ86" s="35">
        <f>(VLOOKUP(Tabla4[[#This Row],[SERVICIO 2025]],$J$2:$V$14,3,0)*Tabla4[[#This Row],[TOTAL COBERTURA]])</f>
        <v>6182064</v>
      </c>
      <c r="BA86" s="35">
        <f>(VLOOKUP(Tabla4[[#This Row],[SERVICIO 2025]],$J$2:$V$14,3,0)*Tabla4[[#This Row],[TOTAL COBERTURA]])+Tabla4[[#This Row],[VALOR FASE PREPARATORIA DE CIERRE]]</f>
        <v>7166760</v>
      </c>
      <c r="BB86" s="35">
        <f>SUM(Tabla4[[#This Row],[DESEMBOLSO 1]:[DESEMBOLSO 8]])</f>
        <v>52324632</v>
      </c>
      <c r="BC86" s="35"/>
      <c r="BD86" s="47" t="s">
        <v>97</v>
      </c>
      <c r="BE86" s="12" t="b">
        <f>EXACT(Tabla4[[#This Row],[VALOR ATENCIÓN (8 MESES)]],Tabla4[[#This Row],[VALOR TOTAL]])</f>
        <v>1</v>
      </c>
      <c r="BF86" s="23">
        <f>Tabla4[[#This Row],[VALOR ATENCIÓN (8 MESES)]]-Tabla4[[#This Row],[VALOR TOTAL]]</f>
        <v>0</v>
      </c>
      <c r="BG86" s="12" t="b">
        <f>EXACT(Tabla4[[#This Row],[TOTAL DESEMBOLSOS]],Tabla4[[#This Row],[VALOR ATENCIÓN (8 MESES)]])</f>
        <v>1</v>
      </c>
      <c r="BH86" s="29">
        <f>Tabla4[[#This Row],[TOTAL DESEMBOLSOS]]-Tabla4[[#This Row],[VALOR ATENCIÓN (8 MESES)]]</f>
        <v>0</v>
      </c>
      <c r="BI86" t="s">
        <v>98</v>
      </c>
    </row>
    <row r="87" spans="1:62">
      <c r="A87" s="13">
        <v>1892</v>
      </c>
      <c r="B87" s="13" t="s">
        <v>265</v>
      </c>
      <c r="C87" s="12" t="s">
        <v>87</v>
      </c>
      <c r="D87" s="12" t="s">
        <v>266</v>
      </c>
      <c r="E87" s="12" t="s">
        <v>267</v>
      </c>
      <c r="F87" s="12" t="s">
        <v>18</v>
      </c>
      <c r="G87" s="12" t="s">
        <v>90</v>
      </c>
      <c r="H87" s="12" t="s">
        <v>276</v>
      </c>
      <c r="I87" s="12">
        <v>50931114939</v>
      </c>
      <c r="J87" s="12" t="s">
        <v>277</v>
      </c>
      <c r="K87" s="12">
        <v>1</v>
      </c>
      <c r="L87" s="12">
        <v>29</v>
      </c>
      <c r="M87" s="12"/>
      <c r="N87" s="13">
        <v>1892</v>
      </c>
      <c r="O87" s="12" t="s">
        <v>93</v>
      </c>
      <c r="P87" s="12"/>
      <c r="Q87" s="12"/>
      <c r="R87" s="12" t="s">
        <v>94</v>
      </c>
      <c r="S87" s="12">
        <v>10</v>
      </c>
      <c r="T87" s="12" t="s">
        <v>270</v>
      </c>
      <c r="U87" s="12" t="s">
        <v>271</v>
      </c>
      <c r="V87" s="12">
        <f>VLOOKUP(Tabla4[[#This Row],[ZONA DEFINITIVO]],Hoja1!$A$1:$D$121,3,0)</f>
        <v>228992</v>
      </c>
      <c r="W87" s="12">
        <f>VLOOKUP(Tabla4[[#This Row],[ZONA DEFINITIVO]],Hoja1!$A$1:$D$121,2,0)</f>
        <v>15170</v>
      </c>
      <c r="X87" s="12">
        <f>VLOOKUP(Tabla4[[#This Row],[ZONA DEFINITIVO]],Hoja1!$A$1:$D$121,4,0)</f>
        <v>91125</v>
      </c>
      <c r="Y87" s="12" t="str">
        <f>+IF(Tabla4[[#This Row],[AGRUPACIONES]]=1,SUMIFS(Tabla4[UDS],Tabla4[ZONA DEFINITIVO],Tabla4[[#This Row],[ZONA DEFINITIVO]])," ")</f>
        <v xml:space="preserve"> </v>
      </c>
      <c r="Z87" s="12" t="str">
        <f>+IF(Tabla4[[#This Row],[AGRUPACIONES]]=1,SUMIFS(Tabla4[TOTAL COBERTURA],Tabla4[ZONA DEFINITIVO],Tabla4[[#This Row],[ZONA DEFINITIVO]])," ")</f>
        <v xml:space="preserve"> </v>
      </c>
      <c r="AA87" s="12"/>
      <c r="AB87" s="38">
        <v>63225597</v>
      </c>
      <c r="AC87" s="37">
        <v>0.02</v>
      </c>
      <c r="AD87" s="38">
        <f t="shared" si="2"/>
        <v>1264511.94</v>
      </c>
      <c r="AE87" s="12"/>
      <c r="AF87" s="12">
        <f>COUNTIF($A$20:A87,A87)</f>
        <v>4</v>
      </c>
      <c r="AG87" s="38">
        <v>63225597</v>
      </c>
      <c r="AH87" s="38">
        <f>Tabla4[[#This Row],[VALOR CONTRAPARTIDA]]+Tabla4[[#This Row],[TOTAL APORTES ICBF]]</f>
        <v>64490108.939999998</v>
      </c>
      <c r="AI87" s="35"/>
      <c r="AJ87" s="38"/>
      <c r="AK87" s="38"/>
      <c r="AL87" s="23"/>
      <c r="AM87" s="35">
        <f>VLOOKUP(Tabla4[[#This Row],[SERVICIO 2025]],$J$2:$V$14,5,0)*Tabla4[[#This Row],[TOTAL COBERTURA]]</f>
        <v>1431904</v>
      </c>
      <c r="AN87" s="35">
        <f>VLOOKUP(Tabla4[[#This Row],[SERVICIO 2025]],$J$2:$V$14,6,0)*Tabla4[[#This Row],[TOTAL COBERTURA]]</f>
        <v>1189841</v>
      </c>
      <c r="AO87" s="35">
        <f>VLOOKUP(Tabla4[[#This Row],[SERVICIO 2025]],$J$2:$V$14,8,0)*Tabla4[[#This Row],[TOTAL COBERTURA]]</f>
        <v>843900</v>
      </c>
      <c r="AP87" s="35">
        <f>VLOOKUP(Tabla4[[#This Row],[SERVICIO 2025]],$J$2:$V$14,3,0)*Tabla4[[#This Row],[TOTAL COBERTURA]]*8</f>
        <v>59759952</v>
      </c>
      <c r="AQ87" s="35"/>
      <c r="AR87" s="35">
        <f>Tabla4[[#This Row],[VALOR FASE PREPARATORIA DE ALISTAMIENTO]]+Tabla4[[#This Row],[VALOR FASE PREPARATORIA DE CIERRE]]+Tabla4[[#This Row],[DOTACIÓN ÚNICA]]+Tabla4[[#This Row],[VALOR ATENCIÓN]]+Tabla4[[#This Row],[VALOR RACION PREPARADA]]</f>
        <v>63225597</v>
      </c>
      <c r="AS87" s="35" t="str">
        <f>+IF(Tabla4[[#This Row],[AGRUPACIONES]]=1,SUMIFS(Tabla4[VALOR TOTAL],Tabla4[ZONA DEFINITIVO],Tabla4[[#This Row],[ZONA DEFINITIVO]])," ")</f>
        <v xml:space="preserve"> </v>
      </c>
      <c r="AT87" s="27">
        <f>(VLOOKUP(Tabla4[[#This Row],[SERVICIO 2025]],$J$2:$V$14,3,0)*Tabla4[[#This Row],[TOTAL COBERTURA]])+Tabla4[[#This Row],[VALOR FASE PREPARATORIA DE ALISTAMIENTO]]+Tabla4[[#This Row],[DOTACIÓN ÚNICA]]</f>
        <v>9745798</v>
      </c>
      <c r="AU87" s="35">
        <f>(VLOOKUP(Tabla4[[#This Row],[SERVICIO 2025]],$J$2:$V$14,3,0)*Tabla4[[#This Row],[TOTAL COBERTURA]])</f>
        <v>7469994</v>
      </c>
      <c r="AV87" s="35">
        <f>(VLOOKUP(Tabla4[[#This Row],[SERVICIO 2025]],$J$2:$V$14,3,0)*Tabla4[[#This Row],[TOTAL COBERTURA]])</f>
        <v>7469994</v>
      </c>
      <c r="AW87" s="35">
        <f>(VLOOKUP(Tabla4[[#This Row],[SERVICIO 2025]],$J$2:$V$14,3,0)*Tabla4[[#This Row],[TOTAL COBERTURA]])</f>
        <v>7469994</v>
      </c>
      <c r="AX87" s="35">
        <f>(VLOOKUP(Tabla4[[#This Row],[SERVICIO 2025]],$J$2:$V$14,3,0)*Tabla4[[#This Row],[TOTAL COBERTURA]])</f>
        <v>7469994</v>
      </c>
      <c r="AY87" s="35">
        <f>(VLOOKUP(Tabla4[[#This Row],[SERVICIO 2025]],$J$2:$V$14,3,0)*Tabla4[[#This Row],[TOTAL COBERTURA]])</f>
        <v>7469994</v>
      </c>
      <c r="AZ87" s="35">
        <f>(VLOOKUP(Tabla4[[#This Row],[SERVICIO 2025]],$J$2:$V$14,3,0)*Tabla4[[#This Row],[TOTAL COBERTURA]])</f>
        <v>7469994</v>
      </c>
      <c r="BA87" s="35">
        <f>(VLOOKUP(Tabla4[[#This Row],[SERVICIO 2025]],$J$2:$V$14,3,0)*Tabla4[[#This Row],[TOTAL COBERTURA]])+Tabla4[[#This Row],[VALOR FASE PREPARATORIA DE CIERRE]]</f>
        <v>8659835</v>
      </c>
      <c r="BB87" s="35">
        <f>SUM(Tabla4[[#This Row],[DESEMBOLSO 1]:[DESEMBOLSO 8]])</f>
        <v>63225597</v>
      </c>
      <c r="BC87" s="35"/>
      <c r="BD87" s="47" t="s">
        <v>97</v>
      </c>
      <c r="BE87" s="12" t="b">
        <f>EXACT(Tabla4[[#This Row],[VALOR ATENCIÓN (8 MESES)]],Tabla4[[#This Row],[VALOR TOTAL]])</f>
        <v>1</v>
      </c>
      <c r="BF87" s="23">
        <f>Tabla4[[#This Row],[VALOR ATENCIÓN (8 MESES)]]-Tabla4[[#This Row],[VALOR TOTAL]]</f>
        <v>0</v>
      </c>
      <c r="BG87" s="12" t="b">
        <f>EXACT(Tabla4[[#This Row],[TOTAL DESEMBOLSOS]],Tabla4[[#This Row],[VALOR ATENCIÓN (8 MESES)]])</f>
        <v>1</v>
      </c>
      <c r="BH87" s="29">
        <f>Tabla4[[#This Row],[TOTAL DESEMBOLSOS]]-Tabla4[[#This Row],[VALOR ATENCIÓN (8 MESES)]]</f>
        <v>0</v>
      </c>
      <c r="BI87" t="s">
        <v>98</v>
      </c>
    </row>
    <row r="88" spans="1:62">
      <c r="A88" s="13">
        <v>1892</v>
      </c>
      <c r="B88" s="13" t="s">
        <v>265</v>
      </c>
      <c r="C88" s="12" t="s">
        <v>87</v>
      </c>
      <c r="D88" s="12" t="s">
        <v>266</v>
      </c>
      <c r="E88" s="12" t="s">
        <v>267</v>
      </c>
      <c r="F88" s="12" t="s">
        <v>18</v>
      </c>
      <c r="G88" s="12" t="s">
        <v>90</v>
      </c>
      <c r="H88" s="12" t="s">
        <v>278</v>
      </c>
      <c r="I88" s="12">
        <v>50931114940</v>
      </c>
      <c r="J88" s="12" t="s">
        <v>279</v>
      </c>
      <c r="K88" s="12">
        <v>1</v>
      </c>
      <c r="L88" s="12">
        <v>16</v>
      </c>
      <c r="M88" s="12"/>
      <c r="N88" s="13">
        <v>1892</v>
      </c>
      <c r="O88" s="12" t="s">
        <v>93</v>
      </c>
      <c r="P88" s="12"/>
      <c r="Q88" s="12"/>
      <c r="R88" s="12" t="s">
        <v>94</v>
      </c>
      <c r="S88" s="12">
        <v>10</v>
      </c>
      <c r="T88" s="12" t="s">
        <v>270</v>
      </c>
      <c r="U88" s="12" t="s">
        <v>271</v>
      </c>
      <c r="V88" s="12">
        <f>VLOOKUP(Tabla4[[#This Row],[ZONA DEFINITIVO]],Hoja1!$A$1:$D$121,3,0)</f>
        <v>228992</v>
      </c>
      <c r="W88" s="12">
        <f>VLOOKUP(Tabla4[[#This Row],[ZONA DEFINITIVO]],Hoja1!$A$1:$D$121,2,0)</f>
        <v>15170</v>
      </c>
      <c r="X88" s="12">
        <f>VLOOKUP(Tabla4[[#This Row],[ZONA DEFINITIVO]],Hoja1!$A$1:$D$121,4,0)</f>
        <v>91125</v>
      </c>
      <c r="Y88" s="12" t="str">
        <f>+IF(Tabla4[[#This Row],[AGRUPACIONES]]=1,SUMIFS(Tabla4[UDS],Tabla4[ZONA DEFINITIVO],Tabla4[[#This Row],[ZONA DEFINITIVO]])," ")</f>
        <v xml:space="preserve"> </v>
      </c>
      <c r="Z88" s="12" t="str">
        <f>+IF(Tabla4[[#This Row],[AGRUPACIONES]]=1,SUMIFS(Tabla4[TOTAL COBERTURA],Tabla4[ZONA DEFINITIVO],Tabla4[[#This Row],[ZONA DEFINITIVO]])," ")</f>
        <v xml:space="preserve"> </v>
      </c>
      <c r="AA88" s="12"/>
      <c r="AB88" s="38">
        <v>34883088</v>
      </c>
      <c r="AC88" s="37">
        <v>0.02</v>
      </c>
      <c r="AD88" s="38">
        <f t="shared" si="2"/>
        <v>697661.76</v>
      </c>
      <c r="AE88" s="12"/>
      <c r="AF88" s="12">
        <f>COUNTIF($A$20:A88,A88)</f>
        <v>5</v>
      </c>
      <c r="AG88" s="38">
        <v>34883088</v>
      </c>
      <c r="AH88" s="38">
        <f>Tabla4[[#This Row],[VALOR CONTRAPARTIDA]]+Tabla4[[#This Row],[TOTAL APORTES ICBF]]</f>
        <v>35580749.759999998</v>
      </c>
      <c r="AI88" s="35"/>
      <c r="AJ88" s="38"/>
      <c r="AK88" s="38"/>
      <c r="AL88" s="23"/>
      <c r="AM88" s="35">
        <f>VLOOKUP(Tabla4[[#This Row],[SERVICIO 2025]],$J$2:$V$14,5,0)*Tabla4[[#This Row],[TOTAL COBERTURA]]</f>
        <v>790016</v>
      </c>
      <c r="AN88" s="35">
        <f>VLOOKUP(Tabla4[[#This Row],[SERVICIO 2025]],$J$2:$V$14,6,0)*Tabla4[[#This Row],[TOTAL COBERTURA]]</f>
        <v>656464</v>
      </c>
      <c r="AO88" s="35">
        <f>VLOOKUP(Tabla4[[#This Row],[SERVICIO 2025]],$J$2:$V$14,8,0)*Tabla4[[#This Row],[TOTAL COBERTURA]]</f>
        <v>465600</v>
      </c>
      <c r="AP88" s="35">
        <f>VLOOKUP(Tabla4[[#This Row],[SERVICIO 2025]],$J$2:$V$14,3,0)*Tabla4[[#This Row],[TOTAL COBERTURA]]*8</f>
        <v>32971008</v>
      </c>
      <c r="AQ88" s="35"/>
      <c r="AR88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88" s="35" t="str">
        <f>+IF(Tabla4[[#This Row],[AGRUPACIONES]]=1,SUMIFS(Tabla4[VALOR TOTAL],Tabla4[ZONA DEFINITIVO],Tabla4[[#This Row],[ZONA DEFINITIVO]])," ")</f>
        <v xml:space="preserve"> </v>
      </c>
      <c r="AT88" s="27">
        <f>(VLOOKUP(Tabla4[[#This Row],[SERVICIO 2025]],$J$2:$V$14,3,0)*Tabla4[[#This Row],[TOTAL COBERTURA]])+Tabla4[[#This Row],[VALOR FASE PREPARATORIA DE ALISTAMIENTO]]+Tabla4[[#This Row],[DOTACIÓN ÚNICA]]</f>
        <v>5376992</v>
      </c>
      <c r="AU88" s="35">
        <f>(VLOOKUP(Tabla4[[#This Row],[SERVICIO 2025]],$J$2:$V$14,3,0)*Tabla4[[#This Row],[TOTAL COBERTURA]])</f>
        <v>4121376</v>
      </c>
      <c r="AV88" s="35">
        <f>(VLOOKUP(Tabla4[[#This Row],[SERVICIO 2025]],$J$2:$V$14,3,0)*Tabla4[[#This Row],[TOTAL COBERTURA]])</f>
        <v>4121376</v>
      </c>
      <c r="AW88" s="35">
        <f>(VLOOKUP(Tabla4[[#This Row],[SERVICIO 2025]],$J$2:$V$14,3,0)*Tabla4[[#This Row],[TOTAL COBERTURA]])</f>
        <v>4121376</v>
      </c>
      <c r="AX88" s="35">
        <f>(VLOOKUP(Tabla4[[#This Row],[SERVICIO 2025]],$J$2:$V$14,3,0)*Tabla4[[#This Row],[TOTAL COBERTURA]])</f>
        <v>4121376</v>
      </c>
      <c r="AY88" s="35">
        <f>(VLOOKUP(Tabla4[[#This Row],[SERVICIO 2025]],$J$2:$V$14,3,0)*Tabla4[[#This Row],[TOTAL COBERTURA]])</f>
        <v>4121376</v>
      </c>
      <c r="AZ88" s="35">
        <f>(VLOOKUP(Tabla4[[#This Row],[SERVICIO 2025]],$J$2:$V$14,3,0)*Tabla4[[#This Row],[TOTAL COBERTURA]])</f>
        <v>4121376</v>
      </c>
      <c r="BA88" s="35">
        <f>(VLOOKUP(Tabla4[[#This Row],[SERVICIO 2025]],$J$2:$V$14,3,0)*Tabla4[[#This Row],[TOTAL COBERTURA]])+Tabla4[[#This Row],[VALOR FASE PREPARATORIA DE CIERRE]]</f>
        <v>4777840</v>
      </c>
      <c r="BB88" s="35">
        <f>SUM(Tabla4[[#This Row],[DESEMBOLSO 1]:[DESEMBOLSO 8]])</f>
        <v>34883088</v>
      </c>
      <c r="BC88" s="35"/>
      <c r="BD88" s="47" t="s">
        <v>97</v>
      </c>
      <c r="BE88" s="12" t="b">
        <f>EXACT(Tabla4[[#This Row],[VALOR ATENCIÓN (8 MESES)]],Tabla4[[#This Row],[VALOR TOTAL]])</f>
        <v>1</v>
      </c>
      <c r="BF88" s="23">
        <f>Tabla4[[#This Row],[VALOR ATENCIÓN (8 MESES)]]-Tabla4[[#This Row],[VALOR TOTAL]]</f>
        <v>0</v>
      </c>
      <c r="BG88" s="12" t="b">
        <f>EXACT(Tabla4[[#This Row],[TOTAL DESEMBOLSOS]],Tabla4[[#This Row],[VALOR ATENCIÓN (8 MESES)]])</f>
        <v>1</v>
      </c>
      <c r="BH88" s="29">
        <f>Tabla4[[#This Row],[TOTAL DESEMBOLSOS]]-Tabla4[[#This Row],[VALOR ATENCIÓN (8 MESES)]]</f>
        <v>0</v>
      </c>
      <c r="BI88" t="s">
        <v>98</v>
      </c>
    </row>
    <row r="89" spans="1:62">
      <c r="A89" s="13">
        <v>1892</v>
      </c>
      <c r="B89" s="13" t="s">
        <v>265</v>
      </c>
      <c r="C89" s="12" t="s">
        <v>87</v>
      </c>
      <c r="D89" s="12" t="s">
        <v>266</v>
      </c>
      <c r="E89" s="12" t="s">
        <v>267</v>
      </c>
      <c r="F89" s="12" t="s">
        <v>18</v>
      </c>
      <c r="G89" s="12" t="s">
        <v>90</v>
      </c>
      <c r="H89" s="12" t="s">
        <v>280</v>
      </c>
      <c r="I89" s="12">
        <v>50931114941</v>
      </c>
      <c r="J89" s="12" t="s">
        <v>281</v>
      </c>
      <c r="K89" s="12">
        <v>1</v>
      </c>
      <c r="L89" s="12">
        <v>20</v>
      </c>
      <c r="M89" s="12"/>
      <c r="N89" s="13">
        <v>1892</v>
      </c>
      <c r="O89" s="12" t="s">
        <v>93</v>
      </c>
      <c r="P89" s="12"/>
      <c r="Q89" s="12"/>
      <c r="R89" s="12" t="s">
        <v>94</v>
      </c>
      <c r="S89" s="12">
        <v>10</v>
      </c>
      <c r="T89" s="12" t="s">
        <v>270</v>
      </c>
      <c r="U89" s="12" t="s">
        <v>271</v>
      </c>
      <c r="V89" s="12">
        <f>VLOOKUP(Tabla4[[#This Row],[ZONA DEFINITIVO]],Hoja1!$A$1:$D$121,3,0)</f>
        <v>228992</v>
      </c>
      <c r="W89" s="12">
        <f>VLOOKUP(Tabla4[[#This Row],[ZONA DEFINITIVO]],Hoja1!$A$1:$D$121,2,0)</f>
        <v>15170</v>
      </c>
      <c r="X89" s="12">
        <f>VLOOKUP(Tabla4[[#This Row],[ZONA DEFINITIVO]],Hoja1!$A$1:$D$121,4,0)</f>
        <v>91125</v>
      </c>
      <c r="Y89" s="12" t="str">
        <f>+IF(Tabla4[[#This Row],[AGRUPACIONES]]=1,SUMIFS(Tabla4[UDS],Tabla4[ZONA DEFINITIVO],Tabla4[[#This Row],[ZONA DEFINITIVO]])," ")</f>
        <v xml:space="preserve"> </v>
      </c>
      <c r="Z89" s="12" t="str">
        <f>+IF(Tabla4[[#This Row],[AGRUPACIONES]]=1,SUMIFS(Tabla4[TOTAL COBERTURA],Tabla4[ZONA DEFINITIVO],Tabla4[[#This Row],[ZONA DEFINITIVO]])," ")</f>
        <v xml:space="preserve"> </v>
      </c>
      <c r="AA89" s="12"/>
      <c r="AB89" s="38">
        <v>43603860</v>
      </c>
      <c r="AC89" s="37">
        <v>0.02</v>
      </c>
      <c r="AD89" s="38">
        <f t="shared" si="2"/>
        <v>872077.20000000007</v>
      </c>
      <c r="AE89" s="12"/>
      <c r="AF89" s="12">
        <f>COUNTIF($A$20:A89,A89)</f>
        <v>6</v>
      </c>
      <c r="AG89" s="38">
        <v>43603860</v>
      </c>
      <c r="AH89" s="38">
        <f>Tabla4[[#This Row],[VALOR CONTRAPARTIDA]]+Tabla4[[#This Row],[TOTAL APORTES ICBF]]</f>
        <v>44475937.200000003</v>
      </c>
      <c r="AI89" s="35"/>
      <c r="AJ89" s="38"/>
      <c r="AK89" s="38"/>
      <c r="AL89" s="23"/>
      <c r="AM89" s="35">
        <f>VLOOKUP(Tabla4[[#This Row],[SERVICIO 2025]],$J$2:$V$14,5,0)*Tabla4[[#This Row],[TOTAL COBERTURA]]</f>
        <v>987520</v>
      </c>
      <c r="AN89" s="35">
        <f>VLOOKUP(Tabla4[[#This Row],[SERVICIO 2025]],$J$2:$V$14,6,0)*Tabla4[[#This Row],[TOTAL COBERTURA]]</f>
        <v>820580</v>
      </c>
      <c r="AO89" s="35">
        <f>VLOOKUP(Tabla4[[#This Row],[SERVICIO 2025]],$J$2:$V$14,8,0)*Tabla4[[#This Row],[TOTAL COBERTURA]]</f>
        <v>582000</v>
      </c>
      <c r="AP89" s="35">
        <f>VLOOKUP(Tabla4[[#This Row],[SERVICIO 2025]],$J$2:$V$14,3,0)*Tabla4[[#This Row],[TOTAL COBERTURA]]*8</f>
        <v>41213760</v>
      </c>
      <c r="AQ89" s="35"/>
      <c r="AR89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89" s="35" t="str">
        <f>+IF(Tabla4[[#This Row],[AGRUPACIONES]]=1,SUMIFS(Tabla4[VALOR TOTAL],Tabla4[ZONA DEFINITIVO],Tabla4[[#This Row],[ZONA DEFINITIVO]])," ")</f>
        <v xml:space="preserve"> </v>
      </c>
      <c r="AT89" s="27">
        <f>(VLOOKUP(Tabla4[[#This Row],[SERVICIO 2025]],$J$2:$V$14,3,0)*Tabla4[[#This Row],[TOTAL COBERTURA]])+Tabla4[[#This Row],[VALOR FASE PREPARATORIA DE ALISTAMIENTO]]+Tabla4[[#This Row],[DOTACIÓN ÚNICA]]</f>
        <v>6721240</v>
      </c>
      <c r="AU89" s="35">
        <f>(VLOOKUP(Tabla4[[#This Row],[SERVICIO 2025]],$J$2:$V$14,3,0)*Tabla4[[#This Row],[TOTAL COBERTURA]])</f>
        <v>5151720</v>
      </c>
      <c r="AV89" s="35">
        <f>(VLOOKUP(Tabla4[[#This Row],[SERVICIO 2025]],$J$2:$V$14,3,0)*Tabla4[[#This Row],[TOTAL COBERTURA]])</f>
        <v>5151720</v>
      </c>
      <c r="AW89" s="35">
        <f>(VLOOKUP(Tabla4[[#This Row],[SERVICIO 2025]],$J$2:$V$14,3,0)*Tabla4[[#This Row],[TOTAL COBERTURA]])</f>
        <v>5151720</v>
      </c>
      <c r="AX89" s="35">
        <f>(VLOOKUP(Tabla4[[#This Row],[SERVICIO 2025]],$J$2:$V$14,3,0)*Tabla4[[#This Row],[TOTAL COBERTURA]])</f>
        <v>5151720</v>
      </c>
      <c r="AY89" s="35">
        <f>(VLOOKUP(Tabla4[[#This Row],[SERVICIO 2025]],$J$2:$V$14,3,0)*Tabla4[[#This Row],[TOTAL COBERTURA]])</f>
        <v>5151720</v>
      </c>
      <c r="AZ89" s="35">
        <f>(VLOOKUP(Tabla4[[#This Row],[SERVICIO 2025]],$J$2:$V$14,3,0)*Tabla4[[#This Row],[TOTAL COBERTURA]])</f>
        <v>5151720</v>
      </c>
      <c r="BA89" s="35">
        <f>(VLOOKUP(Tabla4[[#This Row],[SERVICIO 2025]],$J$2:$V$14,3,0)*Tabla4[[#This Row],[TOTAL COBERTURA]])+Tabla4[[#This Row],[VALOR FASE PREPARATORIA DE CIERRE]]</f>
        <v>5972300</v>
      </c>
      <c r="BB89" s="35">
        <f>SUM(Tabla4[[#This Row],[DESEMBOLSO 1]:[DESEMBOLSO 8]])</f>
        <v>43603860</v>
      </c>
      <c r="BC89" s="35"/>
      <c r="BD89" s="47" t="s">
        <v>97</v>
      </c>
      <c r="BE89" s="12" t="b">
        <f>EXACT(Tabla4[[#This Row],[VALOR ATENCIÓN (8 MESES)]],Tabla4[[#This Row],[VALOR TOTAL]])</f>
        <v>1</v>
      </c>
      <c r="BF89" s="23">
        <f>Tabla4[[#This Row],[VALOR ATENCIÓN (8 MESES)]]-Tabla4[[#This Row],[VALOR TOTAL]]</f>
        <v>0</v>
      </c>
      <c r="BG89" s="12" t="b">
        <f>EXACT(Tabla4[[#This Row],[TOTAL DESEMBOLSOS]],Tabla4[[#This Row],[VALOR ATENCIÓN (8 MESES)]])</f>
        <v>1</v>
      </c>
      <c r="BH89" s="29">
        <f>Tabla4[[#This Row],[TOTAL DESEMBOLSOS]]-Tabla4[[#This Row],[VALOR ATENCIÓN (8 MESES)]]</f>
        <v>0</v>
      </c>
      <c r="BI89" t="s">
        <v>98</v>
      </c>
    </row>
    <row r="90" spans="1:62">
      <c r="A90" s="13">
        <v>1892</v>
      </c>
      <c r="B90" s="13" t="s">
        <v>265</v>
      </c>
      <c r="C90" s="12" t="s">
        <v>87</v>
      </c>
      <c r="D90" s="12" t="s">
        <v>266</v>
      </c>
      <c r="E90" s="12" t="s">
        <v>267</v>
      </c>
      <c r="F90" s="12" t="s">
        <v>18</v>
      </c>
      <c r="G90" s="12" t="s">
        <v>90</v>
      </c>
      <c r="H90" s="12" t="s">
        <v>282</v>
      </c>
      <c r="I90" s="12">
        <v>50931114943</v>
      </c>
      <c r="J90" s="12" t="s">
        <v>283</v>
      </c>
      <c r="K90" s="12">
        <v>1</v>
      </c>
      <c r="L90" s="12">
        <v>31</v>
      </c>
      <c r="M90" s="12"/>
      <c r="N90" s="13">
        <v>1892</v>
      </c>
      <c r="O90" s="12" t="s">
        <v>93</v>
      </c>
      <c r="P90" s="12"/>
      <c r="Q90" s="12"/>
      <c r="R90" s="12" t="s">
        <v>94</v>
      </c>
      <c r="S90" s="12">
        <v>10</v>
      </c>
      <c r="T90" s="12" t="s">
        <v>270</v>
      </c>
      <c r="U90" s="12" t="s">
        <v>271</v>
      </c>
      <c r="V90" s="12">
        <f>VLOOKUP(Tabla4[[#This Row],[ZONA DEFINITIVO]],Hoja1!$A$1:$D$121,3,0)</f>
        <v>228992</v>
      </c>
      <c r="W90" s="12">
        <f>VLOOKUP(Tabla4[[#This Row],[ZONA DEFINITIVO]],Hoja1!$A$1:$D$121,2,0)</f>
        <v>15170</v>
      </c>
      <c r="X90" s="12">
        <f>VLOOKUP(Tabla4[[#This Row],[ZONA DEFINITIVO]],Hoja1!$A$1:$D$121,4,0)</f>
        <v>91125</v>
      </c>
      <c r="Y90" s="12" t="str">
        <f>+IF(Tabla4[[#This Row],[AGRUPACIONES]]=1,SUMIFS(Tabla4[UDS],Tabla4[ZONA DEFINITIVO],Tabla4[[#This Row],[ZONA DEFINITIVO]])," ")</f>
        <v xml:space="preserve"> </v>
      </c>
      <c r="Z90" s="12" t="str">
        <f>+IF(Tabla4[[#This Row],[AGRUPACIONES]]=1,SUMIFS(Tabla4[TOTAL COBERTURA],Tabla4[ZONA DEFINITIVO],Tabla4[[#This Row],[ZONA DEFINITIVO]])," ")</f>
        <v xml:space="preserve"> </v>
      </c>
      <c r="AA90" s="12"/>
      <c r="AB90" s="38">
        <v>67585983</v>
      </c>
      <c r="AC90" s="37">
        <v>0.02</v>
      </c>
      <c r="AD90" s="38">
        <f t="shared" si="2"/>
        <v>1351719.66</v>
      </c>
      <c r="AE90" s="12"/>
      <c r="AF90" s="12">
        <f>COUNTIF($A$20:A90,A90)</f>
        <v>7</v>
      </c>
      <c r="AG90" s="38">
        <v>67585983</v>
      </c>
      <c r="AH90" s="38">
        <f>Tabla4[[#This Row],[VALOR CONTRAPARTIDA]]+Tabla4[[#This Row],[TOTAL APORTES ICBF]]</f>
        <v>68937702.659999996</v>
      </c>
      <c r="AI90" s="35"/>
      <c r="AJ90" s="38"/>
      <c r="AK90" s="38"/>
      <c r="AL90" s="23"/>
      <c r="AM90" s="35">
        <f>VLOOKUP(Tabla4[[#This Row],[SERVICIO 2025]],$J$2:$V$14,5,0)*Tabla4[[#This Row],[TOTAL COBERTURA]]</f>
        <v>1530656</v>
      </c>
      <c r="AN90" s="35">
        <f>VLOOKUP(Tabla4[[#This Row],[SERVICIO 2025]],$J$2:$V$14,6,0)*Tabla4[[#This Row],[TOTAL COBERTURA]]</f>
        <v>1271899</v>
      </c>
      <c r="AO90" s="35">
        <f>VLOOKUP(Tabla4[[#This Row],[SERVICIO 2025]],$J$2:$V$14,8,0)*Tabla4[[#This Row],[TOTAL COBERTURA]]</f>
        <v>902100</v>
      </c>
      <c r="AP90" s="35">
        <f>VLOOKUP(Tabla4[[#This Row],[SERVICIO 2025]],$J$2:$V$14,3,0)*Tabla4[[#This Row],[TOTAL COBERTURA]]*8</f>
        <v>63881328</v>
      </c>
      <c r="AQ90" s="35"/>
      <c r="AR90" s="35">
        <f>Tabla4[[#This Row],[VALOR FASE PREPARATORIA DE ALISTAMIENTO]]+Tabla4[[#This Row],[VALOR FASE PREPARATORIA DE CIERRE]]+Tabla4[[#This Row],[DOTACIÓN ÚNICA]]+Tabla4[[#This Row],[VALOR ATENCIÓN]]+Tabla4[[#This Row],[VALOR RACION PREPARADA]]</f>
        <v>67585983</v>
      </c>
      <c r="AS90" s="35" t="str">
        <f>+IF(Tabla4[[#This Row],[AGRUPACIONES]]=1,SUMIFS(Tabla4[VALOR TOTAL],Tabla4[ZONA DEFINITIVO],Tabla4[[#This Row],[ZONA DEFINITIVO]])," ")</f>
        <v xml:space="preserve"> </v>
      </c>
      <c r="AT90" s="27">
        <f>(VLOOKUP(Tabla4[[#This Row],[SERVICIO 2025]],$J$2:$V$14,3,0)*Tabla4[[#This Row],[TOTAL COBERTURA]])+Tabla4[[#This Row],[VALOR FASE PREPARATORIA DE ALISTAMIENTO]]+Tabla4[[#This Row],[DOTACIÓN ÚNICA]]</f>
        <v>10417922</v>
      </c>
      <c r="AU90" s="35">
        <f>(VLOOKUP(Tabla4[[#This Row],[SERVICIO 2025]],$J$2:$V$14,3,0)*Tabla4[[#This Row],[TOTAL COBERTURA]])</f>
        <v>7985166</v>
      </c>
      <c r="AV90" s="35">
        <f>(VLOOKUP(Tabla4[[#This Row],[SERVICIO 2025]],$J$2:$V$14,3,0)*Tabla4[[#This Row],[TOTAL COBERTURA]])</f>
        <v>7985166</v>
      </c>
      <c r="AW90" s="35">
        <f>(VLOOKUP(Tabla4[[#This Row],[SERVICIO 2025]],$J$2:$V$14,3,0)*Tabla4[[#This Row],[TOTAL COBERTURA]])</f>
        <v>7985166</v>
      </c>
      <c r="AX90" s="35">
        <f>(VLOOKUP(Tabla4[[#This Row],[SERVICIO 2025]],$J$2:$V$14,3,0)*Tabla4[[#This Row],[TOTAL COBERTURA]])</f>
        <v>7985166</v>
      </c>
      <c r="AY90" s="35">
        <f>(VLOOKUP(Tabla4[[#This Row],[SERVICIO 2025]],$J$2:$V$14,3,0)*Tabla4[[#This Row],[TOTAL COBERTURA]])</f>
        <v>7985166</v>
      </c>
      <c r="AZ90" s="35">
        <f>(VLOOKUP(Tabla4[[#This Row],[SERVICIO 2025]],$J$2:$V$14,3,0)*Tabla4[[#This Row],[TOTAL COBERTURA]])</f>
        <v>7985166</v>
      </c>
      <c r="BA90" s="35">
        <f>(VLOOKUP(Tabla4[[#This Row],[SERVICIO 2025]],$J$2:$V$14,3,0)*Tabla4[[#This Row],[TOTAL COBERTURA]])+Tabla4[[#This Row],[VALOR FASE PREPARATORIA DE CIERRE]]</f>
        <v>9257065</v>
      </c>
      <c r="BB90" s="35">
        <f>SUM(Tabla4[[#This Row],[DESEMBOLSO 1]:[DESEMBOLSO 8]])</f>
        <v>67585983</v>
      </c>
      <c r="BC90" s="35"/>
      <c r="BD90" s="47" t="s">
        <v>97</v>
      </c>
      <c r="BE90" s="12" t="b">
        <f>EXACT(Tabla4[[#This Row],[VALOR ATENCIÓN (8 MESES)]],Tabla4[[#This Row],[VALOR TOTAL]])</f>
        <v>1</v>
      </c>
      <c r="BF90" s="23">
        <f>Tabla4[[#This Row],[VALOR ATENCIÓN (8 MESES)]]-Tabla4[[#This Row],[VALOR TOTAL]]</f>
        <v>0</v>
      </c>
      <c r="BG90" s="12" t="b">
        <f>EXACT(Tabla4[[#This Row],[TOTAL DESEMBOLSOS]],Tabla4[[#This Row],[VALOR ATENCIÓN (8 MESES)]])</f>
        <v>1</v>
      </c>
      <c r="BH90" s="29">
        <f>Tabla4[[#This Row],[TOTAL DESEMBOLSOS]]-Tabla4[[#This Row],[VALOR ATENCIÓN (8 MESES)]]</f>
        <v>0</v>
      </c>
      <c r="BI90" t="s">
        <v>98</v>
      </c>
    </row>
    <row r="91" spans="1:62">
      <c r="A91" s="13">
        <v>1892</v>
      </c>
      <c r="B91" s="13" t="s">
        <v>265</v>
      </c>
      <c r="C91" s="12" t="s">
        <v>87</v>
      </c>
      <c r="D91" s="12" t="s">
        <v>266</v>
      </c>
      <c r="E91" s="12" t="s">
        <v>267</v>
      </c>
      <c r="F91" s="12" t="s">
        <v>18</v>
      </c>
      <c r="G91" s="12" t="s">
        <v>90</v>
      </c>
      <c r="H91" s="12" t="s">
        <v>284</v>
      </c>
      <c r="I91" s="12">
        <v>50931114945</v>
      </c>
      <c r="J91" s="12" t="s">
        <v>285</v>
      </c>
      <c r="K91" s="12">
        <v>1</v>
      </c>
      <c r="L91" s="12">
        <v>12</v>
      </c>
      <c r="M91" s="12"/>
      <c r="N91" s="13">
        <v>1892</v>
      </c>
      <c r="O91" s="12" t="s">
        <v>93</v>
      </c>
      <c r="P91" s="12"/>
      <c r="Q91" s="12"/>
      <c r="R91" s="12" t="s">
        <v>94</v>
      </c>
      <c r="S91" s="12">
        <v>10</v>
      </c>
      <c r="T91" s="12" t="s">
        <v>270</v>
      </c>
      <c r="U91" s="12" t="s">
        <v>271</v>
      </c>
      <c r="V91" s="12">
        <f>VLOOKUP(Tabla4[[#This Row],[ZONA DEFINITIVO]],Hoja1!$A$1:$D$121,3,0)</f>
        <v>228992</v>
      </c>
      <c r="W91" s="12">
        <f>VLOOKUP(Tabla4[[#This Row],[ZONA DEFINITIVO]],Hoja1!$A$1:$D$121,2,0)</f>
        <v>15170</v>
      </c>
      <c r="X91" s="12">
        <f>VLOOKUP(Tabla4[[#This Row],[ZONA DEFINITIVO]],Hoja1!$A$1:$D$121,4,0)</f>
        <v>91125</v>
      </c>
      <c r="Y91" s="12" t="str">
        <f>+IF(Tabla4[[#This Row],[AGRUPACIONES]]=1,SUMIFS(Tabla4[UDS],Tabla4[ZONA DEFINITIVO],Tabla4[[#This Row],[ZONA DEFINITIVO]])," ")</f>
        <v xml:space="preserve"> </v>
      </c>
      <c r="Z91" s="12" t="str">
        <f>+IF(Tabla4[[#This Row],[AGRUPACIONES]]=1,SUMIFS(Tabla4[TOTAL COBERTURA],Tabla4[ZONA DEFINITIVO],Tabla4[[#This Row],[ZONA DEFINITIVO]])," ")</f>
        <v xml:space="preserve"> </v>
      </c>
      <c r="AA91" s="12"/>
      <c r="AB91" s="38">
        <v>26162316</v>
      </c>
      <c r="AC91" s="37">
        <v>0.02</v>
      </c>
      <c r="AD91" s="38">
        <f t="shared" si="2"/>
        <v>523246.32</v>
      </c>
      <c r="AE91" s="12"/>
      <c r="AF91" s="12">
        <f>COUNTIF($A$20:A91,A91)</f>
        <v>8</v>
      </c>
      <c r="AG91" s="38">
        <v>26162316</v>
      </c>
      <c r="AH91" s="38">
        <f>Tabla4[[#This Row],[VALOR CONTRAPARTIDA]]+Tabla4[[#This Row],[TOTAL APORTES ICBF]]</f>
        <v>26685562.32</v>
      </c>
      <c r="AI91" s="35"/>
      <c r="AJ91" s="38"/>
      <c r="AK91" s="38"/>
      <c r="AL91" s="23"/>
      <c r="AM91" s="35">
        <f>VLOOKUP(Tabla4[[#This Row],[SERVICIO 2025]],$J$2:$V$14,5,0)*Tabla4[[#This Row],[TOTAL COBERTURA]]</f>
        <v>592512</v>
      </c>
      <c r="AN91" s="35">
        <f>VLOOKUP(Tabla4[[#This Row],[SERVICIO 2025]],$J$2:$V$14,6,0)*Tabla4[[#This Row],[TOTAL COBERTURA]]</f>
        <v>492348</v>
      </c>
      <c r="AO91" s="35">
        <f>VLOOKUP(Tabla4[[#This Row],[SERVICIO 2025]],$J$2:$V$14,8,0)*Tabla4[[#This Row],[TOTAL COBERTURA]]</f>
        <v>349200</v>
      </c>
      <c r="AP91" s="35">
        <f>VLOOKUP(Tabla4[[#This Row],[SERVICIO 2025]],$J$2:$V$14,3,0)*Tabla4[[#This Row],[TOTAL COBERTURA]]*8</f>
        <v>24728256</v>
      </c>
      <c r="AQ91" s="35"/>
      <c r="AR91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91" s="35" t="str">
        <f>+IF(Tabla4[[#This Row],[AGRUPACIONES]]=1,SUMIFS(Tabla4[VALOR TOTAL],Tabla4[ZONA DEFINITIVO],Tabla4[[#This Row],[ZONA DEFINITIVO]])," ")</f>
        <v xml:space="preserve"> </v>
      </c>
      <c r="AT91" s="27">
        <f>(VLOOKUP(Tabla4[[#This Row],[SERVICIO 2025]],$J$2:$V$14,3,0)*Tabla4[[#This Row],[TOTAL COBERTURA]])+Tabla4[[#This Row],[VALOR FASE PREPARATORIA DE ALISTAMIENTO]]+Tabla4[[#This Row],[DOTACIÓN ÚNICA]]</f>
        <v>4032744</v>
      </c>
      <c r="AU91" s="35">
        <f>(VLOOKUP(Tabla4[[#This Row],[SERVICIO 2025]],$J$2:$V$14,3,0)*Tabla4[[#This Row],[TOTAL COBERTURA]])</f>
        <v>3091032</v>
      </c>
      <c r="AV91" s="35">
        <f>(VLOOKUP(Tabla4[[#This Row],[SERVICIO 2025]],$J$2:$V$14,3,0)*Tabla4[[#This Row],[TOTAL COBERTURA]])</f>
        <v>3091032</v>
      </c>
      <c r="AW91" s="35">
        <f>(VLOOKUP(Tabla4[[#This Row],[SERVICIO 2025]],$J$2:$V$14,3,0)*Tabla4[[#This Row],[TOTAL COBERTURA]])</f>
        <v>3091032</v>
      </c>
      <c r="AX91" s="35">
        <f>(VLOOKUP(Tabla4[[#This Row],[SERVICIO 2025]],$J$2:$V$14,3,0)*Tabla4[[#This Row],[TOTAL COBERTURA]])</f>
        <v>3091032</v>
      </c>
      <c r="AY91" s="35">
        <f>(VLOOKUP(Tabla4[[#This Row],[SERVICIO 2025]],$J$2:$V$14,3,0)*Tabla4[[#This Row],[TOTAL COBERTURA]])</f>
        <v>3091032</v>
      </c>
      <c r="AZ91" s="35">
        <f>(VLOOKUP(Tabla4[[#This Row],[SERVICIO 2025]],$J$2:$V$14,3,0)*Tabla4[[#This Row],[TOTAL COBERTURA]])</f>
        <v>3091032</v>
      </c>
      <c r="BA91" s="35">
        <f>(VLOOKUP(Tabla4[[#This Row],[SERVICIO 2025]],$J$2:$V$14,3,0)*Tabla4[[#This Row],[TOTAL COBERTURA]])+Tabla4[[#This Row],[VALOR FASE PREPARATORIA DE CIERRE]]</f>
        <v>3583380</v>
      </c>
      <c r="BB91" s="35">
        <f>SUM(Tabla4[[#This Row],[DESEMBOLSO 1]:[DESEMBOLSO 8]])</f>
        <v>26162316</v>
      </c>
      <c r="BC91" s="35"/>
      <c r="BD91" s="47" t="s">
        <v>97</v>
      </c>
      <c r="BE91" s="12" t="b">
        <f>EXACT(Tabla4[[#This Row],[VALOR ATENCIÓN (8 MESES)]],Tabla4[[#This Row],[VALOR TOTAL]])</f>
        <v>1</v>
      </c>
      <c r="BF91" s="23">
        <f>Tabla4[[#This Row],[VALOR ATENCIÓN (8 MESES)]]-Tabla4[[#This Row],[VALOR TOTAL]]</f>
        <v>0</v>
      </c>
      <c r="BG91" s="12" t="b">
        <f>EXACT(Tabla4[[#This Row],[TOTAL DESEMBOLSOS]],Tabla4[[#This Row],[VALOR ATENCIÓN (8 MESES)]])</f>
        <v>1</v>
      </c>
      <c r="BH91" s="29">
        <f>Tabla4[[#This Row],[TOTAL DESEMBOLSOS]]-Tabla4[[#This Row],[VALOR ATENCIÓN (8 MESES)]]</f>
        <v>0</v>
      </c>
      <c r="BI91" t="s">
        <v>98</v>
      </c>
    </row>
    <row r="92" spans="1:62">
      <c r="A92" s="13">
        <v>1892</v>
      </c>
      <c r="B92" s="13" t="s">
        <v>265</v>
      </c>
      <c r="C92" s="12" t="s">
        <v>87</v>
      </c>
      <c r="D92" s="12" t="s">
        <v>266</v>
      </c>
      <c r="E92" s="12" t="s">
        <v>267</v>
      </c>
      <c r="F92" s="12" t="s">
        <v>18</v>
      </c>
      <c r="G92" s="12" t="s">
        <v>90</v>
      </c>
      <c r="H92" s="12" t="s">
        <v>286</v>
      </c>
      <c r="I92" s="12">
        <v>50931136087</v>
      </c>
      <c r="J92" s="12" t="s">
        <v>287</v>
      </c>
      <c r="K92" s="12">
        <v>1</v>
      </c>
      <c r="L92" s="12">
        <v>20</v>
      </c>
      <c r="M92" s="12"/>
      <c r="N92" s="13">
        <v>1892</v>
      </c>
      <c r="O92" s="12" t="s">
        <v>93</v>
      </c>
      <c r="P92" s="12"/>
      <c r="Q92" s="12"/>
      <c r="R92" s="12" t="s">
        <v>94</v>
      </c>
      <c r="S92" s="12">
        <v>10</v>
      </c>
      <c r="T92" s="12" t="s">
        <v>270</v>
      </c>
      <c r="U92" s="12" t="s">
        <v>271</v>
      </c>
      <c r="V92" s="12">
        <f>VLOOKUP(Tabla4[[#This Row],[ZONA DEFINITIVO]],Hoja1!$A$1:$D$121,3,0)</f>
        <v>228992</v>
      </c>
      <c r="W92" s="12">
        <f>VLOOKUP(Tabla4[[#This Row],[ZONA DEFINITIVO]],Hoja1!$A$1:$D$121,2,0)</f>
        <v>15170</v>
      </c>
      <c r="X92" s="12">
        <f>VLOOKUP(Tabla4[[#This Row],[ZONA DEFINITIVO]],Hoja1!$A$1:$D$121,4,0)</f>
        <v>91125</v>
      </c>
      <c r="Y92" s="12" t="str">
        <f>+IF(Tabla4[[#This Row],[AGRUPACIONES]]=1,SUMIFS(Tabla4[UDS],Tabla4[ZONA DEFINITIVO],Tabla4[[#This Row],[ZONA DEFINITIVO]])," ")</f>
        <v xml:space="preserve"> </v>
      </c>
      <c r="Z92" s="12" t="str">
        <f>+IF(Tabla4[[#This Row],[AGRUPACIONES]]=1,SUMIFS(Tabla4[TOTAL COBERTURA],Tabla4[ZONA DEFINITIVO],Tabla4[[#This Row],[ZONA DEFINITIVO]])," ")</f>
        <v xml:space="preserve"> </v>
      </c>
      <c r="AA92" s="12"/>
      <c r="AB92" s="38">
        <v>43603860</v>
      </c>
      <c r="AC92" s="37">
        <v>0.02</v>
      </c>
      <c r="AD92" s="38">
        <f t="shared" si="2"/>
        <v>872077.20000000007</v>
      </c>
      <c r="AE92" s="12"/>
      <c r="AF92" s="12">
        <f>COUNTIF($A$20:A92,A92)</f>
        <v>9</v>
      </c>
      <c r="AG92" s="38">
        <v>43603860</v>
      </c>
      <c r="AH92" s="38">
        <f>Tabla4[[#This Row],[VALOR CONTRAPARTIDA]]+Tabla4[[#This Row],[TOTAL APORTES ICBF]]</f>
        <v>44475937.200000003</v>
      </c>
      <c r="AI92" s="35"/>
      <c r="AJ92" s="38"/>
      <c r="AK92" s="38"/>
      <c r="AL92" s="23"/>
      <c r="AM92" s="35">
        <f>VLOOKUP(Tabla4[[#This Row],[SERVICIO 2025]],$J$2:$V$14,5,0)*Tabla4[[#This Row],[TOTAL COBERTURA]]</f>
        <v>987520</v>
      </c>
      <c r="AN92" s="35">
        <f>VLOOKUP(Tabla4[[#This Row],[SERVICIO 2025]],$J$2:$V$14,6,0)*Tabla4[[#This Row],[TOTAL COBERTURA]]</f>
        <v>820580</v>
      </c>
      <c r="AO92" s="35">
        <f>VLOOKUP(Tabla4[[#This Row],[SERVICIO 2025]],$J$2:$V$14,8,0)*Tabla4[[#This Row],[TOTAL COBERTURA]]</f>
        <v>582000</v>
      </c>
      <c r="AP92" s="35">
        <f>VLOOKUP(Tabla4[[#This Row],[SERVICIO 2025]],$J$2:$V$14,3,0)*Tabla4[[#This Row],[TOTAL COBERTURA]]*8</f>
        <v>41213760</v>
      </c>
      <c r="AQ92" s="35"/>
      <c r="AR92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2" s="35" t="str">
        <f>+IF(Tabla4[[#This Row],[AGRUPACIONES]]=1,SUMIFS(Tabla4[VALOR TOTAL],Tabla4[ZONA DEFINITIVO],Tabla4[[#This Row],[ZONA DEFINITIVO]])," ")</f>
        <v xml:space="preserve"> </v>
      </c>
      <c r="AT92" s="27">
        <f>(VLOOKUP(Tabla4[[#This Row],[SERVICIO 2025]],$J$2:$V$14,3,0)*Tabla4[[#This Row],[TOTAL COBERTURA]])+Tabla4[[#This Row],[VALOR FASE PREPARATORIA DE ALISTAMIENTO]]+Tabla4[[#This Row],[DOTACIÓN ÚNICA]]</f>
        <v>6721240</v>
      </c>
      <c r="AU92" s="35">
        <f>(VLOOKUP(Tabla4[[#This Row],[SERVICIO 2025]],$J$2:$V$14,3,0)*Tabla4[[#This Row],[TOTAL COBERTURA]])</f>
        <v>5151720</v>
      </c>
      <c r="AV92" s="35">
        <f>(VLOOKUP(Tabla4[[#This Row],[SERVICIO 2025]],$J$2:$V$14,3,0)*Tabla4[[#This Row],[TOTAL COBERTURA]])</f>
        <v>5151720</v>
      </c>
      <c r="AW92" s="35">
        <f>(VLOOKUP(Tabla4[[#This Row],[SERVICIO 2025]],$J$2:$V$14,3,0)*Tabla4[[#This Row],[TOTAL COBERTURA]])</f>
        <v>5151720</v>
      </c>
      <c r="AX92" s="35">
        <f>(VLOOKUP(Tabla4[[#This Row],[SERVICIO 2025]],$J$2:$V$14,3,0)*Tabla4[[#This Row],[TOTAL COBERTURA]])</f>
        <v>5151720</v>
      </c>
      <c r="AY92" s="35">
        <f>(VLOOKUP(Tabla4[[#This Row],[SERVICIO 2025]],$J$2:$V$14,3,0)*Tabla4[[#This Row],[TOTAL COBERTURA]])</f>
        <v>5151720</v>
      </c>
      <c r="AZ92" s="35">
        <f>(VLOOKUP(Tabla4[[#This Row],[SERVICIO 2025]],$J$2:$V$14,3,0)*Tabla4[[#This Row],[TOTAL COBERTURA]])</f>
        <v>5151720</v>
      </c>
      <c r="BA92" s="35">
        <f>(VLOOKUP(Tabla4[[#This Row],[SERVICIO 2025]],$J$2:$V$14,3,0)*Tabla4[[#This Row],[TOTAL COBERTURA]])+Tabla4[[#This Row],[VALOR FASE PREPARATORIA DE CIERRE]]</f>
        <v>5972300</v>
      </c>
      <c r="BB92" s="35">
        <f>SUM(Tabla4[[#This Row],[DESEMBOLSO 1]:[DESEMBOLSO 8]])</f>
        <v>43603860</v>
      </c>
      <c r="BC92" s="35"/>
      <c r="BD92" s="47" t="s">
        <v>97</v>
      </c>
      <c r="BE92" s="12" t="b">
        <f>EXACT(Tabla4[[#This Row],[VALOR ATENCIÓN (8 MESES)]],Tabla4[[#This Row],[VALOR TOTAL]])</f>
        <v>1</v>
      </c>
      <c r="BF92" s="23">
        <f>Tabla4[[#This Row],[VALOR ATENCIÓN (8 MESES)]]-Tabla4[[#This Row],[VALOR TOTAL]]</f>
        <v>0</v>
      </c>
      <c r="BG92" s="12" t="b">
        <f>EXACT(Tabla4[[#This Row],[TOTAL DESEMBOLSOS]],Tabla4[[#This Row],[VALOR ATENCIÓN (8 MESES)]])</f>
        <v>1</v>
      </c>
      <c r="BH92" s="29">
        <f>Tabla4[[#This Row],[TOTAL DESEMBOLSOS]]-Tabla4[[#This Row],[VALOR ATENCIÓN (8 MESES)]]</f>
        <v>0</v>
      </c>
      <c r="BI92" t="s">
        <v>98</v>
      </c>
    </row>
    <row r="93" spans="1:62">
      <c r="A93" s="13">
        <v>1892</v>
      </c>
      <c r="B93" s="13" t="s">
        <v>265</v>
      </c>
      <c r="C93" s="12" t="s">
        <v>87</v>
      </c>
      <c r="D93" s="12" t="s">
        <v>266</v>
      </c>
      <c r="E93" s="12" t="s">
        <v>267</v>
      </c>
      <c r="F93" s="12" t="s">
        <v>18</v>
      </c>
      <c r="G93" s="12" t="s">
        <v>90</v>
      </c>
      <c r="H93" s="12" t="s">
        <v>288</v>
      </c>
      <c r="I93" s="12">
        <v>50931136092</v>
      </c>
      <c r="J93" s="12" t="s">
        <v>289</v>
      </c>
      <c r="K93" s="12">
        <v>1</v>
      </c>
      <c r="L93" s="12">
        <v>29</v>
      </c>
      <c r="M93" s="12"/>
      <c r="N93" s="13">
        <v>1892</v>
      </c>
      <c r="O93" s="12" t="s">
        <v>93</v>
      </c>
      <c r="P93" s="12"/>
      <c r="Q93" s="12"/>
      <c r="R93" s="12" t="s">
        <v>94</v>
      </c>
      <c r="S93" s="12">
        <v>10</v>
      </c>
      <c r="T93" s="12" t="s">
        <v>270</v>
      </c>
      <c r="U93" s="12" t="s">
        <v>271</v>
      </c>
      <c r="V93" s="12">
        <f>VLOOKUP(Tabla4[[#This Row],[ZONA DEFINITIVO]],Hoja1!$A$1:$D$121,3,0)</f>
        <v>228992</v>
      </c>
      <c r="W93" s="12">
        <f>VLOOKUP(Tabla4[[#This Row],[ZONA DEFINITIVO]],Hoja1!$A$1:$D$121,2,0)</f>
        <v>15170</v>
      </c>
      <c r="X93" s="12">
        <f>VLOOKUP(Tabla4[[#This Row],[ZONA DEFINITIVO]],Hoja1!$A$1:$D$121,4,0)</f>
        <v>91125</v>
      </c>
      <c r="Y93" s="12" t="str">
        <f>+IF(Tabla4[[#This Row],[AGRUPACIONES]]=1,SUMIFS(Tabla4[UDS],Tabla4[ZONA DEFINITIVO],Tabla4[[#This Row],[ZONA DEFINITIVO]])," ")</f>
        <v xml:space="preserve"> </v>
      </c>
      <c r="Z93" s="12" t="str">
        <f>+IF(Tabla4[[#This Row],[AGRUPACIONES]]=1,SUMIFS(Tabla4[TOTAL COBERTURA],Tabla4[ZONA DEFINITIVO],Tabla4[[#This Row],[ZONA DEFINITIVO]])," ")</f>
        <v xml:space="preserve"> </v>
      </c>
      <c r="AA93" s="12"/>
      <c r="AB93" s="38">
        <v>63225597</v>
      </c>
      <c r="AC93" s="37">
        <v>0.02</v>
      </c>
      <c r="AD93" s="38">
        <f t="shared" si="2"/>
        <v>1264511.94</v>
      </c>
      <c r="AE93" s="12"/>
      <c r="AF93" s="12">
        <f>COUNTIF($A$20:A93,A93)</f>
        <v>10</v>
      </c>
      <c r="AG93" s="38">
        <v>63225597</v>
      </c>
      <c r="AH93" s="38">
        <f>Tabla4[[#This Row],[VALOR CONTRAPARTIDA]]+Tabla4[[#This Row],[TOTAL APORTES ICBF]]</f>
        <v>64490108.939999998</v>
      </c>
      <c r="AI93" s="35"/>
      <c r="AJ93" s="38"/>
      <c r="AK93" s="38"/>
      <c r="AL93" s="23"/>
      <c r="AM93" s="35">
        <f>VLOOKUP(Tabla4[[#This Row],[SERVICIO 2025]],$J$2:$V$14,5,0)*Tabla4[[#This Row],[TOTAL COBERTURA]]</f>
        <v>1431904</v>
      </c>
      <c r="AN93" s="35">
        <f>VLOOKUP(Tabla4[[#This Row],[SERVICIO 2025]],$J$2:$V$14,6,0)*Tabla4[[#This Row],[TOTAL COBERTURA]]</f>
        <v>1189841</v>
      </c>
      <c r="AO93" s="35">
        <f>VLOOKUP(Tabla4[[#This Row],[SERVICIO 2025]],$J$2:$V$14,8,0)*Tabla4[[#This Row],[TOTAL COBERTURA]]</f>
        <v>843900</v>
      </c>
      <c r="AP93" s="35">
        <f>VLOOKUP(Tabla4[[#This Row],[SERVICIO 2025]],$J$2:$V$14,3,0)*Tabla4[[#This Row],[TOTAL COBERTURA]]*8</f>
        <v>59759952</v>
      </c>
      <c r="AQ93" s="35"/>
      <c r="AR93" s="35">
        <f>Tabla4[[#This Row],[VALOR FASE PREPARATORIA DE ALISTAMIENTO]]+Tabla4[[#This Row],[VALOR FASE PREPARATORIA DE CIERRE]]+Tabla4[[#This Row],[DOTACIÓN ÚNICA]]+Tabla4[[#This Row],[VALOR ATENCIÓN]]+Tabla4[[#This Row],[VALOR RACION PREPARADA]]</f>
        <v>63225597</v>
      </c>
      <c r="AS93" s="35" t="str">
        <f>+IF(Tabla4[[#This Row],[AGRUPACIONES]]=1,SUMIFS(Tabla4[VALOR TOTAL],Tabla4[ZONA DEFINITIVO],Tabla4[[#This Row],[ZONA DEFINITIVO]])," ")</f>
        <v xml:space="preserve"> </v>
      </c>
      <c r="AT93" s="27">
        <f>(VLOOKUP(Tabla4[[#This Row],[SERVICIO 2025]],$J$2:$V$14,3,0)*Tabla4[[#This Row],[TOTAL COBERTURA]])+Tabla4[[#This Row],[VALOR FASE PREPARATORIA DE ALISTAMIENTO]]+Tabla4[[#This Row],[DOTACIÓN ÚNICA]]</f>
        <v>9745798</v>
      </c>
      <c r="AU93" s="35">
        <f>(VLOOKUP(Tabla4[[#This Row],[SERVICIO 2025]],$J$2:$V$14,3,0)*Tabla4[[#This Row],[TOTAL COBERTURA]])</f>
        <v>7469994</v>
      </c>
      <c r="AV93" s="35">
        <f>(VLOOKUP(Tabla4[[#This Row],[SERVICIO 2025]],$J$2:$V$14,3,0)*Tabla4[[#This Row],[TOTAL COBERTURA]])</f>
        <v>7469994</v>
      </c>
      <c r="AW93" s="35">
        <f>(VLOOKUP(Tabla4[[#This Row],[SERVICIO 2025]],$J$2:$V$14,3,0)*Tabla4[[#This Row],[TOTAL COBERTURA]])</f>
        <v>7469994</v>
      </c>
      <c r="AX93" s="35">
        <f>(VLOOKUP(Tabla4[[#This Row],[SERVICIO 2025]],$J$2:$V$14,3,0)*Tabla4[[#This Row],[TOTAL COBERTURA]])</f>
        <v>7469994</v>
      </c>
      <c r="AY93" s="35">
        <f>(VLOOKUP(Tabla4[[#This Row],[SERVICIO 2025]],$J$2:$V$14,3,0)*Tabla4[[#This Row],[TOTAL COBERTURA]])</f>
        <v>7469994</v>
      </c>
      <c r="AZ93" s="35">
        <f>(VLOOKUP(Tabla4[[#This Row],[SERVICIO 2025]],$J$2:$V$14,3,0)*Tabla4[[#This Row],[TOTAL COBERTURA]])</f>
        <v>7469994</v>
      </c>
      <c r="BA93" s="35">
        <f>(VLOOKUP(Tabla4[[#This Row],[SERVICIO 2025]],$J$2:$V$14,3,0)*Tabla4[[#This Row],[TOTAL COBERTURA]])+Tabla4[[#This Row],[VALOR FASE PREPARATORIA DE CIERRE]]</f>
        <v>8659835</v>
      </c>
      <c r="BB93" s="35">
        <f>SUM(Tabla4[[#This Row],[DESEMBOLSO 1]:[DESEMBOLSO 8]])</f>
        <v>63225597</v>
      </c>
      <c r="BC93" s="35"/>
      <c r="BD93" s="47" t="s">
        <v>97</v>
      </c>
      <c r="BE93" s="12" t="b">
        <f>EXACT(Tabla4[[#This Row],[VALOR ATENCIÓN (8 MESES)]],Tabla4[[#This Row],[VALOR TOTAL]])</f>
        <v>1</v>
      </c>
      <c r="BF93" s="23">
        <f>Tabla4[[#This Row],[VALOR ATENCIÓN (8 MESES)]]-Tabla4[[#This Row],[VALOR TOTAL]]</f>
        <v>0</v>
      </c>
      <c r="BG93" s="12" t="b">
        <f>EXACT(Tabla4[[#This Row],[TOTAL DESEMBOLSOS]],Tabla4[[#This Row],[VALOR ATENCIÓN (8 MESES)]])</f>
        <v>1</v>
      </c>
      <c r="BH93" s="29">
        <f>Tabla4[[#This Row],[TOTAL DESEMBOLSOS]]-Tabla4[[#This Row],[VALOR ATENCIÓN (8 MESES)]]</f>
        <v>0</v>
      </c>
      <c r="BI93" t="s">
        <v>98</v>
      </c>
    </row>
    <row r="94" spans="1:62">
      <c r="A94" s="13">
        <v>1892</v>
      </c>
      <c r="B94" s="13" t="s">
        <v>265</v>
      </c>
      <c r="C94" s="12" t="s">
        <v>87</v>
      </c>
      <c r="D94" s="12" t="s">
        <v>266</v>
      </c>
      <c r="E94" s="12" t="s">
        <v>267</v>
      </c>
      <c r="F94" s="12" t="s">
        <v>18</v>
      </c>
      <c r="G94" s="12" t="s">
        <v>90</v>
      </c>
      <c r="H94" s="12" t="s">
        <v>290</v>
      </c>
      <c r="I94" s="12">
        <v>50931136099</v>
      </c>
      <c r="J94" s="12" t="s">
        <v>291</v>
      </c>
      <c r="K94" s="12">
        <v>1</v>
      </c>
      <c r="L94" s="12">
        <v>20</v>
      </c>
      <c r="M94" s="12"/>
      <c r="N94" s="13">
        <v>1892</v>
      </c>
      <c r="O94" s="12" t="s">
        <v>93</v>
      </c>
      <c r="P94" s="12"/>
      <c r="Q94" s="12"/>
      <c r="R94" s="12" t="s">
        <v>94</v>
      </c>
      <c r="S94" s="12">
        <v>10</v>
      </c>
      <c r="T94" s="12" t="s">
        <v>270</v>
      </c>
      <c r="U94" s="12" t="s">
        <v>271</v>
      </c>
      <c r="V94" s="12">
        <f>VLOOKUP(Tabla4[[#This Row],[ZONA DEFINITIVO]],Hoja1!$A$1:$D$121,3,0)</f>
        <v>228992</v>
      </c>
      <c r="W94" s="12">
        <f>VLOOKUP(Tabla4[[#This Row],[ZONA DEFINITIVO]],Hoja1!$A$1:$D$121,2,0)</f>
        <v>15170</v>
      </c>
      <c r="X94" s="12">
        <f>VLOOKUP(Tabla4[[#This Row],[ZONA DEFINITIVO]],Hoja1!$A$1:$D$121,4,0)</f>
        <v>91125</v>
      </c>
      <c r="Y94" s="12" t="str">
        <f>+IF(Tabla4[[#This Row],[AGRUPACIONES]]=1,SUMIFS(Tabla4[UDS],Tabla4[ZONA DEFINITIVO],Tabla4[[#This Row],[ZONA DEFINITIVO]])," ")</f>
        <v xml:space="preserve"> </v>
      </c>
      <c r="Z94" s="12" t="str">
        <f>+IF(Tabla4[[#This Row],[AGRUPACIONES]]=1,SUMIFS(Tabla4[TOTAL COBERTURA],Tabla4[ZONA DEFINITIVO],Tabla4[[#This Row],[ZONA DEFINITIVO]])," ")</f>
        <v xml:space="preserve"> </v>
      </c>
      <c r="AA94" s="12"/>
      <c r="AB94" s="38">
        <v>43603860</v>
      </c>
      <c r="AC94" s="37">
        <v>0.02</v>
      </c>
      <c r="AD94" s="38">
        <f t="shared" si="2"/>
        <v>872077.20000000007</v>
      </c>
      <c r="AE94" s="12"/>
      <c r="AF94" s="12">
        <f>COUNTIF($A$20:A94,A94)</f>
        <v>11</v>
      </c>
      <c r="AG94" s="38">
        <v>43603860</v>
      </c>
      <c r="AH94" s="38">
        <f>Tabla4[[#This Row],[VALOR CONTRAPARTIDA]]+Tabla4[[#This Row],[TOTAL APORTES ICBF]]</f>
        <v>44475937.200000003</v>
      </c>
      <c r="AI94" s="35"/>
      <c r="AJ94" s="38"/>
      <c r="AK94" s="38"/>
      <c r="AL94" s="23"/>
      <c r="AM94" s="35">
        <f>VLOOKUP(Tabla4[[#This Row],[SERVICIO 2025]],$J$2:$V$14,5,0)*Tabla4[[#This Row],[TOTAL COBERTURA]]</f>
        <v>987520</v>
      </c>
      <c r="AN94" s="35">
        <f>VLOOKUP(Tabla4[[#This Row],[SERVICIO 2025]],$J$2:$V$14,6,0)*Tabla4[[#This Row],[TOTAL COBERTURA]]</f>
        <v>820580</v>
      </c>
      <c r="AO94" s="35">
        <f>VLOOKUP(Tabla4[[#This Row],[SERVICIO 2025]],$J$2:$V$14,8,0)*Tabla4[[#This Row],[TOTAL COBERTURA]]</f>
        <v>582000</v>
      </c>
      <c r="AP94" s="35">
        <f>VLOOKUP(Tabla4[[#This Row],[SERVICIO 2025]],$J$2:$V$14,3,0)*Tabla4[[#This Row],[TOTAL COBERTURA]]*8</f>
        <v>41213760</v>
      </c>
      <c r="AQ94" s="35"/>
      <c r="AR94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4" s="35" t="str">
        <f>+IF(Tabla4[[#This Row],[AGRUPACIONES]]=1,SUMIFS(Tabla4[VALOR TOTAL],Tabla4[ZONA DEFINITIVO],Tabla4[[#This Row],[ZONA DEFINITIVO]])," ")</f>
        <v xml:space="preserve"> </v>
      </c>
      <c r="AT94" s="27">
        <f>(VLOOKUP(Tabla4[[#This Row],[SERVICIO 2025]],$J$2:$V$14,3,0)*Tabla4[[#This Row],[TOTAL COBERTURA]])+Tabla4[[#This Row],[VALOR FASE PREPARATORIA DE ALISTAMIENTO]]+Tabla4[[#This Row],[DOTACIÓN ÚNICA]]</f>
        <v>6721240</v>
      </c>
      <c r="AU94" s="35">
        <f>(VLOOKUP(Tabla4[[#This Row],[SERVICIO 2025]],$J$2:$V$14,3,0)*Tabla4[[#This Row],[TOTAL COBERTURA]])</f>
        <v>5151720</v>
      </c>
      <c r="AV94" s="35">
        <f>(VLOOKUP(Tabla4[[#This Row],[SERVICIO 2025]],$J$2:$V$14,3,0)*Tabla4[[#This Row],[TOTAL COBERTURA]])</f>
        <v>5151720</v>
      </c>
      <c r="AW94" s="35">
        <f>(VLOOKUP(Tabla4[[#This Row],[SERVICIO 2025]],$J$2:$V$14,3,0)*Tabla4[[#This Row],[TOTAL COBERTURA]])</f>
        <v>5151720</v>
      </c>
      <c r="AX94" s="35">
        <f>(VLOOKUP(Tabla4[[#This Row],[SERVICIO 2025]],$J$2:$V$14,3,0)*Tabla4[[#This Row],[TOTAL COBERTURA]])</f>
        <v>5151720</v>
      </c>
      <c r="AY94" s="35">
        <f>(VLOOKUP(Tabla4[[#This Row],[SERVICIO 2025]],$J$2:$V$14,3,0)*Tabla4[[#This Row],[TOTAL COBERTURA]])</f>
        <v>5151720</v>
      </c>
      <c r="AZ94" s="35">
        <f>(VLOOKUP(Tabla4[[#This Row],[SERVICIO 2025]],$J$2:$V$14,3,0)*Tabla4[[#This Row],[TOTAL COBERTURA]])</f>
        <v>5151720</v>
      </c>
      <c r="BA94" s="35">
        <f>(VLOOKUP(Tabla4[[#This Row],[SERVICIO 2025]],$J$2:$V$14,3,0)*Tabla4[[#This Row],[TOTAL COBERTURA]])+Tabla4[[#This Row],[VALOR FASE PREPARATORIA DE CIERRE]]</f>
        <v>5972300</v>
      </c>
      <c r="BB94" s="35">
        <f>SUM(Tabla4[[#This Row],[DESEMBOLSO 1]:[DESEMBOLSO 8]])</f>
        <v>43603860</v>
      </c>
      <c r="BC94" s="35"/>
      <c r="BD94" s="47" t="s">
        <v>97</v>
      </c>
      <c r="BE94" s="12" t="b">
        <f>EXACT(Tabla4[[#This Row],[VALOR ATENCIÓN (8 MESES)]],Tabla4[[#This Row],[VALOR TOTAL]])</f>
        <v>1</v>
      </c>
      <c r="BF94" s="23">
        <f>Tabla4[[#This Row],[VALOR ATENCIÓN (8 MESES)]]-Tabla4[[#This Row],[VALOR TOTAL]]</f>
        <v>0</v>
      </c>
      <c r="BG94" s="12" t="b">
        <f>EXACT(Tabla4[[#This Row],[TOTAL DESEMBOLSOS]],Tabla4[[#This Row],[VALOR ATENCIÓN (8 MESES)]])</f>
        <v>1</v>
      </c>
      <c r="BH94" s="29">
        <f>Tabla4[[#This Row],[TOTAL DESEMBOLSOS]]-Tabla4[[#This Row],[VALOR ATENCIÓN (8 MESES)]]</f>
        <v>0</v>
      </c>
      <c r="BI94" t="s">
        <v>98</v>
      </c>
    </row>
    <row r="95" spans="1:62">
      <c r="A95" s="13">
        <v>1892</v>
      </c>
      <c r="B95" s="13" t="s">
        <v>265</v>
      </c>
      <c r="C95" s="12" t="s">
        <v>87</v>
      </c>
      <c r="D95" s="12" t="s">
        <v>266</v>
      </c>
      <c r="E95" s="12" t="s">
        <v>267</v>
      </c>
      <c r="F95" s="12" t="s">
        <v>18</v>
      </c>
      <c r="G95" s="12" t="s">
        <v>90</v>
      </c>
      <c r="H95" s="12" t="s">
        <v>292</v>
      </c>
      <c r="I95" s="12">
        <v>50931136104</v>
      </c>
      <c r="J95" s="12" t="s">
        <v>293</v>
      </c>
      <c r="K95" s="12">
        <v>1</v>
      </c>
      <c r="L95" s="12">
        <v>15</v>
      </c>
      <c r="M95" s="12"/>
      <c r="N95" s="13">
        <v>1892</v>
      </c>
      <c r="O95" s="12" t="s">
        <v>93</v>
      </c>
      <c r="P95" s="12"/>
      <c r="Q95" s="12"/>
      <c r="R95" s="12" t="s">
        <v>94</v>
      </c>
      <c r="S95" s="12">
        <v>10</v>
      </c>
      <c r="T95" s="12" t="s">
        <v>270</v>
      </c>
      <c r="U95" s="12" t="s">
        <v>271</v>
      </c>
      <c r="V95" s="12">
        <f>VLOOKUP(Tabla4[[#This Row],[ZONA DEFINITIVO]],Hoja1!$A$1:$D$121,3,0)</f>
        <v>228992</v>
      </c>
      <c r="W95" s="12">
        <f>VLOOKUP(Tabla4[[#This Row],[ZONA DEFINITIVO]],Hoja1!$A$1:$D$121,2,0)</f>
        <v>15170</v>
      </c>
      <c r="X95" s="12">
        <f>VLOOKUP(Tabla4[[#This Row],[ZONA DEFINITIVO]],Hoja1!$A$1:$D$121,4,0)</f>
        <v>91125</v>
      </c>
      <c r="Y95" s="12" t="str">
        <f>+IF(Tabla4[[#This Row],[AGRUPACIONES]]=1,SUMIFS(Tabla4[UDS],Tabla4[ZONA DEFINITIVO],Tabla4[[#This Row],[ZONA DEFINITIVO]])," ")</f>
        <v xml:space="preserve"> </v>
      </c>
      <c r="Z95" s="12" t="str">
        <f>+IF(Tabla4[[#This Row],[AGRUPACIONES]]=1,SUMIFS(Tabla4[TOTAL COBERTURA],Tabla4[ZONA DEFINITIVO],Tabla4[[#This Row],[ZONA DEFINITIVO]])," ")</f>
        <v xml:space="preserve"> </v>
      </c>
      <c r="AA95" s="12"/>
      <c r="AB95" s="38">
        <v>32702895</v>
      </c>
      <c r="AC95" s="37">
        <v>0.02</v>
      </c>
      <c r="AD95" s="38">
        <f t="shared" si="2"/>
        <v>654057.9</v>
      </c>
      <c r="AE95" s="12"/>
      <c r="AF95" s="12">
        <f>COUNTIF($A$20:A95,A95)</f>
        <v>12</v>
      </c>
      <c r="AG95" s="38">
        <v>32702895</v>
      </c>
      <c r="AH95" s="38">
        <f>Tabla4[[#This Row],[VALOR CONTRAPARTIDA]]+Tabla4[[#This Row],[TOTAL APORTES ICBF]]</f>
        <v>33356952.899999999</v>
      </c>
      <c r="AI95" s="35"/>
      <c r="AJ95" s="38"/>
      <c r="AK95" s="38"/>
      <c r="AL95" s="23"/>
      <c r="AM95" s="35">
        <f>VLOOKUP(Tabla4[[#This Row],[SERVICIO 2025]],$J$2:$V$14,5,0)*Tabla4[[#This Row],[TOTAL COBERTURA]]</f>
        <v>740640</v>
      </c>
      <c r="AN95" s="35">
        <f>VLOOKUP(Tabla4[[#This Row],[SERVICIO 2025]],$J$2:$V$14,6,0)*Tabla4[[#This Row],[TOTAL COBERTURA]]</f>
        <v>615435</v>
      </c>
      <c r="AO95" s="35">
        <f>VLOOKUP(Tabla4[[#This Row],[SERVICIO 2025]],$J$2:$V$14,8,0)*Tabla4[[#This Row],[TOTAL COBERTURA]]</f>
        <v>436500</v>
      </c>
      <c r="AP95" s="35">
        <f>VLOOKUP(Tabla4[[#This Row],[SERVICIO 2025]],$J$2:$V$14,3,0)*Tabla4[[#This Row],[TOTAL COBERTURA]]*8</f>
        <v>30910320</v>
      </c>
      <c r="AQ95" s="35"/>
      <c r="AR95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95" s="35" t="str">
        <f>+IF(Tabla4[[#This Row],[AGRUPACIONES]]=1,SUMIFS(Tabla4[VALOR TOTAL],Tabla4[ZONA DEFINITIVO],Tabla4[[#This Row],[ZONA DEFINITIVO]])," ")</f>
        <v xml:space="preserve"> </v>
      </c>
      <c r="AT95" s="27">
        <f>(VLOOKUP(Tabla4[[#This Row],[SERVICIO 2025]],$J$2:$V$14,3,0)*Tabla4[[#This Row],[TOTAL COBERTURA]])+Tabla4[[#This Row],[VALOR FASE PREPARATORIA DE ALISTAMIENTO]]+Tabla4[[#This Row],[DOTACIÓN ÚNICA]]</f>
        <v>5040930</v>
      </c>
      <c r="AU95" s="35">
        <f>(VLOOKUP(Tabla4[[#This Row],[SERVICIO 2025]],$J$2:$V$14,3,0)*Tabla4[[#This Row],[TOTAL COBERTURA]])</f>
        <v>3863790</v>
      </c>
      <c r="AV95" s="35">
        <f>(VLOOKUP(Tabla4[[#This Row],[SERVICIO 2025]],$J$2:$V$14,3,0)*Tabla4[[#This Row],[TOTAL COBERTURA]])</f>
        <v>3863790</v>
      </c>
      <c r="AW95" s="35">
        <f>(VLOOKUP(Tabla4[[#This Row],[SERVICIO 2025]],$J$2:$V$14,3,0)*Tabla4[[#This Row],[TOTAL COBERTURA]])</f>
        <v>3863790</v>
      </c>
      <c r="AX95" s="35">
        <f>(VLOOKUP(Tabla4[[#This Row],[SERVICIO 2025]],$J$2:$V$14,3,0)*Tabla4[[#This Row],[TOTAL COBERTURA]])</f>
        <v>3863790</v>
      </c>
      <c r="AY95" s="35">
        <f>(VLOOKUP(Tabla4[[#This Row],[SERVICIO 2025]],$J$2:$V$14,3,0)*Tabla4[[#This Row],[TOTAL COBERTURA]])</f>
        <v>3863790</v>
      </c>
      <c r="AZ95" s="35">
        <f>(VLOOKUP(Tabla4[[#This Row],[SERVICIO 2025]],$J$2:$V$14,3,0)*Tabla4[[#This Row],[TOTAL COBERTURA]])</f>
        <v>3863790</v>
      </c>
      <c r="BA95" s="35">
        <f>(VLOOKUP(Tabla4[[#This Row],[SERVICIO 2025]],$J$2:$V$14,3,0)*Tabla4[[#This Row],[TOTAL COBERTURA]])+Tabla4[[#This Row],[VALOR FASE PREPARATORIA DE CIERRE]]</f>
        <v>4479225</v>
      </c>
      <c r="BB95" s="35">
        <f>SUM(Tabla4[[#This Row],[DESEMBOLSO 1]:[DESEMBOLSO 8]])</f>
        <v>32702895</v>
      </c>
      <c r="BC95" s="35"/>
      <c r="BD95" s="47" t="s">
        <v>97</v>
      </c>
      <c r="BE95" s="12" t="b">
        <f>EXACT(Tabla4[[#This Row],[VALOR ATENCIÓN (8 MESES)]],Tabla4[[#This Row],[VALOR TOTAL]])</f>
        <v>1</v>
      </c>
      <c r="BF95" s="23">
        <f>Tabla4[[#This Row],[VALOR ATENCIÓN (8 MESES)]]-Tabla4[[#This Row],[VALOR TOTAL]]</f>
        <v>0</v>
      </c>
      <c r="BG95" s="12" t="b">
        <f>EXACT(Tabla4[[#This Row],[TOTAL DESEMBOLSOS]],Tabla4[[#This Row],[VALOR ATENCIÓN (8 MESES)]])</f>
        <v>1</v>
      </c>
      <c r="BH95" s="29">
        <f>Tabla4[[#This Row],[TOTAL DESEMBOLSOS]]-Tabla4[[#This Row],[VALOR ATENCIÓN (8 MESES)]]</f>
        <v>0</v>
      </c>
      <c r="BI95" t="s">
        <v>98</v>
      </c>
    </row>
    <row r="96" spans="1:62">
      <c r="A96" s="13">
        <v>1892</v>
      </c>
      <c r="B96" s="13" t="s">
        <v>265</v>
      </c>
      <c r="C96" s="12" t="s">
        <v>87</v>
      </c>
      <c r="D96" s="12" t="s">
        <v>266</v>
      </c>
      <c r="E96" s="12" t="s">
        <v>267</v>
      </c>
      <c r="F96" s="12" t="s">
        <v>18</v>
      </c>
      <c r="G96" s="12" t="s">
        <v>90</v>
      </c>
      <c r="H96" s="12" t="s">
        <v>294</v>
      </c>
      <c r="I96" s="12">
        <v>50931136106</v>
      </c>
      <c r="J96" s="12" t="s">
        <v>295</v>
      </c>
      <c r="K96" s="12">
        <v>1</v>
      </c>
      <c r="L96" s="12">
        <v>18</v>
      </c>
      <c r="M96" s="12"/>
      <c r="N96" s="13">
        <v>1892</v>
      </c>
      <c r="O96" s="12" t="s">
        <v>93</v>
      </c>
      <c r="P96" s="12"/>
      <c r="Q96" s="12"/>
      <c r="R96" s="12" t="s">
        <v>94</v>
      </c>
      <c r="S96" s="12">
        <v>10</v>
      </c>
      <c r="T96" s="12" t="s">
        <v>270</v>
      </c>
      <c r="U96" s="12" t="s">
        <v>271</v>
      </c>
      <c r="V96" s="12">
        <f>VLOOKUP(Tabla4[[#This Row],[ZONA DEFINITIVO]],Hoja1!$A$1:$D$121,3,0)</f>
        <v>228992</v>
      </c>
      <c r="W96" s="12">
        <f>VLOOKUP(Tabla4[[#This Row],[ZONA DEFINITIVO]],Hoja1!$A$1:$D$121,2,0)</f>
        <v>15170</v>
      </c>
      <c r="X96" s="12">
        <f>VLOOKUP(Tabla4[[#This Row],[ZONA DEFINITIVO]],Hoja1!$A$1:$D$121,4,0)</f>
        <v>91125</v>
      </c>
      <c r="Y96" s="12" t="str">
        <f>+IF(Tabla4[[#This Row],[AGRUPACIONES]]=1,SUMIFS(Tabla4[UDS],Tabla4[ZONA DEFINITIVO],Tabla4[[#This Row],[ZONA DEFINITIVO]])," ")</f>
        <v xml:space="preserve"> </v>
      </c>
      <c r="Z96" s="12" t="str">
        <f>+IF(Tabla4[[#This Row],[AGRUPACIONES]]=1,SUMIFS(Tabla4[TOTAL COBERTURA],Tabla4[ZONA DEFINITIVO],Tabla4[[#This Row],[ZONA DEFINITIVO]])," ")</f>
        <v xml:space="preserve"> </v>
      </c>
      <c r="AA96" s="12"/>
      <c r="AB96" s="38">
        <v>39243474</v>
      </c>
      <c r="AC96" s="37">
        <v>0.02</v>
      </c>
      <c r="AD96" s="38">
        <f t="shared" si="2"/>
        <v>784869.48</v>
      </c>
      <c r="AE96" s="12"/>
      <c r="AF96" s="12">
        <f>COUNTIF($A$20:A96,A96)</f>
        <v>13</v>
      </c>
      <c r="AG96" s="38">
        <v>39243474</v>
      </c>
      <c r="AH96" s="38">
        <f>Tabla4[[#This Row],[VALOR CONTRAPARTIDA]]+Tabla4[[#This Row],[TOTAL APORTES ICBF]]</f>
        <v>40028343.479999997</v>
      </c>
      <c r="AI96" s="35"/>
      <c r="AJ96" s="38"/>
      <c r="AK96" s="38"/>
      <c r="AL96" s="23"/>
      <c r="AM96" s="35">
        <f>VLOOKUP(Tabla4[[#This Row],[SERVICIO 2025]],$J$2:$V$14,5,0)*Tabla4[[#This Row],[TOTAL COBERTURA]]</f>
        <v>888768</v>
      </c>
      <c r="AN96" s="35">
        <f>VLOOKUP(Tabla4[[#This Row],[SERVICIO 2025]],$J$2:$V$14,6,0)*Tabla4[[#This Row],[TOTAL COBERTURA]]</f>
        <v>738522</v>
      </c>
      <c r="AO96" s="35">
        <f>VLOOKUP(Tabla4[[#This Row],[SERVICIO 2025]],$J$2:$V$14,8,0)*Tabla4[[#This Row],[TOTAL COBERTURA]]</f>
        <v>523800</v>
      </c>
      <c r="AP96" s="35">
        <f>VLOOKUP(Tabla4[[#This Row],[SERVICIO 2025]],$J$2:$V$14,3,0)*Tabla4[[#This Row],[TOTAL COBERTURA]]*8</f>
        <v>37092384</v>
      </c>
      <c r="AQ96" s="35"/>
      <c r="AR96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96" s="35" t="str">
        <f>+IF(Tabla4[[#This Row],[AGRUPACIONES]]=1,SUMIFS(Tabla4[VALOR TOTAL],Tabla4[ZONA DEFINITIVO],Tabla4[[#This Row],[ZONA DEFINITIVO]])," ")</f>
        <v xml:space="preserve"> </v>
      </c>
      <c r="AT96" s="27">
        <f>(VLOOKUP(Tabla4[[#This Row],[SERVICIO 2025]],$J$2:$V$14,3,0)*Tabla4[[#This Row],[TOTAL COBERTURA]])+Tabla4[[#This Row],[VALOR FASE PREPARATORIA DE ALISTAMIENTO]]+Tabla4[[#This Row],[DOTACIÓN ÚNICA]]</f>
        <v>6049116</v>
      </c>
      <c r="AU96" s="35">
        <f>(VLOOKUP(Tabla4[[#This Row],[SERVICIO 2025]],$J$2:$V$14,3,0)*Tabla4[[#This Row],[TOTAL COBERTURA]])</f>
        <v>4636548</v>
      </c>
      <c r="AV96" s="35">
        <f>(VLOOKUP(Tabla4[[#This Row],[SERVICIO 2025]],$J$2:$V$14,3,0)*Tabla4[[#This Row],[TOTAL COBERTURA]])</f>
        <v>4636548</v>
      </c>
      <c r="AW96" s="35">
        <f>(VLOOKUP(Tabla4[[#This Row],[SERVICIO 2025]],$J$2:$V$14,3,0)*Tabla4[[#This Row],[TOTAL COBERTURA]])</f>
        <v>4636548</v>
      </c>
      <c r="AX96" s="35">
        <f>(VLOOKUP(Tabla4[[#This Row],[SERVICIO 2025]],$J$2:$V$14,3,0)*Tabla4[[#This Row],[TOTAL COBERTURA]])</f>
        <v>4636548</v>
      </c>
      <c r="AY96" s="35">
        <f>(VLOOKUP(Tabla4[[#This Row],[SERVICIO 2025]],$J$2:$V$14,3,0)*Tabla4[[#This Row],[TOTAL COBERTURA]])</f>
        <v>4636548</v>
      </c>
      <c r="AZ96" s="35">
        <f>(VLOOKUP(Tabla4[[#This Row],[SERVICIO 2025]],$J$2:$V$14,3,0)*Tabla4[[#This Row],[TOTAL COBERTURA]])</f>
        <v>4636548</v>
      </c>
      <c r="BA96" s="35">
        <f>(VLOOKUP(Tabla4[[#This Row],[SERVICIO 2025]],$J$2:$V$14,3,0)*Tabla4[[#This Row],[TOTAL COBERTURA]])+Tabla4[[#This Row],[VALOR FASE PREPARATORIA DE CIERRE]]</f>
        <v>5375070</v>
      </c>
      <c r="BB96" s="35">
        <f>SUM(Tabla4[[#This Row],[DESEMBOLSO 1]:[DESEMBOLSO 8]])</f>
        <v>39243474</v>
      </c>
      <c r="BC96" s="35"/>
      <c r="BD96" s="47" t="s">
        <v>97</v>
      </c>
      <c r="BE96" s="12" t="b">
        <f>EXACT(Tabla4[[#This Row],[VALOR ATENCIÓN (8 MESES)]],Tabla4[[#This Row],[VALOR TOTAL]])</f>
        <v>1</v>
      </c>
      <c r="BF96" s="23">
        <f>Tabla4[[#This Row],[VALOR ATENCIÓN (8 MESES)]]-Tabla4[[#This Row],[VALOR TOTAL]]</f>
        <v>0</v>
      </c>
      <c r="BG96" s="12" t="b">
        <f>EXACT(Tabla4[[#This Row],[TOTAL DESEMBOLSOS]],Tabla4[[#This Row],[VALOR ATENCIÓN (8 MESES)]])</f>
        <v>1</v>
      </c>
      <c r="BH96" s="29">
        <f>Tabla4[[#This Row],[TOTAL DESEMBOLSOS]]-Tabla4[[#This Row],[VALOR ATENCIÓN (8 MESES)]]</f>
        <v>0</v>
      </c>
      <c r="BI96" t="s">
        <v>98</v>
      </c>
    </row>
    <row r="97" spans="1:62">
      <c r="A97" s="13">
        <v>1892</v>
      </c>
      <c r="B97" s="13" t="s">
        <v>265</v>
      </c>
      <c r="C97" s="12" t="s">
        <v>87</v>
      </c>
      <c r="D97" s="12" t="s">
        <v>266</v>
      </c>
      <c r="E97" s="12" t="s">
        <v>267</v>
      </c>
      <c r="F97" s="12" t="s">
        <v>18</v>
      </c>
      <c r="G97" s="12" t="s">
        <v>90</v>
      </c>
      <c r="H97" s="12" t="s">
        <v>296</v>
      </c>
      <c r="I97" s="12">
        <v>50931136110</v>
      </c>
      <c r="J97" s="12" t="s">
        <v>297</v>
      </c>
      <c r="K97" s="12">
        <v>1</v>
      </c>
      <c r="L97" s="12">
        <v>20</v>
      </c>
      <c r="M97" s="12"/>
      <c r="N97" s="13">
        <v>1892</v>
      </c>
      <c r="O97" s="12" t="s">
        <v>93</v>
      </c>
      <c r="P97" s="12"/>
      <c r="Q97" s="12"/>
      <c r="R97" s="12" t="s">
        <v>94</v>
      </c>
      <c r="S97" s="12">
        <v>10</v>
      </c>
      <c r="T97" s="12" t="s">
        <v>270</v>
      </c>
      <c r="U97" s="12" t="s">
        <v>271</v>
      </c>
      <c r="V97" s="12">
        <f>VLOOKUP(Tabla4[[#This Row],[ZONA DEFINITIVO]],Hoja1!$A$1:$D$121,3,0)</f>
        <v>228992</v>
      </c>
      <c r="W97" s="12">
        <f>VLOOKUP(Tabla4[[#This Row],[ZONA DEFINITIVO]],Hoja1!$A$1:$D$121,2,0)</f>
        <v>15170</v>
      </c>
      <c r="X97" s="12">
        <f>VLOOKUP(Tabla4[[#This Row],[ZONA DEFINITIVO]],Hoja1!$A$1:$D$121,4,0)</f>
        <v>91125</v>
      </c>
      <c r="Y97" s="12" t="str">
        <f>+IF(Tabla4[[#This Row],[AGRUPACIONES]]=1,SUMIFS(Tabla4[UDS],Tabla4[ZONA DEFINITIVO],Tabla4[[#This Row],[ZONA DEFINITIVO]])," ")</f>
        <v xml:space="preserve"> </v>
      </c>
      <c r="Z97" s="12" t="str">
        <f>+IF(Tabla4[[#This Row],[AGRUPACIONES]]=1,SUMIFS(Tabla4[TOTAL COBERTURA],Tabla4[ZONA DEFINITIVO],Tabla4[[#This Row],[ZONA DEFINITIVO]])," ")</f>
        <v xml:space="preserve"> </v>
      </c>
      <c r="AA97" s="12"/>
      <c r="AB97" s="38">
        <v>43603860</v>
      </c>
      <c r="AC97" s="37">
        <v>0.02</v>
      </c>
      <c r="AD97" s="38">
        <f t="shared" si="2"/>
        <v>872077.20000000007</v>
      </c>
      <c r="AE97" s="12"/>
      <c r="AF97" s="12">
        <f>COUNTIF($A$20:A97,A97)</f>
        <v>14</v>
      </c>
      <c r="AG97" s="38">
        <v>43603860</v>
      </c>
      <c r="AH97" s="38">
        <f>Tabla4[[#This Row],[VALOR CONTRAPARTIDA]]+Tabla4[[#This Row],[TOTAL APORTES ICBF]]</f>
        <v>44475937.200000003</v>
      </c>
      <c r="AI97" s="35"/>
      <c r="AJ97" s="38"/>
      <c r="AK97" s="38"/>
      <c r="AL97" s="23"/>
      <c r="AM97" s="35">
        <f>VLOOKUP(Tabla4[[#This Row],[SERVICIO 2025]],$J$2:$V$14,5,0)*Tabla4[[#This Row],[TOTAL COBERTURA]]</f>
        <v>987520</v>
      </c>
      <c r="AN97" s="35">
        <f>VLOOKUP(Tabla4[[#This Row],[SERVICIO 2025]],$J$2:$V$14,6,0)*Tabla4[[#This Row],[TOTAL COBERTURA]]</f>
        <v>820580</v>
      </c>
      <c r="AO97" s="35">
        <f>VLOOKUP(Tabla4[[#This Row],[SERVICIO 2025]],$J$2:$V$14,8,0)*Tabla4[[#This Row],[TOTAL COBERTURA]]</f>
        <v>582000</v>
      </c>
      <c r="AP97" s="35">
        <f>VLOOKUP(Tabla4[[#This Row],[SERVICIO 2025]],$J$2:$V$14,3,0)*Tabla4[[#This Row],[TOTAL COBERTURA]]*8</f>
        <v>41213760</v>
      </c>
      <c r="AQ97" s="35"/>
      <c r="AR97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7" s="35" t="str">
        <f>+IF(Tabla4[[#This Row],[AGRUPACIONES]]=1,SUMIFS(Tabla4[VALOR TOTAL],Tabla4[ZONA DEFINITIVO],Tabla4[[#This Row],[ZONA DEFINITIVO]])," ")</f>
        <v xml:space="preserve"> </v>
      </c>
      <c r="AT97" s="27">
        <f>(VLOOKUP(Tabla4[[#This Row],[SERVICIO 2025]],$J$2:$V$14,3,0)*Tabla4[[#This Row],[TOTAL COBERTURA]])+Tabla4[[#This Row],[VALOR FASE PREPARATORIA DE ALISTAMIENTO]]+Tabla4[[#This Row],[DOTACIÓN ÚNICA]]</f>
        <v>6721240</v>
      </c>
      <c r="AU97" s="35">
        <f>(VLOOKUP(Tabla4[[#This Row],[SERVICIO 2025]],$J$2:$V$14,3,0)*Tabla4[[#This Row],[TOTAL COBERTURA]])</f>
        <v>5151720</v>
      </c>
      <c r="AV97" s="35">
        <f>(VLOOKUP(Tabla4[[#This Row],[SERVICIO 2025]],$J$2:$V$14,3,0)*Tabla4[[#This Row],[TOTAL COBERTURA]])</f>
        <v>5151720</v>
      </c>
      <c r="AW97" s="35">
        <f>(VLOOKUP(Tabla4[[#This Row],[SERVICIO 2025]],$J$2:$V$14,3,0)*Tabla4[[#This Row],[TOTAL COBERTURA]])</f>
        <v>5151720</v>
      </c>
      <c r="AX97" s="35">
        <f>(VLOOKUP(Tabla4[[#This Row],[SERVICIO 2025]],$J$2:$V$14,3,0)*Tabla4[[#This Row],[TOTAL COBERTURA]])</f>
        <v>5151720</v>
      </c>
      <c r="AY97" s="35">
        <f>(VLOOKUP(Tabla4[[#This Row],[SERVICIO 2025]],$J$2:$V$14,3,0)*Tabla4[[#This Row],[TOTAL COBERTURA]])</f>
        <v>5151720</v>
      </c>
      <c r="AZ97" s="35">
        <f>(VLOOKUP(Tabla4[[#This Row],[SERVICIO 2025]],$J$2:$V$14,3,0)*Tabla4[[#This Row],[TOTAL COBERTURA]])</f>
        <v>5151720</v>
      </c>
      <c r="BA97" s="35">
        <f>(VLOOKUP(Tabla4[[#This Row],[SERVICIO 2025]],$J$2:$V$14,3,0)*Tabla4[[#This Row],[TOTAL COBERTURA]])+Tabla4[[#This Row],[VALOR FASE PREPARATORIA DE CIERRE]]</f>
        <v>5972300</v>
      </c>
      <c r="BB97" s="35">
        <f>SUM(Tabla4[[#This Row],[DESEMBOLSO 1]:[DESEMBOLSO 8]])</f>
        <v>43603860</v>
      </c>
      <c r="BC97" s="35"/>
      <c r="BD97" s="47" t="s">
        <v>97</v>
      </c>
      <c r="BE97" s="12" t="b">
        <f>EXACT(Tabla4[[#This Row],[VALOR ATENCIÓN (8 MESES)]],Tabla4[[#This Row],[VALOR TOTAL]])</f>
        <v>1</v>
      </c>
      <c r="BF97" s="23">
        <f>Tabla4[[#This Row],[VALOR ATENCIÓN (8 MESES)]]-Tabla4[[#This Row],[VALOR TOTAL]]</f>
        <v>0</v>
      </c>
      <c r="BG97" s="12" t="b">
        <f>EXACT(Tabla4[[#This Row],[TOTAL DESEMBOLSOS]],Tabla4[[#This Row],[VALOR ATENCIÓN (8 MESES)]])</f>
        <v>1</v>
      </c>
      <c r="BH97" s="29">
        <f>Tabla4[[#This Row],[TOTAL DESEMBOLSOS]]-Tabla4[[#This Row],[VALOR ATENCIÓN (8 MESES)]]</f>
        <v>0</v>
      </c>
      <c r="BI97" t="s">
        <v>98</v>
      </c>
    </row>
    <row r="98" spans="1:62">
      <c r="A98" s="13">
        <v>1892</v>
      </c>
      <c r="B98" s="13" t="s">
        <v>265</v>
      </c>
      <c r="C98" s="12" t="s">
        <v>87</v>
      </c>
      <c r="D98" s="12" t="s">
        <v>266</v>
      </c>
      <c r="E98" s="12" t="s">
        <v>267</v>
      </c>
      <c r="F98" s="12" t="s">
        <v>18</v>
      </c>
      <c r="G98" s="12" t="s">
        <v>90</v>
      </c>
      <c r="H98" s="12" t="s">
        <v>298</v>
      </c>
      <c r="I98" s="12">
        <v>50931136120</v>
      </c>
      <c r="J98" s="12" t="s">
        <v>299</v>
      </c>
      <c r="K98" s="12">
        <v>1</v>
      </c>
      <c r="L98" s="12">
        <v>18</v>
      </c>
      <c r="M98" s="12"/>
      <c r="N98" s="13">
        <v>1892</v>
      </c>
      <c r="O98" s="12" t="s">
        <v>93</v>
      </c>
      <c r="P98" s="12"/>
      <c r="Q98" s="12"/>
      <c r="R98" s="12" t="s">
        <v>94</v>
      </c>
      <c r="S98" s="12">
        <v>10</v>
      </c>
      <c r="T98" s="12" t="s">
        <v>270</v>
      </c>
      <c r="U98" s="12" t="s">
        <v>271</v>
      </c>
      <c r="V98" s="12">
        <f>VLOOKUP(Tabla4[[#This Row],[ZONA DEFINITIVO]],Hoja1!$A$1:$D$121,3,0)</f>
        <v>228992</v>
      </c>
      <c r="W98" s="12">
        <f>VLOOKUP(Tabla4[[#This Row],[ZONA DEFINITIVO]],Hoja1!$A$1:$D$121,2,0)</f>
        <v>15170</v>
      </c>
      <c r="X98" s="12">
        <f>VLOOKUP(Tabla4[[#This Row],[ZONA DEFINITIVO]],Hoja1!$A$1:$D$121,4,0)</f>
        <v>91125</v>
      </c>
      <c r="Y98" s="12" t="str">
        <f>+IF(Tabla4[[#This Row],[AGRUPACIONES]]=1,SUMIFS(Tabla4[UDS],Tabla4[ZONA DEFINITIVO],Tabla4[[#This Row],[ZONA DEFINITIVO]])," ")</f>
        <v xml:space="preserve"> </v>
      </c>
      <c r="Z98" s="12" t="str">
        <f>+IF(Tabla4[[#This Row],[AGRUPACIONES]]=1,SUMIFS(Tabla4[TOTAL COBERTURA],Tabla4[ZONA DEFINITIVO],Tabla4[[#This Row],[ZONA DEFINITIVO]])," ")</f>
        <v xml:space="preserve"> </v>
      </c>
      <c r="AA98" s="12"/>
      <c r="AB98" s="38">
        <v>39243474</v>
      </c>
      <c r="AC98" s="37">
        <v>0.02</v>
      </c>
      <c r="AD98" s="38">
        <f t="shared" si="2"/>
        <v>784869.48</v>
      </c>
      <c r="AE98" s="12"/>
      <c r="AF98" s="12">
        <f>COUNTIF($A$20:A98,A98)</f>
        <v>15</v>
      </c>
      <c r="AG98" s="38">
        <v>39243474</v>
      </c>
      <c r="AH98" s="38">
        <f>Tabla4[[#This Row],[VALOR CONTRAPARTIDA]]+Tabla4[[#This Row],[TOTAL APORTES ICBF]]</f>
        <v>40028343.479999997</v>
      </c>
      <c r="AI98" s="35"/>
      <c r="AJ98" s="38"/>
      <c r="AK98" s="38"/>
      <c r="AL98" s="23"/>
      <c r="AM98" s="35">
        <f>VLOOKUP(Tabla4[[#This Row],[SERVICIO 2025]],$J$2:$V$14,5,0)*Tabla4[[#This Row],[TOTAL COBERTURA]]</f>
        <v>888768</v>
      </c>
      <c r="AN98" s="35">
        <f>VLOOKUP(Tabla4[[#This Row],[SERVICIO 2025]],$J$2:$V$14,6,0)*Tabla4[[#This Row],[TOTAL COBERTURA]]</f>
        <v>738522</v>
      </c>
      <c r="AO98" s="35">
        <f>VLOOKUP(Tabla4[[#This Row],[SERVICIO 2025]],$J$2:$V$14,8,0)*Tabla4[[#This Row],[TOTAL COBERTURA]]</f>
        <v>523800</v>
      </c>
      <c r="AP98" s="35">
        <f>VLOOKUP(Tabla4[[#This Row],[SERVICIO 2025]],$J$2:$V$14,3,0)*Tabla4[[#This Row],[TOTAL COBERTURA]]*8</f>
        <v>37092384</v>
      </c>
      <c r="AQ98" s="35"/>
      <c r="AR98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98" s="35" t="str">
        <f>+IF(Tabla4[[#This Row],[AGRUPACIONES]]=1,SUMIFS(Tabla4[VALOR TOTAL],Tabla4[ZONA DEFINITIVO],Tabla4[[#This Row],[ZONA DEFINITIVO]])," ")</f>
        <v xml:space="preserve"> </v>
      </c>
      <c r="AT98" s="27">
        <f>(VLOOKUP(Tabla4[[#This Row],[SERVICIO 2025]],$J$2:$V$14,3,0)*Tabla4[[#This Row],[TOTAL COBERTURA]])+Tabla4[[#This Row],[VALOR FASE PREPARATORIA DE ALISTAMIENTO]]+Tabla4[[#This Row],[DOTACIÓN ÚNICA]]</f>
        <v>6049116</v>
      </c>
      <c r="AU98" s="35">
        <f>(VLOOKUP(Tabla4[[#This Row],[SERVICIO 2025]],$J$2:$V$14,3,0)*Tabla4[[#This Row],[TOTAL COBERTURA]])</f>
        <v>4636548</v>
      </c>
      <c r="AV98" s="35">
        <f>(VLOOKUP(Tabla4[[#This Row],[SERVICIO 2025]],$J$2:$V$14,3,0)*Tabla4[[#This Row],[TOTAL COBERTURA]])</f>
        <v>4636548</v>
      </c>
      <c r="AW98" s="35">
        <f>(VLOOKUP(Tabla4[[#This Row],[SERVICIO 2025]],$J$2:$V$14,3,0)*Tabla4[[#This Row],[TOTAL COBERTURA]])</f>
        <v>4636548</v>
      </c>
      <c r="AX98" s="35">
        <f>(VLOOKUP(Tabla4[[#This Row],[SERVICIO 2025]],$J$2:$V$14,3,0)*Tabla4[[#This Row],[TOTAL COBERTURA]])</f>
        <v>4636548</v>
      </c>
      <c r="AY98" s="35">
        <f>(VLOOKUP(Tabla4[[#This Row],[SERVICIO 2025]],$J$2:$V$14,3,0)*Tabla4[[#This Row],[TOTAL COBERTURA]])</f>
        <v>4636548</v>
      </c>
      <c r="AZ98" s="35">
        <f>(VLOOKUP(Tabla4[[#This Row],[SERVICIO 2025]],$J$2:$V$14,3,0)*Tabla4[[#This Row],[TOTAL COBERTURA]])</f>
        <v>4636548</v>
      </c>
      <c r="BA98" s="35">
        <f>(VLOOKUP(Tabla4[[#This Row],[SERVICIO 2025]],$J$2:$V$14,3,0)*Tabla4[[#This Row],[TOTAL COBERTURA]])+Tabla4[[#This Row],[VALOR FASE PREPARATORIA DE CIERRE]]</f>
        <v>5375070</v>
      </c>
      <c r="BB98" s="35">
        <f>SUM(Tabla4[[#This Row],[DESEMBOLSO 1]:[DESEMBOLSO 8]])</f>
        <v>39243474</v>
      </c>
      <c r="BC98" s="35"/>
      <c r="BD98" s="47" t="s">
        <v>97</v>
      </c>
      <c r="BE98" s="12" t="b">
        <f>EXACT(Tabla4[[#This Row],[VALOR ATENCIÓN (8 MESES)]],Tabla4[[#This Row],[VALOR TOTAL]])</f>
        <v>1</v>
      </c>
      <c r="BF98" s="23">
        <f>Tabla4[[#This Row],[VALOR ATENCIÓN (8 MESES)]]-Tabla4[[#This Row],[VALOR TOTAL]]</f>
        <v>0</v>
      </c>
      <c r="BG98" s="12" t="b">
        <f>EXACT(Tabla4[[#This Row],[TOTAL DESEMBOLSOS]],Tabla4[[#This Row],[VALOR ATENCIÓN (8 MESES)]])</f>
        <v>1</v>
      </c>
      <c r="BH98" s="29">
        <f>Tabla4[[#This Row],[TOTAL DESEMBOLSOS]]-Tabla4[[#This Row],[VALOR ATENCIÓN (8 MESES)]]</f>
        <v>0</v>
      </c>
      <c r="BI98" t="s">
        <v>98</v>
      </c>
    </row>
    <row r="99" spans="1:62">
      <c r="A99" s="13">
        <v>1892</v>
      </c>
      <c r="B99" s="13" t="s">
        <v>265</v>
      </c>
      <c r="C99" s="12" t="s">
        <v>87</v>
      </c>
      <c r="D99" s="12" t="s">
        <v>266</v>
      </c>
      <c r="E99" s="12" t="s">
        <v>267</v>
      </c>
      <c r="F99" s="12" t="s">
        <v>18</v>
      </c>
      <c r="G99" s="12" t="s">
        <v>90</v>
      </c>
      <c r="H99" s="12" t="s">
        <v>300</v>
      </c>
      <c r="I99" s="12">
        <v>50931136124</v>
      </c>
      <c r="J99" s="12" t="s">
        <v>301</v>
      </c>
      <c r="K99" s="12">
        <v>1</v>
      </c>
      <c r="L99" s="12">
        <v>20</v>
      </c>
      <c r="M99" s="12"/>
      <c r="N99" s="13">
        <v>1892</v>
      </c>
      <c r="O99" s="12" t="s">
        <v>93</v>
      </c>
      <c r="P99" s="12"/>
      <c r="Q99" s="12"/>
      <c r="R99" s="12" t="s">
        <v>94</v>
      </c>
      <c r="S99" s="12">
        <v>10</v>
      </c>
      <c r="T99" s="12" t="s">
        <v>270</v>
      </c>
      <c r="U99" s="12" t="s">
        <v>271</v>
      </c>
      <c r="V99" s="12">
        <f>VLOOKUP(Tabla4[[#This Row],[ZONA DEFINITIVO]],Hoja1!$A$1:$D$121,3,0)</f>
        <v>228992</v>
      </c>
      <c r="W99" s="12">
        <f>VLOOKUP(Tabla4[[#This Row],[ZONA DEFINITIVO]],Hoja1!$A$1:$D$121,2,0)</f>
        <v>15170</v>
      </c>
      <c r="X99" s="12">
        <f>VLOOKUP(Tabla4[[#This Row],[ZONA DEFINITIVO]],Hoja1!$A$1:$D$121,4,0)</f>
        <v>91125</v>
      </c>
      <c r="Y99" s="12" t="str">
        <f>+IF(Tabla4[[#This Row],[AGRUPACIONES]]=1,SUMIFS(Tabla4[UDS],Tabla4[ZONA DEFINITIVO],Tabla4[[#This Row],[ZONA DEFINITIVO]])," ")</f>
        <v xml:space="preserve"> </v>
      </c>
      <c r="Z99" s="12" t="str">
        <f>+IF(Tabla4[[#This Row],[AGRUPACIONES]]=1,SUMIFS(Tabla4[TOTAL COBERTURA],Tabla4[ZONA DEFINITIVO],Tabla4[[#This Row],[ZONA DEFINITIVO]])," ")</f>
        <v xml:space="preserve"> </v>
      </c>
      <c r="AA99" s="12"/>
      <c r="AB99" s="38">
        <v>43603860</v>
      </c>
      <c r="AC99" s="37">
        <v>0.02</v>
      </c>
      <c r="AD99" s="38">
        <f t="shared" si="2"/>
        <v>872077.20000000007</v>
      </c>
      <c r="AE99" s="12"/>
      <c r="AF99" s="12">
        <f>COUNTIF($A$20:A99,A99)</f>
        <v>16</v>
      </c>
      <c r="AG99" s="38">
        <v>43603860</v>
      </c>
      <c r="AH99" s="38">
        <f>Tabla4[[#This Row],[VALOR CONTRAPARTIDA]]+Tabla4[[#This Row],[TOTAL APORTES ICBF]]</f>
        <v>44475937.200000003</v>
      </c>
      <c r="AI99" s="35"/>
      <c r="AJ99" s="38"/>
      <c r="AK99" s="38"/>
      <c r="AL99" s="23"/>
      <c r="AM99" s="35">
        <f>VLOOKUP(Tabla4[[#This Row],[SERVICIO 2025]],$J$2:$V$14,5,0)*Tabla4[[#This Row],[TOTAL COBERTURA]]</f>
        <v>987520</v>
      </c>
      <c r="AN99" s="35">
        <f>VLOOKUP(Tabla4[[#This Row],[SERVICIO 2025]],$J$2:$V$14,6,0)*Tabla4[[#This Row],[TOTAL COBERTURA]]</f>
        <v>820580</v>
      </c>
      <c r="AO99" s="35">
        <f>VLOOKUP(Tabla4[[#This Row],[SERVICIO 2025]],$J$2:$V$14,8,0)*Tabla4[[#This Row],[TOTAL COBERTURA]]</f>
        <v>582000</v>
      </c>
      <c r="AP99" s="35">
        <f>VLOOKUP(Tabla4[[#This Row],[SERVICIO 2025]],$J$2:$V$14,3,0)*Tabla4[[#This Row],[TOTAL COBERTURA]]*8</f>
        <v>41213760</v>
      </c>
      <c r="AQ99" s="35"/>
      <c r="AR99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9" s="35" t="str">
        <f>+IF(Tabla4[[#This Row],[AGRUPACIONES]]=1,SUMIFS(Tabla4[VALOR TOTAL],Tabla4[ZONA DEFINITIVO],Tabla4[[#This Row],[ZONA DEFINITIVO]])," ")</f>
        <v xml:space="preserve"> </v>
      </c>
      <c r="AT99" s="27">
        <f>(VLOOKUP(Tabla4[[#This Row],[SERVICIO 2025]],$J$2:$V$14,3,0)*Tabla4[[#This Row],[TOTAL COBERTURA]])+Tabla4[[#This Row],[VALOR FASE PREPARATORIA DE ALISTAMIENTO]]+Tabla4[[#This Row],[DOTACIÓN ÚNICA]]</f>
        <v>6721240</v>
      </c>
      <c r="AU99" s="35">
        <f>(VLOOKUP(Tabla4[[#This Row],[SERVICIO 2025]],$J$2:$V$14,3,0)*Tabla4[[#This Row],[TOTAL COBERTURA]])</f>
        <v>5151720</v>
      </c>
      <c r="AV99" s="35">
        <f>(VLOOKUP(Tabla4[[#This Row],[SERVICIO 2025]],$J$2:$V$14,3,0)*Tabla4[[#This Row],[TOTAL COBERTURA]])</f>
        <v>5151720</v>
      </c>
      <c r="AW99" s="35">
        <f>(VLOOKUP(Tabla4[[#This Row],[SERVICIO 2025]],$J$2:$V$14,3,0)*Tabla4[[#This Row],[TOTAL COBERTURA]])</f>
        <v>5151720</v>
      </c>
      <c r="AX99" s="35">
        <f>(VLOOKUP(Tabla4[[#This Row],[SERVICIO 2025]],$J$2:$V$14,3,0)*Tabla4[[#This Row],[TOTAL COBERTURA]])</f>
        <v>5151720</v>
      </c>
      <c r="AY99" s="35">
        <f>(VLOOKUP(Tabla4[[#This Row],[SERVICIO 2025]],$J$2:$V$14,3,0)*Tabla4[[#This Row],[TOTAL COBERTURA]])</f>
        <v>5151720</v>
      </c>
      <c r="AZ99" s="35">
        <f>(VLOOKUP(Tabla4[[#This Row],[SERVICIO 2025]],$J$2:$V$14,3,0)*Tabla4[[#This Row],[TOTAL COBERTURA]])</f>
        <v>5151720</v>
      </c>
      <c r="BA99" s="35">
        <f>(VLOOKUP(Tabla4[[#This Row],[SERVICIO 2025]],$J$2:$V$14,3,0)*Tabla4[[#This Row],[TOTAL COBERTURA]])+Tabla4[[#This Row],[VALOR FASE PREPARATORIA DE CIERRE]]</f>
        <v>5972300</v>
      </c>
      <c r="BB99" s="35">
        <f>SUM(Tabla4[[#This Row],[DESEMBOLSO 1]:[DESEMBOLSO 8]])</f>
        <v>43603860</v>
      </c>
      <c r="BC99" s="35"/>
      <c r="BD99" s="47" t="s">
        <v>97</v>
      </c>
      <c r="BE99" s="12" t="b">
        <f>EXACT(Tabla4[[#This Row],[VALOR ATENCIÓN (8 MESES)]],Tabla4[[#This Row],[VALOR TOTAL]])</f>
        <v>1</v>
      </c>
      <c r="BF99" s="23">
        <f>Tabla4[[#This Row],[VALOR ATENCIÓN (8 MESES)]]-Tabla4[[#This Row],[VALOR TOTAL]]</f>
        <v>0</v>
      </c>
      <c r="BG99" s="12" t="b">
        <f>EXACT(Tabla4[[#This Row],[TOTAL DESEMBOLSOS]],Tabla4[[#This Row],[VALOR ATENCIÓN (8 MESES)]])</f>
        <v>1</v>
      </c>
      <c r="BH99" s="29">
        <f>Tabla4[[#This Row],[TOTAL DESEMBOLSOS]]-Tabla4[[#This Row],[VALOR ATENCIÓN (8 MESES)]]</f>
        <v>0</v>
      </c>
      <c r="BI99" t="s">
        <v>98</v>
      </c>
    </row>
    <row r="100" spans="1:62">
      <c r="A100" s="13">
        <v>1892</v>
      </c>
      <c r="B100" s="13" t="s">
        <v>265</v>
      </c>
      <c r="C100" s="12" t="s">
        <v>87</v>
      </c>
      <c r="D100" s="12" t="s">
        <v>266</v>
      </c>
      <c r="E100" s="12" t="s">
        <v>267</v>
      </c>
      <c r="F100" s="12" t="s">
        <v>18</v>
      </c>
      <c r="G100" s="12" t="s">
        <v>90</v>
      </c>
      <c r="H100" s="12" t="s">
        <v>302</v>
      </c>
      <c r="I100" s="12">
        <v>50931136127</v>
      </c>
      <c r="J100" s="12" t="s">
        <v>303</v>
      </c>
      <c r="K100" s="12">
        <v>1</v>
      </c>
      <c r="L100" s="12">
        <v>12</v>
      </c>
      <c r="M100" s="12"/>
      <c r="N100" s="13">
        <v>1892</v>
      </c>
      <c r="O100" s="12" t="s">
        <v>93</v>
      </c>
      <c r="P100" s="12"/>
      <c r="Q100" s="12"/>
      <c r="R100" s="12" t="s">
        <v>94</v>
      </c>
      <c r="S100" s="12">
        <v>10</v>
      </c>
      <c r="T100" s="12" t="s">
        <v>270</v>
      </c>
      <c r="U100" s="12" t="s">
        <v>271</v>
      </c>
      <c r="V100" s="12">
        <f>VLOOKUP(Tabla4[[#This Row],[ZONA DEFINITIVO]],Hoja1!$A$1:$D$121,3,0)</f>
        <v>228992</v>
      </c>
      <c r="W100" s="12">
        <f>VLOOKUP(Tabla4[[#This Row],[ZONA DEFINITIVO]],Hoja1!$A$1:$D$121,2,0)</f>
        <v>15170</v>
      </c>
      <c r="X100" s="12">
        <f>VLOOKUP(Tabla4[[#This Row],[ZONA DEFINITIVO]],Hoja1!$A$1:$D$121,4,0)</f>
        <v>91125</v>
      </c>
      <c r="Y100" s="12" t="str">
        <f>+IF(Tabla4[[#This Row],[AGRUPACIONES]]=1,SUMIFS(Tabla4[UDS],Tabla4[ZONA DEFINITIVO],Tabla4[[#This Row],[ZONA DEFINITIVO]])," ")</f>
        <v xml:space="preserve"> </v>
      </c>
      <c r="Z100" s="12" t="str">
        <f>+IF(Tabla4[[#This Row],[AGRUPACIONES]]=1,SUMIFS(Tabla4[TOTAL COBERTURA],Tabla4[ZONA DEFINITIVO],Tabla4[[#This Row],[ZONA DEFINITIVO]])," ")</f>
        <v xml:space="preserve"> </v>
      </c>
      <c r="AA100" s="12"/>
      <c r="AB100" s="38">
        <v>26162316</v>
      </c>
      <c r="AC100" s="37">
        <v>0.02</v>
      </c>
      <c r="AD100" s="38">
        <f t="shared" si="2"/>
        <v>523246.32</v>
      </c>
      <c r="AE100" s="12"/>
      <c r="AF100" s="12">
        <f>COUNTIF($A$20:A100,A100)</f>
        <v>17</v>
      </c>
      <c r="AG100" s="38">
        <v>26162316</v>
      </c>
      <c r="AH100" s="38">
        <f>Tabla4[[#This Row],[VALOR CONTRAPARTIDA]]+Tabla4[[#This Row],[TOTAL APORTES ICBF]]</f>
        <v>26685562.32</v>
      </c>
      <c r="AI100" s="35"/>
      <c r="AJ100" s="38"/>
      <c r="AK100" s="38"/>
      <c r="AL100" s="23"/>
      <c r="AM100" s="35">
        <f>VLOOKUP(Tabla4[[#This Row],[SERVICIO 2025]],$J$2:$V$14,5,0)*Tabla4[[#This Row],[TOTAL COBERTURA]]</f>
        <v>592512</v>
      </c>
      <c r="AN100" s="35">
        <f>VLOOKUP(Tabla4[[#This Row],[SERVICIO 2025]],$J$2:$V$14,6,0)*Tabla4[[#This Row],[TOTAL COBERTURA]]</f>
        <v>492348</v>
      </c>
      <c r="AO100" s="35">
        <f>VLOOKUP(Tabla4[[#This Row],[SERVICIO 2025]],$J$2:$V$14,8,0)*Tabla4[[#This Row],[TOTAL COBERTURA]]</f>
        <v>349200</v>
      </c>
      <c r="AP100" s="35">
        <f>VLOOKUP(Tabla4[[#This Row],[SERVICIO 2025]],$J$2:$V$14,3,0)*Tabla4[[#This Row],[TOTAL COBERTURA]]*8</f>
        <v>24728256</v>
      </c>
      <c r="AQ100" s="35"/>
      <c r="AR100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100" s="35" t="str">
        <f>+IF(Tabla4[[#This Row],[AGRUPACIONES]]=1,SUMIFS(Tabla4[VALOR TOTAL],Tabla4[ZONA DEFINITIVO],Tabla4[[#This Row],[ZONA DEFINITIVO]])," ")</f>
        <v xml:space="preserve"> </v>
      </c>
      <c r="AT100" s="27">
        <f>(VLOOKUP(Tabla4[[#This Row],[SERVICIO 2025]],$J$2:$V$14,3,0)*Tabla4[[#This Row],[TOTAL COBERTURA]])+Tabla4[[#This Row],[VALOR FASE PREPARATORIA DE ALISTAMIENTO]]+Tabla4[[#This Row],[DOTACIÓN ÚNICA]]</f>
        <v>4032744</v>
      </c>
      <c r="AU100" s="35">
        <f>(VLOOKUP(Tabla4[[#This Row],[SERVICIO 2025]],$J$2:$V$14,3,0)*Tabla4[[#This Row],[TOTAL COBERTURA]])</f>
        <v>3091032</v>
      </c>
      <c r="AV100" s="35">
        <f>(VLOOKUP(Tabla4[[#This Row],[SERVICIO 2025]],$J$2:$V$14,3,0)*Tabla4[[#This Row],[TOTAL COBERTURA]])</f>
        <v>3091032</v>
      </c>
      <c r="AW100" s="35">
        <f>(VLOOKUP(Tabla4[[#This Row],[SERVICIO 2025]],$J$2:$V$14,3,0)*Tabla4[[#This Row],[TOTAL COBERTURA]])</f>
        <v>3091032</v>
      </c>
      <c r="AX100" s="35">
        <f>(VLOOKUP(Tabla4[[#This Row],[SERVICIO 2025]],$J$2:$V$14,3,0)*Tabla4[[#This Row],[TOTAL COBERTURA]])</f>
        <v>3091032</v>
      </c>
      <c r="AY100" s="35">
        <f>(VLOOKUP(Tabla4[[#This Row],[SERVICIO 2025]],$J$2:$V$14,3,0)*Tabla4[[#This Row],[TOTAL COBERTURA]])</f>
        <v>3091032</v>
      </c>
      <c r="AZ100" s="35">
        <f>(VLOOKUP(Tabla4[[#This Row],[SERVICIO 2025]],$J$2:$V$14,3,0)*Tabla4[[#This Row],[TOTAL COBERTURA]])</f>
        <v>3091032</v>
      </c>
      <c r="BA100" s="35">
        <f>(VLOOKUP(Tabla4[[#This Row],[SERVICIO 2025]],$J$2:$V$14,3,0)*Tabla4[[#This Row],[TOTAL COBERTURA]])+Tabla4[[#This Row],[VALOR FASE PREPARATORIA DE CIERRE]]</f>
        <v>3583380</v>
      </c>
      <c r="BB100" s="35">
        <f>SUM(Tabla4[[#This Row],[DESEMBOLSO 1]:[DESEMBOLSO 8]])</f>
        <v>26162316</v>
      </c>
      <c r="BC100" s="35"/>
      <c r="BD100" s="47" t="s">
        <v>97</v>
      </c>
      <c r="BE100" s="12" t="b">
        <f>EXACT(Tabla4[[#This Row],[VALOR ATENCIÓN (8 MESES)]],Tabla4[[#This Row],[VALOR TOTAL]])</f>
        <v>1</v>
      </c>
      <c r="BF100" s="23">
        <f>Tabla4[[#This Row],[VALOR ATENCIÓN (8 MESES)]]-Tabla4[[#This Row],[VALOR TOTAL]]</f>
        <v>0</v>
      </c>
      <c r="BG100" s="12" t="b">
        <f>EXACT(Tabla4[[#This Row],[TOTAL DESEMBOLSOS]],Tabla4[[#This Row],[VALOR ATENCIÓN (8 MESES)]])</f>
        <v>1</v>
      </c>
      <c r="BH100" s="29">
        <f>Tabla4[[#This Row],[TOTAL DESEMBOLSOS]]-Tabla4[[#This Row],[VALOR ATENCIÓN (8 MESES)]]</f>
        <v>0</v>
      </c>
      <c r="BI100" t="s">
        <v>98</v>
      </c>
    </row>
    <row r="101" spans="1:62">
      <c r="A101" s="13">
        <v>1892</v>
      </c>
      <c r="B101" s="13" t="s">
        <v>265</v>
      </c>
      <c r="C101" s="12" t="s">
        <v>87</v>
      </c>
      <c r="D101" s="12" t="s">
        <v>266</v>
      </c>
      <c r="E101" s="12" t="s">
        <v>267</v>
      </c>
      <c r="F101" s="12" t="s">
        <v>18</v>
      </c>
      <c r="G101" s="12" t="s">
        <v>90</v>
      </c>
      <c r="H101" s="12" t="s">
        <v>304</v>
      </c>
      <c r="I101" s="12">
        <v>50931139719</v>
      </c>
      <c r="J101" s="12" t="s">
        <v>305</v>
      </c>
      <c r="K101" s="12">
        <v>1</v>
      </c>
      <c r="L101" s="12">
        <v>30</v>
      </c>
      <c r="M101" s="12"/>
      <c r="N101" s="13">
        <v>1892</v>
      </c>
      <c r="O101" s="12" t="s">
        <v>93</v>
      </c>
      <c r="P101" s="12"/>
      <c r="Q101" s="12"/>
      <c r="R101" s="12" t="s">
        <v>94</v>
      </c>
      <c r="S101" s="12">
        <v>10</v>
      </c>
      <c r="T101" s="12" t="s">
        <v>270</v>
      </c>
      <c r="U101" s="12" t="s">
        <v>271</v>
      </c>
      <c r="V101" s="12">
        <f>VLOOKUP(Tabla4[[#This Row],[ZONA DEFINITIVO]],Hoja1!$A$1:$D$121,3,0)</f>
        <v>228992</v>
      </c>
      <c r="W101" s="12">
        <f>VLOOKUP(Tabla4[[#This Row],[ZONA DEFINITIVO]],Hoja1!$A$1:$D$121,2,0)</f>
        <v>15170</v>
      </c>
      <c r="X101" s="12">
        <f>VLOOKUP(Tabla4[[#This Row],[ZONA DEFINITIVO]],Hoja1!$A$1:$D$121,4,0)</f>
        <v>91125</v>
      </c>
      <c r="Y101" s="12" t="str">
        <f>+IF(Tabla4[[#This Row],[AGRUPACIONES]]=1,SUMIFS(Tabla4[UDS],Tabla4[ZONA DEFINITIVO],Tabla4[[#This Row],[ZONA DEFINITIVO]])," ")</f>
        <v xml:space="preserve"> </v>
      </c>
      <c r="Z101" s="12" t="str">
        <f>+IF(Tabla4[[#This Row],[AGRUPACIONES]]=1,SUMIFS(Tabla4[TOTAL COBERTURA],Tabla4[ZONA DEFINITIVO],Tabla4[[#This Row],[ZONA DEFINITIVO]])," ")</f>
        <v xml:space="preserve"> </v>
      </c>
      <c r="AA101" s="12"/>
      <c r="AB101" s="38">
        <v>65405790</v>
      </c>
      <c r="AC101" s="37">
        <v>0.02</v>
      </c>
      <c r="AD101" s="38">
        <f t="shared" si="2"/>
        <v>1308115.8</v>
      </c>
      <c r="AE101" s="12"/>
      <c r="AF101" s="12">
        <f>COUNTIF($A$20:A101,A101)</f>
        <v>18</v>
      </c>
      <c r="AG101" s="38">
        <v>65405790</v>
      </c>
      <c r="AH101" s="38">
        <f>Tabla4[[#This Row],[VALOR CONTRAPARTIDA]]+Tabla4[[#This Row],[TOTAL APORTES ICBF]]</f>
        <v>66713905.799999997</v>
      </c>
      <c r="AI101" s="35"/>
      <c r="AJ101" s="38"/>
      <c r="AK101" s="38"/>
      <c r="AL101" s="23"/>
      <c r="AM101" s="35">
        <f>VLOOKUP(Tabla4[[#This Row],[SERVICIO 2025]],$J$2:$V$14,5,0)*Tabla4[[#This Row],[TOTAL COBERTURA]]</f>
        <v>1481280</v>
      </c>
      <c r="AN101" s="35">
        <f>VLOOKUP(Tabla4[[#This Row],[SERVICIO 2025]],$J$2:$V$14,6,0)*Tabla4[[#This Row],[TOTAL COBERTURA]]</f>
        <v>1230870</v>
      </c>
      <c r="AO101" s="35">
        <f>VLOOKUP(Tabla4[[#This Row],[SERVICIO 2025]],$J$2:$V$14,8,0)*Tabla4[[#This Row],[TOTAL COBERTURA]]</f>
        <v>873000</v>
      </c>
      <c r="AP101" s="35">
        <f>VLOOKUP(Tabla4[[#This Row],[SERVICIO 2025]],$J$2:$V$14,3,0)*Tabla4[[#This Row],[TOTAL COBERTURA]]*8</f>
        <v>61820640</v>
      </c>
      <c r="AQ101" s="35"/>
      <c r="AR101" s="35">
        <f>Tabla4[[#This Row],[VALOR FASE PREPARATORIA DE ALISTAMIENTO]]+Tabla4[[#This Row],[VALOR FASE PREPARATORIA DE CIERRE]]+Tabla4[[#This Row],[DOTACIÓN ÚNICA]]+Tabla4[[#This Row],[VALOR ATENCIÓN]]+Tabla4[[#This Row],[VALOR RACION PREPARADA]]</f>
        <v>65405790</v>
      </c>
      <c r="AS101" s="35" t="str">
        <f>+IF(Tabla4[[#This Row],[AGRUPACIONES]]=1,SUMIFS(Tabla4[VALOR TOTAL],Tabla4[ZONA DEFINITIVO],Tabla4[[#This Row],[ZONA DEFINITIVO]])," ")</f>
        <v xml:space="preserve"> </v>
      </c>
      <c r="AT101" s="27">
        <f>(VLOOKUP(Tabla4[[#This Row],[SERVICIO 2025]],$J$2:$V$14,3,0)*Tabla4[[#This Row],[TOTAL COBERTURA]])+Tabla4[[#This Row],[VALOR FASE PREPARATORIA DE ALISTAMIENTO]]+Tabla4[[#This Row],[DOTACIÓN ÚNICA]]</f>
        <v>10081860</v>
      </c>
      <c r="AU101" s="35">
        <f>(VLOOKUP(Tabla4[[#This Row],[SERVICIO 2025]],$J$2:$V$14,3,0)*Tabla4[[#This Row],[TOTAL COBERTURA]])</f>
        <v>7727580</v>
      </c>
      <c r="AV101" s="35">
        <f>(VLOOKUP(Tabla4[[#This Row],[SERVICIO 2025]],$J$2:$V$14,3,0)*Tabla4[[#This Row],[TOTAL COBERTURA]])</f>
        <v>7727580</v>
      </c>
      <c r="AW101" s="35">
        <f>(VLOOKUP(Tabla4[[#This Row],[SERVICIO 2025]],$J$2:$V$14,3,0)*Tabla4[[#This Row],[TOTAL COBERTURA]])</f>
        <v>7727580</v>
      </c>
      <c r="AX101" s="35">
        <f>(VLOOKUP(Tabla4[[#This Row],[SERVICIO 2025]],$J$2:$V$14,3,0)*Tabla4[[#This Row],[TOTAL COBERTURA]])</f>
        <v>7727580</v>
      </c>
      <c r="AY101" s="35">
        <f>(VLOOKUP(Tabla4[[#This Row],[SERVICIO 2025]],$J$2:$V$14,3,0)*Tabla4[[#This Row],[TOTAL COBERTURA]])</f>
        <v>7727580</v>
      </c>
      <c r="AZ101" s="35">
        <f>(VLOOKUP(Tabla4[[#This Row],[SERVICIO 2025]],$J$2:$V$14,3,0)*Tabla4[[#This Row],[TOTAL COBERTURA]])</f>
        <v>7727580</v>
      </c>
      <c r="BA101" s="35">
        <f>(VLOOKUP(Tabla4[[#This Row],[SERVICIO 2025]],$J$2:$V$14,3,0)*Tabla4[[#This Row],[TOTAL COBERTURA]])+Tabla4[[#This Row],[VALOR FASE PREPARATORIA DE CIERRE]]</f>
        <v>8958450</v>
      </c>
      <c r="BB101" s="35">
        <f>SUM(Tabla4[[#This Row],[DESEMBOLSO 1]:[DESEMBOLSO 8]])</f>
        <v>65405790</v>
      </c>
      <c r="BC101" s="35"/>
      <c r="BD101" s="47" t="s">
        <v>97</v>
      </c>
      <c r="BE101" s="12" t="b">
        <f>EXACT(Tabla4[[#This Row],[VALOR ATENCIÓN (8 MESES)]],Tabla4[[#This Row],[VALOR TOTAL]])</f>
        <v>1</v>
      </c>
      <c r="BF101" s="23">
        <f>Tabla4[[#This Row],[VALOR ATENCIÓN (8 MESES)]]-Tabla4[[#This Row],[VALOR TOTAL]]</f>
        <v>0</v>
      </c>
      <c r="BG101" s="12" t="b">
        <f>EXACT(Tabla4[[#This Row],[TOTAL DESEMBOLSOS]],Tabla4[[#This Row],[VALOR ATENCIÓN (8 MESES)]])</f>
        <v>1</v>
      </c>
      <c r="BH101" s="29">
        <f>Tabla4[[#This Row],[TOTAL DESEMBOLSOS]]-Tabla4[[#This Row],[VALOR ATENCIÓN (8 MESES)]]</f>
        <v>0</v>
      </c>
      <c r="BI101" t="s">
        <v>98</v>
      </c>
    </row>
    <row r="102" spans="1:62">
      <c r="A102" s="13">
        <v>1892</v>
      </c>
      <c r="B102" s="13" t="s">
        <v>265</v>
      </c>
      <c r="C102" s="12" t="s">
        <v>87</v>
      </c>
      <c r="D102" s="12" t="s">
        <v>266</v>
      </c>
      <c r="E102" s="12" t="s">
        <v>267</v>
      </c>
      <c r="F102" s="12" t="s">
        <v>18</v>
      </c>
      <c r="G102" s="12" t="s">
        <v>90</v>
      </c>
      <c r="H102" s="12" t="s">
        <v>306</v>
      </c>
      <c r="I102" s="12">
        <v>50931143938</v>
      </c>
      <c r="J102" s="12" t="s">
        <v>307</v>
      </c>
      <c r="K102" s="12">
        <v>1</v>
      </c>
      <c r="L102" s="12">
        <v>25</v>
      </c>
      <c r="M102" s="12"/>
      <c r="N102" s="13">
        <v>1892</v>
      </c>
      <c r="O102" s="12" t="s">
        <v>93</v>
      </c>
      <c r="P102" s="12"/>
      <c r="Q102" s="12"/>
      <c r="R102" s="12" t="s">
        <v>94</v>
      </c>
      <c r="S102" s="12">
        <v>10</v>
      </c>
      <c r="T102" s="12" t="s">
        <v>270</v>
      </c>
      <c r="U102" s="12" t="s">
        <v>271</v>
      </c>
      <c r="V102" s="12">
        <f>VLOOKUP(Tabla4[[#This Row],[ZONA DEFINITIVO]],Hoja1!$A$1:$D$121,3,0)</f>
        <v>228992</v>
      </c>
      <c r="W102" s="12">
        <f>VLOOKUP(Tabla4[[#This Row],[ZONA DEFINITIVO]],Hoja1!$A$1:$D$121,2,0)</f>
        <v>15170</v>
      </c>
      <c r="X102" s="12">
        <f>VLOOKUP(Tabla4[[#This Row],[ZONA DEFINITIVO]],Hoja1!$A$1:$D$121,4,0)</f>
        <v>91125</v>
      </c>
      <c r="Y102" s="12" t="str">
        <f>+IF(Tabla4[[#This Row],[AGRUPACIONES]]=1,SUMIFS(Tabla4[UDS],Tabla4[ZONA DEFINITIVO],Tabla4[[#This Row],[ZONA DEFINITIVO]])," ")</f>
        <v xml:space="preserve"> </v>
      </c>
      <c r="Z102" s="12" t="str">
        <f>+IF(Tabla4[[#This Row],[AGRUPACIONES]]=1,SUMIFS(Tabla4[TOTAL COBERTURA],Tabla4[ZONA DEFINITIVO],Tabla4[[#This Row],[ZONA DEFINITIVO]])," ")</f>
        <v xml:space="preserve"> </v>
      </c>
      <c r="AA102" s="12"/>
      <c r="AB102" s="38">
        <v>54504825</v>
      </c>
      <c r="AC102" s="37">
        <v>0.02</v>
      </c>
      <c r="AD102" s="38">
        <f t="shared" si="2"/>
        <v>1090096.5</v>
      </c>
      <c r="AE102" s="12"/>
      <c r="AF102" s="12">
        <f>COUNTIF($A$20:A102,A102)</f>
        <v>19</v>
      </c>
      <c r="AG102" s="38">
        <v>54504825</v>
      </c>
      <c r="AH102" s="38">
        <f>Tabla4[[#This Row],[VALOR CONTRAPARTIDA]]+Tabla4[[#This Row],[TOTAL APORTES ICBF]]</f>
        <v>55594921.5</v>
      </c>
      <c r="AI102" s="35"/>
      <c r="AJ102" s="38"/>
      <c r="AK102" s="38"/>
      <c r="AL102" s="23"/>
      <c r="AM102" s="35">
        <f>VLOOKUP(Tabla4[[#This Row],[SERVICIO 2025]],$J$2:$V$14,5,0)*Tabla4[[#This Row],[TOTAL COBERTURA]]</f>
        <v>1234400</v>
      </c>
      <c r="AN102" s="35">
        <f>VLOOKUP(Tabla4[[#This Row],[SERVICIO 2025]],$J$2:$V$14,6,0)*Tabla4[[#This Row],[TOTAL COBERTURA]]</f>
        <v>1025725</v>
      </c>
      <c r="AO102" s="35">
        <f>VLOOKUP(Tabla4[[#This Row],[SERVICIO 2025]],$J$2:$V$14,8,0)*Tabla4[[#This Row],[TOTAL COBERTURA]]</f>
        <v>727500</v>
      </c>
      <c r="AP102" s="35">
        <f>VLOOKUP(Tabla4[[#This Row],[SERVICIO 2025]],$J$2:$V$14,3,0)*Tabla4[[#This Row],[TOTAL COBERTURA]]*8</f>
        <v>51517200</v>
      </c>
      <c r="AQ102" s="35"/>
      <c r="AR102" s="35">
        <f>Tabla4[[#This Row],[VALOR FASE PREPARATORIA DE ALISTAMIENTO]]+Tabla4[[#This Row],[VALOR FASE PREPARATORIA DE CIERRE]]+Tabla4[[#This Row],[DOTACIÓN ÚNICA]]+Tabla4[[#This Row],[VALOR ATENCIÓN]]+Tabla4[[#This Row],[VALOR RACION PREPARADA]]</f>
        <v>54504825</v>
      </c>
      <c r="AS102" s="35" t="str">
        <f>+IF(Tabla4[[#This Row],[AGRUPACIONES]]=1,SUMIFS(Tabla4[VALOR TOTAL],Tabla4[ZONA DEFINITIVO],Tabla4[[#This Row],[ZONA DEFINITIVO]])," ")</f>
        <v xml:space="preserve"> </v>
      </c>
      <c r="AT102" s="27">
        <f>(VLOOKUP(Tabla4[[#This Row],[SERVICIO 2025]],$J$2:$V$14,3,0)*Tabla4[[#This Row],[TOTAL COBERTURA]])+Tabla4[[#This Row],[VALOR FASE PREPARATORIA DE ALISTAMIENTO]]+Tabla4[[#This Row],[DOTACIÓN ÚNICA]]</f>
        <v>8401550</v>
      </c>
      <c r="AU102" s="35">
        <f>(VLOOKUP(Tabla4[[#This Row],[SERVICIO 2025]],$J$2:$V$14,3,0)*Tabla4[[#This Row],[TOTAL COBERTURA]])</f>
        <v>6439650</v>
      </c>
      <c r="AV102" s="35">
        <f>(VLOOKUP(Tabla4[[#This Row],[SERVICIO 2025]],$J$2:$V$14,3,0)*Tabla4[[#This Row],[TOTAL COBERTURA]])</f>
        <v>6439650</v>
      </c>
      <c r="AW102" s="35">
        <f>(VLOOKUP(Tabla4[[#This Row],[SERVICIO 2025]],$J$2:$V$14,3,0)*Tabla4[[#This Row],[TOTAL COBERTURA]])</f>
        <v>6439650</v>
      </c>
      <c r="AX102" s="35">
        <f>(VLOOKUP(Tabla4[[#This Row],[SERVICIO 2025]],$J$2:$V$14,3,0)*Tabla4[[#This Row],[TOTAL COBERTURA]])</f>
        <v>6439650</v>
      </c>
      <c r="AY102" s="35">
        <f>(VLOOKUP(Tabla4[[#This Row],[SERVICIO 2025]],$J$2:$V$14,3,0)*Tabla4[[#This Row],[TOTAL COBERTURA]])</f>
        <v>6439650</v>
      </c>
      <c r="AZ102" s="35">
        <f>(VLOOKUP(Tabla4[[#This Row],[SERVICIO 2025]],$J$2:$V$14,3,0)*Tabla4[[#This Row],[TOTAL COBERTURA]])</f>
        <v>6439650</v>
      </c>
      <c r="BA102" s="35">
        <f>(VLOOKUP(Tabla4[[#This Row],[SERVICIO 2025]],$J$2:$V$14,3,0)*Tabla4[[#This Row],[TOTAL COBERTURA]])+Tabla4[[#This Row],[VALOR FASE PREPARATORIA DE CIERRE]]</f>
        <v>7465375</v>
      </c>
      <c r="BB102" s="35">
        <f>SUM(Tabla4[[#This Row],[DESEMBOLSO 1]:[DESEMBOLSO 8]])</f>
        <v>54504825</v>
      </c>
      <c r="BC102" s="35"/>
      <c r="BD102" s="47" t="s">
        <v>97</v>
      </c>
      <c r="BE102" s="12" t="b">
        <f>EXACT(Tabla4[[#This Row],[VALOR ATENCIÓN (8 MESES)]],Tabla4[[#This Row],[VALOR TOTAL]])</f>
        <v>1</v>
      </c>
      <c r="BF102" s="23">
        <f>Tabla4[[#This Row],[VALOR ATENCIÓN (8 MESES)]]-Tabla4[[#This Row],[VALOR TOTAL]]</f>
        <v>0</v>
      </c>
      <c r="BG102" s="12" t="b">
        <f>EXACT(Tabla4[[#This Row],[TOTAL DESEMBOLSOS]],Tabla4[[#This Row],[VALOR ATENCIÓN (8 MESES)]])</f>
        <v>1</v>
      </c>
      <c r="BH102" s="29">
        <f>Tabla4[[#This Row],[TOTAL DESEMBOLSOS]]-Tabla4[[#This Row],[VALOR ATENCIÓN (8 MESES)]]</f>
        <v>0</v>
      </c>
      <c r="BI102" t="s">
        <v>98</v>
      </c>
    </row>
    <row r="103" spans="1:62">
      <c r="A103" s="13">
        <v>1892</v>
      </c>
      <c r="B103" s="13" t="s">
        <v>265</v>
      </c>
      <c r="C103" s="12" t="s">
        <v>87</v>
      </c>
      <c r="D103" s="12" t="s">
        <v>266</v>
      </c>
      <c r="E103" s="12" t="s">
        <v>267</v>
      </c>
      <c r="F103" s="12" t="s">
        <v>18</v>
      </c>
      <c r="G103" s="12" t="s">
        <v>90</v>
      </c>
      <c r="H103" s="12" t="s">
        <v>308</v>
      </c>
      <c r="I103" s="12">
        <v>50931151948</v>
      </c>
      <c r="J103" s="12" t="s">
        <v>309</v>
      </c>
      <c r="K103" s="12">
        <v>1</v>
      </c>
      <c r="L103" s="12">
        <v>9</v>
      </c>
      <c r="M103" s="12"/>
      <c r="N103" s="13">
        <v>1892</v>
      </c>
      <c r="O103" s="12" t="s">
        <v>93</v>
      </c>
      <c r="P103" s="12"/>
      <c r="Q103" s="12"/>
      <c r="R103" s="12" t="s">
        <v>94</v>
      </c>
      <c r="S103" s="12">
        <v>10</v>
      </c>
      <c r="T103" s="12" t="s">
        <v>270</v>
      </c>
      <c r="U103" s="12" t="s">
        <v>271</v>
      </c>
      <c r="V103" s="12">
        <f>VLOOKUP(Tabla4[[#This Row],[ZONA DEFINITIVO]],Hoja1!$A$1:$D$121,3,0)</f>
        <v>228992</v>
      </c>
      <c r="W103" s="12">
        <f>VLOOKUP(Tabla4[[#This Row],[ZONA DEFINITIVO]],Hoja1!$A$1:$D$121,2,0)</f>
        <v>15170</v>
      </c>
      <c r="X103" s="12">
        <f>VLOOKUP(Tabla4[[#This Row],[ZONA DEFINITIVO]],Hoja1!$A$1:$D$121,4,0)</f>
        <v>91125</v>
      </c>
      <c r="Y103" s="12" t="str">
        <f>+IF(Tabla4[[#This Row],[AGRUPACIONES]]=1,SUMIFS(Tabla4[UDS],Tabla4[ZONA DEFINITIVO],Tabla4[[#This Row],[ZONA DEFINITIVO]])," ")</f>
        <v xml:space="preserve"> </v>
      </c>
      <c r="Z103" s="12" t="str">
        <f>+IF(Tabla4[[#This Row],[AGRUPACIONES]]=1,SUMIFS(Tabla4[TOTAL COBERTURA],Tabla4[ZONA DEFINITIVO],Tabla4[[#This Row],[ZONA DEFINITIVO]])," ")</f>
        <v xml:space="preserve"> </v>
      </c>
      <c r="AA103" s="12"/>
      <c r="AB103" s="38">
        <v>19621737</v>
      </c>
      <c r="AC103" s="37">
        <v>0.02</v>
      </c>
      <c r="AD103" s="38">
        <f t="shared" si="2"/>
        <v>392434.74</v>
      </c>
      <c r="AE103" s="12"/>
      <c r="AF103" s="12">
        <f>COUNTIF($A$20:A103,A103)</f>
        <v>20</v>
      </c>
      <c r="AG103" s="38">
        <v>19621737</v>
      </c>
      <c r="AH103" s="38">
        <f>Tabla4[[#This Row],[VALOR CONTRAPARTIDA]]+Tabla4[[#This Row],[TOTAL APORTES ICBF]]</f>
        <v>20014171.739999998</v>
      </c>
      <c r="AI103" s="35"/>
      <c r="AJ103" s="38"/>
      <c r="AK103" s="38"/>
      <c r="AL103" s="23"/>
      <c r="AM103" s="35">
        <f>VLOOKUP(Tabla4[[#This Row],[SERVICIO 2025]],$J$2:$V$14,5,0)*Tabla4[[#This Row],[TOTAL COBERTURA]]</f>
        <v>444384</v>
      </c>
      <c r="AN103" s="35">
        <f>VLOOKUP(Tabla4[[#This Row],[SERVICIO 2025]],$J$2:$V$14,6,0)*Tabla4[[#This Row],[TOTAL COBERTURA]]</f>
        <v>369261</v>
      </c>
      <c r="AO103" s="35">
        <f>VLOOKUP(Tabla4[[#This Row],[SERVICIO 2025]],$J$2:$V$14,8,0)*Tabla4[[#This Row],[TOTAL COBERTURA]]</f>
        <v>261900</v>
      </c>
      <c r="AP103" s="35">
        <f>VLOOKUP(Tabla4[[#This Row],[SERVICIO 2025]],$J$2:$V$14,3,0)*Tabla4[[#This Row],[TOTAL COBERTURA]]*8</f>
        <v>18546192</v>
      </c>
      <c r="AQ103" s="35"/>
      <c r="AR103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103" s="35" t="str">
        <f>+IF(Tabla4[[#This Row],[AGRUPACIONES]]=1,SUMIFS(Tabla4[VALOR TOTAL],Tabla4[ZONA DEFINITIVO],Tabla4[[#This Row],[ZONA DEFINITIVO]])," ")</f>
        <v xml:space="preserve"> </v>
      </c>
      <c r="AT103" s="27">
        <f>(VLOOKUP(Tabla4[[#This Row],[SERVICIO 2025]],$J$2:$V$14,3,0)*Tabla4[[#This Row],[TOTAL COBERTURA]])+Tabla4[[#This Row],[VALOR FASE PREPARATORIA DE ALISTAMIENTO]]+Tabla4[[#This Row],[DOTACIÓN ÚNICA]]</f>
        <v>3024558</v>
      </c>
      <c r="AU103" s="35">
        <f>(VLOOKUP(Tabla4[[#This Row],[SERVICIO 2025]],$J$2:$V$14,3,0)*Tabla4[[#This Row],[TOTAL COBERTURA]])</f>
        <v>2318274</v>
      </c>
      <c r="AV103" s="35">
        <f>(VLOOKUP(Tabla4[[#This Row],[SERVICIO 2025]],$J$2:$V$14,3,0)*Tabla4[[#This Row],[TOTAL COBERTURA]])</f>
        <v>2318274</v>
      </c>
      <c r="AW103" s="35">
        <f>(VLOOKUP(Tabla4[[#This Row],[SERVICIO 2025]],$J$2:$V$14,3,0)*Tabla4[[#This Row],[TOTAL COBERTURA]])</f>
        <v>2318274</v>
      </c>
      <c r="AX103" s="35">
        <f>(VLOOKUP(Tabla4[[#This Row],[SERVICIO 2025]],$J$2:$V$14,3,0)*Tabla4[[#This Row],[TOTAL COBERTURA]])</f>
        <v>2318274</v>
      </c>
      <c r="AY103" s="35">
        <f>(VLOOKUP(Tabla4[[#This Row],[SERVICIO 2025]],$J$2:$V$14,3,0)*Tabla4[[#This Row],[TOTAL COBERTURA]])</f>
        <v>2318274</v>
      </c>
      <c r="AZ103" s="35">
        <f>(VLOOKUP(Tabla4[[#This Row],[SERVICIO 2025]],$J$2:$V$14,3,0)*Tabla4[[#This Row],[TOTAL COBERTURA]])</f>
        <v>2318274</v>
      </c>
      <c r="BA103" s="35">
        <f>(VLOOKUP(Tabla4[[#This Row],[SERVICIO 2025]],$J$2:$V$14,3,0)*Tabla4[[#This Row],[TOTAL COBERTURA]])+Tabla4[[#This Row],[VALOR FASE PREPARATORIA DE CIERRE]]</f>
        <v>2687535</v>
      </c>
      <c r="BB103" s="35">
        <f>SUM(Tabla4[[#This Row],[DESEMBOLSO 1]:[DESEMBOLSO 8]])</f>
        <v>19621737</v>
      </c>
      <c r="BC103" s="35"/>
      <c r="BD103" s="47" t="s">
        <v>97</v>
      </c>
      <c r="BE103" s="12" t="b">
        <f>EXACT(Tabla4[[#This Row],[VALOR ATENCIÓN (8 MESES)]],Tabla4[[#This Row],[VALOR TOTAL]])</f>
        <v>1</v>
      </c>
      <c r="BF103" s="23">
        <f>Tabla4[[#This Row],[VALOR ATENCIÓN (8 MESES)]]-Tabla4[[#This Row],[VALOR TOTAL]]</f>
        <v>0</v>
      </c>
      <c r="BG103" s="12" t="b">
        <f>EXACT(Tabla4[[#This Row],[TOTAL DESEMBOLSOS]],Tabla4[[#This Row],[VALOR ATENCIÓN (8 MESES)]])</f>
        <v>1</v>
      </c>
      <c r="BH103" s="29">
        <f>Tabla4[[#This Row],[TOTAL DESEMBOLSOS]]-Tabla4[[#This Row],[VALOR ATENCIÓN (8 MESES)]]</f>
        <v>0</v>
      </c>
      <c r="BI103" t="s">
        <v>98</v>
      </c>
    </row>
    <row r="104" spans="1:62">
      <c r="A104" s="13">
        <v>1892</v>
      </c>
      <c r="B104" s="13" t="s">
        <v>265</v>
      </c>
      <c r="C104" s="12" t="s">
        <v>87</v>
      </c>
      <c r="D104" s="12" t="s">
        <v>266</v>
      </c>
      <c r="E104" s="12" t="s">
        <v>267</v>
      </c>
      <c r="F104" s="12" t="s">
        <v>18</v>
      </c>
      <c r="G104" s="12" t="s">
        <v>90</v>
      </c>
      <c r="H104" s="12" t="s">
        <v>310</v>
      </c>
      <c r="I104" s="12">
        <v>50931152082</v>
      </c>
      <c r="J104" s="12" t="s">
        <v>311</v>
      </c>
      <c r="K104" s="12">
        <v>1</v>
      </c>
      <c r="L104" s="12">
        <v>30</v>
      </c>
      <c r="M104" s="12"/>
      <c r="N104" s="13">
        <v>1892</v>
      </c>
      <c r="O104" s="12" t="s">
        <v>93</v>
      </c>
      <c r="P104" s="12"/>
      <c r="Q104" s="12"/>
      <c r="R104" s="12" t="s">
        <v>94</v>
      </c>
      <c r="S104" s="12">
        <v>10</v>
      </c>
      <c r="T104" s="12" t="s">
        <v>270</v>
      </c>
      <c r="U104" s="12" t="s">
        <v>271</v>
      </c>
      <c r="V104" s="12">
        <f>VLOOKUP(Tabla4[[#This Row],[ZONA DEFINITIVO]],Hoja1!$A$1:$D$121,3,0)</f>
        <v>228992</v>
      </c>
      <c r="W104" s="12">
        <f>VLOOKUP(Tabla4[[#This Row],[ZONA DEFINITIVO]],Hoja1!$A$1:$D$121,2,0)</f>
        <v>15170</v>
      </c>
      <c r="X104" s="12">
        <f>VLOOKUP(Tabla4[[#This Row],[ZONA DEFINITIVO]],Hoja1!$A$1:$D$121,4,0)</f>
        <v>91125</v>
      </c>
      <c r="Y104" s="12" t="str">
        <f>+IF(Tabla4[[#This Row],[AGRUPACIONES]]=1,SUMIFS(Tabla4[UDS],Tabla4[ZONA DEFINITIVO],Tabla4[[#This Row],[ZONA DEFINITIVO]])," ")</f>
        <v xml:space="preserve"> </v>
      </c>
      <c r="Z104" s="12" t="str">
        <f>+IF(Tabla4[[#This Row],[AGRUPACIONES]]=1,SUMIFS(Tabla4[TOTAL COBERTURA],Tabla4[ZONA DEFINITIVO],Tabla4[[#This Row],[ZONA DEFINITIVO]])," ")</f>
        <v xml:space="preserve"> </v>
      </c>
      <c r="AA104" s="12"/>
      <c r="AB104" s="38">
        <v>65405790</v>
      </c>
      <c r="AC104" s="37">
        <v>0.02</v>
      </c>
      <c r="AD104" s="38">
        <f t="shared" si="2"/>
        <v>1308115.8</v>
      </c>
      <c r="AE104" s="12"/>
      <c r="AF104" s="12">
        <f>COUNTIF($A$20:A104,A104)</f>
        <v>21</v>
      </c>
      <c r="AG104" s="38">
        <v>65405790</v>
      </c>
      <c r="AH104" s="38">
        <f>Tabla4[[#This Row],[VALOR CONTRAPARTIDA]]+Tabla4[[#This Row],[TOTAL APORTES ICBF]]</f>
        <v>66713905.799999997</v>
      </c>
      <c r="AI104" s="35"/>
      <c r="AJ104" s="38"/>
      <c r="AK104" s="38"/>
      <c r="AL104" s="23"/>
      <c r="AM104" s="35">
        <f>VLOOKUP(Tabla4[[#This Row],[SERVICIO 2025]],$J$2:$V$14,5,0)*Tabla4[[#This Row],[TOTAL COBERTURA]]</f>
        <v>1481280</v>
      </c>
      <c r="AN104" s="35">
        <f>VLOOKUP(Tabla4[[#This Row],[SERVICIO 2025]],$J$2:$V$14,6,0)*Tabla4[[#This Row],[TOTAL COBERTURA]]</f>
        <v>1230870</v>
      </c>
      <c r="AO104" s="35">
        <f>VLOOKUP(Tabla4[[#This Row],[SERVICIO 2025]],$J$2:$V$14,8,0)*Tabla4[[#This Row],[TOTAL COBERTURA]]</f>
        <v>873000</v>
      </c>
      <c r="AP104" s="35">
        <f>VLOOKUP(Tabla4[[#This Row],[SERVICIO 2025]],$J$2:$V$14,3,0)*Tabla4[[#This Row],[TOTAL COBERTURA]]*8</f>
        <v>61820640</v>
      </c>
      <c r="AQ104" s="35"/>
      <c r="AR104" s="35">
        <f>Tabla4[[#This Row],[VALOR FASE PREPARATORIA DE ALISTAMIENTO]]+Tabla4[[#This Row],[VALOR FASE PREPARATORIA DE CIERRE]]+Tabla4[[#This Row],[DOTACIÓN ÚNICA]]+Tabla4[[#This Row],[VALOR ATENCIÓN]]+Tabla4[[#This Row],[VALOR RACION PREPARADA]]</f>
        <v>65405790</v>
      </c>
      <c r="AS104" s="35" t="str">
        <f>+IF(Tabla4[[#This Row],[AGRUPACIONES]]=1,SUMIFS(Tabla4[VALOR TOTAL],Tabla4[ZONA DEFINITIVO],Tabla4[[#This Row],[ZONA DEFINITIVO]])," ")</f>
        <v xml:space="preserve"> </v>
      </c>
      <c r="AT104" s="27">
        <f>(VLOOKUP(Tabla4[[#This Row],[SERVICIO 2025]],$J$2:$V$14,3,0)*Tabla4[[#This Row],[TOTAL COBERTURA]])+Tabla4[[#This Row],[VALOR FASE PREPARATORIA DE ALISTAMIENTO]]+Tabla4[[#This Row],[DOTACIÓN ÚNICA]]</f>
        <v>10081860</v>
      </c>
      <c r="AU104" s="35">
        <f>(VLOOKUP(Tabla4[[#This Row],[SERVICIO 2025]],$J$2:$V$14,3,0)*Tabla4[[#This Row],[TOTAL COBERTURA]])</f>
        <v>7727580</v>
      </c>
      <c r="AV104" s="35">
        <f>(VLOOKUP(Tabla4[[#This Row],[SERVICIO 2025]],$J$2:$V$14,3,0)*Tabla4[[#This Row],[TOTAL COBERTURA]])</f>
        <v>7727580</v>
      </c>
      <c r="AW104" s="35">
        <f>(VLOOKUP(Tabla4[[#This Row],[SERVICIO 2025]],$J$2:$V$14,3,0)*Tabla4[[#This Row],[TOTAL COBERTURA]])</f>
        <v>7727580</v>
      </c>
      <c r="AX104" s="35">
        <f>(VLOOKUP(Tabla4[[#This Row],[SERVICIO 2025]],$J$2:$V$14,3,0)*Tabla4[[#This Row],[TOTAL COBERTURA]])</f>
        <v>7727580</v>
      </c>
      <c r="AY104" s="35">
        <f>(VLOOKUP(Tabla4[[#This Row],[SERVICIO 2025]],$J$2:$V$14,3,0)*Tabla4[[#This Row],[TOTAL COBERTURA]])</f>
        <v>7727580</v>
      </c>
      <c r="AZ104" s="35">
        <f>(VLOOKUP(Tabla4[[#This Row],[SERVICIO 2025]],$J$2:$V$14,3,0)*Tabla4[[#This Row],[TOTAL COBERTURA]])</f>
        <v>7727580</v>
      </c>
      <c r="BA104" s="35">
        <f>(VLOOKUP(Tabla4[[#This Row],[SERVICIO 2025]],$J$2:$V$14,3,0)*Tabla4[[#This Row],[TOTAL COBERTURA]])+Tabla4[[#This Row],[VALOR FASE PREPARATORIA DE CIERRE]]</f>
        <v>8958450</v>
      </c>
      <c r="BB104" s="35">
        <f>SUM(Tabla4[[#This Row],[DESEMBOLSO 1]:[DESEMBOLSO 8]])</f>
        <v>65405790</v>
      </c>
      <c r="BC104" s="35"/>
      <c r="BD104" s="47" t="s">
        <v>97</v>
      </c>
      <c r="BE104" s="12" t="b">
        <f>EXACT(Tabla4[[#This Row],[VALOR ATENCIÓN (8 MESES)]],Tabla4[[#This Row],[VALOR TOTAL]])</f>
        <v>1</v>
      </c>
      <c r="BF104" s="23">
        <f>Tabla4[[#This Row],[VALOR ATENCIÓN (8 MESES)]]-Tabla4[[#This Row],[VALOR TOTAL]]</f>
        <v>0</v>
      </c>
      <c r="BG104" s="12" t="b">
        <f>EXACT(Tabla4[[#This Row],[TOTAL DESEMBOLSOS]],Tabla4[[#This Row],[VALOR ATENCIÓN (8 MESES)]])</f>
        <v>1</v>
      </c>
      <c r="BH104" s="29">
        <f>Tabla4[[#This Row],[TOTAL DESEMBOLSOS]]-Tabla4[[#This Row],[VALOR ATENCIÓN (8 MESES)]]</f>
        <v>0</v>
      </c>
      <c r="BI104" t="s">
        <v>98</v>
      </c>
    </row>
    <row r="105" spans="1:62">
      <c r="A105" s="13">
        <v>1892</v>
      </c>
      <c r="B105" s="13" t="s">
        <v>265</v>
      </c>
      <c r="C105" s="12" t="s">
        <v>87</v>
      </c>
      <c r="D105" s="12" t="s">
        <v>266</v>
      </c>
      <c r="E105" s="12" t="s">
        <v>267</v>
      </c>
      <c r="F105" s="12" t="s">
        <v>18</v>
      </c>
      <c r="G105" s="12" t="s">
        <v>90</v>
      </c>
      <c r="H105" s="12" t="s">
        <v>312</v>
      </c>
      <c r="I105" s="12">
        <v>50931152083</v>
      </c>
      <c r="J105" s="12" t="s">
        <v>313</v>
      </c>
      <c r="K105" s="12">
        <v>1</v>
      </c>
      <c r="L105" s="12">
        <v>15</v>
      </c>
      <c r="M105" s="12"/>
      <c r="N105" s="13">
        <v>1892</v>
      </c>
      <c r="O105" s="12" t="s">
        <v>93</v>
      </c>
      <c r="P105" s="12"/>
      <c r="Q105" s="12"/>
      <c r="R105" s="12" t="s">
        <v>94</v>
      </c>
      <c r="S105" s="12">
        <v>10</v>
      </c>
      <c r="T105" s="12" t="s">
        <v>270</v>
      </c>
      <c r="U105" s="12" t="s">
        <v>271</v>
      </c>
      <c r="V105" s="12">
        <f>VLOOKUP(Tabla4[[#This Row],[ZONA DEFINITIVO]],Hoja1!$A$1:$D$121,3,0)</f>
        <v>228992</v>
      </c>
      <c r="W105" s="12">
        <f>VLOOKUP(Tabla4[[#This Row],[ZONA DEFINITIVO]],Hoja1!$A$1:$D$121,2,0)</f>
        <v>15170</v>
      </c>
      <c r="X105" s="12">
        <f>VLOOKUP(Tabla4[[#This Row],[ZONA DEFINITIVO]],Hoja1!$A$1:$D$121,4,0)</f>
        <v>91125</v>
      </c>
      <c r="Y105" s="12" t="str">
        <f>+IF(Tabla4[[#This Row],[AGRUPACIONES]]=1,SUMIFS(Tabla4[UDS],Tabla4[ZONA DEFINITIVO],Tabla4[[#This Row],[ZONA DEFINITIVO]])," ")</f>
        <v xml:space="preserve"> </v>
      </c>
      <c r="Z105" s="12" t="str">
        <f>+IF(Tabla4[[#This Row],[AGRUPACIONES]]=1,SUMIFS(Tabla4[TOTAL COBERTURA],Tabla4[ZONA DEFINITIVO],Tabla4[[#This Row],[ZONA DEFINITIVO]])," ")</f>
        <v xml:space="preserve"> </v>
      </c>
      <c r="AA105" s="12"/>
      <c r="AB105" s="38">
        <v>32702895</v>
      </c>
      <c r="AC105" s="37">
        <v>0.02</v>
      </c>
      <c r="AD105" s="38">
        <f t="shared" si="2"/>
        <v>654057.9</v>
      </c>
      <c r="AE105" s="12"/>
      <c r="AF105" s="12">
        <f>COUNTIF($A$20:A105,A105)</f>
        <v>22</v>
      </c>
      <c r="AG105" s="38">
        <v>32702895</v>
      </c>
      <c r="AH105" s="38">
        <f>Tabla4[[#This Row],[VALOR CONTRAPARTIDA]]+Tabla4[[#This Row],[TOTAL APORTES ICBF]]</f>
        <v>33356952.899999999</v>
      </c>
      <c r="AI105" s="35"/>
      <c r="AJ105" s="38"/>
      <c r="AK105" s="38"/>
      <c r="AL105" s="23"/>
      <c r="AM105" s="35">
        <f>VLOOKUP(Tabla4[[#This Row],[SERVICIO 2025]],$J$2:$V$14,5,0)*Tabla4[[#This Row],[TOTAL COBERTURA]]</f>
        <v>740640</v>
      </c>
      <c r="AN105" s="35">
        <f>VLOOKUP(Tabla4[[#This Row],[SERVICIO 2025]],$J$2:$V$14,6,0)*Tabla4[[#This Row],[TOTAL COBERTURA]]</f>
        <v>615435</v>
      </c>
      <c r="AO105" s="35">
        <f>VLOOKUP(Tabla4[[#This Row],[SERVICIO 2025]],$J$2:$V$14,8,0)*Tabla4[[#This Row],[TOTAL COBERTURA]]</f>
        <v>436500</v>
      </c>
      <c r="AP105" s="35">
        <f>VLOOKUP(Tabla4[[#This Row],[SERVICIO 2025]],$J$2:$V$14,3,0)*Tabla4[[#This Row],[TOTAL COBERTURA]]*8</f>
        <v>30910320</v>
      </c>
      <c r="AQ105" s="35"/>
      <c r="AR105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05" s="35" t="str">
        <f>+IF(Tabla4[[#This Row],[AGRUPACIONES]]=1,SUMIFS(Tabla4[VALOR TOTAL],Tabla4[ZONA DEFINITIVO],Tabla4[[#This Row],[ZONA DEFINITIVO]])," ")</f>
        <v xml:space="preserve"> </v>
      </c>
      <c r="AT105" s="27">
        <f>(VLOOKUP(Tabla4[[#This Row],[SERVICIO 2025]],$J$2:$V$14,3,0)*Tabla4[[#This Row],[TOTAL COBERTURA]])+Tabla4[[#This Row],[VALOR FASE PREPARATORIA DE ALISTAMIENTO]]+Tabla4[[#This Row],[DOTACIÓN ÚNICA]]</f>
        <v>5040930</v>
      </c>
      <c r="AU105" s="35">
        <f>(VLOOKUP(Tabla4[[#This Row],[SERVICIO 2025]],$J$2:$V$14,3,0)*Tabla4[[#This Row],[TOTAL COBERTURA]])</f>
        <v>3863790</v>
      </c>
      <c r="AV105" s="35">
        <f>(VLOOKUP(Tabla4[[#This Row],[SERVICIO 2025]],$J$2:$V$14,3,0)*Tabla4[[#This Row],[TOTAL COBERTURA]])</f>
        <v>3863790</v>
      </c>
      <c r="AW105" s="35">
        <f>(VLOOKUP(Tabla4[[#This Row],[SERVICIO 2025]],$J$2:$V$14,3,0)*Tabla4[[#This Row],[TOTAL COBERTURA]])</f>
        <v>3863790</v>
      </c>
      <c r="AX105" s="35">
        <f>(VLOOKUP(Tabla4[[#This Row],[SERVICIO 2025]],$J$2:$V$14,3,0)*Tabla4[[#This Row],[TOTAL COBERTURA]])</f>
        <v>3863790</v>
      </c>
      <c r="AY105" s="35">
        <f>(VLOOKUP(Tabla4[[#This Row],[SERVICIO 2025]],$J$2:$V$14,3,0)*Tabla4[[#This Row],[TOTAL COBERTURA]])</f>
        <v>3863790</v>
      </c>
      <c r="AZ105" s="35">
        <f>(VLOOKUP(Tabla4[[#This Row],[SERVICIO 2025]],$J$2:$V$14,3,0)*Tabla4[[#This Row],[TOTAL COBERTURA]])</f>
        <v>3863790</v>
      </c>
      <c r="BA105" s="35">
        <f>(VLOOKUP(Tabla4[[#This Row],[SERVICIO 2025]],$J$2:$V$14,3,0)*Tabla4[[#This Row],[TOTAL COBERTURA]])+Tabla4[[#This Row],[VALOR FASE PREPARATORIA DE CIERRE]]</f>
        <v>4479225</v>
      </c>
      <c r="BB105" s="35">
        <f>SUM(Tabla4[[#This Row],[DESEMBOLSO 1]:[DESEMBOLSO 8]])</f>
        <v>32702895</v>
      </c>
      <c r="BC105" s="35"/>
      <c r="BD105" s="47" t="s">
        <v>97</v>
      </c>
      <c r="BE105" s="12" t="b">
        <f>EXACT(Tabla4[[#This Row],[VALOR ATENCIÓN (8 MESES)]],Tabla4[[#This Row],[VALOR TOTAL]])</f>
        <v>1</v>
      </c>
      <c r="BF105" s="23">
        <f>Tabla4[[#This Row],[VALOR ATENCIÓN (8 MESES)]]-Tabla4[[#This Row],[VALOR TOTAL]]</f>
        <v>0</v>
      </c>
      <c r="BG105" s="12" t="b">
        <f>EXACT(Tabla4[[#This Row],[TOTAL DESEMBOLSOS]],Tabla4[[#This Row],[VALOR ATENCIÓN (8 MESES)]])</f>
        <v>1</v>
      </c>
      <c r="BH105" s="29">
        <f>Tabla4[[#This Row],[TOTAL DESEMBOLSOS]]-Tabla4[[#This Row],[VALOR ATENCIÓN (8 MESES)]]</f>
        <v>0</v>
      </c>
      <c r="BI105" t="s">
        <v>98</v>
      </c>
    </row>
    <row r="106" spans="1:62">
      <c r="A106" s="13">
        <v>1892</v>
      </c>
      <c r="B106" s="13" t="s">
        <v>265</v>
      </c>
      <c r="C106" s="12" t="s">
        <v>87</v>
      </c>
      <c r="D106" s="12" t="s">
        <v>266</v>
      </c>
      <c r="E106" s="12" t="s">
        <v>267</v>
      </c>
      <c r="F106" s="12" t="s">
        <v>18</v>
      </c>
      <c r="G106" s="12" t="s">
        <v>90</v>
      </c>
      <c r="H106" s="12" t="s">
        <v>314</v>
      </c>
      <c r="I106" s="12">
        <v>50931152084</v>
      </c>
      <c r="J106" s="12" t="s">
        <v>315</v>
      </c>
      <c r="K106" s="12">
        <v>1</v>
      </c>
      <c r="L106" s="12">
        <v>16</v>
      </c>
      <c r="M106" s="12"/>
      <c r="N106" s="13">
        <v>1892</v>
      </c>
      <c r="O106" s="12" t="s">
        <v>93</v>
      </c>
      <c r="P106" s="12"/>
      <c r="Q106" s="12"/>
      <c r="R106" s="12" t="s">
        <v>94</v>
      </c>
      <c r="S106" s="12">
        <v>10</v>
      </c>
      <c r="T106" s="12" t="s">
        <v>270</v>
      </c>
      <c r="U106" s="12" t="s">
        <v>271</v>
      </c>
      <c r="V106" s="12">
        <f>VLOOKUP(Tabla4[[#This Row],[ZONA DEFINITIVO]],Hoja1!$A$1:$D$121,3,0)</f>
        <v>228992</v>
      </c>
      <c r="W106" s="12">
        <f>VLOOKUP(Tabla4[[#This Row],[ZONA DEFINITIVO]],Hoja1!$A$1:$D$121,2,0)</f>
        <v>15170</v>
      </c>
      <c r="X106" s="12">
        <f>VLOOKUP(Tabla4[[#This Row],[ZONA DEFINITIVO]],Hoja1!$A$1:$D$121,4,0)</f>
        <v>91125</v>
      </c>
      <c r="Y106" s="12" t="str">
        <f>+IF(Tabla4[[#This Row],[AGRUPACIONES]]=1,SUMIFS(Tabla4[UDS],Tabla4[ZONA DEFINITIVO],Tabla4[[#This Row],[ZONA DEFINITIVO]])," ")</f>
        <v xml:space="preserve"> </v>
      </c>
      <c r="Z106" s="12" t="str">
        <f>+IF(Tabla4[[#This Row],[AGRUPACIONES]]=1,SUMIFS(Tabla4[TOTAL COBERTURA],Tabla4[ZONA DEFINITIVO],Tabla4[[#This Row],[ZONA DEFINITIVO]])," ")</f>
        <v xml:space="preserve"> </v>
      </c>
      <c r="AA106" s="12"/>
      <c r="AB106" s="38">
        <v>34883088</v>
      </c>
      <c r="AC106" s="37">
        <v>0.02</v>
      </c>
      <c r="AD106" s="38">
        <f t="shared" si="2"/>
        <v>697661.76</v>
      </c>
      <c r="AE106" s="12"/>
      <c r="AF106" s="12">
        <f>COUNTIF($A$20:A106,A106)</f>
        <v>23</v>
      </c>
      <c r="AG106" s="38">
        <v>34883088</v>
      </c>
      <c r="AH106" s="38">
        <f>Tabla4[[#This Row],[VALOR CONTRAPARTIDA]]+Tabla4[[#This Row],[TOTAL APORTES ICBF]]</f>
        <v>35580749.759999998</v>
      </c>
      <c r="AI106" s="35"/>
      <c r="AJ106" s="38"/>
      <c r="AK106" s="38"/>
      <c r="AL106" s="23"/>
      <c r="AM106" s="35">
        <f>VLOOKUP(Tabla4[[#This Row],[SERVICIO 2025]],$J$2:$V$14,5,0)*Tabla4[[#This Row],[TOTAL COBERTURA]]</f>
        <v>790016</v>
      </c>
      <c r="AN106" s="35">
        <f>VLOOKUP(Tabla4[[#This Row],[SERVICIO 2025]],$J$2:$V$14,6,0)*Tabla4[[#This Row],[TOTAL COBERTURA]]</f>
        <v>656464</v>
      </c>
      <c r="AO106" s="35">
        <f>VLOOKUP(Tabla4[[#This Row],[SERVICIO 2025]],$J$2:$V$14,8,0)*Tabla4[[#This Row],[TOTAL COBERTURA]]</f>
        <v>465600</v>
      </c>
      <c r="AP106" s="35">
        <f>VLOOKUP(Tabla4[[#This Row],[SERVICIO 2025]],$J$2:$V$14,3,0)*Tabla4[[#This Row],[TOTAL COBERTURA]]*8</f>
        <v>32971008</v>
      </c>
      <c r="AQ106" s="35"/>
      <c r="AR106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06" s="35" t="str">
        <f>+IF(Tabla4[[#This Row],[AGRUPACIONES]]=1,SUMIFS(Tabla4[VALOR TOTAL],Tabla4[ZONA DEFINITIVO],Tabla4[[#This Row],[ZONA DEFINITIVO]])," ")</f>
        <v xml:space="preserve"> </v>
      </c>
      <c r="AT106" s="27">
        <f>(VLOOKUP(Tabla4[[#This Row],[SERVICIO 2025]],$J$2:$V$14,3,0)*Tabla4[[#This Row],[TOTAL COBERTURA]])+Tabla4[[#This Row],[VALOR FASE PREPARATORIA DE ALISTAMIENTO]]+Tabla4[[#This Row],[DOTACIÓN ÚNICA]]</f>
        <v>5376992</v>
      </c>
      <c r="AU106" s="35">
        <f>(VLOOKUP(Tabla4[[#This Row],[SERVICIO 2025]],$J$2:$V$14,3,0)*Tabla4[[#This Row],[TOTAL COBERTURA]])</f>
        <v>4121376</v>
      </c>
      <c r="AV106" s="35">
        <f>(VLOOKUP(Tabla4[[#This Row],[SERVICIO 2025]],$J$2:$V$14,3,0)*Tabla4[[#This Row],[TOTAL COBERTURA]])</f>
        <v>4121376</v>
      </c>
      <c r="AW106" s="35">
        <f>(VLOOKUP(Tabla4[[#This Row],[SERVICIO 2025]],$J$2:$V$14,3,0)*Tabla4[[#This Row],[TOTAL COBERTURA]])</f>
        <v>4121376</v>
      </c>
      <c r="AX106" s="35">
        <f>(VLOOKUP(Tabla4[[#This Row],[SERVICIO 2025]],$J$2:$V$14,3,0)*Tabla4[[#This Row],[TOTAL COBERTURA]])</f>
        <v>4121376</v>
      </c>
      <c r="AY106" s="35">
        <f>(VLOOKUP(Tabla4[[#This Row],[SERVICIO 2025]],$J$2:$V$14,3,0)*Tabla4[[#This Row],[TOTAL COBERTURA]])</f>
        <v>4121376</v>
      </c>
      <c r="AZ106" s="35">
        <f>(VLOOKUP(Tabla4[[#This Row],[SERVICIO 2025]],$J$2:$V$14,3,0)*Tabla4[[#This Row],[TOTAL COBERTURA]])</f>
        <v>4121376</v>
      </c>
      <c r="BA106" s="35">
        <f>(VLOOKUP(Tabla4[[#This Row],[SERVICIO 2025]],$J$2:$V$14,3,0)*Tabla4[[#This Row],[TOTAL COBERTURA]])+Tabla4[[#This Row],[VALOR FASE PREPARATORIA DE CIERRE]]</f>
        <v>4777840</v>
      </c>
      <c r="BB106" s="35">
        <f>SUM(Tabla4[[#This Row],[DESEMBOLSO 1]:[DESEMBOLSO 8]])</f>
        <v>34883088</v>
      </c>
      <c r="BC106" s="35"/>
      <c r="BD106" s="47" t="s">
        <v>97</v>
      </c>
      <c r="BE106" s="12" t="b">
        <f>EXACT(Tabla4[[#This Row],[VALOR ATENCIÓN (8 MESES)]],Tabla4[[#This Row],[VALOR TOTAL]])</f>
        <v>1</v>
      </c>
      <c r="BF106" s="23">
        <f>Tabla4[[#This Row],[VALOR ATENCIÓN (8 MESES)]]-Tabla4[[#This Row],[VALOR TOTAL]]</f>
        <v>0</v>
      </c>
      <c r="BG106" s="12" t="b">
        <f>EXACT(Tabla4[[#This Row],[TOTAL DESEMBOLSOS]],Tabla4[[#This Row],[VALOR ATENCIÓN (8 MESES)]])</f>
        <v>1</v>
      </c>
      <c r="BH106" s="29">
        <f>Tabla4[[#This Row],[TOTAL DESEMBOLSOS]]-Tabla4[[#This Row],[VALOR ATENCIÓN (8 MESES)]]</f>
        <v>0</v>
      </c>
      <c r="BI106" t="s">
        <v>98</v>
      </c>
    </row>
    <row r="107" spans="1:62">
      <c r="A107" s="13">
        <v>1892</v>
      </c>
      <c r="B107" s="13" t="s">
        <v>265</v>
      </c>
      <c r="C107" s="12" t="s">
        <v>87</v>
      </c>
      <c r="D107" s="12" t="s">
        <v>266</v>
      </c>
      <c r="E107" s="12" t="s">
        <v>267</v>
      </c>
      <c r="F107" s="12" t="s">
        <v>18</v>
      </c>
      <c r="G107" s="12" t="s">
        <v>90</v>
      </c>
      <c r="H107" s="12" t="s">
        <v>316</v>
      </c>
      <c r="I107" s="12">
        <v>50931155721</v>
      </c>
      <c r="J107" s="12" t="s">
        <v>316</v>
      </c>
      <c r="K107" s="12">
        <v>1</v>
      </c>
      <c r="L107" s="12">
        <v>18</v>
      </c>
      <c r="M107" s="12"/>
      <c r="N107" s="13">
        <v>1892</v>
      </c>
      <c r="O107" s="12" t="s">
        <v>93</v>
      </c>
      <c r="P107" s="12"/>
      <c r="Q107" s="12"/>
      <c r="R107" s="12" t="s">
        <v>94</v>
      </c>
      <c r="S107" s="12">
        <v>10</v>
      </c>
      <c r="T107" s="12" t="s">
        <v>270</v>
      </c>
      <c r="U107" s="12" t="s">
        <v>271</v>
      </c>
      <c r="V107" s="12">
        <f>VLOOKUP(Tabla4[[#This Row],[ZONA DEFINITIVO]],Hoja1!$A$1:$D$121,3,0)</f>
        <v>228992</v>
      </c>
      <c r="W107" s="12">
        <f>VLOOKUP(Tabla4[[#This Row],[ZONA DEFINITIVO]],Hoja1!$A$1:$D$121,2,0)</f>
        <v>15170</v>
      </c>
      <c r="X107" s="12">
        <f>VLOOKUP(Tabla4[[#This Row],[ZONA DEFINITIVO]],Hoja1!$A$1:$D$121,4,0)</f>
        <v>91125</v>
      </c>
      <c r="Y107" s="12" t="str">
        <f>+IF(Tabla4[[#This Row],[AGRUPACIONES]]=1,SUMIFS(Tabla4[UDS],Tabla4[ZONA DEFINITIVO],Tabla4[[#This Row],[ZONA DEFINITIVO]])," ")</f>
        <v xml:space="preserve"> </v>
      </c>
      <c r="Z107" s="12" t="str">
        <f>+IF(Tabla4[[#This Row],[AGRUPACIONES]]=1,SUMIFS(Tabla4[TOTAL COBERTURA],Tabla4[ZONA DEFINITIVO],Tabla4[[#This Row],[ZONA DEFINITIVO]])," ")</f>
        <v xml:space="preserve"> </v>
      </c>
      <c r="AA107" s="12"/>
      <c r="AB107" s="38">
        <v>39243474</v>
      </c>
      <c r="AC107" s="37">
        <v>0.02</v>
      </c>
      <c r="AD107" s="38">
        <f t="shared" si="2"/>
        <v>784869.48</v>
      </c>
      <c r="AE107" s="12"/>
      <c r="AF107" s="12">
        <f>COUNTIF($A$20:A107,A107)</f>
        <v>24</v>
      </c>
      <c r="AG107" s="38">
        <v>39243474</v>
      </c>
      <c r="AH107" s="38">
        <f>Tabla4[[#This Row],[VALOR CONTRAPARTIDA]]+Tabla4[[#This Row],[TOTAL APORTES ICBF]]</f>
        <v>40028343.479999997</v>
      </c>
      <c r="AI107" s="35"/>
      <c r="AJ107" s="38"/>
      <c r="AK107" s="38"/>
      <c r="AL107" s="23"/>
      <c r="AM107" s="35">
        <f>VLOOKUP(Tabla4[[#This Row],[SERVICIO 2025]],$J$2:$V$14,5,0)*Tabla4[[#This Row],[TOTAL COBERTURA]]</f>
        <v>888768</v>
      </c>
      <c r="AN107" s="35">
        <f>VLOOKUP(Tabla4[[#This Row],[SERVICIO 2025]],$J$2:$V$14,6,0)*Tabla4[[#This Row],[TOTAL COBERTURA]]</f>
        <v>738522</v>
      </c>
      <c r="AO107" s="35">
        <f>VLOOKUP(Tabla4[[#This Row],[SERVICIO 2025]],$J$2:$V$14,8,0)*Tabla4[[#This Row],[TOTAL COBERTURA]]</f>
        <v>523800</v>
      </c>
      <c r="AP107" s="35">
        <f>VLOOKUP(Tabla4[[#This Row],[SERVICIO 2025]],$J$2:$V$14,3,0)*Tabla4[[#This Row],[TOTAL COBERTURA]]*8</f>
        <v>37092384</v>
      </c>
      <c r="AQ107" s="35"/>
      <c r="AR107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107" s="35" t="str">
        <f>+IF(Tabla4[[#This Row],[AGRUPACIONES]]=1,SUMIFS(Tabla4[VALOR TOTAL],Tabla4[ZONA DEFINITIVO],Tabla4[[#This Row],[ZONA DEFINITIVO]])," ")</f>
        <v xml:space="preserve"> </v>
      </c>
      <c r="AT107" s="27">
        <f>(VLOOKUP(Tabla4[[#This Row],[SERVICIO 2025]],$J$2:$V$14,3,0)*Tabla4[[#This Row],[TOTAL COBERTURA]])+Tabla4[[#This Row],[VALOR FASE PREPARATORIA DE ALISTAMIENTO]]+Tabla4[[#This Row],[DOTACIÓN ÚNICA]]</f>
        <v>6049116</v>
      </c>
      <c r="AU107" s="35">
        <f>(VLOOKUP(Tabla4[[#This Row],[SERVICIO 2025]],$J$2:$V$14,3,0)*Tabla4[[#This Row],[TOTAL COBERTURA]])</f>
        <v>4636548</v>
      </c>
      <c r="AV107" s="35">
        <f>(VLOOKUP(Tabla4[[#This Row],[SERVICIO 2025]],$J$2:$V$14,3,0)*Tabla4[[#This Row],[TOTAL COBERTURA]])</f>
        <v>4636548</v>
      </c>
      <c r="AW107" s="35">
        <f>(VLOOKUP(Tabla4[[#This Row],[SERVICIO 2025]],$J$2:$V$14,3,0)*Tabla4[[#This Row],[TOTAL COBERTURA]])</f>
        <v>4636548</v>
      </c>
      <c r="AX107" s="35">
        <f>(VLOOKUP(Tabla4[[#This Row],[SERVICIO 2025]],$J$2:$V$14,3,0)*Tabla4[[#This Row],[TOTAL COBERTURA]])</f>
        <v>4636548</v>
      </c>
      <c r="AY107" s="35">
        <f>(VLOOKUP(Tabla4[[#This Row],[SERVICIO 2025]],$J$2:$V$14,3,0)*Tabla4[[#This Row],[TOTAL COBERTURA]])</f>
        <v>4636548</v>
      </c>
      <c r="AZ107" s="35">
        <f>(VLOOKUP(Tabla4[[#This Row],[SERVICIO 2025]],$J$2:$V$14,3,0)*Tabla4[[#This Row],[TOTAL COBERTURA]])</f>
        <v>4636548</v>
      </c>
      <c r="BA107" s="35">
        <f>(VLOOKUP(Tabla4[[#This Row],[SERVICIO 2025]],$J$2:$V$14,3,0)*Tabla4[[#This Row],[TOTAL COBERTURA]])+Tabla4[[#This Row],[VALOR FASE PREPARATORIA DE CIERRE]]</f>
        <v>5375070</v>
      </c>
      <c r="BB107" s="35">
        <f>SUM(Tabla4[[#This Row],[DESEMBOLSO 1]:[DESEMBOLSO 8]])</f>
        <v>39243474</v>
      </c>
      <c r="BC107" s="35"/>
      <c r="BD107" s="47" t="s">
        <v>97</v>
      </c>
      <c r="BE107" s="12" t="b">
        <f>EXACT(Tabla4[[#This Row],[VALOR ATENCIÓN (8 MESES)]],Tabla4[[#This Row],[VALOR TOTAL]])</f>
        <v>1</v>
      </c>
      <c r="BF107" s="23">
        <f>Tabla4[[#This Row],[VALOR ATENCIÓN (8 MESES)]]-Tabla4[[#This Row],[VALOR TOTAL]]</f>
        <v>0</v>
      </c>
      <c r="BG107" s="12" t="b">
        <f>EXACT(Tabla4[[#This Row],[TOTAL DESEMBOLSOS]],Tabla4[[#This Row],[VALOR ATENCIÓN (8 MESES)]])</f>
        <v>1</v>
      </c>
      <c r="BH107" s="29">
        <f>Tabla4[[#This Row],[TOTAL DESEMBOLSOS]]-Tabla4[[#This Row],[VALOR ATENCIÓN (8 MESES)]]</f>
        <v>0</v>
      </c>
      <c r="BI107" t="s">
        <v>98</v>
      </c>
    </row>
    <row r="108" spans="1:62">
      <c r="A108" s="13">
        <v>1892</v>
      </c>
      <c r="B108" s="13" t="s">
        <v>265</v>
      </c>
      <c r="C108" s="12" t="s">
        <v>87</v>
      </c>
      <c r="D108" s="12" t="s">
        <v>266</v>
      </c>
      <c r="E108" s="12" t="s">
        <v>267</v>
      </c>
      <c r="F108" s="12" t="s">
        <v>18</v>
      </c>
      <c r="G108" s="12" t="s">
        <v>90</v>
      </c>
      <c r="H108" s="12" t="s">
        <v>317</v>
      </c>
      <c r="I108" s="12">
        <v>50931155723</v>
      </c>
      <c r="J108" s="12" t="s">
        <v>317</v>
      </c>
      <c r="K108" s="12">
        <v>1</v>
      </c>
      <c r="L108" s="12">
        <v>17</v>
      </c>
      <c r="M108" s="12"/>
      <c r="N108" s="13">
        <v>1892</v>
      </c>
      <c r="O108" s="12" t="s">
        <v>93</v>
      </c>
      <c r="P108" s="12"/>
      <c r="Q108" s="12"/>
      <c r="R108" s="12" t="s">
        <v>94</v>
      </c>
      <c r="S108" s="12">
        <v>10</v>
      </c>
      <c r="T108" s="12" t="s">
        <v>270</v>
      </c>
      <c r="U108" s="12" t="s">
        <v>271</v>
      </c>
      <c r="V108" s="12">
        <f>VLOOKUP(Tabla4[[#This Row],[ZONA DEFINITIVO]],Hoja1!$A$1:$D$121,3,0)</f>
        <v>228992</v>
      </c>
      <c r="W108" s="12">
        <f>VLOOKUP(Tabla4[[#This Row],[ZONA DEFINITIVO]],Hoja1!$A$1:$D$121,2,0)</f>
        <v>15170</v>
      </c>
      <c r="X108" s="12">
        <f>VLOOKUP(Tabla4[[#This Row],[ZONA DEFINITIVO]],Hoja1!$A$1:$D$121,4,0)</f>
        <v>91125</v>
      </c>
      <c r="Y108" s="12" t="str">
        <f>+IF(Tabla4[[#This Row],[AGRUPACIONES]]=1,SUMIFS(Tabla4[UDS],Tabla4[ZONA DEFINITIVO],Tabla4[[#This Row],[ZONA DEFINITIVO]])," ")</f>
        <v xml:space="preserve"> </v>
      </c>
      <c r="Z108" s="12" t="str">
        <f>+IF(Tabla4[[#This Row],[AGRUPACIONES]]=1,SUMIFS(Tabla4[TOTAL COBERTURA],Tabla4[ZONA DEFINITIVO],Tabla4[[#This Row],[ZONA DEFINITIVO]])," ")</f>
        <v xml:space="preserve"> </v>
      </c>
      <c r="AA108" s="12"/>
      <c r="AB108" s="38">
        <v>37063281</v>
      </c>
      <c r="AC108" s="37">
        <v>0.02</v>
      </c>
      <c r="AD108" s="38">
        <f t="shared" si="2"/>
        <v>741265.62</v>
      </c>
      <c r="AE108" s="12"/>
      <c r="AF108" s="12">
        <f>COUNTIF($A$20:A108,A108)</f>
        <v>25</v>
      </c>
      <c r="AG108" s="38">
        <v>37063281</v>
      </c>
      <c r="AH108" s="38">
        <f>Tabla4[[#This Row],[VALOR CONTRAPARTIDA]]+Tabla4[[#This Row],[TOTAL APORTES ICBF]]</f>
        <v>37804546.619999997</v>
      </c>
      <c r="AI108" s="35"/>
      <c r="AJ108" s="38"/>
      <c r="AK108" s="38"/>
      <c r="AL108" s="23"/>
      <c r="AM108" s="35">
        <f>VLOOKUP(Tabla4[[#This Row],[SERVICIO 2025]],$J$2:$V$14,5,0)*Tabla4[[#This Row],[TOTAL COBERTURA]]</f>
        <v>839392</v>
      </c>
      <c r="AN108" s="35">
        <f>VLOOKUP(Tabla4[[#This Row],[SERVICIO 2025]],$J$2:$V$14,6,0)*Tabla4[[#This Row],[TOTAL COBERTURA]]</f>
        <v>697493</v>
      </c>
      <c r="AO108" s="35">
        <f>VLOOKUP(Tabla4[[#This Row],[SERVICIO 2025]],$J$2:$V$14,8,0)*Tabla4[[#This Row],[TOTAL COBERTURA]]</f>
        <v>494700</v>
      </c>
      <c r="AP108" s="35">
        <f>VLOOKUP(Tabla4[[#This Row],[SERVICIO 2025]],$J$2:$V$14,3,0)*Tabla4[[#This Row],[TOTAL COBERTURA]]*8</f>
        <v>35031696</v>
      </c>
      <c r="AQ108" s="35"/>
      <c r="AR108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108" s="35" t="str">
        <f>+IF(Tabla4[[#This Row],[AGRUPACIONES]]=1,SUMIFS(Tabla4[VALOR TOTAL],Tabla4[ZONA DEFINITIVO],Tabla4[[#This Row],[ZONA DEFINITIVO]])," ")</f>
        <v xml:space="preserve"> </v>
      </c>
      <c r="AT108" s="27">
        <f>(VLOOKUP(Tabla4[[#This Row],[SERVICIO 2025]],$J$2:$V$14,3,0)*Tabla4[[#This Row],[TOTAL COBERTURA]])+Tabla4[[#This Row],[VALOR FASE PREPARATORIA DE ALISTAMIENTO]]+Tabla4[[#This Row],[DOTACIÓN ÚNICA]]</f>
        <v>5713054</v>
      </c>
      <c r="AU108" s="35">
        <f>(VLOOKUP(Tabla4[[#This Row],[SERVICIO 2025]],$J$2:$V$14,3,0)*Tabla4[[#This Row],[TOTAL COBERTURA]])</f>
        <v>4378962</v>
      </c>
      <c r="AV108" s="35">
        <f>(VLOOKUP(Tabla4[[#This Row],[SERVICIO 2025]],$J$2:$V$14,3,0)*Tabla4[[#This Row],[TOTAL COBERTURA]])</f>
        <v>4378962</v>
      </c>
      <c r="AW108" s="35">
        <f>(VLOOKUP(Tabla4[[#This Row],[SERVICIO 2025]],$J$2:$V$14,3,0)*Tabla4[[#This Row],[TOTAL COBERTURA]])</f>
        <v>4378962</v>
      </c>
      <c r="AX108" s="35">
        <f>(VLOOKUP(Tabla4[[#This Row],[SERVICIO 2025]],$J$2:$V$14,3,0)*Tabla4[[#This Row],[TOTAL COBERTURA]])</f>
        <v>4378962</v>
      </c>
      <c r="AY108" s="35">
        <f>(VLOOKUP(Tabla4[[#This Row],[SERVICIO 2025]],$J$2:$V$14,3,0)*Tabla4[[#This Row],[TOTAL COBERTURA]])</f>
        <v>4378962</v>
      </c>
      <c r="AZ108" s="35">
        <f>(VLOOKUP(Tabla4[[#This Row],[SERVICIO 2025]],$J$2:$V$14,3,0)*Tabla4[[#This Row],[TOTAL COBERTURA]])</f>
        <v>4378962</v>
      </c>
      <c r="BA108" s="35">
        <f>(VLOOKUP(Tabla4[[#This Row],[SERVICIO 2025]],$J$2:$V$14,3,0)*Tabla4[[#This Row],[TOTAL COBERTURA]])+Tabla4[[#This Row],[VALOR FASE PREPARATORIA DE CIERRE]]</f>
        <v>5076455</v>
      </c>
      <c r="BB108" s="35">
        <f>SUM(Tabla4[[#This Row],[DESEMBOLSO 1]:[DESEMBOLSO 8]])</f>
        <v>37063281</v>
      </c>
      <c r="BC108" s="35"/>
      <c r="BD108" s="47" t="s">
        <v>97</v>
      </c>
      <c r="BE108" s="12" t="b">
        <f>EXACT(Tabla4[[#This Row],[VALOR ATENCIÓN (8 MESES)]],Tabla4[[#This Row],[VALOR TOTAL]])</f>
        <v>1</v>
      </c>
      <c r="BF108" s="23">
        <f>Tabla4[[#This Row],[VALOR ATENCIÓN (8 MESES)]]-Tabla4[[#This Row],[VALOR TOTAL]]</f>
        <v>0</v>
      </c>
      <c r="BG108" s="12" t="b">
        <f>EXACT(Tabla4[[#This Row],[TOTAL DESEMBOLSOS]],Tabla4[[#This Row],[VALOR ATENCIÓN (8 MESES)]])</f>
        <v>1</v>
      </c>
      <c r="BH108" s="29">
        <f>Tabla4[[#This Row],[TOTAL DESEMBOLSOS]]-Tabla4[[#This Row],[VALOR ATENCIÓN (8 MESES)]]</f>
        <v>0</v>
      </c>
      <c r="BI108" t="s">
        <v>98</v>
      </c>
    </row>
    <row r="109" spans="1:62">
      <c r="A109" s="13">
        <v>1892</v>
      </c>
      <c r="B109" s="13" t="s">
        <v>265</v>
      </c>
      <c r="C109" s="12" t="s">
        <v>87</v>
      </c>
      <c r="D109" s="12" t="s">
        <v>266</v>
      </c>
      <c r="E109" s="12" t="s">
        <v>267</v>
      </c>
      <c r="F109" s="12" t="s">
        <v>18</v>
      </c>
      <c r="G109" s="12" t="s">
        <v>90</v>
      </c>
      <c r="H109" s="12" t="s">
        <v>318</v>
      </c>
      <c r="I109" s="12">
        <v>50931155724</v>
      </c>
      <c r="J109" s="12" t="s">
        <v>319</v>
      </c>
      <c r="K109" s="12">
        <v>1</v>
      </c>
      <c r="L109" s="12">
        <v>9</v>
      </c>
      <c r="M109" s="12"/>
      <c r="N109" s="13">
        <v>1892</v>
      </c>
      <c r="O109" s="12" t="s">
        <v>93</v>
      </c>
      <c r="P109" s="12"/>
      <c r="Q109" s="12"/>
      <c r="R109" s="12" t="s">
        <v>94</v>
      </c>
      <c r="S109" s="12">
        <v>10</v>
      </c>
      <c r="T109" s="12" t="s">
        <v>270</v>
      </c>
      <c r="U109" s="12" t="s">
        <v>271</v>
      </c>
      <c r="V109" s="12">
        <f>VLOOKUP(Tabla4[[#This Row],[ZONA DEFINITIVO]],Hoja1!$A$1:$D$121,3,0)</f>
        <v>228992</v>
      </c>
      <c r="W109" s="12">
        <f>VLOOKUP(Tabla4[[#This Row],[ZONA DEFINITIVO]],Hoja1!$A$1:$D$121,2,0)</f>
        <v>15170</v>
      </c>
      <c r="X109" s="12">
        <f>VLOOKUP(Tabla4[[#This Row],[ZONA DEFINITIVO]],Hoja1!$A$1:$D$121,4,0)</f>
        <v>91125</v>
      </c>
      <c r="Y109" s="12" t="str">
        <f>+IF(Tabla4[[#This Row],[AGRUPACIONES]]=1,SUMIFS(Tabla4[UDS],Tabla4[ZONA DEFINITIVO],Tabla4[[#This Row],[ZONA DEFINITIVO]])," ")</f>
        <v xml:space="preserve"> </v>
      </c>
      <c r="Z109" s="12" t="str">
        <f>+IF(Tabla4[[#This Row],[AGRUPACIONES]]=1,SUMIFS(Tabla4[TOTAL COBERTURA],Tabla4[ZONA DEFINITIVO],Tabla4[[#This Row],[ZONA DEFINITIVO]])," ")</f>
        <v xml:space="preserve"> </v>
      </c>
      <c r="AA109" s="12"/>
      <c r="AB109" s="38">
        <v>19621737</v>
      </c>
      <c r="AC109" s="37">
        <v>0.02</v>
      </c>
      <c r="AD109" s="38">
        <f t="shared" si="2"/>
        <v>392434.74</v>
      </c>
      <c r="AE109" s="12"/>
      <c r="AF109" s="12">
        <f>COUNTIF($A$20:A109,A109)</f>
        <v>26</v>
      </c>
      <c r="AG109" s="38">
        <v>19621737</v>
      </c>
      <c r="AH109" s="38">
        <f>Tabla4[[#This Row],[VALOR CONTRAPARTIDA]]+Tabla4[[#This Row],[TOTAL APORTES ICBF]]</f>
        <v>20014171.739999998</v>
      </c>
      <c r="AI109" s="35"/>
      <c r="AJ109" s="38"/>
      <c r="AK109" s="38"/>
      <c r="AL109" s="23"/>
      <c r="AM109" s="35">
        <f>VLOOKUP(Tabla4[[#This Row],[SERVICIO 2025]],$J$2:$V$14,5,0)*Tabla4[[#This Row],[TOTAL COBERTURA]]</f>
        <v>444384</v>
      </c>
      <c r="AN109" s="35">
        <f>VLOOKUP(Tabla4[[#This Row],[SERVICIO 2025]],$J$2:$V$14,6,0)*Tabla4[[#This Row],[TOTAL COBERTURA]]</f>
        <v>369261</v>
      </c>
      <c r="AO109" s="35">
        <f>VLOOKUP(Tabla4[[#This Row],[SERVICIO 2025]],$J$2:$V$14,8,0)*Tabla4[[#This Row],[TOTAL COBERTURA]]</f>
        <v>261900</v>
      </c>
      <c r="AP109" s="35">
        <f>VLOOKUP(Tabla4[[#This Row],[SERVICIO 2025]],$J$2:$V$14,3,0)*Tabla4[[#This Row],[TOTAL COBERTURA]]*8</f>
        <v>18546192</v>
      </c>
      <c r="AQ109" s="35"/>
      <c r="AR109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109" s="35" t="str">
        <f>+IF(Tabla4[[#This Row],[AGRUPACIONES]]=1,SUMIFS(Tabla4[VALOR TOTAL],Tabla4[ZONA DEFINITIVO],Tabla4[[#This Row],[ZONA DEFINITIVO]])," ")</f>
        <v xml:space="preserve"> </v>
      </c>
      <c r="AT109" s="27">
        <f>(VLOOKUP(Tabla4[[#This Row],[SERVICIO 2025]],$J$2:$V$14,3,0)*Tabla4[[#This Row],[TOTAL COBERTURA]])+Tabla4[[#This Row],[VALOR FASE PREPARATORIA DE ALISTAMIENTO]]+Tabla4[[#This Row],[DOTACIÓN ÚNICA]]</f>
        <v>3024558</v>
      </c>
      <c r="AU109" s="35">
        <f>(VLOOKUP(Tabla4[[#This Row],[SERVICIO 2025]],$J$2:$V$14,3,0)*Tabla4[[#This Row],[TOTAL COBERTURA]])</f>
        <v>2318274</v>
      </c>
      <c r="AV109" s="35">
        <f>(VLOOKUP(Tabla4[[#This Row],[SERVICIO 2025]],$J$2:$V$14,3,0)*Tabla4[[#This Row],[TOTAL COBERTURA]])</f>
        <v>2318274</v>
      </c>
      <c r="AW109" s="35">
        <f>(VLOOKUP(Tabla4[[#This Row],[SERVICIO 2025]],$J$2:$V$14,3,0)*Tabla4[[#This Row],[TOTAL COBERTURA]])</f>
        <v>2318274</v>
      </c>
      <c r="AX109" s="35">
        <f>(VLOOKUP(Tabla4[[#This Row],[SERVICIO 2025]],$J$2:$V$14,3,0)*Tabla4[[#This Row],[TOTAL COBERTURA]])</f>
        <v>2318274</v>
      </c>
      <c r="AY109" s="35">
        <f>(VLOOKUP(Tabla4[[#This Row],[SERVICIO 2025]],$J$2:$V$14,3,0)*Tabla4[[#This Row],[TOTAL COBERTURA]])</f>
        <v>2318274</v>
      </c>
      <c r="AZ109" s="35">
        <f>(VLOOKUP(Tabla4[[#This Row],[SERVICIO 2025]],$J$2:$V$14,3,0)*Tabla4[[#This Row],[TOTAL COBERTURA]])</f>
        <v>2318274</v>
      </c>
      <c r="BA109" s="35">
        <f>(VLOOKUP(Tabla4[[#This Row],[SERVICIO 2025]],$J$2:$V$14,3,0)*Tabla4[[#This Row],[TOTAL COBERTURA]])+Tabla4[[#This Row],[VALOR FASE PREPARATORIA DE CIERRE]]</f>
        <v>2687535</v>
      </c>
      <c r="BB109" s="35">
        <f>SUM(Tabla4[[#This Row],[DESEMBOLSO 1]:[DESEMBOLSO 8]])</f>
        <v>19621737</v>
      </c>
      <c r="BC109" s="35"/>
      <c r="BD109" s="47" t="s">
        <v>97</v>
      </c>
      <c r="BE109" s="12" t="b">
        <f>EXACT(Tabla4[[#This Row],[VALOR ATENCIÓN (8 MESES)]],Tabla4[[#This Row],[VALOR TOTAL]])</f>
        <v>1</v>
      </c>
      <c r="BF109" s="23">
        <f>Tabla4[[#This Row],[VALOR ATENCIÓN (8 MESES)]]-Tabla4[[#This Row],[VALOR TOTAL]]</f>
        <v>0</v>
      </c>
      <c r="BG109" s="12" t="b">
        <f>EXACT(Tabla4[[#This Row],[TOTAL DESEMBOLSOS]],Tabla4[[#This Row],[VALOR ATENCIÓN (8 MESES)]])</f>
        <v>1</v>
      </c>
      <c r="BH109" s="29">
        <f>Tabla4[[#This Row],[TOTAL DESEMBOLSOS]]-Tabla4[[#This Row],[VALOR ATENCIÓN (8 MESES)]]</f>
        <v>0</v>
      </c>
      <c r="BI109" t="s">
        <v>98</v>
      </c>
    </row>
    <row r="110" spans="1:62">
      <c r="A110" s="13">
        <v>1892</v>
      </c>
      <c r="B110" s="13" t="s">
        <v>265</v>
      </c>
      <c r="C110" s="12" t="s">
        <v>87</v>
      </c>
      <c r="D110" s="12" t="s">
        <v>266</v>
      </c>
      <c r="E110" s="12" t="s">
        <v>267</v>
      </c>
      <c r="F110" s="12" t="s">
        <v>18</v>
      </c>
      <c r="G110" s="12" t="s">
        <v>90</v>
      </c>
      <c r="H110" s="12" t="s">
        <v>320</v>
      </c>
      <c r="I110" s="12">
        <v>509300081703</v>
      </c>
      <c r="J110" s="12" t="s">
        <v>321</v>
      </c>
      <c r="K110" s="12">
        <v>1</v>
      </c>
      <c r="L110" s="12">
        <v>23</v>
      </c>
      <c r="M110" s="12"/>
      <c r="N110" s="13">
        <v>1892</v>
      </c>
      <c r="O110" s="12" t="s">
        <v>93</v>
      </c>
      <c r="P110" s="12"/>
      <c r="Q110" s="12"/>
      <c r="R110" s="12" t="s">
        <v>94</v>
      </c>
      <c r="S110" s="12">
        <v>10</v>
      </c>
      <c r="T110" s="12" t="s">
        <v>270</v>
      </c>
      <c r="U110" s="12" t="s">
        <v>271</v>
      </c>
      <c r="V110" s="12">
        <f>VLOOKUP(Tabla4[[#This Row],[ZONA DEFINITIVO]],Hoja1!$A$1:$D$121,3,0)</f>
        <v>228992</v>
      </c>
      <c r="W110" s="12">
        <f>VLOOKUP(Tabla4[[#This Row],[ZONA DEFINITIVO]],Hoja1!$A$1:$D$121,2,0)</f>
        <v>15170</v>
      </c>
      <c r="X110" s="12">
        <f>VLOOKUP(Tabla4[[#This Row],[ZONA DEFINITIVO]],Hoja1!$A$1:$D$121,4,0)</f>
        <v>91125</v>
      </c>
      <c r="Y110" s="12" t="str">
        <f>+IF(Tabla4[[#This Row],[AGRUPACIONES]]=1,SUMIFS(Tabla4[UDS],Tabla4[ZONA DEFINITIVO],Tabla4[[#This Row],[ZONA DEFINITIVO]])," ")</f>
        <v xml:space="preserve"> </v>
      </c>
      <c r="Z110" s="12" t="str">
        <f>+IF(Tabla4[[#This Row],[AGRUPACIONES]]=1,SUMIFS(Tabla4[TOTAL COBERTURA],Tabla4[ZONA DEFINITIVO],Tabla4[[#This Row],[ZONA DEFINITIVO]])," ")</f>
        <v xml:space="preserve"> </v>
      </c>
      <c r="AA110" s="12"/>
      <c r="AB110" s="38">
        <v>50144439</v>
      </c>
      <c r="AC110" s="37">
        <v>0.02</v>
      </c>
      <c r="AD110" s="38">
        <f t="shared" si="2"/>
        <v>1002888.78</v>
      </c>
      <c r="AE110" s="12"/>
      <c r="AF110" s="12">
        <f>COUNTIF($A$20:A110,A110)</f>
        <v>27</v>
      </c>
      <c r="AG110" s="38">
        <v>50144439</v>
      </c>
      <c r="AH110" s="38">
        <f>Tabla4[[#This Row],[VALOR CONTRAPARTIDA]]+Tabla4[[#This Row],[TOTAL APORTES ICBF]]</f>
        <v>51147327.780000001</v>
      </c>
      <c r="AI110" s="35"/>
      <c r="AJ110" s="38"/>
      <c r="AK110" s="38"/>
      <c r="AL110" s="23"/>
      <c r="AM110" s="35">
        <f>VLOOKUP(Tabla4[[#This Row],[SERVICIO 2025]],$J$2:$V$14,5,0)*Tabla4[[#This Row],[TOTAL COBERTURA]]</f>
        <v>1135648</v>
      </c>
      <c r="AN110" s="35">
        <f>VLOOKUP(Tabla4[[#This Row],[SERVICIO 2025]],$J$2:$V$14,6,0)*Tabla4[[#This Row],[TOTAL COBERTURA]]</f>
        <v>943667</v>
      </c>
      <c r="AO110" s="35">
        <f>VLOOKUP(Tabla4[[#This Row],[SERVICIO 2025]],$J$2:$V$14,8,0)*Tabla4[[#This Row],[TOTAL COBERTURA]]</f>
        <v>669300</v>
      </c>
      <c r="AP110" s="35">
        <f>VLOOKUP(Tabla4[[#This Row],[SERVICIO 2025]],$J$2:$V$14,3,0)*Tabla4[[#This Row],[TOTAL COBERTURA]]*8</f>
        <v>47395824</v>
      </c>
      <c r="AQ110" s="35"/>
      <c r="AR110" s="35">
        <f>Tabla4[[#This Row],[VALOR FASE PREPARATORIA DE ALISTAMIENTO]]+Tabla4[[#This Row],[VALOR FASE PREPARATORIA DE CIERRE]]+Tabla4[[#This Row],[DOTACIÓN ÚNICA]]+Tabla4[[#This Row],[VALOR ATENCIÓN]]+Tabla4[[#This Row],[VALOR RACION PREPARADA]]</f>
        <v>50144439</v>
      </c>
      <c r="AS110" s="35" t="str">
        <f>+IF(Tabla4[[#This Row],[AGRUPACIONES]]=1,SUMIFS(Tabla4[VALOR TOTAL],Tabla4[ZONA DEFINITIVO],Tabla4[[#This Row],[ZONA DEFINITIVO]])," ")</f>
        <v xml:space="preserve"> </v>
      </c>
      <c r="AT110" s="27">
        <f>(VLOOKUP(Tabla4[[#This Row],[SERVICIO 2025]],$J$2:$V$14,3,0)*Tabla4[[#This Row],[TOTAL COBERTURA]])+Tabla4[[#This Row],[VALOR FASE PREPARATORIA DE ALISTAMIENTO]]+Tabla4[[#This Row],[DOTACIÓN ÚNICA]]</f>
        <v>7729426</v>
      </c>
      <c r="AU110" s="35">
        <f>(VLOOKUP(Tabla4[[#This Row],[SERVICIO 2025]],$J$2:$V$14,3,0)*Tabla4[[#This Row],[TOTAL COBERTURA]])</f>
        <v>5924478</v>
      </c>
      <c r="AV110" s="35">
        <f>(VLOOKUP(Tabla4[[#This Row],[SERVICIO 2025]],$J$2:$V$14,3,0)*Tabla4[[#This Row],[TOTAL COBERTURA]])</f>
        <v>5924478</v>
      </c>
      <c r="AW110" s="35">
        <f>(VLOOKUP(Tabla4[[#This Row],[SERVICIO 2025]],$J$2:$V$14,3,0)*Tabla4[[#This Row],[TOTAL COBERTURA]])</f>
        <v>5924478</v>
      </c>
      <c r="AX110" s="35">
        <f>(VLOOKUP(Tabla4[[#This Row],[SERVICIO 2025]],$J$2:$V$14,3,0)*Tabla4[[#This Row],[TOTAL COBERTURA]])</f>
        <v>5924478</v>
      </c>
      <c r="AY110" s="35">
        <f>(VLOOKUP(Tabla4[[#This Row],[SERVICIO 2025]],$J$2:$V$14,3,0)*Tabla4[[#This Row],[TOTAL COBERTURA]])</f>
        <v>5924478</v>
      </c>
      <c r="AZ110" s="35">
        <f>(VLOOKUP(Tabla4[[#This Row],[SERVICIO 2025]],$J$2:$V$14,3,0)*Tabla4[[#This Row],[TOTAL COBERTURA]])</f>
        <v>5924478</v>
      </c>
      <c r="BA110" s="35">
        <f>(VLOOKUP(Tabla4[[#This Row],[SERVICIO 2025]],$J$2:$V$14,3,0)*Tabla4[[#This Row],[TOTAL COBERTURA]])+Tabla4[[#This Row],[VALOR FASE PREPARATORIA DE CIERRE]]</f>
        <v>6868145</v>
      </c>
      <c r="BB110" s="35">
        <f>SUM(Tabla4[[#This Row],[DESEMBOLSO 1]:[DESEMBOLSO 8]])</f>
        <v>50144439</v>
      </c>
      <c r="BC110" s="35"/>
      <c r="BD110" s="47" t="s">
        <v>97</v>
      </c>
      <c r="BE110" s="12" t="b">
        <f>EXACT(Tabla4[[#This Row],[VALOR ATENCIÓN (8 MESES)]],Tabla4[[#This Row],[VALOR TOTAL]])</f>
        <v>1</v>
      </c>
      <c r="BF110" s="23">
        <f>Tabla4[[#This Row],[VALOR ATENCIÓN (8 MESES)]]-Tabla4[[#This Row],[VALOR TOTAL]]</f>
        <v>0</v>
      </c>
      <c r="BG110" s="12" t="b">
        <f>EXACT(Tabla4[[#This Row],[TOTAL DESEMBOLSOS]],Tabla4[[#This Row],[VALOR ATENCIÓN (8 MESES)]])</f>
        <v>1</v>
      </c>
      <c r="BH110" s="29">
        <f>Tabla4[[#This Row],[TOTAL DESEMBOLSOS]]-Tabla4[[#This Row],[VALOR ATENCIÓN (8 MESES)]]</f>
        <v>0</v>
      </c>
      <c r="BI110" t="s">
        <v>98</v>
      </c>
    </row>
    <row r="111" spans="1:62">
      <c r="A111" s="13">
        <v>1892</v>
      </c>
      <c r="B111" s="13" t="s">
        <v>265</v>
      </c>
      <c r="C111" s="12" t="s">
        <v>87</v>
      </c>
      <c r="D111" s="12" t="s">
        <v>266</v>
      </c>
      <c r="E111" s="12" t="s">
        <v>267</v>
      </c>
      <c r="F111" s="12" t="s">
        <v>18</v>
      </c>
      <c r="G111" s="12" t="s">
        <v>90</v>
      </c>
      <c r="H111" s="12" t="s">
        <v>322</v>
      </c>
      <c r="I111" s="12">
        <v>509300100029</v>
      </c>
      <c r="J111" s="12" t="s">
        <v>323</v>
      </c>
      <c r="K111" s="12">
        <v>1</v>
      </c>
      <c r="L111" s="12">
        <v>25</v>
      </c>
      <c r="M111" s="12"/>
      <c r="N111" s="13">
        <v>1892</v>
      </c>
      <c r="O111" s="12" t="s">
        <v>93</v>
      </c>
      <c r="P111" s="12"/>
      <c r="Q111" s="12"/>
      <c r="R111" s="12" t="s">
        <v>94</v>
      </c>
      <c r="S111" s="12">
        <v>10</v>
      </c>
      <c r="T111" s="12" t="s">
        <v>270</v>
      </c>
      <c r="U111" s="12" t="s">
        <v>271</v>
      </c>
      <c r="V111" s="12">
        <f>VLOOKUP(Tabla4[[#This Row],[ZONA DEFINITIVO]],Hoja1!$A$1:$D$121,3,0)</f>
        <v>228992</v>
      </c>
      <c r="W111" s="12">
        <f>VLOOKUP(Tabla4[[#This Row],[ZONA DEFINITIVO]],Hoja1!$A$1:$D$121,2,0)</f>
        <v>15170</v>
      </c>
      <c r="X111" s="12">
        <f>VLOOKUP(Tabla4[[#This Row],[ZONA DEFINITIVO]],Hoja1!$A$1:$D$121,4,0)</f>
        <v>91125</v>
      </c>
      <c r="Y111" s="12" t="str">
        <f>+IF(Tabla4[[#This Row],[AGRUPACIONES]]=1,SUMIFS(Tabla4[UDS],Tabla4[ZONA DEFINITIVO],Tabla4[[#This Row],[ZONA DEFINITIVO]])," ")</f>
        <v xml:space="preserve"> </v>
      </c>
      <c r="Z111" s="12" t="str">
        <f>+IF(Tabla4[[#This Row],[AGRUPACIONES]]=1,SUMIFS(Tabla4[TOTAL COBERTURA],Tabla4[ZONA DEFINITIVO],Tabla4[[#This Row],[ZONA DEFINITIVO]])," ")</f>
        <v xml:space="preserve"> </v>
      </c>
      <c r="AA111" s="12"/>
      <c r="AB111" s="38">
        <v>54504825</v>
      </c>
      <c r="AC111" s="37">
        <v>0.02</v>
      </c>
      <c r="AD111" s="38">
        <f t="shared" si="2"/>
        <v>1090096.5</v>
      </c>
      <c r="AE111" s="12"/>
      <c r="AF111" s="12">
        <f>COUNTIF($A$20:A111,A111)</f>
        <v>28</v>
      </c>
      <c r="AG111" s="38">
        <v>54504825</v>
      </c>
      <c r="AH111" s="38">
        <f>Tabla4[[#This Row],[VALOR CONTRAPARTIDA]]+Tabla4[[#This Row],[TOTAL APORTES ICBF]]</f>
        <v>55594921.5</v>
      </c>
      <c r="AI111" s="35"/>
      <c r="AJ111" s="38"/>
      <c r="AK111" s="38"/>
      <c r="AL111" s="23"/>
      <c r="AM111" s="35">
        <f>VLOOKUP(Tabla4[[#This Row],[SERVICIO 2025]],$J$2:$V$14,5,0)*Tabla4[[#This Row],[TOTAL COBERTURA]]</f>
        <v>1234400</v>
      </c>
      <c r="AN111" s="35">
        <f>VLOOKUP(Tabla4[[#This Row],[SERVICIO 2025]],$J$2:$V$14,6,0)*Tabla4[[#This Row],[TOTAL COBERTURA]]</f>
        <v>1025725</v>
      </c>
      <c r="AO111" s="35">
        <f>VLOOKUP(Tabla4[[#This Row],[SERVICIO 2025]],$J$2:$V$14,8,0)*Tabla4[[#This Row],[TOTAL COBERTURA]]</f>
        <v>727500</v>
      </c>
      <c r="AP111" s="35">
        <f>VLOOKUP(Tabla4[[#This Row],[SERVICIO 2025]],$J$2:$V$14,3,0)*Tabla4[[#This Row],[TOTAL COBERTURA]]*8</f>
        <v>51517200</v>
      </c>
      <c r="AQ111" s="35"/>
      <c r="AR111" s="35">
        <f>Tabla4[[#This Row],[VALOR FASE PREPARATORIA DE ALISTAMIENTO]]+Tabla4[[#This Row],[VALOR FASE PREPARATORIA DE CIERRE]]+Tabla4[[#This Row],[DOTACIÓN ÚNICA]]+Tabla4[[#This Row],[VALOR ATENCIÓN]]+Tabla4[[#This Row],[VALOR RACION PREPARADA]]</f>
        <v>54504825</v>
      </c>
      <c r="AS111" s="35" t="str">
        <f>+IF(Tabla4[[#This Row],[AGRUPACIONES]]=1,SUMIFS(Tabla4[VALOR TOTAL],Tabla4[ZONA DEFINITIVO],Tabla4[[#This Row],[ZONA DEFINITIVO]])," ")</f>
        <v xml:space="preserve"> </v>
      </c>
      <c r="AT111" s="27">
        <f>(VLOOKUP(Tabla4[[#This Row],[SERVICIO 2025]],$J$2:$V$14,3,0)*Tabla4[[#This Row],[TOTAL COBERTURA]])+Tabla4[[#This Row],[VALOR FASE PREPARATORIA DE ALISTAMIENTO]]+Tabla4[[#This Row],[DOTACIÓN ÚNICA]]</f>
        <v>8401550</v>
      </c>
      <c r="AU111" s="35">
        <f>(VLOOKUP(Tabla4[[#This Row],[SERVICIO 2025]],$J$2:$V$14,3,0)*Tabla4[[#This Row],[TOTAL COBERTURA]])</f>
        <v>6439650</v>
      </c>
      <c r="AV111" s="35">
        <f>(VLOOKUP(Tabla4[[#This Row],[SERVICIO 2025]],$J$2:$V$14,3,0)*Tabla4[[#This Row],[TOTAL COBERTURA]])</f>
        <v>6439650</v>
      </c>
      <c r="AW111" s="35">
        <f>(VLOOKUP(Tabla4[[#This Row],[SERVICIO 2025]],$J$2:$V$14,3,0)*Tabla4[[#This Row],[TOTAL COBERTURA]])</f>
        <v>6439650</v>
      </c>
      <c r="AX111" s="35">
        <f>(VLOOKUP(Tabla4[[#This Row],[SERVICIO 2025]],$J$2:$V$14,3,0)*Tabla4[[#This Row],[TOTAL COBERTURA]])</f>
        <v>6439650</v>
      </c>
      <c r="AY111" s="35">
        <f>(VLOOKUP(Tabla4[[#This Row],[SERVICIO 2025]],$J$2:$V$14,3,0)*Tabla4[[#This Row],[TOTAL COBERTURA]])</f>
        <v>6439650</v>
      </c>
      <c r="AZ111" s="35">
        <f>(VLOOKUP(Tabla4[[#This Row],[SERVICIO 2025]],$J$2:$V$14,3,0)*Tabla4[[#This Row],[TOTAL COBERTURA]])</f>
        <v>6439650</v>
      </c>
      <c r="BA111" s="35">
        <f>(VLOOKUP(Tabla4[[#This Row],[SERVICIO 2025]],$J$2:$V$14,3,0)*Tabla4[[#This Row],[TOTAL COBERTURA]])+Tabla4[[#This Row],[VALOR FASE PREPARATORIA DE CIERRE]]</f>
        <v>7465375</v>
      </c>
      <c r="BB111" s="35">
        <f>SUM(Tabla4[[#This Row],[DESEMBOLSO 1]:[DESEMBOLSO 8]])</f>
        <v>54504825</v>
      </c>
      <c r="BC111" s="35"/>
      <c r="BD111" s="47" t="s">
        <v>97</v>
      </c>
      <c r="BE111" s="12" t="b">
        <f>EXACT(Tabla4[[#This Row],[VALOR ATENCIÓN (8 MESES)]],Tabla4[[#This Row],[VALOR TOTAL]])</f>
        <v>1</v>
      </c>
      <c r="BF111" s="23">
        <f>Tabla4[[#This Row],[VALOR ATENCIÓN (8 MESES)]]-Tabla4[[#This Row],[VALOR TOTAL]]</f>
        <v>0</v>
      </c>
      <c r="BG111" s="12" t="b">
        <f>EXACT(Tabla4[[#This Row],[TOTAL DESEMBOLSOS]],Tabla4[[#This Row],[VALOR ATENCIÓN (8 MESES)]])</f>
        <v>1</v>
      </c>
      <c r="BH111" s="29">
        <f>Tabla4[[#This Row],[TOTAL DESEMBOLSOS]]-Tabla4[[#This Row],[VALOR ATENCIÓN (8 MESES)]]</f>
        <v>0</v>
      </c>
      <c r="BI111" t="s">
        <v>98</v>
      </c>
    </row>
    <row r="112" spans="1:62">
      <c r="A112" s="13">
        <v>1893</v>
      </c>
      <c r="B112" s="13" t="s">
        <v>324</v>
      </c>
      <c r="C112" s="12" t="s">
        <v>87</v>
      </c>
      <c r="D112" s="12" t="s">
        <v>205</v>
      </c>
      <c r="E112" s="12" t="s">
        <v>325</v>
      </c>
      <c r="F112" s="12" t="s">
        <v>21</v>
      </c>
      <c r="G112" s="12" t="s">
        <v>90</v>
      </c>
      <c r="H112" s="12" t="s">
        <v>326</v>
      </c>
      <c r="I112" s="12">
        <v>53681119903</v>
      </c>
      <c r="J112" s="12" t="s">
        <v>327</v>
      </c>
      <c r="K112" s="12">
        <v>1</v>
      </c>
      <c r="L112" s="12">
        <v>9</v>
      </c>
      <c r="M112" s="12"/>
      <c r="N112" s="13">
        <v>1893</v>
      </c>
      <c r="O112" s="12" t="s">
        <v>93</v>
      </c>
      <c r="P112" s="12"/>
      <c r="Q112" s="12"/>
      <c r="R112" s="12" t="s">
        <v>94</v>
      </c>
      <c r="S112" s="12">
        <v>10</v>
      </c>
      <c r="T112" s="12" t="s">
        <v>328</v>
      </c>
      <c r="U112" s="12" t="s">
        <v>329</v>
      </c>
      <c r="V112" s="12">
        <f>VLOOKUP(Tabla4[[#This Row],[ZONA DEFINITIVO]],Hoja1!$A$1:$D$121,3,0)</f>
        <v>228995</v>
      </c>
      <c r="W112" s="12">
        <f>VLOOKUP(Tabla4[[#This Row],[ZONA DEFINITIVO]],Hoja1!$A$1:$D$121,2,0)</f>
        <v>15182</v>
      </c>
      <c r="X112" s="12">
        <f>VLOOKUP(Tabla4[[#This Row],[ZONA DEFINITIVO]],Hoja1!$A$1:$D$121,4,0)</f>
        <v>91425</v>
      </c>
      <c r="Y112" s="12">
        <f>+IF(Tabla4[[#This Row],[AGRUPACIONES]]=1,SUMIFS(Tabla4[UDS],Tabla4[ZONA DEFINITIVO],Tabla4[[#This Row],[ZONA DEFINITIVO]])," ")</f>
        <v>13</v>
      </c>
      <c r="Z112" s="12">
        <f>+IF(Tabla4[[#This Row],[AGRUPACIONES]]=1,SUMIFS(Tabla4[TOTAL COBERTURA],Tabla4[ZONA DEFINITIVO],Tabla4[[#This Row],[ZONA DEFINITIVO]])," ")</f>
        <v>307</v>
      </c>
      <c r="AA112" s="12"/>
      <c r="AB112" s="38">
        <v>13673745</v>
      </c>
      <c r="AC112" s="37">
        <v>0.02</v>
      </c>
      <c r="AD112" s="38">
        <f t="shared" si="2"/>
        <v>273474.90000000002</v>
      </c>
      <c r="AE112" s="12"/>
      <c r="AF112" s="12">
        <f>COUNTIF($A$20:A112,A112)</f>
        <v>1</v>
      </c>
      <c r="AG112" s="38">
        <v>13673745</v>
      </c>
      <c r="AH112" s="38">
        <f>Tabla4[[#This Row],[VALOR CONTRAPARTIDA]]+Tabla4[[#This Row],[TOTAL APORTES ICBF]]</f>
        <v>13947219.9</v>
      </c>
      <c r="AI112" s="35">
        <f>ROUND(+IF(Tabla4[[#This Row],[AGRUPACIONES]]=1,SUMIFS(Tabla4[TOTAL APORTES ICBF],Tabla4[ZONA DEFINITIVO],Tabla4[[#This Row],[ZONA DEFINITIVO]])," "),0)</f>
        <v>821555303</v>
      </c>
      <c r="AJ112" s="38">
        <f>ROUND(+IF(Tabla4[[#This Row],[AGRUPACIONES]]=1,SUMIFS(Tabla4[VALOR CONTRAPARTIDA],Tabla4[ZONA DEFINITIVO],Tabla4[[#This Row],[ZONA DEFINITIVO]])," "),0)</f>
        <v>16431106</v>
      </c>
      <c r="AK112" s="38">
        <f>Tabla4[[#This Row],[TOTAL APORTES ICBF AGRUPADO]]+Tabla4[[#This Row],[TOTAL CONTRAPARTIDA AGRUPADO]]</f>
        <v>837986409</v>
      </c>
      <c r="AL112" s="23">
        <f>Tabla4[[#This Row],[TOTAL APORTES ICBF AGRUPADO]]/$AL$18</f>
        <v>577.13755040393391</v>
      </c>
      <c r="AM112" s="35">
        <f>VLOOKUP(Tabla4[[#This Row],[SERVICIO 2025]],$J$2:$V$14,5,0)*Tabla4[[#This Row],[TOTAL COBERTURA]]</f>
        <v>420696</v>
      </c>
      <c r="AN112" s="35">
        <f>VLOOKUP(Tabla4[[#This Row],[SERVICIO 2025]],$J$2:$V$14,6,0)*Tabla4[[#This Row],[TOTAL COBERTURA]]</f>
        <v>340569</v>
      </c>
      <c r="AO112" s="35">
        <f>VLOOKUP(Tabla4[[#This Row],[SERVICIO 2025]],$J$2:$V$14,8,0)*Tabla4[[#This Row],[TOTAL COBERTURA]]</f>
        <v>0</v>
      </c>
      <c r="AP112" s="35">
        <f>VLOOKUP(Tabla4[[#This Row],[SERVICIO 2025]],$J$2:$V$14,3,0)*Tabla4[[#This Row],[TOTAL COBERTURA]]*8</f>
        <v>12912480</v>
      </c>
      <c r="AQ112" s="35"/>
      <c r="AR112" s="35">
        <f>Tabla4[[#This Row],[VALOR FASE PREPARATORIA DE ALISTAMIENTO]]+Tabla4[[#This Row],[VALOR FASE PREPARATORIA DE CIERRE]]+Tabla4[[#This Row],[DOTACIÓN ÚNICA]]+Tabla4[[#This Row],[VALOR ATENCIÓN]]+Tabla4[[#This Row],[VALOR RACION PREPARADA]]</f>
        <v>13673745</v>
      </c>
      <c r="AS112" s="35">
        <f>+IF(Tabla4[[#This Row],[AGRUPACIONES]]=1,SUMIFS(Tabla4[VALOR TOTAL],Tabla4[ZONA DEFINITIVO],Tabla4[[#This Row],[ZONA DEFINITIVO]])," ")</f>
        <v>821555303</v>
      </c>
      <c r="AT112" s="27">
        <f>(VLOOKUP(Tabla4[[#This Row],[SERVICIO 2025]],$J$2:$V$14,3,0)*Tabla4[[#This Row],[TOTAL COBERTURA]])+Tabla4[[#This Row],[VALOR FASE PREPARATORIA DE ALISTAMIENTO]]+Tabla4[[#This Row],[DOTACIÓN ÚNICA]]</f>
        <v>2034756</v>
      </c>
      <c r="AU112" s="35">
        <f>(VLOOKUP(Tabla4[[#This Row],[SERVICIO 2025]],$J$2:$V$14,3,0)*Tabla4[[#This Row],[TOTAL COBERTURA]])</f>
        <v>1614060</v>
      </c>
      <c r="AV112" s="35">
        <f>(VLOOKUP(Tabla4[[#This Row],[SERVICIO 2025]],$J$2:$V$14,3,0)*Tabla4[[#This Row],[TOTAL COBERTURA]])</f>
        <v>1614060</v>
      </c>
      <c r="AW112" s="35">
        <f>(VLOOKUP(Tabla4[[#This Row],[SERVICIO 2025]],$J$2:$V$14,3,0)*Tabla4[[#This Row],[TOTAL COBERTURA]])</f>
        <v>1614060</v>
      </c>
      <c r="AX112" s="35">
        <f>(VLOOKUP(Tabla4[[#This Row],[SERVICIO 2025]],$J$2:$V$14,3,0)*Tabla4[[#This Row],[TOTAL COBERTURA]])</f>
        <v>1614060</v>
      </c>
      <c r="AY112" s="35">
        <f>(VLOOKUP(Tabla4[[#This Row],[SERVICIO 2025]],$J$2:$V$14,3,0)*Tabla4[[#This Row],[TOTAL COBERTURA]])</f>
        <v>1614060</v>
      </c>
      <c r="AZ112" s="35">
        <f>(VLOOKUP(Tabla4[[#This Row],[SERVICIO 2025]],$J$2:$V$14,3,0)*Tabla4[[#This Row],[TOTAL COBERTURA]])</f>
        <v>1614060</v>
      </c>
      <c r="BA112" s="35">
        <f>(VLOOKUP(Tabla4[[#This Row],[SERVICIO 2025]],$J$2:$V$14,3,0)*Tabla4[[#This Row],[TOTAL COBERTURA]])+Tabla4[[#This Row],[VALOR FASE PREPARATORIA DE CIERRE]]</f>
        <v>1954629</v>
      </c>
      <c r="BB112" s="35">
        <f>SUM(Tabla4[[#This Row],[DESEMBOLSO 1]:[DESEMBOLSO 8]])</f>
        <v>13673745</v>
      </c>
      <c r="BC112" s="35">
        <f>VLOOKUP(Tabla4[[#This Row],[SERVICIO 2025]],$J$2:$V$14,10,0)*Tabla4[[#This Row],[TOTAL COBERTURA]]*$W$3</f>
        <v>13559112</v>
      </c>
      <c r="BD112" s="47" t="s">
        <v>211</v>
      </c>
      <c r="BE112" s="12" t="b">
        <f>EXACT(Tabla4[[#This Row],[VALOR ATENCIÓN (8 MESES)]],Tabla4[[#This Row],[VALOR TOTAL]])</f>
        <v>1</v>
      </c>
      <c r="BF112" s="23">
        <f>Tabla4[[#This Row],[VALOR ATENCIÓN (8 MESES)]]-Tabla4[[#This Row],[VALOR TOTAL]]</f>
        <v>0</v>
      </c>
      <c r="BG112" s="12" t="b">
        <f>EXACT(Tabla4[[#This Row],[TOTAL DESEMBOLSOS]],Tabla4[[#This Row],[VALOR ATENCIÓN (8 MESES)]])</f>
        <v>1</v>
      </c>
      <c r="BH112" s="29">
        <f>Tabla4[[#This Row],[TOTAL DESEMBOLSOS]]-Tabla4[[#This Row],[VALOR ATENCIÓN (8 MESES)]]</f>
        <v>0</v>
      </c>
      <c r="BI112" t="s">
        <v>98</v>
      </c>
      <c r="BJ112">
        <v>1893</v>
      </c>
    </row>
    <row r="113" spans="1:62">
      <c r="A113" s="13">
        <v>1893</v>
      </c>
      <c r="B113" s="13" t="s">
        <v>324</v>
      </c>
      <c r="C113" s="12" t="s">
        <v>87</v>
      </c>
      <c r="D113" s="12" t="s">
        <v>205</v>
      </c>
      <c r="E113" s="12" t="s">
        <v>325</v>
      </c>
      <c r="F113" s="12" t="s">
        <v>21</v>
      </c>
      <c r="G113" s="12" t="s">
        <v>90</v>
      </c>
      <c r="H113" s="12" t="s">
        <v>330</v>
      </c>
      <c r="I113" s="12">
        <v>53681119904</v>
      </c>
      <c r="J113" s="12" t="s">
        <v>331</v>
      </c>
      <c r="K113" s="12">
        <v>1</v>
      </c>
      <c r="L113" s="12">
        <v>12</v>
      </c>
      <c r="M113" s="12"/>
      <c r="N113" s="13">
        <v>1893</v>
      </c>
      <c r="O113" s="12" t="s">
        <v>93</v>
      </c>
      <c r="P113" s="12"/>
      <c r="Q113" s="12"/>
      <c r="R113" s="12" t="s">
        <v>94</v>
      </c>
      <c r="S113" s="12">
        <v>10</v>
      </c>
      <c r="T113" s="12" t="s">
        <v>328</v>
      </c>
      <c r="U113" s="12" t="s">
        <v>329</v>
      </c>
      <c r="V113" s="12">
        <f>VLOOKUP(Tabla4[[#This Row],[ZONA DEFINITIVO]],Hoja1!$A$1:$D$121,3,0)</f>
        <v>228995</v>
      </c>
      <c r="W113" s="12">
        <f>VLOOKUP(Tabla4[[#This Row],[ZONA DEFINITIVO]],Hoja1!$A$1:$D$121,2,0)</f>
        <v>15182</v>
      </c>
      <c r="X113" s="12">
        <f>VLOOKUP(Tabla4[[#This Row],[ZONA DEFINITIVO]],Hoja1!$A$1:$D$121,4,0)</f>
        <v>91425</v>
      </c>
      <c r="Y113" s="12" t="str">
        <f>+IF(Tabla4[[#This Row],[AGRUPACIONES]]=1,SUMIFS(Tabla4[UDS],Tabla4[ZONA DEFINITIVO],Tabla4[[#This Row],[ZONA DEFINITIVO]])," ")</f>
        <v xml:space="preserve"> </v>
      </c>
      <c r="Z113" s="12" t="str">
        <f>+IF(Tabla4[[#This Row],[AGRUPACIONES]]=1,SUMIFS(Tabla4[TOTAL COBERTURA],Tabla4[ZONA DEFINITIVO],Tabla4[[#This Row],[ZONA DEFINITIVO]])," ")</f>
        <v xml:space="preserve"> </v>
      </c>
      <c r="AA113" s="12"/>
      <c r="AB113" s="38">
        <v>18231660</v>
      </c>
      <c r="AC113" s="37">
        <v>0.02</v>
      </c>
      <c r="AD113" s="38">
        <f t="shared" si="2"/>
        <v>364633.2</v>
      </c>
      <c r="AE113" s="12"/>
      <c r="AF113" s="12">
        <f>COUNTIF($A$20:A113,A113)</f>
        <v>2</v>
      </c>
      <c r="AG113" s="38">
        <v>18231660</v>
      </c>
      <c r="AH113" s="38">
        <f>Tabla4[[#This Row],[VALOR CONTRAPARTIDA]]+Tabla4[[#This Row],[TOTAL APORTES ICBF]]</f>
        <v>18596293.199999999</v>
      </c>
      <c r="AI113" s="35"/>
      <c r="AJ113" s="38"/>
      <c r="AK113" s="38"/>
      <c r="AL113" s="23"/>
      <c r="AM113" s="35">
        <f>VLOOKUP(Tabla4[[#This Row],[SERVICIO 2025]],$J$2:$V$14,5,0)*Tabla4[[#This Row],[TOTAL COBERTURA]]</f>
        <v>560928</v>
      </c>
      <c r="AN113" s="35">
        <f>VLOOKUP(Tabla4[[#This Row],[SERVICIO 2025]],$J$2:$V$14,6,0)*Tabla4[[#This Row],[TOTAL COBERTURA]]</f>
        <v>454092</v>
      </c>
      <c r="AO113" s="35">
        <f>VLOOKUP(Tabla4[[#This Row],[SERVICIO 2025]],$J$2:$V$14,8,0)*Tabla4[[#This Row],[TOTAL COBERTURA]]</f>
        <v>0</v>
      </c>
      <c r="AP113" s="35">
        <f>VLOOKUP(Tabla4[[#This Row],[SERVICIO 2025]],$J$2:$V$14,3,0)*Tabla4[[#This Row],[TOTAL COBERTURA]]*8</f>
        <v>17216640</v>
      </c>
      <c r="AQ113" s="35"/>
      <c r="AR113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113" s="35" t="str">
        <f>+IF(Tabla4[[#This Row],[AGRUPACIONES]]=1,SUMIFS(Tabla4[VALOR TOTAL],Tabla4[ZONA DEFINITIVO],Tabla4[[#This Row],[ZONA DEFINITIVO]])," ")</f>
        <v xml:space="preserve"> </v>
      </c>
      <c r="AT113" s="27">
        <f>(VLOOKUP(Tabla4[[#This Row],[SERVICIO 2025]],$J$2:$V$14,3,0)*Tabla4[[#This Row],[TOTAL COBERTURA]])+Tabla4[[#This Row],[VALOR FASE PREPARATORIA DE ALISTAMIENTO]]+Tabla4[[#This Row],[DOTACIÓN ÚNICA]]</f>
        <v>2713008</v>
      </c>
      <c r="AU113" s="35">
        <f>(VLOOKUP(Tabla4[[#This Row],[SERVICIO 2025]],$J$2:$V$14,3,0)*Tabla4[[#This Row],[TOTAL COBERTURA]])</f>
        <v>2152080</v>
      </c>
      <c r="AV113" s="35">
        <f>(VLOOKUP(Tabla4[[#This Row],[SERVICIO 2025]],$J$2:$V$14,3,0)*Tabla4[[#This Row],[TOTAL COBERTURA]])</f>
        <v>2152080</v>
      </c>
      <c r="AW113" s="35">
        <f>(VLOOKUP(Tabla4[[#This Row],[SERVICIO 2025]],$J$2:$V$14,3,0)*Tabla4[[#This Row],[TOTAL COBERTURA]])</f>
        <v>2152080</v>
      </c>
      <c r="AX113" s="35">
        <f>(VLOOKUP(Tabla4[[#This Row],[SERVICIO 2025]],$J$2:$V$14,3,0)*Tabla4[[#This Row],[TOTAL COBERTURA]])</f>
        <v>2152080</v>
      </c>
      <c r="AY113" s="35">
        <f>(VLOOKUP(Tabla4[[#This Row],[SERVICIO 2025]],$J$2:$V$14,3,0)*Tabla4[[#This Row],[TOTAL COBERTURA]])</f>
        <v>2152080</v>
      </c>
      <c r="AZ113" s="35">
        <f>(VLOOKUP(Tabla4[[#This Row],[SERVICIO 2025]],$J$2:$V$14,3,0)*Tabla4[[#This Row],[TOTAL COBERTURA]])</f>
        <v>2152080</v>
      </c>
      <c r="BA113" s="35">
        <f>(VLOOKUP(Tabla4[[#This Row],[SERVICIO 2025]],$J$2:$V$14,3,0)*Tabla4[[#This Row],[TOTAL COBERTURA]])+Tabla4[[#This Row],[VALOR FASE PREPARATORIA DE CIERRE]]</f>
        <v>2606172</v>
      </c>
      <c r="BB113" s="35">
        <f>SUM(Tabla4[[#This Row],[DESEMBOLSO 1]:[DESEMBOLSO 8]])</f>
        <v>18231660</v>
      </c>
      <c r="BC113" s="35">
        <f>VLOOKUP(Tabla4[[#This Row],[SERVICIO 2025]],$J$2:$V$14,10,0)*Tabla4[[#This Row],[TOTAL COBERTURA]]*$W$3</f>
        <v>18078816</v>
      </c>
      <c r="BD113" s="47" t="s">
        <v>211</v>
      </c>
      <c r="BE113" s="12" t="b">
        <f>EXACT(Tabla4[[#This Row],[VALOR ATENCIÓN (8 MESES)]],Tabla4[[#This Row],[VALOR TOTAL]])</f>
        <v>1</v>
      </c>
      <c r="BF113" s="23">
        <f>Tabla4[[#This Row],[VALOR ATENCIÓN (8 MESES)]]-Tabla4[[#This Row],[VALOR TOTAL]]</f>
        <v>0</v>
      </c>
      <c r="BG113" s="12" t="b">
        <f>EXACT(Tabla4[[#This Row],[TOTAL DESEMBOLSOS]],Tabla4[[#This Row],[VALOR ATENCIÓN (8 MESES)]])</f>
        <v>1</v>
      </c>
      <c r="BH113" s="29">
        <f>Tabla4[[#This Row],[TOTAL DESEMBOLSOS]]-Tabla4[[#This Row],[VALOR ATENCIÓN (8 MESES)]]</f>
        <v>0</v>
      </c>
      <c r="BI113" t="s">
        <v>98</v>
      </c>
      <c r="BJ113">
        <v>1893</v>
      </c>
    </row>
    <row r="114" spans="1:62">
      <c r="A114" s="13">
        <v>1893</v>
      </c>
      <c r="B114" s="13" t="s">
        <v>324</v>
      </c>
      <c r="C114" s="12" t="s">
        <v>87</v>
      </c>
      <c r="D114" s="12" t="s">
        <v>205</v>
      </c>
      <c r="E114" s="12" t="s">
        <v>325</v>
      </c>
      <c r="F114" s="12" t="s">
        <v>21</v>
      </c>
      <c r="G114" s="12" t="s">
        <v>90</v>
      </c>
      <c r="H114" s="12" t="s">
        <v>332</v>
      </c>
      <c r="I114" s="12">
        <v>53681137331</v>
      </c>
      <c r="J114" s="12" t="s">
        <v>333</v>
      </c>
      <c r="K114" s="12">
        <v>1</v>
      </c>
      <c r="L114" s="12">
        <v>20</v>
      </c>
      <c r="M114" s="12"/>
      <c r="N114" s="13">
        <v>1893</v>
      </c>
      <c r="O114" s="12" t="s">
        <v>93</v>
      </c>
      <c r="P114" s="12"/>
      <c r="Q114" s="12"/>
      <c r="R114" s="12" t="s">
        <v>94</v>
      </c>
      <c r="S114" s="12">
        <v>10</v>
      </c>
      <c r="T114" s="12" t="s">
        <v>328</v>
      </c>
      <c r="U114" s="12" t="s">
        <v>329</v>
      </c>
      <c r="V114" s="12">
        <f>VLOOKUP(Tabla4[[#This Row],[ZONA DEFINITIVO]],Hoja1!$A$1:$D$121,3,0)</f>
        <v>228995</v>
      </c>
      <c r="W114" s="12">
        <f>VLOOKUP(Tabla4[[#This Row],[ZONA DEFINITIVO]],Hoja1!$A$1:$D$121,2,0)</f>
        <v>15182</v>
      </c>
      <c r="X114" s="12">
        <f>VLOOKUP(Tabla4[[#This Row],[ZONA DEFINITIVO]],Hoja1!$A$1:$D$121,4,0)</f>
        <v>91425</v>
      </c>
      <c r="Y114" s="12" t="str">
        <f>+IF(Tabla4[[#This Row],[AGRUPACIONES]]=1,SUMIFS(Tabla4[UDS],Tabla4[ZONA DEFINITIVO],Tabla4[[#This Row],[ZONA DEFINITIVO]])," ")</f>
        <v xml:space="preserve"> </v>
      </c>
      <c r="Z114" s="12" t="str">
        <f>+IF(Tabla4[[#This Row],[AGRUPACIONES]]=1,SUMIFS(Tabla4[TOTAL COBERTURA],Tabla4[ZONA DEFINITIVO],Tabla4[[#This Row],[ZONA DEFINITIVO]])," ")</f>
        <v xml:space="preserve"> </v>
      </c>
      <c r="AA114" s="12"/>
      <c r="AB114" s="38">
        <v>30386100</v>
      </c>
      <c r="AC114" s="37">
        <v>0.02</v>
      </c>
      <c r="AD114" s="38">
        <f t="shared" si="2"/>
        <v>607722</v>
      </c>
      <c r="AE114" s="12"/>
      <c r="AF114" s="12">
        <f>COUNTIF($A$20:A114,A114)</f>
        <v>3</v>
      </c>
      <c r="AG114" s="38">
        <v>30386100</v>
      </c>
      <c r="AH114" s="38">
        <f>Tabla4[[#This Row],[VALOR CONTRAPARTIDA]]+Tabla4[[#This Row],[TOTAL APORTES ICBF]]</f>
        <v>30993822</v>
      </c>
      <c r="AI114" s="35"/>
      <c r="AJ114" s="38"/>
      <c r="AK114" s="38"/>
      <c r="AL114" s="23"/>
      <c r="AM114" s="35">
        <f>VLOOKUP(Tabla4[[#This Row],[SERVICIO 2025]],$J$2:$V$14,5,0)*Tabla4[[#This Row],[TOTAL COBERTURA]]</f>
        <v>934880</v>
      </c>
      <c r="AN114" s="35">
        <f>VLOOKUP(Tabla4[[#This Row],[SERVICIO 2025]],$J$2:$V$14,6,0)*Tabla4[[#This Row],[TOTAL COBERTURA]]</f>
        <v>756820</v>
      </c>
      <c r="AO114" s="35">
        <f>VLOOKUP(Tabla4[[#This Row],[SERVICIO 2025]],$J$2:$V$14,8,0)*Tabla4[[#This Row],[TOTAL COBERTURA]]</f>
        <v>0</v>
      </c>
      <c r="AP114" s="35">
        <f>VLOOKUP(Tabla4[[#This Row],[SERVICIO 2025]],$J$2:$V$14,3,0)*Tabla4[[#This Row],[TOTAL COBERTURA]]*8</f>
        <v>28694400</v>
      </c>
      <c r="AQ114" s="35"/>
      <c r="AR114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114" s="35" t="str">
        <f>+IF(Tabla4[[#This Row],[AGRUPACIONES]]=1,SUMIFS(Tabla4[VALOR TOTAL],Tabla4[ZONA DEFINITIVO],Tabla4[[#This Row],[ZONA DEFINITIVO]])," ")</f>
        <v xml:space="preserve"> </v>
      </c>
      <c r="AT114" s="27">
        <f>(VLOOKUP(Tabla4[[#This Row],[SERVICIO 2025]],$J$2:$V$14,3,0)*Tabla4[[#This Row],[TOTAL COBERTURA]])+Tabla4[[#This Row],[VALOR FASE PREPARATORIA DE ALISTAMIENTO]]+Tabla4[[#This Row],[DOTACIÓN ÚNICA]]</f>
        <v>4521680</v>
      </c>
      <c r="AU114" s="35">
        <f>(VLOOKUP(Tabla4[[#This Row],[SERVICIO 2025]],$J$2:$V$14,3,0)*Tabla4[[#This Row],[TOTAL COBERTURA]])</f>
        <v>3586800</v>
      </c>
      <c r="AV114" s="35">
        <f>(VLOOKUP(Tabla4[[#This Row],[SERVICIO 2025]],$J$2:$V$14,3,0)*Tabla4[[#This Row],[TOTAL COBERTURA]])</f>
        <v>3586800</v>
      </c>
      <c r="AW114" s="35">
        <f>(VLOOKUP(Tabla4[[#This Row],[SERVICIO 2025]],$J$2:$V$14,3,0)*Tabla4[[#This Row],[TOTAL COBERTURA]])</f>
        <v>3586800</v>
      </c>
      <c r="AX114" s="35">
        <f>(VLOOKUP(Tabla4[[#This Row],[SERVICIO 2025]],$J$2:$V$14,3,0)*Tabla4[[#This Row],[TOTAL COBERTURA]])</f>
        <v>3586800</v>
      </c>
      <c r="AY114" s="35">
        <f>(VLOOKUP(Tabla4[[#This Row],[SERVICIO 2025]],$J$2:$V$14,3,0)*Tabla4[[#This Row],[TOTAL COBERTURA]])</f>
        <v>3586800</v>
      </c>
      <c r="AZ114" s="35">
        <f>(VLOOKUP(Tabla4[[#This Row],[SERVICIO 2025]],$J$2:$V$14,3,0)*Tabla4[[#This Row],[TOTAL COBERTURA]])</f>
        <v>3586800</v>
      </c>
      <c r="BA114" s="35">
        <f>(VLOOKUP(Tabla4[[#This Row],[SERVICIO 2025]],$J$2:$V$14,3,0)*Tabla4[[#This Row],[TOTAL COBERTURA]])+Tabla4[[#This Row],[VALOR FASE PREPARATORIA DE CIERRE]]</f>
        <v>4343620</v>
      </c>
      <c r="BB114" s="35">
        <f>SUM(Tabla4[[#This Row],[DESEMBOLSO 1]:[DESEMBOLSO 8]])</f>
        <v>30386100</v>
      </c>
      <c r="BC114" s="35">
        <f>VLOOKUP(Tabla4[[#This Row],[SERVICIO 2025]],$J$2:$V$14,10,0)*Tabla4[[#This Row],[TOTAL COBERTURA]]*$W$3</f>
        <v>30131360</v>
      </c>
      <c r="BD114" s="47" t="s">
        <v>211</v>
      </c>
      <c r="BE114" s="12" t="b">
        <f>EXACT(Tabla4[[#This Row],[VALOR ATENCIÓN (8 MESES)]],Tabla4[[#This Row],[VALOR TOTAL]])</f>
        <v>1</v>
      </c>
      <c r="BF114" s="23">
        <f>Tabla4[[#This Row],[VALOR ATENCIÓN (8 MESES)]]-Tabla4[[#This Row],[VALOR TOTAL]]</f>
        <v>0</v>
      </c>
      <c r="BG114" s="12" t="b">
        <f>EXACT(Tabla4[[#This Row],[TOTAL DESEMBOLSOS]],Tabla4[[#This Row],[VALOR ATENCIÓN (8 MESES)]])</f>
        <v>1</v>
      </c>
      <c r="BH114" s="29">
        <f>Tabla4[[#This Row],[TOTAL DESEMBOLSOS]]-Tabla4[[#This Row],[VALOR ATENCIÓN (8 MESES)]]</f>
        <v>0</v>
      </c>
      <c r="BI114" t="s">
        <v>98</v>
      </c>
      <c r="BJ114">
        <v>1893</v>
      </c>
    </row>
    <row r="115" spans="1:62">
      <c r="A115" s="13">
        <v>1893</v>
      </c>
      <c r="B115" s="13" t="s">
        <v>324</v>
      </c>
      <c r="C115" s="12" t="s">
        <v>87</v>
      </c>
      <c r="D115" s="12" t="s">
        <v>205</v>
      </c>
      <c r="E115" s="12" t="s">
        <v>325</v>
      </c>
      <c r="F115" s="12" t="s">
        <v>20</v>
      </c>
      <c r="G115" s="12" t="s">
        <v>90</v>
      </c>
      <c r="H115" s="12" t="s">
        <v>334</v>
      </c>
      <c r="I115" s="12">
        <v>53681137490</v>
      </c>
      <c r="J115" s="12" t="s">
        <v>335</v>
      </c>
      <c r="K115" s="12">
        <v>1</v>
      </c>
      <c r="L115" s="12">
        <v>16</v>
      </c>
      <c r="M115" s="12"/>
      <c r="N115" s="13">
        <v>1893</v>
      </c>
      <c r="O115" s="12" t="s">
        <v>93</v>
      </c>
      <c r="P115" s="12"/>
      <c r="Q115" s="12"/>
      <c r="R115" s="12" t="s">
        <v>94</v>
      </c>
      <c r="S115" s="12">
        <v>10</v>
      </c>
      <c r="T115" s="12" t="s">
        <v>328</v>
      </c>
      <c r="U115" s="12" t="s">
        <v>329</v>
      </c>
      <c r="V115" s="12">
        <f>VLOOKUP(Tabla4[[#This Row],[ZONA DEFINITIVO]],Hoja1!$A$1:$D$121,3,0)</f>
        <v>228995</v>
      </c>
      <c r="W115" s="12">
        <f>VLOOKUP(Tabla4[[#This Row],[ZONA DEFINITIVO]],Hoja1!$A$1:$D$121,2,0)</f>
        <v>15182</v>
      </c>
      <c r="X115" s="12">
        <f>VLOOKUP(Tabla4[[#This Row],[ZONA DEFINITIVO]],Hoja1!$A$1:$D$121,4,0)</f>
        <v>91425</v>
      </c>
      <c r="Y115" s="12" t="str">
        <f>+IF(Tabla4[[#This Row],[AGRUPACIONES]]=1,SUMIFS(Tabla4[UDS],Tabla4[ZONA DEFINITIVO],Tabla4[[#This Row],[ZONA DEFINITIVO]])," ")</f>
        <v xml:space="preserve"> </v>
      </c>
      <c r="Z115" s="12" t="str">
        <f>+IF(Tabla4[[#This Row],[AGRUPACIONES]]=1,SUMIFS(Tabla4[TOTAL COBERTURA],Tabla4[ZONA DEFINITIVO],Tabla4[[#This Row],[ZONA DEFINITIVO]])," ")</f>
        <v xml:space="preserve"> </v>
      </c>
      <c r="AA115" s="12"/>
      <c r="AB115" s="38">
        <v>48413968</v>
      </c>
      <c r="AC115" s="37">
        <v>0.02</v>
      </c>
      <c r="AD115" s="38">
        <f t="shared" si="2"/>
        <v>968279.36</v>
      </c>
      <c r="AE115" s="12"/>
      <c r="AF115" s="12">
        <f>COUNTIF($A$20:A115,A115)</f>
        <v>4</v>
      </c>
      <c r="AG115" s="38">
        <v>48413968</v>
      </c>
      <c r="AH115" s="38">
        <f>Tabla4[[#This Row],[VALOR CONTRAPARTIDA]]+Tabla4[[#This Row],[TOTAL APORTES ICBF]]</f>
        <v>49382247.359999999</v>
      </c>
      <c r="AI115" s="35"/>
      <c r="AJ115" s="38"/>
      <c r="AK115" s="38"/>
      <c r="AL115" s="23"/>
      <c r="AM115" s="35">
        <f>VLOOKUP(Tabla4[[#This Row],[SERVICIO 2025]],$J$2:$V$14,5,0)*Tabla4[[#This Row],[TOTAL COBERTURA]]</f>
        <v>747904</v>
      </c>
      <c r="AN115" s="35">
        <f>VLOOKUP(Tabla4[[#This Row],[SERVICIO 2025]],$J$2:$V$14,6,0)*Tabla4[[#This Row],[TOTAL COBERTURA]]</f>
        <v>605456</v>
      </c>
      <c r="AO115" s="35">
        <f>VLOOKUP(Tabla4[[#This Row],[SERVICIO 2025]],$J$2:$V$14,8,0)*Tabla4[[#This Row],[TOTAL COBERTURA]]</f>
        <v>0</v>
      </c>
      <c r="AP115" s="35">
        <f>VLOOKUP(Tabla4[[#This Row],[SERVICIO 2025]],$J$2:$V$14,3,0)*Tabla4[[#This Row],[TOTAL COBERTURA]]*8</f>
        <v>47060608</v>
      </c>
      <c r="AQ115" s="35"/>
      <c r="AR115" s="35">
        <f>Tabla4[[#This Row],[VALOR FASE PREPARATORIA DE ALISTAMIENTO]]+Tabla4[[#This Row],[VALOR FASE PREPARATORIA DE CIERRE]]+Tabla4[[#This Row],[DOTACIÓN ÚNICA]]+Tabla4[[#This Row],[VALOR ATENCIÓN]]+Tabla4[[#This Row],[VALOR RACION PREPARADA]]</f>
        <v>48413968</v>
      </c>
      <c r="AS115" s="35" t="str">
        <f>+IF(Tabla4[[#This Row],[AGRUPACIONES]]=1,SUMIFS(Tabla4[VALOR TOTAL],Tabla4[ZONA DEFINITIVO],Tabla4[[#This Row],[ZONA DEFINITIVO]])," ")</f>
        <v xml:space="preserve"> </v>
      </c>
      <c r="AT115" s="27">
        <f>(VLOOKUP(Tabla4[[#This Row],[SERVICIO 2025]],$J$2:$V$14,3,0)*Tabla4[[#This Row],[TOTAL COBERTURA]])+Tabla4[[#This Row],[VALOR FASE PREPARATORIA DE ALISTAMIENTO]]+Tabla4[[#This Row],[DOTACIÓN ÚNICA]]</f>
        <v>6630480</v>
      </c>
      <c r="AU115" s="35">
        <f>(VLOOKUP(Tabla4[[#This Row],[SERVICIO 2025]],$J$2:$V$14,3,0)*Tabla4[[#This Row],[TOTAL COBERTURA]])</f>
        <v>5882576</v>
      </c>
      <c r="AV115" s="35">
        <f>(VLOOKUP(Tabla4[[#This Row],[SERVICIO 2025]],$J$2:$V$14,3,0)*Tabla4[[#This Row],[TOTAL COBERTURA]])</f>
        <v>5882576</v>
      </c>
      <c r="AW115" s="35">
        <f>(VLOOKUP(Tabla4[[#This Row],[SERVICIO 2025]],$J$2:$V$14,3,0)*Tabla4[[#This Row],[TOTAL COBERTURA]])</f>
        <v>5882576</v>
      </c>
      <c r="AX115" s="35">
        <f>(VLOOKUP(Tabla4[[#This Row],[SERVICIO 2025]],$J$2:$V$14,3,0)*Tabla4[[#This Row],[TOTAL COBERTURA]])</f>
        <v>5882576</v>
      </c>
      <c r="AY115" s="35">
        <f>(VLOOKUP(Tabla4[[#This Row],[SERVICIO 2025]],$J$2:$V$14,3,0)*Tabla4[[#This Row],[TOTAL COBERTURA]])</f>
        <v>5882576</v>
      </c>
      <c r="AZ115" s="35">
        <f>(VLOOKUP(Tabla4[[#This Row],[SERVICIO 2025]],$J$2:$V$14,3,0)*Tabla4[[#This Row],[TOTAL COBERTURA]])</f>
        <v>5882576</v>
      </c>
      <c r="BA115" s="35">
        <f>(VLOOKUP(Tabla4[[#This Row],[SERVICIO 2025]],$J$2:$V$14,3,0)*Tabla4[[#This Row],[TOTAL COBERTURA]])+Tabla4[[#This Row],[VALOR FASE PREPARATORIA DE CIERRE]]</f>
        <v>6488032</v>
      </c>
      <c r="BB115" s="35">
        <f>SUM(Tabla4[[#This Row],[DESEMBOLSO 1]:[DESEMBOLSO 8]])</f>
        <v>48413968</v>
      </c>
      <c r="BC115" s="35">
        <f>VLOOKUP(Tabla4[[#This Row],[SERVICIO 2025]],$J$2:$V$14,10,0)*Tabla4[[#This Row],[TOTAL COBERTURA]]*$W$3</f>
        <v>0</v>
      </c>
      <c r="BD115" s="47" t="s">
        <v>145</v>
      </c>
      <c r="BE115" s="12" t="b">
        <f>EXACT(Tabla4[[#This Row],[VALOR ATENCIÓN (8 MESES)]],Tabla4[[#This Row],[VALOR TOTAL]])</f>
        <v>1</v>
      </c>
      <c r="BF115" s="23">
        <f>Tabla4[[#This Row],[VALOR ATENCIÓN (8 MESES)]]-Tabla4[[#This Row],[VALOR TOTAL]]</f>
        <v>0</v>
      </c>
      <c r="BG115" s="12" t="b">
        <f>EXACT(Tabla4[[#This Row],[TOTAL DESEMBOLSOS]],Tabla4[[#This Row],[VALOR ATENCIÓN (8 MESES)]])</f>
        <v>1</v>
      </c>
      <c r="BH115" s="29">
        <f>Tabla4[[#This Row],[TOTAL DESEMBOLSOS]]-Tabla4[[#This Row],[VALOR ATENCIÓN (8 MESES)]]</f>
        <v>0</v>
      </c>
      <c r="BI115" t="s">
        <v>98</v>
      </c>
      <c r="BJ115">
        <v>1893</v>
      </c>
    </row>
    <row r="116" spans="1:62">
      <c r="A116" s="13">
        <v>1893</v>
      </c>
      <c r="B116" s="13" t="s">
        <v>324</v>
      </c>
      <c r="C116" s="12" t="s">
        <v>87</v>
      </c>
      <c r="D116" s="12" t="s">
        <v>205</v>
      </c>
      <c r="E116" s="12" t="s">
        <v>325</v>
      </c>
      <c r="F116" s="12" t="s">
        <v>21</v>
      </c>
      <c r="G116" s="12" t="s">
        <v>90</v>
      </c>
      <c r="H116" s="12" t="s">
        <v>336</v>
      </c>
      <c r="I116" s="12">
        <v>53681137491</v>
      </c>
      <c r="J116" s="12" t="s">
        <v>337</v>
      </c>
      <c r="K116" s="12">
        <v>1</v>
      </c>
      <c r="L116" s="12">
        <v>13</v>
      </c>
      <c r="M116" s="12"/>
      <c r="N116" s="13">
        <v>1893</v>
      </c>
      <c r="O116" s="12" t="s">
        <v>93</v>
      </c>
      <c r="P116" s="12"/>
      <c r="Q116" s="12"/>
      <c r="R116" s="12" t="s">
        <v>94</v>
      </c>
      <c r="S116" s="12">
        <v>10</v>
      </c>
      <c r="T116" s="12" t="s">
        <v>328</v>
      </c>
      <c r="U116" s="12" t="s">
        <v>329</v>
      </c>
      <c r="V116" s="12">
        <f>VLOOKUP(Tabla4[[#This Row],[ZONA DEFINITIVO]],Hoja1!$A$1:$D$121,3,0)</f>
        <v>228995</v>
      </c>
      <c r="W116" s="12">
        <f>VLOOKUP(Tabla4[[#This Row],[ZONA DEFINITIVO]],Hoja1!$A$1:$D$121,2,0)</f>
        <v>15182</v>
      </c>
      <c r="X116" s="12">
        <f>VLOOKUP(Tabla4[[#This Row],[ZONA DEFINITIVO]],Hoja1!$A$1:$D$121,4,0)</f>
        <v>91425</v>
      </c>
      <c r="Y116" s="12" t="str">
        <f>+IF(Tabla4[[#This Row],[AGRUPACIONES]]=1,SUMIFS(Tabla4[UDS],Tabla4[ZONA DEFINITIVO],Tabla4[[#This Row],[ZONA DEFINITIVO]])," ")</f>
        <v xml:space="preserve"> </v>
      </c>
      <c r="Z116" s="12" t="str">
        <f>+IF(Tabla4[[#This Row],[AGRUPACIONES]]=1,SUMIFS(Tabla4[TOTAL COBERTURA],Tabla4[ZONA DEFINITIVO],Tabla4[[#This Row],[ZONA DEFINITIVO]])," ")</f>
        <v xml:space="preserve"> </v>
      </c>
      <c r="AA116" s="12"/>
      <c r="AB116" s="38">
        <v>19750965</v>
      </c>
      <c r="AC116" s="37">
        <v>0.02</v>
      </c>
      <c r="AD116" s="38">
        <f t="shared" si="2"/>
        <v>395019.3</v>
      </c>
      <c r="AE116" s="12"/>
      <c r="AF116" s="12">
        <f>COUNTIF($A$20:A116,A116)</f>
        <v>5</v>
      </c>
      <c r="AG116" s="38">
        <v>19750965</v>
      </c>
      <c r="AH116" s="38">
        <f>Tabla4[[#This Row],[VALOR CONTRAPARTIDA]]+Tabla4[[#This Row],[TOTAL APORTES ICBF]]</f>
        <v>20145984.300000001</v>
      </c>
      <c r="AI116" s="35"/>
      <c r="AJ116" s="38"/>
      <c r="AK116" s="38"/>
      <c r="AL116" s="23"/>
      <c r="AM116" s="35">
        <f>VLOOKUP(Tabla4[[#This Row],[SERVICIO 2025]],$J$2:$V$14,5,0)*Tabla4[[#This Row],[TOTAL COBERTURA]]</f>
        <v>607672</v>
      </c>
      <c r="AN116" s="35">
        <f>VLOOKUP(Tabla4[[#This Row],[SERVICIO 2025]],$J$2:$V$14,6,0)*Tabla4[[#This Row],[TOTAL COBERTURA]]</f>
        <v>491933</v>
      </c>
      <c r="AO116" s="35">
        <f>VLOOKUP(Tabla4[[#This Row],[SERVICIO 2025]],$J$2:$V$14,8,0)*Tabla4[[#This Row],[TOTAL COBERTURA]]</f>
        <v>0</v>
      </c>
      <c r="AP116" s="35">
        <f>VLOOKUP(Tabla4[[#This Row],[SERVICIO 2025]],$J$2:$V$14,3,0)*Tabla4[[#This Row],[TOTAL COBERTURA]]*8</f>
        <v>18651360</v>
      </c>
      <c r="AQ116" s="35"/>
      <c r="AR116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116" s="35" t="str">
        <f>+IF(Tabla4[[#This Row],[AGRUPACIONES]]=1,SUMIFS(Tabla4[VALOR TOTAL],Tabla4[ZONA DEFINITIVO],Tabla4[[#This Row],[ZONA DEFINITIVO]])," ")</f>
        <v xml:space="preserve"> </v>
      </c>
      <c r="AT116" s="27">
        <f>(VLOOKUP(Tabla4[[#This Row],[SERVICIO 2025]],$J$2:$V$14,3,0)*Tabla4[[#This Row],[TOTAL COBERTURA]])+Tabla4[[#This Row],[VALOR FASE PREPARATORIA DE ALISTAMIENTO]]+Tabla4[[#This Row],[DOTACIÓN ÚNICA]]</f>
        <v>2939092</v>
      </c>
      <c r="AU116" s="35">
        <f>(VLOOKUP(Tabla4[[#This Row],[SERVICIO 2025]],$J$2:$V$14,3,0)*Tabla4[[#This Row],[TOTAL COBERTURA]])</f>
        <v>2331420</v>
      </c>
      <c r="AV116" s="35">
        <f>(VLOOKUP(Tabla4[[#This Row],[SERVICIO 2025]],$J$2:$V$14,3,0)*Tabla4[[#This Row],[TOTAL COBERTURA]])</f>
        <v>2331420</v>
      </c>
      <c r="AW116" s="35">
        <f>(VLOOKUP(Tabla4[[#This Row],[SERVICIO 2025]],$J$2:$V$14,3,0)*Tabla4[[#This Row],[TOTAL COBERTURA]])</f>
        <v>2331420</v>
      </c>
      <c r="AX116" s="35">
        <f>(VLOOKUP(Tabla4[[#This Row],[SERVICIO 2025]],$J$2:$V$14,3,0)*Tabla4[[#This Row],[TOTAL COBERTURA]])</f>
        <v>2331420</v>
      </c>
      <c r="AY116" s="35">
        <f>(VLOOKUP(Tabla4[[#This Row],[SERVICIO 2025]],$J$2:$V$14,3,0)*Tabla4[[#This Row],[TOTAL COBERTURA]])</f>
        <v>2331420</v>
      </c>
      <c r="AZ116" s="35">
        <f>(VLOOKUP(Tabla4[[#This Row],[SERVICIO 2025]],$J$2:$V$14,3,0)*Tabla4[[#This Row],[TOTAL COBERTURA]])</f>
        <v>2331420</v>
      </c>
      <c r="BA116" s="35">
        <f>(VLOOKUP(Tabla4[[#This Row],[SERVICIO 2025]],$J$2:$V$14,3,0)*Tabla4[[#This Row],[TOTAL COBERTURA]])+Tabla4[[#This Row],[VALOR FASE PREPARATORIA DE CIERRE]]</f>
        <v>2823353</v>
      </c>
      <c r="BB116" s="35">
        <f>SUM(Tabla4[[#This Row],[DESEMBOLSO 1]:[DESEMBOLSO 8]])</f>
        <v>19750965</v>
      </c>
      <c r="BC116" s="35">
        <f>VLOOKUP(Tabla4[[#This Row],[SERVICIO 2025]],$J$2:$V$14,10,0)*Tabla4[[#This Row],[TOTAL COBERTURA]]*$W$3</f>
        <v>19585384</v>
      </c>
      <c r="BD116" s="47" t="s">
        <v>211</v>
      </c>
      <c r="BE116" s="12" t="b">
        <f>EXACT(Tabla4[[#This Row],[VALOR ATENCIÓN (8 MESES)]],Tabla4[[#This Row],[VALOR TOTAL]])</f>
        <v>1</v>
      </c>
      <c r="BF116" s="23">
        <f>Tabla4[[#This Row],[VALOR ATENCIÓN (8 MESES)]]-Tabla4[[#This Row],[VALOR TOTAL]]</f>
        <v>0</v>
      </c>
      <c r="BG116" s="12" t="b">
        <f>EXACT(Tabla4[[#This Row],[TOTAL DESEMBOLSOS]],Tabla4[[#This Row],[VALOR ATENCIÓN (8 MESES)]])</f>
        <v>1</v>
      </c>
      <c r="BH116" s="29">
        <f>Tabla4[[#This Row],[TOTAL DESEMBOLSOS]]-Tabla4[[#This Row],[VALOR ATENCIÓN (8 MESES)]]</f>
        <v>0</v>
      </c>
      <c r="BI116" t="s">
        <v>98</v>
      </c>
      <c r="BJ116">
        <v>1893</v>
      </c>
    </row>
    <row r="117" spans="1:62">
      <c r="A117" s="13">
        <v>1893</v>
      </c>
      <c r="B117" s="13" t="s">
        <v>324</v>
      </c>
      <c r="C117" s="12" t="s">
        <v>87</v>
      </c>
      <c r="D117" s="12" t="s">
        <v>205</v>
      </c>
      <c r="E117" s="12" t="s">
        <v>325</v>
      </c>
      <c r="F117" s="12" t="s">
        <v>21</v>
      </c>
      <c r="G117" s="12" t="s">
        <v>90</v>
      </c>
      <c r="H117" s="12" t="s">
        <v>338</v>
      </c>
      <c r="I117" s="12">
        <v>53681137492</v>
      </c>
      <c r="J117" s="12" t="s">
        <v>339</v>
      </c>
      <c r="K117" s="12">
        <v>1</v>
      </c>
      <c r="L117" s="12">
        <v>36</v>
      </c>
      <c r="M117" s="12"/>
      <c r="N117" s="13">
        <v>1893</v>
      </c>
      <c r="O117" s="12" t="s">
        <v>93</v>
      </c>
      <c r="P117" s="12"/>
      <c r="Q117" s="12"/>
      <c r="R117" s="12" t="s">
        <v>94</v>
      </c>
      <c r="S117" s="12">
        <v>10</v>
      </c>
      <c r="T117" s="12" t="s">
        <v>328</v>
      </c>
      <c r="U117" s="12" t="s">
        <v>329</v>
      </c>
      <c r="V117" s="12">
        <f>VLOOKUP(Tabla4[[#This Row],[ZONA DEFINITIVO]],Hoja1!$A$1:$D$121,3,0)</f>
        <v>228995</v>
      </c>
      <c r="W117" s="12">
        <f>VLOOKUP(Tabla4[[#This Row],[ZONA DEFINITIVO]],Hoja1!$A$1:$D$121,2,0)</f>
        <v>15182</v>
      </c>
      <c r="X117" s="12">
        <f>VLOOKUP(Tabla4[[#This Row],[ZONA DEFINITIVO]],Hoja1!$A$1:$D$121,4,0)</f>
        <v>91425</v>
      </c>
      <c r="Y117" s="12" t="str">
        <f>+IF(Tabla4[[#This Row],[AGRUPACIONES]]=1,SUMIFS(Tabla4[UDS],Tabla4[ZONA DEFINITIVO],Tabla4[[#This Row],[ZONA DEFINITIVO]])," ")</f>
        <v xml:space="preserve"> </v>
      </c>
      <c r="Z117" s="12" t="str">
        <f>+IF(Tabla4[[#This Row],[AGRUPACIONES]]=1,SUMIFS(Tabla4[TOTAL COBERTURA],Tabla4[ZONA DEFINITIVO],Tabla4[[#This Row],[ZONA DEFINITIVO]])," ")</f>
        <v xml:space="preserve"> </v>
      </c>
      <c r="AA117" s="12"/>
      <c r="AB117" s="38">
        <v>54694980</v>
      </c>
      <c r="AC117" s="37">
        <v>0.02</v>
      </c>
      <c r="AD117" s="38">
        <f t="shared" si="2"/>
        <v>1093899.6000000001</v>
      </c>
      <c r="AE117" s="12"/>
      <c r="AF117" s="12">
        <f>COUNTIF($A$20:A117,A117)</f>
        <v>6</v>
      </c>
      <c r="AG117" s="38">
        <v>54694980</v>
      </c>
      <c r="AH117" s="38">
        <f>Tabla4[[#This Row],[VALOR CONTRAPARTIDA]]+Tabla4[[#This Row],[TOTAL APORTES ICBF]]</f>
        <v>55788879.600000001</v>
      </c>
      <c r="AI117" s="35"/>
      <c r="AJ117" s="38"/>
      <c r="AK117" s="38"/>
      <c r="AL117" s="23"/>
      <c r="AM117" s="35">
        <f>VLOOKUP(Tabla4[[#This Row],[SERVICIO 2025]],$J$2:$V$14,5,0)*Tabla4[[#This Row],[TOTAL COBERTURA]]</f>
        <v>1682784</v>
      </c>
      <c r="AN117" s="35">
        <f>VLOOKUP(Tabla4[[#This Row],[SERVICIO 2025]],$J$2:$V$14,6,0)*Tabla4[[#This Row],[TOTAL COBERTURA]]</f>
        <v>1362276</v>
      </c>
      <c r="AO117" s="35">
        <f>VLOOKUP(Tabla4[[#This Row],[SERVICIO 2025]],$J$2:$V$14,8,0)*Tabla4[[#This Row],[TOTAL COBERTURA]]</f>
        <v>0</v>
      </c>
      <c r="AP117" s="35">
        <f>VLOOKUP(Tabla4[[#This Row],[SERVICIO 2025]],$J$2:$V$14,3,0)*Tabla4[[#This Row],[TOTAL COBERTURA]]*8</f>
        <v>51649920</v>
      </c>
      <c r="AQ117" s="35"/>
      <c r="AR117" s="35">
        <f>Tabla4[[#This Row],[VALOR FASE PREPARATORIA DE ALISTAMIENTO]]+Tabla4[[#This Row],[VALOR FASE PREPARATORIA DE CIERRE]]+Tabla4[[#This Row],[DOTACIÓN ÚNICA]]+Tabla4[[#This Row],[VALOR ATENCIÓN]]+Tabla4[[#This Row],[VALOR RACION PREPARADA]]</f>
        <v>54694980</v>
      </c>
      <c r="AS117" s="35" t="str">
        <f>+IF(Tabla4[[#This Row],[AGRUPACIONES]]=1,SUMIFS(Tabla4[VALOR TOTAL],Tabla4[ZONA DEFINITIVO],Tabla4[[#This Row],[ZONA DEFINITIVO]])," ")</f>
        <v xml:space="preserve"> </v>
      </c>
      <c r="AT117" s="27">
        <f>(VLOOKUP(Tabla4[[#This Row],[SERVICIO 2025]],$J$2:$V$14,3,0)*Tabla4[[#This Row],[TOTAL COBERTURA]])+Tabla4[[#This Row],[VALOR FASE PREPARATORIA DE ALISTAMIENTO]]+Tabla4[[#This Row],[DOTACIÓN ÚNICA]]</f>
        <v>8139024</v>
      </c>
      <c r="AU117" s="35">
        <f>(VLOOKUP(Tabla4[[#This Row],[SERVICIO 2025]],$J$2:$V$14,3,0)*Tabla4[[#This Row],[TOTAL COBERTURA]])</f>
        <v>6456240</v>
      </c>
      <c r="AV117" s="35">
        <f>(VLOOKUP(Tabla4[[#This Row],[SERVICIO 2025]],$J$2:$V$14,3,0)*Tabla4[[#This Row],[TOTAL COBERTURA]])</f>
        <v>6456240</v>
      </c>
      <c r="AW117" s="35">
        <f>(VLOOKUP(Tabla4[[#This Row],[SERVICIO 2025]],$J$2:$V$14,3,0)*Tabla4[[#This Row],[TOTAL COBERTURA]])</f>
        <v>6456240</v>
      </c>
      <c r="AX117" s="35">
        <f>(VLOOKUP(Tabla4[[#This Row],[SERVICIO 2025]],$J$2:$V$14,3,0)*Tabla4[[#This Row],[TOTAL COBERTURA]])</f>
        <v>6456240</v>
      </c>
      <c r="AY117" s="35">
        <f>(VLOOKUP(Tabla4[[#This Row],[SERVICIO 2025]],$J$2:$V$14,3,0)*Tabla4[[#This Row],[TOTAL COBERTURA]])</f>
        <v>6456240</v>
      </c>
      <c r="AZ117" s="35">
        <f>(VLOOKUP(Tabla4[[#This Row],[SERVICIO 2025]],$J$2:$V$14,3,0)*Tabla4[[#This Row],[TOTAL COBERTURA]])</f>
        <v>6456240</v>
      </c>
      <c r="BA117" s="35">
        <f>(VLOOKUP(Tabla4[[#This Row],[SERVICIO 2025]],$J$2:$V$14,3,0)*Tabla4[[#This Row],[TOTAL COBERTURA]])+Tabla4[[#This Row],[VALOR FASE PREPARATORIA DE CIERRE]]</f>
        <v>7818516</v>
      </c>
      <c r="BB117" s="35">
        <f>SUM(Tabla4[[#This Row],[DESEMBOLSO 1]:[DESEMBOLSO 8]])</f>
        <v>54694980</v>
      </c>
      <c r="BC117" s="35">
        <f>VLOOKUP(Tabla4[[#This Row],[SERVICIO 2025]],$J$2:$V$14,10,0)*Tabla4[[#This Row],[TOTAL COBERTURA]]*$W$3</f>
        <v>54236448</v>
      </c>
      <c r="BD117" s="47" t="s">
        <v>211</v>
      </c>
      <c r="BE117" s="12" t="b">
        <f>EXACT(Tabla4[[#This Row],[VALOR ATENCIÓN (8 MESES)]],Tabla4[[#This Row],[VALOR TOTAL]])</f>
        <v>1</v>
      </c>
      <c r="BF117" s="23">
        <f>Tabla4[[#This Row],[VALOR ATENCIÓN (8 MESES)]]-Tabla4[[#This Row],[VALOR TOTAL]]</f>
        <v>0</v>
      </c>
      <c r="BG117" s="12" t="b">
        <f>EXACT(Tabla4[[#This Row],[TOTAL DESEMBOLSOS]],Tabla4[[#This Row],[VALOR ATENCIÓN (8 MESES)]])</f>
        <v>1</v>
      </c>
      <c r="BH117" s="29">
        <f>Tabla4[[#This Row],[TOTAL DESEMBOLSOS]]-Tabla4[[#This Row],[VALOR ATENCIÓN (8 MESES)]]</f>
        <v>0</v>
      </c>
      <c r="BI117" t="s">
        <v>98</v>
      </c>
      <c r="BJ117">
        <v>1893</v>
      </c>
    </row>
    <row r="118" spans="1:62">
      <c r="A118" s="13">
        <v>1893</v>
      </c>
      <c r="B118" s="13" t="s">
        <v>324</v>
      </c>
      <c r="C118" s="12" t="s">
        <v>87</v>
      </c>
      <c r="D118" s="12" t="s">
        <v>205</v>
      </c>
      <c r="E118" s="12" t="s">
        <v>325</v>
      </c>
      <c r="F118" s="12" t="s">
        <v>21</v>
      </c>
      <c r="G118" s="12" t="s">
        <v>90</v>
      </c>
      <c r="H118" s="12" t="s">
        <v>340</v>
      </c>
      <c r="I118" s="12">
        <v>53681137493</v>
      </c>
      <c r="J118" s="12" t="s">
        <v>341</v>
      </c>
      <c r="K118" s="12">
        <v>1</v>
      </c>
      <c r="L118" s="12">
        <v>16</v>
      </c>
      <c r="M118" s="12"/>
      <c r="N118" s="13">
        <v>1893</v>
      </c>
      <c r="O118" s="12" t="s">
        <v>93</v>
      </c>
      <c r="P118" s="12"/>
      <c r="Q118" s="12"/>
      <c r="R118" s="12" t="s">
        <v>94</v>
      </c>
      <c r="S118" s="12">
        <v>10</v>
      </c>
      <c r="T118" s="12" t="s">
        <v>328</v>
      </c>
      <c r="U118" s="12" t="s">
        <v>329</v>
      </c>
      <c r="V118" s="12">
        <f>VLOOKUP(Tabla4[[#This Row],[ZONA DEFINITIVO]],Hoja1!$A$1:$D$121,3,0)</f>
        <v>228995</v>
      </c>
      <c r="W118" s="12">
        <f>VLOOKUP(Tabla4[[#This Row],[ZONA DEFINITIVO]],Hoja1!$A$1:$D$121,2,0)</f>
        <v>15182</v>
      </c>
      <c r="X118" s="12">
        <f>VLOOKUP(Tabla4[[#This Row],[ZONA DEFINITIVO]],Hoja1!$A$1:$D$121,4,0)</f>
        <v>91425</v>
      </c>
      <c r="Y118" s="12" t="str">
        <f>+IF(Tabla4[[#This Row],[AGRUPACIONES]]=1,SUMIFS(Tabla4[UDS],Tabla4[ZONA DEFINITIVO],Tabla4[[#This Row],[ZONA DEFINITIVO]])," ")</f>
        <v xml:space="preserve"> </v>
      </c>
      <c r="Z118" s="12" t="str">
        <f>+IF(Tabla4[[#This Row],[AGRUPACIONES]]=1,SUMIFS(Tabla4[TOTAL COBERTURA],Tabla4[ZONA DEFINITIVO],Tabla4[[#This Row],[ZONA DEFINITIVO]])," ")</f>
        <v xml:space="preserve"> </v>
      </c>
      <c r="AA118" s="12"/>
      <c r="AB118" s="38">
        <v>24308880</v>
      </c>
      <c r="AC118" s="37">
        <v>0.02</v>
      </c>
      <c r="AD118" s="38">
        <f t="shared" si="2"/>
        <v>486177.60000000003</v>
      </c>
      <c r="AE118" s="12"/>
      <c r="AF118" s="12">
        <f>COUNTIF($A$20:A118,A118)</f>
        <v>7</v>
      </c>
      <c r="AG118" s="38">
        <v>24308880</v>
      </c>
      <c r="AH118" s="38">
        <f>Tabla4[[#This Row],[VALOR CONTRAPARTIDA]]+Tabla4[[#This Row],[TOTAL APORTES ICBF]]</f>
        <v>24795057.600000001</v>
      </c>
      <c r="AI118" s="35"/>
      <c r="AJ118" s="38"/>
      <c r="AK118" s="38"/>
      <c r="AL118" s="23"/>
      <c r="AM118" s="35">
        <f>VLOOKUP(Tabla4[[#This Row],[SERVICIO 2025]],$J$2:$V$14,5,0)*Tabla4[[#This Row],[TOTAL COBERTURA]]</f>
        <v>747904</v>
      </c>
      <c r="AN118" s="35">
        <f>VLOOKUP(Tabla4[[#This Row],[SERVICIO 2025]],$J$2:$V$14,6,0)*Tabla4[[#This Row],[TOTAL COBERTURA]]</f>
        <v>605456</v>
      </c>
      <c r="AO118" s="35">
        <f>VLOOKUP(Tabla4[[#This Row],[SERVICIO 2025]],$J$2:$V$14,8,0)*Tabla4[[#This Row],[TOTAL COBERTURA]]</f>
        <v>0</v>
      </c>
      <c r="AP118" s="35">
        <f>VLOOKUP(Tabla4[[#This Row],[SERVICIO 2025]],$J$2:$V$14,3,0)*Tabla4[[#This Row],[TOTAL COBERTURA]]*8</f>
        <v>22955520</v>
      </c>
      <c r="AQ118" s="35"/>
      <c r="AR118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118" s="35" t="str">
        <f>+IF(Tabla4[[#This Row],[AGRUPACIONES]]=1,SUMIFS(Tabla4[VALOR TOTAL],Tabla4[ZONA DEFINITIVO],Tabla4[[#This Row],[ZONA DEFINITIVO]])," ")</f>
        <v xml:space="preserve"> </v>
      </c>
      <c r="AT118" s="27">
        <f>(VLOOKUP(Tabla4[[#This Row],[SERVICIO 2025]],$J$2:$V$14,3,0)*Tabla4[[#This Row],[TOTAL COBERTURA]])+Tabla4[[#This Row],[VALOR FASE PREPARATORIA DE ALISTAMIENTO]]+Tabla4[[#This Row],[DOTACIÓN ÚNICA]]</f>
        <v>3617344</v>
      </c>
      <c r="AU118" s="35">
        <f>(VLOOKUP(Tabla4[[#This Row],[SERVICIO 2025]],$J$2:$V$14,3,0)*Tabla4[[#This Row],[TOTAL COBERTURA]])</f>
        <v>2869440</v>
      </c>
      <c r="AV118" s="35">
        <f>(VLOOKUP(Tabla4[[#This Row],[SERVICIO 2025]],$J$2:$V$14,3,0)*Tabla4[[#This Row],[TOTAL COBERTURA]])</f>
        <v>2869440</v>
      </c>
      <c r="AW118" s="35">
        <f>(VLOOKUP(Tabla4[[#This Row],[SERVICIO 2025]],$J$2:$V$14,3,0)*Tabla4[[#This Row],[TOTAL COBERTURA]])</f>
        <v>2869440</v>
      </c>
      <c r="AX118" s="35">
        <f>(VLOOKUP(Tabla4[[#This Row],[SERVICIO 2025]],$J$2:$V$14,3,0)*Tabla4[[#This Row],[TOTAL COBERTURA]])</f>
        <v>2869440</v>
      </c>
      <c r="AY118" s="35">
        <f>(VLOOKUP(Tabla4[[#This Row],[SERVICIO 2025]],$J$2:$V$14,3,0)*Tabla4[[#This Row],[TOTAL COBERTURA]])</f>
        <v>2869440</v>
      </c>
      <c r="AZ118" s="35">
        <f>(VLOOKUP(Tabla4[[#This Row],[SERVICIO 2025]],$J$2:$V$14,3,0)*Tabla4[[#This Row],[TOTAL COBERTURA]])</f>
        <v>2869440</v>
      </c>
      <c r="BA118" s="35">
        <f>(VLOOKUP(Tabla4[[#This Row],[SERVICIO 2025]],$J$2:$V$14,3,0)*Tabla4[[#This Row],[TOTAL COBERTURA]])+Tabla4[[#This Row],[VALOR FASE PREPARATORIA DE CIERRE]]</f>
        <v>3474896</v>
      </c>
      <c r="BB118" s="35">
        <f>SUM(Tabla4[[#This Row],[DESEMBOLSO 1]:[DESEMBOLSO 8]])</f>
        <v>24308880</v>
      </c>
      <c r="BC118" s="35">
        <f>VLOOKUP(Tabla4[[#This Row],[SERVICIO 2025]],$J$2:$V$14,10,0)*Tabla4[[#This Row],[TOTAL COBERTURA]]*$W$3</f>
        <v>24105088</v>
      </c>
      <c r="BD118" s="47" t="s">
        <v>211</v>
      </c>
      <c r="BE118" s="12" t="b">
        <f>EXACT(Tabla4[[#This Row],[VALOR ATENCIÓN (8 MESES)]],Tabla4[[#This Row],[VALOR TOTAL]])</f>
        <v>1</v>
      </c>
      <c r="BF118" s="23">
        <f>Tabla4[[#This Row],[VALOR ATENCIÓN (8 MESES)]]-Tabla4[[#This Row],[VALOR TOTAL]]</f>
        <v>0</v>
      </c>
      <c r="BG118" s="12" t="b">
        <f>EXACT(Tabla4[[#This Row],[TOTAL DESEMBOLSOS]],Tabla4[[#This Row],[VALOR ATENCIÓN (8 MESES)]])</f>
        <v>1</v>
      </c>
      <c r="BH118" s="29">
        <f>Tabla4[[#This Row],[TOTAL DESEMBOLSOS]]-Tabla4[[#This Row],[VALOR ATENCIÓN (8 MESES)]]</f>
        <v>0</v>
      </c>
      <c r="BI118" t="s">
        <v>98</v>
      </c>
      <c r="BJ118">
        <v>1893</v>
      </c>
    </row>
    <row r="119" spans="1:62">
      <c r="A119" s="13">
        <v>1893</v>
      </c>
      <c r="B119" s="13" t="s">
        <v>324</v>
      </c>
      <c r="C119" s="12" t="s">
        <v>87</v>
      </c>
      <c r="D119" s="12" t="s">
        <v>205</v>
      </c>
      <c r="E119" s="12" t="s">
        <v>325</v>
      </c>
      <c r="F119" s="12" t="s">
        <v>21</v>
      </c>
      <c r="G119" s="12" t="s">
        <v>90</v>
      </c>
      <c r="H119" s="12" t="s">
        <v>342</v>
      </c>
      <c r="I119" s="12">
        <v>53681151115</v>
      </c>
      <c r="J119" s="12" t="s">
        <v>343</v>
      </c>
      <c r="K119" s="12">
        <v>1</v>
      </c>
      <c r="L119" s="12">
        <v>18</v>
      </c>
      <c r="M119" s="12"/>
      <c r="N119" s="13">
        <v>1893</v>
      </c>
      <c r="O119" s="12" t="s">
        <v>93</v>
      </c>
      <c r="P119" s="12"/>
      <c r="Q119" s="12"/>
      <c r="R119" s="12" t="s">
        <v>94</v>
      </c>
      <c r="S119" s="12">
        <v>10</v>
      </c>
      <c r="T119" s="12" t="s">
        <v>328</v>
      </c>
      <c r="U119" s="12" t="s">
        <v>329</v>
      </c>
      <c r="V119" s="12">
        <f>VLOOKUP(Tabla4[[#This Row],[ZONA DEFINITIVO]],Hoja1!$A$1:$D$121,3,0)</f>
        <v>228995</v>
      </c>
      <c r="W119" s="12">
        <f>VLOOKUP(Tabla4[[#This Row],[ZONA DEFINITIVO]],Hoja1!$A$1:$D$121,2,0)</f>
        <v>15182</v>
      </c>
      <c r="X119" s="12">
        <f>VLOOKUP(Tabla4[[#This Row],[ZONA DEFINITIVO]],Hoja1!$A$1:$D$121,4,0)</f>
        <v>91425</v>
      </c>
      <c r="Y119" s="12" t="str">
        <f>+IF(Tabla4[[#This Row],[AGRUPACIONES]]=1,SUMIFS(Tabla4[UDS],Tabla4[ZONA DEFINITIVO],Tabla4[[#This Row],[ZONA DEFINITIVO]])," ")</f>
        <v xml:space="preserve"> </v>
      </c>
      <c r="Z119" s="12" t="str">
        <f>+IF(Tabla4[[#This Row],[AGRUPACIONES]]=1,SUMIFS(Tabla4[TOTAL COBERTURA],Tabla4[ZONA DEFINITIVO],Tabla4[[#This Row],[ZONA DEFINITIVO]])," ")</f>
        <v xml:space="preserve"> </v>
      </c>
      <c r="AA119" s="12"/>
      <c r="AB119" s="38">
        <v>27347490</v>
      </c>
      <c r="AC119" s="37">
        <v>0.02</v>
      </c>
      <c r="AD119" s="38">
        <f t="shared" si="2"/>
        <v>546949.80000000005</v>
      </c>
      <c r="AE119" s="12"/>
      <c r="AF119" s="12">
        <f>COUNTIF($A$20:A119,A119)</f>
        <v>8</v>
      </c>
      <c r="AG119" s="38">
        <v>27347490</v>
      </c>
      <c r="AH119" s="38">
        <f>Tabla4[[#This Row],[VALOR CONTRAPARTIDA]]+Tabla4[[#This Row],[TOTAL APORTES ICBF]]</f>
        <v>27894439.800000001</v>
      </c>
      <c r="AI119" s="35"/>
      <c r="AJ119" s="38"/>
      <c r="AK119" s="38"/>
      <c r="AL119" s="23"/>
      <c r="AM119" s="35">
        <f>VLOOKUP(Tabla4[[#This Row],[SERVICIO 2025]],$J$2:$V$14,5,0)*Tabla4[[#This Row],[TOTAL COBERTURA]]</f>
        <v>841392</v>
      </c>
      <c r="AN119" s="35">
        <f>VLOOKUP(Tabla4[[#This Row],[SERVICIO 2025]],$J$2:$V$14,6,0)*Tabla4[[#This Row],[TOTAL COBERTURA]]</f>
        <v>681138</v>
      </c>
      <c r="AO119" s="35">
        <f>VLOOKUP(Tabla4[[#This Row],[SERVICIO 2025]],$J$2:$V$14,8,0)*Tabla4[[#This Row],[TOTAL COBERTURA]]</f>
        <v>0</v>
      </c>
      <c r="AP119" s="35">
        <f>VLOOKUP(Tabla4[[#This Row],[SERVICIO 2025]],$J$2:$V$14,3,0)*Tabla4[[#This Row],[TOTAL COBERTURA]]*8</f>
        <v>25824960</v>
      </c>
      <c r="AQ119" s="35"/>
      <c r="AR119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119" s="35" t="str">
        <f>+IF(Tabla4[[#This Row],[AGRUPACIONES]]=1,SUMIFS(Tabla4[VALOR TOTAL],Tabla4[ZONA DEFINITIVO],Tabla4[[#This Row],[ZONA DEFINITIVO]])," ")</f>
        <v xml:space="preserve"> </v>
      </c>
      <c r="AT119" s="27">
        <f>(VLOOKUP(Tabla4[[#This Row],[SERVICIO 2025]],$J$2:$V$14,3,0)*Tabla4[[#This Row],[TOTAL COBERTURA]])+Tabla4[[#This Row],[VALOR FASE PREPARATORIA DE ALISTAMIENTO]]+Tabla4[[#This Row],[DOTACIÓN ÚNICA]]</f>
        <v>4069512</v>
      </c>
      <c r="AU119" s="35">
        <f>(VLOOKUP(Tabla4[[#This Row],[SERVICIO 2025]],$J$2:$V$14,3,0)*Tabla4[[#This Row],[TOTAL COBERTURA]])</f>
        <v>3228120</v>
      </c>
      <c r="AV119" s="35">
        <f>(VLOOKUP(Tabla4[[#This Row],[SERVICIO 2025]],$J$2:$V$14,3,0)*Tabla4[[#This Row],[TOTAL COBERTURA]])</f>
        <v>3228120</v>
      </c>
      <c r="AW119" s="35">
        <f>(VLOOKUP(Tabla4[[#This Row],[SERVICIO 2025]],$J$2:$V$14,3,0)*Tabla4[[#This Row],[TOTAL COBERTURA]])</f>
        <v>3228120</v>
      </c>
      <c r="AX119" s="35">
        <f>(VLOOKUP(Tabla4[[#This Row],[SERVICIO 2025]],$J$2:$V$14,3,0)*Tabla4[[#This Row],[TOTAL COBERTURA]])</f>
        <v>3228120</v>
      </c>
      <c r="AY119" s="35">
        <f>(VLOOKUP(Tabla4[[#This Row],[SERVICIO 2025]],$J$2:$V$14,3,0)*Tabla4[[#This Row],[TOTAL COBERTURA]])</f>
        <v>3228120</v>
      </c>
      <c r="AZ119" s="35">
        <f>(VLOOKUP(Tabla4[[#This Row],[SERVICIO 2025]],$J$2:$V$14,3,0)*Tabla4[[#This Row],[TOTAL COBERTURA]])</f>
        <v>3228120</v>
      </c>
      <c r="BA119" s="35">
        <f>(VLOOKUP(Tabla4[[#This Row],[SERVICIO 2025]],$J$2:$V$14,3,0)*Tabla4[[#This Row],[TOTAL COBERTURA]])+Tabla4[[#This Row],[VALOR FASE PREPARATORIA DE CIERRE]]</f>
        <v>3909258</v>
      </c>
      <c r="BB119" s="35">
        <f>SUM(Tabla4[[#This Row],[DESEMBOLSO 1]:[DESEMBOLSO 8]])</f>
        <v>27347490</v>
      </c>
      <c r="BC119" s="35">
        <f>VLOOKUP(Tabla4[[#This Row],[SERVICIO 2025]],$J$2:$V$14,10,0)*Tabla4[[#This Row],[TOTAL COBERTURA]]*$W$3</f>
        <v>27118224</v>
      </c>
      <c r="BD119" s="47" t="s">
        <v>211</v>
      </c>
      <c r="BE119" s="12" t="b">
        <f>EXACT(Tabla4[[#This Row],[VALOR ATENCIÓN (8 MESES)]],Tabla4[[#This Row],[VALOR TOTAL]])</f>
        <v>1</v>
      </c>
      <c r="BF119" s="23">
        <f>Tabla4[[#This Row],[VALOR ATENCIÓN (8 MESES)]]-Tabla4[[#This Row],[VALOR TOTAL]]</f>
        <v>0</v>
      </c>
      <c r="BG119" s="12" t="b">
        <f>EXACT(Tabla4[[#This Row],[TOTAL DESEMBOLSOS]],Tabla4[[#This Row],[VALOR ATENCIÓN (8 MESES)]])</f>
        <v>1</v>
      </c>
      <c r="BH119" s="29">
        <f>Tabla4[[#This Row],[TOTAL DESEMBOLSOS]]-Tabla4[[#This Row],[VALOR ATENCIÓN (8 MESES)]]</f>
        <v>0</v>
      </c>
      <c r="BI119" t="s">
        <v>98</v>
      </c>
      <c r="BJ119">
        <v>1893</v>
      </c>
    </row>
    <row r="120" spans="1:62">
      <c r="A120" s="13">
        <v>1893</v>
      </c>
      <c r="B120" s="13" t="s">
        <v>324</v>
      </c>
      <c r="C120" s="12" t="s">
        <v>87</v>
      </c>
      <c r="D120" s="12" t="s">
        <v>205</v>
      </c>
      <c r="E120" s="12" t="s">
        <v>325</v>
      </c>
      <c r="F120" s="12" t="s">
        <v>21</v>
      </c>
      <c r="G120" s="12" t="s">
        <v>90</v>
      </c>
      <c r="H120" s="12" t="s">
        <v>344</v>
      </c>
      <c r="I120" s="12">
        <v>53681152441</v>
      </c>
      <c r="J120" s="12" t="s">
        <v>345</v>
      </c>
      <c r="K120" s="12">
        <v>1</v>
      </c>
      <c r="L120" s="12">
        <v>11</v>
      </c>
      <c r="M120" s="12"/>
      <c r="N120" s="13">
        <v>1893</v>
      </c>
      <c r="O120" s="12" t="s">
        <v>93</v>
      </c>
      <c r="P120" s="12"/>
      <c r="Q120" s="12"/>
      <c r="R120" s="12" t="s">
        <v>94</v>
      </c>
      <c r="S120" s="12">
        <v>10</v>
      </c>
      <c r="T120" s="12" t="s">
        <v>328</v>
      </c>
      <c r="U120" s="12" t="s">
        <v>329</v>
      </c>
      <c r="V120" s="12">
        <f>VLOOKUP(Tabla4[[#This Row],[ZONA DEFINITIVO]],Hoja1!$A$1:$D$121,3,0)</f>
        <v>228995</v>
      </c>
      <c r="W120" s="12">
        <f>VLOOKUP(Tabla4[[#This Row],[ZONA DEFINITIVO]],Hoja1!$A$1:$D$121,2,0)</f>
        <v>15182</v>
      </c>
      <c r="X120" s="12">
        <f>VLOOKUP(Tabla4[[#This Row],[ZONA DEFINITIVO]],Hoja1!$A$1:$D$121,4,0)</f>
        <v>91425</v>
      </c>
      <c r="Y120" s="12" t="str">
        <f>+IF(Tabla4[[#This Row],[AGRUPACIONES]]=1,SUMIFS(Tabla4[UDS],Tabla4[ZONA DEFINITIVO],Tabla4[[#This Row],[ZONA DEFINITIVO]])," ")</f>
        <v xml:space="preserve"> </v>
      </c>
      <c r="Z120" s="12" t="str">
        <f>+IF(Tabla4[[#This Row],[AGRUPACIONES]]=1,SUMIFS(Tabla4[TOTAL COBERTURA],Tabla4[ZONA DEFINITIVO],Tabla4[[#This Row],[ZONA DEFINITIVO]])," ")</f>
        <v xml:space="preserve"> </v>
      </c>
      <c r="AA120" s="12"/>
      <c r="AB120" s="38">
        <v>16712355</v>
      </c>
      <c r="AC120" s="37">
        <v>0.02</v>
      </c>
      <c r="AD120" s="38">
        <f t="shared" si="2"/>
        <v>334247.10000000003</v>
      </c>
      <c r="AE120" s="12"/>
      <c r="AF120" s="12">
        <f>COUNTIF($A$20:A120,A120)</f>
        <v>9</v>
      </c>
      <c r="AG120" s="38">
        <v>16712355</v>
      </c>
      <c r="AH120" s="38">
        <f>Tabla4[[#This Row],[VALOR CONTRAPARTIDA]]+Tabla4[[#This Row],[TOTAL APORTES ICBF]]</f>
        <v>17046602.100000001</v>
      </c>
      <c r="AI120" s="35"/>
      <c r="AJ120" s="38"/>
      <c r="AK120" s="38"/>
      <c r="AL120" s="23"/>
      <c r="AM120" s="35">
        <f>VLOOKUP(Tabla4[[#This Row],[SERVICIO 2025]],$J$2:$V$14,5,0)*Tabla4[[#This Row],[TOTAL COBERTURA]]</f>
        <v>514184</v>
      </c>
      <c r="AN120" s="35">
        <f>VLOOKUP(Tabla4[[#This Row],[SERVICIO 2025]],$J$2:$V$14,6,0)*Tabla4[[#This Row],[TOTAL COBERTURA]]</f>
        <v>416251</v>
      </c>
      <c r="AO120" s="35">
        <f>VLOOKUP(Tabla4[[#This Row],[SERVICIO 2025]],$J$2:$V$14,8,0)*Tabla4[[#This Row],[TOTAL COBERTURA]]</f>
        <v>0</v>
      </c>
      <c r="AP120" s="35">
        <f>VLOOKUP(Tabla4[[#This Row],[SERVICIO 2025]],$J$2:$V$14,3,0)*Tabla4[[#This Row],[TOTAL COBERTURA]]*8</f>
        <v>15781920</v>
      </c>
      <c r="AQ120" s="35"/>
      <c r="AR120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120" s="35" t="str">
        <f>+IF(Tabla4[[#This Row],[AGRUPACIONES]]=1,SUMIFS(Tabla4[VALOR TOTAL],Tabla4[ZONA DEFINITIVO],Tabla4[[#This Row],[ZONA DEFINITIVO]])," ")</f>
        <v xml:space="preserve"> </v>
      </c>
      <c r="AT120" s="27">
        <f>(VLOOKUP(Tabla4[[#This Row],[SERVICIO 2025]],$J$2:$V$14,3,0)*Tabla4[[#This Row],[TOTAL COBERTURA]])+Tabla4[[#This Row],[VALOR FASE PREPARATORIA DE ALISTAMIENTO]]+Tabla4[[#This Row],[DOTACIÓN ÚNICA]]</f>
        <v>2486924</v>
      </c>
      <c r="AU120" s="35">
        <f>(VLOOKUP(Tabla4[[#This Row],[SERVICIO 2025]],$J$2:$V$14,3,0)*Tabla4[[#This Row],[TOTAL COBERTURA]])</f>
        <v>1972740</v>
      </c>
      <c r="AV120" s="35">
        <f>(VLOOKUP(Tabla4[[#This Row],[SERVICIO 2025]],$J$2:$V$14,3,0)*Tabla4[[#This Row],[TOTAL COBERTURA]])</f>
        <v>1972740</v>
      </c>
      <c r="AW120" s="35">
        <f>(VLOOKUP(Tabla4[[#This Row],[SERVICIO 2025]],$J$2:$V$14,3,0)*Tabla4[[#This Row],[TOTAL COBERTURA]])</f>
        <v>1972740</v>
      </c>
      <c r="AX120" s="35">
        <f>(VLOOKUP(Tabla4[[#This Row],[SERVICIO 2025]],$J$2:$V$14,3,0)*Tabla4[[#This Row],[TOTAL COBERTURA]])</f>
        <v>1972740</v>
      </c>
      <c r="AY120" s="35">
        <f>(VLOOKUP(Tabla4[[#This Row],[SERVICIO 2025]],$J$2:$V$14,3,0)*Tabla4[[#This Row],[TOTAL COBERTURA]])</f>
        <v>1972740</v>
      </c>
      <c r="AZ120" s="35">
        <f>(VLOOKUP(Tabla4[[#This Row],[SERVICIO 2025]],$J$2:$V$14,3,0)*Tabla4[[#This Row],[TOTAL COBERTURA]])</f>
        <v>1972740</v>
      </c>
      <c r="BA120" s="35">
        <f>(VLOOKUP(Tabla4[[#This Row],[SERVICIO 2025]],$J$2:$V$14,3,0)*Tabla4[[#This Row],[TOTAL COBERTURA]])+Tabla4[[#This Row],[VALOR FASE PREPARATORIA DE CIERRE]]</f>
        <v>2388991</v>
      </c>
      <c r="BB120" s="35">
        <f>SUM(Tabla4[[#This Row],[DESEMBOLSO 1]:[DESEMBOLSO 8]])</f>
        <v>16712355</v>
      </c>
      <c r="BC120" s="35">
        <f>VLOOKUP(Tabla4[[#This Row],[SERVICIO 2025]],$J$2:$V$14,10,0)*Tabla4[[#This Row],[TOTAL COBERTURA]]*$W$3</f>
        <v>16572248</v>
      </c>
      <c r="BD120" s="47" t="s">
        <v>211</v>
      </c>
      <c r="BE120" s="12" t="b">
        <f>EXACT(Tabla4[[#This Row],[VALOR ATENCIÓN (8 MESES)]],Tabla4[[#This Row],[VALOR TOTAL]])</f>
        <v>1</v>
      </c>
      <c r="BF120" s="23">
        <f>Tabla4[[#This Row],[VALOR ATENCIÓN (8 MESES)]]-Tabla4[[#This Row],[VALOR TOTAL]]</f>
        <v>0</v>
      </c>
      <c r="BG120" s="12" t="b">
        <f>EXACT(Tabla4[[#This Row],[TOTAL DESEMBOLSOS]],Tabla4[[#This Row],[VALOR ATENCIÓN (8 MESES)]])</f>
        <v>1</v>
      </c>
      <c r="BH120" s="29">
        <f>Tabla4[[#This Row],[TOTAL DESEMBOLSOS]]-Tabla4[[#This Row],[VALOR ATENCIÓN (8 MESES)]]</f>
        <v>0</v>
      </c>
      <c r="BI120" t="s">
        <v>98</v>
      </c>
      <c r="BJ120">
        <v>1893</v>
      </c>
    </row>
    <row r="121" spans="1:62">
      <c r="A121" s="13">
        <v>1893</v>
      </c>
      <c r="B121" s="13" t="s">
        <v>324</v>
      </c>
      <c r="C121" s="12" t="s">
        <v>87</v>
      </c>
      <c r="D121" s="12" t="s">
        <v>205</v>
      </c>
      <c r="E121" s="12" t="s">
        <v>325</v>
      </c>
      <c r="F121" s="12" t="s">
        <v>21</v>
      </c>
      <c r="G121" s="12" t="s">
        <v>90</v>
      </c>
      <c r="H121" s="12" t="s">
        <v>346</v>
      </c>
      <c r="I121" s="12">
        <v>53681153054</v>
      </c>
      <c r="J121" s="12" t="s">
        <v>347</v>
      </c>
      <c r="K121" s="12">
        <v>1</v>
      </c>
      <c r="L121" s="12">
        <v>14</v>
      </c>
      <c r="M121" s="12"/>
      <c r="N121" s="13">
        <v>1893</v>
      </c>
      <c r="O121" s="12" t="s">
        <v>93</v>
      </c>
      <c r="P121" s="12"/>
      <c r="Q121" s="12"/>
      <c r="R121" s="12" t="s">
        <v>94</v>
      </c>
      <c r="S121" s="12">
        <v>10</v>
      </c>
      <c r="T121" s="12" t="s">
        <v>328</v>
      </c>
      <c r="U121" s="12" t="s">
        <v>329</v>
      </c>
      <c r="V121" s="12">
        <f>VLOOKUP(Tabla4[[#This Row],[ZONA DEFINITIVO]],Hoja1!$A$1:$D$121,3,0)</f>
        <v>228995</v>
      </c>
      <c r="W121" s="12">
        <f>VLOOKUP(Tabla4[[#This Row],[ZONA DEFINITIVO]],Hoja1!$A$1:$D$121,2,0)</f>
        <v>15182</v>
      </c>
      <c r="X121" s="12">
        <f>VLOOKUP(Tabla4[[#This Row],[ZONA DEFINITIVO]],Hoja1!$A$1:$D$121,4,0)</f>
        <v>91425</v>
      </c>
      <c r="Y121" s="12" t="str">
        <f>+IF(Tabla4[[#This Row],[AGRUPACIONES]]=1,SUMIFS(Tabla4[UDS],Tabla4[ZONA DEFINITIVO],Tabla4[[#This Row],[ZONA DEFINITIVO]])," ")</f>
        <v xml:space="preserve"> </v>
      </c>
      <c r="Z121" s="12" t="str">
        <f>+IF(Tabla4[[#This Row],[AGRUPACIONES]]=1,SUMIFS(Tabla4[TOTAL COBERTURA],Tabla4[ZONA DEFINITIVO],Tabla4[[#This Row],[ZONA DEFINITIVO]])," ")</f>
        <v xml:space="preserve"> </v>
      </c>
      <c r="AA121" s="12"/>
      <c r="AB121" s="38">
        <v>21270270</v>
      </c>
      <c r="AC121" s="37">
        <v>0.02</v>
      </c>
      <c r="AD121" s="38">
        <f t="shared" si="2"/>
        <v>425405.4</v>
      </c>
      <c r="AE121" s="12"/>
      <c r="AF121" s="12">
        <f>COUNTIF($A$20:A121,A121)</f>
        <v>10</v>
      </c>
      <c r="AG121" s="38">
        <v>21270270</v>
      </c>
      <c r="AH121" s="38">
        <f>Tabla4[[#This Row],[VALOR CONTRAPARTIDA]]+Tabla4[[#This Row],[TOTAL APORTES ICBF]]</f>
        <v>21695675.399999999</v>
      </c>
      <c r="AI121" s="35"/>
      <c r="AJ121" s="38"/>
      <c r="AK121" s="38"/>
      <c r="AL121" s="23"/>
      <c r="AM121" s="35">
        <f>VLOOKUP(Tabla4[[#This Row],[SERVICIO 2025]],$J$2:$V$14,5,0)*Tabla4[[#This Row],[TOTAL COBERTURA]]</f>
        <v>654416</v>
      </c>
      <c r="AN121" s="35">
        <f>VLOOKUP(Tabla4[[#This Row],[SERVICIO 2025]],$J$2:$V$14,6,0)*Tabla4[[#This Row],[TOTAL COBERTURA]]</f>
        <v>529774</v>
      </c>
      <c r="AO121" s="35">
        <f>VLOOKUP(Tabla4[[#This Row],[SERVICIO 2025]],$J$2:$V$14,8,0)*Tabla4[[#This Row],[TOTAL COBERTURA]]</f>
        <v>0</v>
      </c>
      <c r="AP121" s="35">
        <f>VLOOKUP(Tabla4[[#This Row],[SERVICIO 2025]],$J$2:$V$14,3,0)*Tabla4[[#This Row],[TOTAL COBERTURA]]*8</f>
        <v>20086080</v>
      </c>
      <c r="AQ121" s="35"/>
      <c r="AR121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121" s="35" t="str">
        <f>+IF(Tabla4[[#This Row],[AGRUPACIONES]]=1,SUMIFS(Tabla4[VALOR TOTAL],Tabla4[ZONA DEFINITIVO],Tabla4[[#This Row],[ZONA DEFINITIVO]])," ")</f>
        <v xml:space="preserve"> </v>
      </c>
      <c r="AT121" s="27">
        <f>(VLOOKUP(Tabla4[[#This Row],[SERVICIO 2025]],$J$2:$V$14,3,0)*Tabla4[[#This Row],[TOTAL COBERTURA]])+Tabla4[[#This Row],[VALOR FASE PREPARATORIA DE ALISTAMIENTO]]+Tabla4[[#This Row],[DOTACIÓN ÚNICA]]</f>
        <v>3165176</v>
      </c>
      <c r="AU121" s="35">
        <f>(VLOOKUP(Tabla4[[#This Row],[SERVICIO 2025]],$J$2:$V$14,3,0)*Tabla4[[#This Row],[TOTAL COBERTURA]])</f>
        <v>2510760</v>
      </c>
      <c r="AV121" s="35">
        <f>(VLOOKUP(Tabla4[[#This Row],[SERVICIO 2025]],$J$2:$V$14,3,0)*Tabla4[[#This Row],[TOTAL COBERTURA]])</f>
        <v>2510760</v>
      </c>
      <c r="AW121" s="35">
        <f>(VLOOKUP(Tabla4[[#This Row],[SERVICIO 2025]],$J$2:$V$14,3,0)*Tabla4[[#This Row],[TOTAL COBERTURA]])</f>
        <v>2510760</v>
      </c>
      <c r="AX121" s="35">
        <f>(VLOOKUP(Tabla4[[#This Row],[SERVICIO 2025]],$J$2:$V$14,3,0)*Tabla4[[#This Row],[TOTAL COBERTURA]])</f>
        <v>2510760</v>
      </c>
      <c r="AY121" s="35">
        <f>(VLOOKUP(Tabla4[[#This Row],[SERVICIO 2025]],$J$2:$V$14,3,0)*Tabla4[[#This Row],[TOTAL COBERTURA]])</f>
        <v>2510760</v>
      </c>
      <c r="AZ121" s="35">
        <f>(VLOOKUP(Tabla4[[#This Row],[SERVICIO 2025]],$J$2:$V$14,3,0)*Tabla4[[#This Row],[TOTAL COBERTURA]])</f>
        <v>2510760</v>
      </c>
      <c r="BA121" s="35">
        <f>(VLOOKUP(Tabla4[[#This Row],[SERVICIO 2025]],$J$2:$V$14,3,0)*Tabla4[[#This Row],[TOTAL COBERTURA]])+Tabla4[[#This Row],[VALOR FASE PREPARATORIA DE CIERRE]]</f>
        <v>3040534</v>
      </c>
      <c r="BB121" s="35">
        <f>SUM(Tabla4[[#This Row],[DESEMBOLSO 1]:[DESEMBOLSO 8]])</f>
        <v>21270270</v>
      </c>
      <c r="BC121" s="35">
        <f>VLOOKUP(Tabla4[[#This Row],[SERVICIO 2025]],$J$2:$V$14,10,0)*Tabla4[[#This Row],[TOTAL COBERTURA]]*$W$3</f>
        <v>21091952</v>
      </c>
      <c r="BD121" s="47" t="s">
        <v>211</v>
      </c>
      <c r="BE121" s="12" t="b">
        <f>EXACT(Tabla4[[#This Row],[VALOR ATENCIÓN (8 MESES)]],Tabla4[[#This Row],[VALOR TOTAL]])</f>
        <v>1</v>
      </c>
      <c r="BF121" s="23">
        <f>Tabla4[[#This Row],[VALOR ATENCIÓN (8 MESES)]]-Tabla4[[#This Row],[VALOR TOTAL]]</f>
        <v>0</v>
      </c>
      <c r="BG121" s="12" t="b">
        <f>EXACT(Tabla4[[#This Row],[TOTAL DESEMBOLSOS]],Tabla4[[#This Row],[VALOR ATENCIÓN (8 MESES)]])</f>
        <v>1</v>
      </c>
      <c r="BH121" s="29">
        <f>Tabla4[[#This Row],[TOTAL DESEMBOLSOS]]-Tabla4[[#This Row],[VALOR ATENCIÓN (8 MESES)]]</f>
        <v>0</v>
      </c>
      <c r="BI121" t="s">
        <v>98</v>
      </c>
      <c r="BJ121">
        <v>1893</v>
      </c>
    </row>
    <row r="122" spans="1:62">
      <c r="A122" s="13">
        <v>1893</v>
      </c>
      <c r="B122" s="13" t="s">
        <v>324</v>
      </c>
      <c r="C122" s="12" t="s">
        <v>87</v>
      </c>
      <c r="D122" s="12" t="s">
        <v>205</v>
      </c>
      <c r="E122" s="12" t="s">
        <v>325</v>
      </c>
      <c r="F122" s="12" t="s">
        <v>14</v>
      </c>
      <c r="G122" s="12" t="s">
        <v>90</v>
      </c>
      <c r="H122" s="12" t="s">
        <v>348</v>
      </c>
      <c r="I122" s="12">
        <v>536800021812</v>
      </c>
      <c r="J122" s="12" t="s">
        <v>349</v>
      </c>
      <c r="K122" s="12">
        <v>1</v>
      </c>
      <c r="L122" s="12">
        <v>39</v>
      </c>
      <c r="M122" s="12"/>
      <c r="N122" s="13">
        <v>1893</v>
      </c>
      <c r="O122" s="12" t="s">
        <v>93</v>
      </c>
      <c r="P122" s="12"/>
      <c r="Q122" s="12"/>
      <c r="R122" s="12" t="s">
        <v>94</v>
      </c>
      <c r="S122" s="12">
        <v>10</v>
      </c>
      <c r="T122" s="12" t="s">
        <v>328</v>
      </c>
      <c r="U122" s="12" t="s">
        <v>329</v>
      </c>
      <c r="V122" s="12">
        <f>VLOOKUP(Tabla4[[#This Row],[ZONA DEFINITIVO]],Hoja1!$A$1:$D$121,3,0)</f>
        <v>228995</v>
      </c>
      <c r="W122" s="12">
        <f>VLOOKUP(Tabla4[[#This Row],[ZONA DEFINITIVO]],Hoja1!$A$1:$D$121,2,0)</f>
        <v>15182</v>
      </c>
      <c r="X122" s="12">
        <f>VLOOKUP(Tabla4[[#This Row],[ZONA DEFINITIVO]],Hoja1!$A$1:$D$121,4,0)</f>
        <v>91425</v>
      </c>
      <c r="Y122" s="12" t="str">
        <f>+IF(Tabla4[[#This Row],[AGRUPACIONES]]=1,SUMIFS(Tabla4[UDS],Tabla4[ZONA DEFINITIVO],Tabla4[[#This Row],[ZONA DEFINITIVO]])," ")</f>
        <v xml:space="preserve"> </v>
      </c>
      <c r="Z122" s="12" t="str">
        <f>+IF(Tabla4[[#This Row],[AGRUPACIONES]]=1,SUMIFS(Tabla4[TOTAL COBERTURA],Tabla4[ZONA DEFINITIVO],Tabla4[[#This Row],[ZONA DEFINITIVO]])," ")</f>
        <v xml:space="preserve"> </v>
      </c>
      <c r="AA122" s="12"/>
      <c r="AB122" s="38">
        <v>163365150</v>
      </c>
      <c r="AC122" s="37">
        <v>0.02</v>
      </c>
      <c r="AD122" s="38">
        <f t="shared" si="2"/>
        <v>3267303</v>
      </c>
      <c r="AE122" s="12"/>
      <c r="AF122" s="12">
        <f>COUNTIF($A$20:A122,A122)</f>
        <v>11</v>
      </c>
      <c r="AG122" s="38">
        <v>163365150</v>
      </c>
      <c r="AH122" s="38">
        <f>Tabla4[[#This Row],[VALOR CONTRAPARTIDA]]+Tabla4[[#This Row],[TOTAL APORTES ICBF]]</f>
        <v>166632453</v>
      </c>
      <c r="AI122" s="35"/>
      <c r="AJ122" s="38"/>
      <c r="AK122" s="38"/>
      <c r="AL122" s="23"/>
      <c r="AM122" s="35">
        <f>VLOOKUP(Tabla4[[#This Row],[SERVICIO 2025]],$J$2:$V$14,5,0)*Tabla4[[#This Row],[TOTAL COBERTURA]]</f>
        <v>3437577</v>
      </c>
      <c r="AN122" s="35">
        <f>VLOOKUP(Tabla4[[#This Row],[SERVICIO 2025]],$J$2:$V$14,6,0)*Tabla4[[#This Row],[TOTAL COBERTURA]]</f>
        <v>2926677</v>
      </c>
      <c r="AO122" s="35">
        <f>VLOOKUP(Tabla4[[#This Row],[SERVICIO 2025]],$J$2:$V$14,8,0)*Tabla4[[#This Row],[TOTAL COBERTURA]]</f>
        <v>0</v>
      </c>
      <c r="AP122" s="35">
        <f>VLOOKUP(Tabla4[[#This Row],[SERVICIO 2025]],$J$2:$V$14,3,0)*Tabla4[[#This Row],[TOTAL COBERTURA]]*8</f>
        <v>157000896</v>
      </c>
      <c r="AQ122" s="35"/>
      <c r="AR122" s="35">
        <f>Tabla4[[#This Row],[VALOR FASE PREPARATORIA DE ALISTAMIENTO]]+Tabla4[[#This Row],[VALOR FASE PREPARATORIA DE CIERRE]]+Tabla4[[#This Row],[DOTACIÓN ÚNICA]]+Tabla4[[#This Row],[VALOR ATENCIÓN]]+Tabla4[[#This Row],[VALOR RACION PREPARADA]]</f>
        <v>163365150</v>
      </c>
      <c r="AS122" s="35" t="str">
        <f>+IF(Tabla4[[#This Row],[AGRUPACIONES]]=1,SUMIFS(Tabla4[VALOR TOTAL],Tabla4[ZONA DEFINITIVO],Tabla4[[#This Row],[ZONA DEFINITIVO]])," ")</f>
        <v xml:space="preserve"> </v>
      </c>
      <c r="AT122" s="27">
        <f>(VLOOKUP(Tabla4[[#This Row],[SERVICIO 2025]],$J$2:$V$14,3,0)*Tabla4[[#This Row],[TOTAL COBERTURA]])+Tabla4[[#This Row],[VALOR FASE PREPARATORIA DE ALISTAMIENTO]]+Tabla4[[#This Row],[DOTACIÓN ÚNICA]]</f>
        <v>23062689</v>
      </c>
      <c r="AU122" s="35">
        <f>(VLOOKUP(Tabla4[[#This Row],[SERVICIO 2025]],$J$2:$V$14,3,0)*Tabla4[[#This Row],[TOTAL COBERTURA]])</f>
        <v>19625112</v>
      </c>
      <c r="AV122" s="35">
        <f>(VLOOKUP(Tabla4[[#This Row],[SERVICIO 2025]],$J$2:$V$14,3,0)*Tabla4[[#This Row],[TOTAL COBERTURA]])</f>
        <v>19625112</v>
      </c>
      <c r="AW122" s="35">
        <f>(VLOOKUP(Tabla4[[#This Row],[SERVICIO 2025]],$J$2:$V$14,3,0)*Tabla4[[#This Row],[TOTAL COBERTURA]])</f>
        <v>19625112</v>
      </c>
      <c r="AX122" s="35">
        <f>(VLOOKUP(Tabla4[[#This Row],[SERVICIO 2025]],$J$2:$V$14,3,0)*Tabla4[[#This Row],[TOTAL COBERTURA]])</f>
        <v>19625112</v>
      </c>
      <c r="AY122" s="35">
        <f>(VLOOKUP(Tabla4[[#This Row],[SERVICIO 2025]],$J$2:$V$14,3,0)*Tabla4[[#This Row],[TOTAL COBERTURA]])</f>
        <v>19625112</v>
      </c>
      <c r="AZ122" s="35">
        <f>(VLOOKUP(Tabla4[[#This Row],[SERVICIO 2025]],$J$2:$V$14,3,0)*Tabla4[[#This Row],[TOTAL COBERTURA]])</f>
        <v>19625112</v>
      </c>
      <c r="BA122" s="35">
        <f>(VLOOKUP(Tabla4[[#This Row],[SERVICIO 2025]],$J$2:$V$14,3,0)*Tabla4[[#This Row],[TOTAL COBERTURA]])+Tabla4[[#This Row],[VALOR FASE PREPARATORIA DE CIERRE]]</f>
        <v>22551789</v>
      </c>
      <c r="BB122" s="35">
        <f>SUM(Tabla4[[#This Row],[DESEMBOLSO 1]:[DESEMBOLSO 8]])</f>
        <v>163365150</v>
      </c>
      <c r="BC122" s="35">
        <f>VLOOKUP(Tabla4[[#This Row],[SERVICIO 2025]],$J$2:$V$14,10,0)*Tabla4[[#This Row],[TOTAL COBERTURA]]*$W$3</f>
        <v>0</v>
      </c>
      <c r="BD122" s="47" t="s">
        <v>145</v>
      </c>
      <c r="BE122" s="12" t="b">
        <f>EXACT(Tabla4[[#This Row],[VALOR ATENCIÓN (8 MESES)]],Tabla4[[#This Row],[VALOR TOTAL]])</f>
        <v>1</v>
      </c>
      <c r="BF122" s="23">
        <f>Tabla4[[#This Row],[VALOR ATENCIÓN (8 MESES)]]-Tabla4[[#This Row],[VALOR TOTAL]]</f>
        <v>0</v>
      </c>
      <c r="BG122" s="12" t="b">
        <f>EXACT(Tabla4[[#This Row],[TOTAL DESEMBOLSOS]],Tabla4[[#This Row],[VALOR ATENCIÓN (8 MESES)]])</f>
        <v>1</v>
      </c>
      <c r="BH122" s="29">
        <f>Tabla4[[#This Row],[TOTAL DESEMBOLSOS]]-Tabla4[[#This Row],[VALOR ATENCIÓN (8 MESES)]]</f>
        <v>0</v>
      </c>
      <c r="BI122" t="s">
        <v>98</v>
      </c>
      <c r="BJ122">
        <v>1893</v>
      </c>
    </row>
    <row r="123" spans="1:62">
      <c r="A123" s="13">
        <v>1893</v>
      </c>
      <c r="B123" s="13" t="s">
        <v>324</v>
      </c>
      <c r="C123" s="12" t="s">
        <v>87</v>
      </c>
      <c r="D123" s="12" t="s">
        <v>205</v>
      </c>
      <c r="E123" s="12" t="s">
        <v>325</v>
      </c>
      <c r="F123" s="12" t="s">
        <v>21</v>
      </c>
      <c r="G123" s="12" t="s">
        <v>90</v>
      </c>
      <c r="H123" s="12" t="s">
        <v>346</v>
      </c>
      <c r="I123" s="12">
        <v>536800021892</v>
      </c>
      <c r="J123" s="12" t="s">
        <v>350</v>
      </c>
      <c r="K123" s="12">
        <v>1</v>
      </c>
      <c r="L123" s="12">
        <v>18</v>
      </c>
      <c r="M123" s="12"/>
      <c r="N123" s="13">
        <v>1893</v>
      </c>
      <c r="O123" s="12" t="s">
        <v>93</v>
      </c>
      <c r="P123" s="12"/>
      <c r="Q123" s="12"/>
      <c r="R123" s="12" t="s">
        <v>94</v>
      </c>
      <c r="S123" s="12">
        <v>10</v>
      </c>
      <c r="T123" s="12" t="s">
        <v>328</v>
      </c>
      <c r="U123" s="12" t="s">
        <v>329</v>
      </c>
      <c r="V123" s="12">
        <f>VLOOKUP(Tabla4[[#This Row],[ZONA DEFINITIVO]],Hoja1!$A$1:$D$121,3,0)</f>
        <v>228995</v>
      </c>
      <c r="W123" s="12">
        <f>VLOOKUP(Tabla4[[#This Row],[ZONA DEFINITIVO]],Hoja1!$A$1:$D$121,2,0)</f>
        <v>15182</v>
      </c>
      <c r="X123" s="12">
        <f>VLOOKUP(Tabla4[[#This Row],[ZONA DEFINITIVO]],Hoja1!$A$1:$D$121,4,0)</f>
        <v>91425</v>
      </c>
      <c r="Y123" s="12" t="str">
        <f>+IF(Tabla4[[#This Row],[AGRUPACIONES]]=1,SUMIFS(Tabla4[UDS],Tabla4[ZONA DEFINITIVO],Tabla4[[#This Row],[ZONA DEFINITIVO]])," ")</f>
        <v xml:space="preserve"> </v>
      </c>
      <c r="Z123" s="12" t="str">
        <f>+IF(Tabla4[[#This Row],[AGRUPACIONES]]=1,SUMIFS(Tabla4[TOTAL COBERTURA],Tabla4[ZONA DEFINITIVO],Tabla4[[#This Row],[ZONA DEFINITIVO]])," ")</f>
        <v xml:space="preserve"> </v>
      </c>
      <c r="AA123" s="12"/>
      <c r="AB123" s="38">
        <v>27347490</v>
      </c>
      <c r="AC123" s="37">
        <v>0.02</v>
      </c>
      <c r="AD123" s="38">
        <f t="shared" si="2"/>
        <v>546949.80000000005</v>
      </c>
      <c r="AE123" s="12"/>
      <c r="AF123" s="12">
        <f>COUNTIF($A$20:A123,A123)</f>
        <v>12</v>
      </c>
      <c r="AG123" s="38">
        <v>27347490</v>
      </c>
      <c r="AH123" s="38">
        <f>Tabla4[[#This Row],[VALOR CONTRAPARTIDA]]+Tabla4[[#This Row],[TOTAL APORTES ICBF]]</f>
        <v>27894439.800000001</v>
      </c>
      <c r="AI123" s="35"/>
      <c r="AJ123" s="38"/>
      <c r="AK123" s="38"/>
      <c r="AL123" s="23"/>
      <c r="AM123" s="35">
        <f>VLOOKUP(Tabla4[[#This Row],[SERVICIO 2025]],$J$2:$V$14,5,0)*Tabla4[[#This Row],[TOTAL COBERTURA]]</f>
        <v>841392</v>
      </c>
      <c r="AN123" s="35">
        <f>VLOOKUP(Tabla4[[#This Row],[SERVICIO 2025]],$J$2:$V$14,6,0)*Tabla4[[#This Row],[TOTAL COBERTURA]]</f>
        <v>681138</v>
      </c>
      <c r="AO123" s="35">
        <f>VLOOKUP(Tabla4[[#This Row],[SERVICIO 2025]],$J$2:$V$14,8,0)*Tabla4[[#This Row],[TOTAL COBERTURA]]</f>
        <v>0</v>
      </c>
      <c r="AP123" s="35">
        <f>VLOOKUP(Tabla4[[#This Row],[SERVICIO 2025]],$J$2:$V$14,3,0)*Tabla4[[#This Row],[TOTAL COBERTURA]]*8</f>
        <v>25824960</v>
      </c>
      <c r="AQ123" s="35"/>
      <c r="AR123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123" s="35" t="str">
        <f>+IF(Tabla4[[#This Row],[AGRUPACIONES]]=1,SUMIFS(Tabla4[VALOR TOTAL],Tabla4[ZONA DEFINITIVO],Tabla4[[#This Row],[ZONA DEFINITIVO]])," ")</f>
        <v xml:space="preserve"> </v>
      </c>
      <c r="AT123" s="27">
        <f>(VLOOKUP(Tabla4[[#This Row],[SERVICIO 2025]],$J$2:$V$14,3,0)*Tabla4[[#This Row],[TOTAL COBERTURA]])+Tabla4[[#This Row],[VALOR FASE PREPARATORIA DE ALISTAMIENTO]]+Tabla4[[#This Row],[DOTACIÓN ÚNICA]]</f>
        <v>4069512</v>
      </c>
      <c r="AU123" s="35">
        <f>(VLOOKUP(Tabla4[[#This Row],[SERVICIO 2025]],$J$2:$V$14,3,0)*Tabla4[[#This Row],[TOTAL COBERTURA]])</f>
        <v>3228120</v>
      </c>
      <c r="AV123" s="35">
        <f>(VLOOKUP(Tabla4[[#This Row],[SERVICIO 2025]],$J$2:$V$14,3,0)*Tabla4[[#This Row],[TOTAL COBERTURA]])</f>
        <v>3228120</v>
      </c>
      <c r="AW123" s="35">
        <f>(VLOOKUP(Tabla4[[#This Row],[SERVICIO 2025]],$J$2:$V$14,3,0)*Tabla4[[#This Row],[TOTAL COBERTURA]])</f>
        <v>3228120</v>
      </c>
      <c r="AX123" s="35">
        <f>(VLOOKUP(Tabla4[[#This Row],[SERVICIO 2025]],$J$2:$V$14,3,0)*Tabla4[[#This Row],[TOTAL COBERTURA]])</f>
        <v>3228120</v>
      </c>
      <c r="AY123" s="35">
        <f>(VLOOKUP(Tabla4[[#This Row],[SERVICIO 2025]],$J$2:$V$14,3,0)*Tabla4[[#This Row],[TOTAL COBERTURA]])</f>
        <v>3228120</v>
      </c>
      <c r="AZ123" s="35">
        <f>(VLOOKUP(Tabla4[[#This Row],[SERVICIO 2025]],$J$2:$V$14,3,0)*Tabla4[[#This Row],[TOTAL COBERTURA]])</f>
        <v>3228120</v>
      </c>
      <c r="BA123" s="35">
        <f>(VLOOKUP(Tabla4[[#This Row],[SERVICIO 2025]],$J$2:$V$14,3,0)*Tabla4[[#This Row],[TOTAL COBERTURA]])+Tabla4[[#This Row],[VALOR FASE PREPARATORIA DE CIERRE]]</f>
        <v>3909258</v>
      </c>
      <c r="BB123" s="35">
        <f>SUM(Tabla4[[#This Row],[DESEMBOLSO 1]:[DESEMBOLSO 8]])</f>
        <v>27347490</v>
      </c>
      <c r="BC123" s="35">
        <f>VLOOKUP(Tabla4[[#This Row],[SERVICIO 2025]],$J$2:$V$14,10,0)*Tabla4[[#This Row],[TOTAL COBERTURA]]*$W$3</f>
        <v>27118224</v>
      </c>
      <c r="BD123" s="47" t="s">
        <v>211</v>
      </c>
      <c r="BE123" s="12" t="b">
        <f>EXACT(Tabla4[[#This Row],[VALOR ATENCIÓN (8 MESES)]],Tabla4[[#This Row],[VALOR TOTAL]])</f>
        <v>1</v>
      </c>
      <c r="BF123" s="23">
        <f>Tabla4[[#This Row],[VALOR ATENCIÓN (8 MESES)]]-Tabla4[[#This Row],[VALOR TOTAL]]</f>
        <v>0</v>
      </c>
      <c r="BG123" s="12" t="b">
        <f>EXACT(Tabla4[[#This Row],[TOTAL DESEMBOLSOS]],Tabla4[[#This Row],[VALOR ATENCIÓN (8 MESES)]])</f>
        <v>1</v>
      </c>
      <c r="BH123" s="29">
        <f>Tabla4[[#This Row],[TOTAL DESEMBOLSOS]]-Tabla4[[#This Row],[VALOR ATENCIÓN (8 MESES)]]</f>
        <v>0</v>
      </c>
      <c r="BI123" t="s">
        <v>98</v>
      </c>
      <c r="BJ123">
        <v>1893</v>
      </c>
    </row>
    <row r="124" spans="1:62">
      <c r="A124" s="13">
        <v>1893</v>
      </c>
      <c r="B124" s="13" t="s">
        <v>324</v>
      </c>
      <c r="C124" s="12" t="s">
        <v>87</v>
      </c>
      <c r="D124" s="12" t="s">
        <v>205</v>
      </c>
      <c r="E124" s="12" t="s">
        <v>325</v>
      </c>
      <c r="F124" s="12" t="s">
        <v>14</v>
      </c>
      <c r="G124" s="12" t="s">
        <v>90</v>
      </c>
      <c r="H124" s="12" t="s">
        <v>351</v>
      </c>
      <c r="I124" s="12">
        <v>536800024349</v>
      </c>
      <c r="J124" s="12" t="s">
        <v>352</v>
      </c>
      <c r="K124" s="12">
        <v>1</v>
      </c>
      <c r="L124" s="12">
        <v>85</v>
      </c>
      <c r="M124" s="12"/>
      <c r="N124" s="13">
        <v>1893</v>
      </c>
      <c r="O124" s="12" t="s">
        <v>93</v>
      </c>
      <c r="P124" s="12"/>
      <c r="Q124" s="12"/>
      <c r="R124" s="12" t="s">
        <v>94</v>
      </c>
      <c r="S124" s="12">
        <v>10</v>
      </c>
      <c r="T124" s="12" t="s">
        <v>328</v>
      </c>
      <c r="U124" s="12" t="s">
        <v>329</v>
      </c>
      <c r="V124" s="12">
        <f>VLOOKUP(Tabla4[[#This Row],[ZONA DEFINITIVO]],Hoja1!$A$1:$D$121,3,0)</f>
        <v>228995</v>
      </c>
      <c r="W124" s="12">
        <f>VLOOKUP(Tabla4[[#This Row],[ZONA DEFINITIVO]],Hoja1!$A$1:$D$121,2,0)</f>
        <v>15182</v>
      </c>
      <c r="X124" s="12">
        <f>VLOOKUP(Tabla4[[#This Row],[ZONA DEFINITIVO]],Hoja1!$A$1:$D$121,4,0)</f>
        <v>91425</v>
      </c>
      <c r="Y124" s="12" t="str">
        <f>+IF(Tabla4[[#This Row],[AGRUPACIONES]]=1,SUMIFS(Tabla4[UDS],Tabla4[ZONA DEFINITIVO],Tabla4[[#This Row],[ZONA DEFINITIVO]])," ")</f>
        <v xml:space="preserve"> </v>
      </c>
      <c r="Z124" s="12" t="str">
        <f>+IF(Tabla4[[#This Row],[AGRUPACIONES]]=1,SUMIFS(Tabla4[TOTAL COBERTURA],Tabla4[ZONA DEFINITIVO],Tabla4[[#This Row],[ZONA DEFINITIVO]])," ")</f>
        <v xml:space="preserve"> </v>
      </c>
      <c r="AA124" s="12"/>
      <c r="AB124" s="38">
        <v>356052250</v>
      </c>
      <c r="AC124" s="37">
        <v>0.02</v>
      </c>
      <c r="AD124" s="38">
        <f t="shared" si="2"/>
        <v>7121045</v>
      </c>
      <c r="AE124" s="12"/>
      <c r="AF124" s="12">
        <f>COUNTIF($A$20:A124,A124)</f>
        <v>13</v>
      </c>
      <c r="AG124" s="38">
        <v>356052250</v>
      </c>
      <c r="AH124" s="38">
        <f>Tabla4[[#This Row],[VALOR CONTRAPARTIDA]]+Tabla4[[#This Row],[TOTAL APORTES ICBF]]</f>
        <v>363173295</v>
      </c>
      <c r="AI124" s="35"/>
      <c r="AJ124" s="38"/>
      <c r="AK124" s="38"/>
      <c r="AL124" s="23"/>
      <c r="AM124" s="35">
        <f>VLOOKUP(Tabla4[[#This Row],[SERVICIO 2025]],$J$2:$V$14,5,0)*Tabla4[[#This Row],[TOTAL COBERTURA]]</f>
        <v>7492155</v>
      </c>
      <c r="AN124" s="35">
        <f>VLOOKUP(Tabla4[[#This Row],[SERVICIO 2025]],$J$2:$V$14,6,0)*Tabla4[[#This Row],[TOTAL COBERTURA]]</f>
        <v>6378655</v>
      </c>
      <c r="AO124" s="35">
        <f>VLOOKUP(Tabla4[[#This Row],[SERVICIO 2025]],$J$2:$V$14,8,0)*Tabla4[[#This Row],[TOTAL COBERTURA]]</f>
        <v>0</v>
      </c>
      <c r="AP124" s="35">
        <f>VLOOKUP(Tabla4[[#This Row],[SERVICIO 2025]],$J$2:$V$14,3,0)*Tabla4[[#This Row],[TOTAL COBERTURA]]*8</f>
        <v>342181440</v>
      </c>
      <c r="AQ124" s="35"/>
      <c r="AR124" s="35">
        <f>Tabla4[[#This Row],[VALOR FASE PREPARATORIA DE ALISTAMIENTO]]+Tabla4[[#This Row],[VALOR FASE PREPARATORIA DE CIERRE]]+Tabla4[[#This Row],[DOTACIÓN ÚNICA]]+Tabla4[[#This Row],[VALOR ATENCIÓN]]+Tabla4[[#This Row],[VALOR RACION PREPARADA]]</f>
        <v>356052250</v>
      </c>
      <c r="AS124" s="35" t="str">
        <f>+IF(Tabla4[[#This Row],[AGRUPACIONES]]=1,SUMIFS(Tabla4[VALOR TOTAL],Tabla4[ZONA DEFINITIVO],Tabla4[[#This Row],[ZONA DEFINITIVO]])," ")</f>
        <v xml:space="preserve"> </v>
      </c>
      <c r="AT124" s="27">
        <f>(VLOOKUP(Tabla4[[#This Row],[SERVICIO 2025]],$J$2:$V$14,3,0)*Tabla4[[#This Row],[TOTAL COBERTURA]])+Tabla4[[#This Row],[VALOR FASE PREPARATORIA DE ALISTAMIENTO]]+Tabla4[[#This Row],[DOTACIÓN ÚNICA]]</f>
        <v>50264835</v>
      </c>
      <c r="AU124" s="35">
        <f>(VLOOKUP(Tabla4[[#This Row],[SERVICIO 2025]],$J$2:$V$14,3,0)*Tabla4[[#This Row],[TOTAL COBERTURA]])</f>
        <v>42772680</v>
      </c>
      <c r="AV124" s="35">
        <f>(VLOOKUP(Tabla4[[#This Row],[SERVICIO 2025]],$J$2:$V$14,3,0)*Tabla4[[#This Row],[TOTAL COBERTURA]])</f>
        <v>42772680</v>
      </c>
      <c r="AW124" s="35">
        <f>(VLOOKUP(Tabla4[[#This Row],[SERVICIO 2025]],$J$2:$V$14,3,0)*Tabla4[[#This Row],[TOTAL COBERTURA]])</f>
        <v>42772680</v>
      </c>
      <c r="AX124" s="35">
        <f>(VLOOKUP(Tabla4[[#This Row],[SERVICIO 2025]],$J$2:$V$14,3,0)*Tabla4[[#This Row],[TOTAL COBERTURA]])</f>
        <v>42772680</v>
      </c>
      <c r="AY124" s="35">
        <f>(VLOOKUP(Tabla4[[#This Row],[SERVICIO 2025]],$J$2:$V$14,3,0)*Tabla4[[#This Row],[TOTAL COBERTURA]])</f>
        <v>42772680</v>
      </c>
      <c r="AZ124" s="35">
        <f>(VLOOKUP(Tabla4[[#This Row],[SERVICIO 2025]],$J$2:$V$14,3,0)*Tabla4[[#This Row],[TOTAL COBERTURA]])</f>
        <v>42772680</v>
      </c>
      <c r="BA124" s="35">
        <f>(VLOOKUP(Tabla4[[#This Row],[SERVICIO 2025]],$J$2:$V$14,3,0)*Tabla4[[#This Row],[TOTAL COBERTURA]])+Tabla4[[#This Row],[VALOR FASE PREPARATORIA DE CIERRE]]</f>
        <v>49151335</v>
      </c>
      <c r="BB124" s="35">
        <f>SUM(Tabla4[[#This Row],[DESEMBOLSO 1]:[DESEMBOLSO 8]])</f>
        <v>356052250</v>
      </c>
      <c r="BC124" s="35">
        <f>VLOOKUP(Tabla4[[#This Row],[SERVICIO 2025]],$J$2:$V$14,10,0)*Tabla4[[#This Row],[TOTAL COBERTURA]]*$W$3</f>
        <v>0</v>
      </c>
      <c r="BD124" s="47" t="s">
        <v>145</v>
      </c>
      <c r="BE124" s="12" t="b">
        <f>EXACT(Tabla4[[#This Row],[VALOR ATENCIÓN (8 MESES)]],Tabla4[[#This Row],[VALOR TOTAL]])</f>
        <v>1</v>
      </c>
      <c r="BF124" s="23">
        <f>Tabla4[[#This Row],[VALOR ATENCIÓN (8 MESES)]]-Tabla4[[#This Row],[VALOR TOTAL]]</f>
        <v>0</v>
      </c>
      <c r="BG124" s="12" t="b">
        <f>EXACT(Tabla4[[#This Row],[TOTAL DESEMBOLSOS]],Tabla4[[#This Row],[VALOR ATENCIÓN (8 MESES)]])</f>
        <v>1</v>
      </c>
      <c r="BH124" s="29">
        <f>Tabla4[[#This Row],[TOTAL DESEMBOLSOS]]-Tabla4[[#This Row],[VALOR ATENCIÓN (8 MESES)]]</f>
        <v>0</v>
      </c>
      <c r="BI124" t="s">
        <v>98</v>
      </c>
      <c r="BJ124">
        <v>1893</v>
      </c>
    </row>
    <row r="125" spans="1:62">
      <c r="A125" s="13">
        <v>1895</v>
      </c>
      <c r="B125" s="13" t="s">
        <v>353</v>
      </c>
      <c r="C125" s="12" t="s">
        <v>87</v>
      </c>
      <c r="D125" s="12" t="s">
        <v>205</v>
      </c>
      <c r="E125" s="12" t="s">
        <v>354</v>
      </c>
      <c r="F125" s="12" t="s">
        <v>21</v>
      </c>
      <c r="G125" s="12" t="s">
        <v>90</v>
      </c>
      <c r="H125" s="12" t="s">
        <v>355</v>
      </c>
      <c r="I125" s="12">
        <v>55761119923</v>
      </c>
      <c r="J125" s="12" t="s">
        <v>356</v>
      </c>
      <c r="K125" s="12">
        <v>1</v>
      </c>
      <c r="L125" s="12">
        <v>17</v>
      </c>
      <c r="M125" s="12"/>
      <c r="N125" s="13">
        <v>1895</v>
      </c>
      <c r="O125" s="12" t="s">
        <v>93</v>
      </c>
      <c r="P125" s="12"/>
      <c r="Q125" s="12"/>
      <c r="R125" s="12" t="s">
        <v>94</v>
      </c>
      <c r="S125" s="12">
        <v>10</v>
      </c>
      <c r="T125" s="12" t="s">
        <v>357</v>
      </c>
      <c r="U125" s="12" t="s">
        <v>358</v>
      </c>
      <c r="V125" s="12">
        <f>VLOOKUP(Tabla4[[#This Row],[ZONA DEFINITIVO]],Hoja1!$A$1:$D$121,3,0)</f>
        <v>228998</v>
      </c>
      <c r="W125" s="12">
        <f>VLOOKUP(Tabla4[[#This Row],[ZONA DEFINITIVO]],Hoja1!$A$1:$D$121,2,0)</f>
        <v>15153</v>
      </c>
      <c r="X125" s="12">
        <f>VLOOKUP(Tabla4[[#This Row],[ZONA DEFINITIVO]],Hoja1!$A$1:$D$121,4,0)</f>
        <v>90825</v>
      </c>
      <c r="Y125" s="12">
        <f>+IF(Tabla4[[#This Row],[AGRUPACIONES]]=1,SUMIFS(Tabla4[UDS],Tabla4[ZONA DEFINITIVO],Tabla4[[#This Row],[ZONA DEFINITIVO]])," ")</f>
        <v>9</v>
      </c>
      <c r="Z125" s="12">
        <f>+IF(Tabla4[[#This Row],[AGRUPACIONES]]=1,SUMIFS(Tabla4[TOTAL COBERTURA],Tabla4[ZONA DEFINITIVO],Tabla4[[#This Row],[ZONA DEFINITIVO]])," ")</f>
        <v>228</v>
      </c>
      <c r="AA125" s="12"/>
      <c r="AB125" s="38">
        <v>25828185</v>
      </c>
      <c r="AC125" s="37">
        <v>0.02</v>
      </c>
      <c r="AD125" s="38">
        <f t="shared" si="2"/>
        <v>516563.7</v>
      </c>
      <c r="AE125" s="12"/>
      <c r="AF125" s="12">
        <f>COUNTIF($A$20:A125,A125)</f>
        <v>1</v>
      </c>
      <c r="AG125" s="38">
        <v>25828185</v>
      </c>
      <c r="AH125" s="38">
        <f>Tabla4[[#This Row],[VALOR CONTRAPARTIDA]]+Tabla4[[#This Row],[TOTAL APORTES ICBF]]</f>
        <v>26344748.699999999</v>
      </c>
      <c r="AI125" s="35">
        <f>ROUND(+IF(Tabla4[[#This Row],[AGRUPACIONES]]=1,SUMIFS(Tabla4[TOTAL APORTES ICBF],Tabla4[ZONA DEFINITIVO],Tabla4[[#This Row],[ZONA DEFINITIVO]])," "),0)</f>
        <v>602069861</v>
      </c>
      <c r="AJ125" s="38">
        <f>ROUND(+IF(Tabla4[[#This Row],[AGRUPACIONES]]=1,SUMIFS(Tabla4[VALOR CONTRAPARTIDA],Tabla4[ZONA DEFINITIVO],Tabla4[[#This Row],[ZONA DEFINITIVO]])," "),0)</f>
        <v>12041397</v>
      </c>
      <c r="AK125" s="38">
        <f>Tabla4[[#This Row],[TOTAL APORTES ICBF AGRUPADO]]+Tabla4[[#This Row],[TOTAL CONTRAPARTIDA AGRUPADO]]</f>
        <v>614111258</v>
      </c>
      <c r="AL125" s="23">
        <f>Tabla4[[#This Row],[TOTAL APORTES ICBF AGRUPADO]]/$AL$18</f>
        <v>422.95037653670528</v>
      </c>
      <c r="AM125" s="35">
        <f>VLOOKUP(Tabla4[[#This Row],[SERVICIO 2025]],$J$2:$V$14,5,0)*Tabla4[[#This Row],[TOTAL COBERTURA]]</f>
        <v>794648</v>
      </c>
      <c r="AN125" s="35">
        <f>VLOOKUP(Tabla4[[#This Row],[SERVICIO 2025]],$J$2:$V$14,6,0)*Tabla4[[#This Row],[TOTAL COBERTURA]]</f>
        <v>643297</v>
      </c>
      <c r="AO125" s="35">
        <f>VLOOKUP(Tabla4[[#This Row],[SERVICIO 2025]],$J$2:$V$14,8,0)*Tabla4[[#This Row],[TOTAL COBERTURA]]</f>
        <v>0</v>
      </c>
      <c r="AP125" s="35">
        <f>VLOOKUP(Tabla4[[#This Row],[SERVICIO 2025]],$J$2:$V$14,3,0)*Tabla4[[#This Row],[TOTAL COBERTURA]]*8</f>
        <v>24390240</v>
      </c>
      <c r="AQ125" s="35"/>
      <c r="AR125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125" s="35">
        <f>+IF(Tabla4[[#This Row],[AGRUPACIONES]]=1,SUMIFS(Tabla4[VALOR TOTAL],Tabla4[ZONA DEFINITIVO],Tabla4[[#This Row],[ZONA DEFINITIVO]])," ")</f>
        <v>602069861</v>
      </c>
      <c r="AT125" s="27">
        <f>(VLOOKUP(Tabla4[[#This Row],[SERVICIO 2025]],$J$2:$V$14,3,0)*Tabla4[[#This Row],[TOTAL COBERTURA]])+Tabla4[[#This Row],[VALOR FASE PREPARATORIA DE ALISTAMIENTO]]+Tabla4[[#This Row],[DOTACIÓN ÚNICA]]</f>
        <v>3843428</v>
      </c>
      <c r="AU125" s="35">
        <f>(VLOOKUP(Tabla4[[#This Row],[SERVICIO 2025]],$J$2:$V$14,3,0)*Tabla4[[#This Row],[TOTAL COBERTURA]])</f>
        <v>3048780</v>
      </c>
      <c r="AV125" s="35">
        <f>(VLOOKUP(Tabla4[[#This Row],[SERVICIO 2025]],$J$2:$V$14,3,0)*Tabla4[[#This Row],[TOTAL COBERTURA]])</f>
        <v>3048780</v>
      </c>
      <c r="AW125" s="35">
        <f>(VLOOKUP(Tabla4[[#This Row],[SERVICIO 2025]],$J$2:$V$14,3,0)*Tabla4[[#This Row],[TOTAL COBERTURA]])</f>
        <v>3048780</v>
      </c>
      <c r="AX125" s="35">
        <f>(VLOOKUP(Tabla4[[#This Row],[SERVICIO 2025]],$J$2:$V$14,3,0)*Tabla4[[#This Row],[TOTAL COBERTURA]])</f>
        <v>3048780</v>
      </c>
      <c r="AY125" s="35">
        <f>(VLOOKUP(Tabla4[[#This Row],[SERVICIO 2025]],$J$2:$V$14,3,0)*Tabla4[[#This Row],[TOTAL COBERTURA]])</f>
        <v>3048780</v>
      </c>
      <c r="AZ125" s="35">
        <f>(VLOOKUP(Tabla4[[#This Row],[SERVICIO 2025]],$J$2:$V$14,3,0)*Tabla4[[#This Row],[TOTAL COBERTURA]])</f>
        <v>3048780</v>
      </c>
      <c r="BA125" s="35">
        <f>(VLOOKUP(Tabla4[[#This Row],[SERVICIO 2025]],$J$2:$V$14,3,0)*Tabla4[[#This Row],[TOTAL COBERTURA]])+Tabla4[[#This Row],[VALOR FASE PREPARATORIA DE CIERRE]]</f>
        <v>3692077</v>
      </c>
      <c r="BB125" s="35">
        <f>SUM(Tabla4[[#This Row],[DESEMBOLSO 1]:[DESEMBOLSO 8]])</f>
        <v>25828185</v>
      </c>
      <c r="BC125" s="35">
        <f>VLOOKUP(Tabla4[[#This Row],[SERVICIO 2025]],$J$2:$V$14,10,0)*Tabla4[[#This Row],[TOTAL COBERTURA]]*$W$3</f>
        <v>25611656</v>
      </c>
      <c r="BD125" s="47" t="s">
        <v>211</v>
      </c>
      <c r="BE125" s="12" t="b">
        <f>EXACT(Tabla4[[#This Row],[VALOR ATENCIÓN (8 MESES)]],Tabla4[[#This Row],[VALOR TOTAL]])</f>
        <v>1</v>
      </c>
      <c r="BF125" s="23">
        <f>Tabla4[[#This Row],[VALOR ATENCIÓN (8 MESES)]]-Tabla4[[#This Row],[VALOR TOTAL]]</f>
        <v>0</v>
      </c>
      <c r="BG125" s="12" t="b">
        <f>EXACT(Tabla4[[#This Row],[TOTAL DESEMBOLSOS]],Tabla4[[#This Row],[VALOR ATENCIÓN (8 MESES)]])</f>
        <v>1</v>
      </c>
      <c r="BH125" s="29">
        <f>Tabla4[[#This Row],[TOTAL DESEMBOLSOS]]-Tabla4[[#This Row],[VALOR ATENCIÓN (8 MESES)]]</f>
        <v>0</v>
      </c>
      <c r="BI125" t="s">
        <v>98</v>
      </c>
      <c r="BJ125">
        <v>1895</v>
      </c>
    </row>
    <row r="126" spans="1:62">
      <c r="A126" s="13">
        <v>1895</v>
      </c>
      <c r="B126" s="13" t="s">
        <v>353</v>
      </c>
      <c r="C126" s="12" t="s">
        <v>87</v>
      </c>
      <c r="D126" s="12" t="s">
        <v>205</v>
      </c>
      <c r="E126" s="12" t="s">
        <v>354</v>
      </c>
      <c r="F126" s="12" t="s">
        <v>21</v>
      </c>
      <c r="G126" s="12" t="s">
        <v>90</v>
      </c>
      <c r="H126" s="12" t="s">
        <v>359</v>
      </c>
      <c r="I126" s="12">
        <v>55761134734</v>
      </c>
      <c r="J126" s="12" t="s">
        <v>360</v>
      </c>
      <c r="K126" s="12">
        <v>1</v>
      </c>
      <c r="L126" s="12">
        <v>14</v>
      </c>
      <c r="M126" s="12"/>
      <c r="N126" s="13">
        <v>1895</v>
      </c>
      <c r="O126" s="12" t="s">
        <v>93</v>
      </c>
      <c r="P126" s="12"/>
      <c r="Q126" s="12"/>
      <c r="R126" s="12" t="s">
        <v>94</v>
      </c>
      <c r="S126" s="12">
        <v>10</v>
      </c>
      <c r="T126" s="12" t="s">
        <v>357</v>
      </c>
      <c r="U126" s="12" t="s">
        <v>358</v>
      </c>
      <c r="V126" s="12">
        <f>VLOOKUP(Tabla4[[#This Row],[ZONA DEFINITIVO]],Hoja1!$A$1:$D$121,3,0)</f>
        <v>228998</v>
      </c>
      <c r="W126" s="12">
        <f>VLOOKUP(Tabla4[[#This Row],[ZONA DEFINITIVO]],Hoja1!$A$1:$D$121,2,0)</f>
        <v>15153</v>
      </c>
      <c r="X126" s="12">
        <f>VLOOKUP(Tabla4[[#This Row],[ZONA DEFINITIVO]],Hoja1!$A$1:$D$121,4,0)</f>
        <v>90825</v>
      </c>
      <c r="Y126" s="12" t="str">
        <f>+IF(Tabla4[[#This Row],[AGRUPACIONES]]=1,SUMIFS(Tabla4[UDS],Tabla4[ZONA DEFINITIVO],Tabla4[[#This Row],[ZONA DEFINITIVO]])," ")</f>
        <v xml:space="preserve"> </v>
      </c>
      <c r="Z126" s="12" t="str">
        <f>+IF(Tabla4[[#This Row],[AGRUPACIONES]]=1,SUMIFS(Tabla4[TOTAL COBERTURA],Tabla4[ZONA DEFINITIVO],Tabla4[[#This Row],[ZONA DEFINITIVO]])," ")</f>
        <v xml:space="preserve"> </v>
      </c>
      <c r="AA126" s="12"/>
      <c r="AB126" s="38">
        <v>21270270</v>
      </c>
      <c r="AC126" s="37">
        <v>0.02</v>
      </c>
      <c r="AD126" s="38">
        <f t="shared" si="2"/>
        <v>425405.4</v>
      </c>
      <c r="AE126" s="12"/>
      <c r="AF126" s="12">
        <f>COUNTIF($A$20:A126,A126)</f>
        <v>2</v>
      </c>
      <c r="AG126" s="38">
        <v>21270270</v>
      </c>
      <c r="AH126" s="38">
        <f>Tabla4[[#This Row],[VALOR CONTRAPARTIDA]]+Tabla4[[#This Row],[TOTAL APORTES ICBF]]</f>
        <v>21695675.399999999</v>
      </c>
      <c r="AI126" s="35"/>
      <c r="AJ126" s="38"/>
      <c r="AK126" s="38"/>
      <c r="AL126" s="23"/>
      <c r="AM126" s="35">
        <f>VLOOKUP(Tabla4[[#This Row],[SERVICIO 2025]],$J$2:$V$14,5,0)*Tabla4[[#This Row],[TOTAL COBERTURA]]</f>
        <v>654416</v>
      </c>
      <c r="AN126" s="35">
        <f>VLOOKUP(Tabla4[[#This Row],[SERVICIO 2025]],$J$2:$V$14,6,0)*Tabla4[[#This Row],[TOTAL COBERTURA]]</f>
        <v>529774</v>
      </c>
      <c r="AO126" s="35">
        <f>VLOOKUP(Tabla4[[#This Row],[SERVICIO 2025]],$J$2:$V$14,8,0)*Tabla4[[#This Row],[TOTAL COBERTURA]]</f>
        <v>0</v>
      </c>
      <c r="AP126" s="35">
        <f>VLOOKUP(Tabla4[[#This Row],[SERVICIO 2025]],$J$2:$V$14,3,0)*Tabla4[[#This Row],[TOTAL COBERTURA]]*8</f>
        <v>20086080</v>
      </c>
      <c r="AQ126" s="35"/>
      <c r="AR126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126" s="35" t="str">
        <f>+IF(Tabla4[[#This Row],[AGRUPACIONES]]=1,SUMIFS(Tabla4[VALOR TOTAL],Tabla4[ZONA DEFINITIVO],Tabla4[[#This Row],[ZONA DEFINITIVO]])," ")</f>
        <v xml:space="preserve"> </v>
      </c>
      <c r="AT126" s="27">
        <f>(VLOOKUP(Tabla4[[#This Row],[SERVICIO 2025]],$J$2:$V$14,3,0)*Tabla4[[#This Row],[TOTAL COBERTURA]])+Tabla4[[#This Row],[VALOR FASE PREPARATORIA DE ALISTAMIENTO]]+Tabla4[[#This Row],[DOTACIÓN ÚNICA]]</f>
        <v>3165176</v>
      </c>
      <c r="AU126" s="35">
        <f>(VLOOKUP(Tabla4[[#This Row],[SERVICIO 2025]],$J$2:$V$14,3,0)*Tabla4[[#This Row],[TOTAL COBERTURA]])</f>
        <v>2510760</v>
      </c>
      <c r="AV126" s="35">
        <f>(VLOOKUP(Tabla4[[#This Row],[SERVICIO 2025]],$J$2:$V$14,3,0)*Tabla4[[#This Row],[TOTAL COBERTURA]])</f>
        <v>2510760</v>
      </c>
      <c r="AW126" s="35">
        <f>(VLOOKUP(Tabla4[[#This Row],[SERVICIO 2025]],$J$2:$V$14,3,0)*Tabla4[[#This Row],[TOTAL COBERTURA]])</f>
        <v>2510760</v>
      </c>
      <c r="AX126" s="35">
        <f>(VLOOKUP(Tabla4[[#This Row],[SERVICIO 2025]],$J$2:$V$14,3,0)*Tabla4[[#This Row],[TOTAL COBERTURA]])</f>
        <v>2510760</v>
      </c>
      <c r="AY126" s="35">
        <f>(VLOOKUP(Tabla4[[#This Row],[SERVICIO 2025]],$J$2:$V$14,3,0)*Tabla4[[#This Row],[TOTAL COBERTURA]])</f>
        <v>2510760</v>
      </c>
      <c r="AZ126" s="35">
        <f>(VLOOKUP(Tabla4[[#This Row],[SERVICIO 2025]],$J$2:$V$14,3,0)*Tabla4[[#This Row],[TOTAL COBERTURA]])</f>
        <v>2510760</v>
      </c>
      <c r="BA126" s="35">
        <f>(VLOOKUP(Tabla4[[#This Row],[SERVICIO 2025]],$J$2:$V$14,3,0)*Tabla4[[#This Row],[TOTAL COBERTURA]])+Tabla4[[#This Row],[VALOR FASE PREPARATORIA DE CIERRE]]</f>
        <v>3040534</v>
      </c>
      <c r="BB126" s="35">
        <f>SUM(Tabla4[[#This Row],[DESEMBOLSO 1]:[DESEMBOLSO 8]])</f>
        <v>21270270</v>
      </c>
      <c r="BC126" s="35">
        <f>VLOOKUP(Tabla4[[#This Row],[SERVICIO 2025]],$J$2:$V$14,10,0)*Tabla4[[#This Row],[TOTAL COBERTURA]]*$W$3</f>
        <v>21091952</v>
      </c>
      <c r="BD126" s="47" t="s">
        <v>211</v>
      </c>
      <c r="BE126" s="12" t="b">
        <f>EXACT(Tabla4[[#This Row],[VALOR ATENCIÓN (8 MESES)]],Tabla4[[#This Row],[VALOR TOTAL]])</f>
        <v>1</v>
      </c>
      <c r="BF126" s="23">
        <f>Tabla4[[#This Row],[VALOR ATENCIÓN (8 MESES)]]-Tabla4[[#This Row],[VALOR TOTAL]]</f>
        <v>0</v>
      </c>
      <c r="BG126" s="12" t="b">
        <f>EXACT(Tabla4[[#This Row],[TOTAL DESEMBOLSOS]],Tabla4[[#This Row],[VALOR ATENCIÓN (8 MESES)]])</f>
        <v>1</v>
      </c>
      <c r="BH126" s="29">
        <f>Tabla4[[#This Row],[TOTAL DESEMBOLSOS]]-Tabla4[[#This Row],[VALOR ATENCIÓN (8 MESES)]]</f>
        <v>0</v>
      </c>
      <c r="BI126" t="s">
        <v>98</v>
      </c>
      <c r="BJ126">
        <v>1895</v>
      </c>
    </row>
    <row r="127" spans="1:62">
      <c r="A127" s="13">
        <v>1895</v>
      </c>
      <c r="B127" s="13" t="s">
        <v>353</v>
      </c>
      <c r="C127" s="12" t="s">
        <v>87</v>
      </c>
      <c r="D127" s="12" t="s">
        <v>205</v>
      </c>
      <c r="E127" s="12" t="s">
        <v>354</v>
      </c>
      <c r="F127" s="12" t="s">
        <v>21</v>
      </c>
      <c r="G127" s="12" t="s">
        <v>90</v>
      </c>
      <c r="H127" s="12" t="s">
        <v>361</v>
      </c>
      <c r="I127" s="12">
        <v>55761134758</v>
      </c>
      <c r="J127" s="12" t="s">
        <v>362</v>
      </c>
      <c r="K127" s="12">
        <v>1</v>
      </c>
      <c r="L127" s="12">
        <v>20</v>
      </c>
      <c r="M127" s="12"/>
      <c r="N127" s="13">
        <v>1895</v>
      </c>
      <c r="O127" s="12" t="s">
        <v>93</v>
      </c>
      <c r="P127" s="12"/>
      <c r="Q127" s="12"/>
      <c r="R127" s="12" t="s">
        <v>94</v>
      </c>
      <c r="S127" s="12">
        <v>10</v>
      </c>
      <c r="T127" s="12" t="s">
        <v>357</v>
      </c>
      <c r="U127" s="12" t="s">
        <v>358</v>
      </c>
      <c r="V127" s="12">
        <f>VLOOKUP(Tabla4[[#This Row],[ZONA DEFINITIVO]],Hoja1!$A$1:$D$121,3,0)</f>
        <v>228998</v>
      </c>
      <c r="W127" s="12">
        <f>VLOOKUP(Tabla4[[#This Row],[ZONA DEFINITIVO]],Hoja1!$A$1:$D$121,2,0)</f>
        <v>15153</v>
      </c>
      <c r="X127" s="12">
        <f>VLOOKUP(Tabla4[[#This Row],[ZONA DEFINITIVO]],Hoja1!$A$1:$D$121,4,0)</f>
        <v>90825</v>
      </c>
      <c r="Y127" s="12" t="str">
        <f>+IF(Tabla4[[#This Row],[AGRUPACIONES]]=1,SUMIFS(Tabla4[UDS],Tabla4[ZONA DEFINITIVO],Tabla4[[#This Row],[ZONA DEFINITIVO]])," ")</f>
        <v xml:space="preserve"> </v>
      </c>
      <c r="Z127" s="12" t="str">
        <f>+IF(Tabla4[[#This Row],[AGRUPACIONES]]=1,SUMIFS(Tabla4[TOTAL COBERTURA],Tabla4[ZONA DEFINITIVO],Tabla4[[#This Row],[ZONA DEFINITIVO]])," ")</f>
        <v xml:space="preserve"> </v>
      </c>
      <c r="AA127" s="12"/>
      <c r="AB127" s="38">
        <v>30386100</v>
      </c>
      <c r="AC127" s="37">
        <v>0.02</v>
      </c>
      <c r="AD127" s="38">
        <f t="shared" si="2"/>
        <v>607722</v>
      </c>
      <c r="AE127" s="12"/>
      <c r="AF127" s="12">
        <f>COUNTIF($A$20:A127,A127)</f>
        <v>3</v>
      </c>
      <c r="AG127" s="38">
        <v>30386100</v>
      </c>
      <c r="AH127" s="38">
        <f>Tabla4[[#This Row],[VALOR CONTRAPARTIDA]]+Tabla4[[#This Row],[TOTAL APORTES ICBF]]</f>
        <v>30993822</v>
      </c>
      <c r="AI127" s="35"/>
      <c r="AJ127" s="38"/>
      <c r="AK127" s="38"/>
      <c r="AL127" s="23"/>
      <c r="AM127" s="35">
        <f>VLOOKUP(Tabla4[[#This Row],[SERVICIO 2025]],$J$2:$V$14,5,0)*Tabla4[[#This Row],[TOTAL COBERTURA]]</f>
        <v>934880</v>
      </c>
      <c r="AN127" s="35">
        <f>VLOOKUP(Tabla4[[#This Row],[SERVICIO 2025]],$J$2:$V$14,6,0)*Tabla4[[#This Row],[TOTAL COBERTURA]]</f>
        <v>756820</v>
      </c>
      <c r="AO127" s="35">
        <f>VLOOKUP(Tabla4[[#This Row],[SERVICIO 2025]],$J$2:$V$14,8,0)*Tabla4[[#This Row],[TOTAL COBERTURA]]</f>
        <v>0</v>
      </c>
      <c r="AP127" s="35">
        <f>VLOOKUP(Tabla4[[#This Row],[SERVICIO 2025]],$J$2:$V$14,3,0)*Tabla4[[#This Row],[TOTAL COBERTURA]]*8</f>
        <v>28694400</v>
      </c>
      <c r="AQ127" s="35"/>
      <c r="AR127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127" s="35" t="str">
        <f>+IF(Tabla4[[#This Row],[AGRUPACIONES]]=1,SUMIFS(Tabla4[VALOR TOTAL],Tabla4[ZONA DEFINITIVO],Tabla4[[#This Row],[ZONA DEFINITIVO]])," ")</f>
        <v xml:space="preserve"> </v>
      </c>
      <c r="AT127" s="27">
        <f>(VLOOKUP(Tabla4[[#This Row],[SERVICIO 2025]],$J$2:$V$14,3,0)*Tabla4[[#This Row],[TOTAL COBERTURA]])+Tabla4[[#This Row],[VALOR FASE PREPARATORIA DE ALISTAMIENTO]]+Tabla4[[#This Row],[DOTACIÓN ÚNICA]]</f>
        <v>4521680</v>
      </c>
      <c r="AU127" s="35">
        <f>(VLOOKUP(Tabla4[[#This Row],[SERVICIO 2025]],$J$2:$V$14,3,0)*Tabla4[[#This Row],[TOTAL COBERTURA]])</f>
        <v>3586800</v>
      </c>
      <c r="AV127" s="35">
        <f>(VLOOKUP(Tabla4[[#This Row],[SERVICIO 2025]],$J$2:$V$14,3,0)*Tabla4[[#This Row],[TOTAL COBERTURA]])</f>
        <v>3586800</v>
      </c>
      <c r="AW127" s="35">
        <f>(VLOOKUP(Tabla4[[#This Row],[SERVICIO 2025]],$J$2:$V$14,3,0)*Tabla4[[#This Row],[TOTAL COBERTURA]])</f>
        <v>3586800</v>
      </c>
      <c r="AX127" s="35">
        <f>(VLOOKUP(Tabla4[[#This Row],[SERVICIO 2025]],$J$2:$V$14,3,0)*Tabla4[[#This Row],[TOTAL COBERTURA]])</f>
        <v>3586800</v>
      </c>
      <c r="AY127" s="35">
        <f>(VLOOKUP(Tabla4[[#This Row],[SERVICIO 2025]],$J$2:$V$14,3,0)*Tabla4[[#This Row],[TOTAL COBERTURA]])</f>
        <v>3586800</v>
      </c>
      <c r="AZ127" s="35">
        <f>(VLOOKUP(Tabla4[[#This Row],[SERVICIO 2025]],$J$2:$V$14,3,0)*Tabla4[[#This Row],[TOTAL COBERTURA]])</f>
        <v>3586800</v>
      </c>
      <c r="BA127" s="35">
        <f>(VLOOKUP(Tabla4[[#This Row],[SERVICIO 2025]],$J$2:$V$14,3,0)*Tabla4[[#This Row],[TOTAL COBERTURA]])+Tabla4[[#This Row],[VALOR FASE PREPARATORIA DE CIERRE]]</f>
        <v>4343620</v>
      </c>
      <c r="BB127" s="35">
        <f>SUM(Tabla4[[#This Row],[DESEMBOLSO 1]:[DESEMBOLSO 8]])</f>
        <v>30386100</v>
      </c>
      <c r="BC127" s="35">
        <f>VLOOKUP(Tabla4[[#This Row],[SERVICIO 2025]],$J$2:$V$14,10,0)*Tabla4[[#This Row],[TOTAL COBERTURA]]*$W$3</f>
        <v>30131360</v>
      </c>
      <c r="BD127" s="47" t="s">
        <v>211</v>
      </c>
      <c r="BE127" s="12" t="b">
        <f>EXACT(Tabla4[[#This Row],[VALOR ATENCIÓN (8 MESES)]],Tabla4[[#This Row],[VALOR TOTAL]])</f>
        <v>1</v>
      </c>
      <c r="BF127" s="23">
        <f>Tabla4[[#This Row],[VALOR ATENCIÓN (8 MESES)]]-Tabla4[[#This Row],[VALOR TOTAL]]</f>
        <v>0</v>
      </c>
      <c r="BG127" s="12" t="b">
        <f>EXACT(Tabla4[[#This Row],[TOTAL DESEMBOLSOS]],Tabla4[[#This Row],[VALOR ATENCIÓN (8 MESES)]])</f>
        <v>1</v>
      </c>
      <c r="BH127" s="29">
        <f>Tabla4[[#This Row],[TOTAL DESEMBOLSOS]]-Tabla4[[#This Row],[VALOR ATENCIÓN (8 MESES)]]</f>
        <v>0</v>
      </c>
      <c r="BI127" t="s">
        <v>98</v>
      </c>
      <c r="BJ127">
        <v>1895</v>
      </c>
    </row>
    <row r="128" spans="1:62">
      <c r="A128" s="13">
        <v>1895</v>
      </c>
      <c r="B128" s="13" t="s">
        <v>353</v>
      </c>
      <c r="C128" s="12" t="s">
        <v>87</v>
      </c>
      <c r="D128" s="12" t="s">
        <v>205</v>
      </c>
      <c r="E128" s="12" t="s">
        <v>354</v>
      </c>
      <c r="F128" s="12" t="s">
        <v>21</v>
      </c>
      <c r="G128" s="12" t="s">
        <v>90</v>
      </c>
      <c r="H128" s="12" t="s">
        <v>363</v>
      </c>
      <c r="I128" s="12">
        <v>55761134789</v>
      </c>
      <c r="J128" s="12" t="s">
        <v>364</v>
      </c>
      <c r="K128" s="12">
        <v>1</v>
      </c>
      <c r="L128" s="12">
        <v>30</v>
      </c>
      <c r="M128" s="12"/>
      <c r="N128" s="13">
        <v>1895</v>
      </c>
      <c r="O128" s="12" t="s">
        <v>93</v>
      </c>
      <c r="P128" s="12"/>
      <c r="Q128" s="12"/>
      <c r="R128" s="12" t="s">
        <v>94</v>
      </c>
      <c r="S128" s="12">
        <v>10</v>
      </c>
      <c r="T128" s="12" t="s">
        <v>357</v>
      </c>
      <c r="U128" s="12" t="s">
        <v>358</v>
      </c>
      <c r="V128" s="12">
        <f>VLOOKUP(Tabla4[[#This Row],[ZONA DEFINITIVO]],Hoja1!$A$1:$D$121,3,0)</f>
        <v>228998</v>
      </c>
      <c r="W128" s="12">
        <f>VLOOKUP(Tabla4[[#This Row],[ZONA DEFINITIVO]],Hoja1!$A$1:$D$121,2,0)</f>
        <v>15153</v>
      </c>
      <c r="X128" s="12">
        <f>VLOOKUP(Tabla4[[#This Row],[ZONA DEFINITIVO]],Hoja1!$A$1:$D$121,4,0)</f>
        <v>90825</v>
      </c>
      <c r="Y128" s="12" t="str">
        <f>+IF(Tabla4[[#This Row],[AGRUPACIONES]]=1,SUMIFS(Tabla4[UDS],Tabla4[ZONA DEFINITIVO],Tabla4[[#This Row],[ZONA DEFINITIVO]])," ")</f>
        <v xml:space="preserve"> </v>
      </c>
      <c r="Z128" s="12" t="str">
        <f>+IF(Tabla4[[#This Row],[AGRUPACIONES]]=1,SUMIFS(Tabla4[TOTAL COBERTURA],Tabla4[ZONA DEFINITIVO],Tabla4[[#This Row],[ZONA DEFINITIVO]])," ")</f>
        <v xml:space="preserve"> </v>
      </c>
      <c r="AA128" s="12"/>
      <c r="AB128" s="38">
        <v>45579150</v>
      </c>
      <c r="AC128" s="37">
        <v>0.02</v>
      </c>
      <c r="AD128" s="38">
        <f t="shared" si="2"/>
        <v>911583</v>
      </c>
      <c r="AE128" s="12"/>
      <c r="AF128" s="12">
        <f>COUNTIF($A$20:A128,A128)</f>
        <v>4</v>
      </c>
      <c r="AG128" s="38">
        <v>45579150</v>
      </c>
      <c r="AH128" s="38">
        <f>Tabla4[[#This Row],[VALOR CONTRAPARTIDA]]+Tabla4[[#This Row],[TOTAL APORTES ICBF]]</f>
        <v>46490733</v>
      </c>
      <c r="AI128" s="35"/>
      <c r="AJ128" s="38"/>
      <c r="AK128" s="38"/>
      <c r="AL128" s="23"/>
      <c r="AM128" s="35">
        <f>VLOOKUP(Tabla4[[#This Row],[SERVICIO 2025]],$J$2:$V$14,5,0)*Tabla4[[#This Row],[TOTAL COBERTURA]]</f>
        <v>1402320</v>
      </c>
      <c r="AN128" s="35">
        <f>VLOOKUP(Tabla4[[#This Row],[SERVICIO 2025]],$J$2:$V$14,6,0)*Tabla4[[#This Row],[TOTAL COBERTURA]]</f>
        <v>1135230</v>
      </c>
      <c r="AO128" s="35">
        <f>VLOOKUP(Tabla4[[#This Row],[SERVICIO 2025]],$J$2:$V$14,8,0)*Tabla4[[#This Row],[TOTAL COBERTURA]]</f>
        <v>0</v>
      </c>
      <c r="AP128" s="35">
        <f>VLOOKUP(Tabla4[[#This Row],[SERVICIO 2025]],$J$2:$V$14,3,0)*Tabla4[[#This Row],[TOTAL COBERTURA]]*8</f>
        <v>43041600</v>
      </c>
      <c r="AQ128" s="35"/>
      <c r="AR128" s="35">
        <f>Tabla4[[#This Row],[VALOR FASE PREPARATORIA DE ALISTAMIENTO]]+Tabla4[[#This Row],[VALOR FASE PREPARATORIA DE CIERRE]]+Tabla4[[#This Row],[DOTACIÓN ÚNICA]]+Tabla4[[#This Row],[VALOR ATENCIÓN]]+Tabla4[[#This Row],[VALOR RACION PREPARADA]]</f>
        <v>45579150</v>
      </c>
      <c r="AS128" s="35" t="str">
        <f>+IF(Tabla4[[#This Row],[AGRUPACIONES]]=1,SUMIFS(Tabla4[VALOR TOTAL],Tabla4[ZONA DEFINITIVO],Tabla4[[#This Row],[ZONA DEFINITIVO]])," ")</f>
        <v xml:space="preserve"> </v>
      </c>
      <c r="AT128" s="27">
        <f>(VLOOKUP(Tabla4[[#This Row],[SERVICIO 2025]],$J$2:$V$14,3,0)*Tabla4[[#This Row],[TOTAL COBERTURA]])+Tabla4[[#This Row],[VALOR FASE PREPARATORIA DE ALISTAMIENTO]]+Tabla4[[#This Row],[DOTACIÓN ÚNICA]]</f>
        <v>6782520</v>
      </c>
      <c r="AU128" s="35">
        <f>(VLOOKUP(Tabla4[[#This Row],[SERVICIO 2025]],$J$2:$V$14,3,0)*Tabla4[[#This Row],[TOTAL COBERTURA]])</f>
        <v>5380200</v>
      </c>
      <c r="AV128" s="35">
        <f>(VLOOKUP(Tabla4[[#This Row],[SERVICIO 2025]],$J$2:$V$14,3,0)*Tabla4[[#This Row],[TOTAL COBERTURA]])</f>
        <v>5380200</v>
      </c>
      <c r="AW128" s="35">
        <f>(VLOOKUP(Tabla4[[#This Row],[SERVICIO 2025]],$J$2:$V$14,3,0)*Tabla4[[#This Row],[TOTAL COBERTURA]])</f>
        <v>5380200</v>
      </c>
      <c r="AX128" s="35">
        <f>(VLOOKUP(Tabla4[[#This Row],[SERVICIO 2025]],$J$2:$V$14,3,0)*Tabla4[[#This Row],[TOTAL COBERTURA]])</f>
        <v>5380200</v>
      </c>
      <c r="AY128" s="35">
        <f>(VLOOKUP(Tabla4[[#This Row],[SERVICIO 2025]],$J$2:$V$14,3,0)*Tabla4[[#This Row],[TOTAL COBERTURA]])</f>
        <v>5380200</v>
      </c>
      <c r="AZ128" s="35">
        <f>(VLOOKUP(Tabla4[[#This Row],[SERVICIO 2025]],$J$2:$V$14,3,0)*Tabla4[[#This Row],[TOTAL COBERTURA]])</f>
        <v>5380200</v>
      </c>
      <c r="BA128" s="35">
        <f>(VLOOKUP(Tabla4[[#This Row],[SERVICIO 2025]],$J$2:$V$14,3,0)*Tabla4[[#This Row],[TOTAL COBERTURA]])+Tabla4[[#This Row],[VALOR FASE PREPARATORIA DE CIERRE]]</f>
        <v>6515430</v>
      </c>
      <c r="BB128" s="35">
        <f>SUM(Tabla4[[#This Row],[DESEMBOLSO 1]:[DESEMBOLSO 8]])</f>
        <v>45579150</v>
      </c>
      <c r="BC128" s="35">
        <f>VLOOKUP(Tabla4[[#This Row],[SERVICIO 2025]],$J$2:$V$14,10,0)*Tabla4[[#This Row],[TOTAL COBERTURA]]*$W$3</f>
        <v>45197040</v>
      </c>
      <c r="BD128" s="47" t="s">
        <v>211</v>
      </c>
      <c r="BE128" s="12" t="b">
        <f>EXACT(Tabla4[[#This Row],[VALOR ATENCIÓN (8 MESES)]],Tabla4[[#This Row],[VALOR TOTAL]])</f>
        <v>1</v>
      </c>
      <c r="BF128" s="23">
        <f>Tabla4[[#This Row],[VALOR ATENCIÓN (8 MESES)]]-Tabla4[[#This Row],[VALOR TOTAL]]</f>
        <v>0</v>
      </c>
      <c r="BG128" s="12" t="b">
        <f>EXACT(Tabla4[[#This Row],[TOTAL DESEMBOLSOS]],Tabla4[[#This Row],[VALOR ATENCIÓN (8 MESES)]])</f>
        <v>1</v>
      </c>
      <c r="BH128" s="29">
        <f>Tabla4[[#This Row],[TOTAL DESEMBOLSOS]]-Tabla4[[#This Row],[VALOR ATENCIÓN (8 MESES)]]</f>
        <v>0</v>
      </c>
      <c r="BI128" t="s">
        <v>98</v>
      </c>
      <c r="BJ128">
        <v>1895</v>
      </c>
    </row>
    <row r="129" spans="1:62">
      <c r="A129" s="13">
        <v>1895</v>
      </c>
      <c r="B129" s="13" t="s">
        <v>353</v>
      </c>
      <c r="C129" s="12" t="s">
        <v>87</v>
      </c>
      <c r="D129" s="12" t="s">
        <v>205</v>
      </c>
      <c r="E129" s="12" t="s">
        <v>354</v>
      </c>
      <c r="F129" s="12" t="s">
        <v>21</v>
      </c>
      <c r="G129" s="12" t="s">
        <v>90</v>
      </c>
      <c r="H129" s="12" t="s">
        <v>365</v>
      </c>
      <c r="I129" s="12">
        <v>55761144990</v>
      </c>
      <c r="J129" s="12" t="s">
        <v>366</v>
      </c>
      <c r="K129" s="12">
        <v>1</v>
      </c>
      <c r="L129" s="12">
        <v>12</v>
      </c>
      <c r="M129" s="12"/>
      <c r="N129" s="13">
        <v>1895</v>
      </c>
      <c r="O129" s="12" t="s">
        <v>93</v>
      </c>
      <c r="P129" s="12"/>
      <c r="Q129" s="12"/>
      <c r="R129" s="12" t="s">
        <v>94</v>
      </c>
      <c r="S129" s="12">
        <v>10</v>
      </c>
      <c r="T129" s="12" t="s">
        <v>357</v>
      </c>
      <c r="U129" s="12" t="s">
        <v>358</v>
      </c>
      <c r="V129" s="12">
        <f>VLOOKUP(Tabla4[[#This Row],[ZONA DEFINITIVO]],Hoja1!$A$1:$D$121,3,0)</f>
        <v>228998</v>
      </c>
      <c r="W129" s="12">
        <f>VLOOKUP(Tabla4[[#This Row],[ZONA DEFINITIVO]],Hoja1!$A$1:$D$121,2,0)</f>
        <v>15153</v>
      </c>
      <c r="X129" s="12">
        <f>VLOOKUP(Tabla4[[#This Row],[ZONA DEFINITIVO]],Hoja1!$A$1:$D$121,4,0)</f>
        <v>90825</v>
      </c>
      <c r="Y129" s="12" t="str">
        <f>+IF(Tabla4[[#This Row],[AGRUPACIONES]]=1,SUMIFS(Tabla4[UDS],Tabla4[ZONA DEFINITIVO],Tabla4[[#This Row],[ZONA DEFINITIVO]])," ")</f>
        <v xml:space="preserve"> </v>
      </c>
      <c r="Z129" s="12" t="str">
        <f>+IF(Tabla4[[#This Row],[AGRUPACIONES]]=1,SUMIFS(Tabla4[TOTAL COBERTURA],Tabla4[ZONA DEFINITIVO],Tabla4[[#This Row],[ZONA DEFINITIVO]])," ")</f>
        <v xml:space="preserve"> </v>
      </c>
      <c r="AA129" s="12"/>
      <c r="AB129" s="38">
        <v>18231660</v>
      </c>
      <c r="AC129" s="37">
        <v>0.02</v>
      </c>
      <c r="AD129" s="38">
        <f t="shared" si="2"/>
        <v>364633.2</v>
      </c>
      <c r="AE129" s="12"/>
      <c r="AF129" s="12">
        <f>COUNTIF($A$20:A129,A129)</f>
        <v>5</v>
      </c>
      <c r="AG129" s="38">
        <v>18231660</v>
      </c>
      <c r="AH129" s="38">
        <f>Tabla4[[#This Row],[VALOR CONTRAPARTIDA]]+Tabla4[[#This Row],[TOTAL APORTES ICBF]]</f>
        <v>18596293.199999999</v>
      </c>
      <c r="AI129" s="35"/>
      <c r="AJ129" s="38"/>
      <c r="AK129" s="38"/>
      <c r="AL129" s="23"/>
      <c r="AM129" s="35">
        <f>VLOOKUP(Tabla4[[#This Row],[SERVICIO 2025]],$J$2:$V$14,5,0)*Tabla4[[#This Row],[TOTAL COBERTURA]]</f>
        <v>560928</v>
      </c>
      <c r="AN129" s="35">
        <f>VLOOKUP(Tabla4[[#This Row],[SERVICIO 2025]],$J$2:$V$14,6,0)*Tabla4[[#This Row],[TOTAL COBERTURA]]</f>
        <v>454092</v>
      </c>
      <c r="AO129" s="35">
        <f>VLOOKUP(Tabla4[[#This Row],[SERVICIO 2025]],$J$2:$V$14,8,0)*Tabla4[[#This Row],[TOTAL COBERTURA]]</f>
        <v>0</v>
      </c>
      <c r="AP129" s="35">
        <f>VLOOKUP(Tabla4[[#This Row],[SERVICIO 2025]],$J$2:$V$14,3,0)*Tabla4[[#This Row],[TOTAL COBERTURA]]*8</f>
        <v>17216640</v>
      </c>
      <c r="AQ129" s="35"/>
      <c r="AR129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129" s="35" t="str">
        <f>+IF(Tabla4[[#This Row],[AGRUPACIONES]]=1,SUMIFS(Tabla4[VALOR TOTAL],Tabla4[ZONA DEFINITIVO],Tabla4[[#This Row],[ZONA DEFINITIVO]])," ")</f>
        <v xml:space="preserve"> </v>
      </c>
      <c r="AT129" s="27">
        <f>(VLOOKUP(Tabla4[[#This Row],[SERVICIO 2025]],$J$2:$V$14,3,0)*Tabla4[[#This Row],[TOTAL COBERTURA]])+Tabla4[[#This Row],[VALOR FASE PREPARATORIA DE ALISTAMIENTO]]+Tabla4[[#This Row],[DOTACIÓN ÚNICA]]</f>
        <v>2713008</v>
      </c>
      <c r="AU129" s="35">
        <f>(VLOOKUP(Tabla4[[#This Row],[SERVICIO 2025]],$J$2:$V$14,3,0)*Tabla4[[#This Row],[TOTAL COBERTURA]])</f>
        <v>2152080</v>
      </c>
      <c r="AV129" s="35">
        <f>(VLOOKUP(Tabla4[[#This Row],[SERVICIO 2025]],$J$2:$V$14,3,0)*Tabla4[[#This Row],[TOTAL COBERTURA]])</f>
        <v>2152080</v>
      </c>
      <c r="AW129" s="35">
        <f>(VLOOKUP(Tabla4[[#This Row],[SERVICIO 2025]],$J$2:$V$14,3,0)*Tabla4[[#This Row],[TOTAL COBERTURA]])</f>
        <v>2152080</v>
      </c>
      <c r="AX129" s="35">
        <f>(VLOOKUP(Tabla4[[#This Row],[SERVICIO 2025]],$J$2:$V$14,3,0)*Tabla4[[#This Row],[TOTAL COBERTURA]])</f>
        <v>2152080</v>
      </c>
      <c r="AY129" s="35">
        <f>(VLOOKUP(Tabla4[[#This Row],[SERVICIO 2025]],$J$2:$V$14,3,0)*Tabla4[[#This Row],[TOTAL COBERTURA]])</f>
        <v>2152080</v>
      </c>
      <c r="AZ129" s="35">
        <f>(VLOOKUP(Tabla4[[#This Row],[SERVICIO 2025]],$J$2:$V$14,3,0)*Tabla4[[#This Row],[TOTAL COBERTURA]])</f>
        <v>2152080</v>
      </c>
      <c r="BA129" s="35">
        <f>(VLOOKUP(Tabla4[[#This Row],[SERVICIO 2025]],$J$2:$V$14,3,0)*Tabla4[[#This Row],[TOTAL COBERTURA]])+Tabla4[[#This Row],[VALOR FASE PREPARATORIA DE CIERRE]]</f>
        <v>2606172</v>
      </c>
      <c r="BB129" s="35">
        <f>SUM(Tabla4[[#This Row],[DESEMBOLSO 1]:[DESEMBOLSO 8]])</f>
        <v>18231660</v>
      </c>
      <c r="BC129" s="35">
        <f>VLOOKUP(Tabla4[[#This Row],[SERVICIO 2025]],$J$2:$V$14,10,0)*Tabla4[[#This Row],[TOTAL COBERTURA]]*$W$3</f>
        <v>18078816</v>
      </c>
      <c r="BD129" s="47" t="s">
        <v>211</v>
      </c>
      <c r="BE129" s="12" t="b">
        <f>EXACT(Tabla4[[#This Row],[VALOR ATENCIÓN (8 MESES)]],Tabla4[[#This Row],[VALOR TOTAL]])</f>
        <v>1</v>
      </c>
      <c r="BF129" s="23">
        <f>Tabla4[[#This Row],[VALOR ATENCIÓN (8 MESES)]]-Tabla4[[#This Row],[VALOR TOTAL]]</f>
        <v>0</v>
      </c>
      <c r="BG129" s="12" t="b">
        <f>EXACT(Tabla4[[#This Row],[TOTAL DESEMBOLSOS]],Tabla4[[#This Row],[VALOR ATENCIÓN (8 MESES)]])</f>
        <v>1</v>
      </c>
      <c r="BH129" s="29">
        <f>Tabla4[[#This Row],[TOTAL DESEMBOLSOS]]-Tabla4[[#This Row],[VALOR ATENCIÓN (8 MESES)]]</f>
        <v>0</v>
      </c>
      <c r="BI129" t="s">
        <v>98</v>
      </c>
      <c r="BJ129">
        <v>1895</v>
      </c>
    </row>
    <row r="130" spans="1:62">
      <c r="A130" s="13">
        <v>1895</v>
      </c>
      <c r="B130" s="13" t="s">
        <v>353</v>
      </c>
      <c r="C130" s="12" t="s">
        <v>87</v>
      </c>
      <c r="D130" s="12" t="s">
        <v>205</v>
      </c>
      <c r="E130" s="12" t="s">
        <v>354</v>
      </c>
      <c r="F130" s="12" t="s">
        <v>21</v>
      </c>
      <c r="G130" s="12" t="s">
        <v>90</v>
      </c>
      <c r="H130" s="12" t="s">
        <v>367</v>
      </c>
      <c r="I130" s="12">
        <v>55761153111</v>
      </c>
      <c r="J130" s="12" t="s">
        <v>368</v>
      </c>
      <c r="K130" s="12">
        <v>1</v>
      </c>
      <c r="L130" s="12">
        <v>20</v>
      </c>
      <c r="M130" s="12"/>
      <c r="N130" s="13">
        <v>1895</v>
      </c>
      <c r="O130" s="12" t="s">
        <v>93</v>
      </c>
      <c r="P130" s="12"/>
      <c r="Q130" s="12"/>
      <c r="R130" s="12" t="s">
        <v>94</v>
      </c>
      <c r="S130" s="12">
        <v>10</v>
      </c>
      <c r="T130" s="12" t="s">
        <v>357</v>
      </c>
      <c r="U130" s="12" t="s">
        <v>358</v>
      </c>
      <c r="V130" s="12">
        <f>VLOOKUP(Tabla4[[#This Row],[ZONA DEFINITIVO]],Hoja1!$A$1:$D$121,3,0)</f>
        <v>228998</v>
      </c>
      <c r="W130" s="12">
        <f>VLOOKUP(Tabla4[[#This Row],[ZONA DEFINITIVO]],Hoja1!$A$1:$D$121,2,0)</f>
        <v>15153</v>
      </c>
      <c r="X130" s="12">
        <f>VLOOKUP(Tabla4[[#This Row],[ZONA DEFINITIVO]],Hoja1!$A$1:$D$121,4,0)</f>
        <v>90825</v>
      </c>
      <c r="Y130" s="12" t="str">
        <f>+IF(Tabla4[[#This Row],[AGRUPACIONES]]=1,SUMIFS(Tabla4[UDS],Tabla4[ZONA DEFINITIVO],Tabla4[[#This Row],[ZONA DEFINITIVO]])," ")</f>
        <v xml:space="preserve"> </v>
      </c>
      <c r="Z130" s="12" t="str">
        <f>+IF(Tabla4[[#This Row],[AGRUPACIONES]]=1,SUMIFS(Tabla4[TOTAL COBERTURA],Tabla4[ZONA DEFINITIVO],Tabla4[[#This Row],[ZONA DEFINITIVO]])," ")</f>
        <v xml:space="preserve"> </v>
      </c>
      <c r="AA130" s="12"/>
      <c r="AB130" s="38">
        <v>30386100</v>
      </c>
      <c r="AC130" s="37">
        <v>0.02</v>
      </c>
      <c r="AD130" s="38">
        <f t="shared" si="2"/>
        <v>607722</v>
      </c>
      <c r="AE130" s="12"/>
      <c r="AF130" s="12">
        <f>COUNTIF($A$20:A130,A130)</f>
        <v>6</v>
      </c>
      <c r="AG130" s="38">
        <v>30386100</v>
      </c>
      <c r="AH130" s="38">
        <f>Tabla4[[#This Row],[VALOR CONTRAPARTIDA]]+Tabla4[[#This Row],[TOTAL APORTES ICBF]]</f>
        <v>30993822</v>
      </c>
      <c r="AI130" s="35"/>
      <c r="AJ130" s="38"/>
      <c r="AK130" s="38"/>
      <c r="AL130" s="23"/>
      <c r="AM130" s="35">
        <f>VLOOKUP(Tabla4[[#This Row],[SERVICIO 2025]],$J$2:$V$14,5,0)*Tabla4[[#This Row],[TOTAL COBERTURA]]</f>
        <v>934880</v>
      </c>
      <c r="AN130" s="35">
        <f>VLOOKUP(Tabla4[[#This Row],[SERVICIO 2025]],$J$2:$V$14,6,0)*Tabla4[[#This Row],[TOTAL COBERTURA]]</f>
        <v>756820</v>
      </c>
      <c r="AO130" s="35">
        <f>VLOOKUP(Tabla4[[#This Row],[SERVICIO 2025]],$J$2:$V$14,8,0)*Tabla4[[#This Row],[TOTAL COBERTURA]]</f>
        <v>0</v>
      </c>
      <c r="AP130" s="35">
        <f>VLOOKUP(Tabla4[[#This Row],[SERVICIO 2025]],$J$2:$V$14,3,0)*Tabla4[[#This Row],[TOTAL COBERTURA]]*8</f>
        <v>28694400</v>
      </c>
      <c r="AQ130" s="35"/>
      <c r="AR130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130" s="35" t="str">
        <f>+IF(Tabla4[[#This Row],[AGRUPACIONES]]=1,SUMIFS(Tabla4[VALOR TOTAL],Tabla4[ZONA DEFINITIVO],Tabla4[[#This Row],[ZONA DEFINITIVO]])," ")</f>
        <v xml:space="preserve"> </v>
      </c>
      <c r="AT130" s="27">
        <f>(VLOOKUP(Tabla4[[#This Row],[SERVICIO 2025]],$J$2:$V$14,3,0)*Tabla4[[#This Row],[TOTAL COBERTURA]])+Tabla4[[#This Row],[VALOR FASE PREPARATORIA DE ALISTAMIENTO]]+Tabla4[[#This Row],[DOTACIÓN ÚNICA]]</f>
        <v>4521680</v>
      </c>
      <c r="AU130" s="35">
        <f>(VLOOKUP(Tabla4[[#This Row],[SERVICIO 2025]],$J$2:$V$14,3,0)*Tabla4[[#This Row],[TOTAL COBERTURA]])</f>
        <v>3586800</v>
      </c>
      <c r="AV130" s="35">
        <f>(VLOOKUP(Tabla4[[#This Row],[SERVICIO 2025]],$J$2:$V$14,3,0)*Tabla4[[#This Row],[TOTAL COBERTURA]])</f>
        <v>3586800</v>
      </c>
      <c r="AW130" s="35">
        <f>(VLOOKUP(Tabla4[[#This Row],[SERVICIO 2025]],$J$2:$V$14,3,0)*Tabla4[[#This Row],[TOTAL COBERTURA]])</f>
        <v>3586800</v>
      </c>
      <c r="AX130" s="35">
        <f>(VLOOKUP(Tabla4[[#This Row],[SERVICIO 2025]],$J$2:$V$14,3,0)*Tabla4[[#This Row],[TOTAL COBERTURA]])</f>
        <v>3586800</v>
      </c>
      <c r="AY130" s="35">
        <f>(VLOOKUP(Tabla4[[#This Row],[SERVICIO 2025]],$J$2:$V$14,3,0)*Tabla4[[#This Row],[TOTAL COBERTURA]])</f>
        <v>3586800</v>
      </c>
      <c r="AZ130" s="35">
        <f>(VLOOKUP(Tabla4[[#This Row],[SERVICIO 2025]],$J$2:$V$14,3,0)*Tabla4[[#This Row],[TOTAL COBERTURA]])</f>
        <v>3586800</v>
      </c>
      <c r="BA130" s="35">
        <f>(VLOOKUP(Tabla4[[#This Row],[SERVICIO 2025]],$J$2:$V$14,3,0)*Tabla4[[#This Row],[TOTAL COBERTURA]])+Tabla4[[#This Row],[VALOR FASE PREPARATORIA DE CIERRE]]</f>
        <v>4343620</v>
      </c>
      <c r="BB130" s="35">
        <f>SUM(Tabla4[[#This Row],[DESEMBOLSO 1]:[DESEMBOLSO 8]])</f>
        <v>30386100</v>
      </c>
      <c r="BC130" s="35">
        <f>VLOOKUP(Tabla4[[#This Row],[SERVICIO 2025]],$J$2:$V$14,10,0)*Tabla4[[#This Row],[TOTAL COBERTURA]]*$W$3</f>
        <v>30131360</v>
      </c>
      <c r="BD130" s="47" t="s">
        <v>211</v>
      </c>
      <c r="BE130" s="12" t="b">
        <f>EXACT(Tabla4[[#This Row],[VALOR ATENCIÓN (8 MESES)]],Tabla4[[#This Row],[VALOR TOTAL]])</f>
        <v>1</v>
      </c>
      <c r="BF130" s="23">
        <f>Tabla4[[#This Row],[VALOR ATENCIÓN (8 MESES)]]-Tabla4[[#This Row],[VALOR TOTAL]]</f>
        <v>0</v>
      </c>
      <c r="BG130" s="12" t="b">
        <f>EXACT(Tabla4[[#This Row],[TOTAL DESEMBOLSOS]],Tabla4[[#This Row],[VALOR ATENCIÓN (8 MESES)]])</f>
        <v>1</v>
      </c>
      <c r="BH130" s="29">
        <f>Tabla4[[#This Row],[TOTAL DESEMBOLSOS]]-Tabla4[[#This Row],[VALOR ATENCIÓN (8 MESES)]]</f>
        <v>0</v>
      </c>
      <c r="BI130" t="s">
        <v>98</v>
      </c>
      <c r="BJ130">
        <v>1895</v>
      </c>
    </row>
    <row r="131" spans="1:62">
      <c r="A131" s="13">
        <v>1895</v>
      </c>
      <c r="B131" s="13" t="s">
        <v>353</v>
      </c>
      <c r="C131" s="12" t="s">
        <v>87</v>
      </c>
      <c r="D131" s="12" t="s">
        <v>205</v>
      </c>
      <c r="E131" s="12" t="s">
        <v>354</v>
      </c>
      <c r="F131" s="12" t="s">
        <v>20</v>
      </c>
      <c r="G131" s="12" t="s">
        <v>90</v>
      </c>
      <c r="H131" s="12" t="s">
        <v>369</v>
      </c>
      <c r="I131" s="12">
        <v>55761154372</v>
      </c>
      <c r="J131" s="12" t="s">
        <v>370</v>
      </c>
      <c r="K131" s="12">
        <v>1</v>
      </c>
      <c r="L131" s="12">
        <v>12</v>
      </c>
      <c r="M131" s="12"/>
      <c r="N131" s="13">
        <v>1895</v>
      </c>
      <c r="O131" s="12" t="s">
        <v>93</v>
      </c>
      <c r="P131" s="12"/>
      <c r="Q131" s="12"/>
      <c r="R131" s="12" t="s">
        <v>94</v>
      </c>
      <c r="S131" s="12">
        <v>10</v>
      </c>
      <c r="T131" s="12" t="s">
        <v>357</v>
      </c>
      <c r="U131" s="12" t="s">
        <v>358</v>
      </c>
      <c r="V131" s="12">
        <f>VLOOKUP(Tabla4[[#This Row],[ZONA DEFINITIVO]],Hoja1!$A$1:$D$121,3,0)</f>
        <v>228998</v>
      </c>
      <c r="W131" s="12">
        <f>VLOOKUP(Tabla4[[#This Row],[ZONA DEFINITIVO]],Hoja1!$A$1:$D$121,2,0)</f>
        <v>15153</v>
      </c>
      <c r="X131" s="12">
        <f>VLOOKUP(Tabla4[[#This Row],[ZONA DEFINITIVO]],Hoja1!$A$1:$D$121,4,0)</f>
        <v>90825</v>
      </c>
      <c r="Y131" s="12" t="str">
        <f>+IF(Tabla4[[#This Row],[AGRUPACIONES]]=1,SUMIFS(Tabla4[UDS],Tabla4[ZONA DEFINITIVO],Tabla4[[#This Row],[ZONA DEFINITIVO]])," ")</f>
        <v xml:space="preserve"> </v>
      </c>
      <c r="Z131" s="12" t="str">
        <f>+IF(Tabla4[[#This Row],[AGRUPACIONES]]=1,SUMIFS(Tabla4[TOTAL COBERTURA],Tabla4[ZONA DEFINITIVO],Tabla4[[#This Row],[ZONA DEFINITIVO]])," ")</f>
        <v xml:space="preserve"> </v>
      </c>
      <c r="AA131" s="12"/>
      <c r="AB131" s="38">
        <v>36310476</v>
      </c>
      <c r="AC131" s="37">
        <v>0.02</v>
      </c>
      <c r="AD131" s="38">
        <f t="shared" si="2"/>
        <v>726209.52</v>
      </c>
      <c r="AE131" s="12"/>
      <c r="AF131" s="12">
        <f>COUNTIF($A$20:A131,A131)</f>
        <v>7</v>
      </c>
      <c r="AG131" s="38">
        <v>36310476</v>
      </c>
      <c r="AH131" s="38">
        <f>Tabla4[[#This Row],[VALOR CONTRAPARTIDA]]+Tabla4[[#This Row],[TOTAL APORTES ICBF]]</f>
        <v>37036685.520000003</v>
      </c>
      <c r="AI131" s="35"/>
      <c r="AJ131" s="38"/>
      <c r="AK131" s="38"/>
      <c r="AL131" s="23"/>
      <c r="AM131" s="35">
        <f>VLOOKUP(Tabla4[[#This Row],[SERVICIO 2025]],$J$2:$V$14,5,0)*Tabla4[[#This Row],[TOTAL COBERTURA]]</f>
        <v>560928</v>
      </c>
      <c r="AN131" s="35">
        <f>VLOOKUP(Tabla4[[#This Row],[SERVICIO 2025]],$J$2:$V$14,6,0)*Tabla4[[#This Row],[TOTAL COBERTURA]]</f>
        <v>454092</v>
      </c>
      <c r="AO131" s="35">
        <f>VLOOKUP(Tabla4[[#This Row],[SERVICIO 2025]],$J$2:$V$14,8,0)*Tabla4[[#This Row],[TOTAL COBERTURA]]</f>
        <v>0</v>
      </c>
      <c r="AP131" s="35">
        <f>VLOOKUP(Tabla4[[#This Row],[SERVICIO 2025]],$J$2:$V$14,3,0)*Tabla4[[#This Row],[TOTAL COBERTURA]]*8</f>
        <v>35295456</v>
      </c>
      <c r="AQ131" s="35"/>
      <c r="AR131" s="35">
        <f>Tabla4[[#This Row],[VALOR FASE PREPARATORIA DE ALISTAMIENTO]]+Tabla4[[#This Row],[VALOR FASE PREPARATORIA DE CIERRE]]+Tabla4[[#This Row],[DOTACIÓN ÚNICA]]+Tabla4[[#This Row],[VALOR ATENCIÓN]]+Tabla4[[#This Row],[VALOR RACION PREPARADA]]</f>
        <v>36310476</v>
      </c>
      <c r="AS131" s="35" t="str">
        <f>+IF(Tabla4[[#This Row],[AGRUPACIONES]]=1,SUMIFS(Tabla4[VALOR TOTAL],Tabla4[ZONA DEFINITIVO],Tabla4[[#This Row],[ZONA DEFINITIVO]])," ")</f>
        <v xml:space="preserve"> </v>
      </c>
      <c r="AT131" s="27">
        <f>(VLOOKUP(Tabla4[[#This Row],[SERVICIO 2025]],$J$2:$V$14,3,0)*Tabla4[[#This Row],[TOTAL COBERTURA]])+Tabla4[[#This Row],[VALOR FASE PREPARATORIA DE ALISTAMIENTO]]+Tabla4[[#This Row],[DOTACIÓN ÚNICA]]</f>
        <v>4972860</v>
      </c>
      <c r="AU131" s="35">
        <f>(VLOOKUP(Tabla4[[#This Row],[SERVICIO 2025]],$J$2:$V$14,3,0)*Tabla4[[#This Row],[TOTAL COBERTURA]])</f>
        <v>4411932</v>
      </c>
      <c r="AV131" s="35">
        <f>(VLOOKUP(Tabla4[[#This Row],[SERVICIO 2025]],$J$2:$V$14,3,0)*Tabla4[[#This Row],[TOTAL COBERTURA]])</f>
        <v>4411932</v>
      </c>
      <c r="AW131" s="35">
        <f>(VLOOKUP(Tabla4[[#This Row],[SERVICIO 2025]],$J$2:$V$14,3,0)*Tabla4[[#This Row],[TOTAL COBERTURA]])</f>
        <v>4411932</v>
      </c>
      <c r="AX131" s="35">
        <f>(VLOOKUP(Tabla4[[#This Row],[SERVICIO 2025]],$J$2:$V$14,3,0)*Tabla4[[#This Row],[TOTAL COBERTURA]])</f>
        <v>4411932</v>
      </c>
      <c r="AY131" s="35">
        <f>(VLOOKUP(Tabla4[[#This Row],[SERVICIO 2025]],$J$2:$V$14,3,0)*Tabla4[[#This Row],[TOTAL COBERTURA]])</f>
        <v>4411932</v>
      </c>
      <c r="AZ131" s="35">
        <f>(VLOOKUP(Tabla4[[#This Row],[SERVICIO 2025]],$J$2:$V$14,3,0)*Tabla4[[#This Row],[TOTAL COBERTURA]])</f>
        <v>4411932</v>
      </c>
      <c r="BA131" s="35">
        <f>(VLOOKUP(Tabla4[[#This Row],[SERVICIO 2025]],$J$2:$V$14,3,0)*Tabla4[[#This Row],[TOTAL COBERTURA]])+Tabla4[[#This Row],[VALOR FASE PREPARATORIA DE CIERRE]]</f>
        <v>4866024</v>
      </c>
      <c r="BB131" s="35">
        <f>SUM(Tabla4[[#This Row],[DESEMBOLSO 1]:[DESEMBOLSO 8]])</f>
        <v>36310476</v>
      </c>
      <c r="BC131" s="35">
        <f>VLOOKUP(Tabla4[[#This Row],[SERVICIO 2025]],$J$2:$V$14,10,0)*Tabla4[[#This Row],[TOTAL COBERTURA]]*$W$3</f>
        <v>0</v>
      </c>
      <c r="BD131" s="47" t="s">
        <v>145</v>
      </c>
      <c r="BE131" s="12" t="b">
        <f>EXACT(Tabla4[[#This Row],[VALOR ATENCIÓN (8 MESES)]],Tabla4[[#This Row],[VALOR TOTAL]])</f>
        <v>1</v>
      </c>
      <c r="BF131" s="23">
        <f>Tabla4[[#This Row],[VALOR ATENCIÓN (8 MESES)]]-Tabla4[[#This Row],[VALOR TOTAL]]</f>
        <v>0</v>
      </c>
      <c r="BG131" s="12" t="b">
        <f>EXACT(Tabla4[[#This Row],[TOTAL DESEMBOLSOS]],Tabla4[[#This Row],[VALOR ATENCIÓN (8 MESES)]])</f>
        <v>1</v>
      </c>
      <c r="BH131" s="29">
        <f>Tabla4[[#This Row],[TOTAL DESEMBOLSOS]]-Tabla4[[#This Row],[VALOR ATENCIÓN (8 MESES)]]</f>
        <v>0</v>
      </c>
      <c r="BI131" t="s">
        <v>98</v>
      </c>
      <c r="BJ131">
        <v>1895</v>
      </c>
    </row>
    <row r="132" spans="1:62">
      <c r="A132" s="13">
        <v>1895</v>
      </c>
      <c r="B132" s="13" t="s">
        <v>353</v>
      </c>
      <c r="C132" s="12" t="s">
        <v>87</v>
      </c>
      <c r="D132" s="12" t="s">
        <v>205</v>
      </c>
      <c r="E132" s="12" t="s">
        <v>354</v>
      </c>
      <c r="F132" s="12" t="s">
        <v>21</v>
      </c>
      <c r="G132" s="12" t="s">
        <v>90</v>
      </c>
      <c r="H132" s="12" t="s">
        <v>371</v>
      </c>
      <c r="I132" s="12">
        <v>557600021903</v>
      </c>
      <c r="J132" s="12" t="s">
        <v>372</v>
      </c>
      <c r="K132" s="12">
        <v>1</v>
      </c>
      <c r="L132" s="12">
        <v>14</v>
      </c>
      <c r="M132" s="12"/>
      <c r="N132" s="13">
        <v>1895</v>
      </c>
      <c r="O132" s="12" t="s">
        <v>93</v>
      </c>
      <c r="P132" s="12"/>
      <c r="Q132" s="12"/>
      <c r="R132" s="12" t="s">
        <v>94</v>
      </c>
      <c r="S132" s="12">
        <v>10</v>
      </c>
      <c r="T132" s="12" t="s">
        <v>357</v>
      </c>
      <c r="U132" s="12" t="s">
        <v>358</v>
      </c>
      <c r="V132" s="12">
        <f>VLOOKUP(Tabla4[[#This Row],[ZONA DEFINITIVO]],Hoja1!$A$1:$D$121,3,0)</f>
        <v>228998</v>
      </c>
      <c r="W132" s="12">
        <f>VLOOKUP(Tabla4[[#This Row],[ZONA DEFINITIVO]],Hoja1!$A$1:$D$121,2,0)</f>
        <v>15153</v>
      </c>
      <c r="X132" s="12">
        <f>VLOOKUP(Tabla4[[#This Row],[ZONA DEFINITIVO]],Hoja1!$A$1:$D$121,4,0)</f>
        <v>90825</v>
      </c>
      <c r="Y132" s="12" t="str">
        <f>+IF(Tabla4[[#This Row],[AGRUPACIONES]]=1,SUMIFS(Tabla4[UDS],Tabla4[ZONA DEFINITIVO],Tabla4[[#This Row],[ZONA DEFINITIVO]])," ")</f>
        <v xml:space="preserve"> </v>
      </c>
      <c r="Z132" s="12" t="str">
        <f>+IF(Tabla4[[#This Row],[AGRUPACIONES]]=1,SUMIFS(Tabla4[TOTAL COBERTURA],Tabla4[ZONA DEFINITIVO],Tabla4[[#This Row],[ZONA DEFINITIVO]])," ")</f>
        <v xml:space="preserve"> </v>
      </c>
      <c r="AA132" s="12"/>
      <c r="AB132" s="38">
        <v>21270270</v>
      </c>
      <c r="AC132" s="37">
        <v>0.02</v>
      </c>
      <c r="AD132" s="38">
        <f t="shared" si="2"/>
        <v>425405.4</v>
      </c>
      <c r="AE132" s="12"/>
      <c r="AF132" s="12">
        <f>COUNTIF($A$20:A132,A132)</f>
        <v>8</v>
      </c>
      <c r="AG132" s="38">
        <v>21270270</v>
      </c>
      <c r="AH132" s="38">
        <f>Tabla4[[#This Row],[VALOR CONTRAPARTIDA]]+Tabla4[[#This Row],[TOTAL APORTES ICBF]]</f>
        <v>21695675.399999999</v>
      </c>
      <c r="AI132" s="35"/>
      <c r="AJ132" s="38"/>
      <c r="AK132" s="38"/>
      <c r="AL132" s="23"/>
      <c r="AM132" s="35">
        <f>VLOOKUP(Tabla4[[#This Row],[SERVICIO 2025]],$J$2:$V$14,5,0)*Tabla4[[#This Row],[TOTAL COBERTURA]]</f>
        <v>654416</v>
      </c>
      <c r="AN132" s="35">
        <f>VLOOKUP(Tabla4[[#This Row],[SERVICIO 2025]],$J$2:$V$14,6,0)*Tabla4[[#This Row],[TOTAL COBERTURA]]</f>
        <v>529774</v>
      </c>
      <c r="AO132" s="35">
        <f>VLOOKUP(Tabla4[[#This Row],[SERVICIO 2025]],$J$2:$V$14,8,0)*Tabla4[[#This Row],[TOTAL COBERTURA]]</f>
        <v>0</v>
      </c>
      <c r="AP132" s="35">
        <f>VLOOKUP(Tabla4[[#This Row],[SERVICIO 2025]],$J$2:$V$14,3,0)*Tabla4[[#This Row],[TOTAL COBERTURA]]*8</f>
        <v>20086080</v>
      </c>
      <c r="AQ132" s="35"/>
      <c r="AR132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132" s="35" t="str">
        <f>+IF(Tabla4[[#This Row],[AGRUPACIONES]]=1,SUMIFS(Tabla4[VALOR TOTAL],Tabla4[ZONA DEFINITIVO],Tabla4[[#This Row],[ZONA DEFINITIVO]])," ")</f>
        <v xml:space="preserve"> </v>
      </c>
      <c r="AT132" s="27">
        <f>(VLOOKUP(Tabla4[[#This Row],[SERVICIO 2025]],$J$2:$V$14,3,0)*Tabla4[[#This Row],[TOTAL COBERTURA]])+Tabla4[[#This Row],[VALOR FASE PREPARATORIA DE ALISTAMIENTO]]+Tabla4[[#This Row],[DOTACIÓN ÚNICA]]</f>
        <v>3165176</v>
      </c>
      <c r="AU132" s="35">
        <f>(VLOOKUP(Tabla4[[#This Row],[SERVICIO 2025]],$J$2:$V$14,3,0)*Tabla4[[#This Row],[TOTAL COBERTURA]])</f>
        <v>2510760</v>
      </c>
      <c r="AV132" s="35">
        <f>(VLOOKUP(Tabla4[[#This Row],[SERVICIO 2025]],$J$2:$V$14,3,0)*Tabla4[[#This Row],[TOTAL COBERTURA]])</f>
        <v>2510760</v>
      </c>
      <c r="AW132" s="35">
        <f>(VLOOKUP(Tabla4[[#This Row],[SERVICIO 2025]],$J$2:$V$14,3,0)*Tabla4[[#This Row],[TOTAL COBERTURA]])</f>
        <v>2510760</v>
      </c>
      <c r="AX132" s="35">
        <f>(VLOOKUP(Tabla4[[#This Row],[SERVICIO 2025]],$J$2:$V$14,3,0)*Tabla4[[#This Row],[TOTAL COBERTURA]])</f>
        <v>2510760</v>
      </c>
      <c r="AY132" s="35">
        <f>(VLOOKUP(Tabla4[[#This Row],[SERVICIO 2025]],$J$2:$V$14,3,0)*Tabla4[[#This Row],[TOTAL COBERTURA]])</f>
        <v>2510760</v>
      </c>
      <c r="AZ132" s="35">
        <f>(VLOOKUP(Tabla4[[#This Row],[SERVICIO 2025]],$J$2:$V$14,3,0)*Tabla4[[#This Row],[TOTAL COBERTURA]])</f>
        <v>2510760</v>
      </c>
      <c r="BA132" s="35">
        <f>(VLOOKUP(Tabla4[[#This Row],[SERVICIO 2025]],$J$2:$V$14,3,0)*Tabla4[[#This Row],[TOTAL COBERTURA]])+Tabla4[[#This Row],[VALOR FASE PREPARATORIA DE CIERRE]]</f>
        <v>3040534</v>
      </c>
      <c r="BB132" s="35">
        <f>SUM(Tabla4[[#This Row],[DESEMBOLSO 1]:[DESEMBOLSO 8]])</f>
        <v>21270270</v>
      </c>
      <c r="BC132" s="35">
        <f>VLOOKUP(Tabla4[[#This Row],[SERVICIO 2025]],$J$2:$V$14,10,0)*Tabla4[[#This Row],[TOTAL COBERTURA]]*$W$3</f>
        <v>21091952</v>
      </c>
      <c r="BD132" s="47" t="s">
        <v>211</v>
      </c>
      <c r="BE132" s="12" t="b">
        <f>EXACT(Tabla4[[#This Row],[VALOR ATENCIÓN (8 MESES)]],Tabla4[[#This Row],[VALOR TOTAL]])</f>
        <v>1</v>
      </c>
      <c r="BF132" s="23">
        <f>Tabla4[[#This Row],[VALOR ATENCIÓN (8 MESES)]]-Tabla4[[#This Row],[VALOR TOTAL]]</f>
        <v>0</v>
      </c>
      <c r="BG132" s="12" t="b">
        <f>EXACT(Tabla4[[#This Row],[TOTAL DESEMBOLSOS]],Tabla4[[#This Row],[VALOR ATENCIÓN (8 MESES)]])</f>
        <v>1</v>
      </c>
      <c r="BH132" s="29">
        <f>Tabla4[[#This Row],[TOTAL DESEMBOLSOS]]-Tabla4[[#This Row],[VALOR ATENCIÓN (8 MESES)]]</f>
        <v>0</v>
      </c>
      <c r="BI132" t="s">
        <v>98</v>
      </c>
      <c r="BJ132">
        <v>1895</v>
      </c>
    </row>
    <row r="133" spans="1:62">
      <c r="A133" s="13">
        <v>1895</v>
      </c>
      <c r="B133" s="13" t="s">
        <v>353</v>
      </c>
      <c r="C133" s="12" t="s">
        <v>87</v>
      </c>
      <c r="D133" s="12" t="s">
        <v>205</v>
      </c>
      <c r="E133" s="12" t="s">
        <v>354</v>
      </c>
      <c r="F133" s="12" t="s">
        <v>14</v>
      </c>
      <c r="G133" s="12" t="s">
        <v>90</v>
      </c>
      <c r="H133" s="12" t="s">
        <v>373</v>
      </c>
      <c r="I133" s="12">
        <v>557600130582</v>
      </c>
      <c r="J133" s="12" t="s">
        <v>374</v>
      </c>
      <c r="K133" s="12">
        <v>1</v>
      </c>
      <c r="L133" s="12">
        <v>89</v>
      </c>
      <c r="M133" s="12"/>
      <c r="N133" s="13">
        <v>1895</v>
      </c>
      <c r="O133" s="12" t="s">
        <v>93</v>
      </c>
      <c r="P133" s="12"/>
      <c r="Q133" s="12"/>
      <c r="R133" s="12" t="s">
        <v>94</v>
      </c>
      <c r="S133" s="12">
        <v>10</v>
      </c>
      <c r="T133" s="12" t="s">
        <v>357</v>
      </c>
      <c r="U133" s="12" t="s">
        <v>358</v>
      </c>
      <c r="V133" s="12">
        <f>VLOOKUP(Tabla4[[#This Row],[ZONA DEFINITIVO]],Hoja1!$A$1:$D$121,3,0)</f>
        <v>228998</v>
      </c>
      <c r="W133" s="12">
        <f>VLOOKUP(Tabla4[[#This Row],[ZONA DEFINITIVO]],Hoja1!$A$1:$D$121,2,0)</f>
        <v>15153</v>
      </c>
      <c r="X133" s="12">
        <f>VLOOKUP(Tabla4[[#This Row],[ZONA DEFINITIVO]],Hoja1!$A$1:$D$121,4,0)</f>
        <v>90825</v>
      </c>
      <c r="Y133" s="12" t="str">
        <f>+IF(Tabla4[[#This Row],[AGRUPACIONES]]=1,SUMIFS(Tabla4[UDS],Tabla4[ZONA DEFINITIVO],Tabla4[[#This Row],[ZONA DEFINITIVO]])," ")</f>
        <v xml:space="preserve"> </v>
      </c>
      <c r="Z133" s="12" t="str">
        <f>+IF(Tabla4[[#This Row],[AGRUPACIONES]]=1,SUMIFS(Tabla4[TOTAL COBERTURA],Tabla4[ZONA DEFINITIVO],Tabla4[[#This Row],[ZONA DEFINITIVO]])," ")</f>
        <v xml:space="preserve"> </v>
      </c>
      <c r="AA133" s="12"/>
      <c r="AB133" s="38">
        <v>372807650</v>
      </c>
      <c r="AC133" s="37">
        <v>0.02</v>
      </c>
      <c r="AD133" s="38">
        <f t="shared" si="2"/>
        <v>7456153</v>
      </c>
      <c r="AE133" s="12"/>
      <c r="AF133" s="12">
        <f>COUNTIF($A$20:A133,A133)</f>
        <v>9</v>
      </c>
      <c r="AG133" s="38">
        <v>372807650</v>
      </c>
      <c r="AH133" s="38">
        <f>Tabla4[[#This Row],[VALOR CONTRAPARTIDA]]+Tabla4[[#This Row],[TOTAL APORTES ICBF]]</f>
        <v>380263803</v>
      </c>
      <c r="AI133" s="35"/>
      <c r="AJ133" s="38"/>
      <c r="AK133" s="38"/>
      <c r="AL133" s="23"/>
      <c r="AM133" s="35">
        <f>VLOOKUP(Tabla4[[#This Row],[SERVICIO 2025]],$J$2:$V$14,5,0)*Tabla4[[#This Row],[TOTAL COBERTURA]]</f>
        <v>7844727</v>
      </c>
      <c r="AN133" s="35">
        <f>VLOOKUP(Tabla4[[#This Row],[SERVICIO 2025]],$J$2:$V$14,6,0)*Tabla4[[#This Row],[TOTAL COBERTURA]]</f>
        <v>6678827</v>
      </c>
      <c r="AO133" s="35">
        <f>VLOOKUP(Tabla4[[#This Row],[SERVICIO 2025]],$J$2:$V$14,8,0)*Tabla4[[#This Row],[TOTAL COBERTURA]]</f>
        <v>0</v>
      </c>
      <c r="AP133" s="35">
        <f>VLOOKUP(Tabla4[[#This Row],[SERVICIO 2025]],$J$2:$V$14,3,0)*Tabla4[[#This Row],[TOTAL COBERTURA]]*8</f>
        <v>358284096</v>
      </c>
      <c r="AQ133" s="35"/>
      <c r="AR133" s="35">
        <f>Tabla4[[#This Row],[VALOR FASE PREPARATORIA DE ALISTAMIENTO]]+Tabla4[[#This Row],[VALOR FASE PREPARATORIA DE CIERRE]]+Tabla4[[#This Row],[DOTACIÓN ÚNICA]]+Tabla4[[#This Row],[VALOR ATENCIÓN]]+Tabla4[[#This Row],[VALOR RACION PREPARADA]]</f>
        <v>372807650</v>
      </c>
      <c r="AS133" s="35" t="str">
        <f>+IF(Tabla4[[#This Row],[AGRUPACIONES]]=1,SUMIFS(Tabla4[VALOR TOTAL],Tabla4[ZONA DEFINITIVO],Tabla4[[#This Row],[ZONA DEFINITIVO]])," ")</f>
        <v xml:space="preserve"> </v>
      </c>
      <c r="AT133" s="27">
        <f>(VLOOKUP(Tabla4[[#This Row],[SERVICIO 2025]],$J$2:$V$14,3,0)*Tabla4[[#This Row],[TOTAL COBERTURA]])+Tabla4[[#This Row],[VALOR FASE PREPARATORIA DE ALISTAMIENTO]]+Tabla4[[#This Row],[DOTACIÓN ÚNICA]]</f>
        <v>52630239</v>
      </c>
      <c r="AU133" s="35">
        <f>(VLOOKUP(Tabla4[[#This Row],[SERVICIO 2025]],$J$2:$V$14,3,0)*Tabla4[[#This Row],[TOTAL COBERTURA]])</f>
        <v>44785512</v>
      </c>
      <c r="AV133" s="35">
        <f>(VLOOKUP(Tabla4[[#This Row],[SERVICIO 2025]],$J$2:$V$14,3,0)*Tabla4[[#This Row],[TOTAL COBERTURA]])</f>
        <v>44785512</v>
      </c>
      <c r="AW133" s="35">
        <f>(VLOOKUP(Tabla4[[#This Row],[SERVICIO 2025]],$J$2:$V$14,3,0)*Tabla4[[#This Row],[TOTAL COBERTURA]])</f>
        <v>44785512</v>
      </c>
      <c r="AX133" s="35">
        <f>(VLOOKUP(Tabla4[[#This Row],[SERVICIO 2025]],$J$2:$V$14,3,0)*Tabla4[[#This Row],[TOTAL COBERTURA]])</f>
        <v>44785512</v>
      </c>
      <c r="AY133" s="35">
        <f>(VLOOKUP(Tabla4[[#This Row],[SERVICIO 2025]],$J$2:$V$14,3,0)*Tabla4[[#This Row],[TOTAL COBERTURA]])</f>
        <v>44785512</v>
      </c>
      <c r="AZ133" s="35">
        <f>(VLOOKUP(Tabla4[[#This Row],[SERVICIO 2025]],$J$2:$V$14,3,0)*Tabla4[[#This Row],[TOTAL COBERTURA]])</f>
        <v>44785512</v>
      </c>
      <c r="BA133" s="35">
        <f>(VLOOKUP(Tabla4[[#This Row],[SERVICIO 2025]],$J$2:$V$14,3,0)*Tabla4[[#This Row],[TOTAL COBERTURA]])+Tabla4[[#This Row],[VALOR FASE PREPARATORIA DE CIERRE]]</f>
        <v>51464339</v>
      </c>
      <c r="BB133" s="35">
        <f>SUM(Tabla4[[#This Row],[DESEMBOLSO 1]:[DESEMBOLSO 8]])</f>
        <v>372807650</v>
      </c>
      <c r="BC133" s="35">
        <f>VLOOKUP(Tabla4[[#This Row],[SERVICIO 2025]],$J$2:$V$14,10,0)*Tabla4[[#This Row],[TOTAL COBERTURA]]*$W$3</f>
        <v>0</v>
      </c>
      <c r="BD133" s="47" t="s">
        <v>145</v>
      </c>
      <c r="BE133" s="12" t="b">
        <f>EXACT(Tabla4[[#This Row],[VALOR ATENCIÓN (8 MESES)]],Tabla4[[#This Row],[VALOR TOTAL]])</f>
        <v>1</v>
      </c>
      <c r="BF133" s="23">
        <f>Tabla4[[#This Row],[VALOR ATENCIÓN (8 MESES)]]-Tabla4[[#This Row],[VALOR TOTAL]]</f>
        <v>0</v>
      </c>
      <c r="BG133" s="12" t="b">
        <f>EXACT(Tabla4[[#This Row],[TOTAL DESEMBOLSOS]],Tabla4[[#This Row],[VALOR ATENCIÓN (8 MESES)]])</f>
        <v>1</v>
      </c>
      <c r="BH133" s="29">
        <f>Tabla4[[#This Row],[TOTAL DESEMBOLSOS]]-Tabla4[[#This Row],[VALOR ATENCIÓN (8 MESES)]]</f>
        <v>0</v>
      </c>
      <c r="BI133" t="s">
        <v>98</v>
      </c>
      <c r="BJ133">
        <v>1895</v>
      </c>
    </row>
    <row r="134" spans="1:62">
      <c r="A134" s="13">
        <v>1896</v>
      </c>
      <c r="B134" s="13" t="s">
        <v>375</v>
      </c>
      <c r="C134" s="12" t="s">
        <v>87</v>
      </c>
      <c r="D134" s="12" t="s">
        <v>266</v>
      </c>
      <c r="E134" s="12" t="s">
        <v>376</v>
      </c>
      <c r="F134" s="12" t="s">
        <v>22</v>
      </c>
      <c r="G134" s="12" t="s">
        <v>90</v>
      </c>
      <c r="H134" s="12" t="s">
        <v>377</v>
      </c>
      <c r="I134" s="12">
        <v>584700088411</v>
      </c>
      <c r="J134" s="12" t="s">
        <v>378</v>
      </c>
      <c r="K134" s="12">
        <v>1</v>
      </c>
      <c r="L134" s="12">
        <v>83</v>
      </c>
      <c r="M134" s="12"/>
      <c r="N134" s="13">
        <v>1896</v>
      </c>
      <c r="O134" s="12" t="s">
        <v>93</v>
      </c>
      <c r="P134" s="12"/>
      <c r="Q134" s="12"/>
      <c r="R134" s="12" t="s">
        <v>94</v>
      </c>
      <c r="S134" s="12">
        <v>10</v>
      </c>
      <c r="T134" s="12" t="s">
        <v>379</v>
      </c>
      <c r="U134" s="12" t="s">
        <v>380</v>
      </c>
      <c r="V134" s="12">
        <f>VLOOKUP(Tabla4[[#This Row],[ZONA DEFINITIVO]],Hoja1!$A$1:$D$121,3,0)</f>
        <v>229060</v>
      </c>
      <c r="W134" s="12">
        <f>VLOOKUP(Tabla4[[#This Row],[ZONA DEFINITIVO]],Hoja1!$A$1:$D$121,2,0)</f>
        <v>15174</v>
      </c>
      <c r="X134" s="12">
        <f>VLOOKUP(Tabla4[[#This Row],[ZONA DEFINITIVO]],Hoja1!$A$1:$D$121,4,0)</f>
        <v>81925</v>
      </c>
      <c r="Y134" s="12">
        <f>+IF(Tabla4[[#This Row],[AGRUPACIONES]]=1,SUMIFS(Tabla4[UDS],Tabla4[ZONA DEFINITIVO],Tabla4[[#This Row],[ZONA DEFINITIVO]])," ")</f>
        <v>4</v>
      </c>
      <c r="Z134" s="12">
        <f>+IF(Tabla4[[#This Row],[AGRUPACIONES]]=1,SUMIFS(Tabla4[TOTAL COBERTURA],Tabla4[ZONA DEFINITIVO],Tabla4[[#This Row],[ZONA DEFINITIVO]])," ")</f>
        <v>385</v>
      </c>
      <c r="AA134" s="12"/>
      <c r="AB134" s="38">
        <v>347674550</v>
      </c>
      <c r="AC134" s="37">
        <v>0.02</v>
      </c>
      <c r="AD134" s="38">
        <f t="shared" si="2"/>
        <v>6953491</v>
      </c>
      <c r="AE134" s="12"/>
      <c r="AF134" s="12">
        <f>COUNTIF($A$20:A134,A134)</f>
        <v>1</v>
      </c>
      <c r="AG134" s="38">
        <v>347674550</v>
      </c>
      <c r="AH134" s="38">
        <f>Tabla4[[#This Row],[VALOR CONTRAPARTIDA]]+Tabla4[[#This Row],[TOTAL APORTES ICBF]]</f>
        <v>354628041</v>
      </c>
      <c r="AI134" s="35">
        <f>ROUND(+IF(Tabla4[[#This Row],[AGRUPACIONES]]=1,SUMIFS(Tabla4[TOTAL APORTES ICBF],Tabla4[ZONA DEFINITIVO],Tabla4[[#This Row],[ZONA DEFINITIVO]])," "),0)</f>
        <v>1655153954</v>
      </c>
      <c r="AJ134" s="38">
        <f>ROUND(+IF(Tabla4[[#This Row],[AGRUPACIONES]]=1,SUMIFS(Tabla4[VALOR CONTRAPARTIDA],Tabla4[ZONA DEFINITIVO],Tabla4[[#This Row],[ZONA DEFINITIVO]])," "),0)</f>
        <v>33103079</v>
      </c>
      <c r="AK134" s="38">
        <f>Tabla4[[#This Row],[TOTAL APORTES ICBF AGRUPADO]]+Tabla4[[#This Row],[TOTAL CONTRAPARTIDA AGRUPADO]]</f>
        <v>1688257033</v>
      </c>
      <c r="AL134" s="23">
        <f>Tabla4[[#This Row],[TOTAL APORTES ICBF AGRUPADO]]/$AL$18</f>
        <v>1162.735478749561</v>
      </c>
      <c r="AM134" s="35">
        <f>VLOOKUP(Tabla4[[#This Row],[SERVICIO 2025]],$J$2:$V$14,5,0)*Tabla4[[#This Row],[TOTAL COBERTURA]]</f>
        <v>7315869</v>
      </c>
      <c r="AN134" s="35">
        <f>VLOOKUP(Tabla4[[#This Row],[SERVICIO 2025]],$J$2:$V$14,6,0)*Tabla4[[#This Row],[TOTAL COBERTURA]]</f>
        <v>6228569</v>
      </c>
      <c r="AO134" s="35">
        <f>VLOOKUP(Tabla4[[#This Row],[SERVICIO 2025]],$J$2:$V$14,8,0)*Tabla4[[#This Row],[TOTAL COBERTURA]]</f>
        <v>0</v>
      </c>
      <c r="AP134" s="35">
        <f>VLOOKUP(Tabla4[[#This Row],[SERVICIO 2025]],$J$2:$V$14,3,0)*Tabla4[[#This Row],[TOTAL COBERTURA]]*8</f>
        <v>334130112</v>
      </c>
      <c r="AQ134" s="35"/>
      <c r="AR134" s="35">
        <f>Tabla4[[#This Row],[VALOR FASE PREPARATORIA DE ALISTAMIENTO]]+Tabla4[[#This Row],[VALOR FASE PREPARATORIA DE CIERRE]]+Tabla4[[#This Row],[DOTACIÓN ÚNICA]]+Tabla4[[#This Row],[VALOR ATENCIÓN]]+Tabla4[[#This Row],[VALOR RACION PREPARADA]]</f>
        <v>347674550</v>
      </c>
      <c r="AS134" s="35">
        <f>+IF(Tabla4[[#This Row],[AGRUPACIONES]]=1,SUMIFS(Tabla4[VALOR TOTAL],Tabla4[ZONA DEFINITIVO],Tabla4[[#This Row],[ZONA DEFINITIVO]])," ")</f>
        <v>1655153954</v>
      </c>
      <c r="AT134" s="27">
        <f>(VLOOKUP(Tabla4[[#This Row],[SERVICIO 2025]],$J$2:$V$14,3,0)*Tabla4[[#This Row],[TOTAL COBERTURA]])+Tabla4[[#This Row],[VALOR FASE PREPARATORIA DE ALISTAMIENTO]]+Tabla4[[#This Row],[DOTACIÓN ÚNICA]]</f>
        <v>49082133</v>
      </c>
      <c r="AU134" s="35">
        <f>(VLOOKUP(Tabla4[[#This Row],[SERVICIO 2025]],$J$2:$V$14,3,0)*Tabla4[[#This Row],[TOTAL COBERTURA]])</f>
        <v>41766264</v>
      </c>
      <c r="AV134" s="35">
        <f>(VLOOKUP(Tabla4[[#This Row],[SERVICIO 2025]],$J$2:$V$14,3,0)*Tabla4[[#This Row],[TOTAL COBERTURA]])</f>
        <v>41766264</v>
      </c>
      <c r="AW134" s="35">
        <f>(VLOOKUP(Tabla4[[#This Row],[SERVICIO 2025]],$J$2:$V$14,3,0)*Tabla4[[#This Row],[TOTAL COBERTURA]])</f>
        <v>41766264</v>
      </c>
      <c r="AX134" s="35">
        <f>(VLOOKUP(Tabla4[[#This Row],[SERVICIO 2025]],$J$2:$V$14,3,0)*Tabla4[[#This Row],[TOTAL COBERTURA]])</f>
        <v>41766264</v>
      </c>
      <c r="AY134" s="35">
        <f>(VLOOKUP(Tabla4[[#This Row],[SERVICIO 2025]],$J$2:$V$14,3,0)*Tabla4[[#This Row],[TOTAL COBERTURA]])</f>
        <v>41766264</v>
      </c>
      <c r="AZ134" s="35">
        <f>(VLOOKUP(Tabla4[[#This Row],[SERVICIO 2025]],$J$2:$V$14,3,0)*Tabla4[[#This Row],[TOTAL COBERTURA]])</f>
        <v>41766264</v>
      </c>
      <c r="BA134" s="35">
        <f>(VLOOKUP(Tabla4[[#This Row],[SERVICIO 2025]],$J$2:$V$14,3,0)*Tabla4[[#This Row],[TOTAL COBERTURA]])+Tabla4[[#This Row],[VALOR FASE PREPARATORIA DE CIERRE]]</f>
        <v>47994833</v>
      </c>
      <c r="BB134" s="35">
        <f>SUM(Tabla4[[#This Row],[DESEMBOLSO 1]:[DESEMBOLSO 8]])</f>
        <v>347674550</v>
      </c>
      <c r="BC134" s="35">
        <f>VLOOKUP(Tabla4[[#This Row],[SERVICIO 2025]],$J$2:$V$14,10,0)*Tabla4[[#This Row],[TOTAL COBERTURA]]*$W$3</f>
        <v>0</v>
      </c>
      <c r="BD134" s="47" t="s">
        <v>145</v>
      </c>
      <c r="BE134" s="12" t="b">
        <f>EXACT(Tabla4[[#This Row],[VALOR ATENCIÓN (8 MESES)]],Tabla4[[#This Row],[VALOR TOTAL]])</f>
        <v>1</v>
      </c>
      <c r="BF134" s="23">
        <f>Tabla4[[#This Row],[VALOR ATENCIÓN (8 MESES)]]-Tabla4[[#This Row],[VALOR TOTAL]]</f>
        <v>0</v>
      </c>
      <c r="BG134" s="12" t="b">
        <f>EXACT(Tabla4[[#This Row],[TOTAL DESEMBOLSOS]],Tabla4[[#This Row],[VALOR ATENCIÓN (8 MESES)]])</f>
        <v>1</v>
      </c>
      <c r="BH134" s="29">
        <f>Tabla4[[#This Row],[TOTAL DESEMBOLSOS]]-Tabla4[[#This Row],[VALOR ATENCIÓN (8 MESES)]]</f>
        <v>0</v>
      </c>
      <c r="BI134" t="s">
        <v>98</v>
      </c>
    </row>
    <row r="135" spans="1:62">
      <c r="A135" s="13">
        <v>1896</v>
      </c>
      <c r="B135" s="13" t="s">
        <v>375</v>
      </c>
      <c r="C135" s="12" t="s">
        <v>87</v>
      </c>
      <c r="D135" s="12" t="s">
        <v>266</v>
      </c>
      <c r="E135" s="12" t="s">
        <v>376</v>
      </c>
      <c r="F135" s="12" t="s">
        <v>15</v>
      </c>
      <c r="G135" s="12" t="s">
        <v>90</v>
      </c>
      <c r="H135" s="12" t="s">
        <v>381</v>
      </c>
      <c r="I135" s="12">
        <v>584700105330</v>
      </c>
      <c r="J135" s="12" t="s">
        <v>382</v>
      </c>
      <c r="K135" s="12">
        <v>1</v>
      </c>
      <c r="L135" s="12">
        <v>120</v>
      </c>
      <c r="M135" s="12"/>
      <c r="N135" s="13">
        <v>1896</v>
      </c>
      <c r="O135" s="12" t="s">
        <v>93</v>
      </c>
      <c r="P135" s="12"/>
      <c r="Q135" s="12"/>
      <c r="R135" s="12" t="s">
        <v>94</v>
      </c>
      <c r="S135" s="12">
        <v>10</v>
      </c>
      <c r="T135" s="12" t="s">
        <v>379</v>
      </c>
      <c r="U135" s="12" t="s">
        <v>380</v>
      </c>
      <c r="V135" s="12">
        <f>VLOOKUP(Tabla4[[#This Row],[ZONA DEFINITIVO]],Hoja1!$A$1:$D$121,3,0)</f>
        <v>229060</v>
      </c>
      <c r="W135" s="12">
        <f>VLOOKUP(Tabla4[[#This Row],[ZONA DEFINITIVO]],Hoja1!$A$1:$D$121,2,0)</f>
        <v>15174</v>
      </c>
      <c r="X135" s="12">
        <f>VLOOKUP(Tabla4[[#This Row],[ZONA DEFINITIVO]],Hoja1!$A$1:$D$121,4,0)</f>
        <v>81925</v>
      </c>
      <c r="Y135" s="12" t="str">
        <f>+IF(Tabla4[[#This Row],[AGRUPACIONES]]=1,SUMIFS(Tabla4[UDS],Tabla4[ZONA DEFINITIVO],Tabla4[[#This Row],[ZONA DEFINITIVO]])," ")</f>
        <v xml:space="preserve"> </v>
      </c>
      <c r="Z135" s="12" t="str">
        <f>+IF(Tabla4[[#This Row],[AGRUPACIONES]]=1,SUMIFS(Tabla4[TOTAL COBERTURA],Tabla4[ZONA DEFINITIVO],Tabla4[[#This Row],[ZONA DEFINITIVO]])," ")</f>
        <v xml:space="preserve"> </v>
      </c>
      <c r="AA135" s="12"/>
      <c r="AB135" s="38">
        <v>519528240</v>
      </c>
      <c r="AC135" s="37">
        <v>0.02</v>
      </c>
      <c r="AD135" s="38">
        <f t="shared" si="2"/>
        <v>10390564.800000001</v>
      </c>
      <c r="AE135" s="12"/>
      <c r="AF135" s="12">
        <f>COUNTIF($A$20:A135,A135)</f>
        <v>2</v>
      </c>
      <c r="AG135" s="38">
        <v>519528240</v>
      </c>
      <c r="AH135" s="38">
        <f>Tabla4[[#This Row],[VALOR CONTRAPARTIDA]]+Tabla4[[#This Row],[TOTAL APORTES ICBF]]</f>
        <v>529918804.80000001</v>
      </c>
      <c r="AI135" s="35"/>
      <c r="AJ135" s="38"/>
      <c r="AK135" s="38"/>
      <c r="AL135" s="23"/>
      <c r="AM135" s="35">
        <f>VLOOKUP(Tabla4[[#This Row],[SERVICIO 2025]],$J$2:$V$14,5,0)*Tabla4[[#This Row],[TOTAL COBERTURA]]</f>
        <v>10577160</v>
      </c>
      <c r="AN135" s="35">
        <f>VLOOKUP(Tabla4[[#This Row],[SERVICIO 2025]],$J$2:$V$14,6,0)*Tabla4[[#This Row],[TOTAL COBERTURA]]</f>
        <v>9005160</v>
      </c>
      <c r="AO135" s="35">
        <f>VLOOKUP(Tabla4[[#This Row],[SERVICIO 2025]],$J$2:$V$14,8,0)*Tabla4[[#This Row],[TOTAL COBERTURA]]</f>
        <v>0</v>
      </c>
      <c r="AP135" s="35">
        <f>VLOOKUP(Tabla4[[#This Row],[SERVICIO 2025]],$J$2:$V$14,3,0)*Tabla4[[#This Row],[TOTAL COBERTURA]]*8</f>
        <v>499945920</v>
      </c>
      <c r="AQ135" s="35"/>
      <c r="AR135" s="35">
        <f>Tabla4[[#This Row],[VALOR FASE PREPARATORIA DE ALISTAMIENTO]]+Tabla4[[#This Row],[VALOR FASE PREPARATORIA DE CIERRE]]+Tabla4[[#This Row],[DOTACIÓN ÚNICA]]+Tabla4[[#This Row],[VALOR ATENCIÓN]]+Tabla4[[#This Row],[VALOR RACION PREPARADA]]</f>
        <v>519528240</v>
      </c>
      <c r="AS135" s="35" t="str">
        <f>+IF(Tabla4[[#This Row],[AGRUPACIONES]]=1,SUMIFS(Tabla4[VALOR TOTAL],Tabla4[ZONA DEFINITIVO],Tabla4[[#This Row],[ZONA DEFINITIVO]])," ")</f>
        <v xml:space="preserve"> </v>
      </c>
      <c r="AT135" s="27">
        <f>(VLOOKUP(Tabla4[[#This Row],[SERVICIO 2025]],$J$2:$V$14,3,0)*Tabla4[[#This Row],[TOTAL COBERTURA]])+Tabla4[[#This Row],[VALOR FASE PREPARATORIA DE ALISTAMIENTO]]+Tabla4[[#This Row],[DOTACIÓN ÚNICA]]</f>
        <v>73070400</v>
      </c>
      <c r="AU135" s="35">
        <f>(VLOOKUP(Tabla4[[#This Row],[SERVICIO 2025]],$J$2:$V$14,3,0)*Tabla4[[#This Row],[TOTAL COBERTURA]])</f>
        <v>62493240</v>
      </c>
      <c r="AV135" s="35">
        <f>(VLOOKUP(Tabla4[[#This Row],[SERVICIO 2025]],$J$2:$V$14,3,0)*Tabla4[[#This Row],[TOTAL COBERTURA]])</f>
        <v>62493240</v>
      </c>
      <c r="AW135" s="35">
        <f>(VLOOKUP(Tabla4[[#This Row],[SERVICIO 2025]],$J$2:$V$14,3,0)*Tabla4[[#This Row],[TOTAL COBERTURA]])</f>
        <v>62493240</v>
      </c>
      <c r="AX135" s="35">
        <f>(VLOOKUP(Tabla4[[#This Row],[SERVICIO 2025]],$J$2:$V$14,3,0)*Tabla4[[#This Row],[TOTAL COBERTURA]])</f>
        <v>62493240</v>
      </c>
      <c r="AY135" s="35">
        <f>(VLOOKUP(Tabla4[[#This Row],[SERVICIO 2025]],$J$2:$V$14,3,0)*Tabla4[[#This Row],[TOTAL COBERTURA]])</f>
        <v>62493240</v>
      </c>
      <c r="AZ135" s="35">
        <f>(VLOOKUP(Tabla4[[#This Row],[SERVICIO 2025]],$J$2:$V$14,3,0)*Tabla4[[#This Row],[TOTAL COBERTURA]])</f>
        <v>62493240</v>
      </c>
      <c r="BA135" s="35">
        <f>(VLOOKUP(Tabla4[[#This Row],[SERVICIO 2025]],$J$2:$V$14,3,0)*Tabla4[[#This Row],[TOTAL COBERTURA]])+Tabla4[[#This Row],[VALOR FASE PREPARATORIA DE CIERRE]]</f>
        <v>71498400</v>
      </c>
      <c r="BB135" s="35">
        <f>SUM(Tabla4[[#This Row],[DESEMBOLSO 1]:[DESEMBOLSO 8]])</f>
        <v>519528240</v>
      </c>
      <c r="BC135" s="35">
        <f>VLOOKUP(Tabla4[[#This Row],[SERVICIO 2025]],$J$2:$V$14,10,0)*Tabla4[[#This Row],[TOTAL COBERTURA]]*$W$3</f>
        <v>0</v>
      </c>
      <c r="BD135" s="47" t="s">
        <v>145</v>
      </c>
      <c r="BE135" s="12" t="b">
        <f>EXACT(Tabla4[[#This Row],[VALOR ATENCIÓN (8 MESES)]],Tabla4[[#This Row],[VALOR TOTAL]])</f>
        <v>1</v>
      </c>
      <c r="BF135" s="23">
        <f>Tabla4[[#This Row],[VALOR ATENCIÓN (8 MESES)]]-Tabla4[[#This Row],[VALOR TOTAL]]</f>
        <v>0</v>
      </c>
      <c r="BG135" s="12" t="b">
        <f>EXACT(Tabla4[[#This Row],[TOTAL DESEMBOLSOS]],Tabla4[[#This Row],[VALOR ATENCIÓN (8 MESES)]])</f>
        <v>1</v>
      </c>
      <c r="BH135" s="29">
        <f>Tabla4[[#This Row],[TOTAL DESEMBOLSOS]]-Tabla4[[#This Row],[VALOR ATENCIÓN (8 MESES)]]</f>
        <v>0</v>
      </c>
      <c r="BI135" t="s">
        <v>98</v>
      </c>
    </row>
    <row r="136" spans="1:62">
      <c r="A136" s="13">
        <v>1896</v>
      </c>
      <c r="B136" s="13" t="s">
        <v>375</v>
      </c>
      <c r="C136" s="12" t="s">
        <v>87</v>
      </c>
      <c r="D136" s="12" t="s">
        <v>266</v>
      </c>
      <c r="E136" s="12" t="s">
        <v>376</v>
      </c>
      <c r="F136" s="12" t="s">
        <v>15</v>
      </c>
      <c r="G136" s="12" t="s">
        <v>90</v>
      </c>
      <c r="H136" s="12" t="s">
        <v>383</v>
      </c>
      <c r="I136" s="12">
        <v>584700105331</v>
      </c>
      <c r="J136" s="12" t="s">
        <v>384</v>
      </c>
      <c r="K136" s="12">
        <v>1</v>
      </c>
      <c r="L136" s="12">
        <v>92</v>
      </c>
      <c r="M136" s="12"/>
      <c r="N136" s="13">
        <v>1896</v>
      </c>
      <c r="O136" s="12" t="s">
        <v>93</v>
      </c>
      <c r="P136" s="12"/>
      <c r="Q136" s="12"/>
      <c r="R136" s="12" t="s">
        <v>94</v>
      </c>
      <c r="S136" s="12">
        <v>10</v>
      </c>
      <c r="T136" s="12" t="s">
        <v>379</v>
      </c>
      <c r="U136" s="12" t="s">
        <v>380</v>
      </c>
      <c r="V136" s="12">
        <f>VLOOKUP(Tabla4[[#This Row],[ZONA DEFINITIVO]],Hoja1!$A$1:$D$121,3,0)</f>
        <v>229060</v>
      </c>
      <c r="W136" s="12">
        <f>VLOOKUP(Tabla4[[#This Row],[ZONA DEFINITIVO]],Hoja1!$A$1:$D$121,2,0)</f>
        <v>15174</v>
      </c>
      <c r="X136" s="12">
        <f>VLOOKUP(Tabla4[[#This Row],[ZONA DEFINITIVO]],Hoja1!$A$1:$D$121,4,0)</f>
        <v>81925</v>
      </c>
      <c r="Y136" s="12" t="str">
        <f>+IF(Tabla4[[#This Row],[AGRUPACIONES]]=1,SUMIFS(Tabla4[UDS],Tabla4[ZONA DEFINITIVO],Tabla4[[#This Row],[ZONA DEFINITIVO]])," ")</f>
        <v xml:space="preserve"> </v>
      </c>
      <c r="Z136" s="12" t="str">
        <f>+IF(Tabla4[[#This Row],[AGRUPACIONES]]=1,SUMIFS(Tabla4[TOTAL COBERTURA],Tabla4[ZONA DEFINITIVO],Tabla4[[#This Row],[ZONA DEFINITIVO]])," ")</f>
        <v xml:space="preserve"> </v>
      </c>
      <c r="AA136" s="12"/>
      <c r="AB136" s="38">
        <v>398304984</v>
      </c>
      <c r="AC136" s="37">
        <v>0.02</v>
      </c>
      <c r="AD136" s="38">
        <f t="shared" si="2"/>
        <v>7966099.6799999997</v>
      </c>
      <c r="AE136" s="12"/>
      <c r="AF136" s="12">
        <f>COUNTIF($A$20:A136,A136)</f>
        <v>3</v>
      </c>
      <c r="AG136" s="38">
        <v>398304984</v>
      </c>
      <c r="AH136" s="38">
        <f>Tabla4[[#This Row],[VALOR CONTRAPARTIDA]]+Tabla4[[#This Row],[TOTAL APORTES ICBF]]</f>
        <v>406271083.68000001</v>
      </c>
      <c r="AI136" s="35"/>
      <c r="AJ136" s="38"/>
      <c r="AK136" s="38"/>
      <c r="AL136" s="23"/>
      <c r="AM136" s="35">
        <f>VLOOKUP(Tabla4[[#This Row],[SERVICIO 2025]],$J$2:$V$14,5,0)*Tabla4[[#This Row],[TOTAL COBERTURA]]</f>
        <v>8109156</v>
      </c>
      <c r="AN136" s="35">
        <f>VLOOKUP(Tabla4[[#This Row],[SERVICIO 2025]],$J$2:$V$14,6,0)*Tabla4[[#This Row],[TOTAL COBERTURA]]</f>
        <v>6903956</v>
      </c>
      <c r="AO136" s="35">
        <f>VLOOKUP(Tabla4[[#This Row],[SERVICIO 2025]],$J$2:$V$14,8,0)*Tabla4[[#This Row],[TOTAL COBERTURA]]</f>
        <v>0</v>
      </c>
      <c r="AP136" s="35">
        <f>VLOOKUP(Tabla4[[#This Row],[SERVICIO 2025]],$J$2:$V$14,3,0)*Tabla4[[#This Row],[TOTAL COBERTURA]]*8</f>
        <v>383291872</v>
      </c>
      <c r="AQ136" s="35"/>
      <c r="AR136" s="35">
        <f>Tabla4[[#This Row],[VALOR FASE PREPARATORIA DE ALISTAMIENTO]]+Tabla4[[#This Row],[VALOR FASE PREPARATORIA DE CIERRE]]+Tabla4[[#This Row],[DOTACIÓN ÚNICA]]+Tabla4[[#This Row],[VALOR ATENCIÓN]]+Tabla4[[#This Row],[VALOR RACION PREPARADA]]</f>
        <v>398304984</v>
      </c>
      <c r="AS136" s="35" t="str">
        <f>+IF(Tabla4[[#This Row],[AGRUPACIONES]]=1,SUMIFS(Tabla4[VALOR TOTAL],Tabla4[ZONA DEFINITIVO],Tabla4[[#This Row],[ZONA DEFINITIVO]])," ")</f>
        <v xml:space="preserve"> </v>
      </c>
      <c r="AT136" s="27">
        <f>(VLOOKUP(Tabla4[[#This Row],[SERVICIO 2025]],$J$2:$V$14,3,0)*Tabla4[[#This Row],[TOTAL COBERTURA]])+Tabla4[[#This Row],[VALOR FASE PREPARATORIA DE ALISTAMIENTO]]+Tabla4[[#This Row],[DOTACIÓN ÚNICA]]</f>
        <v>56020640</v>
      </c>
      <c r="AU136" s="35">
        <f>(VLOOKUP(Tabla4[[#This Row],[SERVICIO 2025]],$J$2:$V$14,3,0)*Tabla4[[#This Row],[TOTAL COBERTURA]])</f>
        <v>47911484</v>
      </c>
      <c r="AV136" s="35">
        <f>(VLOOKUP(Tabla4[[#This Row],[SERVICIO 2025]],$J$2:$V$14,3,0)*Tabla4[[#This Row],[TOTAL COBERTURA]])</f>
        <v>47911484</v>
      </c>
      <c r="AW136" s="35">
        <f>(VLOOKUP(Tabla4[[#This Row],[SERVICIO 2025]],$J$2:$V$14,3,0)*Tabla4[[#This Row],[TOTAL COBERTURA]])</f>
        <v>47911484</v>
      </c>
      <c r="AX136" s="35">
        <f>(VLOOKUP(Tabla4[[#This Row],[SERVICIO 2025]],$J$2:$V$14,3,0)*Tabla4[[#This Row],[TOTAL COBERTURA]])</f>
        <v>47911484</v>
      </c>
      <c r="AY136" s="35">
        <f>(VLOOKUP(Tabla4[[#This Row],[SERVICIO 2025]],$J$2:$V$14,3,0)*Tabla4[[#This Row],[TOTAL COBERTURA]])</f>
        <v>47911484</v>
      </c>
      <c r="AZ136" s="35">
        <f>(VLOOKUP(Tabla4[[#This Row],[SERVICIO 2025]],$J$2:$V$14,3,0)*Tabla4[[#This Row],[TOTAL COBERTURA]])</f>
        <v>47911484</v>
      </c>
      <c r="BA136" s="35">
        <f>(VLOOKUP(Tabla4[[#This Row],[SERVICIO 2025]],$J$2:$V$14,3,0)*Tabla4[[#This Row],[TOTAL COBERTURA]])+Tabla4[[#This Row],[VALOR FASE PREPARATORIA DE CIERRE]]</f>
        <v>54815440</v>
      </c>
      <c r="BB136" s="35">
        <f>SUM(Tabla4[[#This Row],[DESEMBOLSO 1]:[DESEMBOLSO 8]])</f>
        <v>398304984</v>
      </c>
      <c r="BC136" s="35">
        <f>VLOOKUP(Tabla4[[#This Row],[SERVICIO 2025]],$J$2:$V$14,10,0)*Tabla4[[#This Row],[TOTAL COBERTURA]]*$W$3</f>
        <v>0</v>
      </c>
      <c r="BD136" s="47" t="s">
        <v>145</v>
      </c>
      <c r="BE136" s="12" t="b">
        <f>EXACT(Tabla4[[#This Row],[VALOR ATENCIÓN (8 MESES)]],Tabla4[[#This Row],[VALOR TOTAL]])</f>
        <v>1</v>
      </c>
      <c r="BF136" s="23">
        <f>Tabla4[[#This Row],[VALOR ATENCIÓN (8 MESES)]]-Tabla4[[#This Row],[VALOR TOTAL]]</f>
        <v>0</v>
      </c>
      <c r="BG136" s="12" t="b">
        <f>EXACT(Tabla4[[#This Row],[TOTAL DESEMBOLSOS]],Tabla4[[#This Row],[VALOR ATENCIÓN (8 MESES)]])</f>
        <v>1</v>
      </c>
      <c r="BH136" s="29">
        <f>Tabla4[[#This Row],[TOTAL DESEMBOLSOS]]-Tabla4[[#This Row],[VALOR ATENCIÓN (8 MESES)]]</f>
        <v>0</v>
      </c>
      <c r="BI136" t="s">
        <v>98</v>
      </c>
    </row>
    <row r="137" spans="1:62">
      <c r="A137" s="13">
        <v>1896</v>
      </c>
      <c r="B137" s="13" t="s">
        <v>375</v>
      </c>
      <c r="C137" s="12" t="s">
        <v>87</v>
      </c>
      <c r="D137" s="12" t="s">
        <v>266</v>
      </c>
      <c r="E137" s="12" t="s">
        <v>376</v>
      </c>
      <c r="F137" s="12" t="s">
        <v>15</v>
      </c>
      <c r="G137" s="12" t="s">
        <v>90</v>
      </c>
      <c r="H137" s="12" t="s">
        <v>385</v>
      </c>
      <c r="I137" s="12">
        <v>584700116476</v>
      </c>
      <c r="J137" s="12" t="s">
        <v>386</v>
      </c>
      <c r="K137" s="12">
        <v>1</v>
      </c>
      <c r="L137" s="12">
        <v>90</v>
      </c>
      <c r="M137" s="12"/>
      <c r="N137" s="13">
        <v>1896</v>
      </c>
      <c r="O137" s="12" t="s">
        <v>93</v>
      </c>
      <c r="P137" s="12"/>
      <c r="Q137" s="12"/>
      <c r="R137" s="12" t="s">
        <v>94</v>
      </c>
      <c r="S137" s="12">
        <v>10</v>
      </c>
      <c r="T137" s="12" t="s">
        <v>379</v>
      </c>
      <c r="U137" s="12" t="s">
        <v>380</v>
      </c>
      <c r="V137" s="12">
        <f>VLOOKUP(Tabla4[[#This Row],[ZONA DEFINITIVO]],Hoja1!$A$1:$D$121,3,0)</f>
        <v>229060</v>
      </c>
      <c r="W137" s="12">
        <f>VLOOKUP(Tabla4[[#This Row],[ZONA DEFINITIVO]],Hoja1!$A$1:$D$121,2,0)</f>
        <v>15174</v>
      </c>
      <c r="X137" s="12">
        <f>VLOOKUP(Tabla4[[#This Row],[ZONA DEFINITIVO]],Hoja1!$A$1:$D$121,4,0)</f>
        <v>81925</v>
      </c>
      <c r="Y137" s="12" t="str">
        <f>+IF(Tabla4[[#This Row],[AGRUPACIONES]]=1,SUMIFS(Tabla4[UDS],Tabla4[ZONA DEFINITIVO],Tabla4[[#This Row],[ZONA DEFINITIVO]])," ")</f>
        <v xml:space="preserve"> </v>
      </c>
      <c r="Z137" s="12" t="str">
        <f>+IF(Tabla4[[#This Row],[AGRUPACIONES]]=1,SUMIFS(Tabla4[TOTAL COBERTURA],Tabla4[ZONA DEFINITIVO],Tabla4[[#This Row],[ZONA DEFINITIVO]])," ")</f>
        <v xml:space="preserve"> </v>
      </c>
      <c r="AA137" s="12"/>
      <c r="AB137" s="38">
        <v>389646180</v>
      </c>
      <c r="AC137" s="37">
        <v>0.02</v>
      </c>
      <c r="AD137" s="38">
        <f t="shared" si="2"/>
        <v>7792923.6000000006</v>
      </c>
      <c r="AE137" s="12"/>
      <c r="AF137" s="12">
        <f>COUNTIF($A$20:A137,A137)</f>
        <v>4</v>
      </c>
      <c r="AG137" s="38">
        <v>389646180</v>
      </c>
      <c r="AH137" s="38">
        <f>Tabla4[[#This Row],[VALOR CONTRAPARTIDA]]+Tabla4[[#This Row],[TOTAL APORTES ICBF]]</f>
        <v>397439103.60000002</v>
      </c>
      <c r="AI137" s="35"/>
      <c r="AJ137" s="38"/>
      <c r="AK137" s="38"/>
      <c r="AL137" s="23"/>
      <c r="AM137" s="35">
        <f>VLOOKUP(Tabla4[[#This Row],[SERVICIO 2025]],$J$2:$V$14,5,0)*Tabla4[[#This Row],[TOTAL COBERTURA]]</f>
        <v>7932870</v>
      </c>
      <c r="AN137" s="35">
        <f>VLOOKUP(Tabla4[[#This Row],[SERVICIO 2025]],$J$2:$V$14,6,0)*Tabla4[[#This Row],[TOTAL COBERTURA]]</f>
        <v>6753870</v>
      </c>
      <c r="AO137" s="35">
        <f>VLOOKUP(Tabla4[[#This Row],[SERVICIO 2025]],$J$2:$V$14,8,0)*Tabla4[[#This Row],[TOTAL COBERTURA]]</f>
        <v>0</v>
      </c>
      <c r="AP137" s="35">
        <f>VLOOKUP(Tabla4[[#This Row],[SERVICIO 2025]],$J$2:$V$14,3,0)*Tabla4[[#This Row],[TOTAL COBERTURA]]*8</f>
        <v>374959440</v>
      </c>
      <c r="AQ137" s="35"/>
      <c r="AR137" s="35">
        <f>Tabla4[[#This Row],[VALOR FASE PREPARATORIA DE ALISTAMIENTO]]+Tabla4[[#This Row],[VALOR FASE PREPARATORIA DE CIERRE]]+Tabla4[[#This Row],[DOTACIÓN ÚNICA]]+Tabla4[[#This Row],[VALOR ATENCIÓN]]+Tabla4[[#This Row],[VALOR RACION PREPARADA]]</f>
        <v>389646180</v>
      </c>
      <c r="AS137" s="35" t="str">
        <f>+IF(Tabla4[[#This Row],[AGRUPACIONES]]=1,SUMIFS(Tabla4[VALOR TOTAL],Tabla4[ZONA DEFINITIVO],Tabla4[[#This Row],[ZONA DEFINITIVO]])," ")</f>
        <v xml:space="preserve"> </v>
      </c>
      <c r="AT137" s="27">
        <f>(VLOOKUP(Tabla4[[#This Row],[SERVICIO 2025]],$J$2:$V$14,3,0)*Tabla4[[#This Row],[TOTAL COBERTURA]])+Tabla4[[#This Row],[VALOR FASE PREPARATORIA DE ALISTAMIENTO]]+Tabla4[[#This Row],[DOTACIÓN ÚNICA]]</f>
        <v>54802800</v>
      </c>
      <c r="AU137" s="35">
        <f>(VLOOKUP(Tabla4[[#This Row],[SERVICIO 2025]],$J$2:$V$14,3,0)*Tabla4[[#This Row],[TOTAL COBERTURA]])</f>
        <v>46869930</v>
      </c>
      <c r="AV137" s="35">
        <f>(VLOOKUP(Tabla4[[#This Row],[SERVICIO 2025]],$J$2:$V$14,3,0)*Tabla4[[#This Row],[TOTAL COBERTURA]])</f>
        <v>46869930</v>
      </c>
      <c r="AW137" s="35">
        <f>(VLOOKUP(Tabla4[[#This Row],[SERVICIO 2025]],$J$2:$V$14,3,0)*Tabla4[[#This Row],[TOTAL COBERTURA]])</f>
        <v>46869930</v>
      </c>
      <c r="AX137" s="35">
        <f>(VLOOKUP(Tabla4[[#This Row],[SERVICIO 2025]],$J$2:$V$14,3,0)*Tabla4[[#This Row],[TOTAL COBERTURA]])</f>
        <v>46869930</v>
      </c>
      <c r="AY137" s="35">
        <f>(VLOOKUP(Tabla4[[#This Row],[SERVICIO 2025]],$J$2:$V$14,3,0)*Tabla4[[#This Row],[TOTAL COBERTURA]])</f>
        <v>46869930</v>
      </c>
      <c r="AZ137" s="35">
        <f>(VLOOKUP(Tabla4[[#This Row],[SERVICIO 2025]],$J$2:$V$14,3,0)*Tabla4[[#This Row],[TOTAL COBERTURA]])</f>
        <v>46869930</v>
      </c>
      <c r="BA137" s="35">
        <f>(VLOOKUP(Tabla4[[#This Row],[SERVICIO 2025]],$J$2:$V$14,3,0)*Tabla4[[#This Row],[TOTAL COBERTURA]])+Tabla4[[#This Row],[VALOR FASE PREPARATORIA DE CIERRE]]</f>
        <v>53623800</v>
      </c>
      <c r="BB137" s="35">
        <f>SUM(Tabla4[[#This Row],[DESEMBOLSO 1]:[DESEMBOLSO 8]])</f>
        <v>389646180</v>
      </c>
      <c r="BC137" s="35">
        <f>VLOOKUP(Tabla4[[#This Row],[SERVICIO 2025]],$J$2:$V$14,10,0)*Tabla4[[#This Row],[TOTAL COBERTURA]]*$W$3</f>
        <v>0</v>
      </c>
      <c r="BD137" s="47" t="s">
        <v>145</v>
      </c>
      <c r="BE137" s="12" t="b">
        <f>EXACT(Tabla4[[#This Row],[VALOR ATENCIÓN (8 MESES)]],Tabla4[[#This Row],[VALOR TOTAL]])</f>
        <v>1</v>
      </c>
      <c r="BF137" s="23">
        <f>Tabla4[[#This Row],[VALOR ATENCIÓN (8 MESES)]]-Tabla4[[#This Row],[VALOR TOTAL]]</f>
        <v>0</v>
      </c>
      <c r="BG137" s="12" t="b">
        <f>EXACT(Tabla4[[#This Row],[TOTAL DESEMBOLSOS]],Tabla4[[#This Row],[VALOR ATENCIÓN (8 MESES)]])</f>
        <v>1</v>
      </c>
      <c r="BH137" s="29">
        <f>Tabla4[[#This Row],[TOTAL DESEMBOLSOS]]-Tabla4[[#This Row],[VALOR ATENCIÓN (8 MESES)]]</f>
        <v>0</v>
      </c>
      <c r="BI137" t="s">
        <v>98</v>
      </c>
    </row>
    <row r="138" spans="1:62">
      <c r="A138" s="13">
        <v>1897</v>
      </c>
      <c r="B138" s="13" t="s">
        <v>387</v>
      </c>
      <c r="C138" s="12" t="s">
        <v>87</v>
      </c>
      <c r="D138" s="12" t="s">
        <v>266</v>
      </c>
      <c r="E138" s="12" t="s">
        <v>376</v>
      </c>
      <c r="F138" s="12" t="s">
        <v>18</v>
      </c>
      <c r="G138" s="12" t="s">
        <v>90</v>
      </c>
      <c r="H138" s="12" t="s">
        <v>388</v>
      </c>
      <c r="I138" s="12">
        <v>58471119737</v>
      </c>
      <c r="J138" s="12" t="s">
        <v>389</v>
      </c>
      <c r="K138" s="12">
        <v>1</v>
      </c>
      <c r="L138" s="12">
        <v>21</v>
      </c>
      <c r="M138" s="12"/>
      <c r="N138" s="13">
        <v>1897</v>
      </c>
      <c r="O138" s="12" t="s">
        <v>93</v>
      </c>
      <c r="P138" s="12"/>
      <c r="Q138" s="12"/>
      <c r="R138" s="12" t="s">
        <v>94</v>
      </c>
      <c r="S138" s="12">
        <v>10</v>
      </c>
      <c r="T138" s="12" t="s">
        <v>390</v>
      </c>
      <c r="U138" s="12" t="s">
        <v>391</v>
      </c>
      <c r="V138" s="12">
        <f>VLOOKUP(Tabla4[[#This Row],[ZONA DEFINITIVO]],Hoja1!$A$1:$D$121,3,0)</f>
        <v>229183</v>
      </c>
      <c r="W138" s="12">
        <f>VLOOKUP(Tabla4[[#This Row],[ZONA DEFINITIVO]],Hoja1!$A$1:$D$121,2,0)</f>
        <v>16469</v>
      </c>
      <c r="X138" s="12">
        <f>VLOOKUP(Tabla4[[#This Row],[ZONA DEFINITIVO]],Hoja1!$A$1:$D$121,4,0)</f>
        <v>95625</v>
      </c>
      <c r="Y138" s="12">
        <f>+IF(Tabla4[[#This Row],[AGRUPACIONES]]=1,SUMIFS(Tabla4[UDS],Tabla4[ZONA DEFINITIVO],Tabla4[[#This Row],[ZONA DEFINITIVO]])," ")</f>
        <v>37</v>
      </c>
      <c r="Z138" s="12">
        <f>+IF(Tabla4[[#This Row],[AGRUPACIONES]]=1,SUMIFS(Tabla4[TOTAL COBERTURA],Tabla4[ZONA DEFINITIVO],Tabla4[[#This Row],[ZONA DEFINITIVO]])," ")</f>
        <v>955</v>
      </c>
      <c r="AA138" s="12"/>
      <c r="AB138" s="38">
        <v>45784053</v>
      </c>
      <c r="AC138" s="37">
        <v>0.02</v>
      </c>
      <c r="AD138" s="38">
        <f t="shared" si="2"/>
        <v>915681.06</v>
      </c>
      <c r="AE138" s="12"/>
      <c r="AF138" s="12">
        <f>COUNTIF($A$20:A138,A138)</f>
        <v>1</v>
      </c>
      <c r="AG138" s="38">
        <v>45784053</v>
      </c>
      <c r="AH138" s="38">
        <f>Tabla4[[#This Row],[VALOR CONTRAPARTIDA]]+Tabla4[[#This Row],[TOTAL APORTES ICBF]]</f>
        <v>46699734.060000002</v>
      </c>
      <c r="AI138" s="35">
        <f>ROUND(+IF(Tabla4[[#This Row],[AGRUPACIONES]]=1,SUMIFS(Tabla4[TOTAL APORTES ICBF],Tabla4[ZONA DEFINITIVO],Tabla4[[#This Row],[ZONA DEFINITIVO]])," "),0)</f>
        <v>2082084315</v>
      </c>
      <c r="AJ138" s="38">
        <f>ROUND(+IF(Tabla4[[#This Row],[AGRUPACIONES]]=1,SUMIFS(Tabla4[VALOR CONTRAPARTIDA],Tabla4[ZONA DEFINITIVO],Tabla4[[#This Row],[ZONA DEFINITIVO]])," "),0)</f>
        <v>41641686</v>
      </c>
      <c r="AK138" s="38">
        <f>Tabla4[[#This Row],[TOTAL APORTES ICBF AGRUPADO]]+Tabla4[[#This Row],[TOTAL CONTRAPARTIDA AGRUPADO]]</f>
        <v>2123726001</v>
      </c>
      <c r="AL138" s="23">
        <f>Tabla4[[#This Row],[TOTAL APORTES ICBF AGRUPADO]]/$AL$18</f>
        <v>1462.6514330874604</v>
      </c>
      <c r="AM138" s="35">
        <f>VLOOKUP(Tabla4[[#This Row],[SERVICIO 2025]],$J$2:$V$14,5,0)*Tabla4[[#This Row],[TOTAL COBERTURA]]</f>
        <v>1036896</v>
      </c>
      <c r="AN138" s="35">
        <f>VLOOKUP(Tabla4[[#This Row],[SERVICIO 2025]],$J$2:$V$14,6,0)*Tabla4[[#This Row],[TOTAL COBERTURA]]</f>
        <v>861609</v>
      </c>
      <c r="AO138" s="35">
        <f>VLOOKUP(Tabla4[[#This Row],[SERVICIO 2025]],$J$2:$V$14,8,0)*Tabla4[[#This Row],[TOTAL COBERTURA]]</f>
        <v>611100</v>
      </c>
      <c r="AP138" s="35">
        <f>VLOOKUP(Tabla4[[#This Row],[SERVICIO 2025]],$J$2:$V$14,3,0)*Tabla4[[#This Row],[TOTAL COBERTURA]]*8</f>
        <v>43274448</v>
      </c>
      <c r="AQ138" s="35"/>
      <c r="AR138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138" s="35">
        <f>+IF(Tabla4[[#This Row],[AGRUPACIONES]]=1,SUMIFS(Tabla4[VALOR TOTAL],Tabla4[ZONA DEFINITIVO],Tabla4[[#This Row],[ZONA DEFINITIVO]])," ")</f>
        <v>2082084315</v>
      </c>
      <c r="AT138" s="27">
        <f>(VLOOKUP(Tabla4[[#This Row],[SERVICIO 2025]],$J$2:$V$14,3,0)*Tabla4[[#This Row],[TOTAL COBERTURA]])+Tabla4[[#This Row],[VALOR FASE PREPARATORIA DE ALISTAMIENTO]]+Tabla4[[#This Row],[DOTACIÓN ÚNICA]]</f>
        <v>7057302</v>
      </c>
      <c r="AU138" s="35">
        <f>(VLOOKUP(Tabla4[[#This Row],[SERVICIO 2025]],$J$2:$V$14,3,0)*Tabla4[[#This Row],[TOTAL COBERTURA]])</f>
        <v>5409306</v>
      </c>
      <c r="AV138" s="35">
        <f>(VLOOKUP(Tabla4[[#This Row],[SERVICIO 2025]],$J$2:$V$14,3,0)*Tabla4[[#This Row],[TOTAL COBERTURA]])</f>
        <v>5409306</v>
      </c>
      <c r="AW138" s="35">
        <f>(VLOOKUP(Tabla4[[#This Row],[SERVICIO 2025]],$J$2:$V$14,3,0)*Tabla4[[#This Row],[TOTAL COBERTURA]])</f>
        <v>5409306</v>
      </c>
      <c r="AX138" s="35">
        <f>(VLOOKUP(Tabla4[[#This Row],[SERVICIO 2025]],$J$2:$V$14,3,0)*Tabla4[[#This Row],[TOTAL COBERTURA]])</f>
        <v>5409306</v>
      </c>
      <c r="AY138" s="35">
        <f>(VLOOKUP(Tabla4[[#This Row],[SERVICIO 2025]],$J$2:$V$14,3,0)*Tabla4[[#This Row],[TOTAL COBERTURA]])</f>
        <v>5409306</v>
      </c>
      <c r="AZ138" s="35">
        <f>(VLOOKUP(Tabla4[[#This Row],[SERVICIO 2025]],$J$2:$V$14,3,0)*Tabla4[[#This Row],[TOTAL COBERTURA]])</f>
        <v>5409306</v>
      </c>
      <c r="BA138" s="35">
        <f>(VLOOKUP(Tabla4[[#This Row],[SERVICIO 2025]],$J$2:$V$14,3,0)*Tabla4[[#This Row],[TOTAL COBERTURA]])+Tabla4[[#This Row],[VALOR FASE PREPARATORIA DE CIERRE]]</f>
        <v>6270915</v>
      </c>
      <c r="BB138" s="35">
        <f>SUM(Tabla4[[#This Row],[DESEMBOLSO 1]:[DESEMBOLSO 8]])</f>
        <v>45784053</v>
      </c>
      <c r="BC138" s="35"/>
      <c r="BD138" s="47" t="s">
        <v>97</v>
      </c>
      <c r="BE138" s="12" t="b">
        <f>EXACT(Tabla4[[#This Row],[VALOR ATENCIÓN (8 MESES)]],Tabla4[[#This Row],[VALOR TOTAL]])</f>
        <v>1</v>
      </c>
      <c r="BF138" s="23">
        <f>Tabla4[[#This Row],[VALOR ATENCIÓN (8 MESES)]]-Tabla4[[#This Row],[VALOR TOTAL]]</f>
        <v>0</v>
      </c>
      <c r="BG138" s="12" t="b">
        <f>EXACT(Tabla4[[#This Row],[TOTAL DESEMBOLSOS]],Tabla4[[#This Row],[VALOR ATENCIÓN (8 MESES)]])</f>
        <v>1</v>
      </c>
      <c r="BH138" s="29">
        <f>Tabla4[[#This Row],[TOTAL DESEMBOLSOS]]-Tabla4[[#This Row],[VALOR ATENCIÓN (8 MESES)]]</f>
        <v>0</v>
      </c>
      <c r="BI138" t="s">
        <v>392</v>
      </c>
    </row>
    <row r="139" spans="1:62">
      <c r="A139" s="13">
        <v>1897</v>
      </c>
      <c r="B139" s="13" t="s">
        <v>387</v>
      </c>
      <c r="C139" s="12" t="s">
        <v>87</v>
      </c>
      <c r="D139" s="12" t="s">
        <v>266</v>
      </c>
      <c r="E139" s="12" t="s">
        <v>376</v>
      </c>
      <c r="F139" s="12" t="s">
        <v>18</v>
      </c>
      <c r="G139" s="12" t="s">
        <v>90</v>
      </c>
      <c r="H139" s="12" t="s">
        <v>393</v>
      </c>
      <c r="I139" s="12">
        <v>58471119739</v>
      </c>
      <c r="J139" s="12" t="s">
        <v>394</v>
      </c>
      <c r="K139" s="12">
        <v>1</v>
      </c>
      <c r="L139" s="12">
        <v>14</v>
      </c>
      <c r="M139" s="12"/>
      <c r="N139" s="13">
        <v>1897</v>
      </c>
      <c r="O139" s="12" t="s">
        <v>93</v>
      </c>
      <c r="P139" s="12"/>
      <c r="Q139" s="12"/>
      <c r="R139" s="12" t="s">
        <v>94</v>
      </c>
      <c r="S139" s="12">
        <v>10</v>
      </c>
      <c r="T139" s="12" t="s">
        <v>390</v>
      </c>
      <c r="U139" s="12" t="s">
        <v>391</v>
      </c>
      <c r="V139" s="12">
        <f>VLOOKUP(Tabla4[[#This Row],[ZONA DEFINITIVO]],Hoja1!$A$1:$D$121,3,0)</f>
        <v>229183</v>
      </c>
      <c r="W139" s="12">
        <f>VLOOKUP(Tabla4[[#This Row],[ZONA DEFINITIVO]],Hoja1!$A$1:$D$121,2,0)</f>
        <v>16469</v>
      </c>
      <c r="X139" s="12">
        <f>VLOOKUP(Tabla4[[#This Row],[ZONA DEFINITIVO]],Hoja1!$A$1:$D$121,4,0)</f>
        <v>95625</v>
      </c>
      <c r="Y139" s="12" t="str">
        <f>+IF(Tabla4[[#This Row],[AGRUPACIONES]]=1,SUMIFS(Tabla4[UDS],Tabla4[ZONA DEFINITIVO],Tabla4[[#This Row],[ZONA DEFINITIVO]])," ")</f>
        <v xml:space="preserve"> </v>
      </c>
      <c r="Z139" s="12" t="str">
        <f>+IF(Tabla4[[#This Row],[AGRUPACIONES]]=1,SUMIFS(Tabla4[TOTAL COBERTURA],Tabla4[ZONA DEFINITIVO],Tabla4[[#This Row],[ZONA DEFINITIVO]])," ")</f>
        <v xml:space="preserve"> </v>
      </c>
      <c r="AA139" s="12"/>
      <c r="AB139" s="38">
        <v>30522702</v>
      </c>
      <c r="AC139" s="37">
        <v>0.02</v>
      </c>
      <c r="AD139" s="38">
        <f t="shared" si="2"/>
        <v>610454.04</v>
      </c>
      <c r="AE139" s="12"/>
      <c r="AF139" s="12">
        <f>COUNTIF($A$20:A139,A139)</f>
        <v>2</v>
      </c>
      <c r="AG139" s="38">
        <v>30522702</v>
      </c>
      <c r="AH139" s="38">
        <f>Tabla4[[#This Row],[VALOR CONTRAPARTIDA]]+Tabla4[[#This Row],[TOTAL APORTES ICBF]]</f>
        <v>31133156.039999999</v>
      </c>
      <c r="AI139" s="35"/>
      <c r="AJ139" s="38"/>
      <c r="AK139" s="38"/>
      <c r="AL139" s="23"/>
      <c r="AM139" s="35">
        <f>VLOOKUP(Tabla4[[#This Row],[SERVICIO 2025]],$J$2:$V$14,5,0)*Tabla4[[#This Row],[TOTAL COBERTURA]]</f>
        <v>691264</v>
      </c>
      <c r="AN139" s="35">
        <f>VLOOKUP(Tabla4[[#This Row],[SERVICIO 2025]],$J$2:$V$14,6,0)*Tabla4[[#This Row],[TOTAL COBERTURA]]</f>
        <v>574406</v>
      </c>
      <c r="AO139" s="35">
        <f>VLOOKUP(Tabla4[[#This Row],[SERVICIO 2025]],$J$2:$V$14,8,0)*Tabla4[[#This Row],[TOTAL COBERTURA]]</f>
        <v>407400</v>
      </c>
      <c r="AP139" s="35">
        <f>VLOOKUP(Tabla4[[#This Row],[SERVICIO 2025]],$J$2:$V$14,3,0)*Tabla4[[#This Row],[TOTAL COBERTURA]]*8</f>
        <v>28849632</v>
      </c>
      <c r="AQ139" s="35"/>
      <c r="AR139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139" s="35" t="str">
        <f>+IF(Tabla4[[#This Row],[AGRUPACIONES]]=1,SUMIFS(Tabla4[VALOR TOTAL],Tabla4[ZONA DEFINITIVO],Tabla4[[#This Row],[ZONA DEFINITIVO]])," ")</f>
        <v xml:space="preserve"> </v>
      </c>
      <c r="AT139" s="27">
        <f>(VLOOKUP(Tabla4[[#This Row],[SERVICIO 2025]],$J$2:$V$14,3,0)*Tabla4[[#This Row],[TOTAL COBERTURA]])+Tabla4[[#This Row],[VALOR FASE PREPARATORIA DE ALISTAMIENTO]]+Tabla4[[#This Row],[DOTACIÓN ÚNICA]]</f>
        <v>4704868</v>
      </c>
      <c r="AU139" s="35">
        <f>(VLOOKUP(Tabla4[[#This Row],[SERVICIO 2025]],$J$2:$V$14,3,0)*Tabla4[[#This Row],[TOTAL COBERTURA]])</f>
        <v>3606204</v>
      </c>
      <c r="AV139" s="35">
        <f>(VLOOKUP(Tabla4[[#This Row],[SERVICIO 2025]],$J$2:$V$14,3,0)*Tabla4[[#This Row],[TOTAL COBERTURA]])</f>
        <v>3606204</v>
      </c>
      <c r="AW139" s="35">
        <f>(VLOOKUP(Tabla4[[#This Row],[SERVICIO 2025]],$J$2:$V$14,3,0)*Tabla4[[#This Row],[TOTAL COBERTURA]])</f>
        <v>3606204</v>
      </c>
      <c r="AX139" s="35">
        <f>(VLOOKUP(Tabla4[[#This Row],[SERVICIO 2025]],$J$2:$V$14,3,0)*Tabla4[[#This Row],[TOTAL COBERTURA]])</f>
        <v>3606204</v>
      </c>
      <c r="AY139" s="35">
        <f>(VLOOKUP(Tabla4[[#This Row],[SERVICIO 2025]],$J$2:$V$14,3,0)*Tabla4[[#This Row],[TOTAL COBERTURA]])</f>
        <v>3606204</v>
      </c>
      <c r="AZ139" s="35">
        <f>(VLOOKUP(Tabla4[[#This Row],[SERVICIO 2025]],$J$2:$V$14,3,0)*Tabla4[[#This Row],[TOTAL COBERTURA]])</f>
        <v>3606204</v>
      </c>
      <c r="BA139" s="35">
        <f>(VLOOKUP(Tabla4[[#This Row],[SERVICIO 2025]],$J$2:$V$14,3,0)*Tabla4[[#This Row],[TOTAL COBERTURA]])+Tabla4[[#This Row],[VALOR FASE PREPARATORIA DE CIERRE]]</f>
        <v>4180610</v>
      </c>
      <c r="BB139" s="35">
        <f>SUM(Tabla4[[#This Row],[DESEMBOLSO 1]:[DESEMBOLSO 8]])</f>
        <v>30522702</v>
      </c>
      <c r="BC139" s="35"/>
      <c r="BD139" s="47" t="s">
        <v>97</v>
      </c>
      <c r="BE139" s="12" t="b">
        <f>EXACT(Tabla4[[#This Row],[VALOR ATENCIÓN (8 MESES)]],Tabla4[[#This Row],[VALOR TOTAL]])</f>
        <v>1</v>
      </c>
      <c r="BF139" s="23">
        <f>Tabla4[[#This Row],[VALOR ATENCIÓN (8 MESES)]]-Tabla4[[#This Row],[VALOR TOTAL]]</f>
        <v>0</v>
      </c>
      <c r="BG139" s="12" t="b">
        <f>EXACT(Tabla4[[#This Row],[TOTAL DESEMBOLSOS]],Tabla4[[#This Row],[VALOR ATENCIÓN (8 MESES)]])</f>
        <v>1</v>
      </c>
      <c r="BH139" s="29">
        <f>Tabla4[[#This Row],[TOTAL DESEMBOLSOS]]-Tabla4[[#This Row],[VALOR ATENCIÓN (8 MESES)]]</f>
        <v>0</v>
      </c>
      <c r="BI139" t="s">
        <v>392</v>
      </c>
    </row>
    <row r="140" spans="1:62">
      <c r="A140" s="13">
        <v>1897</v>
      </c>
      <c r="B140" s="13" t="s">
        <v>387</v>
      </c>
      <c r="C140" s="12" t="s">
        <v>87</v>
      </c>
      <c r="D140" s="12" t="s">
        <v>266</v>
      </c>
      <c r="E140" s="12" t="s">
        <v>376</v>
      </c>
      <c r="F140" s="12" t="s">
        <v>18</v>
      </c>
      <c r="G140" s="12" t="s">
        <v>90</v>
      </c>
      <c r="H140" s="12" t="s">
        <v>395</v>
      </c>
      <c r="I140" s="12">
        <v>58471119740</v>
      </c>
      <c r="J140" s="12" t="s">
        <v>396</v>
      </c>
      <c r="K140" s="12">
        <v>1</v>
      </c>
      <c r="L140" s="12">
        <v>16</v>
      </c>
      <c r="M140" s="12"/>
      <c r="N140" s="13">
        <v>1897</v>
      </c>
      <c r="O140" s="12" t="s">
        <v>93</v>
      </c>
      <c r="P140" s="12"/>
      <c r="Q140" s="12"/>
      <c r="R140" s="12" t="s">
        <v>94</v>
      </c>
      <c r="S140" s="12">
        <v>10</v>
      </c>
      <c r="T140" s="12" t="s">
        <v>390</v>
      </c>
      <c r="U140" s="12" t="s">
        <v>391</v>
      </c>
      <c r="V140" s="12">
        <f>VLOOKUP(Tabla4[[#This Row],[ZONA DEFINITIVO]],Hoja1!$A$1:$D$121,3,0)</f>
        <v>229183</v>
      </c>
      <c r="W140" s="12">
        <f>VLOOKUP(Tabla4[[#This Row],[ZONA DEFINITIVO]],Hoja1!$A$1:$D$121,2,0)</f>
        <v>16469</v>
      </c>
      <c r="X140" s="12">
        <f>VLOOKUP(Tabla4[[#This Row],[ZONA DEFINITIVO]],Hoja1!$A$1:$D$121,4,0)</f>
        <v>95625</v>
      </c>
      <c r="Y140" s="12" t="str">
        <f>+IF(Tabla4[[#This Row],[AGRUPACIONES]]=1,SUMIFS(Tabla4[UDS],Tabla4[ZONA DEFINITIVO],Tabla4[[#This Row],[ZONA DEFINITIVO]])," ")</f>
        <v xml:space="preserve"> </v>
      </c>
      <c r="Z140" s="12" t="str">
        <f>+IF(Tabla4[[#This Row],[AGRUPACIONES]]=1,SUMIFS(Tabla4[TOTAL COBERTURA],Tabla4[ZONA DEFINITIVO],Tabla4[[#This Row],[ZONA DEFINITIVO]])," ")</f>
        <v xml:space="preserve"> </v>
      </c>
      <c r="AA140" s="12"/>
      <c r="AB140" s="38">
        <v>34883088</v>
      </c>
      <c r="AC140" s="37">
        <v>0.02</v>
      </c>
      <c r="AD140" s="38">
        <f t="shared" si="2"/>
        <v>697661.76</v>
      </c>
      <c r="AE140" s="12"/>
      <c r="AF140" s="12">
        <f>COUNTIF($A$20:A140,A140)</f>
        <v>3</v>
      </c>
      <c r="AG140" s="38">
        <v>34883088</v>
      </c>
      <c r="AH140" s="38">
        <f>Tabla4[[#This Row],[VALOR CONTRAPARTIDA]]+Tabla4[[#This Row],[TOTAL APORTES ICBF]]</f>
        <v>35580749.759999998</v>
      </c>
      <c r="AI140" s="35"/>
      <c r="AJ140" s="38"/>
      <c r="AK140" s="38"/>
      <c r="AL140" s="23"/>
      <c r="AM140" s="35">
        <f>VLOOKUP(Tabla4[[#This Row],[SERVICIO 2025]],$J$2:$V$14,5,0)*Tabla4[[#This Row],[TOTAL COBERTURA]]</f>
        <v>790016</v>
      </c>
      <c r="AN140" s="35">
        <f>VLOOKUP(Tabla4[[#This Row],[SERVICIO 2025]],$J$2:$V$14,6,0)*Tabla4[[#This Row],[TOTAL COBERTURA]]</f>
        <v>656464</v>
      </c>
      <c r="AO140" s="35">
        <f>VLOOKUP(Tabla4[[#This Row],[SERVICIO 2025]],$J$2:$V$14,8,0)*Tabla4[[#This Row],[TOTAL COBERTURA]]</f>
        <v>465600</v>
      </c>
      <c r="AP140" s="35">
        <f>VLOOKUP(Tabla4[[#This Row],[SERVICIO 2025]],$J$2:$V$14,3,0)*Tabla4[[#This Row],[TOTAL COBERTURA]]*8</f>
        <v>32971008</v>
      </c>
      <c r="AQ140" s="35"/>
      <c r="AR140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40" s="35" t="str">
        <f>+IF(Tabla4[[#This Row],[AGRUPACIONES]]=1,SUMIFS(Tabla4[VALOR TOTAL],Tabla4[ZONA DEFINITIVO],Tabla4[[#This Row],[ZONA DEFINITIVO]])," ")</f>
        <v xml:space="preserve"> </v>
      </c>
      <c r="AT140" s="27">
        <f>(VLOOKUP(Tabla4[[#This Row],[SERVICIO 2025]],$J$2:$V$14,3,0)*Tabla4[[#This Row],[TOTAL COBERTURA]])+Tabla4[[#This Row],[VALOR FASE PREPARATORIA DE ALISTAMIENTO]]+Tabla4[[#This Row],[DOTACIÓN ÚNICA]]</f>
        <v>5376992</v>
      </c>
      <c r="AU140" s="35">
        <f>(VLOOKUP(Tabla4[[#This Row],[SERVICIO 2025]],$J$2:$V$14,3,0)*Tabla4[[#This Row],[TOTAL COBERTURA]])</f>
        <v>4121376</v>
      </c>
      <c r="AV140" s="35">
        <f>(VLOOKUP(Tabla4[[#This Row],[SERVICIO 2025]],$J$2:$V$14,3,0)*Tabla4[[#This Row],[TOTAL COBERTURA]])</f>
        <v>4121376</v>
      </c>
      <c r="AW140" s="35">
        <f>(VLOOKUP(Tabla4[[#This Row],[SERVICIO 2025]],$J$2:$V$14,3,0)*Tabla4[[#This Row],[TOTAL COBERTURA]])</f>
        <v>4121376</v>
      </c>
      <c r="AX140" s="35">
        <f>(VLOOKUP(Tabla4[[#This Row],[SERVICIO 2025]],$J$2:$V$14,3,0)*Tabla4[[#This Row],[TOTAL COBERTURA]])</f>
        <v>4121376</v>
      </c>
      <c r="AY140" s="35">
        <f>(VLOOKUP(Tabla4[[#This Row],[SERVICIO 2025]],$J$2:$V$14,3,0)*Tabla4[[#This Row],[TOTAL COBERTURA]])</f>
        <v>4121376</v>
      </c>
      <c r="AZ140" s="35">
        <f>(VLOOKUP(Tabla4[[#This Row],[SERVICIO 2025]],$J$2:$V$14,3,0)*Tabla4[[#This Row],[TOTAL COBERTURA]])</f>
        <v>4121376</v>
      </c>
      <c r="BA140" s="35">
        <f>(VLOOKUP(Tabla4[[#This Row],[SERVICIO 2025]],$J$2:$V$14,3,0)*Tabla4[[#This Row],[TOTAL COBERTURA]])+Tabla4[[#This Row],[VALOR FASE PREPARATORIA DE CIERRE]]</f>
        <v>4777840</v>
      </c>
      <c r="BB140" s="35">
        <f>SUM(Tabla4[[#This Row],[DESEMBOLSO 1]:[DESEMBOLSO 8]])</f>
        <v>34883088</v>
      </c>
      <c r="BC140" s="35"/>
      <c r="BD140" s="47" t="s">
        <v>97</v>
      </c>
      <c r="BE140" s="12" t="b">
        <f>EXACT(Tabla4[[#This Row],[VALOR ATENCIÓN (8 MESES)]],Tabla4[[#This Row],[VALOR TOTAL]])</f>
        <v>1</v>
      </c>
      <c r="BF140" s="23">
        <f>Tabla4[[#This Row],[VALOR ATENCIÓN (8 MESES)]]-Tabla4[[#This Row],[VALOR TOTAL]]</f>
        <v>0</v>
      </c>
      <c r="BG140" s="12" t="b">
        <f>EXACT(Tabla4[[#This Row],[TOTAL DESEMBOLSOS]],Tabla4[[#This Row],[VALOR ATENCIÓN (8 MESES)]])</f>
        <v>1</v>
      </c>
      <c r="BH140" s="29">
        <f>Tabla4[[#This Row],[TOTAL DESEMBOLSOS]]-Tabla4[[#This Row],[VALOR ATENCIÓN (8 MESES)]]</f>
        <v>0</v>
      </c>
      <c r="BI140" t="s">
        <v>392</v>
      </c>
    </row>
    <row r="141" spans="1:62">
      <c r="A141" s="13">
        <v>1897</v>
      </c>
      <c r="B141" s="13" t="s">
        <v>387</v>
      </c>
      <c r="C141" s="12" t="s">
        <v>87</v>
      </c>
      <c r="D141" s="12" t="s">
        <v>266</v>
      </c>
      <c r="E141" s="12" t="s">
        <v>376</v>
      </c>
      <c r="F141" s="12" t="s">
        <v>18</v>
      </c>
      <c r="G141" s="12" t="s">
        <v>90</v>
      </c>
      <c r="H141" s="12" t="s">
        <v>397</v>
      </c>
      <c r="I141" s="12">
        <v>58471119742</v>
      </c>
      <c r="J141" s="12" t="s">
        <v>398</v>
      </c>
      <c r="K141" s="12">
        <v>1</v>
      </c>
      <c r="L141" s="12">
        <v>22</v>
      </c>
      <c r="M141" s="12"/>
      <c r="N141" s="13">
        <v>1897</v>
      </c>
      <c r="O141" s="12" t="s">
        <v>93</v>
      </c>
      <c r="P141" s="12"/>
      <c r="Q141" s="12"/>
      <c r="R141" s="12" t="s">
        <v>94</v>
      </c>
      <c r="S141" s="12">
        <v>10</v>
      </c>
      <c r="T141" s="12" t="s">
        <v>390</v>
      </c>
      <c r="U141" s="12" t="s">
        <v>391</v>
      </c>
      <c r="V141" s="12">
        <f>VLOOKUP(Tabla4[[#This Row],[ZONA DEFINITIVO]],Hoja1!$A$1:$D$121,3,0)</f>
        <v>229183</v>
      </c>
      <c r="W141" s="12">
        <f>VLOOKUP(Tabla4[[#This Row],[ZONA DEFINITIVO]],Hoja1!$A$1:$D$121,2,0)</f>
        <v>16469</v>
      </c>
      <c r="X141" s="12">
        <f>VLOOKUP(Tabla4[[#This Row],[ZONA DEFINITIVO]],Hoja1!$A$1:$D$121,4,0)</f>
        <v>95625</v>
      </c>
      <c r="Y141" s="12" t="str">
        <f>+IF(Tabla4[[#This Row],[AGRUPACIONES]]=1,SUMIFS(Tabla4[UDS],Tabla4[ZONA DEFINITIVO],Tabla4[[#This Row],[ZONA DEFINITIVO]])," ")</f>
        <v xml:space="preserve"> </v>
      </c>
      <c r="Z141" s="12" t="str">
        <f>+IF(Tabla4[[#This Row],[AGRUPACIONES]]=1,SUMIFS(Tabla4[TOTAL COBERTURA],Tabla4[ZONA DEFINITIVO],Tabla4[[#This Row],[ZONA DEFINITIVO]])," ")</f>
        <v xml:space="preserve"> </v>
      </c>
      <c r="AA141" s="12"/>
      <c r="AB141" s="38">
        <v>47964246</v>
      </c>
      <c r="AC141" s="37">
        <v>0.02</v>
      </c>
      <c r="AD141" s="38">
        <f t="shared" si="2"/>
        <v>959284.92</v>
      </c>
      <c r="AE141" s="12"/>
      <c r="AF141" s="12">
        <f>COUNTIF($A$20:A141,A141)</f>
        <v>4</v>
      </c>
      <c r="AG141" s="38">
        <v>47964246</v>
      </c>
      <c r="AH141" s="38">
        <f>Tabla4[[#This Row],[VALOR CONTRAPARTIDA]]+Tabla4[[#This Row],[TOTAL APORTES ICBF]]</f>
        <v>48923530.920000002</v>
      </c>
      <c r="AI141" s="35"/>
      <c r="AJ141" s="38"/>
      <c r="AK141" s="38"/>
      <c r="AL141" s="23"/>
      <c r="AM141" s="35">
        <f>VLOOKUP(Tabla4[[#This Row],[SERVICIO 2025]],$J$2:$V$14,5,0)*Tabla4[[#This Row],[TOTAL COBERTURA]]</f>
        <v>1086272</v>
      </c>
      <c r="AN141" s="35">
        <f>VLOOKUP(Tabla4[[#This Row],[SERVICIO 2025]],$J$2:$V$14,6,0)*Tabla4[[#This Row],[TOTAL COBERTURA]]</f>
        <v>902638</v>
      </c>
      <c r="AO141" s="35">
        <f>VLOOKUP(Tabla4[[#This Row],[SERVICIO 2025]],$J$2:$V$14,8,0)*Tabla4[[#This Row],[TOTAL COBERTURA]]</f>
        <v>640200</v>
      </c>
      <c r="AP141" s="35">
        <f>VLOOKUP(Tabla4[[#This Row],[SERVICIO 2025]],$J$2:$V$14,3,0)*Tabla4[[#This Row],[TOTAL COBERTURA]]*8</f>
        <v>45335136</v>
      </c>
      <c r="AQ141" s="35"/>
      <c r="AR141" s="35">
        <f>Tabla4[[#This Row],[VALOR FASE PREPARATORIA DE ALISTAMIENTO]]+Tabla4[[#This Row],[VALOR FASE PREPARATORIA DE CIERRE]]+Tabla4[[#This Row],[DOTACIÓN ÚNICA]]+Tabla4[[#This Row],[VALOR ATENCIÓN]]+Tabla4[[#This Row],[VALOR RACION PREPARADA]]</f>
        <v>47964246</v>
      </c>
      <c r="AS141" s="35" t="str">
        <f>+IF(Tabla4[[#This Row],[AGRUPACIONES]]=1,SUMIFS(Tabla4[VALOR TOTAL],Tabla4[ZONA DEFINITIVO],Tabla4[[#This Row],[ZONA DEFINITIVO]])," ")</f>
        <v xml:space="preserve"> </v>
      </c>
      <c r="AT141" s="27">
        <f>(VLOOKUP(Tabla4[[#This Row],[SERVICIO 2025]],$J$2:$V$14,3,0)*Tabla4[[#This Row],[TOTAL COBERTURA]])+Tabla4[[#This Row],[VALOR FASE PREPARATORIA DE ALISTAMIENTO]]+Tabla4[[#This Row],[DOTACIÓN ÚNICA]]</f>
        <v>7393364</v>
      </c>
      <c r="AU141" s="35">
        <f>(VLOOKUP(Tabla4[[#This Row],[SERVICIO 2025]],$J$2:$V$14,3,0)*Tabla4[[#This Row],[TOTAL COBERTURA]])</f>
        <v>5666892</v>
      </c>
      <c r="AV141" s="35">
        <f>(VLOOKUP(Tabla4[[#This Row],[SERVICIO 2025]],$J$2:$V$14,3,0)*Tabla4[[#This Row],[TOTAL COBERTURA]])</f>
        <v>5666892</v>
      </c>
      <c r="AW141" s="35">
        <f>(VLOOKUP(Tabla4[[#This Row],[SERVICIO 2025]],$J$2:$V$14,3,0)*Tabla4[[#This Row],[TOTAL COBERTURA]])</f>
        <v>5666892</v>
      </c>
      <c r="AX141" s="35">
        <f>(VLOOKUP(Tabla4[[#This Row],[SERVICIO 2025]],$J$2:$V$14,3,0)*Tabla4[[#This Row],[TOTAL COBERTURA]])</f>
        <v>5666892</v>
      </c>
      <c r="AY141" s="35">
        <f>(VLOOKUP(Tabla4[[#This Row],[SERVICIO 2025]],$J$2:$V$14,3,0)*Tabla4[[#This Row],[TOTAL COBERTURA]])</f>
        <v>5666892</v>
      </c>
      <c r="AZ141" s="35">
        <f>(VLOOKUP(Tabla4[[#This Row],[SERVICIO 2025]],$J$2:$V$14,3,0)*Tabla4[[#This Row],[TOTAL COBERTURA]])</f>
        <v>5666892</v>
      </c>
      <c r="BA141" s="35">
        <f>(VLOOKUP(Tabla4[[#This Row],[SERVICIO 2025]],$J$2:$V$14,3,0)*Tabla4[[#This Row],[TOTAL COBERTURA]])+Tabla4[[#This Row],[VALOR FASE PREPARATORIA DE CIERRE]]</f>
        <v>6569530</v>
      </c>
      <c r="BB141" s="35">
        <f>SUM(Tabla4[[#This Row],[DESEMBOLSO 1]:[DESEMBOLSO 8]])</f>
        <v>47964246</v>
      </c>
      <c r="BC141" s="35"/>
      <c r="BD141" s="47" t="s">
        <v>97</v>
      </c>
      <c r="BE141" s="12" t="b">
        <f>EXACT(Tabla4[[#This Row],[VALOR ATENCIÓN (8 MESES)]],Tabla4[[#This Row],[VALOR TOTAL]])</f>
        <v>1</v>
      </c>
      <c r="BF141" s="23">
        <f>Tabla4[[#This Row],[VALOR ATENCIÓN (8 MESES)]]-Tabla4[[#This Row],[VALOR TOTAL]]</f>
        <v>0</v>
      </c>
      <c r="BG141" s="12" t="b">
        <f>EXACT(Tabla4[[#This Row],[TOTAL DESEMBOLSOS]],Tabla4[[#This Row],[VALOR ATENCIÓN (8 MESES)]])</f>
        <v>1</v>
      </c>
      <c r="BH141" s="29">
        <f>Tabla4[[#This Row],[TOTAL DESEMBOLSOS]]-Tabla4[[#This Row],[VALOR ATENCIÓN (8 MESES)]]</f>
        <v>0</v>
      </c>
      <c r="BI141" t="s">
        <v>392</v>
      </c>
    </row>
    <row r="142" spans="1:62">
      <c r="A142" s="13">
        <v>1897</v>
      </c>
      <c r="B142" s="13" t="s">
        <v>387</v>
      </c>
      <c r="C142" s="12" t="s">
        <v>87</v>
      </c>
      <c r="D142" s="12" t="s">
        <v>266</v>
      </c>
      <c r="E142" s="12" t="s">
        <v>376</v>
      </c>
      <c r="F142" s="12" t="s">
        <v>18</v>
      </c>
      <c r="G142" s="12" t="s">
        <v>90</v>
      </c>
      <c r="H142" s="12" t="s">
        <v>399</v>
      </c>
      <c r="I142" s="12">
        <v>58471119743</v>
      </c>
      <c r="J142" s="12" t="s">
        <v>400</v>
      </c>
      <c r="K142" s="12">
        <v>1</v>
      </c>
      <c r="L142" s="12">
        <v>20</v>
      </c>
      <c r="M142" s="12"/>
      <c r="N142" s="13">
        <v>1897</v>
      </c>
      <c r="O142" s="12" t="s">
        <v>93</v>
      </c>
      <c r="P142" s="12"/>
      <c r="Q142" s="12"/>
      <c r="R142" s="12" t="s">
        <v>94</v>
      </c>
      <c r="S142" s="12">
        <v>10</v>
      </c>
      <c r="T142" s="12" t="s">
        <v>390</v>
      </c>
      <c r="U142" s="12" t="s">
        <v>391</v>
      </c>
      <c r="V142" s="12">
        <f>VLOOKUP(Tabla4[[#This Row],[ZONA DEFINITIVO]],Hoja1!$A$1:$D$121,3,0)</f>
        <v>229183</v>
      </c>
      <c r="W142" s="12">
        <f>VLOOKUP(Tabla4[[#This Row],[ZONA DEFINITIVO]],Hoja1!$A$1:$D$121,2,0)</f>
        <v>16469</v>
      </c>
      <c r="X142" s="12">
        <f>VLOOKUP(Tabla4[[#This Row],[ZONA DEFINITIVO]],Hoja1!$A$1:$D$121,4,0)</f>
        <v>95625</v>
      </c>
      <c r="Y142" s="12" t="str">
        <f>+IF(Tabla4[[#This Row],[AGRUPACIONES]]=1,SUMIFS(Tabla4[UDS],Tabla4[ZONA DEFINITIVO],Tabla4[[#This Row],[ZONA DEFINITIVO]])," ")</f>
        <v xml:space="preserve"> </v>
      </c>
      <c r="Z142" s="12" t="str">
        <f>+IF(Tabla4[[#This Row],[AGRUPACIONES]]=1,SUMIFS(Tabla4[TOTAL COBERTURA],Tabla4[ZONA DEFINITIVO],Tabla4[[#This Row],[ZONA DEFINITIVO]])," ")</f>
        <v xml:space="preserve"> </v>
      </c>
      <c r="AA142" s="12"/>
      <c r="AB142" s="38">
        <v>43603860</v>
      </c>
      <c r="AC142" s="37">
        <v>0.02</v>
      </c>
      <c r="AD142" s="38">
        <f t="shared" si="2"/>
        <v>872077.20000000007</v>
      </c>
      <c r="AE142" s="12"/>
      <c r="AF142" s="12">
        <f>COUNTIF($A$20:A142,A142)</f>
        <v>5</v>
      </c>
      <c r="AG142" s="38">
        <v>43603860</v>
      </c>
      <c r="AH142" s="38">
        <f>Tabla4[[#This Row],[VALOR CONTRAPARTIDA]]+Tabla4[[#This Row],[TOTAL APORTES ICBF]]</f>
        <v>44475937.200000003</v>
      </c>
      <c r="AI142" s="35"/>
      <c r="AJ142" s="38"/>
      <c r="AK142" s="38"/>
      <c r="AL142" s="23"/>
      <c r="AM142" s="35">
        <f>VLOOKUP(Tabla4[[#This Row],[SERVICIO 2025]],$J$2:$V$14,5,0)*Tabla4[[#This Row],[TOTAL COBERTURA]]</f>
        <v>987520</v>
      </c>
      <c r="AN142" s="35">
        <f>VLOOKUP(Tabla4[[#This Row],[SERVICIO 2025]],$J$2:$V$14,6,0)*Tabla4[[#This Row],[TOTAL COBERTURA]]</f>
        <v>820580</v>
      </c>
      <c r="AO142" s="35">
        <f>VLOOKUP(Tabla4[[#This Row],[SERVICIO 2025]],$J$2:$V$14,8,0)*Tabla4[[#This Row],[TOTAL COBERTURA]]</f>
        <v>582000</v>
      </c>
      <c r="AP142" s="35">
        <f>VLOOKUP(Tabla4[[#This Row],[SERVICIO 2025]],$J$2:$V$14,3,0)*Tabla4[[#This Row],[TOTAL COBERTURA]]*8</f>
        <v>41213760</v>
      </c>
      <c r="AQ142" s="35"/>
      <c r="AR142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42" s="35" t="str">
        <f>+IF(Tabla4[[#This Row],[AGRUPACIONES]]=1,SUMIFS(Tabla4[VALOR TOTAL],Tabla4[ZONA DEFINITIVO],Tabla4[[#This Row],[ZONA DEFINITIVO]])," ")</f>
        <v xml:space="preserve"> </v>
      </c>
      <c r="AT142" s="27">
        <f>(VLOOKUP(Tabla4[[#This Row],[SERVICIO 2025]],$J$2:$V$14,3,0)*Tabla4[[#This Row],[TOTAL COBERTURA]])+Tabla4[[#This Row],[VALOR FASE PREPARATORIA DE ALISTAMIENTO]]+Tabla4[[#This Row],[DOTACIÓN ÚNICA]]</f>
        <v>6721240</v>
      </c>
      <c r="AU142" s="35">
        <f>(VLOOKUP(Tabla4[[#This Row],[SERVICIO 2025]],$J$2:$V$14,3,0)*Tabla4[[#This Row],[TOTAL COBERTURA]])</f>
        <v>5151720</v>
      </c>
      <c r="AV142" s="35">
        <f>(VLOOKUP(Tabla4[[#This Row],[SERVICIO 2025]],$J$2:$V$14,3,0)*Tabla4[[#This Row],[TOTAL COBERTURA]])</f>
        <v>5151720</v>
      </c>
      <c r="AW142" s="35">
        <f>(VLOOKUP(Tabla4[[#This Row],[SERVICIO 2025]],$J$2:$V$14,3,0)*Tabla4[[#This Row],[TOTAL COBERTURA]])</f>
        <v>5151720</v>
      </c>
      <c r="AX142" s="35">
        <f>(VLOOKUP(Tabla4[[#This Row],[SERVICIO 2025]],$J$2:$V$14,3,0)*Tabla4[[#This Row],[TOTAL COBERTURA]])</f>
        <v>5151720</v>
      </c>
      <c r="AY142" s="35">
        <f>(VLOOKUP(Tabla4[[#This Row],[SERVICIO 2025]],$J$2:$V$14,3,0)*Tabla4[[#This Row],[TOTAL COBERTURA]])</f>
        <v>5151720</v>
      </c>
      <c r="AZ142" s="35">
        <f>(VLOOKUP(Tabla4[[#This Row],[SERVICIO 2025]],$J$2:$V$14,3,0)*Tabla4[[#This Row],[TOTAL COBERTURA]])</f>
        <v>5151720</v>
      </c>
      <c r="BA142" s="35">
        <f>(VLOOKUP(Tabla4[[#This Row],[SERVICIO 2025]],$J$2:$V$14,3,0)*Tabla4[[#This Row],[TOTAL COBERTURA]])+Tabla4[[#This Row],[VALOR FASE PREPARATORIA DE CIERRE]]</f>
        <v>5972300</v>
      </c>
      <c r="BB142" s="35">
        <f>SUM(Tabla4[[#This Row],[DESEMBOLSO 1]:[DESEMBOLSO 8]])</f>
        <v>43603860</v>
      </c>
      <c r="BC142" s="35"/>
      <c r="BD142" s="47" t="s">
        <v>97</v>
      </c>
      <c r="BE142" s="12" t="b">
        <f>EXACT(Tabla4[[#This Row],[VALOR ATENCIÓN (8 MESES)]],Tabla4[[#This Row],[VALOR TOTAL]])</f>
        <v>1</v>
      </c>
      <c r="BF142" s="23">
        <f>Tabla4[[#This Row],[VALOR ATENCIÓN (8 MESES)]]-Tabla4[[#This Row],[VALOR TOTAL]]</f>
        <v>0</v>
      </c>
      <c r="BG142" s="12" t="b">
        <f>EXACT(Tabla4[[#This Row],[TOTAL DESEMBOLSOS]],Tabla4[[#This Row],[VALOR ATENCIÓN (8 MESES)]])</f>
        <v>1</v>
      </c>
      <c r="BH142" s="29">
        <f>Tabla4[[#This Row],[TOTAL DESEMBOLSOS]]-Tabla4[[#This Row],[VALOR ATENCIÓN (8 MESES)]]</f>
        <v>0</v>
      </c>
      <c r="BI142" t="s">
        <v>392</v>
      </c>
    </row>
    <row r="143" spans="1:62">
      <c r="A143" s="13">
        <v>1897</v>
      </c>
      <c r="B143" s="13" t="s">
        <v>387</v>
      </c>
      <c r="C143" s="12" t="s">
        <v>87</v>
      </c>
      <c r="D143" s="12" t="s">
        <v>266</v>
      </c>
      <c r="E143" s="12" t="s">
        <v>376</v>
      </c>
      <c r="F143" s="12" t="s">
        <v>18</v>
      </c>
      <c r="G143" s="12" t="s">
        <v>90</v>
      </c>
      <c r="H143" s="12" t="s">
        <v>401</v>
      </c>
      <c r="I143" s="12">
        <v>58471119744</v>
      </c>
      <c r="J143" s="12" t="s">
        <v>402</v>
      </c>
      <c r="K143" s="12">
        <v>1</v>
      </c>
      <c r="L143" s="12">
        <v>11</v>
      </c>
      <c r="M143" s="12"/>
      <c r="N143" s="13">
        <v>1897</v>
      </c>
      <c r="O143" s="12" t="s">
        <v>93</v>
      </c>
      <c r="P143" s="12"/>
      <c r="Q143" s="12"/>
      <c r="R143" s="12" t="s">
        <v>94</v>
      </c>
      <c r="S143" s="12">
        <v>10</v>
      </c>
      <c r="T143" s="12" t="s">
        <v>390</v>
      </c>
      <c r="U143" s="12" t="s">
        <v>391</v>
      </c>
      <c r="V143" s="12">
        <f>VLOOKUP(Tabla4[[#This Row],[ZONA DEFINITIVO]],Hoja1!$A$1:$D$121,3,0)</f>
        <v>229183</v>
      </c>
      <c r="W143" s="12">
        <f>VLOOKUP(Tabla4[[#This Row],[ZONA DEFINITIVO]],Hoja1!$A$1:$D$121,2,0)</f>
        <v>16469</v>
      </c>
      <c r="X143" s="12">
        <f>VLOOKUP(Tabla4[[#This Row],[ZONA DEFINITIVO]],Hoja1!$A$1:$D$121,4,0)</f>
        <v>95625</v>
      </c>
      <c r="Y143" s="12" t="str">
        <f>+IF(Tabla4[[#This Row],[AGRUPACIONES]]=1,SUMIFS(Tabla4[UDS],Tabla4[ZONA DEFINITIVO],Tabla4[[#This Row],[ZONA DEFINITIVO]])," ")</f>
        <v xml:space="preserve"> </v>
      </c>
      <c r="Z143" s="12" t="str">
        <f>+IF(Tabla4[[#This Row],[AGRUPACIONES]]=1,SUMIFS(Tabla4[TOTAL COBERTURA],Tabla4[ZONA DEFINITIVO],Tabla4[[#This Row],[ZONA DEFINITIVO]])," ")</f>
        <v xml:space="preserve"> </v>
      </c>
      <c r="AA143" s="12"/>
      <c r="AB143" s="38">
        <v>23982123</v>
      </c>
      <c r="AC143" s="37">
        <v>0.02</v>
      </c>
      <c r="AD143" s="38">
        <f t="shared" si="2"/>
        <v>479642.46</v>
      </c>
      <c r="AE143" s="12"/>
      <c r="AF143" s="12">
        <f>COUNTIF($A$20:A143,A143)</f>
        <v>6</v>
      </c>
      <c r="AG143" s="38">
        <v>23982123</v>
      </c>
      <c r="AH143" s="38">
        <f>Tabla4[[#This Row],[VALOR CONTRAPARTIDA]]+Tabla4[[#This Row],[TOTAL APORTES ICBF]]</f>
        <v>24461765.460000001</v>
      </c>
      <c r="AI143" s="35"/>
      <c r="AJ143" s="38"/>
      <c r="AK143" s="38"/>
      <c r="AL143" s="23"/>
      <c r="AM143" s="35">
        <f>VLOOKUP(Tabla4[[#This Row],[SERVICIO 2025]],$J$2:$V$14,5,0)*Tabla4[[#This Row],[TOTAL COBERTURA]]</f>
        <v>543136</v>
      </c>
      <c r="AN143" s="35">
        <f>VLOOKUP(Tabla4[[#This Row],[SERVICIO 2025]],$J$2:$V$14,6,0)*Tabla4[[#This Row],[TOTAL COBERTURA]]</f>
        <v>451319</v>
      </c>
      <c r="AO143" s="35">
        <f>VLOOKUP(Tabla4[[#This Row],[SERVICIO 2025]],$J$2:$V$14,8,0)*Tabla4[[#This Row],[TOTAL COBERTURA]]</f>
        <v>320100</v>
      </c>
      <c r="AP143" s="35">
        <f>VLOOKUP(Tabla4[[#This Row],[SERVICIO 2025]],$J$2:$V$14,3,0)*Tabla4[[#This Row],[TOTAL COBERTURA]]*8</f>
        <v>22667568</v>
      </c>
      <c r="AQ143" s="35"/>
      <c r="AR143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143" s="35" t="str">
        <f>+IF(Tabla4[[#This Row],[AGRUPACIONES]]=1,SUMIFS(Tabla4[VALOR TOTAL],Tabla4[ZONA DEFINITIVO],Tabla4[[#This Row],[ZONA DEFINITIVO]])," ")</f>
        <v xml:space="preserve"> </v>
      </c>
      <c r="AT143" s="27">
        <f>(VLOOKUP(Tabla4[[#This Row],[SERVICIO 2025]],$J$2:$V$14,3,0)*Tabla4[[#This Row],[TOTAL COBERTURA]])+Tabla4[[#This Row],[VALOR FASE PREPARATORIA DE ALISTAMIENTO]]+Tabla4[[#This Row],[DOTACIÓN ÚNICA]]</f>
        <v>3696682</v>
      </c>
      <c r="AU143" s="35">
        <f>(VLOOKUP(Tabla4[[#This Row],[SERVICIO 2025]],$J$2:$V$14,3,0)*Tabla4[[#This Row],[TOTAL COBERTURA]])</f>
        <v>2833446</v>
      </c>
      <c r="AV143" s="35">
        <f>(VLOOKUP(Tabla4[[#This Row],[SERVICIO 2025]],$J$2:$V$14,3,0)*Tabla4[[#This Row],[TOTAL COBERTURA]])</f>
        <v>2833446</v>
      </c>
      <c r="AW143" s="35">
        <f>(VLOOKUP(Tabla4[[#This Row],[SERVICIO 2025]],$J$2:$V$14,3,0)*Tabla4[[#This Row],[TOTAL COBERTURA]])</f>
        <v>2833446</v>
      </c>
      <c r="AX143" s="35">
        <f>(VLOOKUP(Tabla4[[#This Row],[SERVICIO 2025]],$J$2:$V$14,3,0)*Tabla4[[#This Row],[TOTAL COBERTURA]])</f>
        <v>2833446</v>
      </c>
      <c r="AY143" s="35">
        <f>(VLOOKUP(Tabla4[[#This Row],[SERVICIO 2025]],$J$2:$V$14,3,0)*Tabla4[[#This Row],[TOTAL COBERTURA]])</f>
        <v>2833446</v>
      </c>
      <c r="AZ143" s="35">
        <f>(VLOOKUP(Tabla4[[#This Row],[SERVICIO 2025]],$J$2:$V$14,3,0)*Tabla4[[#This Row],[TOTAL COBERTURA]])</f>
        <v>2833446</v>
      </c>
      <c r="BA143" s="35">
        <f>(VLOOKUP(Tabla4[[#This Row],[SERVICIO 2025]],$J$2:$V$14,3,0)*Tabla4[[#This Row],[TOTAL COBERTURA]])+Tabla4[[#This Row],[VALOR FASE PREPARATORIA DE CIERRE]]</f>
        <v>3284765</v>
      </c>
      <c r="BB143" s="35">
        <f>SUM(Tabla4[[#This Row],[DESEMBOLSO 1]:[DESEMBOLSO 8]])</f>
        <v>23982123</v>
      </c>
      <c r="BC143" s="35"/>
      <c r="BD143" s="47" t="s">
        <v>97</v>
      </c>
      <c r="BE143" s="12" t="b">
        <f>EXACT(Tabla4[[#This Row],[VALOR ATENCIÓN (8 MESES)]],Tabla4[[#This Row],[VALOR TOTAL]])</f>
        <v>1</v>
      </c>
      <c r="BF143" s="23">
        <f>Tabla4[[#This Row],[VALOR ATENCIÓN (8 MESES)]]-Tabla4[[#This Row],[VALOR TOTAL]]</f>
        <v>0</v>
      </c>
      <c r="BG143" s="12" t="b">
        <f>EXACT(Tabla4[[#This Row],[TOTAL DESEMBOLSOS]],Tabla4[[#This Row],[VALOR ATENCIÓN (8 MESES)]])</f>
        <v>1</v>
      </c>
      <c r="BH143" s="29">
        <f>Tabla4[[#This Row],[TOTAL DESEMBOLSOS]]-Tabla4[[#This Row],[VALOR ATENCIÓN (8 MESES)]]</f>
        <v>0</v>
      </c>
      <c r="BI143" t="s">
        <v>392</v>
      </c>
    </row>
    <row r="144" spans="1:62">
      <c r="A144" s="13">
        <v>1897</v>
      </c>
      <c r="B144" s="13" t="s">
        <v>387</v>
      </c>
      <c r="C144" s="12" t="s">
        <v>87</v>
      </c>
      <c r="D144" s="12" t="s">
        <v>266</v>
      </c>
      <c r="E144" s="12" t="s">
        <v>376</v>
      </c>
      <c r="F144" s="12" t="s">
        <v>18</v>
      </c>
      <c r="G144" s="12" t="s">
        <v>90</v>
      </c>
      <c r="H144" s="12" t="s">
        <v>403</v>
      </c>
      <c r="I144" s="12">
        <v>58471136588</v>
      </c>
      <c r="J144" s="12" t="s">
        <v>404</v>
      </c>
      <c r="K144" s="12">
        <v>1</v>
      </c>
      <c r="L144" s="12">
        <v>22</v>
      </c>
      <c r="M144" s="12"/>
      <c r="N144" s="13">
        <v>1897</v>
      </c>
      <c r="O144" s="12" t="s">
        <v>93</v>
      </c>
      <c r="P144" s="12"/>
      <c r="Q144" s="12"/>
      <c r="R144" s="12" t="s">
        <v>94</v>
      </c>
      <c r="S144" s="12">
        <v>10</v>
      </c>
      <c r="T144" s="12" t="s">
        <v>390</v>
      </c>
      <c r="U144" s="12" t="s">
        <v>391</v>
      </c>
      <c r="V144" s="12">
        <f>VLOOKUP(Tabla4[[#This Row],[ZONA DEFINITIVO]],Hoja1!$A$1:$D$121,3,0)</f>
        <v>229183</v>
      </c>
      <c r="W144" s="12">
        <f>VLOOKUP(Tabla4[[#This Row],[ZONA DEFINITIVO]],Hoja1!$A$1:$D$121,2,0)</f>
        <v>16469</v>
      </c>
      <c r="X144" s="12">
        <f>VLOOKUP(Tabla4[[#This Row],[ZONA DEFINITIVO]],Hoja1!$A$1:$D$121,4,0)</f>
        <v>95625</v>
      </c>
      <c r="Y144" s="12" t="str">
        <f>+IF(Tabla4[[#This Row],[AGRUPACIONES]]=1,SUMIFS(Tabla4[UDS],Tabla4[ZONA DEFINITIVO],Tabla4[[#This Row],[ZONA DEFINITIVO]])," ")</f>
        <v xml:space="preserve"> </v>
      </c>
      <c r="Z144" s="12" t="str">
        <f>+IF(Tabla4[[#This Row],[AGRUPACIONES]]=1,SUMIFS(Tabla4[TOTAL COBERTURA],Tabla4[ZONA DEFINITIVO],Tabla4[[#This Row],[ZONA DEFINITIVO]])," ")</f>
        <v xml:space="preserve"> </v>
      </c>
      <c r="AA144" s="12"/>
      <c r="AB144" s="38">
        <v>47964246</v>
      </c>
      <c r="AC144" s="37">
        <v>0.02</v>
      </c>
      <c r="AD144" s="38">
        <f t="shared" si="2"/>
        <v>959284.92</v>
      </c>
      <c r="AE144" s="12"/>
      <c r="AF144" s="12">
        <f>COUNTIF($A$20:A144,A144)</f>
        <v>7</v>
      </c>
      <c r="AG144" s="38">
        <v>47964246</v>
      </c>
      <c r="AH144" s="38">
        <f>Tabla4[[#This Row],[VALOR CONTRAPARTIDA]]+Tabla4[[#This Row],[TOTAL APORTES ICBF]]</f>
        <v>48923530.920000002</v>
      </c>
      <c r="AI144" s="35"/>
      <c r="AJ144" s="38"/>
      <c r="AK144" s="38"/>
      <c r="AL144" s="23"/>
      <c r="AM144" s="35">
        <f>VLOOKUP(Tabla4[[#This Row],[SERVICIO 2025]],$J$2:$V$14,5,0)*Tabla4[[#This Row],[TOTAL COBERTURA]]</f>
        <v>1086272</v>
      </c>
      <c r="AN144" s="35">
        <f>VLOOKUP(Tabla4[[#This Row],[SERVICIO 2025]],$J$2:$V$14,6,0)*Tabla4[[#This Row],[TOTAL COBERTURA]]</f>
        <v>902638</v>
      </c>
      <c r="AO144" s="35">
        <f>VLOOKUP(Tabla4[[#This Row],[SERVICIO 2025]],$J$2:$V$14,8,0)*Tabla4[[#This Row],[TOTAL COBERTURA]]</f>
        <v>640200</v>
      </c>
      <c r="AP144" s="35">
        <f>VLOOKUP(Tabla4[[#This Row],[SERVICIO 2025]],$J$2:$V$14,3,0)*Tabla4[[#This Row],[TOTAL COBERTURA]]*8</f>
        <v>45335136</v>
      </c>
      <c r="AQ144" s="35"/>
      <c r="AR144" s="35">
        <f>Tabla4[[#This Row],[VALOR FASE PREPARATORIA DE ALISTAMIENTO]]+Tabla4[[#This Row],[VALOR FASE PREPARATORIA DE CIERRE]]+Tabla4[[#This Row],[DOTACIÓN ÚNICA]]+Tabla4[[#This Row],[VALOR ATENCIÓN]]+Tabla4[[#This Row],[VALOR RACION PREPARADA]]</f>
        <v>47964246</v>
      </c>
      <c r="AS144" s="35" t="str">
        <f>+IF(Tabla4[[#This Row],[AGRUPACIONES]]=1,SUMIFS(Tabla4[VALOR TOTAL],Tabla4[ZONA DEFINITIVO],Tabla4[[#This Row],[ZONA DEFINITIVO]])," ")</f>
        <v xml:space="preserve"> </v>
      </c>
      <c r="AT144" s="27">
        <f>(VLOOKUP(Tabla4[[#This Row],[SERVICIO 2025]],$J$2:$V$14,3,0)*Tabla4[[#This Row],[TOTAL COBERTURA]])+Tabla4[[#This Row],[VALOR FASE PREPARATORIA DE ALISTAMIENTO]]+Tabla4[[#This Row],[DOTACIÓN ÚNICA]]</f>
        <v>7393364</v>
      </c>
      <c r="AU144" s="35">
        <f>(VLOOKUP(Tabla4[[#This Row],[SERVICIO 2025]],$J$2:$V$14,3,0)*Tabla4[[#This Row],[TOTAL COBERTURA]])</f>
        <v>5666892</v>
      </c>
      <c r="AV144" s="35">
        <f>(VLOOKUP(Tabla4[[#This Row],[SERVICIO 2025]],$J$2:$V$14,3,0)*Tabla4[[#This Row],[TOTAL COBERTURA]])</f>
        <v>5666892</v>
      </c>
      <c r="AW144" s="35">
        <f>(VLOOKUP(Tabla4[[#This Row],[SERVICIO 2025]],$J$2:$V$14,3,0)*Tabla4[[#This Row],[TOTAL COBERTURA]])</f>
        <v>5666892</v>
      </c>
      <c r="AX144" s="35">
        <f>(VLOOKUP(Tabla4[[#This Row],[SERVICIO 2025]],$J$2:$V$14,3,0)*Tabla4[[#This Row],[TOTAL COBERTURA]])</f>
        <v>5666892</v>
      </c>
      <c r="AY144" s="35">
        <f>(VLOOKUP(Tabla4[[#This Row],[SERVICIO 2025]],$J$2:$V$14,3,0)*Tabla4[[#This Row],[TOTAL COBERTURA]])</f>
        <v>5666892</v>
      </c>
      <c r="AZ144" s="35">
        <f>(VLOOKUP(Tabla4[[#This Row],[SERVICIO 2025]],$J$2:$V$14,3,0)*Tabla4[[#This Row],[TOTAL COBERTURA]])</f>
        <v>5666892</v>
      </c>
      <c r="BA144" s="35">
        <f>(VLOOKUP(Tabla4[[#This Row],[SERVICIO 2025]],$J$2:$V$14,3,0)*Tabla4[[#This Row],[TOTAL COBERTURA]])+Tabla4[[#This Row],[VALOR FASE PREPARATORIA DE CIERRE]]</f>
        <v>6569530</v>
      </c>
      <c r="BB144" s="35">
        <f>SUM(Tabla4[[#This Row],[DESEMBOLSO 1]:[DESEMBOLSO 8]])</f>
        <v>47964246</v>
      </c>
      <c r="BC144" s="35"/>
      <c r="BD144" s="47" t="s">
        <v>97</v>
      </c>
      <c r="BE144" s="12" t="b">
        <f>EXACT(Tabla4[[#This Row],[VALOR ATENCIÓN (8 MESES)]],Tabla4[[#This Row],[VALOR TOTAL]])</f>
        <v>1</v>
      </c>
      <c r="BF144" s="23">
        <f>Tabla4[[#This Row],[VALOR ATENCIÓN (8 MESES)]]-Tabla4[[#This Row],[VALOR TOTAL]]</f>
        <v>0</v>
      </c>
      <c r="BG144" s="12" t="b">
        <f>EXACT(Tabla4[[#This Row],[TOTAL DESEMBOLSOS]],Tabla4[[#This Row],[VALOR ATENCIÓN (8 MESES)]])</f>
        <v>1</v>
      </c>
      <c r="BH144" s="29">
        <f>Tabla4[[#This Row],[TOTAL DESEMBOLSOS]]-Tabla4[[#This Row],[VALOR ATENCIÓN (8 MESES)]]</f>
        <v>0</v>
      </c>
      <c r="BI144" t="s">
        <v>392</v>
      </c>
    </row>
    <row r="145" spans="1:61">
      <c r="A145" s="13">
        <v>1897</v>
      </c>
      <c r="B145" s="13" t="s">
        <v>387</v>
      </c>
      <c r="C145" s="12" t="s">
        <v>87</v>
      </c>
      <c r="D145" s="12" t="s">
        <v>266</v>
      </c>
      <c r="E145" s="12" t="s">
        <v>376</v>
      </c>
      <c r="F145" s="12" t="s">
        <v>18</v>
      </c>
      <c r="G145" s="12" t="s">
        <v>90</v>
      </c>
      <c r="H145" s="12" t="s">
        <v>405</v>
      </c>
      <c r="I145" s="12">
        <v>58471136589</v>
      </c>
      <c r="J145" s="12" t="s">
        <v>406</v>
      </c>
      <c r="K145" s="12">
        <v>1</v>
      </c>
      <c r="L145" s="12">
        <v>21</v>
      </c>
      <c r="M145" s="12"/>
      <c r="N145" s="13">
        <v>1897</v>
      </c>
      <c r="O145" s="12" t="s">
        <v>93</v>
      </c>
      <c r="P145" s="12"/>
      <c r="Q145" s="12"/>
      <c r="R145" s="12" t="s">
        <v>94</v>
      </c>
      <c r="S145" s="12">
        <v>10</v>
      </c>
      <c r="T145" s="12" t="s">
        <v>390</v>
      </c>
      <c r="U145" s="12" t="s">
        <v>391</v>
      </c>
      <c r="V145" s="12">
        <f>VLOOKUP(Tabla4[[#This Row],[ZONA DEFINITIVO]],Hoja1!$A$1:$D$121,3,0)</f>
        <v>229183</v>
      </c>
      <c r="W145" s="12">
        <f>VLOOKUP(Tabla4[[#This Row],[ZONA DEFINITIVO]],Hoja1!$A$1:$D$121,2,0)</f>
        <v>16469</v>
      </c>
      <c r="X145" s="12">
        <f>VLOOKUP(Tabla4[[#This Row],[ZONA DEFINITIVO]],Hoja1!$A$1:$D$121,4,0)</f>
        <v>95625</v>
      </c>
      <c r="Y145" s="12" t="str">
        <f>+IF(Tabla4[[#This Row],[AGRUPACIONES]]=1,SUMIFS(Tabla4[UDS],Tabla4[ZONA DEFINITIVO],Tabla4[[#This Row],[ZONA DEFINITIVO]])," ")</f>
        <v xml:space="preserve"> </v>
      </c>
      <c r="Z145" s="12" t="str">
        <f>+IF(Tabla4[[#This Row],[AGRUPACIONES]]=1,SUMIFS(Tabla4[TOTAL COBERTURA],Tabla4[ZONA DEFINITIVO],Tabla4[[#This Row],[ZONA DEFINITIVO]])," ")</f>
        <v xml:space="preserve"> </v>
      </c>
      <c r="AA145" s="12"/>
      <c r="AB145" s="38">
        <v>45784053</v>
      </c>
      <c r="AC145" s="37">
        <v>0.02</v>
      </c>
      <c r="AD145" s="38">
        <f t="shared" si="2"/>
        <v>915681.06</v>
      </c>
      <c r="AE145" s="12"/>
      <c r="AF145" s="12">
        <f>COUNTIF($A$20:A145,A145)</f>
        <v>8</v>
      </c>
      <c r="AG145" s="38">
        <v>45784053</v>
      </c>
      <c r="AH145" s="38">
        <f>Tabla4[[#This Row],[VALOR CONTRAPARTIDA]]+Tabla4[[#This Row],[TOTAL APORTES ICBF]]</f>
        <v>46699734.060000002</v>
      </c>
      <c r="AI145" s="35"/>
      <c r="AJ145" s="38"/>
      <c r="AK145" s="38"/>
      <c r="AL145" s="23"/>
      <c r="AM145" s="35">
        <f>VLOOKUP(Tabla4[[#This Row],[SERVICIO 2025]],$J$2:$V$14,5,0)*Tabla4[[#This Row],[TOTAL COBERTURA]]</f>
        <v>1036896</v>
      </c>
      <c r="AN145" s="35">
        <f>VLOOKUP(Tabla4[[#This Row],[SERVICIO 2025]],$J$2:$V$14,6,0)*Tabla4[[#This Row],[TOTAL COBERTURA]]</f>
        <v>861609</v>
      </c>
      <c r="AO145" s="35">
        <f>VLOOKUP(Tabla4[[#This Row],[SERVICIO 2025]],$J$2:$V$14,8,0)*Tabla4[[#This Row],[TOTAL COBERTURA]]</f>
        <v>611100</v>
      </c>
      <c r="AP145" s="35">
        <f>VLOOKUP(Tabla4[[#This Row],[SERVICIO 2025]],$J$2:$V$14,3,0)*Tabla4[[#This Row],[TOTAL COBERTURA]]*8</f>
        <v>43274448</v>
      </c>
      <c r="AQ145" s="35"/>
      <c r="AR145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145" s="35" t="str">
        <f>+IF(Tabla4[[#This Row],[AGRUPACIONES]]=1,SUMIFS(Tabla4[VALOR TOTAL],Tabla4[ZONA DEFINITIVO],Tabla4[[#This Row],[ZONA DEFINITIVO]])," ")</f>
        <v xml:space="preserve"> </v>
      </c>
      <c r="AT145" s="27">
        <f>(VLOOKUP(Tabla4[[#This Row],[SERVICIO 2025]],$J$2:$V$14,3,0)*Tabla4[[#This Row],[TOTAL COBERTURA]])+Tabla4[[#This Row],[VALOR FASE PREPARATORIA DE ALISTAMIENTO]]+Tabla4[[#This Row],[DOTACIÓN ÚNICA]]</f>
        <v>7057302</v>
      </c>
      <c r="AU145" s="35">
        <f>(VLOOKUP(Tabla4[[#This Row],[SERVICIO 2025]],$J$2:$V$14,3,0)*Tabla4[[#This Row],[TOTAL COBERTURA]])</f>
        <v>5409306</v>
      </c>
      <c r="AV145" s="35">
        <f>(VLOOKUP(Tabla4[[#This Row],[SERVICIO 2025]],$J$2:$V$14,3,0)*Tabla4[[#This Row],[TOTAL COBERTURA]])</f>
        <v>5409306</v>
      </c>
      <c r="AW145" s="35">
        <f>(VLOOKUP(Tabla4[[#This Row],[SERVICIO 2025]],$J$2:$V$14,3,0)*Tabla4[[#This Row],[TOTAL COBERTURA]])</f>
        <v>5409306</v>
      </c>
      <c r="AX145" s="35">
        <f>(VLOOKUP(Tabla4[[#This Row],[SERVICIO 2025]],$J$2:$V$14,3,0)*Tabla4[[#This Row],[TOTAL COBERTURA]])</f>
        <v>5409306</v>
      </c>
      <c r="AY145" s="35">
        <f>(VLOOKUP(Tabla4[[#This Row],[SERVICIO 2025]],$J$2:$V$14,3,0)*Tabla4[[#This Row],[TOTAL COBERTURA]])</f>
        <v>5409306</v>
      </c>
      <c r="AZ145" s="35">
        <f>(VLOOKUP(Tabla4[[#This Row],[SERVICIO 2025]],$J$2:$V$14,3,0)*Tabla4[[#This Row],[TOTAL COBERTURA]])</f>
        <v>5409306</v>
      </c>
      <c r="BA145" s="35">
        <f>(VLOOKUP(Tabla4[[#This Row],[SERVICIO 2025]],$J$2:$V$14,3,0)*Tabla4[[#This Row],[TOTAL COBERTURA]])+Tabla4[[#This Row],[VALOR FASE PREPARATORIA DE CIERRE]]</f>
        <v>6270915</v>
      </c>
      <c r="BB145" s="35">
        <f>SUM(Tabla4[[#This Row],[DESEMBOLSO 1]:[DESEMBOLSO 8]])</f>
        <v>45784053</v>
      </c>
      <c r="BC145" s="35"/>
      <c r="BD145" s="47" t="s">
        <v>97</v>
      </c>
      <c r="BE145" s="12" t="b">
        <f>EXACT(Tabla4[[#This Row],[VALOR ATENCIÓN (8 MESES)]],Tabla4[[#This Row],[VALOR TOTAL]])</f>
        <v>1</v>
      </c>
      <c r="BF145" s="23">
        <f>Tabla4[[#This Row],[VALOR ATENCIÓN (8 MESES)]]-Tabla4[[#This Row],[VALOR TOTAL]]</f>
        <v>0</v>
      </c>
      <c r="BG145" s="12" t="b">
        <f>EXACT(Tabla4[[#This Row],[TOTAL DESEMBOLSOS]],Tabla4[[#This Row],[VALOR ATENCIÓN (8 MESES)]])</f>
        <v>1</v>
      </c>
      <c r="BH145" s="29">
        <f>Tabla4[[#This Row],[TOTAL DESEMBOLSOS]]-Tabla4[[#This Row],[VALOR ATENCIÓN (8 MESES)]]</f>
        <v>0</v>
      </c>
      <c r="BI145" t="s">
        <v>392</v>
      </c>
    </row>
    <row r="146" spans="1:61">
      <c r="A146" s="13">
        <v>1897</v>
      </c>
      <c r="B146" s="13" t="s">
        <v>387</v>
      </c>
      <c r="C146" s="12" t="s">
        <v>87</v>
      </c>
      <c r="D146" s="12" t="s">
        <v>266</v>
      </c>
      <c r="E146" s="12" t="s">
        <v>376</v>
      </c>
      <c r="F146" s="12" t="s">
        <v>18</v>
      </c>
      <c r="G146" s="12" t="s">
        <v>90</v>
      </c>
      <c r="H146" s="12" t="s">
        <v>407</v>
      </c>
      <c r="I146" s="12">
        <v>58471136598</v>
      </c>
      <c r="J146" s="12" t="s">
        <v>408</v>
      </c>
      <c r="K146" s="12">
        <v>1</v>
      </c>
      <c r="L146" s="12">
        <v>41</v>
      </c>
      <c r="M146" s="12"/>
      <c r="N146" s="13">
        <v>1897</v>
      </c>
      <c r="O146" s="12" t="s">
        <v>93</v>
      </c>
      <c r="P146" s="12"/>
      <c r="Q146" s="12"/>
      <c r="R146" s="12" t="s">
        <v>94</v>
      </c>
      <c r="S146" s="12">
        <v>10</v>
      </c>
      <c r="T146" s="12" t="s">
        <v>390</v>
      </c>
      <c r="U146" s="12" t="s">
        <v>391</v>
      </c>
      <c r="V146" s="12">
        <f>VLOOKUP(Tabla4[[#This Row],[ZONA DEFINITIVO]],Hoja1!$A$1:$D$121,3,0)</f>
        <v>229183</v>
      </c>
      <c r="W146" s="12">
        <f>VLOOKUP(Tabla4[[#This Row],[ZONA DEFINITIVO]],Hoja1!$A$1:$D$121,2,0)</f>
        <v>16469</v>
      </c>
      <c r="X146" s="12">
        <f>VLOOKUP(Tabla4[[#This Row],[ZONA DEFINITIVO]],Hoja1!$A$1:$D$121,4,0)</f>
        <v>95625</v>
      </c>
      <c r="Y146" s="12" t="str">
        <f>+IF(Tabla4[[#This Row],[AGRUPACIONES]]=1,SUMIFS(Tabla4[UDS],Tabla4[ZONA DEFINITIVO],Tabla4[[#This Row],[ZONA DEFINITIVO]])," ")</f>
        <v xml:space="preserve"> </v>
      </c>
      <c r="Z146" s="12" t="str">
        <f>+IF(Tabla4[[#This Row],[AGRUPACIONES]]=1,SUMIFS(Tabla4[TOTAL COBERTURA],Tabla4[ZONA DEFINITIVO],Tabla4[[#This Row],[ZONA DEFINITIVO]])," ")</f>
        <v xml:space="preserve"> </v>
      </c>
      <c r="AA146" s="12"/>
      <c r="AB146" s="38">
        <v>89387913</v>
      </c>
      <c r="AC146" s="37">
        <v>0.02</v>
      </c>
      <c r="AD146" s="38">
        <f t="shared" si="2"/>
        <v>1787758.26</v>
      </c>
      <c r="AE146" s="12"/>
      <c r="AF146" s="12">
        <f>COUNTIF($A$20:A146,A146)</f>
        <v>9</v>
      </c>
      <c r="AG146" s="38">
        <v>89387913</v>
      </c>
      <c r="AH146" s="38">
        <f>Tabla4[[#This Row],[VALOR CONTRAPARTIDA]]+Tabla4[[#This Row],[TOTAL APORTES ICBF]]</f>
        <v>91175671.260000005</v>
      </c>
      <c r="AI146" s="35"/>
      <c r="AJ146" s="38"/>
      <c r="AK146" s="38"/>
      <c r="AL146" s="23"/>
      <c r="AM146" s="35">
        <f>VLOOKUP(Tabla4[[#This Row],[SERVICIO 2025]],$J$2:$V$14,5,0)*Tabla4[[#This Row],[TOTAL COBERTURA]]</f>
        <v>2024416</v>
      </c>
      <c r="AN146" s="35">
        <f>VLOOKUP(Tabla4[[#This Row],[SERVICIO 2025]],$J$2:$V$14,6,0)*Tabla4[[#This Row],[TOTAL COBERTURA]]</f>
        <v>1682189</v>
      </c>
      <c r="AO146" s="35">
        <f>VLOOKUP(Tabla4[[#This Row],[SERVICIO 2025]],$J$2:$V$14,8,0)*Tabla4[[#This Row],[TOTAL COBERTURA]]</f>
        <v>1193100</v>
      </c>
      <c r="AP146" s="35">
        <f>VLOOKUP(Tabla4[[#This Row],[SERVICIO 2025]],$J$2:$V$14,3,0)*Tabla4[[#This Row],[TOTAL COBERTURA]]*8</f>
        <v>84488208</v>
      </c>
      <c r="AQ146" s="35"/>
      <c r="AR146" s="35">
        <f>Tabla4[[#This Row],[VALOR FASE PREPARATORIA DE ALISTAMIENTO]]+Tabla4[[#This Row],[VALOR FASE PREPARATORIA DE CIERRE]]+Tabla4[[#This Row],[DOTACIÓN ÚNICA]]+Tabla4[[#This Row],[VALOR ATENCIÓN]]+Tabla4[[#This Row],[VALOR RACION PREPARADA]]</f>
        <v>89387913</v>
      </c>
      <c r="AS146" s="35" t="str">
        <f>+IF(Tabla4[[#This Row],[AGRUPACIONES]]=1,SUMIFS(Tabla4[VALOR TOTAL],Tabla4[ZONA DEFINITIVO],Tabla4[[#This Row],[ZONA DEFINITIVO]])," ")</f>
        <v xml:space="preserve"> </v>
      </c>
      <c r="AT146" s="27">
        <f>(VLOOKUP(Tabla4[[#This Row],[SERVICIO 2025]],$J$2:$V$14,3,0)*Tabla4[[#This Row],[TOTAL COBERTURA]])+Tabla4[[#This Row],[VALOR FASE PREPARATORIA DE ALISTAMIENTO]]+Tabla4[[#This Row],[DOTACIÓN ÚNICA]]</f>
        <v>13778542</v>
      </c>
      <c r="AU146" s="35">
        <f>(VLOOKUP(Tabla4[[#This Row],[SERVICIO 2025]],$J$2:$V$14,3,0)*Tabla4[[#This Row],[TOTAL COBERTURA]])</f>
        <v>10561026</v>
      </c>
      <c r="AV146" s="35">
        <f>(VLOOKUP(Tabla4[[#This Row],[SERVICIO 2025]],$J$2:$V$14,3,0)*Tabla4[[#This Row],[TOTAL COBERTURA]])</f>
        <v>10561026</v>
      </c>
      <c r="AW146" s="35">
        <f>(VLOOKUP(Tabla4[[#This Row],[SERVICIO 2025]],$J$2:$V$14,3,0)*Tabla4[[#This Row],[TOTAL COBERTURA]])</f>
        <v>10561026</v>
      </c>
      <c r="AX146" s="35">
        <f>(VLOOKUP(Tabla4[[#This Row],[SERVICIO 2025]],$J$2:$V$14,3,0)*Tabla4[[#This Row],[TOTAL COBERTURA]])</f>
        <v>10561026</v>
      </c>
      <c r="AY146" s="35">
        <f>(VLOOKUP(Tabla4[[#This Row],[SERVICIO 2025]],$J$2:$V$14,3,0)*Tabla4[[#This Row],[TOTAL COBERTURA]])</f>
        <v>10561026</v>
      </c>
      <c r="AZ146" s="35">
        <f>(VLOOKUP(Tabla4[[#This Row],[SERVICIO 2025]],$J$2:$V$14,3,0)*Tabla4[[#This Row],[TOTAL COBERTURA]])</f>
        <v>10561026</v>
      </c>
      <c r="BA146" s="35">
        <f>(VLOOKUP(Tabla4[[#This Row],[SERVICIO 2025]],$J$2:$V$14,3,0)*Tabla4[[#This Row],[TOTAL COBERTURA]])+Tabla4[[#This Row],[VALOR FASE PREPARATORIA DE CIERRE]]</f>
        <v>12243215</v>
      </c>
      <c r="BB146" s="35">
        <f>SUM(Tabla4[[#This Row],[DESEMBOLSO 1]:[DESEMBOLSO 8]])</f>
        <v>89387913</v>
      </c>
      <c r="BC146" s="35"/>
      <c r="BD146" s="47" t="s">
        <v>97</v>
      </c>
      <c r="BE146" s="12" t="b">
        <f>EXACT(Tabla4[[#This Row],[VALOR ATENCIÓN (8 MESES)]],Tabla4[[#This Row],[VALOR TOTAL]])</f>
        <v>1</v>
      </c>
      <c r="BF146" s="23">
        <f>Tabla4[[#This Row],[VALOR ATENCIÓN (8 MESES)]]-Tabla4[[#This Row],[VALOR TOTAL]]</f>
        <v>0</v>
      </c>
      <c r="BG146" s="12" t="b">
        <f>EXACT(Tabla4[[#This Row],[TOTAL DESEMBOLSOS]],Tabla4[[#This Row],[VALOR ATENCIÓN (8 MESES)]])</f>
        <v>1</v>
      </c>
      <c r="BH146" s="29">
        <f>Tabla4[[#This Row],[TOTAL DESEMBOLSOS]]-Tabla4[[#This Row],[VALOR ATENCIÓN (8 MESES)]]</f>
        <v>0</v>
      </c>
      <c r="BI146" t="s">
        <v>392</v>
      </c>
    </row>
    <row r="147" spans="1:61">
      <c r="A147" s="13">
        <v>1897</v>
      </c>
      <c r="B147" s="13" t="s">
        <v>387</v>
      </c>
      <c r="C147" s="12" t="s">
        <v>87</v>
      </c>
      <c r="D147" s="12" t="s">
        <v>266</v>
      </c>
      <c r="E147" s="12" t="s">
        <v>376</v>
      </c>
      <c r="F147" s="12" t="s">
        <v>18</v>
      </c>
      <c r="G147" s="12" t="s">
        <v>90</v>
      </c>
      <c r="H147" s="12" t="s">
        <v>409</v>
      </c>
      <c r="I147" s="12">
        <v>58471136602</v>
      </c>
      <c r="J147" s="12" t="s">
        <v>410</v>
      </c>
      <c r="K147" s="12">
        <v>1</v>
      </c>
      <c r="L147" s="12">
        <v>16</v>
      </c>
      <c r="M147" s="12"/>
      <c r="N147" s="13">
        <v>1897</v>
      </c>
      <c r="O147" s="12" t="s">
        <v>93</v>
      </c>
      <c r="P147" s="12"/>
      <c r="Q147" s="12"/>
      <c r="R147" s="12" t="s">
        <v>94</v>
      </c>
      <c r="S147" s="12">
        <v>10</v>
      </c>
      <c r="T147" s="12" t="s">
        <v>390</v>
      </c>
      <c r="U147" s="12" t="s">
        <v>391</v>
      </c>
      <c r="V147" s="12">
        <f>VLOOKUP(Tabla4[[#This Row],[ZONA DEFINITIVO]],Hoja1!$A$1:$D$121,3,0)</f>
        <v>229183</v>
      </c>
      <c r="W147" s="12">
        <f>VLOOKUP(Tabla4[[#This Row],[ZONA DEFINITIVO]],Hoja1!$A$1:$D$121,2,0)</f>
        <v>16469</v>
      </c>
      <c r="X147" s="12">
        <f>VLOOKUP(Tabla4[[#This Row],[ZONA DEFINITIVO]],Hoja1!$A$1:$D$121,4,0)</f>
        <v>95625</v>
      </c>
      <c r="Y147" s="12" t="str">
        <f>+IF(Tabla4[[#This Row],[AGRUPACIONES]]=1,SUMIFS(Tabla4[UDS],Tabla4[ZONA DEFINITIVO],Tabla4[[#This Row],[ZONA DEFINITIVO]])," ")</f>
        <v xml:space="preserve"> </v>
      </c>
      <c r="Z147" s="12" t="str">
        <f>+IF(Tabla4[[#This Row],[AGRUPACIONES]]=1,SUMIFS(Tabla4[TOTAL COBERTURA],Tabla4[ZONA DEFINITIVO],Tabla4[[#This Row],[ZONA DEFINITIVO]])," ")</f>
        <v xml:space="preserve"> </v>
      </c>
      <c r="AA147" s="12"/>
      <c r="AB147" s="38">
        <v>34883088</v>
      </c>
      <c r="AC147" s="37">
        <v>0.02</v>
      </c>
      <c r="AD147" s="38">
        <f t="shared" si="2"/>
        <v>697661.76</v>
      </c>
      <c r="AE147" s="12"/>
      <c r="AF147" s="12">
        <f>COUNTIF($A$20:A147,A147)</f>
        <v>10</v>
      </c>
      <c r="AG147" s="38">
        <v>34883088</v>
      </c>
      <c r="AH147" s="38">
        <f>Tabla4[[#This Row],[VALOR CONTRAPARTIDA]]+Tabla4[[#This Row],[TOTAL APORTES ICBF]]</f>
        <v>35580749.759999998</v>
      </c>
      <c r="AI147" s="35"/>
      <c r="AJ147" s="38"/>
      <c r="AK147" s="38"/>
      <c r="AL147" s="23"/>
      <c r="AM147" s="35">
        <f>VLOOKUP(Tabla4[[#This Row],[SERVICIO 2025]],$J$2:$V$14,5,0)*Tabla4[[#This Row],[TOTAL COBERTURA]]</f>
        <v>790016</v>
      </c>
      <c r="AN147" s="35">
        <f>VLOOKUP(Tabla4[[#This Row],[SERVICIO 2025]],$J$2:$V$14,6,0)*Tabla4[[#This Row],[TOTAL COBERTURA]]</f>
        <v>656464</v>
      </c>
      <c r="AO147" s="35">
        <f>VLOOKUP(Tabla4[[#This Row],[SERVICIO 2025]],$J$2:$V$14,8,0)*Tabla4[[#This Row],[TOTAL COBERTURA]]</f>
        <v>465600</v>
      </c>
      <c r="AP147" s="35">
        <f>VLOOKUP(Tabla4[[#This Row],[SERVICIO 2025]],$J$2:$V$14,3,0)*Tabla4[[#This Row],[TOTAL COBERTURA]]*8</f>
        <v>32971008</v>
      </c>
      <c r="AQ147" s="35"/>
      <c r="AR147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47" s="35" t="str">
        <f>+IF(Tabla4[[#This Row],[AGRUPACIONES]]=1,SUMIFS(Tabla4[VALOR TOTAL],Tabla4[ZONA DEFINITIVO],Tabla4[[#This Row],[ZONA DEFINITIVO]])," ")</f>
        <v xml:space="preserve"> </v>
      </c>
      <c r="AT147" s="27">
        <f>(VLOOKUP(Tabla4[[#This Row],[SERVICIO 2025]],$J$2:$V$14,3,0)*Tabla4[[#This Row],[TOTAL COBERTURA]])+Tabla4[[#This Row],[VALOR FASE PREPARATORIA DE ALISTAMIENTO]]+Tabla4[[#This Row],[DOTACIÓN ÚNICA]]</f>
        <v>5376992</v>
      </c>
      <c r="AU147" s="35">
        <f>(VLOOKUP(Tabla4[[#This Row],[SERVICIO 2025]],$J$2:$V$14,3,0)*Tabla4[[#This Row],[TOTAL COBERTURA]])</f>
        <v>4121376</v>
      </c>
      <c r="AV147" s="35">
        <f>(VLOOKUP(Tabla4[[#This Row],[SERVICIO 2025]],$J$2:$V$14,3,0)*Tabla4[[#This Row],[TOTAL COBERTURA]])</f>
        <v>4121376</v>
      </c>
      <c r="AW147" s="35">
        <f>(VLOOKUP(Tabla4[[#This Row],[SERVICIO 2025]],$J$2:$V$14,3,0)*Tabla4[[#This Row],[TOTAL COBERTURA]])</f>
        <v>4121376</v>
      </c>
      <c r="AX147" s="35">
        <f>(VLOOKUP(Tabla4[[#This Row],[SERVICIO 2025]],$J$2:$V$14,3,0)*Tabla4[[#This Row],[TOTAL COBERTURA]])</f>
        <v>4121376</v>
      </c>
      <c r="AY147" s="35">
        <f>(VLOOKUP(Tabla4[[#This Row],[SERVICIO 2025]],$J$2:$V$14,3,0)*Tabla4[[#This Row],[TOTAL COBERTURA]])</f>
        <v>4121376</v>
      </c>
      <c r="AZ147" s="35">
        <f>(VLOOKUP(Tabla4[[#This Row],[SERVICIO 2025]],$J$2:$V$14,3,0)*Tabla4[[#This Row],[TOTAL COBERTURA]])</f>
        <v>4121376</v>
      </c>
      <c r="BA147" s="35">
        <f>(VLOOKUP(Tabla4[[#This Row],[SERVICIO 2025]],$J$2:$V$14,3,0)*Tabla4[[#This Row],[TOTAL COBERTURA]])+Tabla4[[#This Row],[VALOR FASE PREPARATORIA DE CIERRE]]</f>
        <v>4777840</v>
      </c>
      <c r="BB147" s="35">
        <f>SUM(Tabla4[[#This Row],[DESEMBOLSO 1]:[DESEMBOLSO 8]])</f>
        <v>34883088</v>
      </c>
      <c r="BC147" s="35"/>
      <c r="BD147" s="47" t="s">
        <v>97</v>
      </c>
      <c r="BE147" s="12" t="b">
        <f>EXACT(Tabla4[[#This Row],[VALOR ATENCIÓN (8 MESES)]],Tabla4[[#This Row],[VALOR TOTAL]])</f>
        <v>1</v>
      </c>
      <c r="BF147" s="23">
        <f>Tabla4[[#This Row],[VALOR ATENCIÓN (8 MESES)]]-Tabla4[[#This Row],[VALOR TOTAL]]</f>
        <v>0</v>
      </c>
      <c r="BG147" s="12" t="b">
        <f>EXACT(Tabla4[[#This Row],[TOTAL DESEMBOLSOS]],Tabla4[[#This Row],[VALOR ATENCIÓN (8 MESES)]])</f>
        <v>1</v>
      </c>
      <c r="BH147" s="29">
        <f>Tabla4[[#This Row],[TOTAL DESEMBOLSOS]]-Tabla4[[#This Row],[VALOR ATENCIÓN (8 MESES)]]</f>
        <v>0</v>
      </c>
      <c r="BI147" t="s">
        <v>392</v>
      </c>
    </row>
    <row r="148" spans="1:61">
      <c r="A148" s="13">
        <v>1897</v>
      </c>
      <c r="B148" s="13" t="s">
        <v>387</v>
      </c>
      <c r="C148" s="12" t="s">
        <v>87</v>
      </c>
      <c r="D148" s="12" t="s">
        <v>266</v>
      </c>
      <c r="E148" s="12" t="s">
        <v>376</v>
      </c>
      <c r="F148" s="12" t="s">
        <v>18</v>
      </c>
      <c r="G148" s="12" t="s">
        <v>90</v>
      </c>
      <c r="H148" s="12" t="s">
        <v>411</v>
      </c>
      <c r="I148" s="12">
        <v>58471136604</v>
      </c>
      <c r="J148" s="12" t="s">
        <v>412</v>
      </c>
      <c r="K148" s="12">
        <v>1</v>
      </c>
      <c r="L148" s="12">
        <v>12</v>
      </c>
      <c r="M148" s="12"/>
      <c r="N148" s="13">
        <v>1897</v>
      </c>
      <c r="O148" s="12" t="s">
        <v>93</v>
      </c>
      <c r="P148" s="12"/>
      <c r="Q148" s="12"/>
      <c r="R148" s="12" t="s">
        <v>94</v>
      </c>
      <c r="S148" s="12">
        <v>10</v>
      </c>
      <c r="T148" s="12" t="s">
        <v>390</v>
      </c>
      <c r="U148" s="12" t="s">
        <v>391</v>
      </c>
      <c r="V148" s="12">
        <f>VLOOKUP(Tabla4[[#This Row],[ZONA DEFINITIVO]],Hoja1!$A$1:$D$121,3,0)</f>
        <v>229183</v>
      </c>
      <c r="W148" s="12">
        <f>VLOOKUP(Tabla4[[#This Row],[ZONA DEFINITIVO]],Hoja1!$A$1:$D$121,2,0)</f>
        <v>16469</v>
      </c>
      <c r="X148" s="12">
        <f>VLOOKUP(Tabla4[[#This Row],[ZONA DEFINITIVO]],Hoja1!$A$1:$D$121,4,0)</f>
        <v>95625</v>
      </c>
      <c r="Y148" s="12" t="str">
        <f>+IF(Tabla4[[#This Row],[AGRUPACIONES]]=1,SUMIFS(Tabla4[UDS],Tabla4[ZONA DEFINITIVO],Tabla4[[#This Row],[ZONA DEFINITIVO]])," ")</f>
        <v xml:space="preserve"> </v>
      </c>
      <c r="Z148" s="12" t="str">
        <f>+IF(Tabla4[[#This Row],[AGRUPACIONES]]=1,SUMIFS(Tabla4[TOTAL COBERTURA],Tabla4[ZONA DEFINITIVO],Tabla4[[#This Row],[ZONA DEFINITIVO]])," ")</f>
        <v xml:space="preserve"> </v>
      </c>
      <c r="AA148" s="12"/>
      <c r="AB148" s="38">
        <v>26162316</v>
      </c>
      <c r="AC148" s="37">
        <v>0.02</v>
      </c>
      <c r="AD148" s="38">
        <f t="shared" ref="AD148:AD211" si="3">AB148*AC148</f>
        <v>523246.32</v>
      </c>
      <c r="AE148" s="12"/>
      <c r="AF148" s="12">
        <f>COUNTIF($A$20:A148,A148)</f>
        <v>11</v>
      </c>
      <c r="AG148" s="38">
        <v>26162316</v>
      </c>
      <c r="AH148" s="38">
        <f>Tabla4[[#This Row],[VALOR CONTRAPARTIDA]]+Tabla4[[#This Row],[TOTAL APORTES ICBF]]</f>
        <v>26685562.32</v>
      </c>
      <c r="AI148" s="35"/>
      <c r="AJ148" s="38"/>
      <c r="AK148" s="38"/>
      <c r="AL148" s="23"/>
      <c r="AM148" s="35">
        <f>VLOOKUP(Tabla4[[#This Row],[SERVICIO 2025]],$J$2:$V$14,5,0)*Tabla4[[#This Row],[TOTAL COBERTURA]]</f>
        <v>592512</v>
      </c>
      <c r="AN148" s="35">
        <f>VLOOKUP(Tabla4[[#This Row],[SERVICIO 2025]],$J$2:$V$14,6,0)*Tabla4[[#This Row],[TOTAL COBERTURA]]</f>
        <v>492348</v>
      </c>
      <c r="AO148" s="35">
        <f>VLOOKUP(Tabla4[[#This Row],[SERVICIO 2025]],$J$2:$V$14,8,0)*Tabla4[[#This Row],[TOTAL COBERTURA]]</f>
        <v>349200</v>
      </c>
      <c r="AP148" s="35">
        <f>VLOOKUP(Tabla4[[#This Row],[SERVICIO 2025]],$J$2:$V$14,3,0)*Tabla4[[#This Row],[TOTAL COBERTURA]]*8</f>
        <v>24728256</v>
      </c>
      <c r="AQ148" s="35"/>
      <c r="AR148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148" s="35" t="str">
        <f>+IF(Tabla4[[#This Row],[AGRUPACIONES]]=1,SUMIFS(Tabla4[VALOR TOTAL],Tabla4[ZONA DEFINITIVO],Tabla4[[#This Row],[ZONA DEFINITIVO]])," ")</f>
        <v xml:space="preserve"> </v>
      </c>
      <c r="AT148" s="27">
        <f>(VLOOKUP(Tabla4[[#This Row],[SERVICIO 2025]],$J$2:$V$14,3,0)*Tabla4[[#This Row],[TOTAL COBERTURA]])+Tabla4[[#This Row],[VALOR FASE PREPARATORIA DE ALISTAMIENTO]]+Tabla4[[#This Row],[DOTACIÓN ÚNICA]]</f>
        <v>4032744</v>
      </c>
      <c r="AU148" s="35">
        <f>(VLOOKUP(Tabla4[[#This Row],[SERVICIO 2025]],$J$2:$V$14,3,0)*Tabla4[[#This Row],[TOTAL COBERTURA]])</f>
        <v>3091032</v>
      </c>
      <c r="AV148" s="35">
        <f>(VLOOKUP(Tabla4[[#This Row],[SERVICIO 2025]],$J$2:$V$14,3,0)*Tabla4[[#This Row],[TOTAL COBERTURA]])</f>
        <v>3091032</v>
      </c>
      <c r="AW148" s="35">
        <f>(VLOOKUP(Tabla4[[#This Row],[SERVICIO 2025]],$J$2:$V$14,3,0)*Tabla4[[#This Row],[TOTAL COBERTURA]])</f>
        <v>3091032</v>
      </c>
      <c r="AX148" s="35">
        <f>(VLOOKUP(Tabla4[[#This Row],[SERVICIO 2025]],$J$2:$V$14,3,0)*Tabla4[[#This Row],[TOTAL COBERTURA]])</f>
        <v>3091032</v>
      </c>
      <c r="AY148" s="35">
        <f>(VLOOKUP(Tabla4[[#This Row],[SERVICIO 2025]],$J$2:$V$14,3,0)*Tabla4[[#This Row],[TOTAL COBERTURA]])</f>
        <v>3091032</v>
      </c>
      <c r="AZ148" s="35">
        <f>(VLOOKUP(Tabla4[[#This Row],[SERVICIO 2025]],$J$2:$V$14,3,0)*Tabla4[[#This Row],[TOTAL COBERTURA]])</f>
        <v>3091032</v>
      </c>
      <c r="BA148" s="35">
        <f>(VLOOKUP(Tabla4[[#This Row],[SERVICIO 2025]],$J$2:$V$14,3,0)*Tabla4[[#This Row],[TOTAL COBERTURA]])+Tabla4[[#This Row],[VALOR FASE PREPARATORIA DE CIERRE]]</f>
        <v>3583380</v>
      </c>
      <c r="BB148" s="35">
        <f>SUM(Tabla4[[#This Row],[DESEMBOLSO 1]:[DESEMBOLSO 8]])</f>
        <v>26162316</v>
      </c>
      <c r="BC148" s="35"/>
      <c r="BD148" s="47" t="s">
        <v>97</v>
      </c>
      <c r="BE148" s="12" t="b">
        <f>EXACT(Tabla4[[#This Row],[VALOR ATENCIÓN (8 MESES)]],Tabla4[[#This Row],[VALOR TOTAL]])</f>
        <v>1</v>
      </c>
      <c r="BF148" s="23">
        <f>Tabla4[[#This Row],[VALOR ATENCIÓN (8 MESES)]]-Tabla4[[#This Row],[VALOR TOTAL]]</f>
        <v>0</v>
      </c>
      <c r="BG148" s="12" t="b">
        <f>EXACT(Tabla4[[#This Row],[TOTAL DESEMBOLSOS]],Tabla4[[#This Row],[VALOR ATENCIÓN (8 MESES)]])</f>
        <v>1</v>
      </c>
      <c r="BH148" s="29">
        <f>Tabla4[[#This Row],[TOTAL DESEMBOLSOS]]-Tabla4[[#This Row],[VALOR ATENCIÓN (8 MESES)]]</f>
        <v>0</v>
      </c>
      <c r="BI148" t="s">
        <v>392</v>
      </c>
    </row>
    <row r="149" spans="1:61">
      <c r="A149" s="13">
        <v>1897</v>
      </c>
      <c r="B149" s="13" t="s">
        <v>387</v>
      </c>
      <c r="C149" s="12" t="s">
        <v>87</v>
      </c>
      <c r="D149" s="12" t="s">
        <v>266</v>
      </c>
      <c r="E149" s="12" t="s">
        <v>376</v>
      </c>
      <c r="F149" s="12" t="s">
        <v>18</v>
      </c>
      <c r="G149" s="12" t="s">
        <v>90</v>
      </c>
      <c r="H149" s="12" t="s">
        <v>413</v>
      </c>
      <c r="I149" s="12">
        <v>58471136605</v>
      </c>
      <c r="J149" s="12" t="s">
        <v>414</v>
      </c>
      <c r="K149" s="12">
        <v>1</v>
      </c>
      <c r="L149" s="12">
        <v>26</v>
      </c>
      <c r="M149" s="12"/>
      <c r="N149" s="13">
        <v>1897</v>
      </c>
      <c r="O149" s="12" t="s">
        <v>93</v>
      </c>
      <c r="P149" s="12"/>
      <c r="Q149" s="12"/>
      <c r="R149" s="12" t="s">
        <v>94</v>
      </c>
      <c r="S149" s="12">
        <v>10</v>
      </c>
      <c r="T149" s="12" t="s">
        <v>390</v>
      </c>
      <c r="U149" s="12" t="s">
        <v>391</v>
      </c>
      <c r="V149" s="12">
        <f>VLOOKUP(Tabla4[[#This Row],[ZONA DEFINITIVO]],Hoja1!$A$1:$D$121,3,0)</f>
        <v>229183</v>
      </c>
      <c r="W149" s="12">
        <f>VLOOKUP(Tabla4[[#This Row],[ZONA DEFINITIVO]],Hoja1!$A$1:$D$121,2,0)</f>
        <v>16469</v>
      </c>
      <c r="X149" s="12">
        <f>VLOOKUP(Tabla4[[#This Row],[ZONA DEFINITIVO]],Hoja1!$A$1:$D$121,4,0)</f>
        <v>95625</v>
      </c>
      <c r="Y149" s="12" t="str">
        <f>+IF(Tabla4[[#This Row],[AGRUPACIONES]]=1,SUMIFS(Tabla4[UDS],Tabla4[ZONA DEFINITIVO],Tabla4[[#This Row],[ZONA DEFINITIVO]])," ")</f>
        <v xml:space="preserve"> </v>
      </c>
      <c r="Z149" s="12" t="str">
        <f>+IF(Tabla4[[#This Row],[AGRUPACIONES]]=1,SUMIFS(Tabla4[TOTAL COBERTURA],Tabla4[ZONA DEFINITIVO],Tabla4[[#This Row],[ZONA DEFINITIVO]])," ")</f>
        <v xml:space="preserve"> </v>
      </c>
      <c r="AA149" s="12"/>
      <c r="AB149" s="38">
        <v>56685018</v>
      </c>
      <c r="AC149" s="37">
        <v>0.02</v>
      </c>
      <c r="AD149" s="38">
        <f t="shared" si="3"/>
        <v>1133700.3600000001</v>
      </c>
      <c r="AE149" s="12"/>
      <c r="AF149" s="12">
        <f>COUNTIF($A$20:A149,A149)</f>
        <v>12</v>
      </c>
      <c r="AG149" s="38">
        <v>56685018</v>
      </c>
      <c r="AH149" s="38">
        <f>Tabla4[[#This Row],[VALOR CONTRAPARTIDA]]+Tabla4[[#This Row],[TOTAL APORTES ICBF]]</f>
        <v>57818718.359999999</v>
      </c>
      <c r="AI149" s="35"/>
      <c r="AJ149" s="38"/>
      <c r="AK149" s="38"/>
      <c r="AL149" s="23"/>
      <c r="AM149" s="35">
        <f>VLOOKUP(Tabla4[[#This Row],[SERVICIO 2025]],$J$2:$V$14,5,0)*Tabla4[[#This Row],[TOTAL COBERTURA]]</f>
        <v>1283776</v>
      </c>
      <c r="AN149" s="35">
        <f>VLOOKUP(Tabla4[[#This Row],[SERVICIO 2025]],$J$2:$V$14,6,0)*Tabla4[[#This Row],[TOTAL COBERTURA]]</f>
        <v>1066754</v>
      </c>
      <c r="AO149" s="35">
        <f>VLOOKUP(Tabla4[[#This Row],[SERVICIO 2025]],$J$2:$V$14,8,0)*Tabla4[[#This Row],[TOTAL COBERTURA]]</f>
        <v>756600</v>
      </c>
      <c r="AP149" s="35">
        <f>VLOOKUP(Tabla4[[#This Row],[SERVICIO 2025]],$J$2:$V$14,3,0)*Tabla4[[#This Row],[TOTAL COBERTURA]]*8</f>
        <v>53577888</v>
      </c>
      <c r="AQ149" s="35"/>
      <c r="AR149" s="35">
        <f>Tabla4[[#This Row],[VALOR FASE PREPARATORIA DE ALISTAMIENTO]]+Tabla4[[#This Row],[VALOR FASE PREPARATORIA DE CIERRE]]+Tabla4[[#This Row],[DOTACIÓN ÚNICA]]+Tabla4[[#This Row],[VALOR ATENCIÓN]]+Tabla4[[#This Row],[VALOR RACION PREPARADA]]</f>
        <v>56685018</v>
      </c>
      <c r="AS149" s="35" t="str">
        <f>+IF(Tabla4[[#This Row],[AGRUPACIONES]]=1,SUMIFS(Tabla4[VALOR TOTAL],Tabla4[ZONA DEFINITIVO],Tabla4[[#This Row],[ZONA DEFINITIVO]])," ")</f>
        <v xml:space="preserve"> </v>
      </c>
      <c r="AT149" s="27">
        <f>(VLOOKUP(Tabla4[[#This Row],[SERVICIO 2025]],$J$2:$V$14,3,0)*Tabla4[[#This Row],[TOTAL COBERTURA]])+Tabla4[[#This Row],[VALOR FASE PREPARATORIA DE ALISTAMIENTO]]+Tabla4[[#This Row],[DOTACIÓN ÚNICA]]</f>
        <v>8737612</v>
      </c>
      <c r="AU149" s="35">
        <f>(VLOOKUP(Tabla4[[#This Row],[SERVICIO 2025]],$J$2:$V$14,3,0)*Tabla4[[#This Row],[TOTAL COBERTURA]])</f>
        <v>6697236</v>
      </c>
      <c r="AV149" s="35">
        <f>(VLOOKUP(Tabla4[[#This Row],[SERVICIO 2025]],$J$2:$V$14,3,0)*Tabla4[[#This Row],[TOTAL COBERTURA]])</f>
        <v>6697236</v>
      </c>
      <c r="AW149" s="35">
        <f>(VLOOKUP(Tabla4[[#This Row],[SERVICIO 2025]],$J$2:$V$14,3,0)*Tabla4[[#This Row],[TOTAL COBERTURA]])</f>
        <v>6697236</v>
      </c>
      <c r="AX149" s="35">
        <f>(VLOOKUP(Tabla4[[#This Row],[SERVICIO 2025]],$J$2:$V$14,3,0)*Tabla4[[#This Row],[TOTAL COBERTURA]])</f>
        <v>6697236</v>
      </c>
      <c r="AY149" s="35">
        <f>(VLOOKUP(Tabla4[[#This Row],[SERVICIO 2025]],$J$2:$V$14,3,0)*Tabla4[[#This Row],[TOTAL COBERTURA]])</f>
        <v>6697236</v>
      </c>
      <c r="AZ149" s="35">
        <f>(VLOOKUP(Tabla4[[#This Row],[SERVICIO 2025]],$J$2:$V$14,3,0)*Tabla4[[#This Row],[TOTAL COBERTURA]])</f>
        <v>6697236</v>
      </c>
      <c r="BA149" s="35">
        <f>(VLOOKUP(Tabla4[[#This Row],[SERVICIO 2025]],$J$2:$V$14,3,0)*Tabla4[[#This Row],[TOTAL COBERTURA]])+Tabla4[[#This Row],[VALOR FASE PREPARATORIA DE CIERRE]]</f>
        <v>7763990</v>
      </c>
      <c r="BB149" s="35">
        <f>SUM(Tabla4[[#This Row],[DESEMBOLSO 1]:[DESEMBOLSO 8]])</f>
        <v>56685018</v>
      </c>
      <c r="BC149" s="35"/>
      <c r="BD149" s="47" t="s">
        <v>97</v>
      </c>
      <c r="BE149" s="12" t="b">
        <f>EXACT(Tabla4[[#This Row],[VALOR ATENCIÓN (8 MESES)]],Tabla4[[#This Row],[VALOR TOTAL]])</f>
        <v>1</v>
      </c>
      <c r="BF149" s="23">
        <f>Tabla4[[#This Row],[VALOR ATENCIÓN (8 MESES)]]-Tabla4[[#This Row],[VALOR TOTAL]]</f>
        <v>0</v>
      </c>
      <c r="BG149" s="12" t="b">
        <f>EXACT(Tabla4[[#This Row],[TOTAL DESEMBOLSOS]],Tabla4[[#This Row],[VALOR ATENCIÓN (8 MESES)]])</f>
        <v>1</v>
      </c>
      <c r="BH149" s="29">
        <f>Tabla4[[#This Row],[TOTAL DESEMBOLSOS]]-Tabla4[[#This Row],[VALOR ATENCIÓN (8 MESES)]]</f>
        <v>0</v>
      </c>
      <c r="BI149" t="s">
        <v>392</v>
      </c>
    </row>
    <row r="150" spans="1:61">
      <c r="A150" s="13">
        <v>1897</v>
      </c>
      <c r="B150" s="13" t="s">
        <v>387</v>
      </c>
      <c r="C150" s="12" t="s">
        <v>87</v>
      </c>
      <c r="D150" s="12" t="s">
        <v>266</v>
      </c>
      <c r="E150" s="12" t="s">
        <v>376</v>
      </c>
      <c r="F150" s="12" t="s">
        <v>18</v>
      </c>
      <c r="G150" s="12" t="s">
        <v>90</v>
      </c>
      <c r="H150" s="12" t="s">
        <v>415</v>
      </c>
      <c r="I150" s="12">
        <v>58471136609</v>
      </c>
      <c r="J150" s="12" t="s">
        <v>416</v>
      </c>
      <c r="K150" s="12">
        <v>1</v>
      </c>
      <c r="L150" s="12">
        <v>9</v>
      </c>
      <c r="M150" s="12"/>
      <c r="N150" s="13">
        <v>1897</v>
      </c>
      <c r="O150" s="12" t="s">
        <v>93</v>
      </c>
      <c r="P150" s="12"/>
      <c r="Q150" s="12"/>
      <c r="R150" s="12" t="s">
        <v>94</v>
      </c>
      <c r="S150" s="12">
        <v>10</v>
      </c>
      <c r="T150" s="12" t="s">
        <v>390</v>
      </c>
      <c r="U150" s="12" t="s">
        <v>391</v>
      </c>
      <c r="V150" s="12">
        <f>VLOOKUP(Tabla4[[#This Row],[ZONA DEFINITIVO]],Hoja1!$A$1:$D$121,3,0)</f>
        <v>229183</v>
      </c>
      <c r="W150" s="12">
        <f>VLOOKUP(Tabla4[[#This Row],[ZONA DEFINITIVO]],Hoja1!$A$1:$D$121,2,0)</f>
        <v>16469</v>
      </c>
      <c r="X150" s="12">
        <f>VLOOKUP(Tabla4[[#This Row],[ZONA DEFINITIVO]],Hoja1!$A$1:$D$121,4,0)</f>
        <v>95625</v>
      </c>
      <c r="Y150" s="12" t="str">
        <f>+IF(Tabla4[[#This Row],[AGRUPACIONES]]=1,SUMIFS(Tabla4[UDS],Tabla4[ZONA DEFINITIVO],Tabla4[[#This Row],[ZONA DEFINITIVO]])," ")</f>
        <v xml:space="preserve"> </v>
      </c>
      <c r="Z150" s="12" t="str">
        <f>+IF(Tabla4[[#This Row],[AGRUPACIONES]]=1,SUMIFS(Tabla4[TOTAL COBERTURA],Tabla4[ZONA DEFINITIVO],Tabla4[[#This Row],[ZONA DEFINITIVO]])," ")</f>
        <v xml:space="preserve"> </v>
      </c>
      <c r="AA150" s="12"/>
      <c r="AB150" s="38">
        <v>19621737</v>
      </c>
      <c r="AC150" s="37">
        <v>0.02</v>
      </c>
      <c r="AD150" s="38">
        <f t="shared" si="3"/>
        <v>392434.74</v>
      </c>
      <c r="AE150" s="12"/>
      <c r="AF150" s="12">
        <f>COUNTIF($A$20:A150,A150)</f>
        <v>13</v>
      </c>
      <c r="AG150" s="38">
        <v>19621737</v>
      </c>
      <c r="AH150" s="38">
        <f>Tabla4[[#This Row],[VALOR CONTRAPARTIDA]]+Tabla4[[#This Row],[TOTAL APORTES ICBF]]</f>
        <v>20014171.739999998</v>
      </c>
      <c r="AI150" s="35"/>
      <c r="AJ150" s="38"/>
      <c r="AK150" s="38"/>
      <c r="AL150" s="23"/>
      <c r="AM150" s="35">
        <f>VLOOKUP(Tabla4[[#This Row],[SERVICIO 2025]],$J$2:$V$14,5,0)*Tabla4[[#This Row],[TOTAL COBERTURA]]</f>
        <v>444384</v>
      </c>
      <c r="AN150" s="35">
        <f>VLOOKUP(Tabla4[[#This Row],[SERVICIO 2025]],$J$2:$V$14,6,0)*Tabla4[[#This Row],[TOTAL COBERTURA]]</f>
        <v>369261</v>
      </c>
      <c r="AO150" s="35">
        <f>VLOOKUP(Tabla4[[#This Row],[SERVICIO 2025]],$J$2:$V$14,8,0)*Tabla4[[#This Row],[TOTAL COBERTURA]]</f>
        <v>261900</v>
      </c>
      <c r="AP150" s="35">
        <f>VLOOKUP(Tabla4[[#This Row],[SERVICIO 2025]],$J$2:$V$14,3,0)*Tabla4[[#This Row],[TOTAL COBERTURA]]*8</f>
        <v>18546192</v>
      </c>
      <c r="AQ150" s="35"/>
      <c r="AR150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150" s="35" t="str">
        <f>+IF(Tabla4[[#This Row],[AGRUPACIONES]]=1,SUMIFS(Tabla4[VALOR TOTAL],Tabla4[ZONA DEFINITIVO],Tabla4[[#This Row],[ZONA DEFINITIVO]])," ")</f>
        <v xml:space="preserve"> </v>
      </c>
      <c r="AT150" s="27">
        <f>(VLOOKUP(Tabla4[[#This Row],[SERVICIO 2025]],$J$2:$V$14,3,0)*Tabla4[[#This Row],[TOTAL COBERTURA]])+Tabla4[[#This Row],[VALOR FASE PREPARATORIA DE ALISTAMIENTO]]+Tabla4[[#This Row],[DOTACIÓN ÚNICA]]</f>
        <v>3024558</v>
      </c>
      <c r="AU150" s="35">
        <f>(VLOOKUP(Tabla4[[#This Row],[SERVICIO 2025]],$J$2:$V$14,3,0)*Tabla4[[#This Row],[TOTAL COBERTURA]])</f>
        <v>2318274</v>
      </c>
      <c r="AV150" s="35">
        <f>(VLOOKUP(Tabla4[[#This Row],[SERVICIO 2025]],$J$2:$V$14,3,0)*Tabla4[[#This Row],[TOTAL COBERTURA]])</f>
        <v>2318274</v>
      </c>
      <c r="AW150" s="35">
        <f>(VLOOKUP(Tabla4[[#This Row],[SERVICIO 2025]],$J$2:$V$14,3,0)*Tabla4[[#This Row],[TOTAL COBERTURA]])</f>
        <v>2318274</v>
      </c>
      <c r="AX150" s="35">
        <f>(VLOOKUP(Tabla4[[#This Row],[SERVICIO 2025]],$J$2:$V$14,3,0)*Tabla4[[#This Row],[TOTAL COBERTURA]])</f>
        <v>2318274</v>
      </c>
      <c r="AY150" s="35">
        <f>(VLOOKUP(Tabla4[[#This Row],[SERVICIO 2025]],$J$2:$V$14,3,0)*Tabla4[[#This Row],[TOTAL COBERTURA]])</f>
        <v>2318274</v>
      </c>
      <c r="AZ150" s="35">
        <f>(VLOOKUP(Tabla4[[#This Row],[SERVICIO 2025]],$J$2:$V$14,3,0)*Tabla4[[#This Row],[TOTAL COBERTURA]])</f>
        <v>2318274</v>
      </c>
      <c r="BA150" s="35">
        <f>(VLOOKUP(Tabla4[[#This Row],[SERVICIO 2025]],$J$2:$V$14,3,0)*Tabla4[[#This Row],[TOTAL COBERTURA]])+Tabla4[[#This Row],[VALOR FASE PREPARATORIA DE CIERRE]]</f>
        <v>2687535</v>
      </c>
      <c r="BB150" s="35">
        <f>SUM(Tabla4[[#This Row],[DESEMBOLSO 1]:[DESEMBOLSO 8]])</f>
        <v>19621737</v>
      </c>
      <c r="BC150" s="35"/>
      <c r="BD150" s="47" t="s">
        <v>97</v>
      </c>
      <c r="BE150" s="12" t="b">
        <f>EXACT(Tabla4[[#This Row],[VALOR ATENCIÓN (8 MESES)]],Tabla4[[#This Row],[VALOR TOTAL]])</f>
        <v>1</v>
      </c>
      <c r="BF150" s="23">
        <f>Tabla4[[#This Row],[VALOR ATENCIÓN (8 MESES)]]-Tabla4[[#This Row],[VALOR TOTAL]]</f>
        <v>0</v>
      </c>
      <c r="BG150" s="12" t="b">
        <f>EXACT(Tabla4[[#This Row],[TOTAL DESEMBOLSOS]],Tabla4[[#This Row],[VALOR ATENCIÓN (8 MESES)]])</f>
        <v>1</v>
      </c>
      <c r="BH150" s="29">
        <f>Tabla4[[#This Row],[TOTAL DESEMBOLSOS]]-Tabla4[[#This Row],[VALOR ATENCIÓN (8 MESES)]]</f>
        <v>0</v>
      </c>
      <c r="BI150" t="s">
        <v>392</v>
      </c>
    </row>
    <row r="151" spans="1:61">
      <c r="A151" s="13">
        <v>1897</v>
      </c>
      <c r="B151" s="13" t="s">
        <v>387</v>
      </c>
      <c r="C151" s="12" t="s">
        <v>87</v>
      </c>
      <c r="D151" s="12" t="s">
        <v>266</v>
      </c>
      <c r="E151" s="12" t="s">
        <v>376</v>
      </c>
      <c r="F151" s="12" t="s">
        <v>18</v>
      </c>
      <c r="G151" s="12" t="s">
        <v>90</v>
      </c>
      <c r="H151" s="12" t="s">
        <v>417</v>
      </c>
      <c r="I151" s="12">
        <v>58471136612</v>
      </c>
      <c r="J151" s="12" t="s">
        <v>418</v>
      </c>
      <c r="K151" s="12">
        <v>1</v>
      </c>
      <c r="L151" s="12">
        <v>20</v>
      </c>
      <c r="M151" s="12"/>
      <c r="N151" s="13">
        <v>1897</v>
      </c>
      <c r="O151" s="12" t="s">
        <v>93</v>
      </c>
      <c r="P151" s="12"/>
      <c r="Q151" s="12"/>
      <c r="R151" s="12" t="s">
        <v>94</v>
      </c>
      <c r="S151" s="12">
        <v>10</v>
      </c>
      <c r="T151" s="12" t="s">
        <v>390</v>
      </c>
      <c r="U151" s="12" t="s">
        <v>391</v>
      </c>
      <c r="V151" s="12">
        <f>VLOOKUP(Tabla4[[#This Row],[ZONA DEFINITIVO]],Hoja1!$A$1:$D$121,3,0)</f>
        <v>229183</v>
      </c>
      <c r="W151" s="12">
        <f>VLOOKUP(Tabla4[[#This Row],[ZONA DEFINITIVO]],Hoja1!$A$1:$D$121,2,0)</f>
        <v>16469</v>
      </c>
      <c r="X151" s="12">
        <f>VLOOKUP(Tabla4[[#This Row],[ZONA DEFINITIVO]],Hoja1!$A$1:$D$121,4,0)</f>
        <v>95625</v>
      </c>
      <c r="Y151" s="12" t="str">
        <f>+IF(Tabla4[[#This Row],[AGRUPACIONES]]=1,SUMIFS(Tabla4[UDS],Tabla4[ZONA DEFINITIVO],Tabla4[[#This Row],[ZONA DEFINITIVO]])," ")</f>
        <v xml:space="preserve"> </v>
      </c>
      <c r="Z151" s="12" t="str">
        <f>+IF(Tabla4[[#This Row],[AGRUPACIONES]]=1,SUMIFS(Tabla4[TOTAL COBERTURA],Tabla4[ZONA DEFINITIVO],Tabla4[[#This Row],[ZONA DEFINITIVO]])," ")</f>
        <v xml:space="preserve"> </v>
      </c>
      <c r="AA151" s="12"/>
      <c r="AB151" s="38">
        <v>43603860</v>
      </c>
      <c r="AC151" s="37">
        <v>0.02</v>
      </c>
      <c r="AD151" s="38">
        <f t="shared" si="3"/>
        <v>872077.20000000007</v>
      </c>
      <c r="AE151" s="12"/>
      <c r="AF151" s="12">
        <f>COUNTIF($A$20:A151,A151)</f>
        <v>14</v>
      </c>
      <c r="AG151" s="38">
        <v>43603860</v>
      </c>
      <c r="AH151" s="38">
        <f>Tabla4[[#This Row],[VALOR CONTRAPARTIDA]]+Tabla4[[#This Row],[TOTAL APORTES ICBF]]</f>
        <v>44475937.200000003</v>
      </c>
      <c r="AI151" s="35"/>
      <c r="AJ151" s="38"/>
      <c r="AK151" s="38"/>
      <c r="AL151" s="23"/>
      <c r="AM151" s="35">
        <f>VLOOKUP(Tabla4[[#This Row],[SERVICIO 2025]],$J$2:$V$14,5,0)*Tabla4[[#This Row],[TOTAL COBERTURA]]</f>
        <v>987520</v>
      </c>
      <c r="AN151" s="35">
        <f>VLOOKUP(Tabla4[[#This Row],[SERVICIO 2025]],$J$2:$V$14,6,0)*Tabla4[[#This Row],[TOTAL COBERTURA]]</f>
        <v>820580</v>
      </c>
      <c r="AO151" s="35">
        <f>VLOOKUP(Tabla4[[#This Row],[SERVICIO 2025]],$J$2:$V$14,8,0)*Tabla4[[#This Row],[TOTAL COBERTURA]]</f>
        <v>582000</v>
      </c>
      <c r="AP151" s="35">
        <f>VLOOKUP(Tabla4[[#This Row],[SERVICIO 2025]],$J$2:$V$14,3,0)*Tabla4[[#This Row],[TOTAL COBERTURA]]*8</f>
        <v>41213760</v>
      </c>
      <c r="AQ151" s="35"/>
      <c r="AR151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51" s="35" t="str">
        <f>+IF(Tabla4[[#This Row],[AGRUPACIONES]]=1,SUMIFS(Tabla4[VALOR TOTAL],Tabla4[ZONA DEFINITIVO],Tabla4[[#This Row],[ZONA DEFINITIVO]])," ")</f>
        <v xml:space="preserve"> </v>
      </c>
      <c r="AT151" s="27">
        <f>(VLOOKUP(Tabla4[[#This Row],[SERVICIO 2025]],$J$2:$V$14,3,0)*Tabla4[[#This Row],[TOTAL COBERTURA]])+Tabla4[[#This Row],[VALOR FASE PREPARATORIA DE ALISTAMIENTO]]+Tabla4[[#This Row],[DOTACIÓN ÚNICA]]</f>
        <v>6721240</v>
      </c>
      <c r="AU151" s="35">
        <f>(VLOOKUP(Tabla4[[#This Row],[SERVICIO 2025]],$J$2:$V$14,3,0)*Tabla4[[#This Row],[TOTAL COBERTURA]])</f>
        <v>5151720</v>
      </c>
      <c r="AV151" s="35">
        <f>(VLOOKUP(Tabla4[[#This Row],[SERVICIO 2025]],$J$2:$V$14,3,0)*Tabla4[[#This Row],[TOTAL COBERTURA]])</f>
        <v>5151720</v>
      </c>
      <c r="AW151" s="35">
        <f>(VLOOKUP(Tabla4[[#This Row],[SERVICIO 2025]],$J$2:$V$14,3,0)*Tabla4[[#This Row],[TOTAL COBERTURA]])</f>
        <v>5151720</v>
      </c>
      <c r="AX151" s="35">
        <f>(VLOOKUP(Tabla4[[#This Row],[SERVICIO 2025]],$J$2:$V$14,3,0)*Tabla4[[#This Row],[TOTAL COBERTURA]])</f>
        <v>5151720</v>
      </c>
      <c r="AY151" s="35">
        <f>(VLOOKUP(Tabla4[[#This Row],[SERVICIO 2025]],$J$2:$V$14,3,0)*Tabla4[[#This Row],[TOTAL COBERTURA]])</f>
        <v>5151720</v>
      </c>
      <c r="AZ151" s="35">
        <f>(VLOOKUP(Tabla4[[#This Row],[SERVICIO 2025]],$J$2:$V$14,3,0)*Tabla4[[#This Row],[TOTAL COBERTURA]])</f>
        <v>5151720</v>
      </c>
      <c r="BA151" s="35">
        <f>(VLOOKUP(Tabla4[[#This Row],[SERVICIO 2025]],$J$2:$V$14,3,0)*Tabla4[[#This Row],[TOTAL COBERTURA]])+Tabla4[[#This Row],[VALOR FASE PREPARATORIA DE CIERRE]]</f>
        <v>5972300</v>
      </c>
      <c r="BB151" s="35">
        <f>SUM(Tabla4[[#This Row],[DESEMBOLSO 1]:[DESEMBOLSO 8]])</f>
        <v>43603860</v>
      </c>
      <c r="BC151" s="35"/>
      <c r="BD151" s="47" t="s">
        <v>97</v>
      </c>
      <c r="BE151" s="12" t="b">
        <f>EXACT(Tabla4[[#This Row],[VALOR ATENCIÓN (8 MESES)]],Tabla4[[#This Row],[VALOR TOTAL]])</f>
        <v>1</v>
      </c>
      <c r="BF151" s="23">
        <f>Tabla4[[#This Row],[VALOR ATENCIÓN (8 MESES)]]-Tabla4[[#This Row],[VALOR TOTAL]]</f>
        <v>0</v>
      </c>
      <c r="BG151" s="12" t="b">
        <f>EXACT(Tabla4[[#This Row],[TOTAL DESEMBOLSOS]],Tabla4[[#This Row],[VALOR ATENCIÓN (8 MESES)]])</f>
        <v>1</v>
      </c>
      <c r="BH151" s="29">
        <f>Tabla4[[#This Row],[TOTAL DESEMBOLSOS]]-Tabla4[[#This Row],[VALOR ATENCIÓN (8 MESES)]]</f>
        <v>0</v>
      </c>
      <c r="BI151" t="s">
        <v>392</v>
      </c>
    </row>
    <row r="152" spans="1:61">
      <c r="A152" s="13">
        <v>1897</v>
      </c>
      <c r="B152" s="13" t="s">
        <v>387</v>
      </c>
      <c r="C152" s="12" t="s">
        <v>87</v>
      </c>
      <c r="D152" s="12" t="s">
        <v>266</v>
      </c>
      <c r="E152" s="12" t="s">
        <v>376</v>
      </c>
      <c r="F152" s="12" t="s">
        <v>18</v>
      </c>
      <c r="G152" s="12" t="s">
        <v>90</v>
      </c>
      <c r="H152" s="12" t="s">
        <v>419</v>
      </c>
      <c r="I152" s="12">
        <v>58471136617</v>
      </c>
      <c r="J152" s="12" t="s">
        <v>420</v>
      </c>
      <c r="K152" s="12">
        <v>1</v>
      </c>
      <c r="L152" s="12">
        <v>23</v>
      </c>
      <c r="M152" s="12"/>
      <c r="N152" s="13">
        <v>1897</v>
      </c>
      <c r="O152" s="12" t="s">
        <v>93</v>
      </c>
      <c r="P152" s="12"/>
      <c r="Q152" s="12"/>
      <c r="R152" s="12" t="s">
        <v>94</v>
      </c>
      <c r="S152" s="12">
        <v>10</v>
      </c>
      <c r="T152" s="12" t="s">
        <v>390</v>
      </c>
      <c r="U152" s="12" t="s">
        <v>391</v>
      </c>
      <c r="V152" s="12">
        <f>VLOOKUP(Tabla4[[#This Row],[ZONA DEFINITIVO]],Hoja1!$A$1:$D$121,3,0)</f>
        <v>229183</v>
      </c>
      <c r="W152" s="12">
        <f>VLOOKUP(Tabla4[[#This Row],[ZONA DEFINITIVO]],Hoja1!$A$1:$D$121,2,0)</f>
        <v>16469</v>
      </c>
      <c r="X152" s="12">
        <f>VLOOKUP(Tabla4[[#This Row],[ZONA DEFINITIVO]],Hoja1!$A$1:$D$121,4,0)</f>
        <v>95625</v>
      </c>
      <c r="Y152" s="12" t="str">
        <f>+IF(Tabla4[[#This Row],[AGRUPACIONES]]=1,SUMIFS(Tabla4[UDS],Tabla4[ZONA DEFINITIVO],Tabla4[[#This Row],[ZONA DEFINITIVO]])," ")</f>
        <v xml:space="preserve"> </v>
      </c>
      <c r="Z152" s="12" t="str">
        <f>+IF(Tabla4[[#This Row],[AGRUPACIONES]]=1,SUMIFS(Tabla4[TOTAL COBERTURA],Tabla4[ZONA DEFINITIVO],Tabla4[[#This Row],[ZONA DEFINITIVO]])," ")</f>
        <v xml:space="preserve"> </v>
      </c>
      <c r="AA152" s="12"/>
      <c r="AB152" s="38">
        <v>50144439</v>
      </c>
      <c r="AC152" s="37">
        <v>0.02</v>
      </c>
      <c r="AD152" s="38">
        <f t="shared" si="3"/>
        <v>1002888.78</v>
      </c>
      <c r="AE152" s="12"/>
      <c r="AF152" s="12">
        <f>COUNTIF($A$20:A152,A152)</f>
        <v>15</v>
      </c>
      <c r="AG152" s="38">
        <v>50144439</v>
      </c>
      <c r="AH152" s="38">
        <f>Tabla4[[#This Row],[VALOR CONTRAPARTIDA]]+Tabla4[[#This Row],[TOTAL APORTES ICBF]]</f>
        <v>51147327.780000001</v>
      </c>
      <c r="AI152" s="35"/>
      <c r="AJ152" s="38"/>
      <c r="AK152" s="38"/>
      <c r="AL152" s="23"/>
      <c r="AM152" s="35">
        <f>VLOOKUP(Tabla4[[#This Row],[SERVICIO 2025]],$J$2:$V$14,5,0)*Tabla4[[#This Row],[TOTAL COBERTURA]]</f>
        <v>1135648</v>
      </c>
      <c r="AN152" s="35">
        <f>VLOOKUP(Tabla4[[#This Row],[SERVICIO 2025]],$J$2:$V$14,6,0)*Tabla4[[#This Row],[TOTAL COBERTURA]]</f>
        <v>943667</v>
      </c>
      <c r="AO152" s="35">
        <f>VLOOKUP(Tabla4[[#This Row],[SERVICIO 2025]],$J$2:$V$14,8,0)*Tabla4[[#This Row],[TOTAL COBERTURA]]</f>
        <v>669300</v>
      </c>
      <c r="AP152" s="35">
        <f>VLOOKUP(Tabla4[[#This Row],[SERVICIO 2025]],$J$2:$V$14,3,0)*Tabla4[[#This Row],[TOTAL COBERTURA]]*8</f>
        <v>47395824</v>
      </c>
      <c r="AQ152" s="35"/>
      <c r="AR152" s="35">
        <f>Tabla4[[#This Row],[VALOR FASE PREPARATORIA DE ALISTAMIENTO]]+Tabla4[[#This Row],[VALOR FASE PREPARATORIA DE CIERRE]]+Tabla4[[#This Row],[DOTACIÓN ÚNICA]]+Tabla4[[#This Row],[VALOR ATENCIÓN]]+Tabla4[[#This Row],[VALOR RACION PREPARADA]]</f>
        <v>50144439</v>
      </c>
      <c r="AS152" s="35" t="str">
        <f>+IF(Tabla4[[#This Row],[AGRUPACIONES]]=1,SUMIFS(Tabla4[VALOR TOTAL],Tabla4[ZONA DEFINITIVO],Tabla4[[#This Row],[ZONA DEFINITIVO]])," ")</f>
        <v xml:space="preserve"> </v>
      </c>
      <c r="AT152" s="27">
        <f>(VLOOKUP(Tabla4[[#This Row],[SERVICIO 2025]],$J$2:$V$14,3,0)*Tabla4[[#This Row],[TOTAL COBERTURA]])+Tabla4[[#This Row],[VALOR FASE PREPARATORIA DE ALISTAMIENTO]]+Tabla4[[#This Row],[DOTACIÓN ÚNICA]]</f>
        <v>7729426</v>
      </c>
      <c r="AU152" s="35">
        <f>(VLOOKUP(Tabla4[[#This Row],[SERVICIO 2025]],$J$2:$V$14,3,0)*Tabla4[[#This Row],[TOTAL COBERTURA]])</f>
        <v>5924478</v>
      </c>
      <c r="AV152" s="35">
        <f>(VLOOKUP(Tabla4[[#This Row],[SERVICIO 2025]],$J$2:$V$14,3,0)*Tabla4[[#This Row],[TOTAL COBERTURA]])</f>
        <v>5924478</v>
      </c>
      <c r="AW152" s="35">
        <f>(VLOOKUP(Tabla4[[#This Row],[SERVICIO 2025]],$J$2:$V$14,3,0)*Tabla4[[#This Row],[TOTAL COBERTURA]])</f>
        <v>5924478</v>
      </c>
      <c r="AX152" s="35">
        <f>(VLOOKUP(Tabla4[[#This Row],[SERVICIO 2025]],$J$2:$V$14,3,0)*Tabla4[[#This Row],[TOTAL COBERTURA]])</f>
        <v>5924478</v>
      </c>
      <c r="AY152" s="35">
        <f>(VLOOKUP(Tabla4[[#This Row],[SERVICIO 2025]],$J$2:$V$14,3,0)*Tabla4[[#This Row],[TOTAL COBERTURA]])</f>
        <v>5924478</v>
      </c>
      <c r="AZ152" s="35">
        <f>(VLOOKUP(Tabla4[[#This Row],[SERVICIO 2025]],$J$2:$V$14,3,0)*Tabla4[[#This Row],[TOTAL COBERTURA]])</f>
        <v>5924478</v>
      </c>
      <c r="BA152" s="35">
        <f>(VLOOKUP(Tabla4[[#This Row],[SERVICIO 2025]],$J$2:$V$14,3,0)*Tabla4[[#This Row],[TOTAL COBERTURA]])+Tabla4[[#This Row],[VALOR FASE PREPARATORIA DE CIERRE]]</f>
        <v>6868145</v>
      </c>
      <c r="BB152" s="35">
        <f>SUM(Tabla4[[#This Row],[DESEMBOLSO 1]:[DESEMBOLSO 8]])</f>
        <v>50144439</v>
      </c>
      <c r="BC152" s="35"/>
      <c r="BD152" s="47" t="s">
        <v>97</v>
      </c>
      <c r="BE152" s="12" t="b">
        <f>EXACT(Tabla4[[#This Row],[VALOR ATENCIÓN (8 MESES)]],Tabla4[[#This Row],[VALOR TOTAL]])</f>
        <v>1</v>
      </c>
      <c r="BF152" s="23">
        <f>Tabla4[[#This Row],[VALOR ATENCIÓN (8 MESES)]]-Tabla4[[#This Row],[VALOR TOTAL]]</f>
        <v>0</v>
      </c>
      <c r="BG152" s="12" t="b">
        <f>EXACT(Tabla4[[#This Row],[TOTAL DESEMBOLSOS]],Tabla4[[#This Row],[VALOR ATENCIÓN (8 MESES)]])</f>
        <v>1</v>
      </c>
      <c r="BH152" s="29">
        <f>Tabla4[[#This Row],[TOTAL DESEMBOLSOS]]-Tabla4[[#This Row],[VALOR ATENCIÓN (8 MESES)]]</f>
        <v>0</v>
      </c>
      <c r="BI152" t="s">
        <v>392</v>
      </c>
    </row>
    <row r="153" spans="1:61">
      <c r="A153" s="13">
        <v>1897</v>
      </c>
      <c r="B153" s="13" t="s">
        <v>387</v>
      </c>
      <c r="C153" s="12" t="s">
        <v>87</v>
      </c>
      <c r="D153" s="12" t="s">
        <v>266</v>
      </c>
      <c r="E153" s="12" t="s">
        <v>376</v>
      </c>
      <c r="F153" s="12" t="s">
        <v>18</v>
      </c>
      <c r="G153" s="12" t="s">
        <v>90</v>
      </c>
      <c r="H153" s="12" t="s">
        <v>421</v>
      </c>
      <c r="I153" s="12">
        <v>58471136618</v>
      </c>
      <c r="J153" s="12" t="s">
        <v>422</v>
      </c>
      <c r="K153" s="12">
        <v>1</v>
      </c>
      <c r="L153" s="12">
        <v>13</v>
      </c>
      <c r="M153" s="12"/>
      <c r="N153" s="13">
        <v>1897</v>
      </c>
      <c r="O153" s="12" t="s">
        <v>93</v>
      </c>
      <c r="P153" s="12"/>
      <c r="Q153" s="12"/>
      <c r="R153" s="12" t="s">
        <v>94</v>
      </c>
      <c r="S153" s="12">
        <v>10</v>
      </c>
      <c r="T153" s="12" t="s">
        <v>390</v>
      </c>
      <c r="U153" s="12" t="s">
        <v>391</v>
      </c>
      <c r="V153" s="12">
        <f>VLOOKUP(Tabla4[[#This Row],[ZONA DEFINITIVO]],Hoja1!$A$1:$D$121,3,0)</f>
        <v>229183</v>
      </c>
      <c r="W153" s="12">
        <f>VLOOKUP(Tabla4[[#This Row],[ZONA DEFINITIVO]],Hoja1!$A$1:$D$121,2,0)</f>
        <v>16469</v>
      </c>
      <c r="X153" s="12">
        <f>VLOOKUP(Tabla4[[#This Row],[ZONA DEFINITIVO]],Hoja1!$A$1:$D$121,4,0)</f>
        <v>95625</v>
      </c>
      <c r="Y153" s="12" t="str">
        <f>+IF(Tabla4[[#This Row],[AGRUPACIONES]]=1,SUMIFS(Tabla4[UDS],Tabla4[ZONA DEFINITIVO],Tabla4[[#This Row],[ZONA DEFINITIVO]])," ")</f>
        <v xml:space="preserve"> </v>
      </c>
      <c r="Z153" s="12" t="str">
        <f>+IF(Tabla4[[#This Row],[AGRUPACIONES]]=1,SUMIFS(Tabla4[TOTAL COBERTURA],Tabla4[ZONA DEFINITIVO],Tabla4[[#This Row],[ZONA DEFINITIVO]])," ")</f>
        <v xml:space="preserve"> </v>
      </c>
      <c r="AA153" s="12"/>
      <c r="AB153" s="38">
        <v>28342509</v>
      </c>
      <c r="AC153" s="37">
        <v>0.02</v>
      </c>
      <c r="AD153" s="38">
        <f t="shared" si="3"/>
        <v>566850.18000000005</v>
      </c>
      <c r="AE153" s="12"/>
      <c r="AF153" s="12">
        <f>COUNTIF($A$20:A153,A153)</f>
        <v>16</v>
      </c>
      <c r="AG153" s="38">
        <v>28342509</v>
      </c>
      <c r="AH153" s="38">
        <f>Tabla4[[#This Row],[VALOR CONTRAPARTIDA]]+Tabla4[[#This Row],[TOTAL APORTES ICBF]]</f>
        <v>28909359.18</v>
      </c>
      <c r="AI153" s="35"/>
      <c r="AJ153" s="38"/>
      <c r="AK153" s="38"/>
      <c r="AL153" s="23"/>
      <c r="AM153" s="35">
        <f>VLOOKUP(Tabla4[[#This Row],[SERVICIO 2025]],$J$2:$V$14,5,0)*Tabla4[[#This Row],[TOTAL COBERTURA]]</f>
        <v>641888</v>
      </c>
      <c r="AN153" s="35">
        <f>VLOOKUP(Tabla4[[#This Row],[SERVICIO 2025]],$J$2:$V$14,6,0)*Tabla4[[#This Row],[TOTAL COBERTURA]]</f>
        <v>533377</v>
      </c>
      <c r="AO153" s="35">
        <f>VLOOKUP(Tabla4[[#This Row],[SERVICIO 2025]],$J$2:$V$14,8,0)*Tabla4[[#This Row],[TOTAL COBERTURA]]</f>
        <v>378300</v>
      </c>
      <c r="AP153" s="35">
        <f>VLOOKUP(Tabla4[[#This Row],[SERVICIO 2025]],$J$2:$V$14,3,0)*Tabla4[[#This Row],[TOTAL COBERTURA]]*8</f>
        <v>26788944</v>
      </c>
      <c r="AQ153" s="35"/>
      <c r="AR153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153" s="35" t="str">
        <f>+IF(Tabla4[[#This Row],[AGRUPACIONES]]=1,SUMIFS(Tabla4[VALOR TOTAL],Tabla4[ZONA DEFINITIVO],Tabla4[[#This Row],[ZONA DEFINITIVO]])," ")</f>
        <v xml:space="preserve"> </v>
      </c>
      <c r="AT153" s="27">
        <f>(VLOOKUP(Tabla4[[#This Row],[SERVICIO 2025]],$J$2:$V$14,3,0)*Tabla4[[#This Row],[TOTAL COBERTURA]])+Tabla4[[#This Row],[VALOR FASE PREPARATORIA DE ALISTAMIENTO]]+Tabla4[[#This Row],[DOTACIÓN ÚNICA]]</f>
        <v>4368806</v>
      </c>
      <c r="AU153" s="35">
        <f>(VLOOKUP(Tabla4[[#This Row],[SERVICIO 2025]],$J$2:$V$14,3,0)*Tabla4[[#This Row],[TOTAL COBERTURA]])</f>
        <v>3348618</v>
      </c>
      <c r="AV153" s="35">
        <f>(VLOOKUP(Tabla4[[#This Row],[SERVICIO 2025]],$J$2:$V$14,3,0)*Tabla4[[#This Row],[TOTAL COBERTURA]])</f>
        <v>3348618</v>
      </c>
      <c r="AW153" s="35">
        <f>(VLOOKUP(Tabla4[[#This Row],[SERVICIO 2025]],$J$2:$V$14,3,0)*Tabla4[[#This Row],[TOTAL COBERTURA]])</f>
        <v>3348618</v>
      </c>
      <c r="AX153" s="35">
        <f>(VLOOKUP(Tabla4[[#This Row],[SERVICIO 2025]],$J$2:$V$14,3,0)*Tabla4[[#This Row],[TOTAL COBERTURA]])</f>
        <v>3348618</v>
      </c>
      <c r="AY153" s="35">
        <f>(VLOOKUP(Tabla4[[#This Row],[SERVICIO 2025]],$J$2:$V$14,3,0)*Tabla4[[#This Row],[TOTAL COBERTURA]])</f>
        <v>3348618</v>
      </c>
      <c r="AZ153" s="35">
        <f>(VLOOKUP(Tabla4[[#This Row],[SERVICIO 2025]],$J$2:$V$14,3,0)*Tabla4[[#This Row],[TOTAL COBERTURA]])</f>
        <v>3348618</v>
      </c>
      <c r="BA153" s="35">
        <f>(VLOOKUP(Tabla4[[#This Row],[SERVICIO 2025]],$J$2:$V$14,3,0)*Tabla4[[#This Row],[TOTAL COBERTURA]])+Tabla4[[#This Row],[VALOR FASE PREPARATORIA DE CIERRE]]</f>
        <v>3881995</v>
      </c>
      <c r="BB153" s="35">
        <f>SUM(Tabla4[[#This Row],[DESEMBOLSO 1]:[DESEMBOLSO 8]])</f>
        <v>28342509</v>
      </c>
      <c r="BC153" s="35"/>
      <c r="BD153" s="47" t="s">
        <v>97</v>
      </c>
      <c r="BE153" s="12" t="b">
        <f>EXACT(Tabla4[[#This Row],[VALOR ATENCIÓN (8 MESES)]],Tabla4[[#This Row],[VALOR TOTAL]])</f>
        <v>1</v>
      </c>
      <c r="BF153" s="23">
        <f>Tabla4[[#This Row],[VALOR ATENCIÓN (8 MESES)]]-Tabla4[[#This Row],[VALOR TOTAL]]</f>
        <v>0</v>
      </c>
      <c r="BG153" s="12" t="b">
        <f>EXACT(Tabla4[[#This Row],[TOTAL DESEMBOLSOS]],Tabla4[[#This Row],[VALOR ATENCIÓN (8 MESES)]])</f>
        <v>1</v>
      </c>
      <c r="BH153" s="29">
        <f>Tabla4[[#This Row],[TOTAL DESEMBOLSOS]]-Tabla4[[#This Row],[VALOR ATENCIÓN (8 MESES)]]</f>
        <v>0</v>
      </c>
      <c r="BI153" t="s">
        <v>392</v>
      </c>
    </row>
    <row r="154" spans="1:61">
      <c r="A154" s="13">
        <v>1897</v>
      </c>
      <c r="B154" s="13" t="s">
        <v>387</v>
      </c>
      <c r="C154" s="12" t="s">
        <v>87</v>
      </c>
      <c r="D154" s="12" t="s">
        <v>266</v>
      </c>
      <c r="E154" s="12" t="s">
        <v>376</v>
      </c>
      <c r="F154" s="12" t="s">
        <v>18</v>
      </c>
      <c r="G154" s="12" t="s">
        <v>90</v>
      </c>
      <c r="H154" s="12" t="s">
        <v>423</v>
      </c>
      <c r="I154" s="12">
        <v>58471136624</v>
      </c>
      <c r="J154" s="12" t="s">
        <v>424</v>
      </c>
      <c r="K154" s="12">
        <v>1</v>
      </c>
      <c r="L154" s="12">
        <v>23</v>
      </c>
      <c r="M154" s="12"/>
      <c r="N154" s="13">
        <v>1897</v>
      </c>
      <c r="O154" s="12" t="s">
        <v>93</v>
      </c>
      <c r="P154" s="12"/>
      <c r="Q154" s="12"/>
      <c r="R154" s="12" t="s">
        <v>94</v>
      </c>
      <c r="S154" s="12">
        <v>10</v>
      </c>
      <c r="T154" s="12" t="s">
        <v>390</v>
      </c>
      <c r="U154" s="12" t="s">
        <v>391</v>
      </c>
      <c r="V154" s="12">
        <f>VLOOKUP(Tabla4[[#This Row],[ZONA DEFINITIVO]],Hoja1!$A$1:$D$121,3,0)</f>
        <v>229183</v>
      </c>
      <c r="W154" s="12">
        <f>VLOOKUP(Tabla4[[#This Row],[ZONA DEFINITIVO]],Hoja1!$A$1:$D$121,2,0)</f>
        <v>16469</v>
      </c>
      <c r="X154" s="12">
        <f>VLOOKUP(Tabla4[[#This Row],[ZONA DEFINITIVO]],Hoja1!$A$1:$D$121,4,0)</f>
        <v>95625</v>
      </c>
      <c r="Y154" s="12" t="str">
        <f>+IF(Tabla4[[#This Row],[AGRUPACIONES]]=1,SUMIFS(Tabla4[UDS],Tabla4[ZONA DEFINITIVO],Tabla4[[#This Row],[ZONA DEFINITIVO]])," ")</f>
        <v xml:space="preserve"> </v>
      </c>
      <c r="Z154" s="12" t="str">
        <f>+IF(Tabla4[[#This Row],[AGRUPACIONES]]=1,SUMIFS(Tabla4[TOTAL COBERTURA],Tabla4[ZONA DEFINITIVO],Tabla4[[#This Row],[ZONA DEFINITIVO]])," ")</f>
        <v xml:space="preserve"> </v>
      </c>
      <c r="AA154" s="12"/>
      <c r="AB154" s="38">
        <v>50144439</v>
      </c>
      <c r="AC154" s="37">
        <v>0.02</v>
      </c>
      <c r="AD154" s="38">
        <f t="shared" si="3"/>
        <v>1002888.78</v>
      </c>
      <c r="AE154" s="12"/>
      <c r="AF154" s="12">
        <f>COUNTIF($A$20:A154,A154)</f>
        <v>17</v>
      </c>
      <c r="AG154" s="38">
        <v>50144439</v>
      </c>
      <c r="AH154" s="38">
        <f>Tabla4[[#This Row],[VALOR CONTRAPARTIDA]]+Tabla4[[#This Row],[TOTAL APORTES ICBF]]</f>
        <v>51147327.780000001</v>
      </c>
      <c r="AI154" s="35"/>
      <c r="AJ154" s="38"/>
      <c r="AK154" s="38"/>
      <c r="AL154" s="23"/>
      <c r="AM154" s="35">
        <f>VLOOKUP(Tabla4[[#This Row],[SERVICIO 2025]],$J$2:$V$14,5,0)*Tabla4[[#This Row],[TOTAL COBERTURA]]</f>
        <v>1135648</v>
      </c>
      <c r="AN154" s="35">
        <f>VLOOKUP(Tabla4[[#This Row],[SERVICIO 2025]],$J$2:$V$14,6,0)*Tabla4[[#This Row],[TOTAL COBERTURA]]</f>
        <v>943667</v>
      </c>
      <c r="AO154" s="35">
        <f>VLOOKUP(Tabla4[[#This Row],[SERVICIO 2025]],$J$2:$V$14,8,0)*Tabla4[[#This Row],[TOTAL COBERTURA]]</f>
        <v>669300</v>
      </c>
      <c r="AP154" s="35">
        <f>VLOOKUP(Tabla4[[#This Row],[SERVICIO 2025]],$J$2:$V$14,3,0)*Tabla4[[#This Row],[TOTAL COBERTURA]]*8</f>
        <v>47395824</v>
      </c>
      <c r="AQ154" s="35"/>
      <c r="AR154" s="35">
        <f>Tabla4[[#This Row],[VALOR FASE PREPARATORIA DE ALISTAMIENTO]]+Tabla4[[#This Row],[VALOR FASE PREPARATORIA DE CIERRE]]+Tabla4[[#This Row],[DOTACIÓN ÚNICA]]+Tabla4[[#This Row],[VALOR ATENCIÓN]]+Tabla4[[#This Row],[VALOR RACION PREPARADA]]</f>
        <v>50144439</v>
      </c>
      <c r="AS154" s="35" t="str">
        <f>+IF(Tabla4[[#This Row],[AGRUPACIONES]]=1,SUMIFS(Tabla4[VALOR TOTAL],Tabla4[ZONA DEFINITIVO],Tabla4[[#This Row],[ZONA DEFINITIVO]])," ")</f>
        <v xml:space="preserve"> </v>
      </c>
      <c r="AT154" s="27">
        <f>(VLOOKUP(Tabla4[[#This Row],[SERVICIO 2025]],$J$2:$V$14,3,0)*Tabla4[[#This Row],[TOTAL COBERTURA]])+Tabla4[[#This Row],[VALOR FASE PREPARATORIA DE ALISTAMIENTO]]+Tabla4[[#This Row],[DOTACIÓN ÚNICA]]</f>
        <v>7729426</v>
      </c>
      <c r="AU154" s="35">
        <f>(VLOOKUP(Tabla4[[#This Row],[SERVICIO 2025]],$J$2:$V$14,3,0)*Tabla4[[#This Row],[TOTAL COBERTURA]])</f>
        <v>5924478</v>
      </c>
      <c r="AV154" s="35">
        <f>(VLOOKUP(Tabla4[[#This Row],[SERVICIO 2025]],$J$2:$V$14,3,0)*Tabla4[[#This Row],[TOTAL COBERTURA]])</f>
        <v>5924478</v>
      </c>
      <c r="AW154" s="35">
        <f>(VLOOKUP(Tabla4[[#This Row],[SERVICIO 2025]],$J$2:$V$14,3,0)*Tabla4[[#This Row],[TOTAL COBERTURA]])</f>
        <v>5924478</v>
      </c>
      <c r="AX154" s="35">
        <f>(VLOOKUP(Tabla4[[#This Row],[SERVICIO 2025]],$J$2:$V$14,3,0)*Tabla4[[#This Row],[TOTAL COBERTURA]])</f>
        <v>5924478</v>
      </c>
      <c r="AY154" s="35">
        <f>(VLOOKUP(Tabla4[[#This Row],[SERVICIO 2025]],$J$2:$V$14,3,0)*Tabla4[[#This Row],[TOTAL COBERTURA]])</f>
        <v>5924478</v>
      </c>
      <c r="AZ154" s="35">
        <f>(VLOOKUP(Tabla4[[#This Row],[SERVICIO 2025]],$J$2:$V$14,3,0)*Tabla4[[#This Row],[TOTAL COBERTURA]])</f>
        <v>5924478</v>
      </c>
      <c r="BA154" s="35">
        <f>(VLOOKUP(Tabla4[[#This Row],[SERVICIO 2025]],$J$2:$V$14,3,0)*Tabla4[[#This Row],[TOTAL COBERTURA]])+Tabla4[[#This Row],[VALOR FASE PREPARATORIA DE CIERRE]]</f>
        <v>6868145</v>
      </c>
      <c r="BB154" s="35">
        <f>SUM(Tabla4[[#This Row],[DESEMBOLSO 1]:[DESEMBOLSO 8]])</f>
        <v>50144439</v>
      </c>
      <c r="BC154" s="35"/>
      <c r="BD154" s="47" t="s">
        <v>97</v>
      </c>
      <c r="BE154" s="12" t="b">
        <f>EXACT(Tabla4[[#This Row],[VALOR ATENCIÓN (8 MESES)]],Tabla4[[#This Row],[VALOR TOTAL]])</f>
        <v>1</v>
      </c>
      <c r="BF154" s="23">
        <f>Tabla4[[#This Row],[VALOR ATENCIÓN (8 MESES)]]-Tabla4[[#This Row],[VALOR TOTAL]]</f>
        <v>0</v>
      </c>
      <c r="BG154" s="12" t="b">
        <f>EXACT(Tabla4[[#This Row],[TOTAL DESEMBOLSOS]],Tabla4[[#This Row],[VALOR ATENCIÓN (8 MESES)]])</f>
        <v>1</v>
      </c>
      <c r="BH154" s="29">
        <f>Tabla4[[#This Row],[TOTAL DESEMBOLSOS]]-Tabla4[[#This Row],[VALOR ATENCIÓN (8 MESES)]]</f>
        <v>0</v>
      </c>
      <c r="BI154" t="s">
        <v>392</v>
      </c>
    </row>
    <row r="155" spans="1:61">
      <c r="A155" s="13">
        <v>1897</v>
      </c>
      <c r="B155" s="13" t="s">
        <v>387</v>
      </c>
      <c r="C155" s="12" t="s">
        <v>87</v>
      </c>
      <c r="D155" s="12" t="s">
        <v>266</v>
      </c>
      <c r="E155" s="12" t="s">
        <v>376</v>
      </c>
      <c r="F155" s="12" t="s">
        <v>18</v>
      </c>
      <c r="G155" s="12" t="s">
        <v>90</v>
      </c>
      <c r="H155" s="12" t="s">
        <v>425</v>
      </c>
      <c r="I155" s="12">
        <v>58471136630</v>
      </c>
      <c r="J155" s="12" t="s">
        <v>426</v>
      </c>
      <c r="K155" s="12">
        <v>1</v>
      </c>
      <c r="L155" s="12">
        <v>8</v>
      </c>
      <c r="M155" s="12"/>
      <c r="N155" s="13">
        <v>1897</v>
      </c>
      <c r="O155" s="12" t="s">
        <v>93</v>
      </c>
      <c r="P155" s="12"/>
      <c r="Q155" s="12"/>
      <c r="R155" s="12" t="s">
        <v>94</v>
      </c>
      <c r="S155" s="12">
        <v>10</v>
      </c>
      <c r="T155" s="12" t="s">
        <v>390</v>
      </c>
      <c r="U155" s="12" t="s">
        <v>391</v>
      </c>
      <c r="V155" s="12">
        <f>VLOOKUP(Tabla4[[#This Row],[ZONA DEFINITIVO]],Hoja1!$A$1:$D$121,3,0)</f>
        <v>229183</v>
      </c>
      <c r="W155" s="12">
        <f>VLOOKUP(Tabla4[[#This Row],[ZONA DEFINITIVO]],Hoja1!$A$1:$D$121,2,0)</f>
        <v>16469</v>
      </c>
      <c r="X155" s="12">
        <f>VLOOKUP(Tabla4[[#This Row],[ZONA DEFINITIVO]],Hoja1!$A$1:$D$121,4,0)</f>
        <v>95625</v>
      </c>
      <c r="Y155" s="12" t="str">
        <f>+IF(Tabla4[[#This Row],[AGRUPACIONES]]=1,SUMIFS(Tabla4[UDS],Tabla4[ZONA DEFINITIVO],Tabla4[[#This Row],[ZONA DEFINITIVO]])," ")</f>
        <v xml:space="preserve"> </v>
      </c>
      <c r="Z155" s="12" t="str">
        <f>+IF(Tabla4[[#This Row],[AGRUPACIONES]]=1,SUMIFS(Tabla4[TOTAL COBERTURA],Tabla4[ZONA DEFINITIVO],Tabla4[[#This Row],[ZONA DEFINITIVO]])," ")</f>
        <v xml:space="preserve"> </v>
      </c>
      <c r="AA155" s="12"/>
      <c r="AB155" s="38">
        <v>17441544</v>
      </c>
      <c r="AC155" s="37">
        <v>0.02</v>
      </c>
      <c r="AD155" s="38">
        <f t="shared" si="3"/>
        <v>348830.88</v>
      </c>
      <c r="AE155" s="12"/>
      <c r="AF155" s="12">
        <f>COUNTIF($A$20:A155,A155)</f>
        <v>18</v>
      </c>
      <c r="AG155" s="38">
        <v>17441544</v>
      </c>
      <c r="AH155" s="38">
        <f>Tabla4[[#This Row],[VALOR CONTRAPARTIDA]]+Tabla4[[#This Row],[TOTAL APORTES ICBF]]</f>
        <v>17790374.879999999</v>
      </c>
      <c r="AI155" s="35"/>
      <c r="AJ155" s="38"/>
      <c r="AK155" s="38"/>
      <c r="AL155" s="23"/>
      <c r="AM155" s="35">
        <f>VLOOKUP(Tabla4[[#This Row],[SERVICIO 2025]],$J$2:$V$14,5,0)*Tabla4[[#This Row],[TOTAL COBERTURA]]</f>
        <v>395008</v>
      </c>
      <c r="AN155" s="35">
        <f>VLOOKUP(Tabla4[[#This Row],[SERVICIO 2025]],$J$2:$V$14,6,0)*Tabla4[[#This Row],[TOTAL COBERTURA]]</f>
        <v>328232</v>
      </c>
      <c r="AO155" s="35">
        <f>VLOOKUP(Tabla4[[#This Row],[SERVICIO 2025]],$J$2:$V$14,8,0)*Tabla4[[#This Row],[TOTAL COBERTURA]]</f>
        <v>232800</v>
      </c>
      <c r="AP155" s="35">
        <f>VLOOKUP(Tabla4[[#This Row],[SERVICIO 2025]],$J$2:$V$14,3,0)*Tabla4[[#This Row],[TOTAL COBERTURA]]*8</f>
        <v>16485504</v>
      </c>
      <c r="AQ155" s="35"/>
      <c r="AR155" s="35">
        <f>Tabla4[[#This Row],[VALOR FASE PREPARATORIA DE ALISTAMIENTO]]+Tabla4[[#This Row],[VALOR FASE PREPARATORIA DE CIERRE]]+Tabla4[[#This Row],[DOTACIÓN ÚNICA]]+Tabla4[[#This Row],[VALOR ATENCIÓN]]+Tabla4[[#This Row],[VALOR RACION PREPARADA]]</f>
        <v>17441544</v>
      </c>
      <c r="AS155" s="35" t="str">
        <f>+IF(Tabla4[[#This Row],[AGRUPACIONES]]=1,SUMIFS(Tabla4[VALOR TOTAL],Tabla4[ZONA DEFINITIVO],Tabla4[[#This Row],[ZONA DEFINITIVO]])," ")</f>
        <v xml:space="preserve"> </v>
      </c>
      <c r="AT155" s="27">
        <f>(VLOOKUP(Tabla4[[#This Row],[SERVICIO 2025]],$J$2:$V$14,3,0)*Tabla4[[#This Row],[TOTAL COBERTURA]])+Tabla4[[#This Row],[VALOR FASE PREPARATORIA DE ALISTAMIENTO]]+Tabla4[[#This Row],[DOTACIÓN ÚNICA]]</f>
        <v>2688496</v>
      </c>
      <c r="AU155" s="35">
        <f>(VLOOKUP(Tabla4[[#This Row],[SERVICIO 2025]],$J$2:$V$14,3,0)*Tabla4[[#This Row],[TOTAL COBERTURA]])</f>
        <v>2060688</v>
      </c>
      <c r="AV155" s="35">
        <f>(VLOOKUP(Tabla4[[#This Row],[SERVICIO 2025]],$J$2:$V$14,3,0)*Tabla4[[#This Row],[TOTAL COBERTURA]])</f>
        <v>2060688</v>
      </c>
      <c r="AW155" s="35">
        <f>(VLOOKUP(Tabla4[[#This Row],[SERVICIO 2025]],$J$2:$V$14,3,0)*Tabla4[[#This Row],[TOTAL COBERTURA]])</f>
        <v>2060688</v>
      </c>
      <c r="AX155" s="35">
        <f>(VLOOKUP(Tabla4[[#This Row],[SERVICIO 2025]],$J$2:$V$14,3,0)*Tabla4[[#This Row],[TOTAL COBERTURA]])</f>
        <v>2060688</v>
      </c>
      <c r="AY155" s="35">
        <f>(VLOOKUP(Tabla4[[#This Row],[SERVICIO 2025]],$J$2:$V$14,3,0)*Tabla4[[#This Row],[TOTAL COBERTURA]])</f>
        <v>2060688</v>
      </c>
      <c r="AZ155" s="35">
        <f>(VLOOKUP(Tabla4[[#This Row],[SERVICIO 2025]],$J$2:$V$14,3,0)*Tabla4[[#This Row],[TOTAL COBERTURA]])</f>
        <v>2060688</v>
      </c>
      <c r="BA155" s="35">
        <f>(VLOOKUP(Tabla4[[#This Row],[SERVICIO 2025]],$J$2:$V$14,3,0)*Tabla4[[#This Row],[TOTAL COBERTURA]])+Tabla4[[#This Row],[VALOR FASE PREPARATORIA DE CIERRE]]</f>
        <v>2388920</v>
      </c>
      <c r="BB155" s="35">
        <f>SUM(Tabla4[[#This Row],[DESEMBOLSO 1]:[DESEMBOLSO 8]])</f>
        <v>17441544</v>
      </c>
      <c r="BC155" s="35"/>
      <c r="BD155" s="47" t="s">
        <v>97</v>
      </c>
      <c r="BE155" s="12" t="b">
        <f>EXACT(Tabla4[[#This Row],[VALOR ATENCIÓN (8 MESES)]],Tabla4[[#This Row],[VALOR TOTAL]])</f>
        <v>1</v>
      </c>
      <c r="BF155" s="23">
        <f>Tabla4[[#This Row],[VALOR ATENCIÓN (8 MESES)]]-Tabla4[[#This Row],[VALOR TOTAL]]</f>
        <v>0</v>
      </c>
      <c r="BG155" s="12" t="b">
        <f>EXACT(Tabla4[[#This Row],[TOTAL DESEMBOLSOS]],Tabla4[[#This Row],[VALOR ATENCIÓN (8 MESES)]])</f>
        <v>1</v>
      </c>
      <c r="BH155" s="29">
        <f>Tabla4[[#This Row],[TOTAL DESEMBOLSOS]]-Tabla4[[#This Row],[VALOR ATENCIÓN (8 MESES)]]</f>
        <v>0</v>
      </c>
      <c r="BI155" t="s">
        <v>392</v>
      </c>
    </row>
    <row r="156" spans="1:61">
      <c r="A156" s="13">
        <v>1897</v>
      </c>
      <c r="B156" s="13" t="s">
        <v>387</v>
      </c>
      <c r="C156" s="12" t="s">
        <v>87</v>
      </c>
      <c r="D156" s="12" t="s">
        <v>266</v>
      </c>
      <c r="E156" s="12" t="s">
        <v>376</v>
      </c>
      <c r="F156" s="12" t="s">
        <v>18</v>
      </c>
      <c r="G156" s="12" t="s">
        <v>90</v>
      </c>
      <c r="H156" s="12" t="s">
        <v>427</v>
      </c>
      <c r="I156" s="12">
        <v>58471136668</v>
      </c>
      <c r="J156" s="12" t="s">
        <v>428</v>
      </c>
      <c r="K156" s="12">
        <v>1</v>
      </c>
      <c r="L156" s="12">
        <v>11</v>
      </c>
      <c r="M156" s="12"/>
      <c r="N156" s="13">
        <v>1897</v>
      </c>
      <c r="O156" s="12" t="s">
        <v>93</v>
      </c>
      <c r="P156" s="12"/>
      <c r="Q156" s="12"/>
      <c r="R156" s="12" t="s">
        <v>94</v>
      </c>
      <c r="S156" s="12">
        <v>10</v>
      </c>
      <c r="T156" s="12" t="s">
        <v>390</v>
      </c>
      <c r="U156" s="12" t="s">
        <v>391</v>
      </c>
      <c r="V156" s="12">
        <f>VLOOKUP(Tabla4[[#This Row],[ZONA DEFINITIVO]],Hoja1!$A$1:$D$121,3,0)</f>
        <v>229183</v>
      </c>
      <c r="W156" s="12">
        <f>VLOOKUP(Tabla4[[#This Row],[ZONA DEFINITIVO]],Hoja1!$A$1:$D$121,2,0)</f>
        <v>16469</v>
      </c>
      <c r="X156" s="12">
        <f>VLOOKUP(Tabla4[[#This Row],[ZONA DEFINITIVO]],Hoja1!$A$1:$D$121,4,0)</f>
        <v>95625</v>
      </c>
      <c r="Y156" s="12" t="str">
        <f>+IF(Tabla4[[#This Row],[AGRUPACIONES]]=1,SUMIFS(Tabla4[UDS],Tabla4[ZONA DEFINITIVO],Tabla4[[#This Row],[ZONA DEFINITIVO]])," ")</f>
        <v xml:space="preserve"> </v>
      </c>
      <c r="Z156" s="12" t="str">
        <f>+IF(Tabla4[[#This Row],[AGRUPACIONES]]=1,SUMIFS(Tabla4[TOTAL COBERTURA],Tabla4[ZONA DEFINITIVO],Tabla4[[#This Row],[ZONA DEFINITIVO]])," ")</f>
        <v xml:space="preserve"> </v>
      </c>
      <c r="AA156" s="12"/>
      <c r="AB156" s="38">
        <v>23982123</v>
      </c>
      <c r="AC156" s="37">
        <v>0.02</v>
      </c>
      <c r="AD156" s="38">
        <f t="shared" si="3"/>
        <v>479642.46</v>
      </c>
      <c r="AE156" s="12"/>
      <c r="AF156" s="12">
        <f>COUNTIF($A$20:A156,A156)</f>
        <v>19</v>
      </c>
      <c r="AG156" s="38">
        <v>23982123</v>
      </c>
      <c r="AH156" s="38">
        <f>Tabla4[[#This Row],[VALOR CONTRAPARTIDA]]+Tabla4[[#This Row],[TOTAL APORTES ICBF]]</f>
        <v>24461765.460000001</v>
      </c>
      <c r="AI156" s="35"/>
      <c r="AJ156" s="38"/>
      <c r="AK156" s="38"/>
      <c r="AL156" s="23"/>
      <c r="AM156" s="35">
        <f>VLOOKUP(Tabla4[[#This Row],[SERVICIO 2025]],$J$2:$V$14,5,0)*Tabla4[[#This Row],[TOTAL COBERTURA]]</f>
        <v>543136</v>
      </c>
      <c r="AN156" s="35">
        <f>VLOOKUP(Tabla4[[#This Row],[SERVICIO 2025]],$J$2:$V$14,6,0)*Tabla4[[#This Row],[TOTAL COBERTURA]]</f>
        <v>451319</v>
      </c>
      <c r="AO156" s="35">
        <f>VLOOKUP(Tabla4[[#This Row],[SERVICIO 2025]],$J$2:$V$14,8,0)*Tabla4[[#This Row],[TOTAL COBERTURA]]</f>
        <v>320100</v>
      </c>
      <c r="AP156" s="35">
        <f>VLOOKUP(Tabla4[[#This Row],[SERVICIO 2025]],$J$2:$V$14,3,0)*Tabla4[[#This Row],[TOTAL COBERTURA]]*8</f>
        <v>22667568</v>
      </c>
      <c r="AQ156" s="35"/>
      <c r="AR156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156" s="35" t="str">
        <f>+IF(Tabla4[[#This Row],[AGRUPACIONES]]=1,SUMIFS(Tabla4[VALOR TOTAL],Tabla4[ZONA DEFINITIVO],Tabla4[[#This Row],[ZONA DEFINITIVO]])," ")</f>
        <v xml:space="preserve"> </v>
      </c>
      <c r="AT156" s="27">
        <f>(VLOOKUP(Tabla4[[#This Row],[SERVICIO 2025]],$J$2:$V$14,3,0)*Tabla4[[#This Row],[TOTAL COBERTURA]])+Tabla4[[#This Row],[VALOR FASE PREPARATORIA DE ALISTAMIENTO]]+Tabla4[[#This Row],[DOTACIÓN ÚNICA]]</f>
        <v>3696682</v>
      </c>
      <c r="AU156" s="35">
        <f>(VLOOKUP(Tabla4[[#This Row],[SERVICIO 2025]],$J$2:$V$14,3,0)*Tabla4[[#This Row],[TOTAL COBERTURA]])</f>
        <v>2833446</v>
      </c>
      <c r="AV156" s="35">
        <f>(VLOOKUP(Tabla4[[#This Row],[SERVICIO 2025]],$J$2:$V$14,3,0)*Tabla4[[#This Row],[TOTAL COBERTURA]])</f>
        <v>2833446</v>
      </c>
      <c r="AW156" s="35">
        <f>(VLOOKUP(Tabla4[[#This Row],[SERVICIO 2025]],$J$2:$V$14,3,0)*Tabla4[[#This Row],[TOTAL COBERTURA]])</f>
        <v>2833446</v>
      </c>
      <c r="AX156" s="35">
        <f>(VLOOKUP(Tabla4[[#This Row],[SERVICIO 2025]],$J$2:$V$14,3,0)*Tabla4[[#This Row],[TOTAL COBERTURA]])</f>
        <v>2833446</v>
      </c>
      <c r="AY156" s="35">
        <f>(VLOOKUP(Tabla4[[#This Row],[SERVICIO 2025]],$J$2:$V$14,3,0)*Tabla4[[#This Row],[TOTAL COBERTURA]])</f>
        <v>2833446</v>
      </c>
      <c r="AZ156" s="35">
        <f>(VLOOKUP(Tabla4[[#This Row],[SERVICIO 2025]],$J$2:$V$14,3,0)*Tabla4[[#This Row],[TOTAL COBERTURA]])</f>
        <v>2833446</v>
      </c>
      <c r="BA156" s="35">
        <f>(VLOOKUP(Tabla4[[#This Row],[SERVICIO 2025]],$J$2:$V$14,3,0)*Tabla4[[#This Row],[TOTAL COBERTURA]])+Tabla4[[#This Row],[VALOR FASE PREPARATORIA DE CIERRE]]</f>
        <v>3284765</v>
      </c>
      <c r="BB156" s="35">
        <f>SUM(Tabla4[[#This Row],[DESEMBOLSO 1]:[DESEMBOLSO 8]])</f>
        <v>23982123</v>
      </c>
      <c r="BC156" s="35"/>
      <c r="BD156" s="47" t="s">
        <v>97</v>
      </c>
      <c r="BE156" s="12" t="b">
        <f>EXACT(Tabla4[[#This Row],[VALOR ATENCIÓN (8 MESES)]],Tabla4[[#This Row],[VALOR TOTAL]])</f>
        <v>1</v>
      </c>
      <c r="BF156" s="23">
        <f>Tabla4[[#This Row],[VALOR ATENCIÓN (8 MESES)]]-Tabla4[[#This Row],[VALOR TOTAL]]</f>
        <v>0</v>
      </c>
      <c r="BG156" s="12" t="b">
        <f>EXACT(Tabla4[[#This Row],[TOTAL DESEMBOLSOS]],Tabla4[[#This Row],[VALOR ATENCIÓN (8 MESES)]])</f>
        <v>1</v>
      </c>
      <c r="BH156" s="29">
        <f>Tabla4[[#This Row],[TOTAL DESEMBOLSOS]]-Tabla4[[#This Row],[VALOR ATENCIÓN (8 MESES)]]</f>
        <v>0</v>
      </c>
      <c r="BI156" t="s">
        <v>392</v>
      </c>
    </row>
    <row r="157" spans="1:61">
      <c r="A157" s="13">
        <v>1897</v>
      </c>
      <c r="B157" s="13" t="s">
        <v>387</v>
      </c>
      <c r="C157" s="12" t="s">
        <v>87</v>
      </c>
      <c r="D157" s="12" t="s">
        <v>266</v>
      </c>
      <c r="E157" s="12" t="s">
        <v>376</v>
      </c>
      <c r="F157" s="12" t="s">
        <v>18</v>
      </c>
      <c r="G157" s="12" t="s">
        <v>90</v>
      </c>
      <c r="H157" s="12" t="s">
        <v>429</v>
      </c>
      <c r="I157" s="12">
        <v>58471136670</v>
      </c>
      <c r="J157" s="12" t="s">
        <v>430</v>
      </c>
      <c r="K157" s="12">
        <v>1</v>
      </c>
      <c r="L157" s="12">
        <v>19</v>
      </c>
      <c r="M157" s="12"/>
      <c r="N157" s="13">
        <v>1897</v>
      </c>
      <c r="O157" s="12" t="s">
        <v>93</v>
      </c>
      <c r="P157" s="12"/>
      <c r="Q157" s="12"/>
      <c r="R157" s="12" t="s">
        <v>94</v>
      </c>
      <c r="S157" s="12">
        <v>10</v>
      </c>
      <c r="T157" s="12" t="s">
        <v>390</v>
      </c>
      <c r="U157" s="12" t="s">
        <v>391</v>
      </c>
      <c r="V157" s="12">
        <f>VLOOKUP(Tabla4[[#This Row],[ZONA DEFINITIVO]],Hoja1!$A$1:$D$121,3,0)</f>
        <v>229183</v>
      </c>
      <c r="W157" s="12">
        <f>VLOOKUP(Tabla4[[#This Row],[ZONA DEFINITIVO]],Hoja1!$A$1:$D$121,2,0)</f>
        <v>16469</v>
      </c>
      <c r="X157" s="12">
        <f>VLOOKUP(Tabla4[[#This Row],[ZONA DEFINITIVO]],Hoja1!$A$1:$D$121,4,0)</f>
        <v>95625</v>
      </c>
      <c r="Y157" s="12" t="str">
        <f>+IF(Tabla4[[#This Row],[AGRUPACIONES]]=1,SUMIFS(Tabla4[UDS],Tabla4[ZONA DEFINITIVO],Tabla4[[#This Row],[ZONA DEFINITIVO]])," ")</f>
        <v xml:space="preserve"> </v>
      </c>
      <c r="Z157" s="12" t="str">
        <f>+IF(Tabla4[[#This Row],[AGRUPACIONES]]=1,SUMIFS(Tabla4[TOTAL COBERTURA],Tabla4[ZONA DEFINITIVO],Tabla4[[#This Row],[ZONA DEFINITIVO]])," ")</f>
        <v xml:space="preserve"> </v>
      </c>
      <c r="AA157" s="12"/>
      <c r="AB157" s="38">
        <v>41423667</v>
      </c>
      <c r="AC157" s="37">
        <v>0.02</v>
      </c>
      <c r="AD157" s="38">
        <f t="shared" si="3"/>
        <v>828473.34</v>
      </c>
      <c r="AE157" s="12"/>
      <c r="AF157" s="12">
        <f>COUNTIF($A$20:A157,A157)</f>
        <v>20</v>
      </c>
      <c r="AG157" s="38">
        <v>41423667</v>
      </c>
      <c r="AH157" s="38">
        <f>Tabla4[[#This Row],[VALOR CONTRAPARTIDA]]+Tabla4[[#This Row],[TOTAL APORTES ICBF]]</f>
        <v>42252140.340000004</v>
      </c>
      <c r="AI157" s="35"/>
      <c r="AJ157" s="38"/>
      <c r="AK157" s="38"/>
      <c r="AL157" s="23"/>
      <c r="AM157" s="35">
        <f>VLOOKUP(Tabla4[[#This Row],[SERVICIO 2025]],$J$2:$V$14,5,0)*Tabla4[[#This Row],[TOTAL COBERTURA]]</f>
        <v>938144</v>
      </c>
      <c r="AN157" s="35">
        <f>VLOOKUP(Tabla4[[#This Row],[SERVICIO 2025]],$J$2:$V$14,6,0)*Tabla4[[#This Row],[TOTAL COBERTURA]]</f>
        <v>779551</v>
      </c>
      <c r="AO157" s="35">
        <f>VLOOKUP(Tabla4[[#This Row],[SERVICIO 2025]],$J$2:$V$14,8,0)*Tabla4[[#This Row],[TOTAL COBERTURA]]</f>
        <v>552900</v>
      </c>
      <c r="AP157" s="35">
        <f>VLOOKUP(Tabla4[[#This Row],[SERVICIO 2025]],$J$2:$V$14,3,0)*Tabla4[[#This Row],[TOTAL COBERTURA]]*8</f>
        <v>39153072</v>
      </c>
      <c r="AQ157" s="35"/>
      <c r="AR157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157" s="35" t="str">
        <f>+IF(Tabla4[[#This Row],[AGRUPACIONES]]=1,SUMIFS(Tabla4[VALOR TOTAL],Tabla4[ZONA DEFINITIVO],Tabla4[[#This Row],[ZONA DEFINITIVO]])," ")</f>
        <v xml:space="preserve"> </v>
      </c>
      <c r="AT157" s="27">
        <f>(VLOOKUP(Tabla4[[#This Row],[SERVICIO 2025]],$J$2:$V$14,3,0)*Tabla4[[#This Row],[TOTAL COBERTURA]])+Tabla4[[#This Row],[VALOR FASE PREPARATORIA DE ALISTAMIENTO]]+Tabla4[[#This Row],[DOTACIÓN ÚNICA]]</f>
        <v>6385178</v>
      </c>
      <c r="AU157" s="35">
        <f>(VLOOKUP(Tabla4[[#This Row],[SERVICIO 2025]],$J$2:$V$14,3,0)*Tabla4[[#This Row],[TOTAL COBERTURA]])</f>
        <v>4894134</v>
      </c>
      <c r="AV157" s="35">
        <f>(VLOOKUP(Tabla4[[#This Row],[SERVICIO 2025]],$J$2:$V$14,3,0)*Tabla4[[#This Row],[TOTAL COBERTURA]])</f>
        <v>4894134</v>
      </c>
      <c r="AW157" s="35">
        <f>(VLOOKUP(Tabla4[[#This Row],[SERVICIO 2025]],$J$2:$V$14,3,0)*Tabla4[[#This Row],[TOTAL COBERTURA]])</f>
        <v>4894134</v>
      </c>
      <c r="AX157" s="35">
        <f>(VLOOKUP(Tabla4[[#This Row],[SERVICIO 2025]],$J$2:$V$14,3,0)*Tabla4[[#This Row],[TOTAL COBERTURA]])</f>
        <v>4894134</v>
      </c>
      <c r="AY157" s="35">
        <f>(VLOOKUP(Tabla4[[#This Row],[SERVICIO 2025]],$J$2:$V$14,3,0)*Tabla4[[#This Row],[TOTAL COBERTURA]])</f>
        <v>4894134</v>
      </c>
      <c r="AZ157" s="35">
        <f>(VLOOKUP(Tabla4[[#This Row],[SERVICIO 2025]],$J$2:$V$14,3,0)*Tabla4[[#This Row],[TOTAL COBERTURA]])</f>
        <v>4894134</v>
      </c>
      <c r="BA157" s="35">
        <f>(VLOOKUP(Tabla4[[#This Row],[SERVICIO 2025]],$J$2:$V$14,3,0)*Tabla4[[#This Row],[TOTAL COBERTURA]])+Tabla4[[#This Row],[VALOR FASE PREPARATORIA DE CIERRE]]</f>
        <v>5673685</v>
      </c>
      <c r="BB157" s="35">
        <f>SUM(Tabla4[[#This Row],[DESEMBOLSO 1]:[DESEMBOLSO 8]])</f>
        <v>41423667</v>
      </c>
      <c r="BC157" s="35"/>
      <c r="BD157" s="47" t="s">
        <v>97</v>
      </c>
      <c r="BE157" s="12" t="b">
        <f>EXACT(Tabla4[[#This Row],[VALOR ATENCIÓN (8 MESES)]],Tabla4[[#This Row],[VALOR TOTAL]])</f>
        <v>1</v>
      </c>
      <c r="BF157" s="23">
        <f>Tabla4[[#This Row],[VALOR ATENCIÓN (8 MESES)]]-Tabla4[[#This Row],[VALOR TOTAL]]</f>
        <v>0</v>
      </c>
      <c r="BG157" s="12" t="b">
        <f>EXACT(Tabla4[[#This Row],[TOTAL DESEMBOLSOS]],Tabla4[[#This Row],[VALOR ATENCIÓN (8 MESES)]])</f>
        <v>1</v>
      </c>
      <c r="BH157" s="29">
        <f>Tabla4[[#This Row],[TOTAL DESEMBOLSOS]]-Tabla4[[#This Row],[VALOR ATENCIÓN (8 MESES)]]</f>
        <v>0</v>
      </c>
      <c r="BI157" t="s">
        <v>392</v>
      </c>
    </row>
    <row r="158" spans="1:61">
      <c r="A158" s="13">
        <v>1897</v>
      </c>
      <c r="B158" s="13" t="s">
        <v>387</v>
      </c>
      <c r="C158" s="12" t="s">
        <v>87</v>
      </c>
      <c r="D158" s="12" t="s">
        <v>266</v>
      </c>
      <c r="E158" s="12" t="s">
        <v>376</v>
      </c>
      <c r="F158" s="12" t="s">
        <v>18</v>
      </c>
      <c r="G158" s="12" t="s">
        <v>90</v>
      </c>
      <c r="H158" s="12" t="s">
        <v>393</v>
      </c>
      <c r="I158" s="12">
        <v>58471136694</v>
      </c>
      <c r="J158" s="12" t="s">
        <v>431</v>
      </c>
      <c r="K158" s="12">
        <v>1</v>
      </c>
      <c r="L158" s="12">
        <v>21</v>
      </c>
      <c r="M158" s="12"/>
      <c r="N158" s="13">
        <v>1897</v>
      </c>
      <c r="O158" s="12" t="s">
        <v>93</v>
      </c>
      <c r="P158" s="12"/>
      <c r="Q158" s="12"/>
      <c r="R158" s="12" t="s">
        <v>94</v>
      </c>
      <c r="S158" s="12">
        <v>10</v>
      </c>
      <c r="T158" s="12" t="s">
        <v>390</v>
      </c>
      <c r="U158" s="12" t="s">
        <v>391</v>
      </c>
      <c r="V158" s="12">
        <f>VLOOKUP(Tabla4[[#This Row],[ZONA DEFINITIVO]],Hoja1!$A$1:$D$121,3,0)</f>
        <v>229183</v>
      </c>
      <c r="W158" s="12">
        <f>VLOOKUP(Tabla4[[#This Row],[ZONA DEFINITIVO]],Hoja1!$A$1:$D$121,2,0)</f>
        <v>16469</v>
      </c>
      <c r="X158" s="12">
        <f>VLOOKUP(Tabla4[[#This Row],[ZONA DEFINITIVO]],Hoja1!$A$1:$D$121,4,0)</f>
        <v>95625</v>
      </c>
      <c r="Y158" s="12" t="str">
        <f>+IF(Tabla4[[#This Row],[AGRUPACIONES]]=1,SUMIFS(Tabla4[UDS],Tabla4[ZONA DEFINITIVO],Tabla4[[#This Row],[ZONA DEFINITIVO]])," ")</f>
        <v xml:space="preserve"> </v>
      </c>
      <c r="Z158" s="12" t="str">
        <f>+IF(Tabla4[[#This Row],[AGRUPACIONES]]=1,SUMIFS(Tabla4[TOTAL COBERTURA],Tabla4[ZONA DEFINITIVO],Tabla4[[#This Row],[ZONA DEFINITIVO]])," ")</f>
        <v xml:space="preserve"> </v>
      </c>
      <c r="AA158" s="12"/>
      <c r="AB158" s="38">
        <v>45784053</v>
      </c>
      <c r="AC158" s="37">
        <v>0.02</v>
      </c>
      <c r="AD158" s="38">
        <f t="shared" si="3"/>
        <v>915681.06</v>
      </c>
      <c r="AE158" s="12"/>
      <c r="AF158" s="12">
        <f>COUNTIF($A$20:A158,A158)</f>
        <v>21</v>
      </c>
      <c r="AG158" s="38">
        <v>45784053</v>
      </c>
      <c r="AH158" s="38">
        <f>Tabla4[[#This Row],[VALOR CONTRAPARTIDA]]+Tabla4[[#This Row],[TOTAL APORTES ICBF]]</f>
        <v>46699734.060000002</v>
      </c>
      <c r="AI158" s="35"/>
      <c r="AJ158" s="38"/>
      <c r="AK158" s="38"/>
      <c r="AL158" s="23"/>
      <c r="AM158" s="35">
        <f>VLOOKUP(Tabla4[[#This Row],[SERVICIO 2025]],$J$2:$V$14,5,0)*Tabla4[[#This Row],[TOTAL COBERTURA]]</f>
        <v>1036896</v>
      </c>
      <c r="AN158" s="35">
        <f>VLOOKUP(Tabla4[[#This Row],[SERVICIO 2025]],$J$2:$V$14,6,0)*Tabla4[[#This Row],[TOTAL COBERTURA]]</f>
        <v>861609</v>
      </c>
      <c r="AO158" s="35">
        <f>VLOOKUP(Tabla4[[#This Row],[SERVICIO 2025]],$J$2:$V$14,8,0)*Tabla4[[#This Row],[TOTAL COBERTURA]]</f>
        <v>611100</v>
      </c>
      <c r="AP158" s="35">
        <f>VLOOKUP(Tabla4[[#This Row],[SERVICIO 2025]],$J$2:$V$14,3,0)*Tabla4[[#This Row],[TOTAL COBERTURA]]*8</f>
        <v>43274448</v>
      </c>
      <c r="AQ158" s="35"/>
      <c r="AR158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158" s="35" t="str">
        <f>+IF(Tabla4[[#This Row],[AGRUPACIONES]]=1,SUMIFS(Tabla4[VALOR TOTAL],Tabla4[ZONA DEFINITIVO],Tabla4[[#This Row],[ZONA DEFINITIVO]])," ")</f>
        <v xml:space="preserve"> </v>
      </c>
      <c r="AT158" s="27">
        <f>(VLOOKUP(Tabla4[[#This Row],[SERVICIO 2025]],$J$2:$V$14,3,0)*Tabla4[[#This Row],[TOTAL COBERTURA]])+Tabla4[[#This Row],[VALOR FASE PREPARATORIA DE ALISTAMIENTO]]+Tabla4[[#This Row],[DOTACIÓN ÚNICA]]</f>
        <v>7057302</v>
      </c>
      <c r="AU158" s="35">
        <f>(VLOOKUP(Tabla4[[#This Row],[SERVICIO 2025]],$J$2:$V$14,3,0)*Tabla4[[#This Row],[TOTAL COBERTURA]])</f>
        <v>5409306</v>
      </c>
      <c r="AV158" s="35">
        <f>(VLOOKUP(Tabla4[[#This Row],[SERVICIO 2025]],$J$2:$V$14,3,0)*Tabla4[[#This Row],[TOTAL COBERTURA]])</f>
        <v>5409306</v>
      </c>
      <c r="AW158" s="35">
        <f>(VLOOKUP(Tabla4[[#This Row],[SERVICIO 2025]],$J$2:$V$14,3,0)*Tabla4[[#This Row],[TOTAL COBERTURA]])</f>
        <v>5409306</v>
      </c>
      <c r="AX158" s="35">
        <f>(VLOOKUP(Tabla4[[#This Row],[SERVICIO 2025]],$J$2:$V$14,3,0)*Tabla4[[#This Row],[TOTAL COBERTURA]])</f>
        <v>5409306</v>
      </c>
      <c r="AY158" s="35">
        <f>(VLOOKUP(Tabla4[[#This Row],[SERVICIO 2025]],$J$2:$V$14,3,0)*Tabla4[[#This Row],[TOTAL COBERTURA]])</f>
        <v>5409306</v>
      </c>
      <c r="AZ158" s="35">
        <f>(VLOOKUP(Tabla4[[#This Row],[SERVICIO 2025]],$J$2:$V$14,3,0)*Tabla4[[#This Row],[TOTAL COBERTURA]])</f>
        <v>5409306</v>
      </c>
      <c r="BA158" s="35">
        <f>(VLOOKUP(Tabla4[[#This Row],[SERVICIO 2025]],$J$2:$V$14,3,0)*Tabla4[[#This Row],[TOTAL COBERTURA]])+Tabla4[[#This Row],[VALOR FASE PREPARATORIA DE CIERRE]]</f>
        <v>6270915</v>
      </c>
      <c r="BB158" s="35">
        <f>SUM(Tabla4[[#This Row],[DESEMBOLSO 1]:[DESEMBOLSO 8]])</f>
        <v>45784053</v>
      </c>
      <c r="BC158" s="35"/>
      <c r="BD158" s="47" t="s">
        <v>97</v>
      </c>
      <c r="BE158" s="12" t="b">
        <f>EXACT(Tabla4[[#This Row],[VALOR ATENCIÓN (8 MESES)]],Tabla4[[#This Row],[VALOR TOTAL]])</f>
        <v>1</v>
      </c>
      <c r="BF158" s="23">
        <f>Tabla4[[#This Row],[VALOR ATENCIÓN (8 MESES)]]-Tabla4[[#This Row],[VALOR TOTAL]]</f>
        <v>0</v>
      </c>
      <c r="BG158" s="12" t="b">
        <f>EXACT(Tabla4[[#This Row],[TOTAL DESEMBOLSOS]],Tabla4[[#This Row],[VALOR ATENCIÓN (8 MESES)]])</f>
        <v>1</v>
      </c>
      <c r="BH158" s="29">
        <f>Tabla4[[#This Row],[TOTAL DESEMBOLSOS]]-Tabla4[[#This Row],[VALOR ATENCIÓN (8 MESES)]]</f>
        <v>0</v>
      </c>
      <c r="BI158" t="s">
        <v>392</v>
      </c>
    </row>
    <row r="159" spans="1:61">
      <c r="A159" s="13">
        <v>1897</v>
      </c>
      <c r="B159" s="13" t="s">
        <v>387</v>
      </c>
      <c r="C159" s="12" t="s">
        <v>87</v>
      </c>
      <c r="D159" s="12" t="s">
        <v>266</v>
      </c>
      <c r="E159" s="12" t="s">
        <v>376</v>
      </c>
      <c r="F159" s="12" t="s">
        <v>18</v>
      </c>
      <c r="G159" s="12" t="s">
        <v>90</v>
      </c>
      <c r="H159" s="12" t="s">
        <v>432</v>
      </c>
      <c r="I159" s="12">
        <v>58471136696</v>
      </c>
      <c r="J159" s="12" t="s">
        <v>433</v>
      </c>
      <c r="K159" s="12">
        <v>1</v>
      </c>
      <c r="L159" s="12">
        <v>9</v>
      </c>
      <c r="M159" s="12"/>
      <c r="N159" s="13">
        <v>1897</v>
      </c>
      <c r="O159" s="12" t="s">
        <v>93</v>
      </c>
      <c r="P159" s="12"/>
      <c r="Q159" s="12"/>
      <c r="R159" s="12" t="s">
        <v>94</v>
      </c>
      <c r="S159" s="12">
        <v>10</v>
      </c>
      <c r="T159" s="12" t="s">
        <v>390</v>
      </c>
      <c r="U159" s="12" t="s">
        <v>391</v>
      </c>
      <c r="V159" s="12">
        <f>VLOOKUP(Tabla4[[#This Row],[ZONA DEFINITIVO]],Hoja1!$A$1:$D$121,3,0)</f>
        <v>229183</v>
      </c>
      <c r="W159" s="12">
        <f>VLOOKUP(Tabla4[[#This Row],[ZONA DEFINITIVO]],Hoja1!$A$1:$D$121,2,0)</f>
        <v>16469</v>
      </c>
      <c r="X159" s="12">
        <f>VLOOKUP(Tabla4[[#This Row],[ZONA DEFINITIVO]],Hoja1!$A$1:$D$121,4,0)</f>
        <v>95625</v>
      </c>
      <c r="Y159" s="12" t="str">
        <f>+IF(Tabla4[[#This Row],[AGRUPACIONES]]=1,SUMIFS(Tabla4[UDS],Tabla4[ZONA DEFINITIVO],Tabla4[[#This Row],[ZONA DEFINITIVO]])," ")</f>
        <v xml:space="preserve"> </v>
      </c>
      <c r="Z159" s="12" t="str">
        <f>+IF(Tabla4[[#This Row],[AGRUPACIONES]]=1,SUMIFS(Tabla4[TOTAL COBERTURA],Tabla4[ZONA DEFINITIVO],Tabla4[[#This Row],[ZONA DEFINITIVO]])," ")</f>
        <v xml:space="preserve"> </v>
      </c>
      <c r="AA159" s="12"/>
      <c r="AB159" s="38">
        <v>19621737</v>
      </c>
      <c r="AC159" s="37">
        <v>0.02</v>
      </c>
      <c r="AD159" s="38">
        <f t="shared" si="3"/>
        <v>392434.74</v>
      </c>
      <c r="AE159" s="12"/>
      <c r="AF159" s="12">
        <f>COUNTIF($A$20:A159,A159)</f>
        <v>22</v>
      </c>
      <c r="AG159" s="38">
        <v>19621737</v>
      </c>
      <c r="AH159" s="38">
        <f>Tabla4[[#This Row],[VALOR CONTRAPARTIDA]]+Tabla4[[#This Row],[TOTAL APORTES ICBF]]</f>
        <v>20014171.739999998</v>
      </c>
      <c r="AI159" s="35"/>
      <c r="AJ159" s="38"/>
      <c r="AK159" s="38"/>
      <c r="AL159" s="23"/>
      <c r="AM159" s="35">
        <f>VLOOKUP(Tabla4[[#This Row],[SERVICIO 2025]],$J$2:$V$14,5,0)*Tabla4[[#This Row],[TOTAL COBERTURA]]</f>
        <v>444384</v>
      </c>
      <c r="AN159" s="35">
        <f>VLOOKUP(Tabla4[[#This Row],[SERVICIO 2025]],$J$2:$V$14,6,0)*Tabla4[[#This Row],[TOTAL COBERTURA]]</f>
        <v>369261</v>
      </c>
      <c r="AO159" s="35">
        <f>VLOOKUP(Tabla4[[#This Row],[SERVICIO 2025]],$J$2:$V$14,8,0)*Tabla4[[#This Row],[TOTAL COBERTURA]]</f>
        <v>261900</v>
      </c>
      <c r="AP159" s="35">
        <f>VLOOKUP(Tabla4[[#This Row],[SERVICIO 2025]],$J$2:$V$14,3,0)*Tabla4[[#This Row],[TOTAL COBERTURA]]*8</f>
        <v>18546192</v>
      </c>
      <c r="AQ159" s="35"/>
      <c r="AR159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159" s="35" t="str">
        <f>+IF(Tabla4[[#This Row],[AGRUPACIONES]]=1,SUMIFS(Tabla4[VALOR TOTAL],Tabla4[ZONA DEFINITIVO],Tabla4[[#This Row],[ZONA DEFINITIVO]])," ")</f>
        <v xml:space="preserve"> </v>
      </c>
      <c r="AT159" s="27">
        <f>(VLOOKUP(Tabla4[[#This Row],[SERVICIO 2025]],$J$2:$V$14,3,0)*Tabla4[[#This Row],[TOTAL COBERTURA]])+Tabla4[[#This Row],[VALOR FASE PREPARATORIA DE ALISTAMIENTO]]+Tabla4[[#This Row],[DOTACIÓN ÚNICA]]</f>
        <v>3024558</v>
      </c>
      <c r="AU159" s="35">
        <f>(VLOOKUP(Tabla4[[#This Row],[SERVICIO 2025]],$J$2:$V$14,3,0)*Tabla4[[#This Row],[TOTAL COBERTURA]])</f>
        <v>2318274</v>
      </c>
      <c r="AV159" s="35">
        <f>(VLOOKUP(Tabla4[[#This Row],[SERVICIO 2025]],$J$2:$V$14,3,0)*Tabla4[[#This Row],[TOTAL COBERTURA]])</f>
        <v>2318274</v>
      </c>
      <c r="AW159" s="35">
        <f>(VLOOKUP(Tabla4[[#This Row],[SERVICIO 2025]],$J$2:$V$14,3,0)*Tabla4[[#This Row],[TOTAL COBERTURA]])</f>
        <v>2318274</v>
      </c>
      <c r="AX159" s="35">
        <f>(VLOOKUP(Tabla4[[#This Row],[SERVICIO 2025]],$J$2:$V$14,3,0)*Tabla4[[#This Row],[TOTAL COBERTURA]])</f>
        <v>2318274</v>
      </c>
      <c r="AY159" s="35">
        <f>(VLOOKUP(Tabla4[[#This Row],[SERVICIO 2025]],$J$2:$V$14,3,0)*Tabla4[[#This Row],[TOTAL COBERTURA]])</f>
        <v>2318274</v>
      </c>
      <c r="AZ159" s="35">
        <f>(VLOOKUP(Tabla4[[#This Row],[SERVICIO 2025]],$J$2:$V$14,3,0)*Tabla4[[#This Row],[TOTAL COBERTURA]])</f>
        <v>2318274</v>
      </c>
      <c r="BA159" s="35">
        <f>(VLOOKUP(Tabla4[[#This Row],[SERVICIO 2025]],$J$2:$V$14,3,0)*Tabla4[[#This Row],[TOTAL COBERTURA]])+Tabla4[[#This Row],[VALOR FASE PREPARATORIA DE CIERRE]]</f>
        <v>2687535</v>
      </c>
      <c r="BB159" s="35">
        <f>SUM(Tabla4[[#This Row],[DESEMBOLSO 1]:[DESEMBOLSO 8]])</f>
        <v>19621737</v>
      </c>
      <c r="BC159" s="35"/>
      <c r="BD159" s="47" t="s">
        <v>97</v>
      </c>
      <c r="BE159" s="12" t="b">
        <f>EXACT(Tabla4[[#This Row],[VALOR ATENCIÓN (8 MESES)]],Tabla4[[#This Row],[VALOR TOTAL]])</f>
        <v>1</v>
      </c>
      <c r="BF159" s="23">
        <f>Tabla4[[#This Row],[VALOR ATENCIÓN (8 MESES)]]-Tabla4[[#This Row],[VALOR TOTAL]]</f>
        <v>0</v>
      </c>
      <c r="BG159" s="12" t="b">
        <f>EXACT(Tabla4[[#This Row],[TOTAL DESEMBOLSOS]],Tabla4[[#This Row],[VALOR ATENCIÓN (8 MESES)]])</f>
        <v>1</v>
      </c>
      <c r="BH159" s="29">
        <f>Tabla4[[#This Row],[TOTAL DESEMBOLSOS]]-Tabla4[[#This Row],[VALOR ATENCIÓN (8 MESES)]]</f>
        <v>0</v>
      </c>
      <c r="BI159" t="s">
        <v>392</v>
      </c>
    </row>
    <row r="160" spans="1:61">
      <c r="A160" s="13">
        <v>1897</v>
      </c>
      <c r="B160" s="13" t="s">
        <v>387</v>
      </c>
      <c r="C160" s="12" t="s">
        <v>87</v>
      </c>
      <c r="D160" s="12" t="s">
        <v>266</v>
      </c>
      <c r="E160" s="12" t="s">
        <v>376</v>
      </c>
      <c r="F160" s="12" t="s">
        <v>18</v>
      </c>
      <c r="G160" s="12" t="s">
        <v>90</v>
      </c>
      <c r="H160" s="12" t="s">
        <v>434</v>
      </c>
      <c r="I160" s="12">
        <v>58471136753</v>
      </c>
      <c r="J160" s="12" t="s">
        <v>435</v>
      </c>
      <c r="K160" s="12">
        <v>1</v>
      </c>
      <c r="L160" s="12">
        <v>20</v>
      </c>
      <c r="M160" s="12"/>
      <c r="N160" s="13">
        <v>1897</v>
      </c>
      <c r="O160" s="12" t="s">
        <v>93</v>
      </c>
      <c r="P160" s="12"/>
      <c r="Q160" s="12"/>
      <c r="R160" s="12" t="s">
        <v>94</v>
      </c>
      <c r="S160" s="12">
        <v>10</v>
      </c>
      <c r="T160" s="12" t="s">
        <v>390</v>
      </c>
      <c r="U160" s="12" t="s">
        <v>391</v>
      </c>
      <c r="V160" s="12">
        <f>VLOOKUP(Tabla4[[#This Row],[ZONA DEFINITIVO]],Hoja1!$A$1:$D$121,3,0)</f>
        <v>229183</v>
      </c>
      <c r="W160" s="12">
        <f>VLOOKUP(Tabla4[[#This Row],[ZONA DEFINITIVO]],Hoja1!$A$1:$D$121,2,0)</f>
        <v>16469</v>
      </c>
      <c r="X160" s="12">
        <f>VLOOKUP(Tabla4[[#This Row],[ZONA DEFINITIVO]],Hoja1!$A$1:$D$121,4,0)</f>
        <v>95625</v>
      </c>
      <c r="Y160" s="12" t="str">
        <f>+IF(Tabla4[[#This Row],[AGRUPACIONES]]=1,SUMIFS(Tabla4[UDS],Tabla4[ZONA DEFINITIVO],Tabla4[[#This Row],[ZONA DEFINITIVO]])," ")</f>
        <v xml:space="preserve"> </v>
      </c>
      <c r="Z160" s="12" t="str">
        <f>+IF(Tabla4[[#This Row],[AGRUPACIONES]]=1,SUMIFS(Tabla4[TOTAL COBERTURA],Tabla4[ZONA DEFINITIVO],Tabla4[[#This Row],[ZONA DEFINITIVO]])," ")</f>
        <v xml:space="preserve"> </v>
      </c>
      <c r="AA160" s="12"/>
      <c r="AB160" s="38">
        <v>43603860</v>
      </c>
      <c r="AC160" s="37">
        <v>0.02</v>
      </c>
      <c r="AD160" s="38">
        <f t="shared" si="3"/>
        <v>872077.20000000007</v>
      </c>
      <c r="AE160" s="12"/>
      <c r="AF160" s="12">
        <f>COUNTIF($A$20:A160,A160)</f>
        <v>23</v>
      </c>
      <c r="AG160" s="38">
        <v>43603860</v>
      </c>
      <c r="AH160" s="38">
        <f>Tabla4[[#This Row],[VALOR CONTRAPARTIDA]]+Tabla4[[#This Row],[TOTAL APORTES ICBF]]</f>
        <v>44475937.200000003</v>
      </c>
      <c r="AI160" s="35"/>
      <c r="AJ160" s="38"/>
      <c r="AK160" s="38"/>
      <c r="AL160" s="23"/>
      <c r="AM160" s="35">
        <f>VLOOKUP(Tabla4[[#This Row],[SERVICIO 2025]],$J$2:$V$14,5,0)*Tabla4[[#This Row],[TOTAL COBERTURA]]</f>
        <v>987520</v>
      </c>
      <c r="AN160" s="35">
        <f>VLOOKUP(Tabla4[[#This Row],[SERVICIO 2025]],$J$2:$V$14,6,0)*Tabla4[[#This Row],[TOTAL COBERTURA]]</f>
        <v>820580</v>
      </c>
      <c r="AO160" s="35">
        <f>VLOOKUP(Tabla4[[#This Row],[SERVICIO 2025]],$J$2:$V$14,8,0)*Tabla4[[#This Row],[TOTAL COBERTURA]]</f>
        <v>582000</v>
      </c>
      <c r="AP160" s="35">
        <f>VLOOKUP(Tabla4[[#This Row],[SERVICIO 2025]],$J$2:$V$14,3,0)*Tabla4[[#This Row],[TOTAL COBERTURA]]*8</f>
        <v>41213760</v>
      </c>
      <c r="AQ160" s="35"/>
      <c r="AR160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60" s="35" t="str">
        <f>+IF(Tabla4[[#This Row],[AGRUPACIONES]]=1,SUMIFS(Tabla4[VALOR TOTAL],Tabla4[ZONA DEFINITIVO],Tabla4[[#This Row],[ZONA DEFINITIVO]])," ")</f>
        <v xml:space="preserve"> </v>
      </c>
      <c r="AT160" s="27">
        <f>(VLOOKUP(Tabla4[[#This Row],[SERVICIO 2025]],$J$2:$V$14,3,0)*Tabla4[[#This Row],[TOTAL COBERTURA]])+Tabla4[[#This Row],[VALOR FASE PREPARATORIA DE ALISTAMIENTO]]+Tabla4[[#This Row],[DOTACIÓN ÚNICA]]</f>
        <v>6721240</v>
      </c>
      <c r="AU160" s="35">
        <f>(VLOOKUP(Tabla4[[#This Row],[SERVICIO 2025]],$J$2:$V$14,3,0)*Tabla4[[#This Row],[TOTAL COBERTURA]])</f>
        <v>5151720</v>
      </c>
      <c r="AV160" s="35">
        <f>(VLOOKUP(Tabla4[[#This Row],[SERVICIO 2025]],$J$2:$V$14,3,0)*Tabla4[[#This Row],[TOTAL COBERTURA]])</f>
        <v>5151720</v>
      </c>
      <c r="AW160" s="35">
        <f>(VLOOKUP(Tabla4[[#This Row],[SERVICIO 2025]],$J$2:$V$14,3,0)*Tabla4[[#This Row],[TOTAL COBERTURA]])</f>
        <v>5151720</v>
      </c>
      <c r="AX160" s="35">
        <f>(VLOOKUP(Tabla4[[#This Row],[SERVICIO 2025]],$J$2:$V$14,3,0)*Tabla4[[#This Row],[TOTAL COBERTURA]])</f>
        <v>5151720</v>
      </c>
      <c r="AY160" s="35">
        <f>(VLOOKUP(Tabla4[[#This Row],[SERVICIO 2025]],$J$2:$V$14,3,0)*Tabla4[[#This Row],[TOTAL COBERTURA]])</f>
        <v>5151720</v>
      </c>
      <c r="AZ160" s="35">
        <f>(VLOOKUP(Tabla4[[#This Row],[SERVICIO 2025]],$J$2:$V$14,3,0)*Tabla4[[#This Row],[TOTAL COBERTURA]])</f>
        <v>5151720</v>
      </c>
      <c r="BA160" s="35">
        <f>(VLOOKUP(Tabla4[[#This Row],[SERVICIO 2025]],$J$2:$V$14,3,0)*Tabla4[[#This Row],[TOTAL COBERTURA]])+Tabla4[[#This Row],[VALOR FASE PREPARATORIA DE CIERRE]]</f>
        <v>5972300</v>
      </c>
      <c r="BB160" s="35">
        <f>SUM(Tabla4[[#This Row],[DESEMBOLSO 1]:[DESEMBOLSO 8]])</f>
        <v>43603860</v>
      </c>
      <c r="BC160" s="35"/>
      <c r="BD160" s="47" t="s">
        <v>97</v>
      </c>
      <c r="BE160" s="12" t="b">
        <f>EXACT(Tabla4[[#This Row],[VALOR ATENCIÓN (8 MESES)]],Tabla4[[#This Row],[VALOR TOTAL]])</f>
        <v>1</v>
      </c>
      <c r="BF160" s="23">
        <f>Tabla4[[#This Row],[VALOR ATENCIÓN (8 MESES)]]-Tabla4[[#This Row],[VALOR TOTAL]]</f>
        <v>0</v>
      </c>
      <c r="BG160" s="12" t="b">
        <f>EXACT(Tabla4[[#This Row],[TOTAL DESEMBOLSOS]],Tabla4[[#This Row],[VALOR ATENCIÓN (8 MESES)]])</f>
        <v>1</v>
      </c>
      <c r="BH160" s="29">
        <f>Tabla4[[#This Row],[TOTAL DESEMBOLSOS]]-Tabla4[[#This Row],[VALOR ATENCIÓN (8 MESES)]]</f>
        <v>0</v>
      </c>
      <c r="BI160" t="s">
        <v>392</v>
      </c>
    </row>
    <row r="161" spans="1:62">
      <c r="A161" s="13">
        <v>1897</v>
      </c>
      <c r="B161" s="13" t="s">
        <v>387</v>
      </c>
      <c r="C161" s="12" t="s">
        <v>87</v>
      </c>
      <c r="D161" s="12" t="s">
        <v>266</v>
      </c>
      <c r="E161" s="12" t="s">
        <v>376</v>
      </c>
      <c r="F161" s="12" t="s">
        <v>18</v>
      </c>
      <c r="G161" s="12" t="s">
        <v>90</v>
      </c>
      <c r="H161" s="12" t="s">
        <v>436</v>
      </c>
      <c r="I161" s="12">
        <v>58471143636</v>
      </c>
      <c r="J161" s="12" t="s">
        <v>437</v>
      </c>
      <c r="K161" s="12">
        <v>1</v>
      </c>
      <c r="L161" s="12">
        <v>18</v>
      </c>
      <c r="M161" s="12"/>
      <c r="N161" s="13">
        <v>1897</v>
      </c>
      <c r="O161" s="12" t="s">
        <v>93</v>
      </c>
      <c r="P161" s="12"/>
      <c r="Q161" s="12"/>
      <c r="R161" s="12" t="s">
        <v>94</v>
      </c>
      <c r="S161" s="12">
        <v>10</v>
      </c>
      <c r="T161" s="12" t="s">
        <v>390</v>
      </c>
      <c r="U161" s="12" t="s">
        <v>391</v>
      </c>
      <c r="V161" s="12">
        <f>VLOOKUP(Tabla4[[#This Row],[ZONA DEFINITIVO]],Hoja1!$A$1:$D$121,3,0)</f>
        <v>229183</v>
      </c>
      <c r="W161" s="12">
        <f>VLOOKUP(Tabla4[[#This Row],[ZONA DEFINITIVO]],Hoja1!$A$1:$D$121,2,0)</f>
        <v>16469</v>
      </c>
      <c r="X161" s="12">
        <f>VLOOKUP(Tabla4[[#This Row],[ZONA DEFINITIVO]],Hoja1!$A$1:$D$121,4,0)</f>
        <v>95625</v>
      </c>
      <c r="Y161" s="12" t="str">
        <f>+IF(Tabla4[[#This Row],[AGRUPACIONES]]=1,SUMIFS(Tabla4[UDS],Tabla4[ZONA DEFINITIVO],Tabla4[[#This Row],[ZONA DEFINITIVO]])," ")</f>
        <v xml:space="preserve"> </v>
      </c>
      <c r="Z161" s="12" t="str">
        <f>+IF(Tabla4[[#This Row],[AGRUPACIONES]]=1,SUMIFS(Tabla4[TOTAL COBERTURA],Tabla4[ZONA DEFINITIVO],Tabla4[[#This Row],[ZONA DEFINITIVO]])," ")</f>
        <v xml:space="preserve"> </v>
      </c>
      <c r="AA161" s="12"/>
      <c r="AB161" s="38">
        <v>39243474</v>
      </c>
      <c r="AC161" s="37">
        <v>0.02</v>
      </c>
      <c r="AD161" s="38">
        <f t="shared" si="3"/>
        <v>784869.48</v>
      </c>
      <c r="AE161" s="12"/>
      <c r="AF161" s="12">
        <f>COUNTIF($A$20:A161,A161)</f>
        <v>24</v>
      </c>
      <c r="AG161" s="38">
        <v>39243474</v>
      </c>
      <c r="AH161" s="38">
        <f>Tabla4[[#This Row],[VALOR CONTRAPARTIDA]]+Tabla4[[#This Row],[TOTAL APORTES ICBF]]</f>
        <v>40028343.479999997</v>
      </c>
      <c r="AI161" s="35"/>
      <c r="AJ161" s="38"/>
      <c r="AK161" s="38"/>
      <c r="AL161" s="23"/>
      <c r="AM161" s="35">
        <f>VLOOKUP(Tabla4[[#This Row],[SERVICIO 2025]],$J$2:$V$14,5,0)*Tabla4[[#This Row],[TOTAL COBERTURA]]</f>
        <v>888768</v>
      </c>
      <c r="AN161" s="35">
        <f>VLOOKUP(Tabla4[[#This Row],[SERVICIO 2025]],$J$2:$V$14,6,0)*Tabla4[[#This Row],[TOTAL COBERTURA]]</f>
        <v>738522</v>
      </c>
      <c r="AO161" s="35">
        <f>VLOOKUP(Tabla4[[#This Row],[SERVICIO 2025]],$J$2:$V$14,8,0)*Tabla4[[#This Row],[TOTAL COBERTURA]]</f>
        <v>523800</v>
      </c>
      <c r="AP161" s="35">
        <f>VLOOKUP(Tabla4[[#This Row],[SERVICIO 2025]],$J$2:$V$14,3,0)*Tabla4[[#This Row],[TOTAL COBERTURA]]*8</f>
        <v>37092384</v>
      </c>
      <c r="AQ161" s="35"/>
      <c r="AR161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161" s="35" t="str">
        <f>+IF(Tabla4[[#This Row],[AGRUPACIONES]]=1,SUMIFS(Tabla4[VALOR TOTAL],Tabla4[ZONA DEFINITIVO],Tabla4[[#This Row],[ZONA DEFINITIVO]])," ")</f>
        <v xml:space="preserve"> </v>
      </c>
      <c r="AT161" s="27">
        <f>(VLOOKUP(Tabla4[[#This Row],[SERVICIO 2025]],$J$2:$V$14,3,0)*Tabla4[[#This Row],[TOTAL COBERTURA]])+Tabla4[[#This Row],[VALOR FASE PREPARATORIA DE ALISTAMIENTO]]+Tabla4[[#This Row],[DOTACIÓN ÚNICA]]</f>
        <v>6049116</v>
      </c>
      <c r="AU161" s="35">
        <f>(VLOOKUP(Tabla4[[#This Row],[SERVICIO 2025]],$J$2:$V$14,3,0)*Tabla4[[#This Row],[TOTAL COBERTURA]])</f>
        <v>4636548</v>
      </c>
      <c r="AV161" s="35">
        <f>(VLOOKUP(Tabla4[[#This Row],[SERVICIO 2025]],$J$2:$V$14,3,0)*Tabla4[[#This Row],[TOTAL COBERTURA]])</f>
        <v>4636548</v>
      </c>
      <c r="AW161" s="35">
        <f>(VLOOKUP(Tabla4[[#This Row],[SERVICIO 2025]],$J$2:$V$14,3,0)*Tabla4[[#This Row],[TOTAL COBERTURA]])</f>
        <v>4636548</v>
      </c>
      <c r="AX161" s="35">
        <f>(VLOOKUP(Tabla4[[#This Row],[SERVICIO 2025]],$J$2:$V$14,3,0)*Tabla4[[#This Row],[TOTAL COBERTURA]])</f>
        <v>4636548</v>
      </c>
      <c r="AY161" s="35">
        <f>(VLOOKUP(Tabla4[[#This Row],[SERVICIO 2025]],$J$2:$V$14,3,0)*Tabla4[[#This Row],[TOTAL COBERTURA]])</f>
        <v>4636548</v>
      </c>
      <c r="AZ161" s="35">
        <f>(VLOOKUP(Tabla4[[#This Row],[SERVICIO 2025]],$J$2:$V$14,3,0)*Tabla4[[#This Row],[TOTAL COBERTURA]])</f>
        <v>4636548</v>
      </c>
      <c r="BA161" s="35">
        <f>(VLOOKUP(Tabla4[[#This Row],[SERVICIO 2025]],$J$2:$V$14,3,0)*Tabla4[[#This Row],[TOTAL COBERTURA]])+Tabla4[[#This Row],[VALOR FASE PREPARATORIA DE CIERRE]]</f>
        <v>5375070</v>
      </c>
      <c r="BB161" s="35">
        <f>SUM(Tabla4[[#This Row],[DESEMBOLSO 1]:[DESEMBOLSO 8]])</f>
        <v>39243474</v>
      </c>
      <c r="BC161" s="35"/>
      <c r="BD161" s="47" t="s">
        <v>97</v>
      </c>
      <c r="BE161" s="12" t="b">
        <f>EXACT(Tabla4[[#This Row],[VALOR ATENCIÓN (8 MESES)]],Tabla4[[#This Row],[VALOR TOTAL]])</f>
        <v>1</v>
      </c>
      <c r="BF161" s="23">
        <f>Tabla4[[#This Row],[VALOR ATENCIÓN (8 MESES)]]-Tabla4[[#This Row],[VALOR TOTAL]]</f>
        <v>0</v>
      </c>
      <c r="BG161" s="12" t="b">
        <f>EXACT(Tabla4[[#This Row],[TOTAL DESEMBOLSOS]],Tabla4[[#This Row],[VALOR ATENCIÓN (8 MESES)]])</f>
        <v>1</v>
      </c>
      <c r="BH161" s="29">
        <f>Tabla4[[#This Row],[TOTAL DESEMBOLSOS]]-Tabla4[[#This Row],[VALOR ATENCIÓN (8 MESES)]]</f>
        <v>0</v>
      </c>
      <c r="BI161" t="s">
        <v>392</v>
      </c>
    </row>
    <row r="162" spans="1:62">
      <c r="A162" s="13">
        <v>1897</v>
      </c>
      <c r="B162" s="13" t="s">
        <v>387</v>
      </c>
      <c r="C162" s="12" t="s">
        <v>87</v>
      </c>
      <c r="D162" s="12" t="s">
        <v>266</v>
      </c>
      <c r="E162" s="12" t="s">
        <v>376</v>
      </c>
      <c r="F162" s="12" t="s">
        <v>18</v>
      </c>
      <c r="G162" s="12" t="s">
        <v>90</v>
      </c>
      <c r="H162" s="12" t="s">
        <v>438</v>
      </c>
      <c r="I162" s="12">
        <v>58471143696</v>
      </c>
      <c r="J162" s="12" t="s">
        <v>439</v>
      </c>
      <c r="K162" s="12">
        <v>1</v>
      </c>
      <c r="L162" s="12">
        <v>23</v>
      </c>
      <c r="M162" s="12"/>
      <c r="N162" s="13">
        <v>1897</v>
      </c>
      <c r="O162" s="12" t="s">
        <v>93</v>
      </c>
      <c r="P162" s="12"/>
      <c r="Q162" s="12"/>
      <c r="R162" s="12" t="s">
        <v>94</v>
      </c>
      <c r="S162" s="12">
        <v>10</v>
      </c>
      <c r="T162" s="12" t="s">
        <v>390</v>
      </c>
      <c r="U162" s="12" t="s">
        <v>391</v>
      </c>
      <c r="V162" s="12">
        <f>VLOOKUP(Tabla4[[#This Row],[ZONA DEFINITIVO]],Hoja1!$A$1:$D$121,3,0)</f>
        <v>229183</v>
      </c>
      <c r="W162" s="12">
        <f>VLOOKUP(Tabla4[[#This Row],[ZONA DEFINITIVO]],Hoja1!$A$1:$D$121,2,0)</f>
        <v>16469</v>
      </c>
      <c r="X162" s="12">
        <f>VLOOKUP(Tabla4[[#This Row],[ZONA DEFINITIVO]],Hoja1!$A$1:$D$121,4,0)</f>
        <v>95625</v>
      </c>
      <c r="Y162" s="12" t="str">
        <f>+IF(Tabla4[[#This Row],[AGRUPACIONES]]=1,SUMIFS(Tabla4[UDS],Tabla4[ZONA DEFINITIVO],Tabla4[[#This Row],[ZONA DEFINITIVO]])," ")</f>
        <v xml:space="preserve"> </v>
      </c>
      <c r="Z162" s="12" t="str">
        <f>+IF(Tabla4[[#This Row],[AGRUPACIONES]]=1,SUMIFS(Tabla4[TOTAL COBERTURA],Tabla4[ZONA DEFINITIVO],Tabla4[[#This Row],[ZONA DEFINITIVO]])," ")</f>
        <v xml:space="preserve"> </v>
      </c>
      <c r="AA162" s="12"/>
      <c r="AB162" s="38">
        <v>50144439</v>
      </c>
      <c r="AC162" s="37">
        <v>0.02</v>
      </c>
      <c r="AD162" s="38">
        <f t="shared" si="3"/>
        <v>1002888.78</v>
      </c>
      <c r="AE162" s="12"/>
      <c r="AF162" s="12">
        <f>COUNTIF($A$20:A162,A162)</f>
        <v>25</v>
      </c>
      <c r="AG162" s="38">
        <v>50144439</v>
      </c>
      <c r="AH162" s="38">
        <f>Tabla4[[#This Row],[VALOR CONTRAPARTIDA]]+Tabla4[[#This Row],[TOTAL APORTES ICBF]]</f>
        <v>51147327.780000001</v>
      </c>
      <c r="AI162" s="35"/>
      <c r="AJ162" s="38"/>
      <c r="AK162" s="38"/>
      <c r="AL162" s="23"/>
      <c r="AM162" s="35">
        <f>VLOOKUP(Tabla4[[#This Row],[SERVICIO 2025]],$J$2:$V$14,5,0)*Tabla4[[#This Row],[TOTAL COBERTURA]]</f>
        <v>1135648</v>
      </c>
      <c r="AN162" s="35">
        <f>VLOOKUP(Tabla4[[#This Row],[SERVICIO 2025]],$J$2:$V$14,6,0)*Tabla4[[#This Row],[TOTAL COBERTURA]]</f>
        <v>943667</v>
      </c>
      <c r="AO162" s="35">
        <f>VLOOKUP(Tabla4[[#This Row],[SERVICIO 2025]],$J$2:$V$14,8,0)*Tabla4[[#This Row],[TOTAL COBERTURA]]</f>
        <v>669300</v>
      </c>
      <c r="AP162" s="35">
        <f>VLOOKUP(Tabla4[[#This Row],[SERVICIO 2025]],$J$2:$V$14,3,0)*Tabla4[[#This Row],[TOTAL COBERTURA]]*8</f>
        <v>47395824</v>
      </c>
      <c r="AQ162" s="35"/>
      <c r="AR162" s="35">
        <f>Tabla4[[#This Row],[VALOR FASE PREPARATORIA DE ALISTAMIENTO]]+Tabla4[[#This Row],[VALOR FASE PREPARATORIA DE CIERRE]]+Tabla4[[#This Row],[DOTACIÓN ÚNICA]]+Tabla4[[#This Row],[VALOR ATENCIÓN]]+Tabla4[[#This Row],[VALOR RACION PREPARADA]]</f>
        <v>50144439</v>
      </c>
      <c r="AS162" s="35" t="str">
        <f>+IF(Tabla4[[#This Row],[AGRUPACIONES]]=1,SUMIFS(Tabla4[VALOR TOTAL],Tabla4[ZONA DEFINITIVO],Tabla4[[#This Row],[ZONA DEFINITIVO]])," ")</f>
        <v xml:space="preserve"> </v>
      </c>
      <c r="AT162" s="27">
        <f>(VLOOKUP(Tabla4[[#This Row],[SERVICIO 2025]],$J$2:$V$14,3,0)*Tabla4[[#This Row],[TOTAL COBERTURA]])+Tabla4[[#This Row],[VALOR FASE PREPARATORIA DE ALISTAMIENTO]]+Tabla4[[#This Row],[DOTACIÓN ÚNICA]]</f>
        <v>7729426</v>
      </c>
      <c r="AU162" s="35">
        <f>(VLOOKUP(Tabla4[[#This Row],[SERVICIO 2025]],$J$2:$V$14,3,0)*Tabla4[[#This Row],[TOTAL COBERTURA]])</f>
        <v>5924478</v>
      </c>
      <c r="AV162" s="35">
        <f>(VLOOKUP(Tabla4[[#This Row],[SERVICIO 2025]],$J$2:$V$14,3,0)*Tabla4[[#This Row],[TOTAL COBERTURA]])</f>
        <v>5924478</v>
      </c>
      <c r="AW162" s="35">
        <f>(VLOOKUP(Tabla4[[#This Row],[SERVICIO 2025]],$J$2:$V$14,3,0)*Tabla4[[#This Row],[TOTAL COBERTURA]])</f>
        <v>5924478</v>
      </c>
      <c r="AX162" s="35">
        <f>(VLOOKUP(Tabla4[[#This Row],[SERVICIO 2025]],$J$2:$V$14,3,0)*Tabla4[[#This Row],[TOTAL COBERTURA]])</f>
        <v>5924478</v>
      </c>
      <c r="AY162" s="35">
        <f>(VLOOKUP(Tabla4[[#This Row],[SERVICIO 2025]],$J$2:$V$14,3,0)*Tabla4[[#This Row],[TOTAL COBERTURA]])</f>
        <v>5924478</v>
      </c>
      <c r="AZ162" s="35">
        <f>(VLOOKUP(Tabla4[[#This Row],[SERVICIO 2025]],$J$2:$V$14,3,0)*Tabla4[[#This Row],[TOTAL COBERTURA]])</f>
        <v>5924478</v>
      </c>
      <c r="BA162" s="35">
        <f>(VLOOKUP(Tabla4[[#This Row],[SERVICIO 2025]],$J$2:$V$14,3,0)*Tabla4[[#This Row],[TOTAL COBERTURA]])+Tabla4[[#This Row],[VALOR FASE PREPARATORIA DE CIERRE]]</f>
        <v>6868145</v>
      </c>
      <c r="BB162" s="35">
        <f>SUM(Tabla4[[#This Row],[DESEMBOLSO 1]:[DESEMBOLSO 8]])</f>
        <v>50144439</v>
      </c>
      <c r="BC162" s="35"/>
      <c r="BD162" s="47" t="s">
        <v>97</v>
      </c>
      <c r="BE162" s="12" t="b">
        <f>EXACT(Tabla4[[#This Row],[VALOR ATENCIÓN (8 MESES)]],Tabla4[[#This Row],[VALOR TOTAL]])</f>
        <v>1</v>
      </c>
      <c r="BF162" s="23">
        <f>Tabla4[[#This Row],[VALOR ATENCIÓN (8 MESES)]]-Tabla4[[#This Row],[VALOR TOTAL]]</f>
        <v>0</v>
      </c>
      <c r="BG162" s="12" t="b">
        <f>EXACT(Tabla4[[#This Row],[TOTAL DESEMBOLSOS]],Tabla4[[#This Row],[VALOR ATENCIÓN (8 MESES)]])</f>
        <v>1</v>
      </c>
      <c r="BH162" s="29">
        <f>Tabla4[[#This Row],[TOTAL DESEMBOLSOS]]-Tabla4[[#This Row],[VALOR ATENCIÓN (8 MESES)]]</f>
        <v>0</v>
      </c>
      <c r="BI162" t="s">
        <v>392</v>
      </c>
    </row>
    <row r="163" spans="1:62">
      <c r="A163" s="13">
        <v>1897</v>
      </c>
      <c r="B163" s="13" t="s">
        <v>387</v>
      </c>
      <c r="C163" s="12" t="s">
        <v>87</v>
      </c>
      <c r="D163" s="12" t="s">
        <v>266</v>
      </c>
      <c r="E163" s="12" t="s">
        <v>376</v>
      </c>
      <c r="F163" s="12" t="s">
        <v>18</v>
      </c>
      <c r="G163" s="12" t="s">
        <v>90</v>
      </c>
      <c r="H163" s="12" t="s">
        <v>429</v>
      </c>
      <c r="I163" s="12">
        <v>58471144412</v>
      </c>
      <c r="J163" s="12" t="s">
        <v>440</v>
      </c>
      <c r="K163" s="12">
        <v>1</v>
      </c>
      <c r="L163" s="12">
        <v>13</v>
      </c>
      <c r="M163" s="12"/>
      <c r="N163" s="13">
        <v>1897</v>
      </c>
      <c r="O163" s="12" t="s">
        <v>93</v>
      </c>
      <c r="P163" s="12"/>
      <c r="Q163" s="12"/>
      <c r="R163" s="12" t="s">
        <v>94</v>
      </c>
      <c r="S163" s="12">
        <v>10</v>
      </c>
      <c r="T163" s="12" t="s">
        <v>390</v>
      </c>
      <c r="U163" s="12" t="s">
        <v>391</v>
      </c>
      <c r="V163" s="12">
        <f>VLOOKUP(Tabla4[[#This Row],[ZONA DEFINITIVO]],Hoja1!$A$1:$D$121,3,0)</f>
        <v>229183</v>
      </c>
      <c r="W163" s="12">
        <f>VLOOKUP(Tabla4[[#This Row],[ZONA DEFINITIVO]],Hoja1!$A$1:$D$121,2,0)</f>
        <v>16469</v>
      </c>
      <c r="X163" s="12">
        <f>VLOOKUP(Tabla4[[#This Row],[ZONA DEFINITIVO]],Hoja1!$A$1:$D$121,4,0)</f>
        <v>95625</v>
      </c>
      <c r="Y163" s="12" t="str">
        <f>+IF(Tabla4[[#This Row],[AGRUPACIONES]]=1,SUMIFS(Tabla4[UDS],Tabla4[ZONA DEFINITIVO],Tabla4[[#This Row],[ZONA DEFINITIVO]])," ")</f>
        <v xml:space="preserve"> </v>
      </c>
      <c r="Z163" s="12" t="str">
        <f>+IF(Tabla4[[#This Row],[AGRUPACIONES]]=1,SUMIFS(Tabla4[TOTAL COBERTURA],Tabla4[ZONA DEFINITIVO],Tabla4[[#This Row],[ZONA DEFINITIVO]])," ")</f>
        <v xml:space="preserve"> </v>
      </c>
      <c r="AA163" s="12"/>
      <c r="AB163" s="38">
        <v>28342509</v>
      </c>
      <c r="AC163" s="37">
        <v>0.02</v>
      </c>
      <c r="AD163" s="38">
        <f t="shared" si="3"/>
        <v>566850.18000000005</v>
      </c>
      <c r="AE163" s="12"/>
      <c r="AF163" s="12">
        <f>COUNTIF($A$20:A163,A163)</f>
        <v>26</v>
      </c>
      <c r="AG163" s="38">
        <v>28342509</v>
      </c>
      <c r="AH163" s="38">
        <f>Tabla4[[#This Row],[VALOR CONTRAPARTIDA]]+Tabla4[[#This Row],[TOTAL APORTES ICBF]]</f>
        <v>28909359.18</v>
      </c>
      <c r="AI163" s="35"/>
      <c r="AJ163" s="38"/>
      <c r="AK163" s="38"/>
      <c r="AL163" s="23"/>
      <c r="AM163" s="35">
        <f>VLOOKUP(Tabla4[[#This Row],[SERVICIO 2025]],$J$2:$V$14,5,0)*Tabla4[[#This Row],[TOTAL COBERTURA]]</f>
        <v>641888</v>
      </c>
      <c r="AN163" s="35">
        <f>VLOOKUP(Tabla4[[#This Row],[SERVICIO 2025]],$J$2:$V$14,6,0)*Tabla4[[#This Row],[TOTAL COBERTURA]]</f>
        <v>533377</v>
      </c>
      <c r="AO163" s="35">
        <f>VLOOKUP(Tabla4[[#This Row],[SERVICIO 2025]],$J$2:$V$14,8,0)*Tabla4[[#This Row],[TOTAL COBERTURA]]</f>
        <v>378300</v>
      </c>
      <c r="AP163" s="35">
        <f>VLOOKUP(Tabla4[[#This Row],[SERVICIO 2025]],$J$2:$V$14,3,0)*Tabla4[[#This Row],[TOTAL COBERTURA]]*8</f>
        <v>26788944</v>
      </c>
      <c r="AQ163" s="35"/>
      <c r="AR163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163" s="35" t="str">
        <f>+IF(Tabla4[[#This Row],[AGRUPACIONES]]=1,SUMIFS(Tabla4[VALOR TOTAL],Tabla4[ZONA DEFINITIVO],Tabla4[[#This Row],[ZONA DEFINITIVO]])," ")</f>
        <v xml:space="preserve"> </v>
      </c>
      <c r="AT163" s="27">
        <f>(VLOOKUP(Tabla4[[#This Row],[SERVICIO 2025]],$J$2:$V$14,3,0)*Tabla4[[#This Row],[TOTAL COBERTURA]])+Tabla4[[#This Row],[VALOR FASE PREPARATORIA DE ALISTAMIENTO]]+Tabla4[[#This Row],[DOTACIÓN ÚNICA]]</f>
        <v>4368806</v>
      </c>
      <c r="AU163" s="35">
        <f>(VLOOKUP(Tabla4[[#This Row],[SERVICIO 2025]],$J$2:$V$14,3,0)*Tabla4[[#This Row],[TOTAL COBERTURA]])</f>
        <v>3348618</v>
      </c>
      <c r="AV163" s="35">
        <f>(VLOOKUP(Tabla4[[#This Row],[SERVICIO 2025]],$J$2:$V$14,3,0)*Tabla4[[#This Row],[TOTAL COBERTURA]])</f>
        <v>3348618</v>
      </c>
      <c r="AW163" s="35">
        <f>(VLOOKUP(Tabla4[[#This Row],[SERVICIO 2025]],$J$2:$V$14,3,0)*Tabla4[[#This Row],[TOTAL COBERTURA]])</f>
        <v>3348618</v>
      </c>
      <c r="AX163" s="35">
        <f>(VLOOKUP(Tabla4[[#This Row],[SERVICIO 2025]],$J$2:$V$14,3,0)*Tabla4[[#This Row],[TOTAL COBERTURA]])</f>
        <v>3348618</v>
      </c>
      <c r="AY163" s="35">
        <f>(VLOOKUP(Tabla4[[#This Row],[SERVICIO 2025]],$J$2:$V$14,3,0)*Tabla4[[#This Row],[TOTAL COBERTURA]])</f>
        <v>3348618</v>
      </c>
      <c r="AZ163" s="35">
        <f>(VLOOKUP(Tabla4[[#This Row],[SERVICIO 2025]],$J$2:$V$14,3,0)*Tabla4[[#This Row],[TOTAL COBERTURA]])</f>
        <v>3348618</v>
      </c>
      <c r="BA163" s="35">
        <f>(VLOOKUP(Tabla4[[#This Row],[SERVICIO 2025]],$J$2:$V$14,3,0)*Tabla4[[#This Row],[TOTAL COBERTURA]])+Tabla4[[#This Row],[VALOR FASE PREPARATORIA DE CIERRE]]</f>
        <v>3881995</v>
      </c>
      <c r="BB163" s="35">
        <f>SUM(Tabla4[[#This Row],[DESEMBOLSO 1]:[DESEMBOLSO 8]])</f>
        <v>28342509</v>
      </c>
      <c r="BC163" s="35"/>
      <c r="BD163" s="47" t="s">
        <v>97</v>
      </c>
      <c r="BE163" s="12" t="b">
        <f>EXACT(Tabla4[[#This Row],[VALOR ATENCIÓN (8 MESES)]],Tabla4[[#This Row],[VALOR TOTAL]])</f>
        <v>1</v>
      </c>
      <c r="BF163" s="23">
        <f>Tabla4[[#This Row],[VALOR ATENCIÓN (8 MESES)]]-Tabla4[[#This Row],[VALOR TOTAL]]</f>
        <v>0</v>
      </c>
      <c r="BG163" s="12" t="b">
        <f>EXACT(Tabla4[[#This Row],[TOTAL DESEMBOLSOS]],Tabla4[[#This Row],[VALOR ATENCIÓN (8 MESES)]])</f>
        <v>1</v>
      </c>
      <c r="BH163" s="29">
        <f>Tabla4[[#This Row],[TOTAL DESEMBOLSOS]]-Tabla4[[#This Row],[VALOR ATENCIÓN (8 MESES)]]</f>
        <v>0</v>
      </c>
      <c r="BI163" t="s">
        <v>392</v>
      </c>
    </row>
    <row r="164" spans="1:62">
      <c r="A164" s="13">
        <v>1897</v>
      </c>
      <c r="B164" s="13" t="s">
        <v>387</v>
      </c>
      <c r="C164" s="12" t="s">
        <v>87</v>
      </c>
      <c r="D164" s="12" t="s">
        <v>266</v>
      </c>
      <c r="E164" s="12" t="s">
        <v>376</v>
      </c>
      <c r="F164" s="12" t="s">
        <v>18</v>
      </c>
      <c r="G164" s="12" t="s">
        <v>90</v>
      </c>
      <c r="H164" s="12" t="s">
        <v>395</v>
      </c>
      <c r="I164" s="12">
        <v>58471148728</v>
      </c>
      <c r="J164" s="12" t="s">
        <v>441</v>
      </c>
      <c r="K164" s="12">
        <v>1</v>
      </c>
      <c r="L164" s="12">
        <v>11</v>
      </c>
      <c r="M164" s="12"/>
      <c r="N164" s="13">
        <v>1897</v>
      </c>
      <c r="O164" s="12" t="s">
        <v>93</v>
      </c>
      <c r="P164" s="12"/>
      <c r="Q164" s="12"/>
      <c r="R164" s="12" t="s">
        <v>94</v>
      </c>
      <c r="S164" s="12">
        <v>10</v>
      </c>
      <c r="T164" s="12" t="s">
        <v>390</v>
      </c>
      <c r="U164" s="12" t="s">
        <v>391</v>
      </c>
      <c r="V164" s="12">
        <f>VLOOKUP(Tabla4[[#This Row],[ZONA DEFINITIVO]],Hoja1!$A$1:$D$121,3,0)</f>
        <v>229183</v>
      </c>
      <c r="W164" s="12">
        <f>VLOOKUP(Tabla4[[#This Row],[ZONA DEFINITIVO]],Hoja1!$A$1:$D$121,2,0)</f>
        <v>16469</v>
      </c>
      <c r="X164" s="12">
        <f>VLOOKUP(Tabla4[[#This Row],[ZONA DEFINITIVO]],Hoja1!$A$1:$D$121,4,0)</f>
        <v>95625</v>
      </c>
      <c r="Y164" s="12" t="str">
        <f>+IF(Tabla4[[#This Row],[AGRUPACIONES]]=1,SUMIFS(Tabla4[UDS],Tabla4[ZONA DEFINITIVO],Tabla4[[#This Row],[ZONA DEFINITIVO]])," ")</f>
        <v xml:space="preserve"> </v>
      </c>
      <c r="Z164" s="12" t="str">
        <f>+IF(Tabla4[[#This Row],[AGRUPACIONES]]=1,SUMIFS(Tabla4[TOTAL COBERTURA],Tabla4[ZONA DEFINITIVO],Tabla4[[#This Row],[ZONA DEFINITIVO]])," ")</f>
        <v xml:space="preserve"> </v>
      </c>
      <c r="AA164" s="12"/>
      <c r="AB164" s="38">
        <v>23982123</v>
      </c>
      <c r="AC164" s="37">
        <v>0.02</v>
      </c>
      <c r="AD164" s="38">
        <f t="shared" si="3"/>
        <v>479642.46</v>
      </c>
      <c r="AE164" s="12"/>
      <c r="AF164" s="12">
        <f>COUNTIF($A$20:A164,A164)</f>
        <v>27</v>
      </c>
      <c r="AG164" s="38">
        <v>23982123</v>
      </c>
      <c r="AH164" s="38">
        <f>Tabla4[[#This Row],[VALOR CONTRAPARTIDA]]+Tabla4[[#This Row],[TOTAL APORTES ICBF]]</f>
        <v>24461765.460000001</v>
      </c>
      <c r="AI164" s="35"/>
      <c r="AJ164" s="38"/>
      <c r="AK164" s="38"/>
      <c r="AL164" s="23"/>
      <c r="AM164" s="35">
        <f>VLOOKUP(Tabla4[[#This Row],[SERVICIO 2025]],$J$2:$V$14,5,0)*Tabla4[[#This Row],[TOTAL COBERTURA]]</f>
        <v>543136</v>
      </c>
      <c r="AN164" s="35">
        <f>VLOOKUP(Tabla4[[#This Row],[SERVICIO 2025]],$J$2:$V$14,6,0)*Tabla4[[#This Row],[TOTAL COBERTURA]]</f>
        <v>451319</v>
      </c>
      <c r="AO164" s="35">
        <f>VLOOKUP(Tabla4[[#This Row],[SERVICIO 2025]],$J$2:$V$14,8,0)*Tabla4[[#This Row],[TOTAL COBERTURA]]</f>
        <v>320100</v>
      </c>
      <c r="AP164" s="35">
        <f>VLOOKUP(Tabla4[[#This Row],[SERVICIO 2025]],$J$2:$V$14,3,0)*Tabla4[[#This Row],[TOTAL COBERTURA]]*8</f>
        <v>22667568</v>
      </c>
      <c r="AQ164" s="35"/>
      <c r="AR164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164" s="35" t="str">
        <f>+IF(Tabla4[[#This Row],[AGRUPACIONES]]=1,SUMIFS(Tabla4[VALOR TOTAL],Tabla4[ZONA DEFINITIVO],Tabla4[[#This Row],[ZONA DEFINITIVO]])," ")</f>
        <v xml:space="preserve"> </v>
      </c>
      <c r="AT164" s="27">
        <f>(VLOOKUP(Tabla4[[#This Row],[SERVICIO 2025]],$J$2:$V$14,3,0)*Tabla4[[#This Row],[TOTAL COBERTURA]])+Tabla4[[#This Row],[VALOR FASE PREPARATORIA DE ALISTAMIENTO]]+Tabla4[[#This Row],[DOTACIÓN ÚNICA]]</f>
        <v>3696682</v>
      </c>
      <c r="AU164" s="35">
        <f>(VLOOKUP(Tabla4[[#This Row],[SERVICIO 2025]],$J$2:$V$14,3,0)*Tabla4[[#This Row],[TOTAL COBERTURA]])</f>
        <v>2833446</v>
      </c>
      <c r="AV164" s="35">
        <f>(VLOOKUP(Tabla4[[#This Row],[SERVICIO 2025]],$J$2:$V$14,3,0)*Tabla4[[#This Row],[TOTAL COBERTURA]])</f>
        <v>2833446</v>
      </c>
      <c r="AW164" s="35">
        <f>(VLOOKUP(Tabla4[[#This Row],[SERVICIO 2025]],$J$2:$V$14,3,0)*Tabla4[[#This Row],[TOTAL COBERTURA]])</f>
        <v>2833446</v>
      </c>
      <c r="AX164" s="35">
        <f>(VLOOKUP(Tabla4[[#This Row],[SERVICIO 2025]],$J$2:$V$14,3,0)*Tabla4[[#This Row],[TOTAL COBERTURA]])</f>
        <v>2833446</v>
      </c>
      <c r="AY164" s="35">
        <f>(VLOOKUP(Tabla4[[#This Row],[SERVICIO 2025]],$J$2:$V$14,3,0)*Tabla4[[#This Row],[TOTAL COBERTURA]])</f>
        <v>2833446</v>
      </c>
      <c r="AZ164" s="35">
        <f>(VLOOKUP(Tabla4[[#This Row],[SERVICIO 2025]],$J$2:$V$14,3,0)*Tabla4[[#This Row],[TOTAL COBERTURA]])</f>
        <v>2833446</v>
      </c>
      <c r="BA164" s="35">
        <f>(VLOOKUP(Tabla4[[#This Row],[SERVICIO 2025]],$J$2:$V$14,3,0)*Tabla4[[#This Row],[TOTAL COBERTURA]])+Tabla4[[#This Row],[VALOR FASE PREPARATORIA DE CIERRE]]</f>
        <v>3284765</v>
      </c>
      <c r="BB164" s="35">
        <f>SUM(Tabla4[[#This Row],[DESEMBOLSO 1]:[DESEMBOLSO 8]])</f>
        <v>23982123</v>
      </c>
      <c r="BC164" s="35"/>
      <c r="BD164" s="47" t="s">
        <v>97</v>
      </c>
      <c r="BE164" s="12" t="b">
        <f>EXACT(Tabla4[[#This Row],[VALOR ATENCIÓN (8 MESES)]],Tabla4[[#This Row],[VALOR TOTAL]])</f>
        <v>1</v>
      </c>
      <c r="BF164" s="23">
        <f>Tabla4[[#This Row],[VALOR ATENCIÓN (8 MESES)]]-Tabla4[[#This Row],[VALOR TOTAL]]</f>
        <v>0</v>
      </c>
      <c r="BG164" s="12" t="b">
        <f>EXACT(Tabla4[[#This Row],[TOTAL DESEMBOLSOS]],Tabla4[[#This Row],[VALOR ATENCIÓN (8 MESES)]])</f>
        <v>1</v>
      </c>
      <c r="BH164" s="29">
        <f>Tabla4[[#This Row],[TOTAL DESEMBOLSOS]]-Tabla4[[#This Row],[VALOR ATENCIÓN (8 MESES)]]</f>
        <v>0</v>
      </c>
      <c r="BI164" t="s">
        <v>392</v>
      </c>
    </row>
    <row r="165" spans="1:62">
      <c r="A165" s="13">
        <v>1897</v>
      </c>
      <c r="B165" s="13" t="s">
        <v>387</v>
      </c>
      <c r="C165" s="12" t="s">
        <v>87</v>
      </c>
      <c r="D165" s="12" t="s">
        <v>266</v>
      </c>
      <c r="E165" s="12" t="s">
        <v>376</v>
      </c>
      <c r="F165" s="12" t="s">
        <v>18</v>
      </c>
      <c r="G165" s="12" t="s">
        <v>90</v>
      </c>
      <c r="H165" s="12" t="s">
        <v>442</v>
      </c>
      <c r="I165" s="12">
        <v>58471152968</v>
      </c>
      <c r="J165" s="12" t="s">
        <v>443</v>
      </c>
      <c r="K165" s="12">
        <v>1</v>
      </c>
      <c r="L165" s="12">
        <v>15</v>
      </c>
      <c r="M165" s="12"/>
      <c r="N165" s="13">
        <v>1897</v>
      </c>
      <c r="O165" s="12" t="s">
        <v>93</v>
      </c>
      <c r="P165" s="12"/>
      <c r="Q165" s="12"/>
      <c r="R165" s="12" t="s">
        <v>94</v>
      </c>
      <c r="S165" s="12">
        <v>10</v>
      </c>
      <c r="T165" s="12" t="s">
        <v>390</v>
      </c>
      <c r="U165" s="12" t="s">
        <v>391</v>
      </c>
      <c r="V165" s="12">
        <f>VLOOKUP(Tabla4[[#This Row],[ZONA DEFINITIVO]],Hoja1!$A$1:$D$121,3,0)</f>
        <v>229183</v>
      </c>
      <c r="W165" s="12">
        <f>VLOOKUP(Tabla4[[#This Row],[ZONA DEFINITIVO]],Hoja1!$A$1:$D$121,2,0)</f>
        <v>16469</v>
      </c>
      <c r="X165" s="12">
        <f>VLOOKUP(Tabla4[[#This Row],[ZONA DEFINITIVO]],Hoja1!$A$1:$D$121,4,0)</f>
        <v>95625</v>
      </c>
      <c r="Y165" s="12" t="str">
        <f>+IF(Tabla4[[#This Row],[AGRUPACIONES]]=1,SUMIFS(Tabla4[UDS],Tabla4[ZONA DEFINITIVO],Tabla4[[#This Row],[ZONA DEFINITIVO]])," ")</f>
        <v xml:space="preserve"> </v>
      </c>
      <c r="Z165" s="12" t="str">
        <f>+IF(Tabla4[[#This Row],[AGRUPACIONES]]=1,SUMIFS(Tabla4[TOTAL COBERTURA],Tabla4[ZONA DEFINITIVO],Tabla4[[#This Row],[ZONA DEFINITIVO]])," ")</f>
        <v xml:space="preserve"> </v>
      </c>
      <c r="AA165" s="12"/>
      <c r="AB165" s="38">
        <v>32702895</v>
      </c>
      <c r="AC165" s="37">
        <v>0.02</v>
      </c>
      <c r="AD165" s="38">
        <f t="shared" si="3"/>
        <v>654057.9</v>
      </c>
      <c r="AE165" s="12"/>
      <c r="AF165" s="12">
        <f>COUNTIF($A$20:A165,A165)</f>
        <v>28</v>
      </c>
      <c r="AG165" s="38">
        <v>32702895</v>
      </c>
      <c r="AH165" s="38">
        <f>Tabla4[[#This Row],[VALOR CONTRAPARTIDA]]+Tabla4[[#This Row],[TOTAL APORTES ICBF]]</f>
        <v>33356952.899999999</v>
      </c>
      <c r="AI165" s="35"/>
      <c r="AJ165" s="38"/>
      <c r="AK165" s="38"/>
      <c r="AL165" s="23"/>
      <c r="AM165" s="35">
        <f>VLOOKUP(Tabla4[[#This Row],[SERVICIO 2025]],$J$2:$V$14,5,0)*Tabla4[[#This Row],[TOTAL COBERTURA]]</f>
        <v>740640</v>
      </c>
      <c r="AN165" s="35">
        <f>VLOOKUP(Tabla4[[#This Row],[SERVICIO 2025]],$J$2:$V$14,6,0)*Tabla4[[#This Row],[TOTAL COBERTURA]]</f>
        <v>615435</v>
      </c>
      <c r="AO165" s="35">
        <f>VLOOKUP(Tabla4[[#This Row],[SERVICIO 2025]],$J$2:$V$14,8,0)*Tabla4[[#This Row],[TOTAL COBERTURA]]</f>
        <v>436500</v>
      </c>
      <c r="AP165" s="35">
        <f>VLOOKUP(Tabla4[[#This Row],[SERVICIO 2025]],$J$2:$V$14,3,0)*Tabla4[[#This Row],[TOTAL COBERTURA]]*8</f>
        <v>30910320</v>
      </c>
      <c r="AQ165" s="35"/>
      <c r="AR165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65" s="35" t="str">
        <f>+IF(Tabla4[[#This Row],[AGRUPACIONES]]=1,SUMIFS(Tabla4[VALOR TOTAL],Tabla4[ZONA DEFINITIVO],Tabla4[[#This Row],[ZONA DEFINITIVO]])," ")</f>
        <v xml:space="preserve"> </v>
      </c>
      <c r="AT165" s="27">
        <f>(VLOOKUP(Tabla4[[#This Row],[SERVICIO 2025]],$J$2:$V$14,3,0)*Tabla4[[#This Row],[TOTAL COBERTURA]])+Tabla4[[#This Row],[VALOR FASE PREPARATORIA DE ALISTAMIENTO]]+Tabla4[[#This Row],[DOTACIÓN ÚNICA]]</f>
        <v>5040930</v>
      </c>
      <c r="AU165" s="35">
        <f>(VLOOKUP(Tabla4[[#This Row],[SERVICIO 2025]],$J$2:$V$14,3,0)*Tabla4[[#This Row],[TOTAL COBERTURA]])</f>
        <v>3863790</v>
      </c>
      <c r="AV165" s="35">
        <f>(VLOOKUP(Tabla4[[#This Row],[SERVICIO 2025]],$J$2:$V$14,3,0)*Tabla4[[#This Row],[TOTAL COBERTURA]])</f>
        <v>3863790</v>
      </c>
      <c r="AW165" s="35">
        <f>(VLOOKUP(Tabla4[[#This Row],[SERVICIO 2025]],$J$2:$V$14,3,0)*Tabla4[[#This Row],[TOTAL COBERTURA]])</f>
        <v>3863790</v>
      </c>
      <c r="AX165" s="35">
        <f>(VLOOKUP(Tabla4[[#This Row],[SERVICIO 2025]],$J$2:$V$14,3,0)*Tabla4[[#This Row],[TOTAL COBERTURA]])</f>
        <v>3863790</v>
      </c>
      <c r="AY165" s="35">
        <f>(VLOOKUP(Tabla4[[#This Row],[SERVICIO 2025]],$J$2:$V$14,3,0)*Tabla4[[#This Row],[TOTAL COBERTURA]])</f>
        <v>3863790</v>
      </c>
      <c r="AZ165" s="35">
        <f>(VLOOKUP(Tabla4[[#This Row],[SERVICIO 2025]],$J$2:$V$14,3,0)*Tabla4[[#This Row],[TOTAL COBERTURA]])</f>
        <v>3863790</v>
      </c>
      <c r="BA165" s="35">
        <f>(VLOOKUP(Tabla4[[#This Row],[SERVICIO 2025]],$J$2:$V$14,3,0)*Tabla4[[#This Row],[TOTAL COBERTURA]])+Tabla4[[#This Row],[VALOR FASE PREPARATORIA DE CIERRE]]</f>
        <v>4479225</v>
      </c>
      <c r="BB165" s="35">
        <f>SUM(Tabla4[[#This Row],[DESEMBOLSO 1]:[DESEMBOLSO 8]])</f>
        <v>32702895</v>
      </c>
      <c r="BC165" s="35"/>
      <c r="BD165" s="47" t="s">
        <v>97</v>
      </c>
      <c r="BE165" s="12" t="b">
        <f>EXACT(Tabla4[[#This Row],[VALOR ATENCIÓN (8 MESES)]],Tabla4[[#This Row],[VALOR TOTAL]])</f>
        <v>1</v>
      </c>
      <c r="BF165" s="23">
        <f>Tabla4[[#This Row],[VALOR ATENCIÓN (8 MESES)]]-Tabla4[[#This Row],[VALOR TOTAL]]</f>
        <v>0</v>
      </c>
      <c r="BG165" s="12" t="b">
        <f>EXACT(Tabla4[[#This Row],[TOTAL DESEMBOLSOS]],Tabla4[[#This Row],[VALOR ATENCIÓN (8 MESES)]])</f>
        <v>1</v>
      </c>
      <c r="BH165" s="29">
        <f>Tabla4[[#This Row],[TOTAL DESEMBOLSOS]]-Tabla4[[#This Row],[VALOR ATENCIÓN (8 MESES)]]</f>
        <v>0</v>
      </c>
      <c r="BI165" t="s">
        <v>392</v>
      </c>
    </row>
    <row r="166" spans="1:62">
      <c r="A166" s="13">
        <v>1897</v>
      </c>
      <c r="B166" s="13" t="s">
        <v>387</v>
      </c>
      <c r="C166" s="12" t="s">
        <v>87</v>
      </c>
      <c r="D166" s="12" t="s">
        <v>266</v>
      </c>
      <c r="E166" s="12" t="s">
        <v>376</v>
      </c>
      <c r="F166" s="12" t="s">
        <v>18</v>
      </c>
      <c r="G166" s="12" t="s">
        <v>90</v>
      </c>
      <c r="H166" s="12" t="s">
        <v>444</v>
      </c>
      <c r="I166" s="12">
        <v>58471152969</v>
      </c>
      <c r="J166" s="12" t="s">
        <v>445</v>
      </c>
      <c r="K166" s="12">
        <v>1</v>
      </c>
      <c r="L166" s="12">
        <v>19</v>
      </c>
      <c r="M166" s="12"/>
      <c r="N166" s="13">
        <v>1897</v>
      </c>
      <c r="O166" s="12" t="s">
        <v>93</v>
      </c>
      <c r="P166" s="12"/>
      <c r="Q166" s="12"/>
      <c r="R166" s="12" t="s">
        <v>94</v>
      </c>
      <c r="S166" s="12">
        <v>10</v>
      </c>
      <c r="T166" s="12" t="s">
        <v>390</v>
      </c>
      <c r="U166" s="12" t="s">
        <v>391</v>
      </c>
      <c r="V166" s="12">
        <f>VLOOKUP(Tabla4[[#This Row],[ZONA DEFINITIVO]],Hoja1!$A$1:$D$121,3,0)</f>
        <v>229183</v>
      </c>
      <c r="W166" s="12">
        <f>VLOOKUP(Tabla4[[#This Row],[ZONA DEFINITIVO]],Hoja1!$A$1:$D$121,2,0)</f>
        <v>16469</v>
      </c>
      <c r="X166" s="12">
        <f>VLOOKUP(Tabla4[[#This Row],[ZONA DEFINITIVO]],Hoja1!$A$1:$D$121,4,0)</f>
        <v>95625</v>
      </c>
      <c r="Y166" s="12" t="str">
        <f>+IF(Tabla4[[#This Row],[AGRUPACIONES]]=1,SUMIFS(Tabla4[UDS],Tabla4[ZONA DEFINITIVO],Tabla4[[#This Row],[ZONA DEFINITIVO]])," ")</f>
        <v xml:space="preserve"> </v>
      </c>
      <c r="Z166" s="12" t="str">
        <f>+IF(Tabla4[[#This Row],[AGRUPACIONES]]=1,SUMIFS(Tabla4[TOTAL COBERTURA],Tabla4[ZONA DEFINITIVO],Tabla4[[#This Row],[ZONA DEFINITIVO]])," ")</f>
        <v xml:space="preserve"> </v>
      </c>
      <c r="AA166" s="12"/>
      <c r="AB166" s="38">
        <v>41423667</v>
      </c>
      <c r="AC166" s="37">
        <v>0.02</v>
      </c>
      <c r="AD166" s="38">
        <f t="shared" si="3"/>
        <v>828473.34</v>
      </c>
      <c r="AE166" s="12"/>
      <c r="AF166" s="12">
        <f>COUNTIF($A$20:A166,A166)</f>
        <v>29</v>
      </c>
      <c r="AG166" s="38">
        <v>41423667</v>
      </c>
      <c r="AH166" s="38">
        <f>Tabla4[[#This Row],[VALOR CONTRAPARTIDA]]+Tabla4[[#This Row],[TOTAL APORTES ICBF]]</f>
        <v>42252140.340000004</v>
      </c>
      <c r="AI166" s="35"/>
      <c r="AJ166" s="38"/>
      <c r="AK166" s="38"/>
      <c r="AL166" s="23"/>
      <c r="AM166" s="35">
        <f>VLOOKUP(Tabla4[[#This Row],[SERVICIO 2025]],$J$2:$V$14,5,0)*Tabla4[[#This Row],[TOTAL COBERTURA]]</f>
        <v>938144</v>
      </c>
      <c r="AN166" s="35">
        <f>VLOOKUP(Tabla4[[#This Row],[SERVICIO 2025]],$J$2:$V$14,6,0)*Tabla4[[#This Row],[TOTAL COBERTURA]]</f>
        <v>779551</v>
      </c>
      <c r="AO166" s="35">
        <f>VLOOKUP(Tabla4[[#This Row],[SERVICIO 2025]],$J$2:$V$14,8,0)*Tabla4[[#This Row],[TOTAL COBERTURA]]</f>
        <v>552900</v>
      </c>
      <c r="AP166" s="35">
        <f>VLOOKUP(Tabla4[[#This Row],[SERVICIO 2025]],$J$2:$V$14,3,0)*Tabla4[[#This Row],[TOTAL COBERTURA]]*8</f>
        <v>39153072</v>
      </c>
      <c r="AQ166" s="35"/>
      <c r="AR166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166" s="35" t="str">
        <f>+IF(Tabla4[[#This Row],[AGRUPACIONES]]=1,SUMIFS(Tabla4[VALOR TOTAL],Tabla4[ZONA DEFINITIVO],Tabla4[[#This Row],[ZONA DEFINITIVO]])," ")</f>
        <v xml:space="preserve"> </v>
      </c>
      <c r="AT166" s="27">
        <f>(VLOOKUP(Tabla4[[#This Row],[SERVICIO 2025]],$J$2:$V$14,3,0)*Tabla4[[#This Row],[TOTAL COBERTURA]])+Tabla4[[#This Row],[VALOR FASE PREPARATORIA DE ALISTAMIENTO]]+Tabla4[[#This Row],[DOTACIÓN ÚNICA]]</f>
        <v>6385178</v>
      </c>
      <c r="AU166" s="35">
        <f>(VLOOKUP(Tabla4[[#This Row],[SERVICIO 2025]],$J$2:$V$14,3,0)*Tabla4[[#This Row],[TOTAL COBERTURA]])</f>
        <v>4894134</v>
      </c>
      <c r="AV166" s="35">
        <f>(VLOOKUP(Tabla4[[#This Row],[SERVICIO 2025]],$J$2:$V$14,3,0)*Tabla4[[#This Row],[TOTAL COBERTURA]])</f>
        <v>4894134</v>
      </c>
      <c r="AW166" s="35">
        <f>(VLOOKUP(Tabla4[[#This Row],[SERVICIO 2025]],$J$2:$V$14,3,0)*Tabla4[[#This Row],[TOTAL COBERTURA]])</f>
        <v>4894134</v>
      </c>
      <c r="AX166" s="35">
        <f>(VLOOKUP(Tabla4[[#This Row],[SERVICIO 2025]],$J$2:$V$14,3,0)*Tabla4[[#This Row],[TOTAL COBERTURA]])</f>
        <v>4894134</v>
      </c>
      <c r="AY166" s="35">
        <f>(VLOOKUP(Tabla4[[#This Row],[SERVICIO 2025]],$J$2:$V$14,3,0)*Tabla4[[#This Row],[TOTAL COBERTURA]])</f>
        <v>4894134</v>
      </c>
      <c r="AZ166" s="35">
        <f>(VLOOKUP(Tabla4[[#This Row],[SERVICIO 2025]],$J$2:$V$14,3,0)*Tabla4[[#This Row],[TOTAL COBERTURA]])</f>
        <v>4894134</v>
      </c>
      <c r="BA166" s="35">
        <f>(VLOOKUP(Tabla4[[#This Row],[SERVICIO 2025]],$J$2:$V$14,3,0)*Tabla4[[#This Row],[TOTAL COBERTURA]])+Tabla4[[#This Row],[VALOR FASE PREPARATORIA DE CIERRE]]</f>
        <v>5673685</v>
      </c>
      <c r="BB166" s="35">
        <f>SUM(Tabla4[[#This Row],[DESEMBOLSO 1]:[DESEMBOLSO 8]])</f>
        <v>41423667</v>
      </c>
      <c r="BC166" s="35"/>
      <c r="BD166" s="47" t="s">
        <v>97</v>
      </c>
      <c r="BE166" s="12" t="b">
        <f>EXACT(Tabla4[[#This Row],[VALOR ATENCIÓN (8 MESES)]],Tabla4[[#This Row],[VALOR TOTAL]])</f>
        <v>1</v>
      </c>
      <c r="BF166" s="23">
        <f>Tabla4[[#This Row],[VALOR ATENCIÓN (8 MESES)]]-Tabla4[[#This Row],[VALOR TOTAL]]</f>
        <v>0</v>
      </c>
      <c r="BG166" s="12" t="b">
        <f>EXACT(Tabla4[[#This Row],[TOTAL DESEMBOLSOS]],Tabla4[[#This Row],[VALOR ATENCIÓN (8 MESES)]])</f>
        <v>1</v>
      </c>
      <c r="BH166" s="29">
        <f>Tabla4[[#This Row],[TOTAL DESEMBOLSOS]]-Tabla4[[#This Row],[VALOR ATENCIÓN (8 MESES)]]</f>
        <v>0</v>
      </c>
      <c r="BI166" t="s">
        <v>392</v>
      </c>
    </row>
    <row r="167" spans="1:62">
      <c r="A167" s="13">
        <v>1897</v>
      </c>
      <c r="B167" s="13" t="s">
        <v>387</v>
      </c>
      <c r="C167" s="12" t="s">
        <v>87</v>
      </c>
      <c r="D167" s="12" t="s">
        <v>266</v>
      </c>
      <c r="E167" s="12" t="s">
        <v>376</v>
      </c>
      <c r="F167" s="12" t="s">
        <v>18</v>
      </c>
      <c r="G167" s="12" t="s">
        <v>90</v>
      </c>
      <c r="H167" s="12" t="s">
        <v>446</v>
      </c>
      <c r="I167" s="12">
        <v>58471152970</v>
      </c>
      <c r="J167" s="12" t="s">
        <v>447</v>
      </c>
      <c r="K167" s="12">
        <v>1</v>
      </c>
      <c r="L167" s="12">
        <v>12</v>
      </c>
      <c r="M167" s="12"/>
      <c r="N167" s="13">
        <v>1897</v>
      </c>
      <c r="O167" s="12" t="s">
        <v>93</v>
      </c>
      <c r="P167" s="12"/>
      <c r="Q167" s="12"/>
      <c r="R167" s="12" t="s">
        <v>94</v>
      </c>
      <c r="S167" s="12">
        <v>10</v>
      </c>
      <c r="T167" s="12" t="s">
        <v>390</v>
      </c>
      <c r="U167" s="12" t="s">
        <v>391</v>
      </c>
      <c r="V167" s="12">
        <f>VLOOKUP(Tabla4[[#This Row],[ZONA DEFINITIVO]],Hoja1!$A$1:$D$121,3,0)</f>
        <v>229183</v>
      </c>
      <c r="W167" s="12">
        <f>VLOOKUP(Tabla4[[#This Row],[ZONA DEFINITIVO]],Hoja1!$A$1:$D$121,2,0)</f>
        <v>16469</v>
      </c>
      <c r="X167" s="12">
        <f>VLOOKUP(Tabla4[[#This Row],[ZONA DEFINITIVO]],Hoja1!$A$1:$D$121,4,0)</f>
        <v>95625</v>
      </c>
      <c r="Y167" s="12" t="str">
        <f>+IF(Tabla4[[#This Row],[AGRUPACIONES]]=1,SUMIFS(Tabla4[UDS],Tabla4[ZONA DEFINITIVO],Tabla4[[#This Row],[ZONA DEFINITIVO]])," ")</f>
        <v xml:space="preserve"> </v>
      </c>
      <c r="Z167" s="12" t="str">
        <f>+IF(Tabla4[[#This Row],[AGRUPACIONES]]=1,SUMIFS(Tabla4[TOTAL COBERTURA],Tabla4[ZONA DEFINITIVO],Tabla4[[#This Row],[ZONA DEFINITIVO]])," ")</f>
        <v xml:space="preserve"> </v>
      </c>
      <c r="AA167" s="12"/>
      <c r="AB167" s="38">
        <v>26162316</v>
      </c>
      <c r="AC167" s="37">
        <v>0.02</v>
      </c>
      <c r="AD167" s="38">
        <f t="shared" si="3"/>
        <v>523246.32</v>
      </c>
      <c r="AE167" s="12"/>
      <c r="AF167" s="12">
        <f>COUNTIF($A$20:A167,A167)</f>
        <v>30</v>
      </c>
      <c r="AG167" s="38">
        <v>26162316</v>
      </c>
      <c r="AH167" s="38">
        <f>Tabla4[[#This Row],[VALOR CONTRAPARTIDA]]+Tabla4[[#This Row],[TOTAL APORTES ICBF]]</f>
        <v>26685562.32</v>
      </c>
      <c r="AI167" s="35"/>
      <c r="AJ167" s="38"/>
      <c r="AK167" s="38"/>
      <c r="AL167" s="23"/>
      <c r="AM167" s="35">
        <f>VLOOKUP(Tabla4[[#This Row],[SERVICIO 2025]],$J$2:$V$14,5,0)*Tabla4[[#This Row],[TOTAL COBERTURA]]</f>
        <v>592512</v>
      </c>
      <c r="AN167" s="35">
        <f>VLOOKUP(Tabla4[[#This Row],[SERVICIO 2025]],$J$2:$V$14,6,0)*Tabla4[[#This Row],[TOTAL COBERTURA]]</f>
        <v>492348</v>
      </c>
      <c r="AO167" s="35">
        <f>VLOOKUP(Tabla4[[#This Row],[SERVICIO 2025]],$J$2:$V$14,8,0)*Tabla4[[#This Row],[TOTAL COBERTURA]]</f>
        <v>349200</v>
      </c>
      <c r="AP167" s="35">
        <f>VLOOKUP(Tabla4[[#This Row],[SERVICIO 2025]],$J$2:$V$14,3,0)*Tabla4[[#This Row],[TOTAL COBERTURA]]*8</f>
        <v>24728256</v>
      </c>
      <c r="AQ167" s="35"/>
      <c r="AR167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167" s="35" t="str">
        <f>+IF(Tabla4[[#This Row],[AGRUPACIONES]]=1,SUMIFS(Tabla4[VALOR TOTAL],Tabla4[ZONA DEFINITIVO],Tabla4[[#This Row],[ZONA DEFINITIVO]])," ")</f>
        <v xml:space="preserve"> </v>
      </c>
      <c r="AT167" s="27">
        <f>(VLOOKUP(Tabla4[[#This Row],[SERVICIO 2025]],$J$2:$V$14,3,0)*Tabla4[[#This Row],[TOTAL COBERTURA]])+Tabla4[[#This Row],[VALOR FASE PREPARATORIA DE ALISTAMIENTO]]+Tabla4[[#This Row],[DOTACIÓN ÚNICA]]</f>
        <v>4032744</v>
      </c>
      <c r="AU167" s="35">
        <f>(VLOOKUP(Tabla4[[#This Row],[SERVICIO 2025]],$J$2:$V$14,3,0)*Tabla4[[#This Row],[TOTAL COBERTURA]])</f>
        <v>3091032</v>
      </c>
      <c r="AV167" s="35">
        <f>(VLOOKUP(Tabla4[[#This Row],[SERVICIO 2025]],$J$2:$V$14,3,0)*Tabla4[[#This Row],[TOTAL COBERTURA]])</f>
        <v>3091032</v>
      </c>
      <c r="AW167" s="35">
        <f>(VLOOKUP(Tabla4[[#This Row],[SERVICIO 2025]],$J$2:$V$14,3,0)*Tabla4[[#This Row],[TOTAL COBERTURA]])</f>
        <v>3091032</v>
      </c>
      <c r="AX167" s="35">
        <f>(VLOOKUP(Tabla4[[#This Row],[SERVICIO 2025]],$J$2:$V$14,3,0)*Tabla4[[#This Row],[TOTAL COBERTURA]])</f>
        <v>3091032</v>
      </c>
      <c r="AY167" s="35">
        <f>(VLOOKUP(Tabla4[[#This Row],[SERVICIO 2025]],$J$2:$V$14,3,0)*Tabla4[[#This Row],[TOTAL COBERTURA]])</f>
        <v>3091032</v>
      </c>
      <c r="AZ167" s="35">
        <f>(VLOOKUP(Tabla4[[#This Row],[SERVICIO 2025]],$J$2:$V$14,3,0)*Tabla4[[#This Row],[TOTAL COBERTURA]])</f>
        <v>3091032</v>
      </c>
      <c r="BA167" s="35">
        <f>(VLOOKUP(Tabla4[[#This Row],[SERVICIO 2025]],$J$2:$V$14,3,0)*Tabla4[[#This Row],[TOTAL COBERTURA]])+Tabla4[[#This Row],[VALOR FASE PREPARATORIA DE CIERRE]]</f>
        <v>3583380</v>
      </c>
      <c r="BB167" s="35">
        <f>SUM(Tabla4[[#This Row],[DESEMBOLSO 1]:[DESEMBOLSO 8]])</f>
        <v>26162316</v>
      </c>
      <c r="BC167" s="35"/>
      <c r="BD167" s="47" t="s">
        <v>97</v>
      </c>
      <c r="BE167" s="12" t="b">
        <f>EXACT(Tabla4[[#This Row],[VALOR ATENCIÓN (8 MESES)]],Tabla4[[#This Row],[VALOR TOTAL]])</f>
        <v>1</v>
      </c>
      <c r="BF167" s="23">
        <f>Tabla4[[#This Row],[VALOR ATENCIÓN (8 MESES)]]-Tabla4[[#This Row],[VALOR TOTAL]]</f>
        <v>0</v>
      </c>
      <c r="BG167" s="12" t="b">
        <f>EXACT(Tabla4[[#This Row],[TOTAL DESEMBOLSOS]],Tabla4[[#This Row],[VALOR ATENCIÓN (8 MESES)]])</f>
        <v>1</v>
      </c>
      <c r="BH167" s="29">
        <f>Tabla4[[#This Row],[TOTAL DESEMBOLSOS]]-Tabla4[[#This Row],[VALOR ATENCIÓN (8 MESES)]]</f>
        <v>0</v>
      </c>
      <c r="BI167" t="s">
        <v>392</v>
      </c>
    </row>
    <row r="168" spans="1:62">
      <c r="A168" s="13">
        <v>1897</v>
      </c>
      <c r="B168" s="13" t="s">
        <v>387</v>
      </c>
      <c r="C168" s="12" t="s">
        <v>87</v>
      </c>
      <c r="D168" s="12" t="s">
        <v>266</v>
      </c>
      <c r="E168" s="12" t="s">
        <v>376</v>
      </c>
      <c r="F168" s="12" t="s">
        <v>18</v>
      </c>
      <c r="G168" s="12" t="s">
        <v>90</v>
      </c>
      <c r="H168" s="12" t="s">
        <v>448</v>
      </c>
      <c r="I168" s="12">
        <v>58471152984</v>
      </c>
      <c r="J168" s="12" t="s">
        <v>449</v>
      </c>
      <c r="K168" s="12">
        <v>1</v>
      </c>
      <c r="L168" s="12">
        <v>20</v>
      </c>
      <c r="M168" s="12"/>
      <c r="N168" s="13">
        <v>1897</v>
      </c>
      <c r="O168" s="12" t="s">
        <v>93</v>
      </c>
      <c r="P168" s="12"/>
      <c r="Q168" s="12"/>
      <c r="R168" s="12" t="s">
        <v>94</v>
      </c>
      <c r="S168" s="12">
        <v>10</v>
      </c>
      <c r="T168" s="12" t="s">
        <v>390</v>
      </c>
      <c r="U168" s="12" t="s">
        <v>391</v>
      </c>
      <c r="V168" s="12">
        <f>VLOOKUP(Tabla4[[#This Row],[ZONA DEFINITIVO]],Hoja1!$A$1:$D$121,3,0)</f>
        <v>229183</v>
      </c>
      <c r="W168" s="12">
        <f>VLOOKUP(Tabla4[[#This Row],[ZONA DEFINITIVO]],Hoja1!$A$1:$D$121,2,0)</f>
        <v>16469</v>
      </c>
      <c r="X168" s="12">
        <f>VLOOKUP(Tabla4[[#This Row],[ZONA DEFINITIVO]],Hoja1!$A$1:$D$121,4,0)</f>
        <v>95625</v>
      </c>
      <c r="Y168" s="12" t="str">
        <f>+IF(Tabla4[[#This Row],[AGRUPACIONES]]=1,SUMIFS(Tabla4[UDS],Tabla4[ZONA DEFINITIVO],Tabla4[[#This Row],[ZONA DEFINITIVO]])," ")</f>
        <v xml:space="preserve"> </v>
      </c>
      <c r="Z168" s="12" t="str">
        <f>+IF(Tabla4[[#This Row],[AGRUPACIONES]]=1,SUMIFS(Tabla4[TOTAL COBERTURA],Tabla4[ZONA DEFINITIVO],Tabla4[[#This Row],[ZONA DEFINITIVO]])," ")</f>
        <v xml:space="preserve"> </v>
      </c>
      <c r="AA168" s="12"/>
      <c r="AB168" s="38">
        <v>43603860</v>
      </c>
      <c r="AC168" s="37">
        <v>0.02</v>
      </c>
      <c r="AD168" s="38">
        <f t="shared" si="3"/>
        <v>872077.20000000007</v>
      </c>
      <c r="AE168" s="12"/>
      <c r="AF168" s="12">
        <f>COUNTIF($A$20:A168,A168)</f>
        <v>31</v>
      </c>
      <c r="AG168" s="38">
        <v>43603860</v>
      </c>
      <c r="AH168" s="38">
        <f>Tabla4[[#This Row],[VALOR CONTRAPARTIDA]]+Tabla4[[#This Row],[TOTAL APORTES ICBF]]</f>
        <v>44475937.200000003</v>
      </c>
      <c r="AI168" s="35"/>
      <c r="AJ168" s="38"/>
      <c r="AK168" s="38"/>
      <c r="AL168" s="23"/>
      <c r="AM168" s="35">
        <f>VLOOKUP(Tabla4[[#This Row],[SERVICIO 2025]],$J$2:$V$14,5,0)*Tabla4[[#This Row],[TOTAL COBERTURA]]</f>
        <v>987520</v>
      </c>
      <c r="AN168" s="35">
        <f>VLOOKUP(Tabla4[[#This Row],[SERVICIO 2025]],$J$2:$V$14,6,0)*Tabla4[[#This Row],[TOTAL COBERTURA]]</f>
        <v>820580</v>
      </c>
      <c r="AO168" s="35">
        <f>VLOOKUP(Tabla4[[#This Row],[SERVICIO 2025]],$J$2:$V$14,8,0)*Tabla4[[#This Row],[TOTAL COBERTURA]]</f>
        <v>582000</v>
      </c>
      <c r="AP168" s="35">
        <f>VLOOKUP(Tabla4[[#This Row],[SERVICIO 2025]],$J$2:$V$14,3,0)*Tabla4[[#This Row],[TOTAL COBERTURA]]*8</f>
        <v>41213760</v>
      </c>
      <c r="AQ168" s="35"/>
      <c r="AR168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68" s="35" t="str">
        <f>+IF(Tabla4[[#This Row],[AGRUPACIONES]]=1,SUMIFS(Tabla4[VALOR TOTAL],Tabla4[ZONA DEFINITIVO],Tabla4[[#This Row],[ZONA DEFINITIVO]])," ")</f>
        <v xml:space="preserve"> </v>
      </c>
      <c r="AT168" s="27">
        <f>(VLOOKUP(Tabla4[[#This Row],[SERVICIO 2025]],$J$2:$V$14,3,0)*Tabla4[[#This Row],[TOTAL COBERTURA]])+Tabla4[[#This Row],[VALOR FASE PREPARATORIA DE ALISTAMIENTO]]+Tabla4[[#This Row],[DOTACIÓN ÚNICA]]</f>
        <v>6721240</v>
      </c>
      <c r="AU168" s="35">
        <f>(VLOOKUP(Tabla4[[#This Row],[SERVICIO 2025]],$J$2:$V$14,3,0)*Tabla4[[#This Row],[TOTAL COBERTURA]])</f>
        <v>5151720</v>
      </c>
      <c r="AV168" s="35">
        <f>(VLOOKUP(Tabla4[[#This Row],[SERVICIO 2025]],$J$2:$V$14,3,0)*Tabla4[[#This Row],[TOTAL COBERTURA]])</f>
        <v>5151720</v>
      </c>
      <c r="AW168" s="35">
        <f>(VLOOKUP(Tabla4[[#This Row],[SERVICIO 2025]],$J$2:$V$14,3,0)*Tabla4[[#This Row],[TOTAL COBERTURA]])</f>
        <v>5151720</v>
      </c>
      <c r="AX168" s="35">
        <f>(VLOOKUP(Tabla4[[#This Row],[SERVICIO 2025]],$J$2:$V$14,3,0)*Tabla4[[#This Row],[TOTAL COBERTURA]])</f>
        <v>5151720</v>
      </c>
      <c r="AY168" s="35">
        <f>(VLOOKUP(Tabla4[[#This Row],[SERVICIO 2025]],$J$2:$V$14,3,0)*Tabla4[[#This Row],[TOTAL COBERTURA]])</f>
        <v>5151720</v>
      </c>
      <c r="AZ168" s="35">
        <f>(VLOOKUP(Tabla4[[#This Row],[SERVICIO 2025]],$J$2:$V$14,3,0)*Tabla4[[#This Row],[TOTAL COBERTURA]])</f>
        <v>5151720</v>
      </c>
      <c r="BA168" s="35">
        <f>(VLOOKUP(Tabla4[[#This Row],[SERVICIO 2025]],$J$2:$V$14,3,0)*Tabla4[[#This Row],[TOTAL COBERTURA]])+Tabla4[[#This Row],[VALOR FASE PREPARATORIA DE CIERRE]]</f>
        <v>5972300</v>
      </c>
      <c r="BB168" s="35">
        <f>SUM(Tabla4[[#This Row],[DESEMBOLSO 1]:[DESEMBOLSO 8]])</f>
        <v>43603860</v>
      </c>
      <c r="BC168" s="35"/>
      <c r="BD168" s="47" t="s">
        <v>97</v>
      </c>
      <c r="BE168" s="12" t="b">
        <f>EXACT(Tabla4[[#This Row],[VALOR ATENCIÓN (8 MESES)]],Tabla4[[#This Row],[VALOR TOTAL]])</f>
        <v>1</v>
      </c>
      <c r="BF168" s="23">
        <f>Tabla4[[#This Row],[VALOR ATENCIÓN (8 MESES)]]-Tabla4[[#This Row],[VALOR TOTAL]]</f>
        <v>0</v>
      </c>
      <c r="BG168" s="12" t="b">
        <f>EXACT(Tabla4[[#This Row],[TOTAL DESEMBOLSOS]],Tabla4[[#This Row],[VALOR ATENCIÓN (8 MESES)]])</f>
        <v>1</v>
      </c>
      <c r="BH168" s="29">
        <f>Tabla4[[#This Row],[TOTAL DESEMBOLSOS]]-Tabla4[[#This Row],[VALOR ATENCIÓN (8 MESES)]]</f>
        <v>0</v>
      </c>
      <c r="BI168" t="s">
        <v>392</v>
      </c>
    </row>
    <row r="169" spans="1:62">
      <c r="A169" s="13">
        <v>1897</v>
      </c>
      <c r="B169" s="13" t="s">
        <v>387</v>
      </c>
      <c r="C169" s="12" t="s">
        <v>87</v>
      </c>
      <c r="D169" s="12" t="s">
        <v>266</v>
      </c>
      <c r="E169" s="12" t="s">
        <v>376</v>
      </c>
      <c r="F169" s="12" t="s">
        <v>18</v>
      </c>
      <c r="G169" s="12" t="s">
        <v>90</v>
      </c>
      <c r="H169" s="12" t="s">
        <v>450</v>
      </c>
      <c r="I169" s="12">
        <v>58471152985</v>
      </c>
      <c r="J169" s="12" t="s">
        <v>451</v>
      </c>
      <c r="K169" s="12">
        <v>1</v>
      </c>
      <c r="L169" s="12">
        <v>22</v>
      </c>
      <c r="M169" s="12"/>
      <c r="N169" s="13">
        <v>1897</v>
      </c>
      <c r="O169" s="12" t="s">
        <v>93</v>
      </c>
      <c r="P169" s="12"/>
      <c r="Q169" s="12"/>
      <c r="R169" s="12" t="s">
        <v>94</v>
      </c>
      <c r="S169" s="12">
        <v>10</v>
      </c>
      <c r="T169" s="12" t="s">
        <v>390</v>
      </c>
      <c r="U169" s="12" t="s">
        <v>391</v>
      </c>
      <c r="V169" s="12">
        <f>VLOOKUP(Tabla4[[#This Row],[ZONA DEFINITIVO]],Hoja1!$A$1:$D$121,3,0)</f>
        <v>229183</v>
      </c>
      <c r="W169" s="12">
        <f>VLOOKUP(Tabla4[[#This Row],[ZONA DEFINITIVO]],Hoja1!$A$1:$D$121,2,0)</f>
        <v>16469</v>
      </c>
      <c r="X169" s="12">
        <f>VLOOKUP(Tabla4[[#This Row],[ZONA DEFINITIVO]],Hoja1!$A$1:$D$121,4,0)</f>
        <v>95625</v>
      </c>
      <c r="Y169" s="12" t="str">
        <f>+IF(Tabla4[[#This Row],[AGRUPACIONES]]=1,SUMIFS(Tabla4[UDS],Tabla4[ZONA DEFINITIVO],Tabla4[[#This Row],[ZONA DEFINITIVO]])," ")</f>
        <v xml:space="preserve"> </v>
      </c>
      <c r="Z169" s="12" t="str">
        <f>+IF(Tabla4[[#This Row],[AGRUPACIONES]]=1,SUMIFS(Tabla4[TOTAL COBERTURA],Tabla4[ZONA DEFINITIVO],Tabla4[[#This Row],[ZONA DEFINITIVO]])," ")</f>
        <v xml:space="preserve"> </v>
      </c>
      <c r="AA169" s="12"/>
      <c r="AB169" s="38">
        <v>47964246</v>
      </c>
      <c r="AC169" s="37">
        <v>0.02</v>
      </c>
      <c r="AD169" s="38">
        <f t="shared" si="3"/>
        <v>959284.92</v>
      </c>
      <c r="AE169" s="12"/>
      <c r="AF169" s="12">
        <f>COUNTIF($A$20:A169,A169)</f>
        <v>32</v>
      </c>
      <c r="AG169" s="38">
        <v>47964246</v>
      </c>
      <c r="AH169" s="38">
        <f>Tabla4[[#This Row],[VALOR CONTRAPARTIDA]]+Tabla4[[#This Row],[TOTAL APORTES ICBF]]</f>
        <v>48923530.920000002</v>
      </c>
      <c r="AI169" s="35"/>
      <c r="AJ169" s="38"/>
      <c r="AK169" s="38"/>
      <c r="AL169" s="23"/>
      <c r="AM169" s="35">
        <f>VLOOKUP(Tabla4[[#This Row],[SERVICIO 2025]],$J$2:$V$14,5,0)*Tabla4[[#This Row],[TOTAL COBERTURA]]</f>
        <v>1086272</v>
      </c>
      <c r="AN169" s="35">
        <f>VLOOKUP(Tabla4[[#This Row],[SERVICIO 2025]],$J$2:$V$14,6,0)*Tabla4[[#This Row],[TOTAL COBERTURA]]</f>
        <v>902638</v>
      </c>
      <c r="AO169" s="35">
        <f>VLOOKUP(Tabla4[[#This Row],[SERVICIO 2025]],$J$2:$V$14,8,0)*Tabla4[[#This Row],[TOTAL COBERTURA]]</f>
        <v>640200</v>
      </c>
      <c r="AP169" s="35">
        <f>VLOOKUP(Tabla4[[#This Row],[SERVICIO 2025]],$J$2:$V$14,3,0)*Tabla4[[#This Row],[TOTAL COBERTURA]]*8</f>
        <v>45335136</v>
      </c>
      <c r="AQ169" s="35"/>
      <c r="AR169" s="35">
        <f>Tabla4[[#This Row],[VALOR FASE PREPARATORIA DE ALISTAMIENTO]]+Tabla4[[#This Row],[VALOR FASE PREPARATORIA DE CIERRE]]+Tabla4[[#This Row],[DOTACIÓN ÚNICA]]+Tabla4[[#This Row],[VALOR ATENCIÓN]]+Tabla4[[#This Row],[VALOR RACION PREPARADA]]</f>
        <v>47964246</v>
      </c>
      <c r="AS169" s="35" t="str">
        <f>+IF(Tabla4[[#This Row],[AGRUPACIONES]]=1,SUMIFS(Tabla4[VALOR TOTAL],Tabla4[ZONA DEFINITIVO],Tabla4[[#This Row],[ZONA DEFINITIVO]])," ")</f>
        <v xml:space="preserve"> </v>
      </c>
      <c r="AT169" s="27">
        <f>(VLOOKUP(Tabla4[[#This Row],[SERVICIO 2025]],$J$2:$V$14,3,0)*Tabla4[[#This Row],[TOTAL COBERTURA]])+Tabla4[[#This Row],[VALOR FASE PREPARATORIA DE ALISTAMIENTO]]+Tabla4[[#This Row],[DOTACIÓN ÚNICA]]</f>
        <v>7393364</v>
      </c>
      <c r="AU169" s="35">
        <f>(VLOOKUP(Tabla4[[#This Row],[SERVICIO 2025]],$J$2:$V$14,3,0)*Tabla4[[#This Row],[TOTAL COBERTURA]])</f>
        <v>5666892</v>
      </c>
      <c r="AV169" s="35">
        <f>(VLOOKUP(Tabla4[[#This Row],[SERVICIO 2025]],$J$2:$V$14,3,0)*Tabla4[[#This Row],[TOTAL COBERTURA]])</f>
        <v>5666892</v>
      </c>
      <c r="AW169" s="35">
        <f>(VLOOKUP(Tabla4[[#This Row],[SERVICIO 2025]],$J$2:$V$14,3,0)*Tabla4[[#This Row],[TOTAL COBERTURA]])</f>
        <v>5666892</v>
      </c>
      <c r="AX169" s="35">
        <f>(VLOOKUP(Tabla4[[#This Row],[SERVICIO 2025]],$J$2:$V$14,3,0)*Tabla4[[#This Row],[TOTAL COBERTURA]])</f>
        <v>5666892</v>
      </c>
      <c r="AY169" s="35">
        <f>(VLOOKUP(Tabla4[[#This Row],[SERVICIO 2025]],$J$2:$V$14,3,0)*Tabla4[[#This Row],[TOTAL COBERTURA]])</f>
        <v>5666892</v>
      </c>
      <c r="AZ169" s="35">
        <f>(VLOOKUP(Tabla4[[#This Row],[SERVICIO 2025]],$J$2:$V$14,3,0)*Tabla4[[#This Row],[TOTAL COBERTURA]])</f>
        <v>5666892</v>
      </c>
      <c r="BA169" s="35">
        <f>(VLOOKUP(Tabla4[[#This Row],[SERVICIO 2025]],$J$2:$V$14,3,0)*Tabla4[[#This Row],[TOTAL COBERTURA]])+Tabla4[[#This Row],[VALOR FASE PREPARATORIA DE CIERRE]]</f>
        <v>6569530</v>
      </c>
      <c r="BB169" s="35">
        <f>SUM(Tabla4[[#This Row],[DESEMBOLSO 1]:[DESEMBOLSO 8]])</f>
        <v>47964246</v>
      </c>
      <c r="BC169" s="35"/>
      <c r="BD169" s="47" t="s">
        <v>97</v>
      </c>
      <c r="BE169" s="12" t="b">
        <f>EXACT(Tabla4[[#This Row],[VALOR ATENCIÓN (8 MESES)]],Tabla4[[#This Row],[VALOR TOTAL]])</f>
        <v>1</v>
      </c>
      <c r="BF169" s="23">
        <f>Tabla4[[#This Row],[VALOR ATENCIÓN (8 MESES)]]-Tabla4[[#This Row],[VALOR TOTAL]]</f>
        <v>0</v>
      </c>
      <c r="BG169" s="12" t="b">
        <f>EXACT(Tabla4[[#This Row],[TOTAL DESEMBOLSOS]],Tabla4[[#This Row],[VALOR ATENCIÓN (8 MESES)]])</f>
        <v>1</v>
      </c>
      <c r="BH169" s="29">
        <f>Tabla4[[#This Row],[TOTAL DESEMBOLSOS]]-Tabla4[[#This Row],[VALOR ATENCIÓN (8 MESES)]]</f>
        <v>0</v>
      </c>
      <c r="BI169" t="s">
        <v>392</v>
      </c>
    </row>
    <row r="170" spans="1:62">
      <c r="A170" s="13">
        <v>1897</v>
      </c>
      <c r="B170" s="13" t="s">
        <v>387</v>
      </c>
      <c r="C170" s="12" t="s">
        <v>87</v>
      </c>
      <c r="D170" s="12" t="s">
        <v>266</v>
      </c>
      <c r="E170" s="12" t="s">
        <v>376</v>
      </c>
      <c r="F170" s="12" t="s">
        <v>18</v>
      </c>
      <c r="G170" s="12" t="s">
        <v>90</v>
      </c>
      <c r="H170" s="12" t="s">
        <v>452</v>
      </c>
      <c r="I170" s="12">
        <v>58471152988</v>
      </c>
      <c r="J170" s="12" t="s">
        <v>453</v>
      </c>
      <c r="K170" s="12">
        <v>1</v>
      </c>
      <c r="L170" s="12">
        <v>11</v>
      </c>
      <c r="M170" s="12"/>
      <c r="N170" s="13">
        <v>1897</v>
      </c>
      <c r="O170" s="12" t="s">
        <v>93</v>
      </c>
      <c r="P170" s="12"/>
      <c r="Q170" s="12"/>
      <c r="R170" s="12" t="s">
        <v>94</v>
      </c>
      <c r="S170" s="12">
        <v>10</v>
      </c>
      <c r="T170" s="12" t="s">
        <v>390</v>
      </c>
      <c r="U170" s="12" t="s">
        <v>391</v>
      </c>
      <c r="V170" s="12">
        <f>VLOOKUP(Tabla4[[#This Row],[ZONA DEFINITIVO]],Hoja1!$A$1:$D$121,3,0)</f>
        <v>229183</v>
      </c>
      <c r="W170" s="12">
        <f>VLOOKUP(Tabla4[[#This Row],[ZONA DEFINITIVO]],Hoja1!$A$1:$D$121,2,0)</f>
        <v>16469</v>
      </c>
      <c r="X170" s="12">
        <f>VLOOKUP(Tabla4[[#This Row],[ZONA DEFINITIVO]],Hoja1!$A$1:$D$121,4,0)</f>
        <v>95625</v>
      </c>
      <c r="Y170" s="12" t="str">
        <f>+IF(Tabla4[[#This Row],[AGRUPACIONES]]=1,SUMIFS(Tabla4[UDS],Tabla4[ZONA DEFINITIVO],Tabla4[[#This Row],[ZONA DEFINITIVO]])," ")</f>
        <v xml:space="preserve"> </v>
      </c>
      <c r="Z170" s="12" t="str">
        <f>+IF(Tabla4[[#This Row],[AGRUPACIONES]]=1,SUMIFS(Tabla4[TOTAL COBERTURA],Tabla4[ZONA DEFINITIVO],Tabla4[[#This Row],[ZONA DEFINITIVO]])," ")</f>
        <v xml:space="preserve"> </v>
      </c>
      <c r="AA170" s="12"/>
      <c r="AB170" s="38">
        <v>23982123</v>
      </c>
      <c r="AC170" s="37">
        <v>0.02</v>
      </c>
      <c r="AD170" s="38">
        <f t="shared" si="3"/>
        <v>479642.46</v>
      </c>
      <c r="AE170" s="12"/>
      <c r="AF170" s="12">
        <f>COUNTIF($A$20:A170,A170)</f>
        <v>33</v>
      </c>
      <c r="AG170" s="38">
        <v>23982123</v>
      </c>
      <c r="AH170" s="38">
        <f>Tabla4[[#This Row],[VALOR CONTRAPARTIDA]]+Tabla4[[#This Row],[TOTAL APORTES ICBF]]</f>
        <v>24461765.460000001</v>
      </c>
      <c r="AI170" s="35"/>
      <c r="AJ170" s="38"/>
      <c r="AK170" s="38"/>
      <c r="AL170" s="23"/>
      <c r="AM170" s="35">
        <f>VLOOKUP(Tabla4[[#This Row],[SERVICIO 2025]],$J$2:$V$14,5,0)*Tabla4[[#This Row],[TOTAL COBERTURA]]</f>
        <v>543136</v>
      </c>
      <c r="AN170" s="35">
        <f>VLOOKUP(Tabla4[[#This Row],[SERVICIO 2025]],$J$2:$V$14,6,0)*Tabla4[[#This Row],[TOTAL COBERTURA]]</f>
        <v>451319</v>
      </c>
      <c r="AO170" s="35">
        <f>VLOOKUP(Tabla4[[#This Row],[SERVICIO 2025]],$J$2:$V$14,8,0)*Tabla4[[#This Row],[TOTAL COBERTURA]]</f>
        <v>320100</v>
      </c>
      <c r="AP170" s="35">
        <f>VLOOKUP(Tabla4[[#This Row],[SERVICIO 2025]],$J$2:$V$14,3,0)*Tabla4[[#This Row],[TOTAL COBERTURA]]*8</f>
        <v>22667568</v>
      </c>
      <c r="AQ170" s="35"/>
      <c r="AR170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170" s="35" t="str">
        <f>+IF(Tabla4[[#This Row],[AGRUPACIONES]]=1,SUMIFS(Tabla4[VALOR TOTAL],Tabla4[ZONA DEFINITIVO],Tabla4[[#This Row],[ZONA DEFINITIVO]])," ")</f>
        <v xml:space="preserve"> </v>
      </c>
      <c r="AT170" s="27">
        <f>(VLOOKUP(Tabla4[[#This Row],[SERVICIO 2025]],$J$2:$V$14,3,0)*Tabla4[[#This Row],[TOTAL COBERTURA]])+Tabla4[[#This Row],[VALOR FASE PREPARATORIA DE ALISTAMIENTO]]+Tabla4[[#This Row],[DOTACIÓN ÚNICA]]</f>
        <v>3696682</v>
      </c>
      <c r="AU170" s="35">
        <f>(VLOOKUP(Tabla4[[#This Row],[SERVICIO 2025]],$J$2:$V$14,3,0)*Tabla4[[#This Row],[TOTAL COBERTURA]])</f>
        <v>2833446</v>
      </c>
      <c r="AV170" s="35">
        <f>(VLOOKUP(Tabla4[[#This Row],[SERVICIO 2025]],$J$2:$V$14,3,0)*Tabla4[[#This Row],[TOTAL COBERTURA]])</f>
        <v>2833446</v>
      </c>
      <c r="AW170" s="35">
        <f>(VLOOKUP(Tabla4[[#This Row],[SERVICIO 2025]],$J$2:$V$14,3,0)*Tabla4[[#This Row],[TOTAL COBERTURA]])</f>
        <v>2833446</v>
      </c>
      <c r="AX170" s="35">
        <f>(VLOOKUP(Tabla4[[#This Row],[SERVICIO 2025]],$J$2:$V$14,3,0)*Tabla4[[#This Row],[TOTAL COBERTURA]])</f>
        <v>2833446</v>
      </c>
      <c r="AY170" s="35">
        <f>(VLOOKUP(Tabla4[[#This Row],[SERVICIO 2025]],$J$2:$V$14,3,0)*Tabla4[[#This Row],[TOTAL COBERTURA]])</f>
        <v>2833446</v>
      </c>
      <c r="AZ170" s="35">
        <f>(VLOOKUP(Tabla4[[#This Row],[SERVICIO 2025]],$J$2:$V$14,3,0)*Tabla4[[#This Row],[TOTAL COBERTURA]])</f>
        <v>2833446</v>
      </c>
      <c r="BA170" s="35">
        <f>(VLOOKUP(Tabla4[[#This Row],[SERVICIO 2025]],$J$2:$V$14,3,0)*Tabla4[[#This Row],[TOTAL COBERTURA]])+Tabla4[[#This Row],[VALOR FASE PREPARATORIA DE CIERRE]]</f>
        <v>3284765</v>
      </c>
      <c r="BB170" s="35">
        <f>SUM(Tabla4[[#This Row],[DESEMBOLSO 1]:[DESEMBOLSO 8]])</f>
        <v>23982123</v>
      </c>
      <c r="BC170" s="35"/>
      <c r="BD170" s="47" t="s">
        <v>97</v>
      </c>
      <c r="BE170" s="12" t="b">
        <f>EXACT(Tabla4[[#This Row],[VALOR ATENCIÓN (8 MESES)]],Tabla4[[#This Row],[VALOR TOTAL]])</f>
        <v>1</v>
      </c>
      <c r="BF170" s="23">
        <f>Tabla4[[#This Row],[VALOR ATENCIÓN (8 MESES)]]-Tabla4[[#This Row],[VALOR TOTAL]]</f>
        <v>0</v>
      </c>
      <c r="BG170" s="12" t="b">
        <f>EXACT(Tabla4[[#This Row],[TOTAL DESEMBOLSOS]],Tabla4[[#This Row],[VALOR ATENCIÓN (8 MESES)]])</f>
        <v>1</v>
      </c>
      <c r="BH170" s="29">
        <f>Tabla4[[#This Row],[TOTAL DESEMBOLSOS]]-Tabla4[[#This Row],[VALOR ATENCIÓN (8 MESES)]]</f>
        <v>0</v>
      </c>
      <c r="BI170" t="s">
        <v>392</v>
      </c>
    </row>
    <row r="171" spans="1:62">
      <c r="A171" s="13">
        <v>1897</v>
      </c>
      <c r="B171" s="13" t="s">
        <v>387</v>
      </c>
      <c r="C171" s="12" t="s">
        <v>87</v>
      </c>
      <c r="D171" s="12" t="s">
        <v>266</v>
      </c>
      <c r="E171" s="12" t="s">
        <v>376</v>
      </c>
      <c r="F171" s="12" t="s">
        <v>18</v>
      </c>
      <c r="G171" s="12" t="s">
        <v>90</v>
      </c>
      <c r="H171" s="12" t="s">
        <v>454</v>
      </c>
      <c r="I171" s="12">
        <v>58471153055</v>
      </c>
      <c r="J171" s="12" t="s">
        <v>455</v>
      </c>
      <c r="K171" s="12">
        <v>1</v>
      </c>
      <c r="L171" s="12">
        <v>9</v>
      </c>
      <c r="M171" s="12"/>
      <c r="N171" s="13">
        <v>1897</v>
      </c>
      <c r="O171" s="12" t="s">
        <v>93</v>
      </c>
      <c r="P171" s="12"/>
      <c r="Q171" s="12"/>
      <c r="R171" s="12" t="s">
        <v>94</v>
      </c>
      <c r="S171" s="12">
        <v>10</v>
      </c>
      <c r="T171" s="12" t="s">
        <v>390</v>
      </c>
      <c r="U171" s="12" t="s">
        <v>391</v>
      </c>
      <c r="V171" s="12">
        <f>VLOOKUP(Tabla4[[#This Row],[ZONA DEFINITIVO]],Hoja1!$A$1:$D$121,3,0)</f>
        <v>229183</v>
      </c>
      <c r="W171" s="12">
        <f>VLOOKUP(Tabla4[[#This Row],[ZONA DEFINITIVO]],Hoja1!$A$1:$D$121,2,0)</f>
        <v>16469</v>
      </c>
      <c r="X171" s="12">
        <f>VLOOKUP(Tabla4[[#This Row],[ZONA DEFINITIVO]],Hoja1!$A$1:$D$121,4,0)</f>
        <v>95625</v>
      </c>
      <c r="Y171" s="12" t="str">
        <f>+IF(Tabla4[[#This Row],[AGRUPACIONES]]=1,SUMIFS(Tabla4[UDS],Tabla4[ZONA DEFINITIVO],Tabla4[[#This Row],[ZONA DEFINITIVO]])," ")</f>
        <v xml:space="preserve"> </v>
      </c>
      <c r="Z171" s="12" t="str">
        <f>+IF(Tabla4[[#This Row],[AGRUPACIONES]]=1,SUMIFS(Tabla4[TOTAL COBERTURA],Tabla4[ZONA DEFINITIVO],Tabla4[[#This Row],[ZONA DEFINITIVO]])," ")</f>
        <v xml:space="preserve"> </v>
      </c>
      <c r="AA171" s="12"/>
      <c r="AB171" s="38">
        <v>19621737</v>
      </c>
      <c r="AC171" s="37">
        <v>0.02</v>
      </c>
      <c r="AD171" s="38">
        <f t="shared" si="3"/>
        <v>392434.74</v>
      </c>
      <c r="AE171" s="12"/>
      <c r="AF171" s="12">
        <f>COUNTIF($A$20:A171,A171)</f>
        <v>34</v>
      </c>
      <c r="AG171" s="38">
        <v>19621737</v>
      </c>
      <c r="AH171" s="38">
        <f>Tabla4[[#This Row],[VALOR CONTRAPARTIDA]]+Tabla4[[#This Row],[TOTAL APORTES ICBF]]</f>
        <v>20014171.739999998</v>
      </c>
      <c r="AI171" s="35"/>
      <c r="AJ171" s="38"/>
      <c r="AK171" s="38"/>
      <c r="AL171" s="23"/>
      <c r="AM171" s="35">
        <f>VLOOKUP(Tabla4[[#This Row],[SERVICIO 2025]],$J$2:$V$14,5,0)*Tabla4[[#This Row],[TOTAL COBERTURA]]</f>
        <v>444384</v>
      </c>
      <c r="AN171" s="35">
        <f>VLOOKUP(Tabla4[[#This Row],[SERVICIO 2025]],$J$2:$V$14,6,0)*Tabla4[[#This Row],[TOTAL COBERTURA]]</f>
        <v>369261</v>
      </c>
      <c r="AO171" s="35">
        <f>VLOOKUP(Tabla4[[#This Row],[SERVICIO 2025]],$J$2:$V$14,8,0)*Tabla4[[#This Row],[TOTAL COBERTURA]]</f>
        <v>261900</v>
      </c>
      <c r="AP171" s="35">
        <f>VLOOKUP(Tabla4[[#This Row],[SERVICIO 2025]],$J$2:$V$14,3,0)*Tabla4[[#This Row],[TOTAL COBERTURA]]*8</f>
        <v>18546192</v>
      </c>
      <c r="AQ171" s="35"/>
      <c r="AR171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171" s="35" t="str">
        <f>+IF(Tabla4[[#This Row],[AGRUPACIONES]]=1,SUMIFS(Tabla4[VALOR TOTAL],Tabla4[ZONA DEFINITIVO],Tabla4[[#This Row],[ZONA DEFINITIVO]])," ")</f>
        <v xml:space="preserve"> </v>
      </c>
      <c r="AT171" s="27">
        <f>(VLOOKUP(Tabla4[[#This Row],[SERVICIO 2025]],$J$2:$V$14,3,0)*Tabla4[[#This Row],[TOTAL COBERTURA]])+Tabla4[[#This Row],[VALOR FASE PREPARATORIA DE ALISTAMIENTO]]+Tabla4[[#This Row],[DOTACIÓN ÚNICA]]</f>
        <v>3024558</v>
      </c>
      <c r="AU171" s="35">
        <f>(VLOOKUP(Tabla4[[#This Row],[SERVICIO 2025]],$J$2:$V$14,3,0)*Tabla4[[#This Row],[TOTAL COBERTURA]])</f>
        <v>2318274</v>
      </c>
      <c r="AV171" s="35">
        <f>(VLOOKUP(Tabla4[[#This Row],[SERVICIO 2025]],$J$2:$V$14,3,0)*Tabla4[[#This Row],[TOTAL COBERTURA]])</f>
        <v>2318274</v>
      </c>
      <c r="AW171" s="35">
        <f>(VLOOKUP(Tabla4[[#This Row],[SERVICIO 2025]],$J$2:$V$14,3,0)*Tabla4[[#This Row],[TOTAL COBERTURA]])</f>
        <v>2318274</v>
      </c>
      <c r="AX171" s="35">
        <f>(VLOOKUP(Tabla4[[#This Row],[SERVICIO 2025]],$J$2:$V$14,3,0)*Tabla4[[#This Row],[TOTAL COBERTURA]])</f>
        <v>2318274</v>
      </c>
      <c r="AY171" s="35">
        <f>(VLOOKUP(Tabla4[[#This Row],[SERVICIO 2025]],$J$2:$V$14,3,0)*Tabla4[[#This Row],[TOTAL COBERTURA]])</f>
        <v>2318274</v>
      </c>
      <c r="AZ171" s="35">
        <f>(VLOOKUP(Tabla4[[#This Row],[SERVICIO 2025]],$J$2:$V$14,3,0)*Tabla4[[#This Row],[TOTAL COBERTURA]])</f>
        <v>2318274</v>
      </c>
      <c r="BA171" s="35">
        <f>(VLOOKUP(Tabla4[[#This Row],[SERVICIO 2025]],$J$2:$V$14,3,0)*Tabla4[[#This Row],[TOTAL COBERTURA]])+Tabla4[[#This Row],[VALOR FASE PREPARATORIA DE CIERRE]]</f>
        <v>2687535</v>
      </c>
      <c r="BB171" s="35">
        <f>SUM(Tabla4[[#This Row],[DESEMBOLSO 1]:[DESEMBOLSO 8]])</f>
        <v>19621737</v>
      </c>
      <c r="BC171" s="35"/>
      <c r="BD171" s="47" t="s">
        <v>97</v>
      </c>
      <c r="BE171" s="12" t="b">
        <f>EXACT(Tabla4[[#This Row],[VALOR ATENCIÓN (8 MESES)]],Tabla4[[#This Row],[VALOR TOTAL]])</f>
        <v>1</v>
      </c>
      <c r="BF171" s="23">
        <f>Tabla4[[#This Row],[VALOR ATENCIÓN (8 MESES)]]-Tabla4[[#This Row],[VALOR TOTAL]]</f>
        <v>0</v>
      </c>
      <c r="BG171" s="12" t="b">
        <f>EXACT(Tabla4[[#This Row],[TOTAL DESEMBOLSOS]],Tabla4[[#This Row],[VALOR ATENCIÓN (8 MESES)]])</f>
        <v>1</v>
      </c>
      <c r="BH171" s="29">
        <f>Tabla4[[#This Row],[TOTAL DESEMBOLSOS]]-Tabla4[[#This Row],[VALOR ATENCIÓN (8 MESES)]]</f>
        <v>0</v>
      </c>
      <c r="BI171" t="s">
        <v>392</v>
      </c>
    </row>
    <row r="172" spans="1:62">
      <c r="A172" s="13">
        <v>1897</v>
      </c>
      <c r="B172" s="13" t="s">
        <v>387</v>
      </c>
      <c r="C172" s="12" t="s">
        <v>87</v>
      </c>
      <c r="D172" s="12" t="s">
        <v>266</v>
      </c>
      <c r="E172" s="12" t="s">
        <v>376</v>
      </c>
      <c r="F172" s="12" t="s">
        <v>18</v>
      </c>
      <c r="G172" s="12" t="s">
        <v>90</v>
      </c>
      <c r="H172" s="12" t="s">
        <v>456</v>
      </c>
      <c r="I172" s="12">
        <v>58471155778</v>
      </c>
      <c r="J172" s="12" t="s">
        <v>457</v>
      </c>
      <c r="K172" s="12">
        <v>1</v>
      </c>
      <c r="L172" s="12">
        <v>103</v>
      </c>
      <c r="M172" s="12"/>
      <c r="N172" s="13">
        <v>1897</v>
      </c>
      <c r="O172" s="12" t="s">
        <v>93</v>
      </c>
      <c r="P172" s="12"/>
      <c r="Q172" s="12"/>
      <c r="R172" s="12" t="s">
        <v>94</v>
      </c>
      <c r="S172" s="12">
        <v>10</v>
      </c>
      <c r="T172" s="12" t="s">
        <v>390</v>
      </c>
      <c r="U172" s="12" t="s">
        <v>391</v>
      </c>
      <c r="V172" s="12">
        <f>VLOOKUP(Tabla4[[#This Row],[ZONA DEFINITIVO]],Hoja1!$A$1:$D$121,3,0)</f>
        <v>229183</v>
      </c>
      <c r="W172" s="12">
        <f>VLOOKUP(Tabla4[[#This Row],[ZONA DEFINITIVO]],Hoja1!$A$1:$D$121,2,0)</f>
        <v>16469</v>
      </c>
      <c r="X172" s="12">
        <f>VLOOKUP(Tabla4[[#This Row],[ZONA DEFINITIVO]],Hoja1!$A$1:$D$121,4,0)</f>
        <v>95625</v>
      </c>
      <c r="Y172" s="12" t="str">
        <f>+IF(Tabla4[[#This Row],[AGRUPACIONES]]=1,SUMIFS(Tabla4[UDS],Tabla4[ZONA DEFINITIVO],Tabla4[[#This Row],[ZONA DEFINITIVO]])," ")</f>
        <v xml:space="preserve"> </v>
      </c>
      <c r="Z172" s="12" t="str">
        <f>+IF(Tabla4[[#This Row],[AGRUPACIONES]]=1,SUMIFS(Tabla4[TOTAL COBERTURA],Tabla4[ZONA DEFINITIVO],Tabla4[[#This Row],[ZONA DEFINITIVO]])," ")</f>
        <v xml:space="preserve"> </v>
      </c>
      <c r="AA172" s="12"/>
      <c r="AB172" s="38">
        <v>224559879</v>
      </c>
      <c r="AC172" s="37">
        <v>0.02</v>
      </c>
      <c r="AD172" s="38">
        <f t="shared" si="3"/>
        <v>4491197.58</v>
      </c>
      <c r="AE172" s="12"/>
      <c r="AF172" s="12">
        <f>COUNTIF($A$20:A172,A172)</f>
        <v>35</v>
      </c>
      <c r="AG172" s="38">
        <v>224559879</v>
      </c>
      <c r="AH172" s="38">
        <f>Tabla4[[#This Row],[VALOR CONTRAPARTIDA]]+Tabla4[[#This Row],[TOTAL APORTES ICBF]]</f>
        <v>229051076.58000001</v>
      </c>
      <c r="AI172" s="35"/>
      <c r="AJ172" s="38"/>
      <c r="AK172" s="38"/>
      <c r="AL172" s="23"/>
      <c r="AM172" s="35">
        <f>VLOOKUP(Tabla4[[#This Row],[SERVICIO 2025]],$J$2:$V$14,5,0)*Tabla4[[#This Row],[TOTAL COBERTURA]]</f>
        <v>5085728</v>
      </c>
      <c r="AN172" s="35">
        <f>VLOOKUP(Tabla4[[#This Row],[SERVICIO 2025]],$J$2:$V$14,6,0)*Tabla4[[#This Row],[TOTAL COBERTURA]]</f>
        <v>4225987</v>
      </c>
      <c r="AO172" s="35">
        <f>VLOOKUP(Tabla4[[#This Row],[SERVICIO 2025]],$J$2:$V$14,8,0)*Tabla4[[#This Row],[TOTAL COBERTURA]]</f>
        <v>2997300</v>
      </c>
      <c r="AP172" s="35">
        <f>VLOOKUP(Tabla4[[#This Row],[SERVICIO 2025]],$J$2:$V$14,3,0)*Tabla4[[#This Row],[TOTAL COBERTURA]]*8</f>
        <v>212250864</v>
      </c>
      <c r="AQ172" s="35"/>
      <c r="AR172" s="35">
        <f>Tabla4[[#This Row],[VALOR FASE PREPARATORIA DE ALISTAMIENTO]]+Tabla4[[#This Row],[VALOR FASE PREPARATORIA DE CIERRE]]+Tabla4[[#This Row],[DOTACIÓN ÚNICA]]+Tabla4[[#This Row],[VALOR ATENCIÓN]]+Tabla4[[#This Row],[VALOR RACION PREPARADA]]</f>
        <v>224559879</v>
      </c>
      <c r="AS172" s="35" t="str">
        <f>+IF(Tabla4[[#This Row],[AGRUPACIONES]]=1,SUMIFS(Tabla4[VALOR TOTAL],Tabla4[ZONA DEFINITIVO],Tabla4[[#This Row],[ZONA DEFINITIVO]])," ")</f>
        <v xml:space="preserve"> </v>
      </c>
      <c r="AT172" s="27">
        <f>(VLOOKUP(Tabla4[[#This Row],[SERVICIO 2025]],$J$2:$V$14,3,0)*Tabla4[[#This Row],[TOTAL COBERTURA]])+Tabla4[[#This Row],[VALOR FASE PREPARATORIA DE ALISTAMIENTO]]+Tabla4[[#This Row],[DOTACIÓN ÚNICA]]</f>
        <v>34614386</v>
      </c>
      <c r="AU172" s="35">
        <f>(VLOOKUP(Tabla4[[#This Row],[SERVICIO 2025]],$J$2:$V$14,3,0)*Tabla4[[#This Row],[TOTAL COBERTURA]])</f>
        <v>26531358</v>
      </c>
      <c r="AV172" s="35">
        <f>(VLOOKUP(Tabla4[[#This Row],[SERVICIO 2025]],$J$2:$V$14,3,0)*Tabla4[[#This Row],[TOTAL COBERTURA]])</f>
        <v>26531358</v>
      </c>
      <c r="AW172" s="35">
        <f>(VLOOKUP(Tabla4[[#This Row],[SERVICIO 2025]],$J$2:$V$14,3,0)*Tabla4[[#This Row],[TOTAL COBERTURA]])</f>
        <v>26531358</v>
      </c>
      <c r="AX172" s="35">
        <f>(VLOOKUP(Tabla4[[#This Row],[SERVICIO 2025]],$J$2:$V$14,3,0)*Tabla4[[#This Row],[TOTAL COBERTURA]])</f>
        <v>26531358</v>
      </c>
      <c r="AY172" s="35">
        <f>(VLOOKUP(Tabla4[[#This Row],[SERVICIO 2025]],$J$2:$V$14,3,0)*Tabla4[[#This Row],[TOTAL COBERTURA]])</f>
        <v>26531358</v>
      </c>
      <c r="AZ172" s="35">
        <f>(VLOOKUP(Tabla4[[#This Row],[SERVICIO 2025]],$J$2:$V$14,3,0)*Tabla4[[#This Row],[TOTAL COBERTURA]])</f>
        <v>26531358</v>
      </c>
      <c r="BA172" s="35">
        <f>(VLOOKUP(Tabla4[[#This Row],[SERVICIO 2025]],$J$2:$V$14,3,0)*Tabla4[[#This Row],[TOTAL COBERTURA]])+Tabla4[[#This Row],[VALOR FASE PREPARATORIA DE CIERRE]]</f>
        <v>30757345</v>
      </c>
      <c r="BB172" s="35">
        <f>SUM(Tabla4[[#This Row],[DESEMBOLSO 1]:[DESEMBOLSO 8]])</f>
        <v>224559879</v>
      </c>
      <c r="BC172" s="35"/>
      <c r="BD172" s="47" t="s">
        <v>97</v>
      </c>
      <c r="BE172" s="12" t="b">
        <f>EXACT(Tabla4[[#This Row],[VALOR ATENCIÓN (8 MESES)]],Tabla4[[#This Row],[VALOR TOTAL]])</f>
        <v>1</v>
      </c>
      <c r="BF172" s="23">
        <f>Tabla4[[#This Row],[VALOR ATENCIÓN (8 MESES)]]-Tabla4[[#This Row],[VALOR TOTAL]]</f>
        <v>0</v>
      </c>
      <c r="BG172" s="12" t="b">
        <f>EXACT(Tabla4[[#This Row],[TOTAL DESEMBOLSOS]],Tabla4[[#This Row],[VALOR ATENCIÓN (8 MESES)]])</f>
        <v>1</v>
      </c>
      <c r="BH172" s="29">
        <f>Tabla4[[#This Row],[TOTAL DESEMBOLSOS]]-Tabla4[[#This Row],[VALOR ATENCIÓN (8 MESES)]]</f>
        <v>0</v>
      </c>
      <c r="BI172" t="s">
        <v>392</v>
      </c>
    </row>
    <row r="173" spans="1:62">
      <c r="A173" s="13">
        <v>1897</v>
      </c>
      <c r="B173" s="13" t="s">
        <v>387</v>
      </c>
      <c r="C173" s="12" t="s">
        <v>87</v>
      </c>
      <c r="D173" s="12" t="s">
        <v>266</v>
      </c>
      <c r="E173" s="12" t="s">
        <v>376</v>
      </c>
      <c r="F173" s="12" t="s">
        <v>18</v>
      </c>
      <c r="G173" s="12" t="s">
        <v>90</v>
      </c>
      <c r="H173" s="12" t="s">
        <v>458</v>
      </c>
      <c r="I173" s="12">
        <v>58471155779</v>
      </c>
      <c r="J173" s="12" t="s">
        <v>459</v>
      </c>
      <c r="K173" s="12">
        <v>1</v>
      </c>
      <c r="L173" s="12">
        <v>106</v>
      </c>
      <c r="M173" s="12"/>
      <c r="N173" s="13">
        <v>1897</v>
      </c>
      <c r="O173" s="12" t="s">
        <v>93</v>
      </c>
      <c r="P173" s="12"/>
      <c r="Q173" s="12"/>
      <c r="R173" s="12" t="s">
        <v>94</v>
      </c>
      <c r="S173" s="12">
        <v>10</v>
      </c>
      <c r="T173" s="12" t="s">
        <v>390</v>
      </c>
      <c r="U173" s="12" t="s">
        <v>391</v>
      </c>
      <c r="V173" s="12">
        <f>VLOOKUP(Tabla4[[#This Row],[ZONA DEFINITIVO]],Hoja1!$A$1:$D$121,3,0)</f>
        <v>229183</v>
      </c>
      <c r="W173" s="12">
        <f>VLOOKUP(Tabla4[[#This Row],[ZONA DEFINITIVO]],Hoja1!$A$1:$D$121,2,0)</f>
        <v>16469</v>
      </c>
      <c r="X173" s="12">
        <f>VLOOKUP(Tabla4[[#This Row],[ZONA DEFINITIVO]],Hoja1!$A$1:$D$121,4,0)</f>
        <v>95625</v>
      </c>
      <c r="Y173" s="12" t="str">
        <f>+IF(Tabla4[[#This Row],[AGRUPACIONES]]=1,SUMIFS(Tabla4[UDS],Tabla4[ZONA DEFINITIVO],Tabla4[[#This Row],[ZONA DEFINITIVO]])," ")</f>
        <v xml:space="preserve"> </v>
      </c>
      <c r="Z173" s="12" t="str">
        <f>+IF(Tabla4[[#This Row],[AGRUPACIONES]]=1,SUMIFS(Tabla4[TOTAL COBERTURA],Tabla4[ZONA DEFINITIVO],Tabla4[[#This Row],[ZONA DEFINITIVO]])," ")</f>
        <v xml:space="preserve"> </v>
      </c>
      <c r="AA173" s="12"/>
      <c r="AB173" s="38">
        <v>231100458</v>
      </c>
      <c r="AC173" s="37">
        <v>0.02</v>
      </c>
      <c r="AD173" s="38">
        <f t="shared" si="3"/>
        <v>4622009.16</v>
      </c>
      <c r="AE173" s="12"/>
      <c r="AF173" s="12">
        <f>COUNTIF($A$20:A173,A173)</f>
        <v>36</v>
      </c>
      <c r="AG173" s="38">
        <v>231100458</v>
      </c>
      <c r="AH173" s="38">
        <f>Tabla4[[#This Row],[VALOR CONTRAPARTIDA]]+Tabla4[[#This Row],[TOTAL APORTES ICBF]]</f>
        <v>235722467.16</v>
      </c>
      <c r="AI173" s="35"/>
      <c r="AJ173" s="38"/>
      <c r="AK173" s="38"/>
      <c r="AL173" s="23"/>
      <c r="AM173" s="35">
        <f>VLOOKUP(Tabla4[[#This Row],[SERVICIO 2025]],$J$2:$V$14,5,0)*Tabla4[[#This Row],[TOTAL COBERTURA]]</f>
        <v>5233856</v>
      </c>
      <c r="AN173" s="35">
        <f>VLOOKUP(Tabla4[[#This Row],[SERVICIO 2025]],$J$2:$V$14,6,0)*Tabla4[[#This Row],[TOTAL COBERTURA]]</f>
        <v>4349074</v>
      </c>
      <c r="AO173" s="35">
        <f>VLOOKUP(Tabla4[[#This Row],[SERVICIO 2025]],$J$2:$V$14,8,0)*Tabla4[[#This Row],[TOTAL COBERTURA]]</f>
        <v>3084600</v>
      </c>
      <c r="AP173" s="35">
        <f>VLOOKUP(Tabla4[[#This Row],[SERVICIO 2025]],$J$2:$V$14,3,0)*Tabla4[[#This Row],[TOTAL COBERTURA]]*8</f>
        <v>218432928</v>
      </c>
      <c r="AQ173" s="35"/>
      <c r="AR173" s="35">
        <f>Tabla4[[#This Row],[VALOR FASE PREPARATORIA DE ALISTAMIENTO]]+Tabla4[[#This Row],[VALOR FASE PREPARATORIA DE CIERRE]]+Tabla4[[#This Row],[DOTACIÓN ÚNICA]]+Tabla4[[#This Row],[VALOR ATENCIÓN]]+Tabla4[[#This Row],[VALOR RACION PREPARADA]]</f>
        <v>231100458</v>
      </c>
      <c r="AS173" s="35" t="str">
        <f>+IF(Tabla4[[#This Row],[AGRUPACIONES]]=1,SUMIFS(Tabla4[VALOR TOTAL],Tabla4[ZONA DEFINITIVO],Tabla4[[#This Row],[ZONA DEFINITIVO]])," ")</f>
        <v xml:space="preserve"> </v>
      </c>
      <c r="AT173" s="27">
        <f>(VLOOKUP(Tabla4[[#This Row],[SERVICIO 2025]],$J$2:$V$14,3,0)*Tabla4[[#This Row],[TOTAL COBERTURA]])+Tabla4[[#This Row],[VALOR FASE PREPARATORIA DE ALISTAMIENTO]]+Tabla4[[#This Row],[DOTACIÓN ÚNICA]]</f>
        <v>35622572</v>
      </c>
      <c r="AU173" s="35">
        <f>(VLOOKUP(Tabla4[[#This Row],[SERVICIO 2025]],$J$2:$V$14,3,0)*Tabla4[[#This Row],[TOTAL COBERTURA]])</f>
        <v>27304116</v>
      </c>
      <c r="AV173" s="35">
        <f>(VLOOKUP(Tabla4[[#This Row],[SERVICIO 2025]],$J$2:$V$14,3,0)*Tabla4[[#This Row],[TOTAL COBERTURA]])</f>
        <v>27304116</v>
      </c>
      <c r="AW173" s="35">
        <f>(VLOOKUP(Tabla4[[#This Row],[SERVICIO 2025]],$J$2:$V$14,3,0)*Tabla4[[#This Row],[TOTAL COBERTURA]])</f>
        <v>27304116</v>
      </c>
      <c r="AX173" s="35">
        <f>(VLOOKUP(Tabla4[[#This Row],[SERVICIO 2025]],$J$2:$V$14,3,0)*Tabla4[[#This Row],[TOTAL COBERTURA]])</f>
        <v>27304116</v>
      </c>
      <c r="AY173" s="35">
        <f>(VLOOKUP(Tabla4[[#This Row],[SERVICIO 2025]],$J$2:$V$14,3,0)*Tabla4[[#This Row],[TOTAL COBERTURA]])</f>
        <v>27304116</v>
      </c>
      <c r="AZ173" s="35">
        <f>(VLOOKUP(Tabla4[[#This Row],[SERVICIO 2025]],$J$2:$V$14,3,0)*Tabla4[[#This Row],[TOTAL COBERTURA]])</f>
        <v>27304116</v>
      </c>
      <c r="BA173" s="35">
        <f>(VLOOKUP(Tabla4[[#This Row],[SERVICIO 2025]],$J$2:$V$14,3,0)*Tabla4[[#This Row],[TOTAL COBERTURA]])+Tabla4[[#This Row],[VALOR FASE PREPARATORIA DE CIERRE]]</f>
        <v>31653190</v>
      </c>
      <c r="BB173" s="35">
        <f>SUM(Tabla4[[#This Row],[DESEMBOLSO 1]:[DESEMBOLSO 8]])</f>
        <v>231100458</v>
      </c>
      <c r="BC173" s="35"/>
      <c r="BD173" s="47" t="s">
        <v>97</v>
      </c>
      <c r="BE173" s="12" t="b">
        <f>EXACT(Tabla4[[#This Row],[VALOR ATENCIÓN (8 MESES)]],Tabla4[[#This Row],[VALOR TOTAL]])</f>
        <v>1</v>
      </c>
      <c r="BF173" s="23">
        <f>Tabla4[[#This Row],[VALOR ATENCIÓN (8 MESES)]]-Tabla4[[#This Row],[VALOR TOTAL]]</f>
        <v>0</v>
      </c>
      <c r="BG173" s="12" t="b">
        <f>EXACT(Tabla4[[#This Row],[TOTAL DESEMBOLSOS]],Tabla4[[#This Row],[VALOR ATENCIÓN (8 MESES)]])</f>
        <v>1</v>
      </c>
      <c r="BH173" s="29">
        <f>Tabla4[[#This Row],[TOTAL DESEMBOLSOS]]-Tabla4[[#This Row],[VALOR ATENCIÓN (8 MESES)]]</f>
        <v>0</v>
      </c>
      <c r="BI173" t="s">
        <v>392</v>
      </c>
    </row>
    <row r="174" spans="1:62">
      <c r="A174" s="13">
        <v>1897</v>
      </c>
      <c r="B174" s="13" t="s">
        <v>387</v>
      </c>
      <c r="C174" s="12" t="s">
        <v>87</v>
      </c>
      <c r="D174" s="12" t="s">
        <v>266</v>
      </c>
      <c r="E174" s="12" t="s">
        <v>376</v>
      </c>
      <c r="F174" s="12" t="s">
        <v>18</v>
      </c>
      <c r="G174" s="12" t="s">
        <v>90</v>
      </c>
      <c r="H174" s="12" t="s">
        <v>460</v>
      </c>
      <c r="I174" s="12">
        <v>58471155780</v>
      </c>
      <c r="J174" s="12" t="s">
        <v>460</v>
      </c>
      <c r="K174" s="12">
        <v>1</v>
      </c>
      <c r="L174" s="12">
        <v>155</v>
      </c>
      <c r="M174" s="12"/>
      <c r="N174" s="13">
        <v>1897</v>
      </c>
      <c r="O174" s="12" t="s">
        <v>93</v>
      </c>
      <c r="P174" s="12"/>
      <c r="Q174" s="12"/>
      <c r="R174" s="12" t="s">
        <v>94</v>
      </c>
      <c r="S174" s="12">
        <v>10</v>
      </c>
      <c r="T174" s="12" t="s">
        <v>390</v>
      </c>
      <c r="U174" s="12" t="s">
        <v>391</v>
      </c>
      <c r="V174" s="12">
        <f>VLOOKUP(Tabla4[[#This Row],[ZONA DEFINITIVO]],Hoja1!$A$1:$D$121,3,0)</f>
        <v>229183</v>
      </c>
      <c r="W174" s="12">
        <f>VLOOKUP(Tabla4[[#This Row],[ZONA DEFINITIVO]],Hoja1!$A$1:$D$121,2,0)</f>
        <v>16469</v>
      </c>
      <c r="X174" s="12">
        <f>VLOOKUP(Tabla4[[#This Row],[ZONA DEFINITIVO]],Hoja1!$A$1:$D$121,4,0)</f>
        <v>95625</v>
      </c>
      <c r="Y174" s="12" t="str">
        <f>+IF(Tabla4[[#This Row],[AGRUPACIONES]]=1,SUMIFS(Tabla4[UDS],Tabla4[ZONA DEFINITIVO],Tabla4[[#This Row],[ZONA DEFINITIVO]])," ")</f>
        <v xml:space="preserve"> </v>
      </c>
      <c r="Z174" s="12" t="str">
        <f>+IF(Tabla4[[#This Row],[AGRUPACIONES]]=1,SUMIFS(Tabla4[TOTAL COBERTURA],Tabla4[ZONA DEFINITIVO],Tabla4[[#This Row],[ZONA DEFINITIVO]])," ")</f>
        <v xml:space="preserve"> </v>
      </c>
      <c r="AA174" s="12"/>
      <c r="AB174" s="38">
        <v>337929915</v>
      </c>
      <c r="AC174" s="37">
        <v>0.02</v>
      </c>
      <c r="AD174" s="38">
        <f t="shared" si="3"/>
        <v>6758598.2999999998</v>
      </c>
      <c r="AE174" s="12"/>
      <c r="AF174" s="12">
        <f>COUNTIF($A$20:A174,A174)</f>
        <v>37</v>
      </c>
      <c r="AG174" s="38">
        <v>337929915</v>
      </c>
      <c r="AH174" s="38">
        <f>Tabla4[[#This Row],[VALOR CONTRAPARTIDA]]+Tabla4[[#This Row],[TOTAL APORTES ICBF]]</f>
        <v>344688513.30000001</v>
      </c>
      <c r="AI174" s="35"/>
      <c r="AJ174" s="38"/>
      <c r="AK174" s="38"/>
      <c r="AL174" s="23"/>
      <c r="AM174" s="35">
        <f>VLOOKUP(Tabla4[[#This Row],[SERVICIO 2025]],$J$2:$V$14,5,0)*Tabla4[[#This Row],[TOTAL COBERTURA]]</f>
        <v>7653280</v>
      </c>
      <c r="AN174" s="35">
        <f>VLOOKUP(Tabla4[[#This Row],[SERVICIO 2025]],$J$2:$V$14,6,0)*Tabla4[[#This Row],[TOTAL COBERTURA]]</f>
        <v>6359495</v>
      </c>
      <c r="AO174" s="35">
        <f>VLOOKUP(Tabla4[[#This Row],[SERVICIO 2025]],$J$2:$V$14,8,0)*Tabla4[[#This Row],[TOTAL COBERTURA]]</f>
        <v>4510500</v>
      </c>
      <c r="AP174" s="35">
        <f>VLOOKUP(Tabla4[[#This Row],[SERVICIO 2025]],$J$2:$V$14,3,0)*Tabla4[[#This Row],[TOTAL COBERTURA]]*8</f>
        <v>319406640</v>
      </c>
      <c r="AQ174" s="35"/>
      <c r="AR174" s="35">
        <f>Tabla4[[#This Row],[VALOR FASE PREPARATORIA DE ALISTAMIENTO]]+Tabla4[[#This Row],[VALOR FASE PREPARATORIA DE CIERRE]]+Tabla4[[#This Row],[DOTACIÓN ÚNICA]]+Tabla4[[#This Row],[VALOR ATENCIÓN]]+Tabla4[[#This Row],[VALOR RACION PREPARADA]]</f>
        <v>337929915</v>
      </c>
      <c r="AS174" s="35" t="str">
        <f>+IF(Tabla4[[#This Row],[AGRUPACIONES]]=1,SUMIFS(Tabla4[VALOR TOTAL],Tabla4[ZONA DEFINITIVO],Tabla4[[#This Row],[ZONA DEFINITIVO]])," ")</f>
        <v xml:space="preserve"> </v>
      </c>
      <c r="AT174" s="27">
        <f>(VLOOKUP(Tabla4[[#This Row],[SERVICIO 2025]],$J$2:$V$14,3,0)*Tabla4[[#This Row],[TOTAL COBERTURA]])+Tabla4[[#This Row],[VALOR FASE PREPARATORIA DE ALISTAMIENTO]]+Tabla4[[#This Row],[DOTACIÓN ÚNICA]]</f>
        <v>52089610</v>
      </c>
      <c r="AU174" s="35">
        <f>(VLOOKUP(Tabla4[[#This Row],[SERVICIO 2025]],$J$2:$V$14,3,0)*Tabla4[[#This Row],[TOTAL COBERTURA]])</f>
        <v>39925830</v>
      </c>
      <c r="AV174" s="35">
        <f>(VLOOKUP(Tabla4[[#This Row],[SERVICIO 2025]],$J$2:$V$14,3,0)*Tabla4[[#This Row],[TOTAL COBERTURA]])</f>
        <v>39925830</v>
      </c>
      <c r="AW174" s="35">
        <f>(VLOOKUP(Tabla4[[#This Row],[SERVICIO 2025]],$J$2:$V$14,3,0)*Tabla4[[#This Row],[TOTAL COBERTURA]])</f>
        <v>39925830</v>
      </c>
      <c r="AX174" s="35">
        <f>(VLOOKUP(Tabla4[[#This Row],[SERVICIO 2025]],$J$2:$V$14,3,0)*Tabla4[[#This Row],[TOTAL COBERTURA]])</f>
        <v>39925830</v>
      </c>
      <c r="AY174" s="35">
        <f>(VLOOKUP(Tabla4[[#This Row],[SERVICIO 2025]],$J$2:$V$14,3,0)*Tabla4[[#This Row],[TOTAL COBERTURA]])</f>
        <v>39925830</v>
      </c>
      <c r="AZ174" s="35">
        <f>(VLOOKUP(Tabla4[[#This Row],[SERVICIO 2025]],$J$2:$V$14,3,0)*Tabla4[[#This Row],[TOTAL COBERTURA]])</f>
        <v>39925830</v>
      </c>
      <c r="BA174" s="35">
        <f>(VLOOKUP(Tabla4[[#This Row],[SERVICIO 2025]],$J$2:$V$14,3,0)*Tabla4[[#This Row],[TOTAL COBERTURA]])+Tabla4[[#This Row],[VALOR FASE PREPARATORIA DE CIERRE]]</f>
        <v>46285325</v>
      </c>
      <c r="BB174" s="35">
        <f>SUM(Tabla4[[#This Row],[DESEMBOLSO 1]:[DESEMBOLSO 8]])</f>
        <v>337929915</v>
      </c>
      <c r="BC174" s="35"/>
      <c r="BD174" s="47" t="s">
        <v>97</v>
      </c>
      <c r="BE174" s="12" t="b">
        <f>EXACT(Tabla4[[#This Row],[VALOR ATENCIÓN (8 MESES)]],Tabla4[[#This Row],[VALOR TOTAL]])</f>
        <v>1</v>
      </c>
      <c r="BF174" s="23">
        <f>Tabla4[[#This Row],[VALOR ATENCIÓN (8 MESES)]]-Tabla4[[#This Row],[VALOR TOTAL]]</f>
        <v>0</v>
      </c>
      <c r="BG174" s="12" t="b">
        <f>EXACT(Tabla4[[#This Row],[TOTAL DESEMBOLSOS]],Tabla4[[#This Row],[VALOR ATENCIÓN (8 MESES)]])</f>
        <v>1</v>
      </c>
      <c r="BH174" s="29">
        <f>Tabla4[[#This Row],[TOTAL DESEMBOLSOS]]-Tabla4[[#This Row],[VALOR ATENCIÓN (8 MESES)]]</f>
        <v>0</v>
      </c>
      <c r="BI174" t="s">
        <v>392</v>
      </c>
    </row>
    <row r="175" spans="1:62">
      <c r="A175" s="13">
        <v>1900</v>
      </c>
      <c r="B175" s="13" t="s">
        <v>461</v>
      </c>
      <c r="C175" s="12" t="s">
        <v>87</v>
      </c>
      <c r="D175" s="12" t="s">
        <v>462</v>
      </c>
      <c r="E175" s="12" t="s">
        <v>463</v>
      </c>
      <c r="F175" s="12" t="s">
        <v>13</v>
      </c>
      <c r="G175" s="12" t="s">
        <v>90</v>
      </c>
      <c r="H175" s="12" t="s">
        <v>464</v>
      </c>
      <c r="I175" s="12">
        <v>50451113616</v>
      </c>
      <c r="J175" s="12" t="s">
        <v>465</v>
      </c>
      <c r="K175" s="12">
        <v>1</v>
      </c>
      <c r="L175" s="12">
        <v>200</v>
      </c>
      <c r="M175" s="12"/>
      <c r="N175" s="13">
        <v>1900</v>
      </c>
      <c r="O175" s="12" t="s">
        <v>93</v>
      </c>
      <c r="P175" s="12"/>
      <c r="Q175" s="12"/>
      <c r="R175" s="12" t="s">
        <v>94</v>
      </c>
      <c r="S175" s="12">
        <v>10</v>
      </c>
      <c r="T175" s="12" t="s">
        <v>466</v>
      </c>
      <c r="U175" s="12" t="s">
        <v>467</v>
      </c>
      <c r="V175" s="12">
        <f>VLOOKUP(Tabla4[[#This Row],[ZONA DEFINITIVO]],Hoja1!$A$1:$D$121,3,0)</f>
        <v>229062</v>
      </c>
      <c r="W175" s="12">
        <f>VLOOKUP(Tabla4[[#This Row],[ZONA DEFINITIVO]],Hoja1!$A$1:$D$121,2,0)</f>
        <v>15184</v>
      </c>
      <c r="X175" s="12">
        <f>VLOOKUP(Tabla4[[#This Row],[ZONA DEFINITIVO]],Hoja1!$A$1:$D$121,4,0)</f>
        <v>91625</v>
      </c>
      <c r="Y175" s="12">
        <f>+IF(Tabla4[[#This Row],[AGRUPACIONES]]=1,SUMIFS(Tabla4[UDS],Tabla4[ZONA DEFINITIVO],Tabla4[[#This Row],[ZONA DEFINITIVO]])," ")</f>
        <v>3</v>
      </c>
      <c r="Z175" s="12">
        <f>+IF(Tabla4[[#This Row],[AGRUPACIONES]]=1,SUMIFS(Tabla4[TOTAL COBERTURA],Tabla4[ZONA DEFINITIVO],Tabla4[[#This Row],[ZONA DEFINITIVO]])," ")</f>
        <v>853</v>
      </c>
      <c r="AA175" s="12"/>
      <c r="AB175" s="38">
        <v>591341200</v>
      </c>
      <c r="AC175" s="37">
        <v>0.02</v>
      </c>
      <c r="AD175" s="38">
        <f t="shared" si="3"/>
        <v>11826824</v>
      </c>
      <c r="AE175" s="12"/>
      <c r="AF175" s="12">
        <f>COUNTIF($A$20:A175,A175)</f>
        <v>1</v>
      </c>
      <c r="AG175" s="38">
        <v>591341200</v>
      </c>
      <c r="AH175" s="38">
        <f>Tabla4[[#This Row],[VALOR CONTRAPARTIDA]]+Tabla4[[#This Row],[TOTAL APORTES ICBF]]</f>
        <v>603168024</v>
      </c>
      <c r="AI175" s="35">
        <f>ROUND(+IF(Tabla4[[#This Row],[AGRUPACIONES]]=1,SUMIFS(Tabla4[TOTAL APORTES ICBF],Tabla4[ZONA DEFINITIVO],Tabla4[[#This Row],[ZONA DEFINITIVO]])," "),0)</f>
        <v>2522070218</v>
      </c>
      <c r="AJ175" s="38">
        <f>ROUND(+IF(Tabla4[[#This Row],[AGRUPACIONES]]=1,SUMIFS(Tabla4[VALOR CONTRAPARTIDA],Tabla4[ZONA DEFINITIVO],Tabla4[[#This Row],[ZONA DEFINITIVO]])," "),0)</f>
        <v>50441404</v>
      </c>
      <c r="AK175" s="38">
        <f>Tabla4[[#This Row],[TOTAL APORTES ICBF AGRUPADO]]+Tabla4[[#This Row],[TOTAL CONTRAPARTIDA AGRUPADO]]</f>
        <v>2572511622</v>
      </c>
      <c r="AL175" s="23">
        <f>Tabla4[[#This Row],[TOTAL APORTES ICBF AGRUPADO]]/$AL$18</f>
        <v>1771.7388254302775</v>
      </c>
      <c r="AM175" s="35">
        <f>VLOOKUP(Tabla4[[#This Row],[SERVICIO 2025]],$J$2:$V$14,5,0)*Tabla4[[#This Row],[TOTAL COBERTURA]]</f>
        <v>17628600</v>
      </c>
      <c r="AN175" s="35">
        <f>VLOOKUP(Tabla4[[#This Row],[SERVICIO 2025]],$J$2:$V$14,6,0)*Tabla4[[#This Row],[TOTAL COBERTURA]]</f>
        <v>15008600</v>
      </c>
      <c r="AO175" s="35">
        <f>VLOOKUP(Tabla4[[#This Row],[SERVICIO 2025]],$J$2:$V$14,8,0)*Tabla4[[#This Row],[TOTAL COBERTURA]]</f>
        <v>0</v>
      </c>
      <c r="AP175" s="35">
        <f>VLOOKUP(Tabla4[[#This Row],[SERVICIO 2025]],$J$2:$V$14,3,0)*Tabla4[[#This Row],[TOTAL COBERTURA]]*8</f>
        <v>558704000</v>
      </c>
      <c r="AQ175" s="35"/>
      <c r="AR175" s="35">
        <f>Tabla4[[#This Row],[VALOR FASE PREPARATORIA DE ALISTAMIENTO]]+Tabla4[[#This Row],[VALOR FASE PREPARATORIA DE CIERRE]]+Tabla4[[#This Row],[DOTACIÓN ÚNICA]]+Tabla4[[#This Row],[VALOR ATENCIÓN]]+Tabla4[[#This Row],[VALOR RACION PREPARADA]]</f>
        <v>591341200</v>
      </c>
      <c r="AS175" s="35">
        <f>+IF(Tabla4[[#This Row],[AGRUPACIONES]]=1,SUMIFS(Tabla4[VALOR TOTAL],Tabla4[ZONA DEFINITIVO],Tabla4[[#This Row],[ZONA DEFINITIVO]])," ")</f>
        <v>2522070218</v>
      </c>
      <c r="AT175" s="27">
        <f>(VLOOKUP(Tabla4[[#This Row],[SERVICIO 2025]],$J$2:$V$14,3,0)*Tabla4[[#This Row],[TOTAL COBERTURA]])+Tabla4[[#This Row],[VALOR FASE PREPARATORIA DE ALISTAMIENTO]]+Tabla4[[#This Row],[DOTACIÓN ÚNICA]]</f>
        <v>87466600</v>
      </c>
      <c r="AU175" s="35">
        <f>(VLOOKUP(Tabla4[[#This Row],[SERVICIO 2025]],$J$2:$V$14,3,0)*Tabla4[[#This Row],[TOTAL COBERTURA]])</f>
        <v>69838000</v>
      </c>
      <c r="AV175" s="35">
        <f>(VLOOKUP(Tabla4[[#This Row],[SERVICIO 2025]],$J$2:$V$14,3,0)*Tabla4[[#This Row],[TOTAL COBERTURA]])</f>
        <v>69838000</v>
      </c>
      <c r="AW175" s="35">
        <f>(VLOOKUP(Tabla4[[#This Row],[SERVICIO 2025]],$J$2:$V$14,3,0)*Tabla4[[#This Row],[TOTAL COBERTURA]])</f>
        <v>69838000</v>
      </c>
      <c r="AX175" s="35">
        <f>(VLOOKUP(Tabla4[[#This Row],[SERVICIO 2025]],$J$2:$V$14,3,0)*Tabla4[[#This Row],[TOTAL COBERTURA]])</f>
        <v>69838000</v>
      </c>
      <c r="AY175" s="35">
        <f>(VLOOKUP(Tabla4[[#This Row],[SERVICIO 2025]],$J$2:$V$14,3,0)*Tabla4[[#This Row],[TOTAL COBERTURA]])</f>
        <v>69838000</v>
      </c>
      <c r="AZ175" s="35">
        <f>(VLOOKUP(Tabla4[[#This Row],[SERVICIO 2025]],$J$2:$V$14,3,0)*Tabla4[[#This Row],[TOTAL COBERTURA]])</f>
        <v>69838000</v>
      </c>
      <c r="BA175" s="35">
        <f>(VLOOKUP(Tabla4[[#This Row],[SERVICIO 2025]],$J$2:$V$14,3,0)*Tabla4[[#This Row],[TOTAL COBERTURA]])+Tabla4[[#This Row],[VALOR FASE PREPARATORIA DE CIERRE]]</f>
        <v>84846600</v>
      </c>
      <c r="BB175" s="35">
        <f>SUM(Tabla4[[#This Row],[DESEMBOLSO 1]:[DESEMBOLSO 8]])</f>
        <v>591341200</v>
      </c>
      <c r="BC175" s="35">
        <f>VLOOKUP(Tabla4[[#This Row],[SERVICIO 2025]],$J$2:$V$14,10,0)*Tabla4[[#This Row],[TOTAL COBERTURA]]*$W$3</f>
        <v>246428800</v>
      </c>
      <c r="BD175" s="47" t="s">
        <v>211</v>
      </c>
      <c r="BE175" s="12" t="b">
        <f>EXACT(Tabla4[[#This Row],[VALOR ATENCIÓN (8 MESES)]],Tabla4[[#This Row],[VALOR TOTAL]])</f>
        <v>1</v>
      </c>
      <c r="BF175" s="23">
        <f>Tabla4[[#This Row],[VALOR ATENCIÓN (8 MESES)]]-Tabla4[[#This Row],[VALOR TOTAL]]</f>
        <v>0</v>
      </c>
      <c r="BG175" s="12" t="b">
        <f>EXACT(Tabla4[[#This Row],[TOTAL DESEMBOLSOS]],Tabla4[[#This Row],[VALOR ATENCIÓN (8 MESES)]])</f>
        <v>1</v>
      </c>
      <c r="BH175" s="29">
        <f>Tabla4[[#This Row],[TOTAL DESEMBOLSOS]]-Tabla4[[#This Row],[VALOR ATENCIÓN (8 MESES)]]</f>
        <v>0</v>
      </c>
      <c r="BI175" t="s">
        <v>98</v>
      </c>
      <c r="BJ175">
        <v>1900</v>
      </c>
    </row>
    <row r="176" spans="1:62">
      <c r="A176" s="13">
        <v>1900</v>
      </c>
      <c r="B176" s="13" t="s">
        <v>461</v>
      </c>
      <c r="C176" s="12" t="s">
        <v>87</v>
      </c>
      <c r="D176" s="12" t="s">
        <v>462</v>
      </c>
      <c r="E176" s="12" t="s">
        <v>463</v>
      </c>
      <c r="F176" s="12" t="s">
        <v>13</v>
      </c>
      <c r="G176" s="12" t="s">
        <v>90</v>
      </c>
      <c r="H176" s="12" t="s">
        <v>468</v>
      </c>
      <c r="I176" s="12">
        <v>50451148748</v>
      </c>
      <c r="J176" s="12" t="s">
        <v>469</v>
      </c>
      <c r="K176" s="12">
        <v>1</v>
      </c>
      <c r="L176" s="12">
        <v>393</v>
      </c>
      <c r="M176" s="12"/>
      <c r="N176" s="13">
        <v>1900</v>
      </c>
      <c r="O176" s="12" t="s">
        <v>93</v>
      </c>
      <c r="P176" s="12"/>
      <c r="Q176" s="12"/>
      <c r="R176" s="12" t="s">
        <v>94</v>
      </c>
      <c r="S176" s="12">
        <v>10</v>
      </c>
      <c r="T176" s="12" t="s">
        <v>466</v>
      </c>
      <c r="U176" s="12" t="s">
        <v>467</v>
      </c>
      <c r="V176" s="12">
        <f>VLOOKUP(Tabla4[[#This Row],[ZONA DEFINITIVO]],Hoja1!$A$1:$D$121,3,0)</f>
        <v>229062</v>
      </c>
      <c r="W176" s="12">
        <f>VLOOKUP(Tabla4[[#This Row],[ZONA DEFINITIVO]],Hoja1!$A$1:$D$121,2,0)</f>
        <v>15184</v>
      </c>
      <c r="X176" s="12">
        <f>VLOOKUP(Tabla4[[#This Row],[ZONA DEFINITIVO]],Hoja1!$A$1:$D$121,4,0)</f>
        <v>91625</v>
      </c>
      <c r="Y176" s="12" t="str">
        <f>+IF(Tabla4[[#This Row],[AGRUPACIONES]]=1,SUMIFS(Tabla4[UDS],Tabla4[ZONA DEFINITIVO],Tabla4[[#This Row],[ZONA DEFINITIVO]])," ")</f>
        <v xml:space="preserve"> </v>
      </c>
      <c r="Z176" s="12" t="str">
        <f>+IF(Tabla4[[#This Row],[AGRUPACIONES]]=1,SUMIFS(Tabla4[TOTAL COBERTURA],Tabla4[ZONA DEFINITIVO],Tabla4[[#This Row],[ZONA DEFINITIVO]])," ")</f>
        <v xml:space="preserve"> </v>
      </c>
      <c r="AA176" s="12"/>
      <c r="AB176" s="38">
        <v>1161985458</v>
      </c>
      <c r="AC176" s="37">
        <v>0.02</v>
      </c>
      <c r="AD176" s="38">
        <f t="shared" si="3"/>
        <v>23239709.16</v>
      </c>
      <c r="AE176" s="12"/>
      <c r="AF176" s="12">
        <f>COUNTIF($A$20:A176,A176)</f>
        <v>2</v>
      </c>
      <c r="AG176" s="38">
        <v>1161985458</v>
      </c>
      <c r="AH176" s="38">
        <f>Tabla4[[#This Row],[VALOR CONTRAPARTIDA]]+Tabla4[[#This Row],[TOTAL APORTES ICBF]]</f>
        <v>1185225167.1600001</v>
      </c>
      <c r="AI176" s="35"/>
      <c r="AJ176" s="38"/>
      <c r="AK176" s="38"/>
      <c r="AL176" s="23"/>
      <c r="AM176" s="35">
        <f>VLOOKUP(Tabla4[[#This Row],[SERVICIO 2025]],$J$2:$V$14,5,0)*Tabla4[[#This Row],[TOTAL COBERTURA]]</f>
        <v>34640199</v>
      </c>
      <c r="AN176" s="35">
        <f>VLOOKUP(Tabla4[[#This Row],[SERVICIO 2025]],$J$2:$V$14,6,0)*Tabla4[[#This Row],[TOTAL COBERTURA]]</f>
        <v>29491899</v>
      </c>
      <c r="AO176" s="35">
        <f>VLOOKUP(Tabla4[[#This Row],[SERVICIO 2025]],$J$2:$V$14,8,0)*Tabla4[[#This Row],[TOTAL COBERTURA]]</f>
        <v>0</v>
      </c>
      <c r="AP176" s="35">
        <f>VLOOKUP(Tabla4[[#This Row],[SERVICIO 2025]],$J$2:$V$14,3,0)*Tabla4[[#This Row],[TOTAL COBERTURA]]*8</f>
        <v>1097853360</v>
      </c>
      <c r="AQ176" s="35"/>
      <c r="AR176" s="35">
        <f>Tabla4[[#This Row],[VALOR FASE PREPARATORIA DE ALISTAMIENTO]]+Tabla4[[#This Row],[VALOR FASE PREPARATORIA DE CIERRE]]+Tabla4[[#This Row],[DOTACIÓN ÚNICA]]+Tabla4[[#This Row],[VALOR ATENCIÓN]]+Tabla4[[#This Row],[VALOR RACION PREPARADA]]</f>
        <v>1161985458</v>
      </c>
      <c r="AS176" s="35" t="str">
        <f>+IF(Tabla4[[#This Row],[AGRUPACIONES]]=1,SUMIFS(Tabla4[VALOR TOTAL],Tabla4[ZONA DEFINITIVO],Tabla4[[#This Row],[ZONA DEFINITIVO]])," ")</f>
        <v xml:space="preserve"> </v>
      </c>
      <c r="AT176" s="27">
        <f>(VLOOKUP(Tabla4[[#This Row],[SERVICIO 2025]],$J$2:$V$14,3,0)*Tabla4[[#This Row],[TOTAL COBERTURA]])+Tabla4[[#This Row],[VALOR FASE PREPARATORIA DE ALISTAMIENTO]]+Tabla4[[#This Row],[DOTACIÓN ÚNICA]]</f>
        <v>171871869</v>
      </c>
      <c r="AU176" s="35">
        <f>(VLOOKUP(Tabla4[[#This Row],[SERVICIO 2025]],$J$2:$V$14,3,0)*Tabla4[[#This Row],[TOTAL COBERTURA]])</f>
        <v>137231670</v>
      </c>
      <c r="AV176" s="35">
        <f>(VLOOKUP(Tabla4[[#This Row],[SERVICIO 2025]],$J$2:$V$14,3,0)*Tabla4[[#This Row],[TOTAL COBERTURA]])</f>
        <v>137231670</v>
      </c>
      <c r="AW176" s="35">
        <f>(VLOOKUP(Tabla4[[#This Row],[SERVICIO 2025]],$J$2:$V$14,3,0)*Tabla4[[#This Row],[TOTAL COBERTURA]])</f>
        <v>137231670</v>
      </c>
      <c r="AX176" s="35">
        <f>(VLOOKUP(Tabla4[[#This Row],[SERVICIO 2025]],$J$2:$V$14,3,0)*Tabla4[[#This Row],[TOTAL COBERTURA]])</f>
        <v>137231670</v>
      </c>
      <c r="AY176" s="35">
        <f>(VLOOKUP(Tabla4[[#This Row],[SERVICIO 2025]],$J$2:$V$14,3,0)*Tabla4[[#This Row],[TOTAL COBERTURA]])</f>
        <v>137231670</v>
      </c>
      <c r="AZ176" s="35">
        <f>(VLOOKUP(Tabla4[[#This Row],[SERVICIO 2025]],$J$2:$V$14,3,0)*Tabla4[[#This Row],[TOTAL COBERTURA]])</f>
        <v>137231670</v>
      </c>
      <c r="BA176" s="35">
        <f>(VLOOKUP(Tabla4[[#This Row],[SERVICIO 2025]],$J$2:$V$14,3,0)*Tabla4[[#This Row],[TOTAL COBERTURA]])+Tabla4[[#This Row],[VALOR FASE PREPARATORIA DE CIERRE]]</f>
        <v>166723569</v>
      </c>
      <c r="BB176" s="35">
        <f>SUM(Tabla4[[#This Row],[DESEMBOLSO 1]:[DESEMBOLSO 8]])</f>
        <v>1161985458</v>
      </c>
      <c r="BC176" s="35">
        <f>VLOOKUP(Tabla4[[#This Row],[SERVICIO 2025]],$J$2:$V$14,10,0)*Tabla4[[#This Row],[TOTAL COBERTURA]]*$W$3</f>
        <v>484232592</v>
      </c>
      <c r="BD176" s="47" t="s">
        <v>211</v>
      </c>
      <c r="BE176" s="12" t="b">
        <f>EXACT(Tabla4[[#This Row],[VALOR ATENCIÓN (8 MESES)]],Tabla4[[#This Row],[VALOR TOTAL]])</f>
        <v>1</v>
      </c>
      <c r="BF176" s="23">
        <f>Tabla4[[#This Row],[VALOR ATENCIÓN (8 MESES)]]-Tabla4[[#This Row],[VALOR TOTAL]]</f>
        <v>0</v>
      </c>
      <c r="BG176" s="12" t="b">
        <f>EXACT(Tabla4[[#This Row],[TOTAL DESEMBOLSOS]],Tabla4[[#This Row],[VALOR ATENCIÓN (8 MESES)]])</f>
        <v>1</v>
      </c>
      <c r="BH176" s="29">
        <f>Tabla4[[#This Row],[TOTAL DESEMBOLSOS]]-Tabla4[[#This Row],[VALOR ATENCIÓN (8 MESES)]]</f>
        <v>0</v>
      </c>
      <c r="BI176" t="s">
        <v>98</v>
      </c>
      <c r="BJ176">
        <v>1900</v>
      </c>
    </row>
    <row r="177" spans="1:62">
      <c r="A177" s="13">
        <v>1900</v>
      </c>
      <c r="B177" s="13" t="s">
        <v>461</v>
      </c>
      <c r="C177" s="12" t="s">
        <v>87</v>
      </c>
      <c r="D177" s="12" t="s">
        <v>462</v>
      </c>
      <c r="E177" s="12" t="s">
        <v>463</v>
      </c>
      <c r="F177" s="12" t="s">
        <v>13</v>
      </c>
      <c r="G177" s="12" t="s">
        <v>90</v>
      </c>
      <c r="H177" s="12" t="s">
        <v>470</v>
      </c>
      <c r="I177" s="12">
        <v>504500099516</v>
      </c>
      <c r="J177" s="12" t="s">
        <v>471</v>
      </c>
      <c r="K177" s="12">
        <v>1</v>
      </c>
      <c r="L177" s="12">
        <v>260</v>
      </c>
      <c r="M177" s="12"/>
      <c r="N177" s="13">
        <v>1900</v>
      </c>
      <c r="O177" s="12" t="s">
        <v>93</v>
      </c>
      <c r="P177" s="12"/>
      <c r="Q177" s="12"/>
      <c r="R177" s="12" t="s">
        <v>94</v>
      </c>
      <c r="S177" s="12">
        <v>10</v>
      </c>
      <c r="T177" s="12" t="s">
        <v>466</v>
      </c>
      <c r="U177" s="12" t="s">
        <v>467</v>
      </c>
      <c r="V177" s="12">
        <f>VLOOKUP(Tabla4[[#This Row],[ZONA DEFINITIVO]],Hoja1!$A$1:$D$121,3,0)</f>
        <v>229062</v>
      </c>
      <c r="W177" s="12">
        <f>VLOOKUP(Tabla4[[#This Row],[ZONA DEFINITIVO]],Hoja1!$A$1:$D$121,2,0)</f>
        <v>15184</v>
      </c>
      <c r="X177" s="12">
        <f>VLOOKUP(Tabla4[[#This Row],[ZONA DEFINITIVO]],Hoja1!$A$1:$D$121,4,0)</f>
        <v>91625</v>
      </c>
      <c r="Y177" s="12" t="str">
        <f>+IF(Tabla4[[#This Row],[AGRUPACIONES]]=1,SUMIFS(Tabla4[UDS],Tabla4[ZONA DEFINITIVO],Tabla4[[#This Row],[ZONA DEFINITIVO]])," ")</f>
        <v xml:space="preserve"> </v>
      </c>
      <c r="Z177" s="12" t="str">
        <f>+IF(Tabla4[[#This Row],[AGRUPACIONES]]=1,SUMIFS(Tabla4[TOTAL COBERTURA],Tabla4[ZONA DEFINITIVO],Tabla4[[#This Row],[ZONA DEFINITIVO]])," ")</f>
        <v xml:space="preserve"> </v>
      </c>
      <c r="AA177" s="12"/>
      <c r="AB177" s="38">
        <v>768743560</v>
      </c>
      <c r="AC177" s="37">
        <v>0.02</v>
      </c>
      <c r="AD177" s="38">
        <f t="shared" si="3"/>
        <v>15374871.200000001</v>
      </c>
      <c r="AE177" s="12"/>
      <c r="AF177" s="12">
        <f>COUNTIF($A$20:A177,A177)</f>
        <v>3</v>
      </c>
      <c r="AG177" s="38">
        <v>768743560</v>
      </c>
      <c r="AH177" s="38">
        <f>Tabla4[[#This Row],[VALOR CONTRAPARTIDA]]+Tabla4[[#This Row],[TOTAL APORTES ICBF]]</f>
        <v>784118431.20000005</v>
      </c>
      <c r="AI177" s="35"/>
      <c r="AJ177" s="38"/>
      <c r="AK177" s="38"/>
      <c r="AL177" s="23"/>
      <c r="AM177" s="35">
        <f>VLOOKUP(Tabla4[[#This Row],[SERVICIO 2025]],$J$2:$V$14,5,0)*Tabla4[[#This Row],[TOTAL COBERTURA]]</f>
        <v>22917180</v>
      </c>
      <c r="AN177" s="35">
        <f>VLOOKUP(Tabla4[[#This Row],[SERVICIO 2025]],$J$2:$V$14,6,0)*Tabla4[[#This Row],[TOTAL COBERTURA]]</f>
        <v>19511180</v>
      </c>
      <c r="AO177" s="35">
        <f>VLOOKUP(Tabla4[[#This Row],[SERVICIO 2025]],$J$2:$V$14,8,0)*Tabla4[[#This Row],[TOTAL COBERTURA]]</f>
        <v>0</v>
      </c>
      <c r="AP177" s="35">
        <f>VLOOKUP(Tabla4[[#This Row],[SERVICIO 2025]],$J$2:$V$14,3,0)*Tabla4[[#This Row],[TOTAL COBERTURA]]*8</f>
        <v>726315200</v>
      </c>
      <c r="AQ177" s="35"/>
      <c r="AR177" s="35">
        <f>Tabla4[[#This Row],[VALOR FASE PREPARATORIA DE ALISTAMIENTO]]+Tabla4[[#This Row],[VALOR FASE PREPARATORIA DE CIERRE]]+Tabla4[[#This Row],[DOTACIÓN ÚNICA]]+Tabla4[[#This Row],[VALOR ATENCIÓN]]+Tabla4[[#This Row],[VALOR RACION PREPARADA]]</f>
        <v>768743560</v>
      </c>
      <c r="AS177" s="35" t="str">
        <f>+IF(Tabla4[[#This Row],[AGRUPACIONES]]=1,SUMIFS(Tabla4[VALOR TOTAL],Tabla4[ZONA DEFINITIVO],Tabla4[[#This Row],[ZONA DEFINITIVO]])," ")</f>
        <v xml:space="preserve"> </v>
      </c>
      <c r="AT177" s="27">
        <f>(VLOOKUP(Tabla4[[#This Row],[SERVICIO 2025]],$J$2:$V$14,3,0)*Tabla4[[#This Row],[TOTAL COBERTURA]])+Tabla4[[#This Row],[VALOR FASE PREPARATORIA DE ALISTAMIENTO]]+Tabla4[[#This Row],[DOTACIÓN ÚNICA]]</f>
        <v>113706580</v>
      </c>
      <c r="AU177" s="35">
        <f>(VLOOKUP(Tabla4[[#This Row],[SERVICIO 2025]],$J$2:$V$14,3,0)*Tabla4[[#This Row],[TOTAL COBERTURA]])</f>
        <v>90789400</v>
      </c>
      <c r="AV177" s="35">
        <f>(VLOOKUP(Tabla4[[#This Row],[SERVICIO 2025]],$J$2:$V$14,3,0)*Tabla4[[#This Row],[TOTAL COBERTURA]])</f>
        <v>90789400</v>
      </c>
      <c r="AW177" s="35">
        <f>(VLOOKUP(Tabla4[[#This Row],[SERVICIO 2025]],$J$2:$V$14,3,0)*Tabla4[[#This Row],[TOTAL COBERTURA]])</f>
        <v>90789400</v>
      </c>
      <c r="AX177" s="35">
        <f>(VLOOKUP(Tabla4[[#This Row],[SERVICIO 2025]],$J$2:$V$14,3,0)*Tabla4[[#This Row],[TOTAL COBERTURA]])</f>
        <v>90789400</v>
      </c>
      <c r="AY177" s="35">
        <f>(VLOOKUP(Tabla4[[#This Row],[SERVICIO 2025]],$J$2:$V$14,3,0)*Tabla4[[#This Row],[TOTAL COBERTURA]])</f>
        <v>90789400</v>
      </c>
      <c r="AZ177" s="35">
        <f>(VLOOKUP(Tabla4[[#This Row],[SERVICIO 2025]],$J$2:$V$14,3,0)*Tabla4[[#This Row],[TOTAL COBERTURA]])</f>
        <v>90789400</v>
      </c>
      <c r="BA177" s="35">
        <f>(VLOOKUP(Tabla4[[#This Row],[SERVICIO 2025]],$J$2:$V$14,3,0)*Tabla4[[#This Row],[TOTAL COBERTURA]])+Tabla4[[#This Row],[VALOR FASE PREPARATORIA DE CIERRE]]</f>
        <v>110300580</v>
      </c>
      <c r="BB177" s="35">
        <f>SUM(Tabla4[[#This Row],[DESEMBOLSO 1]:[DESEMBOLSO 8]])</f>
        <v>768743560</v>
      </c>
      <c r="BC177" s="35">
        <f>VLOOKUP(Tabla4[[#This Row],[SERVICIO 2025]],$J$2:$V$14,10,0)*Tabla4[[#This Row],[TOTAL COBERTURA]]*$W$3</f>
        <v>320357440</v>
      </c>
      <c r="BD177" s="47" t="s">
        <v>211</v>
      </c>
      <c r="BE177" s="12" t="b">
        <f>EXACT(Tabla4[[#This Row],[VALOR ATENCIÓN (8 MESES)]],Tabla4[[#This Row],[VALOR TOTAL]])</f>
        <v>1</v>
      </c>
      <c r="BF177" s="23">
        <f>Tabla4[[#This Row],[VALOR ATENCIÓN (8 MESES)]]-Tabla4[[#This Row],[VALOR TOTAL]]</f>
        <v>0</v>
      </c>
      <c r="BG177" s="12" t="b">
        <f>EXACT(Tabla4[[#This Row],[TOTAL DESEMBOLSOS]],Tabla4[[#This Row],[VALOR ATENCIÓN (8 MESES)]])</f>
        <v>1</v>
      </c>
      <c r="BH177" s="29">
        <f>Tabla4[[#This Row],[TOTAL DESEMBOLSOS]]-Tabla4[[#This Row],[VALOR ATENCIÓN (8 MESES)]]</f>
        <v>0</v>
      </c>
      <c r="BI177" t="s">
        <v>98</v>
      </c>
      <c r="BJ177">
        <v>1900</v>
      </c>
    </row>
    <row r="178" spans="1:62">
      <c r="A178" s="13">
        <v>1901</v>
      </c>
      <c r="B178" s="13" t="s">
        <v>472</v>
      </c>
      <c r="C178" s="12" t="s">
        <v>87</v>
      </c>
      <c r="D178" s="12" t="s">
        <v>462</v>
      </c>
      <c r="E178" s="12" t="s">
        <v>463</v>
      </c>
      <c r="F178" s="12" t="s">
        <v>13</v>
      </c>
      <c r="G178" s="12" t="s">
        <v>90</v>
      </c>
      <c r="H178" s="12" t="s">
        <v>473</v>
      </c>
      <c r="I178" s="12">
        <v>50451147396</v>
      </c>
      <c r="J178" s="12" t="s">
        <v>474</v>
      </c>
      <c r="K178" s="12">
        <v>1</v>
      </c>
      <c r="L178" s="12">
        <v>389</v>
      </c>
      <c r="M178" s="12"/>
      <c r="N178" s="13">
        <v>1901</v>
      </c>
      <c r="O178" s="12" t="s">
        <v>93</v>
      </c>
      <c r="P178" s="12"/>
      <c r="Q178" s="12"/>
      <c r="R178" s="12" t="s">
        <v>94</v>
      </c>
      <c r="S178" s="12">
        <v>10</v>
      </c>
      <c r="T178" s="12" t="s">
        <v>475</v>
      </c>
      <c r="U178" s="12" t="s">
        <v>476</v>
      </c>
      <c r="V178" s="12">
        <f>VLOOKUP(Tabla4[[#This Row],[ZONA DEFINITIVO]],Hoja1!$A$1:$D$121,3,0)</f>
        <v>229063</v>
      </c>
      <c r="W178" s="12">
        <f>VLOOKUP(Tabla4[[#This Row],[ZONA DEFINITIVO]],Hoja1!$A$1:$D$121,2,0)</f>
        <v>15158</v>
      </c>
      <c r="X178" s="12">
        <f>VLOOKUP(Tabla4[[#This Row],[ZONA DEFINITIVO]],Hoja1!$A$1:$D$121,4,0)</f>
        <v>90925</v>
      </c>
      <c r="Y178" s="12">
        <f>+IF(Tabla4[[#This Row],[AGRUPACIONES]]=1,SUMIFS(Tabla4[UDS],Tabla4[ZONA DEFINITIVO],Tabla4[[#This Row],[ZONA DEFINITIVO]])," ")</f>
        <v>3</v>
      </c>
      <c r="Z178" s="12">
        <f>+IF(Tabla4[[#This Row],[AGRUPACIONES]]=1,SUMIFS(Tabla4[TOTAL COBERTURA],Tabla4[ZONA DEFINITIVO],Tabla4[[#This Row],[ZONA DEFINITIVO]])," ")</f>
        <v>564</v>
      </c>
      <c r="AA178" s="12"/>
      <c r="AB178" s="38">
        <v>1150158634</v>
      </c>
      <c r="AC178" s="37">
        <v>0.02</v>
      </c>
      <c r="AD178" s="38">
        <f t="shared" si="3"/>
        <v>23003172.68</v>
      </c>
      <c r="AE178" s="12"/>
      <c r="AF178" s="12">
        <f>COUNTIF($A$20:A178,A178)</f>
        <v>1</v>
      </c>
      <c r="AG178" s="38">
        <v>1150158634</v>
      </c>
      <c r="AH178" s="38">
        <f>Tabla4[[#This Row],[VALOR CONTRAPARTIDA]]+Tabla4[[#This Row],[TOTAL APORTES ICBF]]</f>
        <v>1173161806.6800001</v>
      </c>
      <c r="AI178" s="35">
        <f>ROUND(+IF(Tabla4[[#This Row],[AGRUPACIONES]]=1,SUMIFS(Tabla4[TOTAL APORTES ICBF],Tabla4[ZONA DEFINITIVO],Tabla4[[#This Row],[ZONA DEFINITIVO]])," "),0)</f>
        <v>1907803984</v>
      </c>
      <c r="AJ178" s="38">
        <f>ROUND(+IF(Tabla4[[#This Row],[AGRUPACIONES]]=1,SUMIFS(Tabla4[VALOR CONTRAPARTIDA],Tabla4[ZONA DEFINITIVO],Tabla4[[#This Row],[ZONA DEFINITIVO]])," "),0)</f>
        <v>38156080</v>
      </c>
      <c r="AK178" s="38">
        <f>Tabla4[[#This Row],[TOTAL APORTES ICBF AGRUPADO]]+Tabla4[[#This Row],[TOTAL CONTRAPARTIDA AGRUPADO]]</f>
        <v>1945960064</v>
      </c>
      <c r="AL178" s="23">
        <f>Tabla4[[#This Row],[TOTAL APORTES ICBF AGRUPADO]]/$AL$18</f>
        <v>1340.2205718299965</v>
      </c>
      <c r="AM178" s="35">
        <f>VLOOKUP(Tabla4[[#This Row],[SERVICIO 2025]],$J$2:$V$14,5,0)*Tabla4[[#This Row],[TOTAL COBERTURA]]</f>
        <v>34287627</v>
      </c>
      <c r="AN178" s="35">
        <f>VLOOKUP(Tabla4[[#This Row],[SERVICIO 2025]],$J$2:$V$14,6,0)*Tabla4[[#This Row],[TOTAL COBERTURA]]</f>
        <v>29191727</v>
      </c>
      <c r="AO178" s="35">
        <f>VLOOKUP(Tabla4[[#This Row],[SERVICIO 2025]],$J$2:$V$14,8,0)*Tabla4[[#This Row],[TOTAL COBERTURA]]</f>
        <v>0</v>
      </c>
      <c r="AP178" s="35">
        <f>VLOOKUP(Tabla4[[#This Row],[SERVICIO 2025]],$J$2:$V$14,3,0)*Tabla4[[#This Row],[TOTAL COBERTURA]]*8</f>
        <v>1086679280</v>
      </c>
      <c r="AQ178" s="35"/>
      <c r="AR178" s="35">
        <f>Tabla4[[#This Row],[VALOR FASE PREPARATORIA DE ALISTAMIENTO]]+Tabla4[[#This Row],[VALOR FASE PREPARATORIA DE CIERRE]]+Tabla4[[#This Row],[DOTACIÓN ÚNICA]]+Tabla4[[#This Row],[VALOR ATENCIÓN]]+Tabla4[[#This Row],[VALOR RACION PREPARADA]]</f>
        <v>1150158634</v>
      </c>
      <c r="AS178" s="35">
        <f>+IF(Tabla4[[#This Row],[AGRUPACIONES]]=1,SUMIFS(Tabla4[VALOR TOTAL],Tabla4[ZONA DEFINITIVO],Tabla4[[#This Row],[ZONA DEFINITIVO]])," ")</f>
        <v>1907803984</v>
      </c>
      <c r="AT178" s="27">
        <f>(VLOOKUP(Tabla4[[#This Row],[SERVICIO 2025]],$J$2:$V$14,3,0)*Tabla4[[#This Row],[TOTAL COBERTURA]])+Tabla4[[#This Row],[VALOR FASE PREPARATORIA DE ALISTAMIENTO]]+Tabla4[[#This Row],[DOTACIÓN ÚNICA]]</f>
        <v>170122537</v>
      </c>
      <c r="AU178" s="35">
        <f>(VLOOKUP(Tabla4[[#This Row],[SERVICIO 2025]],$J$2:$V$14,3,0)*Tabla4[[#This Row],[TOTAL COBERTURA]])</f>
        <v>135834910</v>
      </c>
      <c r="AV178" s="35">
        <f>(VLOOKUP(Tabla4[[#This Row],[SERVICIO 2025]],$J$2:$V$14,3,0)*Tabla4[[#This Row],[TOTAL COBERTURA]])</f>
        <v>135834910</v>
      </c>
      <c r="AW178" s="35">
        <f>(VLOOKUP(Tabla4[[#This Row],[SERVICIO 2025]],$J$2:$V$14,3,0)*Tabla4[[#This Row],[TOTAL COBERTURA]])</f>
        <v>135834910</v>
      </c>
      <c r="AX178" s="35">
        <f>(VLOOKUP(Tabla4[[#This Row],[SERVICIO 2025]],$J$2:$V$14,3,0)*Tabla4[[#This Row],[TOTAL COBERTURA]])</f>
        <v>135834910</v>
      </c>
      <c r="AY178" s="35">
        <f>(VLOOKUP(Tabla4[[#This Row],[SERVICIO 2025]],$J$2:$V$14,3,0)*Tabla4[[#This Row],[TOTAL COBERTURA]])</f>
        <v>135834910</v>
      </c>
      <c r="AZ178" s="35">
        <f>(VLOOKUP(Tabla4[[#This Row],[SERVICIO 2025]],$J$2:$V$14,3,0)*Tabla4[[#This Row],[TOTAL COBERTURA]])</f>
        <v>135834910</v>
      </c>
      <c r="BA178" s="35">
        <f>(VLOOKUP(Tabla4[[#This Row],[SERVICIO 2025]],$J$2:$V$14,3,0)*Tabla4[[#This Row],[TOTAL COBERTURA]])+Tabla4[[#This Row],[VALOR FASE PREPARATORIA DE CIERRE]]</f>
        <v>165026637</v>
      </c>
      <c r="BB178" s="35">
        <f>SUM(Tabla4[[#This Row],[DESEMBOLSO 1]:[DESEMBOLSO 8]])</f>
        <v>1150158634</v>
      </c>
      <c r="BC178" s="35">
        <f>VLOOKUP(Tabla4[[#This Row],[SERVICIO 2025]],$J$2:$V$14,10,0)*Tabla4[[#This Row],[TOTAL COBERTURA]]*$W$3</f>
        <v>479304016</v>
      </c>
      <c r="BD178" s="47" t="s">
        <v>211</v>
      </c>
      <c r="BE178" s="12" t="b">
        <f>EXACT(Tabla4[[#This Row],[VALOR ATENCIÓN (8 MESES)]],Tabla4[[#This Row],[VALOR TOTAL]])</f>
        <v>1</v>
      </c>
      <c r="BF178" s="23">
        <f>Tabla4[[#This Row],[VALOR ATENCIÓN (8 MESES)]]-Tabla4[[#This Row],[VALOR TOTAL]]</f>
        <v>0</v>
      </c>
      <c r="BG178" s="12" t="b">
        <f>EXACT(Tabla4[[#This Row],[TOTAL DESEMBOLSOS]],Tabla4[[#This Row],[VALOR ATENCIÓN (8 MESES)]])</f>
        <v>1</v>
      </c>
      <c r="BH178" s="29">
        <f>Tabla4[[#This Row],[TOTAL DESEMBOLSOS]]-Tabla4[[#This Row],[VALOR ATENCIÓN (8 MESES)]]</f>
        <v>0</v>
      </c>
      <c r="BI178" t="s">
        <v>98</v>
      </c>
      <c r="BJ178">
        <v>1901</v>
      </c>
    </row>
    <row r="179" spans="1:62">
      <c r="A179" s="13">
        <v>1901</v>
      </c>
      <c r="B179" s="13" t="s">
        <v>472</v>
      </c>
      <c r="C179" s="12" t="s">
        <v>87</v>
      </c>
      <c r="D179" s="12" t="s">
        <v>462</v>
      </c>
      <c r="E179" s="12" t="s">
        <v>463</v>
      </c>
      <c r="F179" s="12" t="s">
        <v>15</v>
      </c>
      <c r="G179" s="12" t="s">
        <v>90</v>
      </c>
      <c r="H179" s="12" t="s">
        <v>477</v>
      </c>
      <c r="I179" s="12">
        <v>504500070715</v>
      </c>
      <c r="J179" s="12" t="s">
        <v>478</v>
      </c>
      <c r="K179" s="12">
        <v>1</v>
      </c>
      <c r="L179" s="12">
        <v>100</v>
      </c>
      <c r="M179" s="12"/>
      <c r="N179" s="13">
        <v>1901</v>
      </c>
      <c r="O179" s="12" t="s">
        <v>93</v>
      </c>
      <c r="P179" s="12"/>
      <c r="Q179" s="12"/>
      <c r="R179" s="12" t="s">
        <v>94</v>
      </c>
      <c r="S179" s="12">
        <v>10</v>
      </c>
      <c r="T179" s="12" t="s">
        <v>475</v>
      </c>
      <c r="U179" s="12" t="s">
        <v>476</v>
      </c>
      <c r="V179" s="12">
        <f>VLOOKUP(Tabla4[[#This Row],[ZONA DEFINITIVO]],Hoja1!$A$1:$D$121,3,0)</f>
        <v>229063</v>
      </c>
      <c r="W179" s="12">
        <f>VLOOKUP(Tabla4[[#This Row],[ZONA DEFINITIVO]],Hoja1!$A$1:$D$121,2,0)</f>
        <v>15158</v>
      </c>
      <c r="X179" s="12">
        <f>VLOOKUP(Tabla4[[#This Row],[ZONA DEFINITIVO]],Hoja1!$A$1:$D$121,4,0)</f>
        <v>90925</v>
      </c>
      <c r="Y179" s="12" t="str">
        <f>+IF(Tabla4[[#This Row],[AGRUPACIONES]]=1,SUMIFS(Tabla4[UDS],Tabla4[ZONA DEFINITIVO],Tabla4[[#This Row],[ZONA DEFINITIVO]])," ")</f>
        <v xml:space="preserve"> </v>
      </c>
      <c r="Z179" s="12" t="str">
        <f>+IF(Tabla4[[#This Row],[AGRUPACIONES]]=1,SUMIFS(Tabla4[TOTAL COBERTURA],Tabla4[ZONA DEFINITIVO],Tabla4[[#This Row],[ZONA DEFINITIVO]])," ")</f>
        <v xml:space="preserve"> </v>
      </c>
      <c r="AA179" s="12"/>
      <c r="AB179" s="38">
        <v>432940200</v>
      </c>
      <c r="AC179" s="37">
        <v>0.02</v>
      </c>
      <c r="AD179" s="38">
        <f t="shared" si="3"/>
        <v>8658804</v>
      </c>
      <c r="AE179" s="12"/>
      <c r="AF179" s="12">
        <f>COUNTIF($A$20:A179,A179)</f>
        <v>2</v>
      </c>
      <c r="AG179" s="38">
        <v>432940200</v>
      </c>
      <c r="AH179" s="38">
        <f>Tabla4[[#This Row],[VALOR CONTRAPARTIDA]]+Tabla4[[#This Row],[TOTAL APORTES ICBF]]</f>
        <v>441599004</v>
      </c>
      <c r="AI179" s="35"/>
      <c r="AJ179" s="38"/>
      <c r="AK179" s="38"/>
      <c r="AL179" s="23"/>
      <c r="AM179" s="35">
        <f>VLOOKUP(Tabla4[[#This Row],[SERVICIO 2025]],$J$2:$V$14,5,0)*Tabla4[[#This Row],[TOTAL COBERTURA]]</f>
        <v>8814300</v>
      </c>
      <c r="AN179" s="35">
        <f>VLOOKUP(Tabla4[[#This Row],[SERVICIO 2025]],$J$2:$V$14,6,0)*Tabla4[[#This Row],[TOTAL COBERTURA]]</f>
        <v>7504300</v>
      </c>
      <c r="AO179" s="35">
        <f>VLOOKUP(Tabla4[[#This Row],[SERVICIO 2025]],$J$2:$V$14,8,0)*Tabla4[[#This Row],[TOTAL COBERTURA]]</f>
        <v>0</v>
      </c>
      <c r="AP179" s="35">
        <f>VLOOKUP(Tabla4[[#This Row],[SERVICIO 2025]],$J$2:$V$14,3,0)*Tabla4[[#This Row],[TOTAL COBERTURA]]*8</f>
        <v>416621600</v>
      </c>
      <c r="AQ179" s="35"/>
      <c r="AR179" s="35">
        <f>Tabla4[[#This Row],[VALOR FASE PREPARATORIA DE ALISTAMIENTO]]+Tabla4[[#This Row],[VALOR FASE PREPARATORIA DE CIERRE]]+Tabla4[[#This Row],[DOTACIÓN ÚNICA]]+Tabla4[[#This Row],[VALOR ATENCIÓN]]+Tabla4[[#This Row],[VALOR RACION PREPARADA]]</f>
        <v>432940200</v>
      </c>
      <c r="AS179" s="35" t="str">
        <f>+IF(Tabla4[[#This Row],[AGRUPACIONES]]=1,SUMIFS(Tabla4[VALOR TOTAL],Tabla4[ZONA DEFINITIVO],Tabla4[[#This Row],[ZONA DEFINITIVO]])," ")</f>
        <v xml:space="preserve"> </v>
      </c>
      <c r="AT179" s="27">
        <f>(VLOOKUP(Tabla4[[#This Row],[SERVICIO 2025]],$J$2:$V$14,3,0)*Tabla4[[#This Row],[TOTAL COBERTURA]])+Tabla4[[#This Row],[VALOR FASE PREPARATORIA DE ALISTAMIENTO]]+Tabla4[[#This Row],[DOTACIÓN ÚNICA]]</f>
        <v>60892000</v>
      </c>
      <c r="AU179" s="35">
        <f>(VLOOKUP(Tabla4[[#This Row],[SERVICIO 2025]],$J$2:$V$14,3,0)*Tabla4[[#This Row],[TOTAL COBERTURA]])</f>
        <v>52077700</v>
      </c>
      <c r="AV179" s="35">
        <f>(VLOOKUP(Tabla4[[#This Row],[SERVICIO 2025]],$J$2:$V$14,3,0)*Tabla4[[#This Row],[TOTAL COBERTURA]])</f>
        <v>52077700</v>
      </c>
      <c r="AW179" s="35">
        <f>(VLOOKUP(Tabla4[[#This Row],[SERVICIO 2025]],$J$2:$V$14,3,0)*Tabla4[[#This Row],[TOTAL COBERTURA]])</f>
        <v>52077700</v>
      </c>
      <c r="AX179" s="35">
        <f>(VLOOKUP(Tabla4[[#This Row],[SERVICIO 2025]],$J$2:$V$14,3,0)*Tabla4[[#This Row],[TOTAL COBERTURA]])</f>
        <v>52077700</v>
      </c>
      <c r="AY179" s="35">
        <f>(VLOOKUP(Tabla4[[#This Row],[SERVICIO 2025]],$J$2:$V$14,3,0)*Tabla4[[#This Row],[TOTAL COBERTURA]])</f>
        <v>52077700</v>
      </c>
      <c r="AZ179" s="35">
        <f>(VLOOKUP(Tabla4[[#This Row],[SERVICIO 2025]],$J$2:$V$14,3,0)*Tabla4[[#This Row],[TOTAL COBERTURA]])</f>
        <v>52077700</v>
      </c>
      <c r="BA179" s="35">
        <f>(VLOOKUP(Tabla4[[#This Row],[SERVICIO 2025]],$J$2:$V$14,3,0)*Tabla4[[#This Row],[TOTAL COBERTURA]])+Tabla4[[#This Row],[VALOR FASE PREPARATORIA DE CIERRE]]</f>
        <v>59582000</v>
      </c>
      <c r="BB179" s="35">
        <f>SUM(Tabla4[[#This Row],[DESEMBOLSO 1]:[DESEMBOLSO 8]])</f>
        <v>432940200</v>
      </c>
      <c r="BC179" s="35">
        <f>VLOOKUP(Tabla4[[#This Row],[SERVICIO 2025]],$J$2:$V$14,10,0)*Tabla4[[#This Row],[TOTAL COBERTURA]]*$W$3</f>
        <v>0</v>
      </c>
      <c r="BD179" s="47" t="s">
        <v>145</v>
      </c>
      <c r="BE179" s="12" t="b">
        <f>EXACT(Tabla4[[#This Row],[VALOR ATENCIÓN (8 MESES)]],Tabla4[[#This Row],[VALOR TOTAL]])</f>
        <v>1</v>
      </c>
      <c r="BF179" s="23">
        <f>Tabla4[[#This Row],[VALOR ATENCIÓN (8 MESES)]]-Tabla4[[#This Row],[VALOR TOTAL]]</f>
        <v>0</v>
      </c>
      <c r="BG179" s="12" t="b">
        <f>EXACT(Tabla4[[#This Row],[TOTAL DESEMBOLSOS]],Tabla4[[#This Row],[VALOR ATENCIÓN (8 MESES)]])</f>
        <v>1</v>
      </c>
      <c r="BH179" s="29">
        <f>Tabla4[[#This Row],[TOTAL DESEMBOLSOS]]-Tabla4[[#This Row],[VALOR ATENCIÓN (8 MESES)]]</f>
        <v>0</v>
      </c>
      <c r="BI179" t="s">
        <v>98</v>
      </c>
      <c r="BJ179">
        <v>1901</v>
      </c>
    </row>
    <row r="180" spans="1:62">
      <c r="A180" s="13">
        <v>1901</v>
      </c>
      <c r="B180" s="13" t="s">
        <v>472</v>
      </c>
      <c r="C180" s="12" t="s">
        <v>87</v>
      </c>
      <c r="D180" s="12" t="s">
        <v>462</v>
      </c>
      <c r="E180" s="12" t="s">
        <v>463</v>
      </c>
      <c r="F180" s="12" t="s">
        <v>15</v>
      </c>
      <c r="G180" s="12" t="s">
        <v>90</v>
      </c>
      <c r="H180" s="12" t="s">
        <v>479</v>
      </c>
      <c r="I180" s="12">
        <v>504500087184</v>
      </c>
      <c r="J180" s="12" t="s">
        <v>480</v>
      </c>
      <c r="K180" s="12">
        <v>1</v>
      </c>
      <c r="L180" s="12">
        <v>75</v>
      </c>
      <c r="M180" s="12"/>
      <c r="N180" s="13">
        <v>1901</v>
      </c>
      <c r="O180" s="12" t="s">
        <v>93</v>
      </c>
      <c r="P180" s="12"/>
      <c r="Q180" s="12"/>
      <c r="R180" s="12" t="s">
        <v>94</v>
      </c>
      <c r="S180" s="12">
        <v>10</v>
      </c>
      <c r="T180" s="12" t="s">
        <v>475</v>
      </c>
      <c r="U180" s="12" t="s">
        <v>476</v>
      </c>
      <c r="V180" s="12">
        <f>VLOOKUP(Tabla4[[#This Row],[ZONA DEFINITIVO]],Hoja1!$A$1:$D$121,3,0)</f>
        <v>229063</v>
      </c>
      <c r="W180" s="12">
        <f>VLOOKUP(Tabla4[[#This Row],[ZONA DEFINITIVO]],Hoja1!$A$1:$D$121,2,0)</f>
        <v>15158</v>
      </c>
      <c r="X180" s="12">
        <f>VLOOKUP(Tabla4[[#This Row],[ZONA DEFINITIVO]],Hoja1!$A$1:$D$121,4,0)</f>
        <v>90925</v>
      </c>
      <c r="Y180" s="12" t="str">
        <f>+IF(Tabla4[[#This Row],[AGRUPACIONES]]=1,SUMIFS(Tabla4[UDS],Tabla4[ZONA DEFINITIVO],Tabla4[[#This Row],[ZONA DEFINITIVO]])," ")</f>
        <v xml:space="preserve"> </v>
      </c>
      <c r="Z180" s="12" t="str">
        <f>+IF(Tabla4[[#This Row],[AGRUPACIONES]]=1,SUMIFS(Tabla4[TOTAL COBERTURA],Tabla4[ZONA DEFINITIVO],Tabla4[[#This Row],[ZONA DEFINITIVO]])," ")</f>
        <v xml:space="preserve"> </v>
      </c>
      <c r="AA180" s="12"/>
      <c r="AB180" s="38">
        <v>324705150</v>
      </c>
      <c r="AC180" s="37">
        <v>0.02</v>
      </c>
      <c r="AD180" s="38">
        <f t="shared" si="3"/>
        <v>6494103</v>
      </c>
      <c r="AE180" s="12"/>
      <c r="AF180" s="12">
        <f>COUNTIF($A$20:A180,A180)</f>
        <v>3</v>
      </c>
      <c r="AG180" s="38">
        <v>324705150</v>
      </c>
      <c r="AH180" s="38">
        <f>Tabla4[[#This Row],[VALOR CONTRAPARTIDA]]+Tabla4[[#This Row],[TOTAL APORTES ICBF]]</f>
        <v>331199253</v>
      </c>
      <c r="AI180" s="35"/>
      <c r="AJ180" s="38"/>
      <c r="AK180" s="38"/>
      <c r="AL180" s="23"/>
      <c r="AM180" s="35">
        <f>VLOOKUP(Tabla4[[#This Row],[SERVICIO 2025]],$J$2:$V$14,5,0)*Tabla4[[#This Row],[TOTAL COBERTURA]]</f>
        <v>6610725</v>
      </c>
      <c r="AN180" s="35">
        <f>VLOOKUP(Tabla4[[#This Row],[SERVICIO 2025]],$J$2:$V$14,6,0)*Tabla4[[#This Row],[TOTAL COBERTURA]]</f>
        <v>5628225</v>
      </c>
      <c r="AO180" s="35">
        <f>VLOOKUP(Tabla4[[#This Row],[SERVICIO 2025]],$J$2:$V$14,8,0)*Tabla4[[#This Row],[TOTAL COBERTURA]]</f>
        <v>0</v>
      </c>
      <c r="AP180" s="35">
        <f>VLOOKUP(Tabla4[[#This Row],[SERVICIO 2025]],$J$2:$V$14,3,0)*Tabla4[[#This Row],[TOTAL COBERTURA]]*8</f>
        <v>312466200</v>
      </c>
      <c r="AQ180" s="35"/>
      <c r="AR180" s="35">
        <f>Tabla4[[#This Row],[VALOR FASE PREPARATORIA DE ALISTAMIENTO]]+Tabla4[[#This Row],[VALOR FASE PREPARATORIA DE CIERRE]]+Tabla4[[#This Row],[DOTACIÓN ÚNICA]]+Tabla4[[#This Row],[VALOR ATENCIÓN]]+Tabla4[[#This Row],[VALOR RACION PREPARADA]]</f>
        <v>324705150</v>
      </c>
      <c r="AS180" s="35" t="str">
        <f>+IF(Tabla4[[#This Row],[AGRUPACIONES]]=1,SUMIFS(Tabla4[VALOR TOTAL],Tabla4[ZONA DEFINITIVO],Tabla4[[#This Row],[ZONA DEFINITIVO]])," ")</f>
        <v xml:space="preserve"> </v>
      </c>
      <c r="AT180" s="27">
        <f>(VLOOKUP(Tabla4[[#This Row],[SERVICIO 2025]],$J$2:$V$14,3,0)*Tabla4[[#This Row],[TOTAL COBERTURA]])+Tabla4[[#This Row],[VALOR FASE PREPARATORIA DE ALISTAMIENTO]]+Tabla4[[#This Row],[DOTACIÓN ÚNICA]]</f>
        <v>45669000</v>
      </c>
      <c r="AU180" s="35">
        <f>(VLOOKUP(Tabla4[[#This Row],[SERVICIO 2025]],$J$2:$V$14,3,0)*Tabla4[[#This Row],[TOTAL COBERTURA]])</f>
        <v>39058275</v>
      </c>
      <c r="AV180" s="35">
        <f>(VLOOKUP(Tabla4[[#This Row],[SERVICIO 2025]],$J$2:$V$14,3,0)*Tabla4[[#This Row],[TOTAL COBERTURA]])</f>
        <v>39058275</v>
      </c>
      <c r="AW180" s="35">
        <f>(VLOOKUP(Tabla4[[#This Row],[SERVICIO 2025]],$J$2:$V$14,3,0)*Tabla4[[#This Row],[TOTAL COBERTURA]])</f>
        <v>39058275</v>
      </c>
      <c r="AX180" s="35">
        <f>(VLOOKUP(Tabla4[[#This Row],[SERVICIO 2025]],$J$2:$V$14,3,0)*Tabla4[[#This Row],[TOTAL COBERTURA]])</f>
        <v>39058275</v>
      </c>
      <c r="AY180" s="35">
        <f>(VLOOKUP(Tabla4[[#This Row],[SERVICIO 2025]],$J$2:$V$14,3,0)*Tabla4[[#This Row],[TOTAL COBERTURA]])</f>
        <v>39058275</v>
      </c>
      <c r="AZ180" s="35">
        <f>(VLOOKUP(Tabla4[[#This Row],[SERVICIO 2025]],$J$2:$V$14,3,0)*Tabla4[[#This Row],[TOTAL COBERTURA]])</f>
        <v>39058275</v>
      </c>
      <c r="BA180" s="35">
        <f>(VLOOKUP(Tabla4[[#This Row],[SERVICIO 2025]],$J$2:$V$14,3,0)*Tabla4[[#This Row],[TOTAL COBERTURA]])+Tabla4[[#This Row],[VALOR FASE PREPARATORIA DE CIERRE]]</f>
        <v>44686500</v>
      </c>
      <c r="BB180" s="35">
        <f>SUM(Tabla4[[#This Row],[DESEMBOLSO 1]:[DESEMBOLSO 8]])</f>
        <v>324705150</v>
      </c>
      <c r="BC180" s="35">
        <f>VLOOKUP(Tabla4[[#This Row],[SERVICIO 2025]],$J$2:$V$14,10,0)*Tabla4[[#This Row],[TOTAL COBERTURA]]*$W$3</f>
        <v>0</v>
      </c>
      <c r="BD180" s="47" t="s">
        <v>145</v>
      </c>
      <c r="BE180" s="12" t="b">
        <f>EXACT(Tabla4[[#This Row],[VALOR ATENCIÓN (8 MESES)]],Tabla4[[#This Row],[VALOR TOTAL]])</f>
        <v>1</v>
      </c>
      <c r="BF180" s="23">
        <f>Tabla4[[#This Row],[VALOR ATENCIÓN (8 MESES)]]-Tabla4[[#This Row],[VALOR TOTAL]]</f>
        <v>0</v>
      </c>
      <c r="BG180" s="12" t="b">
        <f>EXACT(Tabla4[[#This Row],[TOTAL DESEMBOLSOS]],Tabla4[[#This Row],[VALOR ATENCIÓN (8 MESES)]])</f>
        <v>1</v>
      </c>
      <c r="BH180" s="29">
        <f>Tabla4[[#This Row],[TOTAL DESEMBOLSOS]]-Tabla4[[#This Row],[VALOR ATENCIÓN (8 MESES)]]</f>
        <v>0</v>
      </c>
      <c r="BI180" t="s">
        <v>98</v>
      </c>
      <c r="BJ180">
        <v>1901</v>
      </c>
    </row>
    <row r="181" spans="1:62">
      <c r="A181" s="13">
        <v>1902</v>
      </c>
      <c r="B181" s="13" t="s">
        <v>481</v>
      </c>
      <c r="C181" s="12" t="s">
        <v>87</v>
      </c>
      <c r="D181" s="12" t="s">
        <v>482</v>
      </c>
      <c r="E181" s="12" t="s">
        <v>483</v>
      </c>
      <c r="F181" s="12" t="s">
        <v>21</v>
      </c>
      <c r="G181" s="12" t="s">
        <v>90</v>
      </c>
      <c r="H181" s="12" t="s">
        <v>484</v>
      </c>
      <c r="I181" s="12">
        <v>51421136634</v>
      </c>
      <c r="J181" s="12" t="s">
        <v>485</v>
      </c>
      <c r="K181" s="12">
        <v>1</v>
      </c>
      <c r="L181" s="12">
        <v>13</v>
      </c>
      <c r="M181" s="12"/>
      <c r="N181" s="13">
        <v>1902</v>
      </c>
      <c r="O181" s="12" t="s">
        <v>93</v>
      </c>
      <c r="P181" s="12"/>
      <c r="Q181" s="12"/>
      <c r="R181" s="12" t="s">
        <v>94</v>
      </c>
      <c r="S181" s="12">
        <v>10</v>
      </c>
      <c r="T181" s="12" t="s">
        <v>486</v>
      </c>
      <c r="U181" s="12" t="s">
        <v>487</v>
      </c>
      <c r="V181" s="12">
        <f>VLOOKUP(Tabla4[[#This Row],[ZONA DEFINITIVO]],Hoja1!$A$1:$D$121,3,0)</f>
        <v>229066</v>
      </c>
      <c r="W181" s="12">
        <f>VLOOKUP(Tabla4[[#This Row],[ZONA DEFINITIVO]],Hoja1!$A$1:$D$121,2,0)</f>
        <v>15177</v>
      </c>
      <c r="X181" s="12">
        <f>VLOOKUP(Tabla4[[#This Row],[ZONA DEFINITIVO]],Hoja1!$A$1:$D$121,4,0)</f>
        <v>91325</v>
      </c>
      <c r="Y181" s="12">
        <f>+IF(Tabla4[[#This Row],[AGRUPACIONES]]=1,SUMIFS(Tabla4[UDS],Tabla4[ZONA DEFINITIVO],Tabla4[[#This Row],[ZONA DEFINITIVO]])," ")</f>
        <v>20</v>
      </c>
      <c r="Z181" s="12">
        <f>+IF(Tabla4[[#This Row],[AGRUPACIONES]]=1,SUMIFS(Tabla4[TOTAL COBERTURA],Tabla4[ZONA DEFINITIVO],Tabla4[[#This Row],[ZONA DEFINITIVO]])," ")</f>
        <v>307</v>
      </c>
      <c r="AA181" s="12"/>
      <c r="AB181" s="38">
        <v>19750965</v>
      </c>
      <c r="AC181" s="37">
        <v>0.02</v>
      </c>
      <c r="AD181" s="38">
        <f t="shared" si="3"/>
        <v>395019.3</v>
      </c>
      <c r="AE181" s="12"/>
      <c r="AF181" s="12">
        <f>COUNTIF($A$20:A181,A181)</f>
        <v>1</v>
      </c>
      <c r="AG181" s="38">
        <v>19750965</v>
      </c>
      <c r="AH181" s="38">
        <f>Tabla4[[#This Row],[VALOR CONTRAPARTIDA]]+Tabla4[[#This Row],[TOTAL APORTES ICBF]]</f>
        <v>20145984.300000001</v>
      </c>
      <c r="AI181" s="35">
        <f>ROUND(+IF(Tabla4[[#This Row],[AGRUPACIONES]]=1,SUMIFS(Tabla4[TOTAL APORTES ICBF],Tabla4[ZONA DEFINITIVO],Tabla4[[#This Row],[ZONA DEFINITIVO]])," "),0)</f>
        <v>466426635</v>
      </c>
      <c r="AJ181" s="38">
        <f>ROUND(+IF(Tabla4[[#This Row],[AGRUPACIONES]]=1,SUMIFS(Tabla4[VALOR CONTRAPARTIDA],Tabla4[ZONA DEFINITIVO],Tabla4[[#This Row],[ZONA DEFINITIVO]])," "),0)</f>
        <v>9328533</v>
      </c>
      <c r="AK181" s="38">
        <f>Tabla4[[#This Row],[TOTAL APORTES ICBF AGRUPADO]]+Tabla4[[#This Row],[TOTAL CONTRAPARTIDA AGRUPADO]]</f>
        <v>475755168</v>
      </c>
      <c r="AL181" s="23">
        <f>Tabla4[[#This Row],[TOTAL APORTES ICBF AGRUPADO]]/$AL$18</f>
        <v>327.66184404636459</v>
      </c>
      <c r="AM181" s="35">
        <f>VLOOKUP(Tabla4[[#This Row],[SERVICIO 2025]],$J$2:$V$14,5,0)*Tabla4[[#This Row],[TOTAL COBERTURA]]</f>
        <v>607672</v>
      </c>
      <c r="AN181" s="35">
        <f>VLOOKUP(Tabla4[[#This Row],[SERVICIO 2025]],$J$2:$V$14,6,0)*Tabla4[[#This Row],[TOTAL COBERTURA]]</f>
        <v>491933</v>
      </c>
      <c r="AO181" s="35">
        <f>VLOOKUP(Tabla4[[#This Row],[SERVICIO 2025]],$J$2:$V$14,8,0)*Tabla4[[#This Row],[TOTAL COBERTURA]]</f>
        <v>0</v>
      </c>
      <c r="AP181" s="35">
        <f>VLOOKUP(Tabla4[[#This Row],[SERVICIO 2025]],$J$2:$V$14,3,0)*Tabla4[[#This Row],[TOTAL COBERTURA]]*8</f>
        <v>18651360</v>
      </c>
      <c r="AQ181" s="35"/>
      <c r="AR181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181" s="35">
        <f>+IF(Tabla4[[#This Row],[AGRUPACIONES]]=1,SUMIFS(Tabla4[VALOR TOTAL],Tabla4[ZONA DEFINITIVO],Tabla4[[#This Row],[ZONA DEFINITIVO]])," ")</f>
        <v>466426635</v>
      </c>
      <c r="AT181" s="27">
        <f>(VLOOKUP(Tabla4[[#This Row],[SERVICIO 2025]],$J$2:$V$14,3,0)*Tabla4[[#This Row],[TOTAL COBERTURA]])+Tabla4[[#This Row],[VALOR FASE PREPARATORIA DE ALISTAMIENTO]]+Tabla4[[#This Row],[DOTACIÓN ÚNICA]]</f>
        <v>2939092</v>
      </c>
      <c r="AU181" s="35">
        <f>(VLOOKUP(Tabla4[[#This Row],[SERVICIO 2025]],$J$2:$V$14,3,0)*Tabla4[[#This Row],[TOTAL COBERTURA]])</f>
        <v>2331420</v>
      </c>
      <c r="AV181" s="35">
        <f>(VLOOKUP(Tabla4[[#This Row],[SERVICIO 2025]],$J$2:$V$14,3,0)*Tabla4[[#This Row],[TOTAL COBERTURA]])</f>
        <v>2331420</v>
      </c>
      <c r="AW181" s="35">
        <f>(VLOOKUP(Tabla4[[#This Row],[SERVICIO 2025]],$J$2:$V$14,3,0)*Tabla4[[#This Row],[TOTAL COBERTURA]])</f>
        <v>2331420</v>
      </c>
      <c r="AX181" s="35">
        <f>(VLOOKUP(Tabla4[[#This Row],[SERVICIO 2025]],$J$2:$V$14,3,0)*Tabla4[[#This Row],[TOTAL COBERTURA]])</f>
        <v>2331420</v>
      </c>
      <c r="AY181" s="35">
        <f>(VLOOKUP(Tabla4[[#This Row],[SERVICIO 2025]],$J$2:$V$14,3,0)*Tabla4[[#This Row],[TOTAL COBERTURA]])</f>
        <v>2331420</v>
      </c>
      <c r="AZ181" s="35">
        <f>(VLOOKUP(Tabla4[[#This Row],[SERVICIO 2025]],$J$2:$V$14,3,0)*Tabla4[[#This Row],[TOTAL COBERTURA]])</f>
        <v>2331420</v>
      </c>
      <c r="BA181" s="35">
        <f>(VLOOKUP(Tabla4[[#This Row],[SERVICIO 2025]],$J$2:$V$14,3,0)*Tabla4[[#This Row],[TOTAL COBERTURA]])+Tabla4[[#This Row],[VALOR FASE PREPARATORIA DE CIERRE]]</f>
        <v>2823353</v>
      </c>
      <c r="BB181" s="35">
        <f>SUM(Tabla4[[#This Row],[DESEMBOLSO 1]:[DESEMBOLSO 8]])</f>
        <v>19750965</v>
      </c>
      <c r="BC181" s="35"/>
      <c r="BD181" s="47" t="s">
        <v>97</v>
      </c>
      <c r="BE181" s="12" t="b">
        <f>EXACT(Tabla4[[#This Row],[VALOR ATENCIÓN (8 MESES)]],Tabla4[[#This Row],[VALOR TOTAL]])</f>
        <v>1</v>
      </c>
      <c r="BF181" s="23">
        <f>Tabla4[[#This Row],[VALOR ATENCIÓN (8 MESES)]]-Tabla4[[#This Row],[VALOR TOTAL]]</f>
        <v>0</v>
      </c>
      <c r="BG181" s="12" t="b">
        <f>EXACT(Tabla4[[#This Row],[TOTAL DESEMBOLSOS]],Tabla4[[#This Row],[VALOR ATENCIÓN (8 MESES)]])</f>
        <v>1</v>
      </c>
      <c r="BH181" s="29">
        <f>Tabla4[[#This Row],[TOTAL DESEMBOLSOS]]-Tabla4[[#This Row],[VALOR ATENCIÓN (8 MESES)]]</f>
        <v>0</v>
      </c>
      <c r="BI181" t="s">
        <v>98</v>
      </c>
    </row>
    <row r="182" spans="1:62">
      <c r="A182" s="13">
        <v>1902</v>
      </c>
      <c r="B182" s="13" t="s">
        <v>481</v>
      </c>
      <c r="C182" s="12" t="s">
        <v>87</v>
      </c>
      <c r="D182" s="12" t="s">
        <v>482</v>
      </c>
      <c r="E182" s="12" t="s">
        <v>483</v>
      </c>
      <c r="F182" s="12" t="s">
        <v>21</v>
      </c>
      <c r="G182" s="12" t="s">
        <v>90</v>
      </c>
      <c r="H182" s="12" t="s">
        <v>488</v>
      </c>
      <c r="I182" s="12">
        <v>51421136636</v>
      </c>
      <c r="J182" s="12" t="s">
        <v>489</v>
      </c>
      <c r="K182" s="12">
        <v>1</v>
      </c>
      <c r="L182" s="12">
        <v>11</v>
      </c>
      <c r="M182" s="12"/>
      <c r="N182" s="13">
        <v>1902</v>
      </c>
      <c r="O182" s="12" t="s">
        <v>93</v>
      </c>
      <c r="P182" s="12"/>
      <c r="Q182" s="12"/>
      <c r="R182" s="12" t="s">
        <v>94</v>
      </c>
      <c r="S182" s="12">
        <v>10</v>
      </c>
      <c r="T182" s="12" t="s">
        <v>486</v>
      </c>
      <c r="U182" s="12" t="s">
        <v>487</v>
      </c>
      <c r="V182" s="12">
        <f>VLOOKUP(Tabla4[[#This Row],[ZONA DEFINITIVO]],Hoja1!$A$1:$D$121,3,0)</f>
        <v>229066</v>
      </c>
      <c r="W182" s="12">
        <f>VLOOKUP(Tabla4[[#This Row],[ZONA DEFINITIVO]],Hoja1!$A$1:$D$121,2,0)</f>
        <v>15177</v>
      </c>
      <c r="X182" s="12">
        <f>VLOOKUP(Tabla4[[#This Row],[ZONA DEFINITIVO]],Hoja1!$A$1:$D$121,4,0)</f>
        <v>91325</v>
      </c>
      <c r="Y182" s="12" t="str">
        <f>+IF(Tabla4[[#This Row],[AGRUPACIONES]]=1,SUMIFS(Tabla4[UDS],Tabla4[ZONA DEFINITIVO],Tabla4[[#This Row],[ZONA DEFINITIVO]])," ")</f>
        <v xml:space="preserve"> </v>
      </c>
      <c r="Z182" s="12" t="str">
        <f>+IF(Tabla4[[#This Row],[AGRUPACIONES]]=1,SUMIFS(Tabla4[TOTAL COBERTURA],Tabla4[ZONA DEFINITIVO],Tabla4[[#This Row],[ZONA DEFINITIVO]])," ")</f>
        <v xml:space="preserve"> </v>
      </c>
      <c r="AA182" s="12"/>
      <c r="AB182" s="38">
        <v>16712355</v>
      </c>
      <c r="AC182" s="37">
        <v>0.02</v>
      </c>
      <c r="AD182" s="38">
        <f t="shared" si="3"/>
        <v>334247.10000000003</v>
      </c>
      <c r="AE182" s="12"/>
      <c r="AF182" s="12">
        <f>COUNTIF($A$20:A182,A182)</f>
        <v>2</v>
      </c>
      <c r="AG182" s="38">
        <v>16712355</v>
      </c>
      <c r="AH182" s="38">
        <f>Tabla4[[#This Row],[VALOR CONTRAPARTIDA]]+Tabla4[[#This Row],[TOTAL APORTES ICBF]]</f>
        <v>17046602.100000001</v>
      </c>
      <c r="AI182" s="35"/>
      <c r="AJ182" s="38"/>
      <c r="AK182" s="38"/>
      <c r="AL182" s="23"/>
      <c r="AM182" s="35">
        <f>VLOOKUP(Tabla4[[#This Row],[SERVICIO 2025]],$J$2:$V$14,5,0)*Tabla4[[#This Row],[TOTAL COBERTURA]]</f>
        <v>514184</v>
      </c>
      <c r="AN182" s="35">
        <f>VLOOKUP(Tabla4[[#This Row],[SERVICIO 2025]],$J$2:$V$14,6,0)*Tabla4[[#This Row],[TOTAL COBERTURA]]</f>
        <v>416251</v>
      </c>
      <c r="AO182" s="35">
        <f>VLOOKUP(Tabla4[[#This Row],[SERVICIO 2025]],$J$2:$V$14,8,0)*Tabla4[[#This Row],[TOTAL COBERTURA]]</f>
        <v>0</v>
      </c>
      <c r="AP182" s="35">
        <f>VLOOKUP(Tabla4[[#This Row],[SERVICIO 2025]],$J$2:$V$14,3,0)*Tabla4[[#This Row],[TOTAL COBERTURA]]*8</f>
        <v>15781920</v>
      </c>
      <c r="AQ182" s="35"/>
      <c r="AR182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182" s="35" t="str">
        <f>+IF(Tabla4[[#This Row],[AGRUPACIONES]]=1,SUMIFS(Tabla4[VALOR TOTAL],Tabla4[ZONA DEFINITIVO],Tabla4[[#This Row],[ZONA DEFINITIVO]])," ")</f>
        <v xml:space="preserve"> </v>
      </c>
      <c r="AT182" s="27">
        <f>(VLOOKUP(Tabla4[[#This Row],[SERVICIO 2025]],$J$2:$V$14,3,0)*Tabla4[[#This Row],[TOTAL COBERTURA]])+Tabla4[[#This Row],[VALOR FASE PREPARATORIA DE ALISTAMIENTO]]+Tabla4[[#This Row],[DOTACIÓN ÚNICA]]</f>
        <v>2486924</v>
      </c>
      <c r="AU182" s="35">
        <f>(VLOOKUP(Tabla4[[#This Row],[SERVICIO 2025]],$J$2:$V$14,3,0)*Tabla4[[#This Row],[TOTAL COBERTURA]])</f>
        <v>1972740</v>
      </c>
      <c r="AV182" s="35">
        <f>(VLOOKUP(Tabla4[[#This Row],[SERVICIO 2025]],$J$2:$V$14,3,0)*Tabla4[[#This Row],[TOTAL COBERTURA]])</f>
        <v>1972740</v>
      </c>
      <c r="AW182" s="35">
        <f>(VLOOKUP(Tabla4[[#This Row],[SERVICIO 2025]],$J$2:$V$14,3,0)*Tabla4[[#This Row],[TOTAL COBERTURA]])</f>
        <v>1972740</v>
      </c>
      <c r="AX182" s="35">
        <f>(VLOOKUP(Tabla4[[#This Row],[SERVICIO 2025]],$J$2:$V$14,3,0)*Tabla4[[#This Row],[TOTAL COBERTURA]])</f>
        <v>1972740</v>
      </c>
      <c r="AY182" s="35">
        <f>(VLOOKUP(Tabla4[[#This Row],[SERVICIO 2025]],$J$2:$V$14,3,0)*Tabla4[[#This Row],[TOTAL COBERTURA]])</f>
        <v>1972740</v>
      </c>
      <c r="AZ182" s="35">
        <f>(VLOOKUP(Tabla4[[#This Row],[SERVICIO 2025]],$J$2:$V$14,3,0)*Tabla4[[#This Row],[TOTAL COBERTURA]])</f>
        <v>1972740</v>
      </c>
      <c r="BA182" s="35">
        <f>(VLOOKUP(Tabla4[[#This Row],[SERVICIO 2025]],$J$2:$V$14,3,0)*Tabla4[[#This Row],[TOTAL COBERTURA]])+Tabla4[[#This Row],[VALOR FASE PREPARATORIA DE CIERRE]]</f>
        <v>2388991</v>
      </c>
      <c r="BB182" s="35">
        <f>SUM(Tabla4[[#This Row],[DESEMBOLSO 1]:[DESEMBOLSO 8]])</f>
        <v>16712355</v>
      </c>
      <c r="BC182" s="35"/>
      <c r="BD182" s="47" t="s">
        <v>97</v>
      </c>
      <c r="BE182" s="12" t="b">
        <f>EXACT(Tabla4[[#This Row],[VALOR ATENCIÓN (8 MESES)]],Tabla4[[#This Row],[VALOR TOTAL]])</f>
        <v>1</v>
      </c>
      <c r="BF182" s="23">
        <f>Tabla4[[#This Row],[VALOR ATENCIÓN (8 MESES)]]-Tabla4[[#This Row],[VALOR TOTAL]]</f>
        <v>0</v>
      </c>
      <c r="BG182" s="12" t="b">
        <f>EXACT(Tabla4[[#This Row],[TOTAL DESEMBOLSOS]],Tabla4[[#This Row],[VALOR ATENCIÓN (8 MESES)]])</f>
        <v>1</v>
      </c>
      <c r="BH182" s="29">
        <f>Tabla4[[#This Row],[TOTAL DESEMBOLSOS]]-Tabla4[[#This Row],[VALOR ATENCIÓN (8 MESES)]]</f>
        <v>0</v>
      </c>
      <c r="BI182" t="s">
        <v>98</v>
      </c>
    </row>
    <row r="183" spans="1:62">
      <c r="A183" s="13">
        <v>1902</v>
      </c>
      <c r="B183" s="13" t="s">
        <v>481</v>
      </c>
      <c r="C183" s="12" t="s">
        <v>87</v>
      </c>
      <c r="D183" s="12" t="s">
        <v>482</v>
      </c>
      <c r="E183" s="12" t="s">
        <v>483</v>
      </c>
      <c r="F183" s="12" t="s">
        <v>21</v>
      </c>
      <c r="G183" s="12" t="s">
        <v>90</v>
      </c>
      <c r="H183" s="12" t="s">
        <v>490</v>
      </c>
      <c r="I183" s="12">
        <v>51421147662</v>
      </c>
      <c r="J183" s="12" t="s">
        <v>491</v>
      </c>
      <c r="K183" s="12">
        <v>1</v>
      </c>
      <c r="L183" s="12">
        <v>21</v>
      </c>
      <c r="M183" s="12"/>
      <c r="N183" s="13">
        <v>1902</v>
      </c>
      <c r="O183" s="12" t="s">
        <v>93</v>
      </c>
      <c r="P183" s="12"/>
      <c r="Q183" s="12"/>
      <c r="R183" s="12" t="s">
        <v>94</v>
      </c>
      <c r="S183" s="12">
        <v>10</v>
      </c>
      <c r="T183" s="12" t="s">
        <v>486</v>
      </c>
      <c r="U183" s="12" t="s">
        <v>487</v>
      </c>
      <c r="V183" s="12">
        <f>VLOOKUP(Tabla4[[#This Row],[ZONA DEFINITIVO]],Hoja1!$A$1:$D$121,3,0)</f>
        <v>229066</v>
      </c>
      <c r="W183" s="12">
        <f>VLOOKUP(Tabla4[[#This Row],[ZONA DEFINITIVO]],Hoja1!$A$1:$D$121,2,0)</f>
        <v>15177</v>
      </c>
      <c r="X183" s="12">
        <f>VLOOKUP(Tabla4[[#This Row],[ZONA DEFINITIVO]],Hoja1!$A$1:$D$121,4,0)</f>
        <v>91325</v>
      </c>
      <c r="Y183" s="12" t="str">
        <f>+IF(Tabla4[[#This Row],[AGRUPACIONES]]=1,SUMIFS(Tabla4[UDS],Tabla4[ZONA DEFINITIVO],Tabla4[[#This Row],[ZONA DEFINITIVO]])," ")</f>
        <v xml:space="preserve"> </v>
      </c>
      <c r="Z183" s="12" t="str">
        <f>+IF(Tabla4[[#This Row],[AGRUPACIONES]]=1,SUMIFS(Tabla4[TOTAL COBERTURA],Tabla4[ZONA DEFINITIVO],Tabla4[[#This Row],[ZONA DEFINITIVO]])," ")</f>
        <v xml:space="preserve"> </v>
      </c>
      <c r="AA183" s="12"/>
      <c r="AB183" s="38">
        <v>31905405</v>
      </c>
      <c r="AC183" s="37">
        <v>0.02</v>
      </c>
      <c r="AD183" s="38">
        <f t="shared" si="3"/>
        <v>638108.1</v>
      </c>
      <c r="AE183" s="12"/>
      <c r="AF183" s="12">
        <f>COUNTIF($A$20:A183,A183)</f>
        <v>3</v>
      </c>
      <c r="AG183" s="38">
        <v>31905405</v>
      </c>
      <c r="AH183" s="38">
        <f>Tabla4[[#This Row],[VALOR CONTRAPARTIDA]]+Tabla4[[#This Row],[TOTAL APORTES ICBF]]</f>
        <v>32543513.100000001</v>
      </c>
      <c r="AI183" s="35"/>
      <c r="AJ183" s="38"/>
      <c r="AK183" s="38"/>
      <c r="AL183" s="23"/>
      <c r="AM183" s="35">
        <f>VLOOKUP(Tabla4[[#This Row],[SERVICIO 2025]],$J$2:$V$14,5,0)*Tabla4[[#This Row],[TOTAL COBERTURA]]</f>
        <v>981624</v>
      </c>
      <c r="AN183" s="35">
        <f>VLOOKUP(Tabla4[[#This Row],[SERVICIO 2025]],$J$2:$V$14,6,0)*Tabla4[[#This Row],[TOTAL COBERTURA]]</f>
        <v>794661</v>
      </c>
      <c r="AO183" s="35">
        <f>VLOOKUP(Tabla4[[#This Row],[SERVICIO 2025]],$J$2:$V$14,8,0)*Tabla4[[#This Row],[TOTAL COBERTURA]]</f>
        <v>0</v>
      </c>
      <c r="AP183" s="35">
        <f>VLOOKUP(Tabla4[[#This Row],[SERVICIO 2025]],$J$2:$V$14,3,0)*Tabla4[[#This Row],[TOTAL COBERTURA]]*8</f>
        <v>30129120</v>
      </c>
      <c r="AQ183" s="35"/>
      <c r="AR183" s="35">
        <f>Tabla4[[#This Row],[VALOR FASE PREPARATORIA DE ALISTAMIENTO]]+Tabla4[[#This Row],[VALOR FASE PREPARATORIA DE CIERRE]]+Tabla4[[#This Row],[DOTACIÓN ÚNICA]]+Tabla4[[#This Row],[VALOR ATENCIÓN]]+Tabla4[[#This Row],[VALOR RACION PREPARADA]]</f>
        <v>31905405</v>
      </c>
      <c r="AS183" s="35" t="str">
        <f>+IF(Tabla4[[#This Row],[AGRUPACIONES]]=1,SUMIFS(Tabla4[VALOR TOTAL],Tabla4[ZONA DEFINITIVO],Tabla4[[#This Row],[ZONA DEFINITIVO]])," ")</f>
        <v xml:space="preserve"> </v>
      </c>
      <c r="AT183" s="27">
        <f>(VLOOKUP(Tabla4[[#This Row],[SERVICIO 2025]],$J$2:$V$14,3,0)*Tabla4[[#This Row],[TOTAL COBERTURA]])+Tabla4[[#This Row],[VALOR FASE PREPARATORIA DE ALISTAMIENTO]]+Tabla4[[#This Row],[DOTACIÓN ÚNICA]]</f>
        <v>4747764</v>
      </c>
      <c r="AU183" s="35">
        <f>(VLOOKUP(Tabla4[[#This Row],[SERVICIO 2025]],$J$2:$V$14,3,0)*Tabla4[[#This Row],[TOTAL COBERTURA]])</f>
        <v>3766140</v>
      </c>
      <c r="AV183" s="35">
        <f>(VLOOKUP(Tabla4[[#This Row],[SERVICIO 2025]],$J$2:$V$14,3,0)*Tabla4[[#This Row],[TOTAL COBERTURA]])</f>
        <v>3766140</v>
      </c>
      <c r="AW183" s="35">
        <f>(VLOOKUP(Tabla4[[#This Row],[SERVICIO 2025]],$J$2:$V$14,3,0)*Tabla4[[#This Row],[TOTAL COBERTURA]])</f>
        <v>3766140</v>
      </c>
      <c r="AX183" s="35">
        <f>(VLOOKUP(Tabla4[[#This Row],[SERVICIO 2025]],$J$2:$V$14,3,0)*Tabla4[[#This Row],[TOTAL COBERTURA]])</f>
        <v>3766140</v>
      </c>
      <c r="AY183" s="35">
        <f>(VLOOKUP(Tabla4[[#This Row],[SERVICIO 2025]],$J$2:$V$14,3,0)*Tabla4[[#This Row],[TOTAL COBERTURA]])</f>
        <v>3766140</v>
      </c>
      <c r="AZ183" s="35">
        <f>(VLOOKUP(Tabla4[[#This Row],[SERVICIO 2025]],$J$2:$V$14,3,0)*Tabla4[[#This Row],[TOTAL COBERTURA]])</f>
        <v>3766140</v>
      </c>
      <c r="BA183" s="35">
        <f>(VLOOKUP(Tabla4[[#This Row],[SERVICIO 2025]],$J$2:$V$14,3,0)*Tabla4[[#This Row],[TOTAL COBERTURA]])+Tabla4[[#This Row],[VALOR FASE PREPARATORIA DE CIERRE]]</f>
        <v>4560801</v>
      </c>
      <c r="BB183" s="35">
        <f>SUM(Tabla4[[#This Row],[DESEMBOLSO 1]:[DESEMBOLSO 8]])</f>
        <v>31905405</v>
      </c>
      <c r="BC183" s="35"/>
      <c r="BD183" s="47" t="s">
        <v>97</v>
      </c>
      <c r="BE183" s="12" t="b">
        <f>EXACT(Tabla4[[#This Row],[VALOR ATENCIÓN (8 MESES)]],Tabla4[[#This Row],[VALOR TOTAL]])</f>
        <v>1</v>
      </c>
      <c r="BF183" s="23">
        <f>Tabla4[[#This Row],[VALOR ATENCIÓN (8 MESES)]]-Tabla4[[#This Row],[VALOR TOTAL]]</f>
        <v>0</v>
      </c>
      <c r="BG183" s="12" t="b">
        <f>EXACT(Tabla4[[#This Row],[TOTAL DESEMBOLSOS]],Tabla4[[#This Row],[VALOR ATENCIÓN (8 MESES)]])</f>
        <v>1</v>
      </c>
      <c r="BH183" s="29">
        <f>Tabla4[[#This Row],[TOTAL DESEMBOLSOS]]-Tabla4[[#This Row],[VALOR ATENCIÓN (8 MESES)]]</f>
        <v>0</v>
      </c>
      <c r="BI183" t="s">
        <v>98</v>
      </c>
    </row>
    <row r="184" spans="1:62">
      <c r="A184" s="13">
        <v>1902</v>
      </c>
      <c r="B184" s="13" t="s">
        <v>481</v>
      </c>
      <c r="C184" s="12" t="s">
        <v>87</v>
      </c>
      <c r="D184" s="12" t="s">
        <v>482</v>
      </c>
      <c r="E184" s="12" t="s">
        <v>483</v>
      </c>
      <c r="F184" s="12" t="s">
        <v>21</v>
      </c>
      <c r="G184" s="12" t="s">
        <v>90</v>
      </c>
      <c r="H184" s="12" t="s">
        <v>492</v>
      </c>
      <c r="I184" s="12">
        <v>51421152804</v>
      </c>
      <c r="J184" s="12" t="s">
        <v>493</v>
      </c>
      <c r="K184" s="12">
        <v>1</v>
      </c>
      <c r="L184" s="12">
        <v>10</v>
      </c>
      <c r="M184" s="12"/>
      <c r="N184" s="13">
        <v>1902</v>
      </c>
      <c r="O184" s="12" t="s">
        <v>93</v>
      </c>
      <c r="P184" s="12"/>
      <c r="Q184" s="12"/>
      <c r="R184" s="12" t="s">
        <v>94</v>
      </c>
      <c r="S184" s="12">
        <v>10</v>
      </c>
      <c r="T184" s="12" t="s">
        <v>486</v>
      </c>
      <c r="U184" s="12" t="s">
        <v>487</v>
      </c>
      <c r="V184" s="12">
        <f>VLOOKUP(Tabla4[[#This Row],[ZONA DEFINITIVO]],Hoja1!$A$1:$D$121,3,0)</f>
        <v>229066</v>
      </c>
      <c r="W184" s="12">
        <f>VLOOKUP(Tabla4[[#This Row],[ZONA DEFINITIVO]],Hoja1!$A$1:$D$121,2,0)</f>
        <v>15177</v>
      </c>
      <c r="X184" s="12">
        <f>VLOOKUP(Tabla4[[#This Row],[ZONA DEFINITIVO]],Hoja1!$A$1:$D$121,4,0)</f>
        <v>91325</v>
      </c>
      <c r="Y184" s="12" t="str">
        <f>+IF(Tabla4[[#This Row],[AGRUPACIONES]]=1,SUMIFS(Tabla4[UDS],Tabla4[ZONA DEFINITIVO],Tabla4[[#This Row],[ZONA DEFINITIVO]])," ")</f>
        <v xml:space="preserve"> </v>
      </c>
      <c r="Z184" s="12" t="str">
        <f>+IF(Tabla4[[#This Row],[AGRUPACIONES]]=1,SUMIFS(Tabla4[TOTAL COBERTURA],Tabla4[ZONA DEFINITIVO],Tabla4[[#This Row],[ZONA DEFINITIVO]])," ")</f>
        <v xml:space="preserve"> </v>
      </c>
      <c r="AA184" s="12"/>
      <c r="AB184" s="38">
        <v>15193050</v>
      </c>
      <c r="AC184" s="37">
        <v>0.02</v>
      </c>
      <c r="AD184" s="38">
        <f t="shared" si="3"/>
        <v>303861</v>
      </c>
      <c r="AE184" s="12"/>
      <c r="AF184" s="12">
        <f>COUNTIF($A$20:A184,A184)</f>
        <v>4</v>
      </c>
      <c r="AG184" s="38">
        <v>15193050</v>
      </c>
      <c r="AH184" s="38">
        <f>Tabla4[[#This Row],[VALOR CONTRAPARTIDA]]+Tabla4[[#This Row],[TOTAL APORTES ICBF]]</f>
        <v>15496911</v>
      </c>
      <c r="AI184" s="35"/>
      <c r="AJ184" s="38"/>
      <c r="AK184" s="38"/>
      <c r="AL184" s="23"/>
      <c r="AM184" s="35">
        <f>VLOOKUP(Tabla4[[#This Row],[SERVICIO 2025]],$J$2:$V$14,5,0)*Tabla4[[#This Row],[TOTAL COBERTURA]]</f>
        <v>467440</v>
      </c>
      <c r="AN184" s="35">
        <f>VLOOKUP(Tabla4[[#This Row],[SERVICIO 2025]],$J$2:$V$14,6,0)*Tabla4[[#This Row],[TOTAL COBERTURA]]</f>
        <v>378410</v>
      </c>
      <c r="AO184" s="35">
        <f>VLOOKUP(Tabla4[[#This Row],[SERVICIO 2025]],$J$2:$V$14,8,0)*Tabla4[[#This Row],[TOTAL COBERTURA]]</f>
        <v>0</v>
      </c>
      <c r="AP184" s="35">
        <f>VLOOKUP(Tabla4[[#This Row],[SERVICIO 2025]],$J$2:$V$14,3,0)*Tabla4[[#This Row],[TOTAL COBERTURA]]*8</f>
        <v>14347200</v>
      </c>
      <c r="AQ184" s="35"/>
      <c r="AR184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184" s="35" t="str">
        <f>+IF(Tabla4[[#This Row],[AGRUPACIONES]]=1,SUMIFS(Tabla4[VALOR TOTAL],Tabla4[ZONA DEFINITIVO],Tabla4[[#This Row],[ZONA DEFINITIVO]])," ")</f>
        <v xml:space="preserve"> </v>
      </c>
      <c r="AT184" s="27">
        <f>(VLOOKUP(Tabla4[[#This Row],[SERVICIO 2025]],$J$2:$V$14,3,0)*Tabla4[[#This Row],[TOTAL COBERTURA]])+Tabla4[[#This Row],[VALOR FASE PREPARATORIA DE ALISTAMIENTO]]+Tabla4[[#This Row],[DOTACIÓN ÚNICA]]</f>
        <v>2260840</v>
      </c>
      <c r="AU184" s="35">
        <f>(VLOOKUP(Tabla4[[#This Row],[SERVICIO 2025]],$J$2:$V$14,3,0)*Tabla4[[#This Row],[TOTAL COBERTURA]])</f>
        <v>1793400</v>
      </c>
      <c r="AV184" s="35">
        <f>(VLOOKUP(Tabla4[[#This Row],[SERVICIO 2025]],$J$2:$V$14,3,0)*Tabla4[[#This Row],[TOTAL COBERTURA]])</f>
        <v>1793400</v>
      </c>
      <c r="AW184" s="35">
        <f>(VLOOKUP(Tabla4[[#This Row],[SERVICIO 2025]],$J$2:$V$14,3,0)*Tabla4[[#This Row],[TOTAL COBERTURA]])</f>
        <v>1793400</v>
      </c>
      <c r="AX184" s="35">
        <f>(VLOOKUP(Tabla4[[#This Row],[SERVICIO 2025]],$J$2:$V$14,3,0)*Tabla4[[#This Row],[TOTAL COBERTURA]])</f>
        <v>1793400</v>
      </c>
      <c r="AY184" s="35">
        <f>(VLOOKUP(Tabla4[[#This Row],[SERVICIO 2025]],$J$2:$V$14,3,0)*Tabla4[[#This Row],[TOTAL COBERTURA]])</f>
        <v>1793400</v>
      </c>
      <c r="AZ184" s="35">
        <f>(VLOOKUP(Tabla4[[#This Row],[SERVICIO 2025]],$J$2:$V$14,3,0)*Tabla4[[#This Row],[TOTAL COBERTURA]])</f>
        <v>1793400</v>
      </c>
      <c r="BA184" s="35">
        <f>(VLOOKUP(Tabla4[[#This Row],[SERVICIO 2025]],$J$2:$V$14,3,0)*Tabla4[[#This Row],[TOTAL COBERTURA]])+Tabla4[[#This Row],[VALOR FASE PREPARATORIA DE CIERRE]]</f>
        <v>2171810</v>
      </c>
      <c r="BB184" s="35">
        <f>SUM(Tabla4[[#This Row],[DESEMBOLSO 1]:[DESEMBOLSO 8]])</f>
        <v>15193050</v>
      </c>
      <c r="BC184" s="35"/>
      <c r="BD184" s="47" t="s">
        <v>97</v>
      </c>
      <c r="BE184" s="12" t="b">
        <f>EXACT(Tabla4[[#This Row],[VALOR ATENCIÓN (8 MESES)]],Tabla4[[#This Row],[VALOR TOTAL]])</f>
        <v>1</v>
      </c>
      <c r="BF184" s="23">
        <f>Tabla4[[#This Row],[VALOR ATENCIÓN (8 MESES)]]-Tabla4[[#This Row],[VALOR TOTAL]]</f>
        <v>0</v>
      </c>
      <c r="BG184" s="12" t="b">
        <f>EXACT(Tabla4[[#This Row],[TOTAL DESEMBOLSOS]],Tabla4[[#This Row],[VALOR ATENCIÓN (8 MESES)]])</f>
        <v>1</v>
      </c>
      <c r="BH184" s="29">
        <f>Tabla4[[#This Row],[TOTAL DESEMBOLSOS]]-Tabla4[[#This Row],[VALOR ATENCIÓN (8 MESES)]]</f>
        <v>0</v>
      </c>
      <c r="BI184" t="s">
        <v>98</v>
      </c>
    </row>
    <row r="185" spans="1:62">
      <c r="A185" s="13">
        <v>1902</v>
      </c>
      <c r="B185" s="13" t="s">
        <v>481</v>
      </c>
      <c r="C185" s="12" t="s">
        <v>87</v>
      </c>
      <c r="D185" s="12" t="s">
        <v>482</v>
      </c>
      <c r="E185" s="12" t="s">
        <v>483</v>
      </c>
      <c r="F185" s="12" t="s">
        <v>21</v>
      </c>
      <c r="G185" s="12" t="s">
        <v>90</v>
      </c>
      <c r="H185" s="12" t="s">
        <v>494</v>
      </c>
      <c r="I185" s="12">
        <v>514200080519</v>
      </c>
      <c r="J185" s="12" t="s">
        <v>495</v>
      </c>
      <c r="K185" s="12">
        <v>1</v>
      </c>
      <c r="L185" s="12">
        <v>15</v>
      </c>
      <c r="M185" s="12"/>
      <c r="N185" s="13">
        <v>1902</v>
      </c>
      <c r="O185" s="12" t="s">
        <v>93</v>
      </c>
      <c r="P185" s="12"/>
      <c r="Q185" s="12"/>
      <c r="R185" s="12" t="s">
        <v>94</v>
      </c>
      <c r="S185" s="12">
        <v>10</v>
      </c>
      <c r="T185" s="12" t="s">
        <v>486</v>
      </c>
      <c r="U185" s="12" t="s">
        <v>487</v>
      </c>
      <c r="V185" s="12">
        <f>VLOOKUP(Tabla4[[#This Row],[ZONA DEFINITIVO]],Hoja1!$A$1:$D$121,3,0)</f>
        <v>229066</v>
      </c>
      <c r="W185" s="12">
        <f>VLOOKUP(Tabla4[[#This Row],[ZONA DEFINITIVO]],Hoja1!$A$1:$D$121,2,0)</f>
        <v>15177</v>
      </c>
      <c r="X185" s="12">
        <f>VLOOKUP(Tabla4[[#This Row],[ZONA DEFINITIVO]],Hoja1!$A$1:$D$121,4,0)</f>
        <v>91325</v>
      </c>
      <c r="Y185" s="12" t="str">
        <f>+IF(Tabla4[[#This Row],[AGRUPACIONES]]=1,SUMIFS(Tabla4[UDS],Tabla4[ZONA DEFINITIVO],Tabla4[[#This Row],[ZONA DEFINITIVO]])," ")</f>
        <v xml:space="preserve"> </v>
      </c>
      <c r="Z185" s="12" t="str">
        <f>+IF(Tabla4[[#This Row],[AGRUPACIONES]]=1,SUMIFS(Tabla4[TOTAL COBERTURA],Tabla4[ZONA DEFINITIVO],Tabla4[[#This Row],[ZONA DEFINITIVO]])," ")</f>
        <v xml:space="preserve"> </v>
      </c>
      <c r="AA185" s="12"/>
      <c r="AB185" s="38">
        <v>22789575</v>
      </c>
      <c r="AC185" s="37">
        <v>0.02</v>
      </c>
      <c r="AD185" s="38">
        <f t="shared" si="3"/>
        <v>455791.5</v>
      </c>
      <c r="AE185" s="12"/>
      <c r="AF185" s="12">
        <f>COUNTIF($A$20:A185,A185)</f>
        <v>5</v>
      </c>
      <c r="AG185" s="38">
        <v>22789575</v>
      </c>
      <c r="AH185" s="38">
        <f>Tabla4[[#This Row],[VALOR CONTRAPARTIDA]]+Tabla4[[#This Row],[TOTAL APORTES ICBF]]</f>
        <v>23245366.5</v>
      </c>
      <c r="AI185" s="35"/>
      <c r="AJ185" s="38"/>
      <c r="AK185" s="38"/>
      <c r="AL185" s="23"/>
      <c r="AM185" s="35">
        <f>VLOOKUP(Tabla4[[#This Row],[SERVICIO 2025]],$J$2:$V$14,5,0)*Tabla4[[#This Row],[TOTAL COBERTURA]]</f>
        <v>701160</v>
      </c>
      <c r="AN185" s="35">
        <f>VLOOKUP(Tabla4[[#This Row],[SERVICIO 2025]],$J$2:$V$14,6,0)*Tabla4[[#This Row],[TOTAL COBERTURA]]</f>
        <v>567615</v>
      </c>
      <c r="AO185" s="35">
        <f>VLOOKUP(Tabla4[[#This Row],[SERVICIO 2025]],$J$2:$V$14,8,0)*Tabla4[[#This Row],[TOTAL COBERTURA]]</f>
        <v>0</v>
      </c>
      <c r="AP185" s="35">
        <f>VLOOKUP(Tabla4[[#This Row],[SERVICIO 2025]],$J$2:$V$14,3,0)*Tabla4[[#This Row],[TOTAL COBERTURA]]*8</f>
        <v>21520800</v>
      </c>
      <c r="AQ185" s="35"/>
      <c r="AR185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185" s="35" t="str">
        <f>+IF(Tabla4[[#This Row],[AGRUPACIONES]]=1,SUMIFS(Tabla4[VALOR TOTAL],Tabla4[ZONA DEFINITIVO],Tabla4[[#This Row],[ZONA DEFINITIVO]])," ")</f>
        <v xml:space="preserve"> </v>
      </c>
      <c r="AT185" s="27">
        <f>(VLOOKUP(Tabla4[[#This Row],[SERVICIO 2025]],$J$2:$V$14,3,0)*Tabla4[[#This Row],[TOTAL COBERTURA]])+Tabla4[[#This Row],[VALOR FASE PREPARATORIA DE ALISTAMIENTO]]+Tabla4[[#This Row],[DOTACIÓN ÚNICA]]</f>
        <v>3391260</v>
      </c>
      <c r="AU185" s="35">
        <f>(VLOOKUP(Tabla4[[#This Row],[SERVICIO 2025]],$J$2:$V$14,3,0)*Tabla4[[#This Row],[TOTAL COBERTURA]])</f>
        <v>2690100</v>
      </c>
      <c r="AV185" s="35">
        <f>(VLOOKUP(Tabla4[[#This Row],[SERVICIO 2025]],$J$2:$V$14,3,0)*Tabla4[[#This Row],[TOTAL COBERTURA]])</f>
        <v>2690100</v>
      </c>
      <c r="AW185" s="35">
        <f>(VLOOKUP(Tabla4[[#This Row],[SERVICIO 2025]],$J$2:$V$14,3,0)*Tabla4[[#This Row],[TOTAL COBERTURA]])</f>
        <v>2690100</v>
      </c>
      <c r="AX185" s="35">
        <f>(VLOOKUP(Tabla4[[#This Row],[SERVICIO 2025]],$J$2:$V$14,3,0)*Tabla4[[#This Row],[TOTAL COBERTURA]])</f>
        <v>2690100</v>
      </c>
      <c r="AY185" s="35">
        <f>(VLOOKUP(Tabla4[[#This Row],[SERVICIO 2025]],$J$2:$V$14,3,0)*Tabla4[[#This Row],[TOTAL COBERTURA]])</f>
        <v>2690100</v>
      </c>
      <c r="AZ185" s="35">
        <f>(VLOOKUP(Tabla4[[#This Row],[SERVICIO 2025]],$J$2:$V$14,3,0)*Tabla4[[#This Row],[TOTAL COBERTURA]])</f>
        <v>2690100</v>
      </c>
      <c r="BA185" s="35">
        <f>(VLOOKUP(Tabla4[[#This Row],[SERVICIO 2025]],$J$2:$V$14,3,0)*Tabla4[[#This Row],[TOTAL COBERTURA]])+Tabla4[[#This Row],[VALOR FASE PREPARATORIA DE CIERRE]]</f>
        <v>3257715</v>
      </c>
      <c r="BB185" s="35">
        <f>SUM(Tabla4[[#This Row],[DESEMBOLSO 1]:[DESEMBOLSO 8]])</f>
        <v>22789575</v>
      </c>
      <c r="BC185" s="35"/>
      <c r="BD185" s="47" t="s">
        <v>97</v>
      </c>
      <c r="BE185" s="12" t="b">
        <f>EXACT(Tabla4[[#This Row],[VALOR ATENCIÓN (8 MESES)]],Tabla4[[#This Row],[VALOR TOTAL]])</f>
        <v>1</v>
      </c>
      <c r="BF185" s="23">
        <f>Tabla4[[#This Row],[VALOR ATENCIÓN (8 MESES)]]-Tabla4[[#This Row],[VALOR TOTAL]]</f>
        <v>0</v>
      </c>
      <c r="BG185" s="12" t="b">
        <f>EXACT(Tabla4[[#This Row],[TOTAL DESEMBOLSOS]],Tabla4[[#This Row],[VALOR ATENCIÓN (8 MESES)]])</f>
        <v>1</v>
      </c>
      <c r="BH185" s="29">
        <f>Tabla4[[#This Row],[TOTAL DESEMBOLSOS]]-Tabla4[[#This Row],[VALOR ATENCIÓN (8 MESES)]]</f>
        <v>0</v>
      </c>
      <c r="BI185" t="s">
        <v>98</v>
      </c>
    </row>
    <row r="186" spans="1:62">
      <c r="A186" s="13">
        <v>1902</v>
      </c>
      <c r="B186" s="13" t="s">
        <v>481</v>
      </c>
      <c r="C186" s="12" t="s">
        <v>87</v>
      </c>
      <c r="D186" s="12" t="s">
        <v>482</v>
      </c>
      <c r="E186" s="12" t="s">
        <v>496</v>
      </c>
      <c r="F186" s="12" t="s">
        <v>21</v>
      </c>
      <c r="G186" s="12" t="s">
        <v>90</v>
      </c>
      <c r="H186" s="12" t="s">
        <v>497</v>
      </c>
      <c r="I186" s="12">
        <v>54251117893</v>
      </c>
      <c r="J186" s="12" t="s">
        <v>498</v>
      </c>
      <c r="K186" s="12">
        <v>1</v>
      </c>
      <c r="L186" s="12">
        <v>14</v>
      </c>
      <c r="M186" s="12"/>
      <c r="N186" s="13">
        <v>1902</v>
      </c>
      <c r="O186" s="12" t="s">
        <v>93</v>
      </c>
      <c r="P186" s="12"/>
      <c r="Q186" s="12"/>
      <c r="R186" s="12" t="s">
        <v>94</v>
      </c>
      <c r="S186" s="12">
        <v>10</v>
      </c>
      <c r="T186" s="12" t="s">
        <v>486</v>
      </c>
      <c r="U186" s="12" t="s">
        <v>487</v>
      </c>
      <c r="V186" s="12">
        <f>VLOOKUP(Tabla4[[#This Row],[ZONA DEFINITIVO]],Hoja1!$A$1:$D$121,3,0)</f>
        <v>229066</v>
      </c>
      <c r="W186" s="12">
        <f>VLOOKUP(Tabla4[[#This Row],[ZONA DEFINITIVO]],Hoja1!$A$1:$D$121,2,0)</f>
        <v>15177</v>
      </c>
      <c r="X186" s="12">
        <f>VLOOKUP(Tabla4[[#This Row],[ZONA DEFINITIVO]],Hoja1!$A$1:$D$121,4,0)</f>
        <v>91325</v>
      </c>
      <c r="Y186" s="12" t="str">
        <f>+IF(Tabla4[[#This Row],[AGRUPACIONES]]=1,SUMIFS(Tabla4[UDS],Tabla4[ZONA DEFINITIVO],Tabla4[[#This Row],[ZONA DEFINITIVO]])," ")</f>
        <v xml:space="preserve"> </v>
      </c>
      <c r="Z186" s="12" t="str">
        <f>+IF(Tabla4[[#This Row],[AGRUPACIONES]]=1,SUMIFS(Tabla4[TOTAL COBERTURA],Tabla4[ZONA DEFINITIVO],Tabla4[[#This Row],[ZONA DEFINITIVO]])," ")</f>
        <v xml:space="preserve"> </v>
      </c>
      <c r="AA186" s="12"/>
      <c r="AB186" s="38">
        <v>21270270</v>
      </c>
      <c r="AC186" s="37">
        <v>0.02</v>
      </c>
      <c r="AD186" s="38">
        <f t="shared" si="3"/>
        <v>425405.4</v>
      </c>
      <c r="AE186" s="12"/>
      <c r="AF186" s="12">
        <f>COUNTIF($A$20:A186,A186)</f>
        <v>6</v>
      </c>
      <c r="AG186" s="38">
        <v>21270270</v>
      </c>
      <c r="AH186" s="38">
        <f>Tabla4[[#This Row],[VALOR CONTRAPARTIDA]]+Tabla4[[#This Row],[TOTAL APORTES ICBF]]</f>
        <v>21695675.399999999</v>
      </c>
      <c r="AI186" s="35"/>
      <c r="AJ186" s="38"/>
      <c r="AK186" s="38"/>
      <c r="AL186" s="23"/>
      <c r="AM186" s="35">
        <f>VLOOKUP(Tabla4[[#This Row],[SERVICIO 2025]],$J$2:$V$14,5,0)*Tabla4[[#This Row],[TOTAL COBERTURA]]</f>
        <v>654416</v>
      </c>
      <c r="AN186" s="35">
        <f>VLOOKUP(Tabla4[[#This Row],[SERVICIO 2025]],$J$2:$V$14,6,0)*Tabla4[[#This Row],[TOTAL COBERTURA]]</f>
        <v>529774</v>
      </c>
      <c r="AO186" s="35">
        <f>VLOOKUP(Tabla4[[#This Row],[SERVICIO 2025]],$J$2:$V$14,8,0)*Tabla4[[#This Row],[TOTAL COBERTURA]]</f>
        <v>0</v>
      </c>
      <c r="AP186" s="35">
        <f>VLOOKUP(Tabla4[[#This Row],[SERVICIO 2025]],$J$2:$V$14,3,0)*Tabla4[[#This Row],[TOTAL COBERTURA]]*8</f>
        <v>20086080</v>
      </c>
      <c r="AQ186" s="35"/>
      <c r="AR186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186" s="35" t="str">
        <f>+IF(Tabla4[[#This Row],[AGRUPACIONES]]=1,SUMIFS(Tabla4[VALOR TOTAL],Tabla4[ZONA DEFINITIVO],Tabla4[[#This Row],[ZONA DEFINITIVO]])," ")</f>
        <v xml:space="preserve"> </v>
      </c>
      <c r="AT186" s="27">
        <f>(VLOOKUP(Tabla4[[#This Row],[SERVICIO 2025]],$J$2:$V$14,3,0)*Tabla4[[#This Row],[TOTAL COBERTURA]])+Tabla4[[#This Row],[VALOR FASE PREPARATORIA DE ALISTAMIENTO]]+Tabla4[[#This Row],[DOTACIÓN ÚNICA]]</f>
        <v>3165176</v>
      </c>
      <c r="AU186" s="35">
        <f>(VLOOKUP(Tabla4[[#This Row],[SERVICIO 2025]],$J$2:$V$14,3,0)*Tabla4[[#This Row],[TOTAL COBERTURA]])</f>
        <v>2510760</v>
      </c>
      <c r="AV186" s="35">
        <f>(VLOOKUP(Tabla4[[#This Row],[SERVICIO 2025]],$J$2:$V$14,3,0)*Tabla4[[#This Row],[TOTAL COBERTURA]])</f>
        <v>2510760</v>
      </c>
      <c r="AW186" s="35">
        <f>(VLOOKUP(Tabla4[[#This Row],[SERVICIO 2025]],$J$2:$V$14,3,0)*Tabla4[[#This Row],[TOTAL COBERTURA]])</f>
        <v>2510760</v>
      </c>
      <c r="AX186" s="35">
        <f>(VLOOKUP(Tabla4[[#This Row],[SERVICIO 2025]],$J$2:$V$14,3,0)*Tabla4[[#This Row],[TOTAL COBERTURA]])</f>
        <v>2510760</v>
      </c>
      <c r="AY186" s="35">
        <f>(VLOOKUP(Tabla4[[#This Row],[SERVICIO 2025]],$J$2:$V$14,3,0)*Tabla4[[#This Row],[TOTAL COBERTURA]])</f>
        <v>2510760</v>
      </c>
      <c r="AZ186" s="35">
        <f>(VLOOKUP(Tabla4[[#This Row],[SERVICIO 2025]],$J$2:$V$14,3,0)*Tabla4[[#This Row],[TOTAL COBERTURA]])</f>
        <v>2510760</v>
      </c>
      <c r="BA186" s="35">
        <f>(VLOOKUP(Tabla4[[#This Row],[SERVICIO 2025]],$J$2:$V$14,3,0)*Tabla4[[#This Row],[TOTAL COBERTURA]])+Tabla4[[#This Row],[VALOR FASE PREPARATORIA DE CIERRE]]</f>
        <v>3040534</v>
      </c>
      <c r="BB186" s="35">
        <f>SUM(Tabla4[[#This Row],[DESEMBOLSO 1]:[DESEMBOLSO 8]])</f>
        <v>21270270</v>
      </c>
      <c r="BC186" s="35"/>
      <c r="BD186" s="47" t="s">
        <v>97</v>
      </c>
      <c r="BE186" s="12" t="b">
        <f>EXACT(Tabla4[[#This Row],[VALOR ATENCIÓN (8 MESES)]],Tabla4[[#This Row],[VALOR TOTAL]])</f>
        <v>1</v>
      </c>
      <c r="BF186" s="23">
        <f>Tabla4[[#This Row],[VALOR ATENCIÓN (8 MESES)]]-Tabla4[[#This Row],[VALOR TOTAL]]</f>
        <v>0</v>
      </c>
      <c r="BG186" s="12" t="b">
        <f>EXACT(Tabla4[[#This Row],[TOTAL DESEMBOLSOS]],Tabla4[[#This Row],[VALOR ATENCIÓN (8 MESES)]])</f>
        <v>1</v>
      </c>
      <c r="BH186" s="29">
        <f>Tabla4[[#This Row],[TOTAL DESEMBOLSOS]]-Tabla4[[#This Row],[VALOR ATENCIÓN (8 MESES)]]</f>
        <v>0</v>
      </c>
      <c r="BI186" t="s">
        <v>98</v>
      </c>
    </row>
    <row r="187" spans="1:62">
      <c r="A187" s="13">
        <v>1902</v>
      </c>
      <c r="B187" s="13" t="s">
        <v>481</v>
      </c>
      <c r="C187" s="12" t="s">
        <v>87</v>
      </c>
      <c r="D187" s="12" t="s">
        <v>482</v>
      </c>
      <c r="E187" s="12" t="s">
        <v>496</v>
      </c>
      <c r="F187" s="12" t="s">
        <v>21</v>
      </c>
      <c r="G187" s="12" t="s">
        <v>90</v>
      </c>
      <c r="H187" s="12" t="s">
        <v>499</v>
      </c>
      <c r="I187" s="12">
        <v>54251136546</v>
      </c>
      <c r="J187" s="12" t="s">
        <v>500</v>
      </c>
      <c r="K187" s="12">
        <v>1</v>
      </c>
      <c r="L187" s="12">
        <v>13</v>
      </c>
      <c r="M187" s="12"/>
      <c r="N187" s="13">
        <v>1902</v>
      </c>
      <c r="O187" s="12" t="s">
        <v>93</v>
      </c>
      <c r="P187" s="12"/>
      <c r="Q187" s="12"/>
      <c r="R187" s="12" t="s">
        <v>94</v>
      </c>
      <c r="S187" s="12">
        <v>10</v>
      </c>
      <c r="T187" s="12" t="s">
        <v>486</v>
      </c>
      <c r="U187" s="12" t="s">
        <v>487</v>
      </c>
      <c r="V187" s="12">
        <f>VLOOKUP(Tabla4[[#This Row],[ZONA DEFINITIVO]],Hoja1!$A$1:$D$121,3,0)</f>
        <v>229066</v>
      </c>
      <c r="W187" s="12">
        <f>VLOOKUP(Tabla4[[#This Row],[ZONA DEFINITIVO]],Hoja1!$A$1:$D$121,2,0)</f>
        <v>15177</v>
      </c>
      <c r="X187" s="12">
        <f>VLOOKUP(Tabla4[[#This Row],[ZONA DEFINITIVO]],Hoja1!$A$1:$D$121,4,0)</f>
        <v>91325</v>
      </c>
      <c r="Y187" s="12" t="str">
        <f>+IF(Tabla4[[#This Row],[AGRUPACIONES]]=1,SUMIFS(Tabla4[UDS],Tabla4[ZONA DEFINITIVO],Tabla4[[#This Row],[ZONA DEFINITIVO]])," ")</f>
        <v xml:space="preserve"> </v>
      </c>
      <c r="Z187" s="12" t="str">
        <f>+IF(Tabla4[[#This Row],[AGRUPACIONES]]=1,SUMIFS(Tabla4[TOTAL COBERTURA],Tabla4[ZONA DEFINITIVO],Tabla4[[#This Row],[ZONA DEFINITIVO]])," ")</f>
        <v xml:space="preserve"> </v>
      </c>
      <c r="AA187" s="12"/>
      <c r="AB187" s="38">
        <v>19750965</v>
      </c>
      <c r="AC187" s="37">
        <v>0.02</v>
      </c>
      <c r="AD187" s="38">
        <f t="shared" si="3"/>
        <v>395019.3</v>
      </c>
      <c r="AE187" s="12"/>
      <c r="AF187" s="12">
        <f>COUNTIF($A$20:A187,A187)</f>
        <v>7</v>
      </c>
      <c r="AG187" s="38">
        <v>19750965</v>
      </c>
      <c r="AH187" s="38">
        <f>Tabla4[[#This Row],[VALOR CONTRAPARTIDA]]+Tabla4[[#This Row],[TOTAL APORTES ICBF]]</f>
        <v>20145984.300000001</v>
      </c>
      <c r="AI187" s="35"/>
      <c r="AJ187" s="38"/>
      <c r="AK187" s="38"/>
      <c r="AL187" s="23"/>
      <c r="AM187" s="35">
        <f>VLOOKUP(Tabla4[[#This Row],[SERVICIO 2025]],$J$2:$V$14,5,0)*Tabla4[[#This Row],[TOTAL COBERTURA]]</f>
        <v>607672</v>
      </c>
      <c r="AN187" s="35">
        <f>VLOOKUP(Tabla4[[#This Row],[SERVICIO 2025]],$J$2:$V$14,6,0)*Tabla4[[#This Row],[TOTAL COBERTURA]]</f>
        <v>491933</v>
      </c>
      <c r="AO187" s="35">
        <f>VLOOKUP(Tabla4[[#This Row],[SERVICIO 2025]],$J$2:$V$14,8,0)*Tabla4[[#This Row],[TOTAL COBERTURA]]</f>
        <v>0</v>
      </c>
      <c r="AP187" s="35">
        <f>VLOOKUP(Tabla4[[#This Row],[SERVICIO 2025]],$J$2:$V$14,3,0)*Tabla4[[#This Row],[TOTAL COBERTURA]]*8</f>
        <v>18651360</v>
      </c>
      <c r="AQ187" s="35"/>
      <c r="AR187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187" s="35" t="str">
        <f>+IF(Tabla4[[#This Row],[AGRUPACIONES]]=1,SUMIFS(Tabla4[VALOR TOTAL],Tabla4[ZONA DEFINITIVO],Tabla4[[#This Row],[ZONA DEFINITIVO]])," ")</f>
        <v xml:space="preserve"> </v>
      </c>
      <c r="AT187" s="27">
        <f>(VLOOKUP(Tabla4[[#This Row],[SERVICIO 2025]],$J$2:$V$14,3,0)*Tabla4[[#This Row],[TOTAL COBERTURA]])+Tabla4[[#This Row],[VALOR FASE PREPARATORIA DE ALISTAMIENTO]]+Tabla4[[#This Row],[DOTACIÓN ÚNICA]]</f>
        <v>2939092</v>
      </c>
      <c r="AU187" s="35">
        <f>(VLOOKUP(Tabla4[[#This Row],[SERVICIO 2025]],$J$2:$V$14,3,0)*Tabla4[[#This Row],[TOTAL COBERTURA]])</f>
        <v>2331420</v>
      </c>
      <c r="AV187" s="35">
        <f>(VLOOKUP(Tabla4[[#This Row],[SERVICIO 2025]],$J$2:$V$14,3,0)*Tabla4[[#This Row],[TOTAL COBERTURA]])</f>
        <v>2331420</v>
      </c>
      <c r="AW187" s="35">
        <f>(VLOOKUP(Tabla4[[#This Row],[SERVICIO 2025]],$J$2:$V$14,3,0)*Tabla4[[#This Row],[TOTAL COBERTURA]])</f>
        <v>2331420</v>
      </c>
      <c r="AX187" s="35">
        <f>(VLOOKUP(Tabla4[[#This Row],[SERVICIO 2025]],$J$2:$V$14,3,0)*Tabla4[[#This Row],[TOTAL COBERTURA]])</f>
        <v>2331420</v>
      </c>
      <c r="AY187" s="35">
        <f>(VLOOKUP(Tabla4[[#This Row],[SERVICIO 2025]],$J$2:$V$14,3,0)*Tabla4[[#This Row],[TOTAL COBERTURA]])</f>
        <v>2331420</v>
      </c>
      <c r="AZ187" s="35">
        <f>(VLOOKUP(Tabla4[[#This Row],[SERVICIO 2025]],$J$2:$V$14,3,0)*Tabla4[[#This Row],[TOTAL COBERTURA]])</f>
        <v>2331420</v>
      </c>
      <c r="BA187" s="35">
        <f>(VLOOKUP(Tabla4[[#This Row],[SERVICIO 2025]],$J$2:$V$14,3,0)*Tabla4[[#This Row],[TOTAL COBERTURA]])+Tabla4[[#This Row],[VALOR FASE PREPARATORIA DE CIERRE]]</f>
        <v>2823353</v>
      </c>
      <c r="BB187" s="35">
        <f>SUM(Tabla4[[#This Row],[DESEMBOLSO 1]:[DESEMBOLSO 8]])</f>
        <v>19750965</v>
      </c>
      <c r="BC187" s="35"/>
      <c r="BD187" s="47" t="s">
        <v>97</v>
      </c>
      <c r="BE187" s="12" t="b">
        <f>EXACT(Tabla4[[#This Row],[VALOR ATENCIÓN (8 MESES)]],Tabla4[[#This Row],[VALOR TOTAL]])</f>
        <v>1</v>
      </c>
      <c r="BF187" s="23">
        <f>Tabla4[[#This Row],[VALOR ATENCIÓN (8 MESES)]]-Tabla4[[#This Row],[VALOR TOTAL]]</f>
        <v>0</v>
      </c>
      <c r="BG187" s="12" t="b">
        <f>EXACT(Tabla4[[#This Row],[TOTAL DESEMBOLSOS]],Tabla4[[#This Row],[VALOR ATENCIÓN (8 MESES)]])</f>
        <v>1</v>
      </c>
      <c r="BH187" s="29">
        <f>Tabla4[[#This Row],[TOTAL DESEMBOLSOS]]-Tabla4[[#This Row],[VALOR ATENCIÓN (8 MESES)]]</f>
        <v>0</v>
      </c>
      <c r="BI187" t="s">
        <v>98</v>
      </c>
    </row>
    <row r="188" spans="1:62">
      <c r="A188" s="13">
        <v>1902</v>
      </c>
      <c r="B188" s="13" t="s">
        <v>481</v>
      </c>
      <c r="C188" s="12" t="s">
        <v>87</v>
      </c>
      <c r="D188" s="12" t="s">
        <v>482</v>
      </c>
      <c r="E188" s="12" t="s">
        <v>496</v>
      </c>
      <c r="F188" s="12" t="s">
        <v>21</v>
      </c>
      <c r="G188" s="12" t="s">
        <v>90</v>
      </c>
      <c r="H188" s="12" t="s">
        <v>501</v>
      </c>
      <c r="I188" s="12">
        <v>54251136549</v>
      </c>
      <c r="J188" s="12" t="s">
        <v>502</v>
      </c>
      <c r="K188" s="12">
        <v>1</v>
      </c>
      <c r="L188" s="12">
        <v>14</v>
      </c>
      <c r="M188" s="12"/>
      <c r="N188" s="13">
        <v>1902</v>
      </c>
      <c r="O188" s="12" t="s">
        <v>93</v>
      </c>
      <c r="P188" s="12"/>
      <c r="Q188" s="12"/>
      <c r="R188" s="12" t="s">
        <v>94</v>
      </c>
      <c r="S188" s="12">
        <v>10</v>
      </c>
      <c r="T188" s="12" t="s">
        <v>486</v>
      </c>
      <c r="U188" s="12" t="s">
        <v>487</v>
      </c>
      <c r="V188" s="12">
        <f>VLOOKUP(Tabla4[[#This Row],[ZONA DEFINITIVO]],Hoja1!$A$1:$D$121,3,0)</f>
        <v>229066</v>
      </c>
      <c r="W188" s="12">
        <f>VLOOKUP(Tabla4[[#This Row],[ZONA DEFINITIVO]],Hoja1!$A$1:$D$121,2,0)</f>
        <v>15177</v>
      </c>
      <c r="X188" s="12">
        <f>VLOOKUP(Tabla4[[#This Row],[ZONA DEFINITIVO]],Hoja1!$A$1:$D$121,4,0)</f>
        <v>91325</v>
      </c>
      <c r="Y188" s="12" t="str">
        <f>+IF(Tabla4[[#This Row],[AGRUPACIONES]]=1,SUMIFS(Tabla4[UDS],Tabla4[ZONA DEFINITIVO],Tabla4[[#This Row],[ZONA DEFINITIVO]])," ")</f>
        <v xml:space="preserve"> </v>
      </c>
      <c r="Z188" s="12" t="str">
        <f>+IF(Tabla4[[#This Row],[AGRUPACIONES]]=1,SUMIFS(Tabla4[TOTAL COBERTURA],Tabla4[ZONA DEFINITIVO],Tabla4[[#This Row],[ZONA DEFINITIVO]])," ")</f>
        <v xml:space="preserve"> </v>
      </c>
      <c r="AA188" s="12"/>
      <c r="AB188" s="38">
        <v>21270270</v>
      </c>
      <c r="AC188" s="37">
        <v>0.02</v>
      </c>
      <c r="AD188" s="38">
        <f t="shared" si="3"/>
        <v>425405.4</v>
      </c>
      <c r="AE188" s="12"/>
      <c r="AF188" s="12">
        <f>COUNTIF($A$20:A188,A188)</f>
        <v>8</v>
      </c>
      <c r="AG188" s="38">
        <v>21270270</v>
      </c>
      <c r="AH188" s="38">
        <f>Tabla4[[#This Row],[VALOR CONTRAPARTIDA]]+Tabla4[[#This Row],[TOTAL APORTES ICBF]]</f>
        <v>21695675.399999999</v>
      </c>
      <c r="AI188" s="35"/>
      <c r="AJ188" s="38"/>
      <c r="AK188" s="38"/>
      <c r="AL188" s="23"/>
      <c r="AM188" s="35">
        <f>VLOOKUP(Tabla4[[#This Row],[SERVICIO 2025]],$J$2:$V$14,5,0)*Tabla4[[#This Row],[TOTAL COBERTURA]]</f>
        <v>654416</v>
      </c>
      <c r="AN188" s="35">
        <f>VLOOKUP(Tabla4[[#This Row],[SERVICIO 2025]],$J$2:$V$14,6,0)*Tabla4[[#This Row],[TOTAL COBERTURA]]</f>
        <v>529774</v>
      </c>
      <c r="AO188" s="35">
        <f>VLOOKUP(Tabla4[[#This Row],[SERVICIO 2025]],$J$2:$V$14,8,0)*Tabla4[[#This Row],[TOTAL COBERTURA]]</f>
        <v>0</v>
      </c>
      <c r="AP188" s="35">
        <f>VLOOKUP(Tabla4[[#This Row],[SERVICIO 2025]],$J$2:$V$14,3,0)*Tabla4[[#This Row],[TOTAL COBERTURA]]*8</f>
        <v>20086080</v>
      </c>
      <c r="AQ188" s="35"/>
      <c r="AR188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188" s="35" t="str">
        <f>+IF(Tabla4[[#This Row],[AGRUPACIONES]]=1,SUMIFS(Tabla4[VALOR TOTAL],Tabla4[ZONA DEFINITIVO],Tabla4[[#This Row],[ZONA DEFINITIVO]])," ")</f>
        <v xml:space="preserve"> </v>
      </c>
      <c r="AT188" s="27">
        <f>(VLOOKUP(Tabla4[[#This Row],[SERVICIO 2025]],$J$2:$V$14,3,0)*Tabla4[[#This Row],[TOTAL COBERTURA]])+Tabla4[[#This Row],[VALOR FASE PREPARATORIA DE ALISTAMIENTO]]+Tabla4[[#This Row],[DOTACIÓN ÚNICA]]</f>
        <v>3165176</v>
      </c>
      <c r="AU188" s="35">
        <f>(VLOOKUP(Tabla4[[#This Row],[SERVICIO 2025]],$J$2:$V$14,3,0)*Tabla4[[#This Row],[TOTAL COBERTURA]])</f>
        <v>2510760</v>
      </c>
      <c r="AV188" s="35">
        <f>(VLOOKUP(Tabla4[[#This Row],[SERVICIO 2025]],$J$2:$V$14,3,0)*Tabla4[[#This Row],[TOTAL COBERTURA]])</f>
        <v>2510760</v>
      </c>
      <c r="AW188" s="35">
        <f>(VLOOKUP(Tabla4[[#This Row],[SERVICIO 2025]],$J$2:$V$14,3,0)*Tabla4[[#This Row],[TOTAL COBERTURA]])</f>
        <v>2510760</v>
      </c>
      <c r="AX188" s="35">
        <f>(VLOOKUP(Tabla4[[#This Row],[SERVICIO 2025]],$J$2:$V$14,3,0)*Tabla4[[#This Row],[TOTAL COBERTURA]])</f>
        <v>2510760</v>
      </c>
      <c r="AY188" s="35">
        <f>(VLOOKUP(Tabla4[[#This Row],[SERVICIO 2025]],$J$2:$V$14,3,0)*Tabla4[[#This Row],[TOTAL COBERTURA]])</f>
        <v>2510760</v>
      </c>
      <c r="AZ188" s="35">
        <f>(VLOOKUP(Tabla4[[#This Row],[SERVICIO 2025]],$J$2:$V$14,3,0)*Tabla4[[#This Row],[TOTAL COBERTURA]])</f>
        <v>2510760</v>
      </c>
      <c r="BA188" s="35">
        <f>(VLOOKUP(Tabla4[[#This Row],[SERVICIO 2025]],$J$2:$V$14,3,0)*Tabla4[[#This Row],[TOTAL COBERTURA]])+Tabla4[[#This Row],[VALOR FASE PREPARATORIA DE CIERRE]]</f>
        <v>3040534</v>
      </c>
      <c r="BB188" s="35">
        <f>SUM(Tabla4[[#This Row],[DESEMBOLSO 1]:[DESEMBOLSO 8]])</f>
        <v>21270270</v>
      </c>
      <c r="BC188" s="35"/>
      <c r="BD188" s="47" t="s">
        <v>97</v>
      </c>
      <c r="BE188" s="12" t="b">
        <f>EXACT(Tabla4[[#This Row],[VALOR ATENCIÓN (8 MESES)]],Tabla4[[#This Row],[VALOR TOTAL]])</f>
        <v>1</v>
      </c>
      <c r="BF188" s="23">
        <f>Tabla4[[#This Row],[VALOR ATENCIÓN (8 MESES)]]-Tabla4[[#This Row],[VALOR TOTAL]]</f>
        <v>0</v>
      </c>
      <c r="BG188" s="12" t="b">
        <f>EXACT(Tabla4[[#This Row],[TOTAL DESEMBOLSOS]],Tabla4[[#This Row],[VALOR ATENCIÓN (8 MESES)]])</f>
        <v>1</v>
      </c>
      <c r="BH188" s="29">
        <f>Tabla4[[#This Row],[TOTAL DESEMBOLSOS]]-Tabla4[[#This Row],[VALOR ATENCIÓN (8 MESES)]]</f>
        <v>0</v>
      </c>
      <c r="BI188" t="s">
        <v>98</v>
      </c>
    </row>
    <row r="189" spans="1:62">
      <c r="A189" s="13">
        <v>1902</v>
      </c>
      <c r="B189" s="13" t="s">
        <v>481</v>
      </c>
      <c r="C189" s="12" t="s">
        <v>87</v>
      </c>
      <c r="D189" s="12" t="s">
        <v>482</v>
      </c>
      <c r="E189" s="12" t="s">
        <v>496</v>
      </c>
      <c r="F189" s="12" t="s">
        <v>21</v>
      </c>
      <c r="G189" s="12" t="s">
        <v>90</v>
      </c>
      <c r="H189" s="12" t="s">
        <v>503</v>
      </c>
      <c r="I189" s="12">
        <v>54251136558</v>
      </c>
      <c r="J189" s="12" t="s">
        <v>504</v>
      </c>
      <c r="K189" s="12">
        <v>1</v>
      </c>
      <c r="L189" s="12">
        <v>22</v>
      </c>
      <c r="M189" s="12"/>
      <c r="N189" s="13">
        <v>1902</v>
      </c>
      <c r="O189" s="12" t="s">
        <v>93</v>
      </c>
      <c r="P189" s="12"/>
      <c r="Q189" s="12"/>
      <c r="R189" s="12" t="s">
        <v>94</v>
      </c>
      <c r="S189" s="12">
        <v>10</v>
      </c>
      <c r="T189" s="12" t="s">
        <v>486</v>
      </c>
      <c r="U189" s="12" t="s">
        <v>487</v>
      </c>
      <c r="V189" s="12">
        <f>VLOOKUP(Tabla4[[#This Row],[ZONA DEFINITIVO]],Hoja1!$A$1:$D$121,3,0)</f>
        <v>229066</v>
      </c>
      <c r="W189" s="12">
        <f>VLOOKUP(Tabla4[[#This Row],[ZONA DEFINITIVO]],Hoja1!$A$1:$D$121,2,0)</f>
        <v>15177</v>
      </c>
      <c r="X189" s="12">
        <f>VLOOKUP(Tabla4[[#This Row],[ZONA DEFINITIVO]],Hoja1!$A$1:$D$121,4,0)</f>
        <v>91325</v>
      </c>
      <c r="Y189" s="12" t="str">
        <f>+IF(Tabla4[[#This Row],[AGRUPACIONES]]=1,SUMIFS(Tabla4[UDS],Tabla4[ZONA DEFINITIVO],Tabla4[[#This Row],[ZONA DEFINITIVO]])," ")</f>
        <v xml:space="preserve"> </v>
      </c>
      <c r="Z189" s="12" t="str">
        <f>+IF(Tabla4[[#This Row],[AGRUPACIONES]]=1,SUMIFS(Tabla4[TOTAL COBERTURA],Tabla4[ZONA DEFINITIVO],Tabla4[[#This Row],[ZONA DEFINITIVO]])," ")</f>
        <v xml:space="preserve"> </v>
      </c>
      <c r="AA189" s="12"/>
      <c r="AB189" s="38">
        <v>33424710</v>
      </c>
      <c r="AC189" s="37">
        <v>0.02</v>
      </c>
      <c r="AD189" s="38">
        <f t="shared" si="3"/>
        <v>668494.20000000007</v>
      </c>
      <c r="AE189" s="12"/>
      <c r="AF189" s="12">
        <f>COUNTIF($A$20:A189,A189)</f>
        <v>9</v>
      </c>
      <c r="AG189" s="38">
        <v>33424710</v>
      </c>
      <c r="AH189" s="38">
        <f>Tabla4[[#This Row],[VALOR CONTRAPARTIDA]]+Tabla4[[#This Row],[TOTAL APORTES ICBF]]</f>
        <v>34093204.200000003</v>
      </c>
      <c r="AI189" s="35"/>
      <c r="AJ189" s="38"/>
      <c r="AK189" s="38"/>
      <c r="AL189" s="23"/>
      <c r="AM189" s="35">
        <f>VLOOKUP(Tabla4[[#This Row],[SERVICIO 2025]],$J$2:$V$14,5,0)*Tabla4[[#This Row],[TOTAL COBERTURA]]</f>
        <v>1028368</v>
      </c>
      <c r="AN189" s="35">
        <f>VLOOKUP(Tabla4[[#This Row],[SERVICIO 2025]],$J$2:$V$14,6,0)*Tabla4[[#This Row],[TOTAL COBERTURA]]</f>
        <v>832502</v>
      </c>
      <c r="AO189" s="35">
        <f>VLOOKUP(Tabla4[[#This Row],[SERVICIO 2025]],$J$2:$V$14,8,0)*Tabla4[[#This Row],[TOTAL COBERTURA]]</f>
        <v>0</v>
      </c>
      <c r="AP189" s="35">
        <f>VLOOKUP(Tabla4[[#This Row],[SERVICIO 2025]],$J$2:$V$14,3,0)*Tabla4[[#This Row],[TOTAL COBERTURA]]*8</f>
        <v>31563840</v>
      </c>
      <c r="AQ189" s="35"/>
      <c r="AR189" s="35">
        <f>Tabla4[[#This Row],[VALOR FASE PREPARATORIA DE ALISTAMIENTO]]+Tabla4[[#This Row],[VALOR FASE PREPARATORIA DE CIERRE]]+Tabla4[[#This Row],[DOTACIÓN ÚNICA]]+Tabla4[[#This Row],[VALOR ATENCIÓN]]+Tabla4[[#This Row],[VALOR RACION PREPARADA]]</f>
        <v>33424710</v>
      </c>
      <c r="AS189" s="35" t="str">
        <f>+IF(Tabla4[[#This Row],[AGRUPACIONES]]=1,SUMIFS(Tabla4[VALOR TOTAL],Tabla4[ZONA DEFINITIVO],Tabla4[[#This Row],[ZONA DEFINITIVO]])," ")</f>
        <v xml:space="preserve"> </v>
      </c>
      <c r="AT189" s="27">
        <f>(VLOOKUP(Tabla4[[#This Row],[SERVICIO 2025]],$J$2:$V$14,3,0)*Tabla4[[#This Row],[TOTAL COBERTURA]])+Tabla4[[#This Row],[VALOR FASE PREPARATORIA DE ALISTAMIENTO]]+Tabla4[[#This Row],[DOTACIÓN ÚNICA]]</f>
        <v>4973848</v>
      </c>
      <c r="AU189" s="35">
        <f>(VLOOKUP(Tabla4[[#This Row],[SERVICIO 2025]],$J$2:$V$14,3,0)*Tabla4[[#This Row],[TOTAL COBERTURA]])</f>
        <v>3945480</v>
      </c>
      <c r="AV189" s="35">
        <f>(VLOOKUP(Tabla4[[#This Row],[SERVICIO 2025]],$J$2:$V$14,3,0)*Tabla4[[#This Row],[TOTAL COBERTURA]])</f>
        <v>3945480</v>
      </c>
      <c r="AW189" s="35">
        <f>(VLOOKUP(Tabla4[[#This Row],[SERVICIO 2025]],$J$2:$V$14,3,0)*Tabla4[[#This Row],[TOTAL COBERTURA]])</f>
        <v>3945480</v>
      </c>
      <c r="AX189" s="35">
        <f>(VLOOKUP(Tabla4[[#This Row],[SERVICIO 2025]],$J$2:$V$14,3,0)*Tabla4[[#This Row],[TOTAL COBERTURA]])</f>
        <v>3945480</v>
      </c>
      <c r="AY189" s="35">
        <f>(VLOOKUP(Tabla4[[#This Row],[SERVICIO 2025]],$J$2:$V$14,3,0)*Tabla4[[#This Row],[TOTAL COBERTURA]])</f>
        <v>3945480</v>
      </c>
      <c r="AZ189" s="35">
        <f>(VLOOKUP(Tabla4[[#This Row],[SERVICIO 2025]],$J$2:$V$14,3,0)*Tabla4[[#This Row],[TOTAL COBERTURA]])</f>
        <v>3945480</v>
      </c>
      <c r="BA189" s="35">
        <f>(VLOOKUP(Tabla4[[#This Row],[SERVICIO 2025]],$J$2:$V$14,3,0)*Tabla4[[#This Row],[TOTAL COBERTURA]])+Tabla4[[#This Row],[VALOR FASE PREPARATORIA DE CIERRE]]</f>
        <v>4777982</v>
      </c>
      <c r="BB189" s="35">
        <f>SUM(Tabla4[[#This Row],[DESEMBOLSO 1]:[DESEMBOLSO 8]])</f>
        <v>33424710</v>
      </c>
      <c r="BC189" s="35"/>
      <c r="BD189" s="47" t="s">
        <v>97</v>
      </c>
      <c r="BE189" s="12" t="b">
        <f>EXACT(Tabla4[[#This Row],[VALOR ATENCIÓN (8 MESES)]],Tabla4[[#This Row],[VALOR TOTAL]])</f>
        <v>1</v>
      </c>
      <c r="BF189" s="23">
        <f>Tabla4[[#This Row],[VALOR ATENCIÓN (8 MESES)]]-Tabla4[[#This Row],[VALOR TOTAL]]</f>
        <v>0</v>
      </c>
      <c r="BG189" s="12" t="b">
        <f>EXACT(Tabla4[[#This Row],[TOTAL DESEMBOLSOS]],Tabla4[[#This Row],[VALOR ATENCIÓN (8 MESES)]])</f>
        <v>1</v>
      </c>
      <c r="BH189" s="29">
        <f>Tabla4[[#This Row],[TOTAL DESEMBOLSOS]]-Tabla4[[#This Row],[VALOR ATENCIÓN (8 MESES)]]</f>
        <v>0</v>
      </c>
      <c r="BI189" t="s">
        <v>98</v>
      </c>
    </row>
    <row r="190" spans="1:62">
      <c r="A190" s="13">
        <v>1902</v>
      </c>
      <c r="B190" s="13" t="s">
        <v>481</v>
      </c>
      <c r="C190" s="12" t="s">
        <v>87</v>
      </c>
      <c r="D190" s="12" t="s">
        <v>482</v>
      </c>
      <c r="E190" s="12" t="s">
        <v>496</v>
      </c>
      <c r="F190" s="12" t="s">
        <v>21</v>
      </c>
      <c r="G190" s="12" t="s">
        <v>90</v>
      </c>
      <c r="H190" s="12" t="s">
        <v>505</v>
      </c>
      <c r="I190" s="12">
        <v>54251152801</v>
      </c>
      <c r="J190" s="12" t="s">
        <v>506</v>
      </c>
      <c r="K190" s="12">
        <v>1</v>
      </c>
      <c r="L190" s="12">
        <v>14</v>
      </c>
      <c r="M190" s="12"/>
      <c r="N190" s="13">
        <v>1902</v>
      </c>
      <c r="O190" s="12" t="s">
        <v>93</v>
      </c>
      <c r="P190" s="12"/>
      <c r="Q190" s="12"/>
      <c r="R190" s="12" t="s">
        <v>94</v>
      </c>
      <c r="S190" s="12">
        <v>10</v>
      </c>
      <c r="T190" s="12" t="s">
        <v>486</v>
      </c>
      <c r="U190" s="12" t="s">
        <v>487</v>
      </c>
      <c r="V190" s="12">
        <f>VLOOKUP(Tabla4[[#This Row],[ZONA DEFINITIVO]],Hoja1!$A$1:$D$121,3,0)</f>
        <v>229066</v>
      </c>
      <c r="W190" s="12">
        <f>VLOOKUP(Tabla4[[#This Row],[ZONA DEFINITIVO]],Hoja1!$A$1:$D$121,2,0)</f>
        <v>15177</v>
      </c>
      <c r="X190" s="12">
        <f>VLOOKUP(Tabla4[[#This Row],[ZONA DEFINITIVO]],Hoja1!$A$1:$D$121,4,0)</f>
        <v>91325</v>
      </c>
      <c r="Y190" s="12" t="str">
        <f>+IF(Tabla4[[#This Row],[AGRUPACIONES]]=1,SUMIFS(Tabla4[UDS],Tabla4[ZONA DEFINITIVO],Tabla4[[#This Row],[ZONA DEFINITIVO]])," ")</f>
        <v xml:space="preserve"> </v>
      </c>
      <c r="Z190" s="12" t="str">
        <f>+IF(Tabla4[[#This Row],[AGRUPACIONES]]=1,SUMIFS(Tabla4[TOTAL COBERTURA],Tabla4[ZONA DEFINITIVO],Tabla4[[#This Row],[ZONA DEFINITIVO]])," ")</f>
        <v xml:space="preserve"> </v>
      </c>
      <c r="AA190" s="12"/>
      <c r="AB190" s="38">
        <v>21270270</v>
      </c>
      <c r="AC190" s="37">
        <v>0.02</v>
      </c>
      <c r="AD190" s="38">
        <f t="shared" si="3"/>
        <v>425405.4</v>
      </c>
      <c r="AE190" s="12"/>
      <c r="AF190" s="12">
        <f>COUNTIF($A$20:A190,A190)</f>
        <v>10</v>
      </c>
      <c r="AG190" s="38">
        <v>21270270</v>
      </c>
      <c r="AH190" s="38">
        <f>Tabla4[[#This Row],[VALOR CONTRAPARTIDA]]+Tabla4[[#This Row],[TOTAL APORTES ICBF]]</f>
        <v>21695675.399999999</v>
      </c>
      <c r="AI190" s="35"/>
      <c r="AJ190" s="38"/>
      <c r="AK190" s="38"/>
      <c r="AL190" s="23"/>
      <c r="AM190" s="35">
        <f>VLOOKUP(Tabla4[[#This Row],[SERVICIO 2025]],$J$2:$V$14,5,0)*Tabla4[[#This Row],[TOTAL COBERTURA]]</f>
        <v>654416</v>
      </c>
      <c r="AN190" s="35">
        <f>VLOOKUP(Tabla4[[#This Row],[SERVICIO 2025]],$J$2:$V$14,6,0)*Tabla4[[#This Row],[TOTAL COBERTURA]]</f>
        <v>529774</v>
      </c>
      <c r="AO190" s="35">
        <f>VLOOKUP(Tabla4[[#This Row],[SERVICIO 2025]],$J$2:$V$14,8,0)*Tabla4[[#This Row],[TOTAL COBERTURA]]</f>
        <v>0</v>
      </c>
      <c r="AP190" s="35">
        <f>VLOOKUP(Tabla4[[#This Row],[SERVICIO 2025]],$J$2:$V$14,3,0)*Tabla4[[#This Row],[TOTAL COBERTURA]]*8</f>
        <v>20086080</v>
      </c>
      <c r="AQ190" s="35"/>
      <c r="AR190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190" s="35" t="str">
        <f>+IF(Tabla4[[#This Row],[AGRUPACIONES]]=1,SUMIFS(Tabla4[VALOR TOTAL],Tabla4[ZONA DEFINITIVO],Tabla4[[#This Row],[ZONA DEFINITIVO]])," ")</f>
        <v xml:space="preserve"> </v>
      </c>
      <c r="AT190" s="27">
        <f>(VLOOKUP(Tabla4[[#This Row],[SERVICIO 2025]],$J$2:$V$14,3,0)*Tabla4[[#This Row],[TOTAL COBERTURA]])+Tabla4[[#This Row],[VALOR FASE PREPARATORIA DE ALISTAMIENTO]]+Tabla4[[#This Row],[DOTACIÓN ÚNICA]]</f>
        <v>3165176</v>
      </c>
      <c r="AU190" s="35">
        <f>(VLOOKUP(Tabla4[[#This Row],[SERVICIO 2025]],$J$2:$V$14,3,0)*Tabla4[[#This Row],[TOTAL COBERTURA]])</f>
        <v>2510760</v>
      </c>
      <c r="AV190" s="35">
        <f>(VLOOKUP(Tabla4[[#This Row],[SERVICIO 2025]],$J$2:$V$14,3,0)*Tabla4[[#This Row],[TOTAL COBERTURA]])</f>
        <v>2510760</v>
      </c>
      <c r="AW190" s="35">
        <f>(VLOOKUP(Tabla4[[#This Row],[SERVICIO 2025]],$J$2:$V$14,3,0)*Tabla4[[#This Row],[TOTAL COBERTURA]])</f>
        <v>2510760</v>
      </c>
      <c r="AX190" s="35">
        <f>(VLOOKUP(Tabla4[[#This Row],[SERVICIO 2025]],$J$2:$V$14,3,0)*Tabla4[[#This Row],[TOTAL COBERTURA]])</f>
        <v>2510760</v>
      </c>
      <c r="AY190" s="35">
        <f>(VLOOKUP(Tabla4[[#This Row],[SERVICIO 2025]],$J$2:$V$14,3,0)*Tabla4[[#This Row],[TOTAL COBERTURA]])</f>
        <v>2510760</v>
      </c>
      <c r="AZ190" s="35">
        <f>(VLOOKUP(Tabla4[[#This Row],[SERVICIO 2025]],$J$2:$V$14,3,0)*Tabla4[[#This Row],[TOTAL COBERTURA]])</f>
        <v>2510760</v>
      </c>
      <c r="BA190" s="35">
        <f>(VLOOKUP(Tabla4[[#This Row],[SERVICIO 2025]],$J$2:$V$14,3,0)*Tabla4[[#This Row],[TOTAL COBERTURA]])+Tabla4[[#This Row],[VALOR FASE PREPARATORIA DE CIERRE]]</f>
        <v>3040534</v>
      </c>
      <c r="BB190" s="35">
        <f>SUM(Tabla4[[#This Row],[DESEMBOLSO 1]:[DESEMBOLSO 8]])</f>
        <v>21270270</v>
      </c>
      <c r="BC190" s="35"/>
      <c r="BD190" s="47" t="s">
        <v>97</v>
      </c>
      <c r="BE190" s="12" t="b">
        <f>EXACT(Tabla4[[#This Row],[VALOR ATENCIÓN (8 MESES)]],Tabla4[[#This Row],[VALOR TOTAL]])</f>
        <v>1</v>
      </c>
      <c r="BF190" s="23">
        <f>Tabla4[[#This Row],[VALOR ATENCIÓN (8 MESES)]]-Tabla4[[#This Row],[VALOR TOTAL]]</f>
        <v>0</v>
      </c>
      <c r="BG190" s="12" t="b">
        <f>EXACT(Tabla4[[#This Row],[TOTAL DESEMBOLSOS]],Tabla4[[#This Row],[VALOR ATENCIÓN (8 MESES)]])</f>
        <v>1</v>
      </c>
      <c r="BH190" s="29">
        <f>Tabla4[[#This Row],[TOTAL DESEMBOLSOS]]-Tabla4[[#This Row],[VALOR ATENCIÓN (8 MESES)]]</f>
        <v>0</v>
      </c>
      <c r="BI190" t="s">
        <v>98</v>
      </c>
    </row>
    <row r="191" spans="1:62">
      <c r="A191" s="13">
        <v>1902</v>
      </c>
      <c r="B191" s="13" t="s">
        <v>481</v>
      </c>
      <c r="C191" s="12" t="s">
        <v>87</v>
      </c>
      <c r="D191" s="12" t="s">
        <v>482</v>
      </c>
      <c r="E191" s="12" t="s">
        <v>496</v>
      </c>
      <c r="F191" s="12" t="s">
        <v>21</v>
      </c>
      <c r="G191" s="12" t="s">
        <v>90</v>
      </c>
      <c r="H191" s="12" t="s">
        <v>507</v>
      </c>
      <c r="I191" s="12">
        <v>542500038374</v>
      </c>
      <c r="J191" s="12" t="s">
        <v>508</v>
      </c>
      <c r="K191" s="12">
        <v>1</v>
      </c>
      <c r="L191" s="12">
        <v>22</v>
      </c>
      <c r="M191" s="12"/>
      <c r="N191" s="13">
        <v>1902</v>
      </c>
      <c r="O191" s="12" t="s">
        <v>93</v>
      </c>
      <c r="P191" s="12"/>
      <c r="Q191" s="12"/>
      <c r="R191" s="12" t="s">
        <v>94</v>
      </c>
      <c r="S191" s="12">
        <v>10</v>
      </c>
      <c r="T191" s="12" t="s">
        <v>486</v>
      </c>
      <c r="U191" s="12" t="s">
        <v>487</v>
      </c>
      <c r="V191" s="12">
        <f>VLOOKUP(Tabla4[[#This Row],[ZONA DEFINITIVO]],Hoja1!$A$1:$D$121,3,0)</f>
        <v>229066</v>
      </c>
      <c r="W191" s="12">
        <f>VLOOKUP(Tabla4[[#This Row],[ZONA DEFINITIVO]],Hoja1!$A$1:$D$121,2,0)</f>
        <v>15177</v>
      </c>
      <c r="X191" s="12">
        <f>VLOOKUP(Tabla4[[#This Row],[ZONA DEFINITIVO]],Hoja1!$A$1:$D$121,4,0)</f>
        <v>91325</v>
      </c>
      <c r="Y191" s="12" t="str">
        <f>+IF(Tabla4[[#This Row],[AGRUPACIONES]]=1,SUMIFS(Tabla4[UDS],Tabla4[ZONA DEFINITIVO],Tabla4[[#This Row],[ZONA DEFINITIVO]])," ")</f>
        <v xml:space="preserve"> </v>
      </c>
      <c r="Z191" s="12" t="str">
        <f>+IF(Tabla4[[#This Row],[AGRUPACIONES]]=1,SUMIFS(Tabla4[TOTAL COBERTURA],Tabla4[ZONA DEFINITIVO],Tabla4[[#This Row],[ZONA DEFINITIVO]])," ")</f>
        <v xml:space="preserve"> </v>
      </c>
      <c r="AA191" s="12"/>
      <c r="AB191" s="38">
        <v>33424710</v>
      </c>
      <c r="AC191" s="37">
        <v>0.02</v>
      </c>
      <c r="AD191" s="38">
        <f t="shared" si="3"/>
        <v>668494.20000000007</v>
      </c>
      <c r="AE191" s="12"/>
      <c r="AF191" s="12">
        <f>COUNTIF($A$20:A191,A191)</f>
        <v>11</v>
      </c>
      <c r="AG191" s="38">
        <v>33424710</v>
      </c>
      <c r="AH191" s="38">
        <f>Tabla4[[#This Row],[VALOR CONTRAPARTIDA]]+Tabla4[[#This Row],[TOTAL APORTES ICBF]]</f>
        <v>34093204.200000003</v>
      </c>
      <c r="AI191" s="35"/>
      <c r="AJ191" s="38"/>
      <c r="AK191" s="38"/>
      <c r="AL191" s="23"/>
      <c r="AM191" s="35">
        <f>VLOOKUP(Tabla4[[#This Row],[SERVICIO 2025]],$J$2:$V$14,5,0)*Tabla4[[#This Row],[TOTAL COBERTURA]]</f>
        <v>1028368</v>
      </c>
      <c r="AN191" s="35">
        <f>VLOOKUP(Tabla4[[#This Row],[SERVICIO 2025]],$J$2:$V$14,6,0)*Tabla4[[#This Row],[TOTAL COBERTURA]]</f>
        <v>832502</v>
      </c>
      <c r="AO191" s="35">
        <f>VLOOKUP(Tabla4[[#This Row],[SERVICIO 2025]],$J$2:$V$14,8,0)*Tabla4[[#This Row],[TOTAL COBERTURA]]</f>
        <v>0</v>
      </c>
      <c r="AP191" s="35">
        <f>VLOOKUP(Tabla4[[#This Row],[SERVICIO 2025]],$J$2:$V$14,3,0)*Tabla4[[#This Row],[TOTAL COBERTURA]]*8</f>
        <v>31563840</v>
      </c>
      <c r="AQ191" s="35"/>
      <c r="AR191" s="35">
        <f>Tabla4[[#This Row],[VALOR FASE PREPARATORIA DE ALISTAMIENTO]]+Tabla4[[#This Row],[VALOR FASE PREPARATORIA DE CIERRE]]+Tabla4[[#This Row],[DOTACIÓN ÚNICA]]+Tabla4[[#This Row],[VALOR ATENCIÓN]]+Tabla4[[#This Row],[VALOR RACION PREPARADA]]</f>
        <v>33424710</v>
      </c>
      <c r="AS191" s="35" t="str">
        <f>+IF(Tabla4[[#This Row],[AGRUPACIONES]]=1,SUMIFS(Tabla4[VALOR TOTAL],Tabla4[ZONA DEFINITIVO],Tabla4[[#This Row],[ZONA DEFINITIVO]])," ")</f>
        <v xml:space="preserve"> </v>
      </c>
      <c r="AT191" s="27">
        <f>(VLOOKUP(Tabla4[[#This Row],[SERVICIO 2025]],$J$2:$V$14,3,0)*Tabla4[[#This Row],[TOTAL COBERTURA]])+Tabla4[[#This Row],[VALOR FASE PREPARATORIA DE ALISTAMIENTO]]+Tabla4[[#This Row],[DOTACIÓN ÚNICA]]</f>
        <v>4973848</v>
      </c>
      <c r="AU191" s="35">
        <f>(VLOOKUP(Tabla4[[#This Row],[SERVICIO 2025]],$J$2:$V$14,3,0)*Tabla4[[#This Row],[TOTAL COBERTURA]])</f>
        <v>3945480</v>
      </c>
      <c r="AV191" s="35">
        <f>(VLOOKUP(Tabla4[[#This Row],[SERVICIO 2025]],$J$2:$V$14,3,0)*Tabla4[[#This Row],[TOTAL COBERTURA]])</f>
        <v>3945480</v>
      </c>
      <c r="AW191" s="35">
        <f>(VLOOKUP(Tabla4[[#This Row],[SERVICIO 2025]],$J$2:$V$14,3,0)*Tabla4[[#This Row],[TOTAL COBERTURA]])</f>
        <v>3945480</v>
      </c>
      <c r="AX191" s="35">
        <f>(VLOOKUP(Tabla4[[#This Row],[SERVICIO 2025]],$J$2:$V$14,3,0)*Tabla4[[#This Row],[TOTAL COBERTURA]])</f>
        <v>3945480</v>
      </c>
      <c r="AY191" s="35">
        <f>(VLOOKUP(Tabla4[[#This Row],[SERVICIO 2025]],$J$2:$V$14,3,0)*Tabla4[[#This Row],[TOTAL COBERTURA]])</f>
        <v>3945480</v>
      </c>
      <c r="AZ191" s="35">
        <f>(VLOOKUP(Tabla4[[#This Row],[SERVICIO 2025]],$J$2:$V$14,3,0)*Tabla4[[#This Row],[TOTAL COBERTURA]])</f>
        <v>3945480</v>
      </c>
      <c r="BA191" s="35">
        <f>(VLOOKUP(Tabla4[[#This Row],[SERVICIO 2025]],$J$2:$V$14,3,0)*Tabla4[[#This Row],[TOTAL COBERTURA]])+Tabla4[[#This Row],[VALOR FASE PREPARATORIA DE CIERRE]]</f>
        <v>4777982</v>
      </c>
      <c r="BB191" s="35">
        <f>SUM(Tabla4[[#This Row],[DESEMBOLSO 1]:[DESEMBOLSO 8]])</f>
        <v>33424710</v>
      </c>
      <c r="BC191" s="35"/>
      <c r="BD191" s="47" t="s">
        <v>97</v>
      </c>
      <c r="BE191" s="12" t="b">
        <f>EXACT(Tabla4[[#This Row],[VALOR ATENCIÓN (8 MESES)]],Tabla4[[#This Row],[VALOR TOTAL]])</f>
        <v>1</v>
      </c>
      <c r="BF191" s="23">
        <f>Tabla4[[#This Row],[VALOR ATENCIÓN (8 MESES)]]-Tabla4[[#This Row],[VALOR TOTAL]]</f>
        <v>0</v>
      </c>
      <c r="BG191" s="12" t="b">
        <f>EXACT(Tabla4[[#This Row],[TOTAL DESEMBOLSOS]],Tabla4[[#This Row],[VALOR ATENCIÓN (8 MESES)]])</f>
        <v>1</v>
      </c>
      <c r="BH191" s="29">
        <f>Tabla4[[#This Row],[TOTAL DESEMBOLSOS]]-Tabla4[[#This Row],[VALOR ATENCIÓN (8 MESES)]]</f>
        <v>0</v>
      </c>
      <c r="BI191" t="s">
        <v>98</v>
      </c>
    </row>
    <row r="192" spans="1:62">
      <c r="A192" s="13">
        <v>1902</v>
      </c>
      <c r="B192" s="13" t="s">
        <v>481</v>
      </c>
      <c r="C192" s="12" t="s">
        <v>87</v>
      </c>
      <c r="D192" s="12" t="s">
        <v>482</v>
      </c>
      <c r="E192" s="12" t="s">
        <v>509</v>
      </c>
      <c r="F192" s="12" t="s">
        <v>21</v>
      </c>
      <c r="G192" s="12" t="s">
        <v>90</v>
      </c>
      <c r="H192" s="12" t="s">
        <v>510</v>
      </c>
      <c r="I192" s="12">
        <v>55851117914</v>
      </c>
      <c r="J192" s="12" t="s">
        <v>511</v>
      </c>
      <c r="K192" s="12">
        <v>1</v>
      </c>
      <c r="L192" s="12">
        <v>16</v>
      </c>
      <c r="M192" s="12"/>
      <c r="N192" s="13">
        <v>1902</v>
      </c>
      <c r="O192" s="12" t="s">
        <v>93</v>
      </c>
      <c r="P192" s="12"/>
      <c r="Q192" s="12"/>
      <c r="R192" s="12" t="s">
        <v>94</v>
      </c>
      <c r="S192" s="12">
        <v>10</v>
      </c>
      <c r="T192" s="12" t="s">
        <v>486</v>
      </c>
      <c r="U192" s="12" t="s">
        <v>487</v>
      </c>
      <c r="V192" s="12">
        <f>VLOOKUP(Tabla4[[#This Row],[ZONA DEFINITIVO]],Hoja1!$A$1:$D$121,3,0)</f>
        <v>229066</v>
      </c>
      <c r="W192" s="12">
        <f>VLOOKUP(Tabla4[[#This Row],[ZONA DEFINITIVO]],Hoja1!$A$1:$D$121,2,0)</f>
        <v>15177</v>
      </c>
      <c r="X192" s="12">
        <f>VLOOKUP(Tabla4[[#This Row],[ZONA DEFINITIVO]],Hoja1!$A$1:$D$121,4,0)</f>
        <v>91325</v>
      </c>
      <c r="Y192" s="12" t="str">
        <f>+IF(Tabla4[[#This Row],[AGRUPACIONES]]=1,SUMIFS(Tabla4[UDS],Tabla4[ZONA DEFINITIVO],Tabla4[[#This Row],[ZONA DEFINITIVO]])," ")</f>
        <v xml:space="preserve"> </v>
      </c>
      <c r="Z192" s="12" t="str">
        <f>+IF(Tabla4[[#This Row],[AGRUPACIONES]]=1,SUMIFS(Tabla4[TOTAL COBERTURA],Tabla4[ZONA DEFINITIVO],Tabla4[[#This Row],[ZONA DEFINITIVO]])," ")</f>
        <v xml:space="preserve"> </v>
      </c>
      <c r="AA192" s="12"/>
      <c r="AB192" s="38">
        <v>24308880</v>
      </c>
      <c r="AC192" s="37">
        <v>0.02</v>
      </c>
      <c r="AD192" s="38">
        <f t="shared" si="3"/>
        <v>486177.60000000003</v>
      </c>
      <c r="AE192" s="12"/>
      <c r="AF192" s="12">
        <f>COUNTIF($A$20:A192,A192)</f>
        <v>12</v>
      </c>
      <c r="AG192" s="38">
        <v>24308880</v>
      </c>
      <c r="AH192" s="38">
        <f>Tabla4[[#This Row],[VALOR CONTRAPARTIDA]]+Tabla4[[#This Row],[TOTAL APORTES ICBF]]</f>
        <v>24795057.600000001</v>
      </c>
      <c r="AI192" s="35"/>
      <c r="AJ192" s="38"/>
      <c r="AK192" s="38"/>
      <c r="AL192" s="23"/>
      <c r="AM192" s="35">
        <f>VLOOKUP(Tabla4[[#This Row],[SERVICIO 2025]],$J$2:$V$14,5,0)*Tabla4[[#This Row],[TOTAL COBERTURA]]</f>
        <v>747904</v>
      </c>
      <c r="AN192" s="35">
        <f>VLOOKUP(Tabla4[[#This Row],[SERVICIO 2025]],$J$2:$V$14,6,0)*Tabla4[[#This Row],[TOTAL COBERTURA]]</f>
        <v>605456</v>
      </c>
      <c r="AO192" s="35">
        <f>VLOOKUP(Tabla4[[#This Row],[SERVICIO 2025]],$J$2:$V$14,8,0)*Tabla4[[#This Row],[TOTAL COBERTURA]]</f>
        <v>0</v>
      </c>
      <c r="AP192" s="35">
        <f>VLOOKUP(Tabla4[[#This Row],[SERVICIO 2025]],$J$2:$V$14,3,0)*Tabla4[[#This Row],[TOTAL COBERTURA]]*8</f>
        <v>22955520</v>
      </c>
      <c r="AQ192" s="35"/>
      <c r="AR192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192" s="35" t="str">
        <f>+IF(Tabla4[[#This Row],[AGRUPACIONES]]=1,SUMIFS(Tabla4[VALOR TOTAL],Tabla4[ZONA DEFINITIVO],Tabla4[[#This Row],[ZONA DEFINITIVO]])," ")</f>
        <v xml:space="preserve"> </v>
      </c>
      <c r="AT192" s="27">
        <f>(VLOOKUP(Tabla4[[#This Row],[SERVICIO 2025]],$J$2:$V$14,3,0)*Tabla4[[#This Row],[TOTAL COBERTURA]])+Tabla4[[#This Row],[VALOR FASE PREPARATORIA DE ALISTAMIENTO]]+Tabla4[[#This Row],[DOTACIÓN ÚNICA]]</f>
        <v>3617344</v>
      </c>
      <c r="AU192" s="35">
        <f>(VLOOKUP(Tabla4[[#This Row],[SERVICIO 2025]],$J$2:$V$14,3,0)*Tabla4[[#This Row],[TOTAL COBERTURA]])</f>
        <v>2869440</v>
      </c>
      <c r="AV192" s="35">
        <f>(VLOOKUP(Tabla4[[#This Row],[SERVICIO 2025]],$J$2:$V$14,3,0)*Tabla4[[#This Row],[TOTAL COBERTURA]])</f>
        <v>2869440</v>
      </c>
      <c r="AW192" s="35">
        <f>(VLOOKUP(Tabla4[[#This Row],[SERVICIO 2025]],$J$2:$V$14,3,0)*Tabla4[[#This Row],[TOTAL COBERTURA]])</f>
        <v>2869440</v>
      </c>
      <c r="AX192" s="35">
        <f>(VLOOKUP(Tabla4[[#This Row],[SERVICIO 2025]],$J$2:$V$14,3,0)*Tabla4[[#This Row],[TOTAL COBERTURA]])</f>
        <v>2869440</v>
      </c>
      <c r="AY192" s="35">
        <f>(VLOOKUP(Tabla4[[#This Row],[SERVICIO 2025]],$J$2:$V$14,3,0)*Tabla4[[#This Row],[TOTAL COBERTURA]])</f>
        <v>2869440</v>
      </c>
      <c r="AZ192" s="35">
        <f>(VLOOKUP(Tabla4[[#This Row],[SERVICIO 2025]],$J$2:$V$14,3,0)*Tabla4[[#This Row],[TOTAL COBERTURA]])</f>
        <v>2869440</v>
      </c>
      <c r="BA192" s="35">
        <f>(VLOOKUP(Tabla4[[#This Row],[SERVICIO 2025]],$J$2:$V$14,3,0)*Tabla4[[#This Row],[TOTAL COBERTURA]])+Tabla4[[#This Row],[VALOR FASE PREPARATORIA DE CIERRE]]</f>
        <v>3474896</v>
      </c>
      <c r="BB192" s="35">
        <f>SUM(Tabla4[[#This Row],[DESEMBOLSO 1]:[DESEMBOLSO 8]])</f>
        <v>24308880</v>
      </c>
      <c r="BC192" s="35"/>
      <c r="BD192" s="47" t="s">
        <v>97</v>
      </c>
      <c r="BE192" s="12" t="b">
        <f>EXACT(Tabla4[[#This Row],[VALOR ATENCIÓN (8 MESES)]],Tabla4[[#This Row],[VALOR TOTAL]])</f>
        <v>1</v>
      </c>
      <c r="BF192" s="23">
        <f>Tabla4[[#This Row],[VALOR ATENCIÓN (8 MESES)]]-Tabla4[[#This Row],[VALOR TOTAL]]</f>
        <v>0</v>
      </c>
      <c r="BG192" s="12" t="b">
        <f>EXACT(Tabla4[[#This Row],[TOTAL DESEMBOLSOS]],Tabla4[[#This Row],[VALOR ATENCIÓN (8 MESES)]])</f>
        <v>1</v>
      </c>
      <c r="BH192" s="29">
        <f>Tabla4[[#This Row],[TOTAL DESEMBOLSOS]]-Tabla4[[#This Row],[VALOR ATENCIÓN (8 MESES)]]</f>
        <v>0</v>
      </c>
      <c r="BI192" t="s">
        <v>98</v>
      </c>
    </row>
    <row r="193" spans="1:61">
      <c r="A193" s="13">
        <v>1902</v>
      </c>
      <c r="B193" s="13" t="s">
        <v>481</v>
      </c>
      <c r="C193" s="12" t="s">
        <v>87</v>
      </c>
      <c r="D193" s="12" t="s">
        <v>482</v>
      </c>
      <c r="E193" s="12" t="s">
        <v>509</v>
      </c>
      <c r="F193" s="12" t="s">
        <v>21</v>
      </c>
      <c r="G193" s="12" t="s">
        <v>90</v>
      </c>
      <c r="H193" s="12" t="s">
        <v>512</v>
      </c>
      <c r="I193" s="12">
        <v>55851136922</v>
      </c>
      <c r="J193" s="12" t="s">
        <v>513</v>
      </c>
      <c r="K193" s="12">
        <v>1</v>
      </c>
      <c r="L193" s="12">
        <v>13</v>
      </c>
      <c r="M193" s="12"/>
      <c r="N193" s="13">
        <v>1902</v>
      </c>
      <c r="O193" s="12" t="s">
        <v>93</v>
      </c>
      <c r="P193" s="12"/>
      <c r="Q193" s="12"/>
      <c r="R193" s="12" t="s">
        <v>94</v>
      </c>
      <c r="S193" s="12">
        <v>10</v>
      </c>
      <c r="T193" s="12" t="s">
        <v>486</v>
      </c>
      <c r="U193" s="12" t="s">
        <v>487</v>
      </c>
      <c r="V193" s="12">
        <f>VLOOKUP(Tabla4[[#This Row],[ZONA DEFINITIVO]],Hoja1!$A$1:$D$121,3,0)</f>
        <v>229066</v>
      </c>
      <c r="W193" s="12">
        <f>VLOOKUP(Tabla4[[#This Row],[ZONA DEFINITIVO]],Hoja1!$A$1:$D$121,2,0)</f>
        <v>15177</v>
      </c>
      <c r="X193" s="12">
        <f>VLOOKUP(Tabla4[[#This Row],[ZONA DEFINITIVO]],Hoja1!$A$1:$D$121,4,0)</f>
        <v>91325</v>
      </c>
      <c r="Y193" s="12" t="str">
        <f>+IF(Tabla4[[#This Row],[AGRUPACIONES]]=1,SUMIFS(Tabla4[UDS],Tabla4[ZONA DEFINITIVO],Tabla4[[#This Row],[ZONA DEFINITIVO]])," ")</f>
        <v xml:space="preserve"> </v>
      </c>
      <c r="Z193" s="12" t="str">
        <f>+IF(Tabla4[[#This Row],[AGRUPACIONES]]=1,SUMIFS(Tabla4[TOTAL COBERTURA],Tabla4[ZONA DEFINITIVO],Tabla4[[#This Row],[ZONA DEFINITIVO]])," ")</f>
        <v xml:space="preserve"> </v>
      </c>
      <c r="AA193" s="12"/>
      <c r="AB193" s="38">
        <v>19750965</v>
      </c>
      <c r="AC193" s="37">
        <v>0.02</v>
      </c>
      <c r="AD193" s="38">
        <f t="shared" si="3"/>
        <v>395019.3</v>
      </c>
      <c r="AE193" s="12"/>
      <c r="AF193" s="12">
        <f>COUNTIF($A$20:A193,A193)</f>
        <v>13</v>
      </c>
      <c r="AG193" s="38">
        <v>19750965</v>
      </c>
      <c r="AH193" s="38">
        <f>Tabla4[[#This Row],[VALOR CONTRAPARTIDA]]+Tabla4[[#This Row],[TOTAL APORTES ICBF]]</f>
        <v>20145984.300000001</v>
      </c>
      <c r="AI193" s="35"/>
      <c r="AJ193" s="38"/>
      <c r="AK193" s="38"/>
      <c r="AL193" s="23"/>
      <c r="AM193" s="35">
        <f>VLOOKUP(Tabla4[[#This Row],[SERVICIO 2025]],$J$2:$V$14,5,0)*Tabla4[[#This Row],[TOTAL COBERTURA]]</f>
        <v>607672</v>
      </c>
      <c r="AN193" s="35">
        <f>VLOOKUP(Tabla4[[#This Row],[SERVICIO 2025]],$J$2:$V$14,6,0)*Tabla4[[#This Row],[TOTAL COBERTURA]]</f>
        <v>491933</v>
      </c>
      <c r="AO193" s="35">
        <f>VLOOKUP(Tabla4[[#This Row],[SERVICIO 2025]],$J$2:$V$14,8,0)*Tabla4[[#This Row],[TOTAL COBERTURA]]</f>
        <v>0</v>
      </c>
      <c r="AP193" s="35">
        <f>VLOOKUP(Tabla4[[#This Row],[SERVICIO 2025]],$J$2:$V$14,3,0)*Tabla4[[#This Row],[TOTAL COBERTURA]]*8</f>
        <v>18651360</v>
      </c>
      <c r="AQ193" s="35"/>
      <c r="AR193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193" s="35" t="str">
        <f>+IF(Tabla4[[#This Row],[AGRUPACIONES]]=1,SUMIFS(Tabla4[VALOR TOTAL],Tabla4[ZONA DEFINITIVO],Tabla4[[#This Row],[ZONA DEFINITIVO]])," ")</f>
        <v xml:space="preserve"> </v>
      </c>
      <c r="AT193" s="27">
        <f>(VLOOKUP(Tabla4[[#This Row],[SERVICIO 2025]],$J$2:$V$14,3,0)*Tabla4[[#This Row],[TOTAL COBERTURA]])+Tabla4[[#This Row],[VALOR FASE PREPARATORIA DE ALISTAMIENTO]]+Tabla4[[#This Row],[DOTACIÓN ÚNICA]]</f>
        <v>2939092</v>
      </c>
      <c r="AU193" s="35">
        <f>(VLOOKUP(Tabla4[[#This Row],[SERVICIO 2025]],$J$2:$V$14,3,0)*Tabla4[[#This Row],[TOTAL COBERTURA]])</f>
        <v>2331420</v>
      </c>
      <c r="AV193" s="35">
        <f>(VLOOKUP(Tabla4[[#This Row],[SERVICIO 2025]],$J$2:$V$14,3,0)*Tabla4[[#This Row],[TOTAL COBERTURA]])</f>
        <v>2331420</v>
      </c>
      <c r="AW193" s="35">
        <f>(VLOOKUP(Tabla4[[#This Row],[SERVICIO 2025]],$J$2:$V$14,3,0)*Tabla4[[#This Row],[TOTAL COBERTURA]])</f>
        <v>2331420</v>
      </c>
      <c r="AX193" s="35">
        <f>(VLOOKUP(Tabla4[[#This Row],[SERVICIO 2025]],$J$2:$V$14,3,0)*Tabla4[[#This Row],[TOTAL COBERTURA]])</f>
        <v>2331420</v>
      </c>
      <c r="AY193" s="35">
        <f>(VLOOKUP(Tabla4[[#This Row],[SERVICIO 2025]],$J$2:$V$14,3,0)*Tabla4[[#This Row],[TOTAL COBERTURA]])</f>
        <v>2331420</v>
      </c>
      <c r="AZ193" s="35">
        <f>(VLOOKUP(Tabla4[[#This Row],[SERVICIO 2025]],$J$2:$V$14,3,0)*Tabla4[[#This Row],[TOTAL COBERTURA]])</f>
        <v>2331420</v>
      </c>
      <c r="BA193" s="35">
        <f>(VLOOKUP(Tabla4[[#This Row],[SERVICIO 2025]],$J$2:$V$14,3,0)*Tabla4[[#This Row],[TOTAL COBERTURA]])+Tabla4[[#This Row],[VALOR FASE PREPARATORIA DE CIERRE]]</f>
        <v>2823353</v>
      </c>
      <c r="BB193" s="35">
        <f>SUM(Tabla4[[#This Row],[DESEMBOLSO 1]:[DESEMBOLSO 8]])</f>
        <v>19750965</v>
      </c>
      <c r="BC193" s="35"/>
      <c r="BD193" s="47" t="s">
        <v>97</v>
      </c>
      <c r="BE193" s="12" t="b">
        <f>EXACT(Tabla4[[#This Row],[VALOR ATENCIÓN (8 MESES)]],Tabla4[[#This Row],[VALOR TOTAL]])</f>
        <v>1</v>
      </c>
      <c r="BF193" s="23">
        <f>Tabla4[[#This Row],[VALOR ATENCIÓN (8 MESES)]]-Tabla4[[#This Row],[VALOR TOTAL]]</f>
        <v>0</v>
      </c>
      <c r="BG193" s="12" t="b">
        <f>EXACT(Tabla4[[#This Row],[TOTAL DESEMBOLSOS]],Tabla4[[#This Row],[VALOR ATENCIÓN (8 MESES)]])</f>
        <v>1</v>
      </c>
      <c r="BH193" s="29">
        <f>Tabla4[[#This Row],[TOTAL DESEMBOLSOS]]-Tabla4[[#This Row],[VALOR ATENCIÓN (8 MESES)]]</f>
        <v>0</v>
      </c>
      <c r="BI193" t="s">
        <v>98</v>
      </c>
    </row>
    <row r="194" spans="1:61">
      <c r="A194" s="13">
        <v>1902</v>
      </c>
      <c r="B194" s="13" t="s">
        <v>481</v>
      </c>
      <c r="C194" s="12" t="s">
        <v>87</v>
      </c>
      <c r="D194" s="12" t="s">
        <v>482</v>
      </c>
      <c r="E194" s="12" t="s">
        <v>509</v>
      </c>
      <c r="F194" s="12" t="s">
        <v>21</v>
      </c>
      <c r="G194" s="12" t="s">
        <v>90</v>
      </c>
      <c r="H194" s="12" t="s">
        <v>497</v>
      </c>
      <c r="I194" s="12">
        <v>55851136930</v>
      </c>
      <c r="J194" s="12" t="s">
        <v>514</v>
      </c>
      <c r="K194" s="12">
        <v>1</v>
      </c>
      <c r="L194" s="12">
        <v>15</v>
      </c>
      <c r="M194" s="12"/>
      <c r="N194" s="13">
        <v>1902</v>
      </c>
      <c r="O194" s="12" t="s">
        <v>93</v>
      </c>
      <c r="P194" s="12"/>
      <c r="Q194" s="12"/>
      <c r="R194" s="12" t="s">
        <v>94</v>
      </c>
      <c r="S194" s="12">
        <v>10</v>
      </c>
      <c r="T194" s="12" t="s">
        <v>486</v>
      </c>
      <c r="U194" s="12" t="s">
        <v>487</v>
      </c>
      <c r="V194" s="12">
        <f>VLOOKUP(Tabla4[[#This Row],[ZONA DEFINITIVO]],Hoja1!$A$1:$D$121,3,0)</f>
        <v>229066</v>
      </c>
      <c r="W194" s="12">
        <f>VLOOKUP(Tabla4[[#This Row],[ZONA DEFINITIVO]],Hoja1!$A$1:$D$121,2,0)</f>
        <v>15177</v>
      </c>
      <c r="X194" s="12">
        <f>VLOOKUP(Tabla4[[#This Row],[ZONA DEFINITIVO]],Hoja1!$A$1:$D$121,4,0)</f>
        <v>91325</v>
      </c>
      <c r="Y194" s="12" t="str">
        <f>+IF(Tabla4[[#This Row],[AGRUPACIONES]]=1,SUMIFS(Tabla4[UDS],Tabla4[ZONA DEFINITIVO],Tabla4[[#This Row],[ZONA DEFINITIVO]])," ")</f>
        <v xml:space="preserve"> </v>
      </c>
      <c r="Z194" s="12" t="str">
        <f>+IF(Tabla4[[#This Row],[AGRUPACIONES]]=1,SUMIFS(Tabla4[TOTAL COBERTURA],Tabla4[ZONA DEFINITIVO],Tabla4[[#This Row],[ZONA DEFINITIVO]])," ")</f>
        <v xml:space="preserve"> </v>
      </c>
      <c r="AA194" s="12"/>
      <c r="AB194" s="38">
        <v>22789575</v>
      </c>
      <c r="AC194" s="37">
        <v>0.02</v>
      </c>
      <c r="AD194" s="38">
        <f t="shared" si="3"/>
        <v>455791.5</v>
      </c>
      <c r="AE194" s="12"/>
      <c r="AF194" s="12">
        <f>COUNTIF($A$20:A194,A194)</f>
        <v>14</v>
      </c>
      <c r="AG194" s="38">
        <v>22789575</v>
      </c>
      <c r="AH194" s="38">
        <f>Tabla4[[#This Row],[VALOR CONTRAPARTIDA]]+Tabla4[[#This Row],[TOTAL APORTES ICBF]]</f>
        <v>23245366.5</v>
      </c>
      <c r="AI194" s="35"/>
      <c r="AJ194" s="38"/>
      <c r="AK194" s="38"/>
      <c r="AL194" s="23"/>
      <c r="AM194" s="35">
        <f>VLOOKUP(Tabla4[[#This Row],[SERVICIO 2025]],$J$2:$V$14,5,0)*Tabla4[[#This Row],[TOTAL COBERTURA]]</f>
        <v>701160</v>
      </c>
      <c r="AN194" s="35">
        <f>VLOOKUP(Tabla4[[#This Row],[SERVICIO 2025]],$J$2:$V$14,6,0)*Tabla4[[#This Row],[TOTAL COBERTURA]]</f>
        <v>567615</v>
      </c>
      <c r="AO194" s="35">
        <f>VLOOKUP(Tabla4[[#This Row],[SERVICIO 2025]],$J$2:$V$14,8,0)*Tabla4[[#This Row],[TOTAL COBERTURA]]</f>
        <v>0</v>
      </c>
      <c r="AP194" s="35">
        <f>VLOOKUP(Tabla4[[#This Row],[SERVICIO 2025]],$J$2:$V$14,3,0)*Tabla4[[#This Row],[TOTAL COBERTURA]]*8</f>
        <v>21520800</v>
      </c>
      <c r="AQ194" s="35"/>
      <c r="AR194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194" s="35" t="str">
        <f>+IF(Tabla4[[#This Row],[AGRUPACIONES]]=1,SUMIFS(Tabla4[VALOR TOTAL],Tabla4[ZONA DEFINITIVO],Tabla4[[#This Row],[ZONA DEFINITIVO]])," ")</f>
        <v xml:space="preserve"> </v>
      </c>
      <c r="AT194" s="27">
        <f>(VLOOKUP(Tabla4[[#This Row],[SERVICIO 2025]],$J$2:$V$14,3,0)*Tabla4[[#This Row],[TOTAL COBERTURA]])+Tabla4[[#This Row],[VALOR FASE PREPARATORIA DE ALISTAMIENTO]]+Tabla4[[#This Row],[DOTACIÓN ÚNICA]]</f>
        <v>3391260</v>
      </c>
      <c r="AU194" s="35">
        <f>(VLOOKUP(Tabla4[[#This Row],[SERVICIO 2025]],$J$2:$V$14,3,0)*Tabla4[[#This Row],[TOTAL COBERTURA]])</f>
        <v>2690100</v>
      </c>
      <c r="AV194" s="35">
        <f>(VLOOKUP(Tabla4[[#This Row],[SERVICIO 2025]],$J$2:$V$14,3,0)*Tabla4[[#This Row],[TOTAL COBERTURA]])</f>
        <v>2690100</v>
      </c>
      <c r="AW194" s="35">
        <f>(VLOOKUP(Tabla4[[#This Row],[SERVICIO 2025]],$J$2:$V$14,3,0)*Tabla4[[#This Row],[TOTAL COBERTURA]])</f>
        <v>2690100</v>
      </c>
      <c r="AX194" s="35">
        <f>(VLOOKUP(Tabla4[[#This Row],[SERVICIO 2025]],$J$2:$V$14,3,0)*Tabla4[[#This Row],[TOTAL COBERTURA]])</f>
        <v>2690100</v>
      </c>
      <c r="AY194" s="35">
        <f>(VLOOKUP(Tabla4[[#This Row],[SERVICIO 2025]],$J$2:$V$14,3,0)*Tabla4[[#This Row],[TOTAL COBERTURA]])</f>
        <v>2690100</v>
      </c>
      <c r="AZ194" s="35">
        <f>(VLOOKUP(Tabla4[[#This Row],[SERVICIO 2025]],$J$2:$V$14,3,0)*Tabla4[[#This Row],[TOTAL COBERTURA]])</f>
        <v>2690100</v>
      </c>
      <c r="BA194" s="35">
        <f>(VLOOKUP(Tabla4[[#This Row],[SERVICIO 2025]],$J$2:$V$14,3,0)*Tabla4[[#This Row],[TOTAL COBERTURA]])+Tabla4[[#This Row],[VALOR FASE PREPARATORIA DE CIERRE]]</f>
        <v>3257715</v>
      </c>
      <c r="BB194" s="35">
        <f>SUM(Tabla4[[#This Row],[DESEMBOLSO 1]:[DESEMBOLSO 8]])</f>
        <v>22789575</v>
      </c>
      <c r="BC194" s="35"/>
      <c r="BD194" s="47" t="s">
        <v>97</v>
      </c>
      <c r="BE194" s="12" t="b">
        <f>EXACT(Tabla4[[#This Row],[VALOR ATENCIÓN (8 MESES)]],Tabla4[[#This Row],[VALOR TOTAL]])</f>
        <v>1</v>
      </c>
      <c r="BF194" s="23">
        <f>Tabla4[[#This Row],[VALOR ATENCIÓN (8 MESES)]]-Tabla4[[#This Row],[VALOR TOTAL]]</f>
        <v>0</v>
      </c>
      <c r="BG194" s="12" t="b">
        <f>EXACT(Tabla4[[#This Row],[TOTAL DESEMBOLSOS]],Tabla4[[#This Row],[VALOR ATENCIÓN (8 MESES)]])</f>
        <v>1</v>
      </c>
      <c r="BH194" s="29">
        <f>Tabla4[[#This Row],[TOTAL DESEMBOLSOS]]-Tabla4[[#This Row],[VALOR ATENCIÓN (8 MESES)]]</f>
        <v>0</v>
      </c>
      <c r="BI194" t="s">
        <v>98</v>
      </c>
    </row>
    <row r="195" spans="1:61">
      <c r="A195" s="13">
        <v>1902</v>
      </c>
      <c r="B195" s="13" t="s">
        <v>481</v>
      </c>
      <c r="C195" s="12" t="s">
        <v>87</v>
      </c>
      <c r="D195" s="12" t="s">
        <v>482</v>
      </c>
      <c r="E195" s="12" t="s">
        <v>509</v>
      </c>
      <c r="F195" s="12" t="s">
        <v>21</v>
      </c>
      <c r="G195" s="12" t="s">
        <v>90</v>
      </c>
      <c r="H195" s="12" t="s">
        <v>515</v>
      </c>
      <c r="I195" s="12">
        <v>55851136932</v>
      </c>
      <c r="J195" s="12" t="s">
        <v>516</v>
      </c>
      <c r="K195" s="12">
        <v>1</v>
      </c>
      <c r="L195" s="12">
        <v>10</v>
      </c>
      <c r="M195" s="12"/>
      <c r="N195" s="13">
        <v>1902</v>
      </c>
      <c r="O195" s="12" t="s">
        <v>93</v>
      </c>
      <c r="P195" s="12"/>
      <c r="Q195" s="12"/>
      <c r="R195" s="12" t="s">
        <v>94</v>
      </c>
      <c r="S195" s="12">
        <v>10</v>
      </c>
      <c r="T195" s="12" t="s">
        <v>486</v>
      </c>
      <c r="U195" s="12" t="s">
        <v>487</v>
      </c>
      <c r="V195" s="12">
        <f>VLOOKUP(Tabla4[[#This Row],[ZONA DEFINITIVO]],Hoja1!$A$1:$D$121,3,0)</f>
        <v>229066</v>
      </c>
      <c r="W195" s="12">
        <f>VLOOKUP(Tabla4[[#This Row],[ZONA DEFINITIVO]],Hoja1!$A$1:$D$121,2,0)</f>
        <v>15177</v>
      </c>
      <c r="X195" s="12">
        <f>VLOOKUP(Tabla4[[#This Row],[ZONA DEFINITIVO]],Hoja1!$A$1:$D$121,4,0)</f>
        <v>91325</v>
      </c>
      <c r="Y195" s="12" t="str">
        <f>+IF(Tabla4[[#This Row],[AGRUPACIONES]]=1,SUMIFS(Tabla4[UDS],Tabla4[ZONA DEFINITIVO],Tabla4[[#This Row],[ZONA DEFINITIVO]])," ")</f>
        <v xml:space="preserve"> </v>
      </c>
      <c r="Z195" s="12" t="str">
        <f>+IF(Tabla4[[#This Row],[AGRUPACIONES]]=1,SUMIFS(Tabla4[TOTAL COBERTURA],Tabla4[ZONA DEFINITIVO],Tabla4[[#This Row],[ZONA DEFINITIVO]])," ")</f>
        <v xml:space="preserve"> </v>
      </c>
      <c r="AA195" s="12"/>
      <c r="AB195" s="38">
        <v>15193050</v>
      </c>
      <c r="AC195" s="37">
        <v>0.02</v>
      </c>
      <c r="AD195" s="38">
        <f t="shared" si="3"/>
        <v>303861</v>
      </c>
      <c r="AE195" s="12"/>
      <c r="AF195" s="12">
        <f>COUNTIF($A$20:A195,A195)</f>
        <v>15</v>
      </c>
      <c r="AG195" s="38">
        <v>15193050</v>
      </c>
      <c r="AH195" s="38">
        <f>Tabla4[[#This Row],[VALOR CONTRAPARTIDA]]+Tabla4[[#This Row],[TOTAL APORTES ICBF]]</f>
        <v>15496911</v>
      </c>
      <c r="AI195" s="35"/>
      <c r="AJ195" s="38"/>
      <c r="AK195" s="38"/>
      <c r="AL195" s="23"/>
      <c r="AM195" s="35">
        <f>VLOOKUP(Tabla4[[#This Row],[SERVICIO 2025]],$J$2:$V$14,5,0)*Tabla4[[#This Row],[TOTAL COBERTURA]]</f>
        <v>467440</v>
      </c>
      <c r="AN195" s="35">
        <f>VLOOKUP(Tabla4[[#This Row],[SERVICIO 2025]],$J$2:$V$14,6,0)*Tabla4[[#This Row],[TOTAL COBERTURA]]</f>
        <v>378410</v>
      </c>
      <c r="AO195" s="35">
        <f>VLOOKUP(Tabla4[[#This Row],[SERVICIO 2025]],$J$2:$V$14,8,0)*Tabla4[[#This Row],[TOTAL COBERTURA]]</f>
        <v>0</v>
      </c>
      <c r="AP195" s="35">
        <f>VLOOKUP(Tabla4[[#This Row],[SERVICIO 2025]],$J$2:$V$14,3,0)*Tabla4[[#This Row],[TOTAL COBERTURA]]*8</f>
        <v>14347200</v>
      </c>
      <c r="AQ195" s="35"/>
      <c r="AR195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195" s="35" t="str">
        <f>+IF(Tabla4[[#This Row],[AGRUPACIONES]]=1,SUMIFS(Tabla4[VALOR TOTAL],Tabla4[ZONA DEFINITIVO],Tabla4[[#This Row],[ZONA DEFINITIVO]])," ")</f>
        <v xml:space="preserve"> </v>
      </c>
      <c r="AT195" s="27">
        <f>(VLOOKUP(Tabla4[[#This Row],[SERVICIO 2025]],$J$2:$V$14,3,0)*Tabla4[[#This Row],[TOTAL COBERTURA]])+Tabla4[[#This Row],[VALOR FASE PREPARATORIA DE ALISTAMIENTO]]+Tabla4[[#This Row],[DOTACIÓN ÚNICA]]</f>
        <v>2260840</v>
      </c>
      <c r="AU195" s="35">
        <f>(VLOOKUP(Tabla4[[#This Row],[SERVICIO 2025]],$J$2:$V$14,3,0)*Tabla4[[#This Row],[TOTAL COBERTURA]])</f>
        <v>1793400</v>
      </c>
      <c r="AV195" s="35">
        <f>(VLOOKUP(Tabla4[[#This Row],[SERVICIO 2025]],$J$2:$V$14,3,0)*Tabla4[[#This Row],[TOTAL COBERTURA]])</f>
        <v>1793400</v>
      </c>
      <c r="AW195" s="35">
        <f>(VLOOKUP(Tabla4[[#This Row],[SERVICIO 2025]],$J$2:$V$14,3,0)*Tabla4[[#This Row],[TOTAL COBERTURA]])</f>
        <v>1793400</v>
      </c>
      <c r="AX195" s="35">
        <f>(VLOOKUP(Tabla4[[#This Row],[SERVICIO 2025]],$J$2:$V$14,3,0)*Tabla4[[#This Row],[TOTAL COBERTURA]])</f>
        <v>1793400</v>
      </c>
      <c r="AY195" s="35">
        <f>(VLOOKUP(Tabla4[[#This Row],[SERVICIO 2025]],$J$2:$V$14,3,0)*Tabla4[[#This Row],[TOTAL COBERTURA]])</f>
        <v>1793400</v>
      </c>
      <c r="AZ195" s="35">
        <f>(VLOOKUP(Tabla4[[#This Row],[SERVICIO 2025]],$J$2:$V$14,3,0)*Tabla4[[#This Row],[TOTAL COBERTURA]])</f>
        <v>1793400</v>
      </c>
      <c r="BA195" s="35">
        <f>(VLOOKUP(Tabla4[[#This Row],[SERVICIO 2025]],$J$2:$V$14,3,0)*Tabla4[[#This Row],[TOTAL COBERTURA]])+Tabla4[[#This Row],[VALOR FASE PREPARATORIA DE CIERRE]]</f>
        <v>2171810</v>
      </c>
      <c r="BB195" s="35">
        <f>SUM(Tabla4[[#This Row],[DESEMBOLSO 1]:[DESEMBOLSO 8]])</f>
        <v>15193050</v>
      </c>
      <c r="BC195" s="35"/>
      <c r="BD195" s="47" t="s">
        <v>97</v>
      </c>
      <c r="BE195" s="12" t="b">
        <f>EXACT(Tabla4[[#This Row],[VALOR ATENCIÓN (8 MESES)]],Tabla4[[#This Row],[VALOR TOTAL]])</f>
        <v>1</v>
      </c>
      <c r="BF195" s="23">
        <f>Tabla4[[#This Row],[VALOR ATENCIÓN (8 MESES)]]-Tabla4[[#This Row],[VALOR TOTAL]]</f>
        <v>0</v>
      </c>
      <c r="BG195" s="12" t="b">
        <f>EXACT(Tabla4[[#This Row],[TOTAL DESEMBOLSOS]],Tabla4[[#This Row],[VALOR ATENCIÓN (8 MESES)]])</f>
        <v>1</v>
      </c>
      <c r="BH195" s="29">
        <f>Tabla4[[#This Row],[TOTAL DESEMBOLSOS]]-Tabla4[[#This Row],[VALOR ATENCIÓN (8 MESES)]]</f>
        <v>0</v>
      </c>
      <c r="BI195" t="s">
        <v>98</v>
      </c>
    </row>
    <row r="196" spans="1:61">
      <c r="A196" s="13">
        <v>1902</v>
      </c>
      <c r="B196" s="13" t="s">
        <v>481</v>
      </c>
      <c r="C196" s="12" t="s">
        <v>87</v>
      </c>
      <c r="D196" s="12" t="s">
        <v>482</v>
      </c>
      <c r="E196" s="12" t="s">
        <v>509</v>
      </c>
      <c r="F196" s="12" t="s">
        <v>21</v>
      </c>
      <c r="G196" s="12" t="s">
        <v>90</v>
      </c>
      <c r="H196" s="12" t="s">
        <v>274</v>
      </c>
      <c r="I196" s="12">
        <v>55851148783</v>
      </c>
      <c r="J196" s="12" t="s">
        <v>517</v>
      </c>
      <c r="K196" s="12">
        <v>1</v>
      </c>
      <c r="L196" s="12">
        <v>16</v>
      </c>
      <c r="M196" s="12"/>
      <c r="N196" s="13">
        <v>1902</v>
      </c>
      <c r="O196" s="12" t="s">
        <v>93</v>
      </c>
      <c r="P196" s="12"/>
      <c r="Q196" s="12"/>
      <c r="R196" s="12" t="s">
        <v>94</v>
      </c>
      <c r="S196" s="12">
        <v>10</v>
      </c>
      <c r="T196" s="12" t="s">
        <v>486</v>
      </c>
      <c r="U196" s="12" t="s">
        <v>487</v>
      </c>
      <c r="V196" s="12">
        <f>VLOOKUP(Tabla4[[#This Row],[ZONA DEFINITIVO]],Hoja1!$A$1:$D$121,3,0)</f>
        <v>229066</v>
      </c>
      <c r="W196" s="12">
        <f>VLOOKUP(Tabla4[[#This Row],[ZONA DEFINITIVO]],Hoja1!$A$1:$D$121,2,0)</f>
        <v>15177</v>
      </c>
      <c r="X196" s="12">
        <f>VLOOKUP(Tabla4[[#This Row],[ZONA DEFINITIVO]],Hoja1!$A$1:$D$121,4,0)</f>
        <v>91325</v>
      </c>
      <c r="Y196" s="12" t="str">
        <f>+IF(Tabla4[[#This Row],[AGRUPACIONES]]=1,SUMIFS(Tabla4[UDS],Tabla4[ZONA DEFINITIVO],Tabla4[[#This Row],[ZONA DEFINITIVO]])," ")</f>
        <v xml:space="preserve"> </v>
      </c>
      <c r="Z196" s="12" t="str">
        <f>+IF(Tabla4[[#This Row],[AGRUPACIONES]]=1,SUMIFS(Tabla4[TOTAL COBERTURA],Tabla4[ZONA DEFINITIVO],Tabla4[[#This Row],[ZONA DEFINITIVO]])," ")</f>
        <v xml:space="preserve"> </v>
      </c>
      <c r="AA196" s="12"/>
      <c r="AB196" s="38">
        <v>24308880</v>
      </c>
      <c r="AC196" s="37">
        <v>0.02</v>
      </c>
      <c r="AD196" s="38">
        <f t="shared" si="3"/>
        <v>486177.60000000003</v>
      </c>
      <c r="AE196" s="12"/>
      <c r="AF196" s="12">
        <f>COUNTIF($A$20:A196,A196)</f>
        <v>16</v>
      </c>
      <c r="AG196" s="38">
        <v>24308880</v>
      </c>
      <c r="AH196" s="38">
        <f>Tabla4[[#This Row],[VALOR CONTRAPARTIDA]]+Tabla4[[#This Row],[TOTAL APORTES ICBF]]</f>
        <v>24795057.600000001</v>
      </c>
      <c r="AI196" s="35"/>
      <c r="AJ196" s="38"/>
      <c r="AK196" s="38"/>
      <c r="AL196" s="23"/>
      <c r="AM196" s="35">
        <f>VLOOKUP(Tabla4[[#This Row],[SERVICIO 2025]],$J$2:$V$14,5,0)*Tabla4[[#This Row],[TOTAL COBERTURA]]</f>
        <v>747904</v>
      </c>
      <c r="AN196" s="35">
        <f>VLOOKUP(Tabla4[[#This Row],[SERVICIO 2025]],$J$2:$V$14,6,0)*Tabla4[[#This Row],[TOTAL COBERTURA]]</f>
        <v>605456</v>
      </c>
      <c r="AO196" s="35">
        <f>VLOOKUP(Tabla4[[#This Row],[SERVICIO 2025]],$J$2:$V$14,8,0)*Tabla4[[#This Row],[TOTAL COBERTURA]]</f>
        <v>0</v>
      </c>
      <c r="AP196" s="35">
        <f>VLOOKUP(Tabla4[[#This Row],[SERVICIO 2025]],$J$2:$V$14,3,0)*Tabla4[[#This Row],[TOTAL COBERTURA]]*8</f>
        <v>22955520</v>
      </c>
      <c r="AQ196" s="35"/>
      <c r="AR196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196" s="35" t="str">
        <f>+IF(Tabla4[[#This Row],[AGRUPACIONES]]=1,SUMIFS(Tabla4[VALOR TOTAL],Tabla4[ZONA DEFINITIVO],Tabla4[[#This Row],[ZONA DEFINITIVO]])," ")</f>
        <v xml:space="preserve"> </v>
      </c>
      <c r="AT196" s="27">
        <f>(VLOOKUP(Tabla4[[#This Row],[SERVICIO 2025]],$J$2:$V$14,3,0)*Tabla4[[#This Row],[TOTAL COBERTURA]])+Tabla4[[#This Row],[VALOR FASE PREPARATORIA DE ALISTAMIENTO]]+Tabla4[[#This Row],[DOTACIÓN ÚNICA]]</f>
        <v>3617344</v>
      </c>
      <c r="AU196" s="35">
        <f>(VLOOKUP(Tabla4[[#This Row],[SERVICIO 2025]],$J$2:$V$14,3,0)*Tabla4[[#This Row],[TOTAL COBERTURA]])</f>
        <v>2869440</v>
      </c>
      <c r="AV196" s="35">
        <f>(VLOOKUP(Tabla4[[#This Row],[SERVICIO 2025]],$J$2:$V$14,3,0)*Tabla4[[#This Row],[TOTAL COBERTURA]])</f>
        <v>2869440</v>
      </c>
      <c r="AW196" s="35">
        <f>(VLOOKUP(Tabla4[[#This Row],[SERVICIO 2025]],$J$2:$V$14,3,0)*Tabla4[[#This Row],[TOTAL COBERTURA]])</f>
        <v>2869440</v>
      </c>
      <c r="AX196" s="35">
        <f>(VLOOKUP(Tabla4[[#This Row],[SERVICIO 2025]],$J$2:$V$14,3,0)*Tabla4[[#This Row],[TOTAL COBERTURA]])</f>
        <v>2869440</v>
      </c>
      <c r="AY196" s="35">
        <f>(VLOOKUP(Tabla4[[#This Row],[SERVICIO 2025]],$J$2:$V$14,3,0)*Tabla4[[#This Row],[TOTAL COBERTURA]])</f>
        <v>2869440</v>
      </c>
      <c r="AZ196" s="35">
        <f>(VLOOKUP(Tabla4[[#This Row],[SERVICIO 2025]],$J$2:$V$14,3,0)*Tabla4[[#This Row],[TOTAL COBERTURA]])</f>
        <v>2869440</v>
      </c>
      <c r="BA196" s="35">
        <f>(VLOOKUP(Tabla4[[#This Row],[SERVICIO 2025]],$J$2:$V$14,3,0)*Tabla4[[#This Row],[TOTAL COBERTURA]])+Tabla4[[#This Row],[VALOR FASE PREPARATORIA DE CIERRE]]</f>
        <v>3474896</v>
      </c>
      <c r="BB196" s="35">
        <f>SUM(Tabla4[[#This Row],[DESEMBOLSO 1]:[DESEMBOLSO 8]])</f>
        <v>24308880</v>
      </c>
      <c r="BC196" s="35"/>
      <c r="BD196" s="47" t="s">
        <v>97</v>
      </c>
      <c r="BE196" s="12" t="b">
        <f>EXACT(Tabla4[[#This Row],[VALOR ATENCIÓN (8 MESES)]],Tabla4[[#This Row],[VALOR TOTAL]])</f>
        <v>1</v>
      </c>
      <c r="BF196" s="23">
        <f>Tabla4[[#This Row],[VALOR ATENCIÓN (8 MESES)]]-Tabla4[[#This Row],[VALOR TOTAL]]</f>
        <v>0</v>
      </c>
      <c r="BG196" s="12" t="b">
        <f>EXACT(Tabla4[[#This Row],[TOTAL DESEMBOLSOS]],Tabla4[[#This Row],[VALOR ATENCIÓN (8 MESES)]])</f>
        <v>1</v>
      </c>
      <c r="BH196" s="29">
        <f>Tabla4[[#This Row],[TOTAL DESEMBOLSOS]]-Tabla4[[#This Row],[VALOR ATENCIÓN (8 MESES)]]</f>
        <v>0</v>
      </c>
      <c r="BI196" t="s">
        <v>98</v>
      </c>
    </row>
    <row r="197" spans="1:61">
      <c r="A197" s="13">
        <v>1902</v>
      </c>
      <c r="B197" s="13" t="s">
        <v>481</v>
      </c>
      <c r="C197" s="12" t="s">
        <v>87</v>
      </c>
      <c r="D197" s="12" t="s">
        <v>482</v>
      </c>
      <c r="E197" s="12" t="s">
        <v>509</v>
      </c>
      <c r="F197" s="12" t="s">
        <v>21</v>
      </c>
      <c r="G197" s="12" t="s">
        <v>90</v>
      </c>
      <c r="H197" s="12" t="s">
        <v>518</v>
      </c>
      <c r="I197" s="12">
        <v>55851148786</v>
      </c>
      <c r="J197" s="12" t="s">
        <v>519</v>
      </c>
      <c r="K197" s="12">
        <v>1</v>
      </c>
      <c r="L197" s="12">
        <v>12</v>
      </c>
      <c r="M197" s="12"/>
      <c r="N197" s="13">
        <v>1902</v>
      </c>
      <c r="O197" s="12" t="s">
        <v>93</v>
      </c>
      <c r="P197" s="12"/>
      <c r="Q197" s="12"/>
      <c r="R197" s="12" t="s">
        <v>94</v>
      </c>
      <c r="S197" s="12">
        <v>10</v>
      </c>
      <c r="T197" s="12" t="s">
        <v>486</v>
      </c>
      <c r="U197" s="12" t="s">
        <v>487</v>
      </c>
      <c r="V197" s="12">
        <f>VLOOKUP(Tabla4[[#This Row],[ZONA DEFINITIVO]],Hoja1!$A$1:$D$121,3,0)</f>
        <v>229066</v>
      </c>
      <c r="W197" s="12">
        <f>VLOOKUP(Tabla4[[#This Row],[ZONA DEFINITIVO]],Hoja1!$A$1:$D$121,2,0)</f>
        <v>15177</v>
      </c>
      <c r="X197" s="12">
        <f>VLOOKUP(Tabla4[[#This Row],[ZONA DEFINITIVO]],Hoja1!$A$1:$D$121,4,0)</f>
        <v>91325</v>
      </c>
      <c r="Y197" s="12" t="str">
        <f>+IF(Tabla4[[#This Row],[AGRUPACIONES]]=1,SUMIFS(Tabla4[UDS],Tabla4[ZONA DEFINITIVO],Tabla4[[#This Row],[ZONA DEFINITIVO]])," ")</f>
        <v xml:space="preserve"> </v>
      </c>
      <c r="Z197" s="12" t="str">
        <f>+IF(Tabla4[[#This Row],[AGRUPACIONES]]=1,SUMIFS(Tabla4[TOTAL COBERTURA],Tabla4[ZONA DEFINITIVO],Tabla4[[#This Row],[ZONA DEFINITIVO]])," ")</f>
        <v xml:space="preserve"> </v>
      </c>
      <c r="AA197" s="12"/>
      <c r="AB197" s="38">
        <v>18231660</v>
      </c>
      <c r="AC197" s="37">
        <v>0.02</v>
      </c>
      <c r="AD197" s="38">
        <f t="shared" si="3"/>
        <v>364633.2</v>
      </c>
      <c r="AE197" s="12"/>
      <c r="AF197" s="12">
        <f>COUNTIF($A$20:A197,A197)</f>
        <v>17</v>
      </c>
      <c r="AG197" s="38">
        <v>18231660</v>
      </c>
      <c r="AH197" s="38">
        <f>Tabla4[[#This Row],[VALOR CONTRAPARTIDA]]+Tabla4[[#This Row],[TOTAL APORTES ICBF]]</f>
        <v>18596293.199999999</v>
      </c>
      <c r="AI197" s="35"/>
      <c r="AJ197" s="38"/>
      <c r="AK197" s="38"/>
      <c r="AL197" s="23"/>
      <c r="AM197" s="35">
        <f>VLOOKUP(Tabla4[[#This Row],[SERVICIO 2025]],$J$2:$V$14,5,0)*Tabla4[[#This Row],[TOTAL COBERTURA]]</f>
        <v>560928</v>
      </c>
      <c r="AN197" s="35">
        <f>VLOOKUP(Tabla4[[#This Row],[SERVICIO 2025]],$J$2:$V$14,6,0)*Tabla4[[#This Row],[TOTAL COBERTURA]]</f>
        <v>454092</v>
      </c>
      <c r="AO197" s="35">
        <f>VLOOKUP(Tabla4[[#This Row],[SERVICIO 2025]],$J$2:$V$14,8,0)*Tabla4[[#This Row],[TOTAL COBERTURA]]</f>
        <v>0</v>
      </c>
      <c r="AP197" s="35">
        <f>VLOOKUP(Tabla4[[#This Row],[SERVICIO 2025]],$J$2:$V$14,3,0)*Tabla4[[#This Row],[TOTAL COBERTURA]]*8</f>
        <v>17216640</v>
      </c>
      <c r="AQ197" s="35"/>
      <c r="AR197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197" s="35" t="str">
        <f>+IF(Tabla4[[#This Row],[AGRUPACIONES]]=1,SUMIFS(Tabla4[VALOR TOTAL],Tabla4[ZONA DEFINITIVO],Tabla4[[#This Row],[ZONA DEFINITIVO]])," ")</f>
        <v xml:space="preserve"> </v>
      </c>
      <c r="AT197" s="27">
        <f>(VLOOKUP(Tabla4[[#This Row],[SERVICIO 2025]],$J$2:$V$14,3,0)*Tabla4[[#This Row],[TOTAL COBERTURA]])+Tabla4[[#This Row],[VALOR FASE PREPARATORIA DE ALISTAMIENTO]]+Tabla4[[#This Row],[DOTACIÓN ÚNICA]]</f>
        <v>2713008</v>
      </c>
      <c r="AU197" s="35">
        <f>(VLOOKUP(Tabla4[[#This Row],[SERVICIO 2025]],$J$2:$V$14,3,0)*Tabla4[[#This Row],[TOTAL COBERTURA]])</f>
        <v>2152080</v>
      </c>
      <c r="AV197" s="35">
        <f>(VLOOKUP(Tabla4[[#This Row],[SERVICIO 2025]],$J$2:$V$14,3,0)*Tabla4[[#This Row],[TOTAL COBERTURA]])</f>
        <v>2152080</v>
      </c>
      <c r="AW197" s="35">
        <f>(VLOOKUP(Tabla4[[#This Row],[SERVICIO 2025]],$J$2:$V$14,3,0)*Tabla4[[#This Row],[TOTAL COBERTURA]])</f>
        <v>2152080</v>
      </c>
      <c r="AX197" s="35">
        <f>(VLOOKUP(Tabla4[[#This Row],[SERVICIO 2025]],$J$2:$V$14,3,0)*Tabla4[[#This Row],[TOTAL COBERTURA]])</f>
        <v>2152080</v>
      </c>
      <c r="AY197" s="35">
        <f>(VLOOKUP(Tabla4[[#This Row],[SERVICIO 2025]],$J$2:$V$14,3,0)*Tabla4[[#This Row],[TOTAL COBERTURA]])</f>
        <v>2152080</v>
      </c>
      <c r="AZ197" s="35">
        <f>(VLOOKUP(Tabla4[[#This Row],[SERVICIO 2025]],$J$2:$V$14,3,0)*Tabla4[[#This Row],[TOTAL COBERTURA]])</f>
        <v>2152080</v>
      </c>
      <c r="BA197" s="35">
        <f>(VLOOKUP(Tabla4[[#This Row],[SERVICIO 2025]],$J$2:$V$14,3,0)*Tabla4[[#This Row],[TOTAL COBERTURA]])+Tabla4[[#This Row],[VALOR FASE PREPARATORIA DE CIERRE]]</f>
        <v>2606172</v>
      </c>
      <c r="BB197" s="35">
        <f>SUM(Tabla4[[#This Row],[DESEMBOLSO 1]:[DESEMBOLSO 8]])</f>
        <v>18231660</v>
      </c>
      <c r="BC197" s="35"/>
      <c r="BD197" s="47" t="s">
        <v>97</v>
      </c>
      <c r="BE197" s="12" t="b">
        <f>EXACT(Tabla4[[#This Row],[VALOR ATENCIÓN (8 MESES)]],Tabla4[[#This Row],[VALOR TOTAL]])</f>
        <v>1</v>
      </c>
      <c r="BF197" s="23">
        <f>Tabla4[[#This Row],[VALOR ATENCIÓN (8 MESES)]]-Tabla4[[#This Row],[VALOR TOTAL]]</f>
        <v>0</v>
      </c>
      <c r="BG197" s="12" t="b">
        <f>EXACT(Tabla4[[#This Row],[TOTAL DESEMBOLSOS]],Tabla4[[#This Row],[VALOR ATENCIÓN (8 MESES)]])</f>
        <v>1</v>
      </c>
      <c r="BH197" s="29">
        <f>Tabla4[[#This Row],[TOTAL DESEMBOLSOS]]-Tabla4[[#This Row],[VALOR ATENCIÓN (8 MESES)]]</f>
        <v>0</v>
      </c>
      <c r="BI197" t="s">
        <v>98</v>
      </c>
    </row>
    <row r="198" spans="1:61">
      <c r="A198" s="13">
        <v>1902</v>
      </c>
      <c r="B198" s="13" t="s">
        <v>481</v>
      </c>
      <c r="C198" s="12" t="s">
        <v>87</v>
      </c>
      <c r="D198" s="12" t="s">
        <v>482</v>
      </c>
      <c r="E198" s="12" t="s">
        <v>509</v>
      </c>
      <c r="F198" s="12" t="s">
        <v>21</v>
      </c>
      <c r="G198" s="12" t="s">
        <v>90</v>
      </c>
      <c r="H198" s="12" t="s">
        <v>520</v>
      </c>
      <c r="I198" s="12">
        <v>55851152808</v>
      </c>
      <c r="J198" s="12" t="s">
        <v>521</v>
      </c>
      <c r="K198" s="12">
        <v>1</v>
      </c>
      <c r="L198" s="12">
        <v>17</v>
      </c>
      <c r="M198" s="12"/>
      <c r="N198" s="13">
        <v>1902</v>
      </c>
      <c r="O198" s="12" t="s">
        <v>93</v>
      </c>
      <c r="P198" s="12"/>
      <c r="Q198" s="12"/>
      <c r="R198" s="12" t="s">
        <v>94</v>
      </c>
      <c r="S198" s="12">
        <v>10</v>
      </c>
      <c r="T198" s="12" t="s">
        <v>486</v>
      </c>
      <c r="U198" s="12" t="s">
        <v>487</v>
      </c>
      <c r="V198" s="12">
        <f>VLOOKUP(Tabla4[[#This Row],[ZONA DEFINITIVO]],Hoja1!$A$1:$D$121,3,0)</f>
        <v>229066</v>
      </c>
      <c r="W198" s="12">
        <f>VLOOKUP(Tabla4[[#This Row],[ZONA DEFINITIVO]],Hoja1!$A$1:$D$121,2,0)</f>
        <v>15177</v>
      </c>
      <c r="X198" s="12">
        <f>VLOOKUP(Tabla4[[#This Row],[ZONA DEFINITIVO]],Hoja1!$A$1:$D$121,4,0)</f>
        <v>91325</v>
      </c>
      <c r="Y198" s="12" t="str">
        <f>+IF(Tabla4[[#This Row],[AGRUPACIONES]]=1,SUMIFS(Tabla4[UDS],Tabla4[ZONA DEFINITIVO],Tabla4[[#This Row],[ZONA DEFINITIVO]])," ")</f>
        <v xml:space="preserve"> </v>
      </c>
      <c r="Z198" s="12" t="str">
        <f>+IF(Tabla4[[#This Row],[AGRUPACIONES]]=1,SUMIFS(Tabla4[TOTAL COBERTURA],Tabla4[ZONA DEFINITIVO],Tabla4[[#This Row],[ZONA DEFINITIVO]])," ")</f>
        <v xml:space="preserve"> </v>
      </c>
      <c r="AA198" s="12"/>
      <c r="AB198" s="38">
        <v>25828185</v>
      </c>
      <c r="AC198" s="37">
        <v>0.02</v>
      </c>
      <c r="AD198" s="38">
        <f t="shared" si="3"/>
        <v>516563.7</v>
      </c>
      <c r="AE198" s="12"/>
      <c r="AF198" s="12">
        <f>COUNTIF($A$20:A198,A198)</f>
        <v>18</v>
      </c>
      <c r="AG198" s="38">
        <v>25828185</v>
      </c>
      <c r="AH198" s="38">
        <f>Tabla4[[#This Row],[VALOR CONTRAPARTIDA]]+Tabla4[[#This Row],[TOTAL APORTES ICBF]]</f>
        <v>26344748.699999999</v>
      </c>
      <c r="AI198" s="35"/>
      <c r="AJ198" s="38"/>
      <c r="AK198" s="38"/>
      <c r="AL198" s="23"/>
      <c r="AM198" s="35">
        <f>VLOOKUP(Tabla4[[#This Row],[SERVICIO 2025]],$J$2:$V$14,5,0)*Tabla4[[#This Row],[TOTAL COBERTURA]]</f>
        <v>794648</v>
      </c>
      <c r="AN198" s="35">
        <f>VLOOKUP(Tabla4[[#This Row],[SERVICIO 2025]],$J$2:$V$14,6,0)*Tabla4[[#This Row],[TOTAL COBERTURA]]</f>
        <v>643297</v>
      </c>
      <c r="AO198" s="35">
        <f>VLOOKUP(Tabla4[[#This Row],[SERVICIO 2025]],$J$2:$V$14,8,0)*Tabla4[[#This Row],[TOTAL COBERTURA]]</f>
        <v>0</v>
      </c>
      <c r="AP198" s="35">
        <f>VLOOKUP(Tabla4[[#This Row],[SERVICIO 2025]],$J$2:$V$14,3,0)*Tabla4[[#This Row],[TOTAL COBERTURA]]*8</f>
        <v>24390240</v>
      </c>
      <c r="AQ198" s="35"/>
      <c r="AR198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198" s="35" t="str">
        <f>+IF(Tabla4[[#This Row],[AGRUPACIONES]]=1,SUMIFS(Tabla4[VALOR TOTAL],Tabla4[ZONA DEFINITIVO],Tabla4[[#This Row],[ZONA DEFINITIVO]])," ")</f>
        <v xml:space="preserve"> </v>
      </c>
      <c r="AT198" s="27">
        <f>(VLOOKUP(Tabla4[[#This Row],[SERVICIO 2025]],$J$2:$V$14,3,0)*Tabla4[[#This Row],[TOTAL COBERTURA]])+Tabla4[[#This Row],[VALOR FASE PREPARATORIA DE ALISTAMIENTO]]+Tabla4[[#This Row],[DOTACIÓN ÚNICA]]</f>
        <v>3843428</v>
      </c>
      <c r="AU198" s="35">
        <f>(VLOOKUP(Tabla4[[#This Row],[SERVICIO 2025]],$J$2:$V$14,3,0)*Tabla4[[#This Row],[TOTAL COBERTURA]])</f>
        <v>3048780</v>
      </c>
      <c r="AV198" s="35">
        <f>(VLOOKUP(Tabla4[[#This Row],[SERVICIO 2025]],$J$2:$V$14,3,0)*Tabla4[[#This Row],[TOTAL COBERTURA]])</f>
        <v>3048780</v>
      </c>
      <c r="AW198" s="35">
        <f>(VLOOKUP(Tabla4[[#This Row],[SERVICIO 2025]],$J$2:$V$14,3,0)*Tabla4[[#This Row],[TOTAL COBERTURA]])</f>
        <v>3048780</v>
      </c>
      <c r="AX198" s="35">
        <f>(VLOOKUP(Tabla4[[#This Row],[SERVICIO 2025]],$J$2:$V$14,3,0)*Tabla4[[#This Row],[TOTAL COBERTURA]])</f>
        <v>3048780</v>
      </c>
      <c r="AY198" s="35">
        <f>(VLOOKUP(Tabla4[[#This Row],[SERVICIO 2025]],$J$2:$V$14,3,0)*Tabla4[[#This Row],[TOTAL COBERTURA]])</f>
        <v>3048780</v>
      </c>
      <c r="AZ198" s="35">
        <f>(VLOOKUP(Tabla4[[#This Row],[SERVICIO 2025]],$J$2:$V$14,3,0)*Tabla4[[#This Row],[TOTAL COBERTURA]])</f>
        <v>3048780</v>
      </c>
      <c r="BA198" s="35">
        <f>(VLOOKUP(Tabla4[[#This Row],[SERVICIO 2025]],$J$2:$V$14,3,0)*Tabla4[[#This Row],[TOTAL COBERTURA]])+Tabla4[[#This Row],[VALOR FASE PREPARATORIA DE CIERRE]]</f>
        <v>3692077</v>
      </c>
      <c r="BB198" s="35">
        <f>SUM(Tabla4[[#This Row],[DESEMBOLSO 1]:[DESEMBOLSO 8]])</f>
        <v>25828185</v>
      </c>
      <c r="BC198" s="35"/>
      <c r="BD198" s="47" t="s">
        <v>97</v>
      </c>
      <c r="BE198" s="12" t="b">
        <f>EXACT(Tabla4[[#This Row],[VALOR ATENCIÓN (8 MESES)]],Tabla4[[#This Row],[VALOR TOTAL]])</f>
        <v>1</v>
      </c>
      <c r="BF198" s="23">
        <f>Tabla4[[#This Row],[VALOR ATENCIÓN (8 MESES)]]-Tabla4[[#This Row],[VALOR TOTAL]]</f>
        <v>0</v>
      </c>
      <c r="BG198" s="12" t="b">
        <f>EXACT(Tabla4[[#This Row],[TOTAL DESEMBOLSOS]],Tabla4[[#This Row],[VALOR ATENCIÓN (8 MESES)]])</f>
        <v>1</v>
      </c>
      <c r="BH198" s="29">
        <f>Tabla4[[#This Row],[TOTAL DESEMBOLSOS]]-Tabla4[[#This Row],[VALOR ATENCIÓN (8 MESES)]]</f>
        <v>0</v>
      </c>
      <c r="BI198" t="s">
        <v>98</v>
      </c>
    </row>
    <row r="199" spans="1:61">
      <c r="A199" s="13">
        <v>1902</v>
      </c>
      <c r="B199" s="13" t="s">
        <v>481</v>
      </c>
      <c r="C199" s="12" t="s">
        <v>87</v>
      </c>
      <c r="D199" s="12" t="s">
        <v>482</v>
      </c>
      <c r="E199" s="12" t="s">
        <v>509</v>
      </c>
      <c r="F199" s="12" t="s">
        <v>21</v>
      </c>
      <c r="G199" s="12" t="s">
        <v>90</v>
      </c>
      <c r="H199" s="12" t="s">
        <v>522</v>
      </c>
      <c r="I199" s="12">
        <v>55851155811</v>
      </c>
      <c r="J199" s="12" t="s">
        <v>523</v>
      </c>
      <c r="K199" s="12">
        <v>1</v>
      </c>
      <c r="L199" s="12">
        <v>25</v>
      </c>
      <c r="M199" s="12"/>
      <c r="N199" s="13">
        <v>1902</v>
      </c>
      <c r="O199" s="12" t="s">
        <v>93</v>
      </c>
      <c r="P199" s="12"/>
      <c r="Q199" s="12"/>
      <c r="R199" s="12" t="s">
        <v>94</v>
      </c>
      <c r="S199" s="12">
        <v>10</v>
      </c>
      <c r="T199" s="12" t="s">
        <v>486</v>
      </c>
      <c r="U199" s="12" t="s">
        <v>487</v>
      </c>
      <c r="V199" s="12">
        <f>VLOOKUP(Tabla4[[#This Row],[ZONA DEFINITIVO]],Hoja1!$A$1:$D$121,3,0)</f>
        <v>229066</v>
      </c>
      <c r="W199" s="12">
        <f>VLOOKUP(Tabla4[[#This Row],[ZONA DEFINITIVO]],Hoja1!$A$1:$D$121,2,0)</f>
        <v>15177</v>
      </c>
      <c r="X199" s="12">
        <f>VLOOKUP(Tabla4[[#This Row],[ZONA DEFINITIVO]],Hoja1!$A$1:$D$121,4,0)</f>
        <v>91325</v>
      </c>
      <c r="Y199" s="12" t="str">
        <f>+IF(Tabla4[[#This Row],[AGRUPACIONES]]=1,SUMIFS(Tabla4[UDS],Tabla4[ZONA DEFINITIVO],Tabla4[[#This Row],[ZONA DEFINITIVO]])," ")</f>
        <v xml:space="preserve"> </v>
      </c>
      <c r="Z199" s="12" t="str">
        <f>+IF(Tabla4[[#This Row],[AGRUPACIONES]]=1,SUMIFS(Tabla4[TOTAL COBERTURA],Tabla4[ZONA DEFINITIVO],Tabla4[[#This Row],[ZONA DEFINITIVO]])," ")</f>
        <v xml:space="preserve"> </v>
      </c>
      <c r="AA199" s="12"/>
      <c r="AB199" s="38">
        <v>37982625</v>
      </c>
      <c r="AC199" s="37">
        <v>0.02</v>
      </c>
      <c r="AD199" s="38">
        <f t="shared" si="3"/>
        <v>759652.5</v>
      </c>
      <c r="AE199" s="12"/>
      <c r="AF199" s="12">
        <f>COUNTIF($A$20:A199,A199)</f>
        <v>19</v>
      </c>
      <c r="AG199" s="38">
        <v>37982625</v>
      </c>
      <c r="AH199" s="38">
        <f>Tabla4[[#This Row],[VALOR CONTRAPARTIDA]]+Tabla4[[#This Row],[TOTAL APORTES ICBF]]</f>
        <v>38742277.5</v>
      </c>
      <c r="AI199" s="35"/>
      <c r="AJ199" s="38"/>
      <c r="AK199" s="38"/>
      <c r="AL199" s="23"/>
      <c r="AM199" s="35">
        <f>VLOOKUP(Tabla4[[#This Row],[SERVICIO 2025]],$J$2:$V$14,5,0)*Tabla4[[#This Row],[TOTAL COBERTURA]]</f>
        <v>1168600</v>
      </c>
      <c r="AN199" s="35">
        <f>VLOOKUP(Tabla4[[#This Row],[SERVICIO 2025]],$J$2:$V$14,6,0)*Tabla4[[#This Row],[TOTAL COBERTURA]]</f>
        <v>946025</v>
      </c>
      <c r="AO199" s="35">
        <f>VLOOKUP(Tabla4[[#This Row],[SERVICIO 2025]],$J$2:$V$14,8,0)*Tabla4[[#This Row],[TOTAL COBERTURA]]</f>
        <v>0</v>
      </c>
      <c r="AP199" s="35">
        <f>VLOOKUP(Tabla4[[#This Row],[SERVICIO 2025]],$J$2:$V$14,3,0)*Tabla4[[#This Row],[TOTAL COBERTURA]]*8</f>
        <v>35868000</v>
      </c>
      <c r="AQ199" s="35"/>
      <c r="AR199" s="35">
        <f>Tabla4[[#This Row],[VALOR FASE PREPARATORIA DE ALISTAMIENTO]]+Tabla4[[#This Row],[VALOR FASE PREPARATORIA DE CIERRE]]+Tabla4[[#This Row],[DOTACIÓN ÚNICA]]+Tabla4[[#This Row],[VALOR ATENCIÓN]]+Tabla4[[#This Row],[VALOR RACION PREPARADA]]</f>
        <v>37982625</v>
      </c>
      <c r="AS199" s="35" t="str">
        <f>+IF(Tabla4[[#This Row],[AGRUPACIONES]]=1,SUMIFS(Tabla4[VALOR TOTAL],Tabla4[ZONA DEFINITIVO],Tabla4[[#This Row],[ZONA DEFINITIVO]])," ")</f>
        <v xml:space="preserve"> </v>
      </c>
      <c r="AT199" s="27">
        <f>(VLOOKUP(Tabla4[[#This Row],[SERVICIO 2025]],$J$2:$V$14,3,0)*Tabla4[[#This Row],[TOTAL COBERTURA]])+Tabla4[[#This Row],[VALOR FASE PREPARATORIA DE ALISTAMIENTO]]+Tabla4[[#This Row],[DOTACIÓN ÚNICA]]</f>
        <v>5652100</v>
      </c>
      <c r="AU199" s="35">
        <f>(VLOOKUP(Tabla4[[#This Row],[SERVICIO 2025]],$J$2:$V$14,3,0)*Tabla4[[#This Row],[TOTAL COBERTURA]])</f>
        <v>4483500</v>
      </c>
      <c r="AV199" s="35">
        <f>(VLOOKUP(Tabla4[[#This Row],[SERVICIO 2025]],$J$2:$V$14,3,0)*Tabla4[[#This Row],[TOTAL COBERTURA]])</f>
        <v>4483500</v>
      </c>
      <c r="AW199" s="35">
        <f>(VLOOKUP(Tabla4[[#This Row],[SERVICIO 2025]],$J$2:$V$14,3,0)*Tabla4[[#This Row],[TOTAL COBERTURA]])</f>
        <v>4483500</v>
      </c>
      <c r="AX199" s="35">
        <f>(VLOOKUP(Tabla4[[#This Row],[SERVICIO 2025]],$J$2:$V$14,3,0)*Tabla4[[#This Row],[TOTAL COBERTURA]])</f>
        <v>4483500</v>
      </c>
      <c r="AY199" s="35">
        <f>(VLOOKUP(Tabla4[[#This Row],[SERVICIO 2025]],$J$2:$V$14,3,0)*Tabla4[[#This Row],[TOTAL COBERTURA]])</f>
        <v>4483500</v>
      </c>
      <c r="AZ199" s="35">
        <f>(VLOOKUP(Tabla4[[#This Row],[SERVICIO 2025]],$J$2:$V$14,3,0)*Tabla4[[#This Row],[TOTAL COBERTURA]])</f>
        <v>4483500</v>
      </c>
      <c r="BA199" s="35">
        <f>(VLOOKUP(Tabla4[[#This Row],[SERVICIO 2025]],$J$2:$V$14,3,0)*Tabla4[[#This Row],[TOTAL COBERTURA]])+Tabla4[[#This Row],[VALOR FASE PREPARATORIA DE CIERRE]]</f>
        <v>5429525</v>
      </c>
      <c r="BB199" s="35">
        <f>SUM(Tabla4[[#This Row],[DESEMBOLSO 1]:[DESEMBOLSO 8]])</f>
        <v>37982625</v>
      </c>
      <c r="BC199" s="35"/>
      <c r="BD199" s="47" t="s">
        <v>97</v>
      </c>
      <c r="BE199" s="12" t="b">
        <f>EXACT(Tabla4[[#This Row],[VALOR ATENCIÓN (8 MESES)]],Tabla4[[#This Row],[VALOR TOTAL]])</f>
        <v>1</v>
      </c>
      <c r="BF199" s="23">
        <f>Tabla4[[#This Row],[VALOR ATENCIÓN (8 MESES)]]-Tabla4[[#This Row],[VALOR TOTAL]]</f>
        <v>0</v>
      </c>
      <c r="BG199" s="12" t="b">
        <f>EXACT(Tabla4[[#This Row],[TOTAL DESEMBOLSOS]],Tabla4[[#This Row],[VALOR ATENCIÓN (8 MESES)]])</f>
        <v>1</v>
      </c>
      <c r="BH199" s="29">
        <f>Tabla4[[#This Row],[TOTAL DESEMBOLSOS]]-Tabla4[[#This Row],[VALOR ATENCIÓN (8 MESES)]]</f>
        <v>0</v>
      </c>
      <c r="BI199" t="s">
        <v>98</v>
      </c>
    </row>
    <row r="200" spans="1:61">
      <c r="A200" s="13">
        <v>1902</v>
      </c>
      <c r="B200" s="13" t="s">
        <v>481</v>
      </c>
      <c r="C200" s="12" t="s">
        <v>87</v>
      </c>
      <c r="D200" s="12" t="s">
        <v>482</v>
      </c>
      <c r="E200" s="12" t="s">
        <v>509</v>
      </c>
      <c r="F200" s="12" t="s">
        <v>21</v>
      </c>
      <c r="G200" s="12" t="s">
        <v>90</v>
      </c>
      <c r="H200" s="12" t="s">
        <v>524</v>
      </c>
      <c r="I200" s="12">
        <v>558500103729</v>
      </c>
      <c r="J200" s="12" t="s">
        <v>525</v>
      </c>
      <c r="K200" s="12">
        <v>1</v>
      </c>
      <c r="L200" s="12">
        <v>14</v>
      </c>
      <c r="M200" s="12"/>
      <c r="N200" s="13">
        <v>1902</v>
      </c>
      <c r="O200" s="12" t="s">
        <v>93</v>
      </c>
      <c r="P200" s="12"/>
      <c r="Q200" s="12"/>
      <c r="R200" s="12" t="s">
        <v>94</v>
      </c>
      <c r="S200" s="12">
        <v>10</v>
      </c>
      <c r="T200" s="12" t="s">
        <v>486</v>
      </c>
      <c r="U200" s="12" t="s">
        <v>487</v>
      </c>
      <c r="V200" s="12">
        <f>VLOOKUP(Tabla4[[#This Row],[ZONA DEFINITIVO]],Hoja1!$A$1:$D$121,3,0)</f>
        <v>229066</v>
      </c>
      <c r="W200" s="12">
        <f>VLOOKUP(Tabla4[[#This Row],[ZONA DEFINITIVO]],Hoja1!$A$1:$D$121,2,0)</f>
        <v>15177</v>
      </c>
      <c r="X200" s="12">
        <f>VLOOKUP(Tabla4[[#This Row],[ZONA DEFINITIVO]],Hoja1!$A$1:$D$121,4,0)</f>
        <v>91325</v>
      </c>
      <c r="Y200" s="12" t="str">
        <f>+IF(Tabla4[[#This Row],[AGRUPACIONES]]=1,SUMIFS(Tabla4[UDS],Tabla4[ZONA DEFINITIVO],Tabla4[[#This Row],[ZONA DEFINITIVO]])," ")</f>
        <v xml:space="preserve"> </v>
      </c>
      <c r="Z200" s="12" t="str">
        <f>+IF(Tabla4[[#This Row],[AGRUPACIONES]]=1,SUMIFS(Tabla4[TOTAL COBERTURA],Tabla4[ZONA DEFINITIVO],Tabla4[[#This Row],[ZONA DEFINITIVO]])," ")</f>
        <v xml:space="preserve"> </v>
      </c>
      <c r="AA200" s="12"/>
      <c r="AB200" s="38">
        <v>21270270</v>
      </c>
      <c r="AC200" s="37">
        <v>0.02</v>
      </c>
      <c r="AD200" s="38">
        <f t="shared" si="3"/>
        <v>425405.4</v>
      </c>
      <c r="AE200" s="12"/>
      <c r="AF200" s="12">
        <f>COUNTIF($A$20:A200,A200)</f>
        <v>20</v>
      </c>
      <c r="AG200" s="38">
        <v>21270270</v>
      </c>
      <c r="AH200" s="38">
        <f>Tabla4[[#This Row],[VALOR CONTRAPARTIDA]]+Tabla4[[#This Row],[TOTAL APORTES ICBF]]</f>
        <v>21695675.399999999</v>
      </c>
      <c r="AI200" s="35"/>
      <c r="AJ200" s="38"/>
      <c r="AK200" s="38"/>
      <c r="AL200" s="23"/>
      <c r="AM200" s="35">
        <f>VLOOKUP(Tabla4[[#This Row],[SERVICIO 2025]],$J$2:$V$14,5,0)*Tabla4[[#This Row],[TOTAL COBERTURA]]</f>
        <v>654416</v>
      </c>
      <c r="AN200" s="35">
        <f>VLOOKUP(Tabla4[[#This Row],[SERVICIO 2025]],$J$2:$V$14,6,0)*Tabla4[[#This Row],[TOTAL COBERTURA]]</f>
        <v>529774</v>
      </c>
      <c r="AO200" s="35">
        <f>VLOOKUP(Tabla4[[#This Row],[SERVICIO 2025]],$J$2:$V$14,8,0)*Tabla4[[#This Row],[TOTAL COBERTURA]]</f>
        <v>0</v>
      </c>
      <c r="AP200" s="35">
        <f>VLOOKUP(Tabla4[[#This Row],[SERVICIO 2025]],$J$2:$V$14,3,0)*Tabla4[[#This Row],[TOTAL COBERTURA]]*8</f>
        <v>20086080</v>
      </c>
      <c r="AQ200" s="35"/>
      <c r="AR200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200" s="35" t="str">
        <f>+IF(Tabla4[[#This Row],[AGRUPACIONES]]=1,SUMIFS(Tabla4[VALOR TOTAL],Tabla4[ZONA DEFINITIVO],Tabla4[[#This Row],[ZONA DEFINITIVO]])," ")</f>
        <v xml:space="preserve"> </v>
      </c>
      <c r="AT200" s="27">
        <f>(VLOOKUP(Tabla4[[#This Row],[SERVICIO 2025]],$J$2:$V$14,3,0)*Tabla4[[#This Row],[TOTAL COBERTURA]])+Tabla4[[#This Row],[VALOR FASE PREPARATORIA DE ALISTAMIENTO]]+Tabla4[[#This Row],[DOTACIÓN ÚNICA]]</f>
        <v>3165176</v>
      </c>
      <c r="AU200" s="35">
        <f>(VLOOKUP(Tabla4[[#This Row],[SERVICIO 2025]],$J$2:$V$14,3,0)*Tabla4[[#This Row],[TOTAL COBERTURA]])</f>
        <v>2510760</v>
      </c>
      <c r="AV200" s="35">
        <f>(VLOOKUP(Tabla4[[#This Row],[SERVICIO 2025]],$J$2:$V$14,3,0)*Tabla4[[#This Row],[TOTAL COBERTURA]])</f>
        <v>2510760</v>
      </c>
      <c r="AW200" s="35">
        <f>(VLOOKUP(Tabla4[[#This Row],[SERVICIO 2025]],$J$2:$V$14,3,0)*Tabla4[[#This Row],[TOTAL COBERTURA]])</f>
        <v>2510760</v>
      </c>
      <c r="AX200" s="35">
        <f>(VLOOKUP(Tabla4[[#This Row],[SERVICIO 2025]],$J$2:$V$14,3,0)*Tabla4[[#This Row],[TOTAL COBERTURA]])</f>
        <v>2510760</v>
      </c>
      <c r="AY200" s="35">
        <f>(VLOOKUP(Tabla4[[#This Row],[SERVICIO 2025]],$J$2:$V$14,3,0)*Tabla4[[#This Row],[TOTAL COBERTURA]])</f>
        <v>2510760</v>
      </c>
      <c r="AZ200" s="35">
        <f>(VLOOKUP(Tabla4[[#This Row],[SERVICIO 2025]],$J$2:$V$14,3,0)*Tabla4[[#This Row],[TOTAL COBERTURA]])</f>
        <v>2510760</v>
      </c>
      <c r="BA200" s="35">
        <f>(VLOOKUP(Tabla4[[#This Row],[SERVICIO 2025]],$J$2:$V$14,3,0)*Tabla4[[#This Row],[TOTAL COBERTURA]])+Tabla4[[#This Row],[VALOR FASE PREPARATORIA DE CIERRE]]</f>
        <v>3040534</v>
      </c>
      <c r="BB200" s="35">
        <f>SUM(Tabla4[[#This Row],[DESEMBOLSO 1]:[DESEMBOLSO 8]])</f>
        <v>21270270</v>
      </c>
      <c r="BC200" s="35"/>
      <c r="BD200" s="47" t="s">
        <v>97</v>
      </c>
      <c r="BE200" s="12" t="b">
        <f>EXACT(Tabla4[[#This Row],[VALOR ATENCIÓN (8 MESES)]],Tabla4[[#This Row],[VALOR TOTAL]])</f>
        <v>1</v>
      </c>
      <c r="BF200" s="23">
        <f>Tabla4[[#This Row],[VALOR ATENCIÓN (8 MESES)]]-Tabla4[[#This Row],[VALOR TOTAL]]</f>
        <v>0</v>
      </c>
      <c r="BG200" s="12" t="b">
        <f>EXACT(Tabla4[[#This Row],[TOTAL DESEMBOLSOS]],Tabla4[[#This Row],[VALOR ATENCIÓN (8 MESES)]])</f>
        <v>1</v>
      </c>
      <c r="BH200" s="29">
        <f>Tabla4[[#This Row],[TOTAL DESEMBOLSOS]]-Tabla4[[#This Row],[VALOR ATENCIÓN (8 MESES)]]</f>
        <v>0</v>
      </c>
      <c r="BI200" t="s">
        <v>98</v>
      </c>
    </row>
    <row r="201" spans="1:61">
      <c r="A201" s="13">
        <v>1903</v>
      </c>
      <c r="B201" s="13" t="s">
        <v>526</v>
      </c>
      <c r="C201" s="12" t="s">
        <v>87</v>
      </c>
      <c r="D201" s="12" t="s">
        <v>527</v>
      </c>
      <c r="E201" s="12" t="s">
        <v>528</v>
      </c>
      <c r="F201" s="12" t="s">
        <v>21</v>
      </c>
      <c r="G201" s="12" t="s">
        <v>90</v>
      </c>
      <c r="H201" s="12" t="s">
        <v>529</v>
      </c>
      <c r="I201" s="12">
        <v>55411115255</v>
      </c>
      <c r="J201" s="12" t="s">
        <v>530</v>
      </c>
      <c r="K201" s="12">
        <v>1</v>
      </c>
      <c r="L201" s="12">
        <v>50</v>
      </c>
      <c r="M201" s="12"/>
      <c r="N201" s="13">
        <v>1903</v>
      </c>
      <c r="O201" s="12" t="s">
        <v>93</v>
      </c>
      <c r="P201" s="12"/>
      <c r="Q201" s="12"/>
      <c r="R201" s="12" t="s">
        <v>94</v>
      </c>
      <c r="S201" s="12">
        <v>10</v>
      </c>
      <c r="T201" s="12">
        <v>900077807</v>
      </c>
      <c r="U201" s="12" t="s">
        <v>531</v>
      </c>
      <c r="V201" s="12">
        <f>VLOOKUP(Tabla4[[#This Row],[ZONA DEFINITIVO]],Hoja1!$A$1:$D$121,3,0)</f>
        <v>229067</v>
      </c>
      <c r="W201" s="12">
        <f>VLOOKUP(Tabla4[[#This Row],[ZONA DEFINITIVO]],Hoja1!$A$1:$D$121,2,0)</f>
        <v>15188</v>
      </c>
      <c r="X201" s="12">
        <f>VLOOKUP(Tabla4[[#This Row],[ZONA DEFINITIVO]],Hoja1!$A$1:$D$121,4,0)</f>
        <v>82325</v>
      </c>
      <c r="Y201" s="12">
        <f>+IF(Tabla4[[#This Row],[AGRUPACIONES]]=1,SUMIFS(Tabla4[UDS],Tabla4[ZONA DEFINITIVO],Tabla4[[#This Row],[ZONA DEFINITIVO]])," ")</f>
        <v>10</v>
      </c>
      <c r="Z201" s="12">
        <f>+IF(Tabla4[[#This Row],[AGRUPACIONES]]=1,SUMIFS(Tabla4[TOTAL COBERTURA],Tabla4[ZONA DEFINITIVO],Tabla4[[#This Row],[ZONA DEFINITIVO]])," ")</f>
        <v>633</v>
      </c>
      <c r="AA201" s="12"/>
      <c r="AB201" s="38">
        <v>75965250</v>
      </c>
      <c r="AC201" s="37">
        <v>0.02</v>
      </c>
      <c r="AD201" s="38">
        <f t="shared" si="3"/>
        <v>1519305</v>
      </c>
      <c r="AE201" s="12"/>
      <c r="AF201" s="12">
        <f>COUNTIF($A$20:A201,A201)</f>
        <v>1</v>
      </c>
      <c r="AG201" s="38">
        <v>75965250</v>
      </c>
      <c r="AH201" s="38">
        <f>Tabla4[[#This Row],[VALOR CONTRAPARTIDA]]+Tabla4[[#This Row],[TOTAL APORTES ICBF]]</f>
        <v>77484555</v>
      </c>
      <c r="AI201" s="35">
        <f>ROUND(+IF(Tabla4[[#This Row],[AGRUPACIONES]]=1,SUMIFS(Tabla4[TOTAL APORTES ICBF],Tabla4[ZONA DEFINITIVO],Tabla4[[#This Row],[ZONA DEFINITIVO]])," "),0)</f>
        <v>1743896750</v>
      </c>
      <c r="AJ201" s="38">
        <f>ROUND(+IF(Tabla4[[#This Row],[AGRUPACIONES]]=1,SUMIFS(Tabla4[VALOR CONTRAPARTIDA],Tabla4[ZONA DEFINITIVO],Tabla4[[#This Row],[ZONA DEFINITIVO]])," "),0)</f>
        <v>34877935</v>
      </c>
      <c r="AK201" s="38">
        <f>Tabla4[[#This Row],[TOTAL APORTES ICBF AGRUPADO]]+Tabla4[[#This Row],[TOTAL CONTRAPARTIDA AGRUPADO]]</f>
        <v>1778774685</v>
      </c>
      <c r="AL201" s="23">
        <f>Tabla4[[#This Row],[TOTAL APORTES ICBF AGRUPADO]]/$AL$18</f>
        <v>1225.0767474534598</v>
      </c>
      <c r="AM201" s="35">
        <f>VLOOKUP(Tabla4[[#This Row],[SERVICIO 2025]],$J$2:$V$14,5,0)*Tabla4[[#This Row],[TOTAL COBERTURA]]</f>
        <v>2337200</v>
      </c>
      <c r="AN201" s="35">
        <f>VLOOKUP(Tabla4[[#This Row],[SERVICIO 2025]],$J$2:$V$14,6,0)*Tabla4[[#This Row],[TOTAL COBERTURA]]</f>
        <v>1892050</v>
      </c>
      <c r="AO201" s="35">
        <f>VLOOKUP(Tabla4[[#This Row],[SERVICIO 2025]],$J$2:$V$14,8,0)*Tabla4[[#This Row],[TOTAL COBERTURA]]</f>
        <v>0</v>
      </c>
      <c r="AP201" s="35">
        <f>VLOOKUP(Tabla4[[#This Row],[SERVICIO 2025]],$J$2:$V$14,3,0)*Tabla4[[#This Row],[TOTAL COBERTURA]]*8</f>
        <v>71736000</v>
      </c>
      <c r="AQ201" s="35"/>
      <c r="AR201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201" s="35">
        <f>+IF(Tabla4[[#This Row],[AGRUPACIONES]]=1,SUMIFS(Tabla4[VALOR TOTAL],Tabla4[ZONA DEFINITIVO],Tabla4[[#This Row],[ZONA DEFINITIVO]])," ")</f>
        <v>1743896750</v>
      </c>
      <c r="AT201" s="27">
        <f>(VLOOKUP(Tabla4[[#This Row],[SERVICIO 2025]],$J$2:$V$14,3,0)*Tabla4[[#This Row],[TOTAL COBERTURA]])+Tabla4[[#This Row],[VALOR FASE PREPARATORIA DE ALISTAMIENTO]]+Tabla4[[#This Row],[DOTACIÓN ÚNICA]]</f>
        <v>11304200</v>
      </c>
      <c r="AU201" s="35">
        <f>(VLOOKUP(Tabla4[[#This Row],[SERVICIO 2025]],$J$2:$V$14,3,0)*Tabla4[[#This Row],[TOTAL COBERTURA]])</f>
        <v>8967000</v>
      </c>
      <c r="AV201" s="35">
        <f>(VLOOKUP(Tabla4[[#This Row],[SERVICIO 2025]],$J$2:$V$14,3,0)*Tabla4[[#This Row],[TOTAL COBERTURA]])</f>
        <v>8967000</v>
      </c>
      <c r="AW201" s="35">
        <f>(VLOOKUP(Tabla4[[#This Row],[SERVICIO 2025]],$J$2:$V$14,3,0)*Tabla4[[#This Row],[TOTAL COBERTURA]])</f>
        <v>8967000</v>
      </c>
      <c r="AX201" s="35">
        <f>(VLOOKUP(Tabla4[[#This Row],[SERVICIO 2025]],$J$2:$V$14,3,0)*Tabla4[[#This Row],[TOTAL COBERTURA]])</f>
        <v>8967000</v>
      </c>
      <c r="AY201" s="35">
        <f>(VLOOKUP(Tabla4[[#This Row],[SERVICIO 2025]],$J$2:$V$14,3,0)*Tabla4[[#This Row],[TOTAL COBERTURA]])</f>
        <v>8967000</v>
      </c>
      <c r="AZ201" s="35">
        <f>(VLOOKUP(Tabla4[[#This Row],[SERVICIO 2025]],$J$2:$V$14,3,0)*Tabla4[[#This Row],[TOTAL COBERTURA]])</f>
        <v>8967000</v>
      </c>
      <c r="BA201" s="35">
        <f>(VLOOKUP(Tabla4[[#This Row],[SERVICIO 2025]],$J$2:$V$14,3,0)*Tabla4[[#This Row],[TOTAL COBERTURA]])+Tabla4[[#This Row],[VALOR FASE PREPARATORIA DE CIERRE]]</f>
        <v>10859050</v>
      </c>
      <c r="BB201" s="35">
        <f>SUM(Tabla4[[#This Row],[DESEMBOLSO 1]:[DESEMBOLSO 8]])</f>
        <v>75965250</v>
      </c>
      <c r="BC201" s="35"/>
      <c r="BD201" s="47" t="s">
        <v>97</v>
      </c>
      <c r="BE201" s="12" t="b">
        <f>EXACT(Tabla4[[#This Row],[VALOR ATENCIÓN (8 MESES)]],Tabla4[[#This Row],[VALOR TOTAL]])</f>
        <v>1</v>
      </c>
      <c r="BF201" s="23">
        <f>Tabla4[[#This Row],[VALOR ATENCIÓN (8 MESES)]]-Tabla4[[#This Row],[VALOR TOTAL]]</f>
        <v>0</v>
      </c>
      <c r="BG201" s="12" t="b">
        <f>EXACT(Tabla4[[#This Row],[TOTAL DESEMBOLSOS]],Tabla4[[#This Row],[VALOR ATENCIÓN (8 MESES)]])</f>
        <v>1</v>
      </c>
      <c r="BH201" s="29">
        <f>Tabla4[[#This Row],[TOTAL DESEMBOLSOS]]-Tabla4[[#This Row],[VALOR ATENCIÓN (8 MESES)]]</f>
        <v>0</v>
      </c>
      <c r="BI201" t="s">
        <v>98</v>
      </c>
    </row>
    <row r="202" spans="1:61">
      <c r="A202" s="13">
        <v>1903</v>
      </c>
      <c r="B202" s="13" t="s">
        <v>526</v>
      </c>
      <c r="C202" s="12" t="s">
        <v>87</v>
      </c>
      <c r="D202" s="12" t="s">
        <v>527</v>
      </c>
      <c r="E202" s="12" t="s">
        <v>528</v>
      </c>
      <c r="F202" s="12" t="s">
        <v>21</v>
      </c>
      <c r="G202" s="12" t="s">
        <v>90</v>
      </c>
      <c r="H202" s="12" t="s">
        <v>532</v>
      </c>
      <c r="I202" s="12">
        <v>55411115260</v>
      </c>
      <c r="J202" s="12" t="s">
        <v>533</v>
      </c>
      <c r="K202" s="12">
        <v>1</v>
      </c>
      <c r="L202" s="12">
        <v>49</v>
      </c>
      <c r="M202" s="12"/>
      <c r="N202" s="13">
        <v>1903</v>
      </c>
      <c r="O202" s="12" t="s">
        <v>93</v>
      </c>
      <c r="P202" s="12"/>
      <c r="Q202" s="12"/>
      <c r="R202" s="12" t="s">
        <v>94</v>
      </c>
      <c r="S202" s="12">
        <v>10</v>
      </c>
      <c r="T202" s="12" t="s">
        <v>534</v>
      </c>
      <c r="U202" s="12" t="s">
        <v>531</v>
      </c>
      <c r="V202" s="12">
        <f>VLOOKUP(Tabla4[[#This Row],[ZONA DEFINITIVO]],Hoja1!$A$1:$D$121,3,0)</f>
        <v>229067</v>
      </c>
      <c r="W202" s="12">
        <f>VLOOKUP(Tabla4[[#This Row],[ZONA DEFINITIVO]],Hoja1!$A$1:$D$121,2,0)</f>
        <v>15188</v>
      </c>
      <c r="X202" s="12">
        <f>VLOOKUP(Tabla4[[#This Row],[ZONA DEFINITIVO]],Hoja1!$A$1:$D$121,4,0)</f>
        <v>82325</v>
      </c>
      <c r="Y202" s="12" t="str">
        <f>+IF(Tabla4[[#This Row],[AGRUPACIONES]]=1,SUMIFS(Tabla4[UDS],Tabla4[ZONA DEFINITIVO],Tabla4[[#This Row],[ZONA DEFINITIVO]])," ")</f>
        <v xml:space="preserve"> </v>
      </c>
      <c r="Z202" s="12" t="str">
        <f>+IF(Tabla4[[#This Row],[AGRUPACIONES]]=1,SUMIFS(Tabla4[TOTAL COBERTURA],Tabla4[ZONA DEFINITIVO],Tabla4[[#This Row],[ZONA DEFINITIVO]])," ")</f>
        <v xml:space="preserve"> </v>
      </c>
      <c r="AA202" s="12"/>
      <c r="AB202" s="38">
        <v>74445945</v>
      </c>
      <c r="AC202" s="37">
        <v>0.02</v>
      </c>
      <c r="AD202" s="38">
        <f t="shared" si="3"/>
        <v>1488918.9000000001</v>
      </c>
      <c r="AE202" s="12"/>
      <c r="AF202" s="12">
        <f>COUNTIF($A$20:A202,A202)</f>
        <v>2</v>
      </c>
      <c r="AG202" s="38">
        <v>74445945</v>
      </c>
      <c r="AH202" s="38">
        <f>Tabla4[[#This Row],[VALOR CONTRAPARTIDA]]+Tabla4[[#This Row],[TOTAL APORTES ICBF]]</f>
        <v>75934863.900000006</v>
      </c>
      <c r="AI202" s="35"/>
      <c r="AJ202" s="38"/>
      <c r="AK202" s="38"/>
      <c r="AL202" s="23"/>
      <c r="AM202" s="35">
        <f>VLOOKUP(Tabla4[[#This Row],[SERVICIO 2025]],$J$2:$V$14,5,0)*Tabla4[[#This Row],[TOTAL COBERTURA]]</f>
        <v>2290456</v>
      </c>
      <c r="AN202" s="35">
        <f>VLOOKUP(Tabla4[[#This Row],[SERVICIO 2025]],$J$2:$V$14,6,0)*Tabla4[[#This Row],[TOTAL COBERTURA]]</f>
        <v>1854209</v>
      </c>
      <c r="AO202" s="35">
        <f>VLOOKUP(Tabla4[[#This Row],[SERVICIO 2025]],$J$2:$V$14,8,0)*Tabla4[[#This Row],[TOTAL COBERTURA]]</f>
        <v>0</v>
      </c>
      <c r="AP202" s="35">
        <f>VLOOKUP(Tabla4[[#This Row],[SERVICIO 2025]],$J$2:$V$14,3,0)*Tabla4[[#This Row],[TOTAL COBERTURA]]*8</f>
        <v>70301280</v>
      </c>
      <c r="AQ202" s="35"/>
      <c r="AR202" s="35">
        <f>Tabla4[[#This Row],[VALOR FASE PREPARATORIA DE ALISTAMIENTO]]+Tabla4[[#This Row],[VALOR FASE PREPARATORIA DE CIERRE]]+Tabla4[[#This Row],[DOTACIÓN ÚNICA]]+Tabla4[[#This Row],[VALOR ATENCIÓN]]+Tabla4[[#This Row],[VALOR RACION PREPARADA]]</f>
        <v>74445945</v>
      </c>
      <c r="AS202" s="35" t="str">
        <f>+IF(Tabla4[[#This Row],[AGRUPACIONES]]=1,SUMIFS(Tabla4[VALOR TOTAL],Tabla4[ZONA DEFINITIVO],Tabla4[[#This Row],[ZONA DEFINITIVO]])," ")</f>
        <v xml:space="preserve"> </v>
      </c>
      <c r="AT202" s="27">
        <f>(VLOOKUP(Tabla4[[#This Row],[SERVICIO 2025]],$J$2:$V$14,3,0)*Tabla4[[#This Row],[TOTAL COBERTURA]])+Tabla4[[#This Row],[VALOR FASE PREPARATORIA DE ALISTAMIENTO]]+Tabla4[[#This Row],[DOTACIÓN ÚNICA]]</f>
        <v>11078116</v>
      </c>
      <c r="AU202" s="35">
        <f>(VLOOKUP(Tabla4[[#This Row],[SERVICIO 2025]],$J$2:$V$14,3,0)*Tabla4[[#This Row],[TOTAL COBERTURA]])</f>
        <v>8787660</v>
      </c>
      <c r="AV202" s="35">
        <f>(VLOOKUP(Tabla4[[#This Row],[SERVICIO 2025]],$J$2:$V$14,3,0)*Tabla4[[#This Row],[TOTAL COBERTURA]])</f>
        <v>8787660</v>
      </c>
      <c r="AW202" s="35">
        <f>(VLOOKUP(Tabla4[[#This Row],[SERVICIO 2025]],$J$2:$V$14,3,0)*Tabla4[[#This Row],[TOTAL COBERTURA]])</f>
        <v>8787660</v>
      </c>
      <c r="AX202" s="35">
        <f>(VLOOKUP(Tabla4[[#This Row],[SERVICIO 2025]],$J$2:$V$14,3,0)*Tabla4[[#This Row],[TOTAL COBERTURA]])</f>
        <v>8787660</v>
      </c>
      <c r="AY202" s="35">
        <f>(VLOOKUP(Tabla4[[#This Row],[SERVICIO 2025]],$J$2:$V$14,3,0)*Tabla4[[#This Row],[TOTAL COBERTURA]])</f>
        <v>8787660</v>
      </c>
      <c r="AZ202" s="35">
        <f>(VLOOKUP(Tabla4[[#This Row],[SERVICIO 2025]],$J$2:$V$14,3,0)*Tabla4[[#This Row],[TOTAL COBERTURA]])</f>
        <v>8787660</v>
      </c>
      <c r="BA202" s="35">
        <f>(VLOOKUP(Tabla4[[#This Row],[SERVICIO 2025]],$J$2:$V$14,3,0)*Tabla4[[#This Row],[TOTAL COBERTURA]])+Tabla4[[#This Row],[VALOR FASE PREPARATORIA DE CIERRE]]</f>
        <v>10641869</v>
      </c>
      <c r="BB202" s="35">
        <f>SUM(Tabla4[[#This Row],[DESEMBOLSO 1]:[DESEMBOLSO 8]])</f>
        <v>74445945</v>
      </c>
      <c r="BC202" s="35"/>
      <c r="BD202" s="47" t="s">
        <v>97</v>
      </c>
      <c r="BE202" s="12" t="b">
        <f>EXACT(Tabla4[[#This Row],[VALOR ATENCIÓN (8 MESES)]],Tabla4[[#This Row],[VALOR TOTAL]])</f>
        <v>1</v>
      </c>
      <c r="BF202" s="23">
        <f>Tabla4[[#This Row],[VALOR ATENCIÓN (8 MESES)]]-Tabla4[[#This Row],[VALOR TOTAL]]</f>
        <v>0</v>
      </c>
      <c r="BG202" s="12" t="b">
        <f>EXACT(Tabla4[[#This Row],[TOTAL DESEMBOLSOS]],Tabla4[[#This Row],[VALOR ATENCIÓN (8 MESES)]])</f>
        <v>1</v>
      </c>
      <c r="BH202" s="29">
        <f>Tabla4[[#This Row],[TOTAL DESEMBOLSOS]]-Tabla4[[#This Row],[VALOR ATENCIÓN (8 MESES)]]</f>
        <v>0</v>
      </c>
      <c r="BI202" t="s">
        <v>98</v>
      </c>
    </row>
    <row r="203" spans="1:61">
      <c r="A203" s="13">
        <v>1903</v>
      </c>
      <c r="B203" s="13" t="s">
        <v>526</v>
      </c>
      <c r="C203" s="12" t="s">
        <v>87</v>
      </c>
      <c r="D203" s="12" t="s">
        <v>527</v>
      </c>
      <c r="E203" s="12" t="s">
        <v>528</v>
      </c>
      <c r="F203" s="12" t="s">
        <v>14</v>
      </c>
      <c r="G203" s="12" t="s">
        <v>90</v>
      </c>
      <c r="H203" s="12" t="s">
        <v>535</v>
      </c>
      <c r="I203" s="12">
        <v>55411115263</v>
      </c>
      <c r="J203" s="12" t="s">
        <v>535</v>
      </c>
      <c r="K203" s="12">
        <v>1</v>
      </c>
      <c r="L203" s="12">
        <v>24</v>
      </c>
      <c r="M203" s="12"/>
      <c r="N203" s="13">
        <v>1903</v>
      </c>
      <c r="O203" s="12" t="s">
        <v>93</v>
      </c>
      <c r="P203" s="12"/>
      <c r="Q203" s="12"/>
      <c r="R203" s="12" t="s">
        <v>94</v>
      </c>
      <c r="S203" s="12">
        <v>10</v>
      </c>
      <c r="T203" s="12" t="s">
        <v>534</v>
      </c>
      <c r="U203" s="12" t="s">
        <v>531</v>
      </c>
      <c r="V203" s="12">
        <f>VLOOKUP(Tabla4[[#This Row],[ZONA DEFINITIVO]],Hoja1!$A$1:$D$121,3,0)</f>
        <v>229067</v>
      </c>
      <c r="W203" s="12">
        <f>VLOOKUP(Tabla4[[#This Row],[ZONA DEFINITIVO]],Hoja1!$A$1:$D$121,2,0)</f>
        <v>15188</v>
      </c>
      <c r="X203" s="12">
        <f>VLOOKUP(Tabla4[[#This Row],[ZONA DEFINITIVO]],Hoja1!$A$1:$D$121,4,0)</f>
        <v>82325</v>
      </c>
      <c r="Y203" s="12" t="str">
        <f>+IF(Tabla4[[#This Row],[AGRUPACIONES]]=1,SUMIFS(Tabla4[UDS],Tabla4[ZONA DEFINITIVO],Tabla4[[#This Row],[ZONA DEFINITIVO]])," ")</f>
        <v xml:space="preserve"> </v>
      </c>
      <c r="Z203" s="12" t="str">
        <f>+IF(Tabla4[[#This Row],[AGRUPACIONES]]=1,SUMIFS(Tabla4[TOTAL COBERTURA],Tabla4[ZONA DEFINITIVO],Tabla4[[#This Row],[ZONA DEFINITIVO]])," ")</f>
        <v xml:space="preserve"> </v>
      </c>
      <c r="AA203" s="12"/>
      <c r="AB203" s="38">
        <v>100532400</v>
      </c>
      <c r="AC203" s="37">
        <v>0.02</v>
      </c>
      <c r="AD203" s="38">
        <f t="shared" si="3"/>
        <v>2010648</v>
      </c>
      <c r="AE203" s="12"/>
      <c r="AF203" s="12">
        <f>COUNTIF($A$20:A203,A203)</f>
        <v>3</v>
      </c>
      <c r="AG203" s="38">
        <v>100532400</v>
      </c>
      <c r="AH203" s="38">
        <f>Tabla4[[#This Row],[VALOR CONTRAPARTIDA]]+Tabla4[[#This Row],[TOTAL APORTES ICBF]]</f>
        <v>102543048</v>
      </c>
      <c r="AI203" s="35"/>
      <c r="AJ203" s="38"/>
      <c r="AK203" s="38"/>
      <c r="AL203" s="23"/>
      <c r="AM203" s="35">
        <f>VLOOKUP(Tabla4[[#This Row],[SERVICIO 2025]],$J$2:$V$14,5,0)*Tabla4[[#This Row],[TOTAL COBERTURA]]</f>
        <v>2115432</v>
      </c>
      <c r="AN203" s="35">
        <f>VLOOKUP(Tabla4[[#This Row],[SERVICIO 2025]],$J$2:$V$14,6,0)*Tabla4[[#This Row],[TOTAL COBERTURA]]</f>
        <v>1801032</v>
      </c>
      <c r="AO203" s="35">
        <f>VLOOKUP(Tabla4[[#This Row],[SERVICIO 2025]],$J$2:$V$14,8,0)*Tabla4[[#This Row],[TOTAL COBERTURA]]</f>
        <v>0</v>
      </c>
      <c r="AP203" s="35">
        <f>VLOOKUP(Tabla4[[#This Row],[SERVICIO 2025]],$J$2:$V$14,3,0)*Tabla4[[#This Row],[TOTAL COBERTURA]]*8</f>
        <v>96615936</v>
      </c>
      <c r="AQ203" s="35"/>
      <c r="AR203" s="35">
        <f>Tabla4[[#This Row],[VALOR FASE PREPARATORIA DE ALISTAMIENTO]]+Tabla4[[#This Row],[VALOR FASE PREPARATORIA DE CIERRE]]+Tabla4[[#This Row],[DOTACIÓN ÚNICA]]+Tabla4[[#This Row],[VALOR ATENCIÓN]]+Tabla4[[#This Row],[VALOR RACION PREPARADA]]</f>
        <v>100532400</v>
      </c>
      <c r="AS203" s="35" t="str">
        <f>+IF(Tabla4[[#This Row],[AGRUPACIONES]]=1,SUMIFS(Tabla4[VALOR TOTAL],Tabla4[ZONA DEFINITIVO],Tabla4[[#This Row],[ZONA DEFINITIVO]])," ")</f>
        <v xml:space="preserve"> </v>
      </c>
      <c r="AT203" s="27">
        <f>(VLOOKUP(Tabla4[[#This Row],[SERVICIO 2025]],$J$2:$V$14,3,0)*Tabla4[[#This Row],[TOTAL COBERTURA]])+Tabla4[[#This Row],[VALOR FASE PREPARATORIA DE ALISTAMIENTO]]+Tabla4[[#This Row],[DOTACIÓN ÚNICA]]</f>
        <v>14192424</v>
      </c>
      <c r="AU203" s="35">
        <f>(VLOOKUP(Tabla4[[#This Row],[SERVICIO 2025]],$J$2:$V$14,3,0)*Tabla4[[#This Row],[TOTAL COBERTURA]])</f>
        <v>12076992</v>
      </c>
      <c r="AV203" s="35">
        <f>(VLOOKUP(Tabla4[[#This Row],[SERVICIO 2025]],$J$2:$V$14,3,0)*Tabla4[[#This Row],[TOTAL COBERTURA]])</f>
        <v>12076992</v>
      </c>
      <c r="AW203" s="35">
        <f>(VLOOKUP(Tabla4[[#This Row],[SERVICIO 2025]],$J$2:$V$14,3,0)*Tabla4[[#This Row],[TOTAL COBERTURA]])</f>
        <v>12076992</v>
      </c>
      <c r="AX203" s="35">
        <f>(VLOOKUP(Tabla4[[#This Row],[SERVICIO 2025]],$J$2:$V$14,3,0)*Tabla4[[#This Row],[TOTAL COBERTURA]])</f>
        <v>12076992</v>
      </c>
      <c r="AY203" s="35">
        <f>(VLOOKUP(Tabla4[[#This Row],[SERVICIO 2025]],$J$2:$V$14,3,0)*Tabla4[[#This Row],[TOTAL COBERTURA]])</f>
        <v>12076992</v>
      </c>
      <c r="AZ203" s="35">
        <f>(VLOOKUP(Tabla4[[#This Row],[SERVICIO 2025]],$J$2:$V$14,3,0)*Tabla4[[#This Row],[TOTAL COBERTURA]])</f>
        <v>12076992</v>
      </c>
      <c r="BA203" s="35">
        <f>(VLOOKUP(Tabla4[[#This Row],[SERVICIO 2025]],$J$2:$V$14,3,0)*Tabla4[[#This Row],[TOTAL COBERTURA]])+Tabla4[[#This Row],[VALOR FASE PREPARATORIA DE CIERRE]]</f>
        <v>13878024</v>
      </c>
      <c r="BB203" s="35">
        <f>SUM(Tabla4[[#This Row],[DESEMBOLSO 1]:[DESEMBOLSO 8]])</f>
        <v>100532400</v>
      </c>
      <c r="BC203" s="35">
        <f>VLOOKUP(Tabla4[[#This Row],[SERVICIO 2025]],$J$2:$V$14,10,0)*Tabla4[[#This Row],[TOTAL COBERTURA]]*$W$3</f>
        <v>0</v>
      </c>
      <c r="BD203" s="47" t="s">
        <v>145</v>
      </c>
      <c r="BE203" s="12" t="b">
        <f>EXACT(Tabla4[[#This Row],[VALOR ATENCIÓN (8 MESES)]],Tabla4[[#This Row],[VALOR TOTAL]])</f>
        <v>1</v>
      </c>
      <c r="BF203" s="23">
        <f>Tabla4[[#This Row],[VALOR ATENCIÓN (8 MESES)]]-Tabla4[[#This Row],[VALOR TOTAL]]</f>
        <v>0</v>
      </c>
      <c r="BG203" s="12" t="b">
        <f>EXACT(Tabla4[[#This Row],[TOTAL DESEMBOLSOS]],Tabla4[[#This Row],[VALOR ATENCIÓN (8 MESES)]])</f>
        <v>1</v>
      </c>
      <c r="BH203" s="29">
        <f>Tabla4[[#This Row],[TOTAL DESEMBOLSOS]]-Tabla4[[#This Row],[VALOR ATENCIÓN (8 MESES)]]</f>
        <v>0</v>
      </c>
      <c r="BI203" t="s">
        <v>98</v>
      </c>
    </row>
    <row r="204" spans="1:61">
      <c r="A204" s="13">
        <v>1903</v>
      </c>
      <c r="B204" s="13" t="s">
        <v>526</v>
      </c>
      <c r="C204" s="12" t="s">
        <v>87</v>
      </c>
      <c r="D204" s="12" t="s">
        <v>527</v>
      </c>
      <c r="E204" s="12" t="s">
        <v>528</v>
      </c>
      <c r="F204" s="12" t="s">
        <v>14</v>
      </c>
      <c r="G204" s="12" t="s">
        <v>90</v>
      </c>
      <c r="H204" s="12" t="s">
        <v>536</v>
      </c>
      <c r="I204" s="12">
        <v>55411121817</v>
      </c>
      <c r="J204" s="12" t="s">
        <v>537</v>
      </c>
      <c r="K204" s="12">
        <v>1</v>
      </c>
      <c r="L204" s="12">
        <v>70</v>
      </c>
      <c r="M204" s="12"/>
      <c r="N204" s="13">
        <v>1903</v>
      </c>
      <c r="O204" s="12" t="s">
        <v>93</v>
      </c>
      <c r="P204" s="12"/>
      <c r="Q204" s="12"/>
      <c r="R204" s="12" t="s">
        <v>94</v>
      </c>
      <c r="S204" s="12">
        <v>10</v>
      </c>
      <c r="T204" s="12" t="s">
        <v>534</v>
      </c>
      <c r="U204" s="12" t="s">
        <v>531</v>
      </c>
      <c r="V204" s="12">
        <f>VLOOKUP(Tabla4[[#This Row],[ZONA DEFINITIVO]],Hoja1!$A$1:$D$121,3,0)</f>
        <v>229067</v>
      </c>
      <c r="W204" s="12">
        <f>VLOOKUP(Tabla4[[#This Row],[ZONA DEFINITIVO]],Hoja1!$A$1:$D$121,2,0)</f>
        <v>15188</v>
      </c>
      <c r="X204" s="12">
        <f>VLOOKUP(Tabla4[[#This Row],[ZONA DEFINITIVO]],Hoja1!$A$1:$D$121,4,0)</f>
        <v>82325</v>
      </c>
      <c r="Y204" s="12" t="str">
        <f>+IF(Tabla4[[#This Row],[AGRUPACIONES]]=1,SUMIFS(Tabla4[UDS],Tabla4[ZONA DEFINITIVO],Tabla4[[#This Row],[ZONA DEFINITIVO]])," ")</f>
        <v xml:space="preserve"> </v>
      </c>
      <c r="Z204" s="12" t="str">
        <f>+IF(Tabla4[[#This Row],[AGRUPACIONES]]=1,SUMIFS(Tabla4[TOTAL COBERTURA],Tabla4[ZONA DEFINITIVO],Tabla4[[#This Row],[ZONA DEFINITIVO]])," ")</f>
        <v xml:space="preserve"> </v>
      </c>
      <c r="AA204" s="12"/>
      <c r="AB204" s="38">
        <v>293219500</v>
      </c>
      <c r="AC204" s="37">
        <v>0.02</v>
      </c>
      <c r="AD204" s="38">
        <f t="shared" si="3"/>
        <v>5864390</v>
      </c>
      <c r="AE204" s="12"/>
      <c r="AF204" s="12">
        <f>COUNTIF($A$20:A204,A204)</f>
        <v>4</v>
      </c>
      <c r="AG204" s="38">
        <v>293219500</v>
      </c>
      <c r="AH204" s="38">
        <f>Tabla4[[#This Row],[VALOR CONTRAPARTIDA]]+Tabla4[[#This Row],[TOTAL APORTES ICBF]]</f>
        <v>299083890</v>
      </c>
      <c r="AI204" s="35"/>
      <c r="AJ204" s="38"/>
      <c r="AK204" s="38"/>
      <c r="AL204" s="23"/>
      <c r="AM204" s="35">
        <f>VLOOKUP(Tabla4[[#This Row],[SERVICIO 2025]],$J$2:$V$14,5,0)*Tabla4[[#This Row],[TOTAL COBERTURA]]</f>
        <v>6170010</v>
      </c>
      <c r="AN204" s="35">
        <f>VLOOKUP(Tabla4[[#This Row],[SERVICIO 2025]],$J$2:$V$14,6,0)*Tabla4[[#This Row],[TOTAL COBERTURA]]</f>
        <v>5253010</v>
      </c>
      <c r="AO204" s="35">
        <f>VLOOKUP(Tabla4[[#This Row],[SERVICIO 2025]],$J$2:$V$14,8,0)*Tabla4[[#This Row],[TOTAL COBERTURA]]</f>
        <v>0</v>
      </c>
      <c r="AP204" s="35">
        <f>VLOOKUP(Tabla4[[#This Row],[SERVICIO 2025]],$J$2:$V$14,3,0)*Tabla4[[#This Row],[TOTAL COBERTURA]]*8</f>
        <v>281796480</v>
      </c>
      <c r="AQ204" s="35"/>
      <c r="AR204" s="35">
        <f>Tabla4[[#This Row],[VALOR FASE PREPARATORIA DE ALISTAMIENTO]]+Tabla4[[#This Row],[VALOR FASE PREPARATORIA DE CIERRE]]+Tabla4[[#This Row],[DOTACIÓN ÚNICA]]+Tabla4[[#This Row],[VALOR ATENCIÓN]]+Tabla4[[#This Row],[VALOR RACION PREPARADA]]</f>
        <v>293219500</v>
      </c>
      <c r="AS204" s="35" t="str">
        <f>+IF(Tabla4[[#This Row],[AGRUPACIONES]]=1,SUMIFS(Tabla4[VALOR TOTAL],Tabla4[ZONA DEFINITIVO],Tabla4[[#This Row],[ZONA DEFINITIVO]])," ")</f>
        <v xml:space="preserve"> </v>
      </c>
      <c r="AT204" s="27">
        <f>(VLOOKUP(Tabla4[[#This Row],[SERVICIO 2025]],$J$2:$V$14,3,0)*Tabla4[[#This Row],[TOTAL COBERTURA]])+Tabla4[[#This Row],[VALOR FASE PREPARATORIA DE ALISTAMIENTO]]+Tabla4[[#This Row],[DOTACIÓN ÚNICA]]</f>
        <v>41394570</v>
      </c>
      <c r="AU204" s="35">
        <f>(VLOOKUP(Tabla4[[#This Row],[SERVICIO 2025]],$J$2:$V$14,3,0)*Tabla4[[#This Row],[TOTAL COBERTURA]])</f>
        <v>35224560</v>
      </c>
      <c r="AV204" s="35">
        <f>(VLOOKUP(Tabla4[[#This Row],[SERVICIO 2025]],$J$2:$V$14,3,0)*Tabla4[[#This Row],[TOTAL COBERTURA]])</f>
        <v>35224560</v>
      </c>
      <c r="AW204" s="35">
        <f>(VLOOKUP(Tabla4[[#This Row],[SERVICIO 2025]],$J$2:$V$14,3,0)*Tabla4[[#This Row],[TOTAL COBERTURA]])</f>
        <v>35224560</v>
      </c>
      <c r="AX204" s="35">
        <f>(VLOOKUP(Tabla4[[#This Row],[SERVICIO 2025]],$J$2:$V$14,3,0)*Tabla4[[#This Row],[TOTAL COBERTURA]])</f>
        <v>35224560</v>
      </c>
      <c r="AY204" s="35">
        <f>(VLOOKUP(Tabla4[[#This Row],[SERVICIO 2025]],$J$2:$V$14,3,0)*Tabla4[[#This Row],[TOTAL COBERTURA]])</f>
        <v>35224560</v>
      </c>
      <c r="AZ204" s="35">
        <f>(VLOOKUP(Tabla4[[#This Row],[SERVICIO 2025]],$J$2:$V$14,3,0)*Tabla4[[#This Row],[TOTAL COBERTURA]])</f>
        <v>35224560</v>
      </c>
      <c r="BA204" s="35">
        <f>(VLOOKUP(Tabla4[[#This Row],[SERVICIO 2025]],$J$2:$V$14,3,0)*Tabla4[[#This Row],[TOTAL COBERTURA]])+Tabla4[[#This Row],[VALOR FASE PREPARATORIA DE CIERRE]]</f>
        <v>40477570</v>
      </c>
      <c r="BB204" s="35">
        <f>SUM(Tabla4[[#This Row],[DESEMBOLSO 1]:[DESEMBOLSO 8]])</f>
        <v>293219500</v>
      </c>
      <c r="BC204" s="35">
        <f>VLOOKUP(Tabla4[[#This Row],[SERVICIO 2025]],$J$2:$V$14,10,0)*Tabla4[[#This Row],[TOTAL COBERTURA]]*$W$3</f>
        <v>0</v>
      </c>
      <c r="BD204" s="47" t="s">
        <v>145</v>
      </c>
      <c r="BE204" s="12" t="b">
        <f>EXACT(Tabla4[[#This Row],[VALOR ATENCIÓN (8 MESES)]],Tabla4[[#This Row],[VALOR TOTAL]])</f>
        <v>1</v>
      </c>
      <c r="BF204" s="23">
        <f>Tabla4[[#This Row],[VALOR ATENCIÓN (8 MESES)]]-Tabla4[[#This Row],[VALOR TOTAL]]</f>
        <v>0</v>
      </c>
      <c r="BG204" s="12" t="b">
        <f>EXACT(Tabla4[[#This Row],[TOTAL DESEMBOLSOS]],Tabla4[[#This Row],[VALOR ATENCIÓN (8 MESES)]])</f>
        <v>1</v>
      </c>
      <c r="BH204" s="29">
        <f>Tabla4[[#This Row],[TOTAL DESEMBOLSOS]]-Tabla4[[#This Row],[VALOR ATENCIÓN (8 MESES)]]</f>
        <v>0</v>
      </c>
      <c r="BI204" t="s">
        <v>98</v>
      </c>
    </row>
    <row r="205" spans="1:61">
      <c r="A205" s="13">
        <v>1903</v>
      </c>
      <c r="B205" s="13" t="s">
        <v>526</v>
      </c>
      <c r="C205" s="12" t="s">
        <v>87</v>
      </c>
      <c r="D205" s="12" t="s">
        <v>527</v>
      </c>
      <c r="E205" s="12" t="s">
        <v>528</v>
      </c>
      <c r="F205" s="12" t="s">
        <v>21</v>
      </c>
      <c r="G205" s="12" t="s">
        <v>90</v>
      </c>
      <c r="H205" s="12" t="s">
        <v>538</v>
      </c>
      <c r="I205" s="12">
        <v>55411138031</v>
      </c>
      <c r="J205" s="12" t="s">
        <v>539</v>
      </c>
      <c r="K205" s="12">
        <v>1</v>
      </c>
      <c r="L205" s="12">
        <v>48</v>
      </c>
      <c r="M205" s="12"/>
      <c r="N205" s="13">
        <v>1903</v>
      </c>
      <c r="O205" s="12" t="s">
        <v>93</v>
      </c>
      <c r="P205" s="12"/>
      <c r="Q205" s="12"/>
      <c r="R205" s="12" t="s">
        <v>94</v>
      </c>
      <c r="S205" s="12">
        <v>10</v>
      </c>
      <c r="T205" s="12" t="s">
        <v>534</v>
      </c>
      <c r="U205" s="12" t="s">
        <v>531</v>
      </c>
      <c r="V205" s="12">
        <f>VLOOKUP(Tabla4[[#This Row],[ZONA DEFINITIVO]],Hoja1!$A$1:$D$121,3,0)</f>
        <v>229067</v>
      </c>
      <c r="W205" s="12">
        <f>VLOOKUP(Tabla4[[#This Row],[ZONA DEFINITIVO]],Hoja1!$A$1:$D$121,2,0)</f>
        <v>15188</v>
      </c>
      <c r="X205" s="12">
        <f>VLOOKUP(Tabla4[[#This Row],[ZONA DEFINITIVO]],Hoja1!$A$1:$D$121,4,0)</f>
        <v>82325</v>
      </c>
      <c r="Y205" s="12" t="str">
        <f>+IF(Tabla4[[#This Row],[AGRUPACIONES]]=1,SUMIFS(Tabla4[UDS],Tabla4[ZONA DEFINITIVO],Tabla4[[#This Row],[ZONA DEFINITIVO]])," ")</f>
        <v xml:space="preserve"> </v>
      </c>
      <c r="Z205" s="12" t="str">
        <f>+IF(Tabla4[[#This Row],[AGRUPACIONES]]=1,SUMIFS(Tabla4[TOTAL COBERTURA],Tabla4[ZONA DEFINITIVO],Tabla4[[#This Row],[ZONA DEFINITIVO]])," ")</f>
        <v xml:space="preserve"> </v>
      </c>
      <c r="AA205" s="12"/>
      <c r="AB205" s="38">
        <v>72926640</v>
      </c>
      <c r="AC205" s="37">
        <v>0.02</v>
      </c>
      <c r="AD205" s="38">
        <f t="shared" si="3"/>
        <v>1458532.8</v>
      </c>
      <c r="AE205" s="12"/>
      <c r="AF205" s="12">
        <f>COUNTIF($A$20:A205,A205)</f>
        <v>5</v>
      </c>
      <c r="AG205" s="38">
        <v>72926640</v>
      </c>
      <c r="AH205" s="38">
        <f>Tabla4[[#This Row],[VALOR CONTRAPARTIDA]]+Tabla4[[#This Row],[TOTAL APORTES ICBF]]</f>
        <v>74385172.799999997</v>
      </c>
      <c r="AI205" s="35"/>
      <c r="AJ205" s="38"/>
      <c r="AK205" s="38"/>
      <c r="AL205" s="23"/>
      <c r="AM205" s="35">
        <f>VLOOKUP(Tabla4[[#This Row],[SERVICIO 2025]],$J$2:$V$14,5,0)*Tabla4[[#This Row],[TOTAL COBERTURA]]</f>
        <v>2243712</v>
      </c>
      <c r="AN205" s="35">
        <f>VLOOKUP(Tabla4[[#This Row],[SERVICIO 2025]],$J$2:$V$14,6,0)*Tabla4[[#This Row],[TOTAL COBERTURA]]</f>
        <v>1816368</v>
      </c>
      <c r="AO205" s="35">
        <f>VLOOKUP(Tabla4[[#This Row],[SERVICIO 2025]],$J$2:$V$14,8,0)*Tabla4[[#This Row],[TOTAL COBERTURA]]</f>
        <v>0</v>
      </c>
      <c r="AP205" s="35">
        <f>VLOOKUP(Tabla4[[#This Row],[SERVICIO 2025]],$J$2:$V$14,3,0)*Tabla4[[#This Row],[TOTAL COBERTURA]]*8</f>
        <v>68866560</v>
      </c>
      <c r="AQ205" s="35"/>
      <c r="AR205" s="35">
        <f>Tabla4[[#This Row],[VALOR FASE PREPARATORIA DE ALISTAMIENTO]]+Tabla4[[#This Row],[VALOR FASE PREPARATORIA DE CIERRE]]+Tabla4[[#This Row],[DOTACIÓN ÚNICA]]+Tabla4[[#This Row],[VALOR ATENCIÓN]]+Tabla4[[#This Row],[VALOR RACION PREPARADA]]</f>
        <v>72926640</v>
      </c>
      <c r="AS205" s="35" t="str">
        <f>+IF(Tabla4[[#This Row],[AGRUPACIONES]]=1,SUMIFS(Tabla4[VALOR TOTAL],Tabla4[ZONA DEFINITIVO],Tabla4[[#This Row],[ZONA DEFINITIVO]])," ")</f>
        <v xml:space="preserve"> </v>
      </c>
      <c r="AT205" s="27">
        <f>(VLOOKUP(Tabla4[[#This Row],[SERVICIO 2025]],$J$2:$V$14,3,0)*Tabla4[[#This Row],[TOTAL COBERTURA]])+Tabla4[[#This Row],[VALOR FASE PREPARATORIA DE ALISTAMIENTO]]+Tabla4[[#This Row],[DOTACIÓN ÚNICA]]</f>
        <v>10852032</v>
      </c>
      <c r="AU205" s="35">
        <f>(VLOOKUP(Tabla4[[#This Row],[SERVICIO 2025]],$J$2:$V$14,3,0)*Tabla4[[#This Row],[TOTAL COBERTURA]])</f>
        <v>8608320</v>
      </c>
      <c r="AV205" s="35">
        <f>(VLOOKUP(Tabla4[[#This Row],[SERVICIO 2025]],$J$2:$V$14,3,0)*Tabla4[[#This Row],[TOTAL COBERTURA]])</f>
        <v>8608320</v>
      </c>
      <c r="AW205" s="35">
        <f>(VLOOKUP(Tabla4[[#This Row],[SERVICIO 2025]],$J$2:$V$14,3,0)*Tabla4[[#This Row],[TOTAL COBERTURA]])</f>
        <v>8608320</v>
      </c>
      <c r="AX205" s="35">
        <f>(VLOOKUP(Tabla4[[#This Row],[SERVICIO 2025]],$J$2:$V$14,3,0)*Tabla4[[#This Row],[TOTAL COBERTURA]])</f>
        <v>8608320</v>
      </c>
      <c r="AY205" s="35">
        <f>(VLOOKUP(Tabla4[[#This Row],[SERVICIO 2025]],$J$2:$V$14,3,0)*Tabla4[[#This Row],[TOTAL COBERTURA]])</f>
        <v>8608320</v>
      </c>
      <c r="AZ205" s="35">
        <f>(VLOOKUP(Tabla4[[#This Row],[SERVICIO 2025]],$J$2:$V$14,3,0)*Tabla4[[#This Row],[TOTAL COBERTURA]])</f>
        <v>8608320</v>
      </c>
      <c r="BA205" s="35">
        <f>(VLOOKUP(Tabla4[[#This Row],[SERVICIO 2025]],$J$2:$V$14,3,0)*Tabla4[[#This Row],[TOTAL COBERTURA]])+Tabla4[[#This Row],[VALOR FASE PREPARATORIA DE CIERRE]]</f>
        <v>10424688</v>
      </c>
      <c r="BB205" s="35">
        <f>SUM(Tabla4[[#This Row],[DESEMBOLSO 1]:[DESEMBOLSO 8]])</f>
        <v>72926640</v>
      </c>
      <c r="BC205" s="35"/>
      <c r="BD205" s="47" t="s">
        <v>97</v>
      </c>
      <c r="BE205" s="12" t="b">
        <f>EXACT(Tabla4[[#This Row],[VALOR ATENCIÓN (8 MESES)]],Tabla4[[#This Row],[VALOR TOTAL]])</f>
        <v>1</v>
      </c>
      <c r="BF205" s="23">
        <f>Tabla4[[#This Row],[VALOR ATENCIÓN (8 MESES)]]-Tabla4[[#This Row],[VALOR TOTAL]]</f>
        <v>0</v>
      </c>
      <c r="BG205" s="12" t="b">
        <f>EXACT(Tabla4[[#This Row],[TOTAL DESEMBOLSOS]],Tabla4[[#This Row],[VALOR ATENCIÓN (8 MESES)]])</f>
        <v>1</v>
      </c>
      <c r="BH205" s="29">
        <f>Tabla4[[#This Row],[TOTAL DESEMBOLSOS]]-Tabla4[[#This Row],[VALOR ATENCIÓN (8 MESES)]]</f>
        <v>0</v>
      </c>
      <c r="BI205" t="s">
        <v>98</v>
      </c>
    </row>
    <row r="206" spans="1:61">
      <c r="A206" s="13">
        <v>1903</v>
      </c>
      <c r="B206" s="13" t="s">
        <v>526</v>
      </c>
      <c r="C206" s="12" t="s">
        <v>87</v>
      </c>
      <c r="D206" s="12" t="s">
        <v>527</v>
      </c>
      <c r="E206" s="12" t="s">
        <v>528</v>
      </c>
      <c r="F206" s="12" t="s">
        <v>21</v>
      </c>
      <c r="G206" s="12" t="s">
        <v>90</v>
      </c>
      <c r="H206" s="12" t="s">
        <v>540</v>
      </c>
      <c r="I206" s="12">
        <v>55411138039</v>
      </c>
      <c r="J206" s="12" t="s">
        <v>541</v>
      </c>
      <c r="K206" s="12">
        <v>1</v>
      </c>
      <c r="L206" s="12">
        <v>50</v>
      </c>
      <c r="M206" s="12"/>
      <c r="N206" s="13">
        <v>1903</v>
      </c>
      <c r="O206" s="12" t="s">
        <v>93</v>
      </c>
      <c r="P206" s="12"/>
      <c r="Q206" s="12"/>
      <c r="R206" s="12" t="s">
        <v>94</v>
      </c>
      <c r="S206" s="12">
        <v>10</v>
      </c>
      <c r="T206" s="12" t="s">
        <v>534</v>
      </c>
      <c r="U206" s="12" t="s">
        <v>531</v>
      </c>
      <c r="V206" s="12">
        <f>VLOOKUP(Tabla4[[#This Row],[ZONA DEFINITIVO]],Hoja1!$A$1:$D$121,3,0)</f>
        <v>229067</v>
      </c>
      <c r="W206" s="12">
        <f>VLOOKUP(Tabla4[[#This Row],[ZONA DEFINITIVO]],Hoja1!$A$1:$D$121,2,0)</f>
        <v>15188</v>
      </c>
      <c r="X206" s="12">
        <f>VLOOKUP(Tabla4[[#This Row],[ZONA DEFINITIVO]],Hoja1!$A$1:$D$121,4,0)</f>
        <v>82325</v>
      </c>
      <c r="Y206" s="12" t="str">
        <f>+IF(Tabla4[[#This Row],[AGRUPACIONES]]=1,SUMIFS(Tabla4[UDS],Tabla4[ZONA DEFINITIVO],Tabla4[[#This Row],[ZONA DEFINITIVO]])," ")</f>
        <v xml:space="preserve"> </v>
      </c>
      <c r="Z206" s="12" t="str">
        <f>+IF(Tabla4[[#This Row],[AGRUPACIONES]]=1,SUMIFS(Tabla4[TOTAL COBERTURA],Tabla4[ZONA DEFINITIVO],Tabla4[[#This Row],[ZONA DEFINITIVO]])," ")</f>
        <v xml:space="preserve"> </v>
      </c>
      <c r="AA206" s="12"/>
      <c r="AB206" s="38">
        <v>75965250</v>
      </c>
      <c r="AC206" s="37">
        <v>0.02</v>
      </c>
      <c r="AD206" s="38">
        <f t="shared" si="3"/>
        <v>1519305</v>
      </c>
      <c r="AE206" s="12"/>
      <c r="AF206" s="12">
        <f>COUNTIF($A$20:A206,A206)</f>
        <v>6</v>
      </c>
      <c r="AG206" s="38">
        <v>75965250</v>
      </c>
      <c r="AH206" s="38">
        <f>Tabla4[[#This Row],[VALOR CONTRAPARTIDA]]+Tabla4[[#This Row],[TOTAL APORTES ICBF]]</f>
        <v>77484555</v>
      </c>
      <c r="AI206" s="35"/>
      <c r="AJ206" s="38"/>
      <c r="AK206" s="38"/>
      <c r="AL206" s="23"/>
      <c r="AM206" s="35">
        <f>VLOOKUP(Tabla4[[#This Row],[SERVICIO 2025]],$J$2:$V$14,5,0)*Tabla4[[#This Row],[TOTAL COBERTURA]]</f>
        <v>2337200</v>
      </c>
      <c r="AN206" s="35">
        <f>VLOOKUP(Tabla4[[#This Row],[SERVICIO 2025]],$J$2:$V$14,6,0)*Tabla4[[#This Row],[TOTAL COBERTURA]]</f>
        <v>1892050</v>
      </c>
      <c r="AO206" s="35">
        <f>VLOOKUP(Tabla4[[#This Row],[SERVICIO 2025]],$J$2:$V$14,8,0)*Tabla4[[#This Row],[TOTAL COBERTURA]]</f>
        <v>0</v>
      </c>
      <c r="AP206" s="35">
        <f>VLOOKUP(Tabla4[[#This Row],[SERVICIO 2025]],$J$2:$V$14,3,0)*Tabla4[[#This Row],[TOTAL COBERTURA]]*8</f>
        <v>71736000</v>
      </c>
      <c r="AQ206" s="35"/>
      <c r="AR206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206" s="35" t="str">
        <f>+IF(Tabla4[[#This Row],[AGRUPACIONES]]=1,SUMIFS(Tabla4[VALOR TOTAL],Tabla4[ZONA DEFINITIVO],Tabla4[[#This Row],[ZONA DEFINITIVO]])," ")</f>
        <v xml:space="preserve"> </v>
      </c>
      <c r="AT206" s="27">
        <f>(VLOOKUP(Tabla4[[#This Row],[SERVICIO 2025]],$J$2:$V$14,3,0)*Tabla4[[#This Row],[TOTAL COBERTURA]])+Tabla4[[#This Row],[VALOR FASE PREPARATORIA DE ALISTAMIENTO]]+Tabla4[[#This Row],[DOTACIÓN ÚNICA]]</f>
        <v>11304200</v>
      </c>
      <c r="AU206" s="35">
        <f>(VLOOKUP(Tabla4[[#This Row],[SERVICIO 2025]],$J$2:$V$14,3,0)*Tabla4[[#This Row],[TOTAL COBERTURA]])</f>
        <v>8967000</v>
      </c>
      <c r="AV206" s="35">
        <f>(VLOOKUP(Tabla4[[#This Row],[SERVICIO 2025]],$J$2:$V$14,3,0)*Tabla4[[#This Row],[TOTAL COBERTURA]])</f>
        <v>8967000</v>
      </c>
      <c r="AW206" s="35">
        <f>(VLOOKUP(Tabla4[[#This Row],[SERVICIO 2025]],$J$2:$V$14,3,0)*Tabla4[[#This Row],[TOTAL COBERTURA]])</f>
        <v>8967000</v>
      </c>
      <c r="AX206" s="35">
        <f>(VLOOKUP(Tabla4[[#This Row],[SERVICIO 2025]],$J$2:$V$14,3,0)*Tabla4[[#This Row],[TOTAL COBERTURA]])</f>
        <v>8967000</v>
      </c>
      <c r="AY206" s="35">
        <f>(VLOOKUP(Tabla4[[#This Row],[SERVICIO 2025]],$J$2:$V$14,3,0)*Tabla4[[#This Row],[TOTAL COBERTURA]])</f>
        <v>8967000</v>
      </c>
      <c r="AZ206" s="35">
        <f>(VLOOKUP(Tabla4[[#This Row],[SERVICIO 2025]],$J$2:$V$14,3,0)*Tabla4[[#This Row],[TOTAL COBERTURA]])</f>
        <v>8967000</v>
      </c>
      <c r="BA206" s="35">
        <f>(VLOOKUP(Tabla4[[#This Row],[SERVICIO 2025]],$J$2:$V$14,3,0)*Tabla4[[#This Row],[TOTAL COBERTURA]])+Tabla4[[#This Row],[VALOR FASE PREPARATORIA DE CIERRE]]</f>
        <v>10859050</v>
      </c>
      <c r="BB206" s="35">
        <f>SUM(Tabla4[[#This Row],[DESEMBOLSO 1]:[DESEMBOLSO 8]])</f>
        <v>75965250</v>
      </c>
      <c r="BC206" s="35"/>
      <c r="BD206" s="47" t="s">
        <v>97</v>
      </c>
      <c r="BE206" s="12" t="b">
        <f>EXACT(Tabla4[[#This Row],[VALOR ATENCIÓN (8 MESES)]],Tabla4[[#This Row],[VALOR TOTAL]])</f>
        <v>1</v>
      </c>
      <c r="BF206" s="23">
        <f>Tabla4[[#This Row],[VALOR ATENCIÓN (8 MESES)]]-Tabla4[[#This Row],[VALOR TOTAL]]</f>
        <v>0</v>
      </c>
      <c r="BG206" s="12" t="b">
        <f>EXACT(Tabla4[[#This Row],[TOTAL DESEMBOLSOS]],Tabla4[[#This Row],[VALOR ATENCIÓN (8 MESES)]])</f>
        <v>1</v>
      </c>
      <c r="BH206" s="29">
        <f>Tabla4[[#This Row],[TOTAL DESEMBOLSOS]]-Tabla4[[#This Row],[VALOR ATENCIÓN (8 MESES)]]</f>
        <v>0</v>
      </c>
      <c r="BI206" t="s">
        <v>98</v>
      </c>
    </row>
    <row r="207" spans="1:61">
      <c r="A207" s="13">
        <v>1903</v>
      </c>
      <c r="B207" s="13" t="s">
        <v>526</v>
      </c>
      <c r="C207" s="12" t="s">
        <v>87</v>
      </c>
      <c r="D207" s="12" t="s">
        <v>527</v>
      </c>
      <c r="E207" s="12" t="s">
        <v>528</v>
      </c>
      <c r="F207" s="12" t="s">
        <v>21</v>
      </c>
      <c r="G207" s="12" t="s">
        <v>90</v>
      </c>
      <c r="H207" s="12" t="s">
        <v>542</v>
      </c>
      <c r="I207" s="12">
        <v>55411144588</v>
      </c>
      <c r="J207" s="12" t="s">
        <v>543</v>
      </c>
      <c r="K207" s="12">
        <v>1</v>
      </c>
      <c r="L207" s="12">
        <v>45</v>
      </c>
      <c r="M207" s="12"/>
      <c r="N207" s="13">
        <v>1903</v>
      </c>
      <c r="O207" s="12" t="s">
        <v>93</v>
      </c>
      <c r="P207" s="12"/>
      <c r="Q207" s="12"/>
      <c r="R207" s="12" t="s">
        <v>94</v>
      </c>
      <c r="S207" s="12">
        <v>10</v>
      </c>
      <c r="T207" s="12" t="s">
        <v>534</v>
      </c>
      <c r="U207" s="12" t="s">
        <v>531</v>
      </c>
      <c r="V207" s="12">
        <f>VLOOKUP(Tabla4[[#This Row],[ZONA DEFINITIVO]],Hoja1!$A$1:$D$121,3,0)</f>
        <v>229067</v>
      </c>
      <c r="W207" s="12">
        <f>VLOOKUP(Tabla4[[#This Row],[ZONA DEFINITIVO]],Hoja1!$A$1:$D$121,2,0)</f>
        <v>15188</v>
      </c>
      <c r="X207" s="12">
        <f>VLOOKUP(Tabla4[[#This Row],[ZONA DEFINITIVO]],Hoja1!$A$1:$D$121,4,0)</f>
        <v>82325</v>
      </c>
      <c r="Y207" s="12" t="str">
        <f>+IF(Tabla4[[#This Row],[AGRUPACIONES]]=1,SUMIFS(Tabla4[UDS],Tabla4[ZONA DEFINITIVO],Tabla4[[#This Row],[ZONA DEFINITIVO]])," ")</f>
        <v xml:space="preserve"> </v>
      </c>
      <c r="Z207" s="12" t="str">
        <f>+IF(Tabla4[[#This Row],[AGRUPACIONES]]=1,SUMIFS(Tabla4[TOTAL COBERTURA],Tabla4[ZONA DEFINITIVO],Tabla4[[#This Row],[ZONA DEFINITIVO]])," ")</f>
        <v xml:space="preserve"> </v>
      </c>
      <c r="AA207" s="12"/>
      <c r="AB207" s="38">
        <v>68368725</v>
      </c>
      <c r="AC207" s="37">
        <v>0.02</v>
      </c>
      <c r="AD207" s="38">
        <f t="shared" si="3"/>
        <v>1367374.5</v>
      </c>
      <c r="AE207" s="12"/>
      <c r="AF207" s="12">
        <f>COUNTIF($A$20:A207,A207)</f>
        <v>7</v>
      </c>
      <c r="AG207" s="38">
        <v>68368725</v>
      </c>
      <c r="AH207" s="38">
        <f>Tabla4[[#This Row],[VALOR CONTRAPARTIDA]]+Tabla4[[#This Row],[TOTAL APORTES ICBF]]</f>
        <v>69736099.5</v>
      </c>
      <c r="AI207" s="35"/>
      <c r="AJ207" s="38"/>
      <c r="AK207" s="38"/>
      <c r="AL207" s="23"/>
      <c r="AM207" s="35">
        <f>VLOOKUP(Tabla4[[#This Row],[SERVICIO 2025]],$J$2:$V$14,5,0)*Tabla4[[#This Row],[TOTAL COBERTURA]]</f>
        <v>2103480</v>
      </c>
      <c r="AN207" s="35">
        <f>VLOOKUP(Tabla4[[#This Row],[SERVICIO 2025]],$J$2:$V$14,6,0)*Tabla4[[#This Row],[TOTAL COBERTURA]]</f>
        <v>1702845</v>
      </c>
      <c r="AO207" s="35">
        <f>VLOOKUP(Tabla4[[#This Row],[SERVICIO 2025]],$J$2:$V$14,8,0)*Tabla4[[#This Row],[TOTAL COBERTURA]]</f>
        <v>0</v>
      </c>
      <c r="AP207" s="35">
        <f>VLOOKUP(Tabla4[[#This Row],[SERVICIO 2025]],$J$2:$V$14,3,0)*Tabla4[[#This Row],[TOTAL COBERTURA]]*8</f>
        <v>64562400</v>
      </c>
      <c r="AQ207" s="35"/>
      <c r="AR207" s="35">
        <f>Tabla4[[#This Row],[VALOR FASE PREPARATORIA DE ALISTAMIENTO]]+Tabla4[[#This Row],[VALOR FASE PREPARATORIA DE CIERRE]]+Tabla4[[#This Row],[DOTACIÓN ÚNICA]]+Tabla4[[#This Row],[VALOR ATENCIÓN]]+Tabla4[[#This Row],[VALOR RACION PREPARADA]]</f>
        <v>68368725</v>
      </c>
      <c r="AS207" s="35" t="str">
        <f>+IF(Tabla4[[#This Row],[AGRUPACIONES]]=1,SUMIFS(Tabla4[VALOR TOTAL],Tabla4[ZONA DEFINITIVO],Tabla4[[#This Row],[ZONA DEFINITIVO]])," ")</f>
        <v xml:space="preserve"> </v>
      </c>
      <c r="AT207" s="27">
        <f>(VLOOKUP(Tabla4[[#This Row],[SERVICIO 2025]],$J$2:$V$14,3,0)*Tabla4[[#This Row],[TOTAL COBERTURA]])+Tabla4[[#This Row],[VALOR FASE PREPARATORIA DE ALISTAMIENTO]]+Tabla4[[#This Row],[DOTACIÓN ÚNICA]]</f>
        <v>10173780</v>
      </c>
      <c r="AU207" s="35">
        <f>(VLOOKUP(Tabla4[[#This Row],[SERVICIO 2025]],$J$2:$V$14,3,0)*Tabla4[[#This Row],[TOTAL COBERTURA]])</f>
        <v>8070300</v>
      </c>
      <c r="AV207" s="35">
        <f>(VLOOKUP(Tabla4[[#This Row],[SERVICIO 2025]],$J$2:$V$14,3,0)*Tabla4[[#This Row],[TOTAL COBERTURA]])</f>
        <v>8070300</v>
      </c>
      <c r="AW207" s="35">
        <f>(VLOOKUP(Tabla4[[#This Row],[SERVICIO 2025]],$J$2:$V$14,3,0)*Tabla4[[#This Row],[TOTAL COBERTURA]])</f>
        <v>8070300</v>
      </c>
      <c r="AX207" s="35">
        <f>(VLOOKUP(Tabla4[[#This Row],[SERVICIO 2025]],$J$2:$V$14,3,0)*Tabla4[[#This Row],[TOTAL COBERTURA]])</f>
        <v>8070300</v>
      </c>
      <c r="AY207" s="35">
        <f>(VLOOKUP(Tabla4[[#This Row],[SERVICIO 2025]],$J$2:$V$14,3,0)*Tabla4[[#This Row],[TOTAL COBERTURA]])</f>
        <v>8070300</v>
      </c>
      <c r="AZ207" s="35">
        <f>(VLOOKUP(Tabla4[[#This Row],[SERVICIO 2025]],$J$2:$V$14,3,0)*Tabla4[[#This Row],[TOTAL COBERTURA]])</f>
        <v>8070300</v>
      </c>
      <c r="BA207" s="35">
        <f>(VLOOKUP(Tabla4[[#This Row],[SERVICIO 2025]],$J$2:$V$14,3,0)*Tabla4[[#This Row],[TOTAL COBERTURA]])+Tabla4[[#This Row],[VALOR FASE PREPARATORIA DE CIERRE]]</f>
        <v>9773145</v>
      </c>
      <c r="BB207" s="35">
        <f>SUM(Tabla4[[#This Row],[DESEMBOLSO 1]:[DESEMBOLSO 8]])</f>
        <v>68368725</v>
      </c>
      <c r="BC207" s="35"/>
      <c r="BD207" s="47" t="s">
        <v>97</v>
      </c>
      <c r="BE207" s="12" t="b">
        <f>EXACT(Tabla4[[#This Row],[VALOR ATENCIÓN (8 MESES)]],Tabla4[[#This Row],[VALOR TOTAL]])</f>
        <v>1</v>
      </c>
      <c r="BF207" s="23">
        <f>Tabla4[[#This Row],[VALOR ATENCIÓN (8 MESES)]]-Tabla4[[#This Row],[VALOR TOTAL]]</f>
        <v>0</v>
      </c>
      <c r="BG207" s="12" t="b">
        <f>EXACT(Tabla4[[#This Row],[TOTAL DESEMBOLSOS]],Tabla4[[#This Row],[VALOR ATENCIÓN (8 MESES)]])</f>
        <v>1</v>
      </c>
      <c r="BH207" s="29">
        <f>Tabla4[[#This Row],[TOTAL DESEMBOLSOS]]-Tabla4[[#This Row],[VALOR ATENCIÓN (8 MESES)]]</f>
        <v>0</v>
      </c>
      <c r="BI207" t="s">
        <v>98</v>
      </c>
    </row>
    <row r="208" spans="1:61">
      <c r="A208" s="13">
        <v>1903</v>
      </c>
      <c r="B208" s="13" t="s">
        <v>526</v>
      </c>
      <c r="C208" s="12" t="s">
        <v>87</v>
      </c>
      <c r="D208" s="12" t="s">
        <v>527</v>
      </c>
      <c r="E208" s="12" t="s">
        <v>528</v>
      </c>
      <c r="F208" s="12" t="s">
        <v>21</v>
      </c>
      <c r="G208" s="12" t="s">
        <v>90</v>
      </c>
      <c r="H208" s="12" t="s">
        <v>544</v>
      </c>
      <c r="I208" s="12">
        <v>55411148648</v>
      </c>
      <c r="J208" s="12" t="s">
        <v>545</v>
      </c>
      <c r="K208" s="12">
        <v>1</v>
      </c>
      <c r="L208" s="12">
        <v>48</v>
      </c>
      <c r="M208" s="12"/>
      <c r="N208" s="13">
        <v>1903</v>
      </c>
      <c r="O208" s="12" t="s">
        <v>93</v>
      </c>
      <c r="P208" s="12"/>
      <c r="Q208" s="12"/>
      <c r="R208" s="12" t="s">
        <v>94</v>
      </c>
      <c r="S208" s="12">
        <v>10</v>
      </c>
      <c r="T208" s="12" t="s">
        <v>534</v>
      </c>
      <c r="U208" s="12" t="s">
        <v>531</v>
      </c>
      <c r="V208" s="12">
        <f>VLOOKUP(Tabla4[[#This Row],[ZONA DEFINITIVO]],Hoja1!$A$1:$D$121,3,0)</f>
        <v>229067</v>
      </c>
      <c r="W208" s="12">
        <f>VLOOKUP(Tabla4[[#This Row],[ZONA DEFINITIVO]],Hoja1!$A$1:$D$121,2,0)</f>
        <v>15188</v>
      </c>
      <c r="X208" s="12">
        <f>VLOOKUP(Tabla4[[#This Row],[ZONA DEFINITIVO]],Hoja1!$A$1:$D$121,4,0)</f>
        <v>82325</v>
      </c>
      <c r="Y208" s="12" t="str">
        <f>+IF(Tabla4[[#This Row],[AGRUPACIONES]]=1,SUMIFS(Tabla4[UDS],Tabla4[ZONA DEFINITIVO],Tabla4[[#This Row],[ZONA DEFINITIVO]])," ")</f>
        <v xml:space="preserve"> </v>
      </c>
      <c r="Z208" s="12" t="str">
        <f>+IF(Tabla4[[#This Row],[AGRUPACIONES]]=1,SUMIFS(Tabla4[TOTAL COBERTURA],Tabla4[ZONA DEFINITIVO],Tabla4[[#This Row],[ZONA DEFINITIVO]])," ")</f>
        <v xml:space="preserve"> </v>
      </c>
      <c r="AA208" s="12"/>
      <c r="AB208" s="38">
        <v>72926640</v>
      </c>
      <c r="AC208" s="37">
        <v>0.02</v>
      </c>
      <c r="AD208" s="38">
        <f t="shared" si="3"/>
        <v>1458532.8</v>
      </c>
      <c r="AE208" s="12"/>
      <c r="AF208" s="12">
        <f>COUNTIF($A$20:A208,A208)</f>
        <v>8</v>
      </c>
      <c r="AG208" s="38">
        <v>72926640</v>
      </c>
      <c r="AH208" s="38">
        <f>Tabla4[[#This Row],[VALOR CONTRAPARTIDA]]+Tabla4[[#This Row],[TOTAL APORTES ICBF]]</f>
        <v>74385172.799999997</v>
      </c>
      <c r="AI208" s="35"/>
      <c r="AJ208" s="38"/>
      <c r="AK208" s="38"/>
      <c r="AL208" s="23"/>
      <c r="AM208" s="35">
        <f>VLOOKUP(Tabla4[[#This Row],[SERVICIO 2025]],$J$2:$V$14,5,0)*Tabla4[[#This Row],[TOTAL COBERTURA]]</f>
        <v>2243712</v>
      </c>
      <c r="AN208" s="35">
        <f>VLOOKUP(Tabla4[[#This Row],[SERVICIO 2025]],$J$2:$V$14,6,0)*Tabla4[[#This Row],[TOTAL COBERTURA]]</f>
        <v>1816368</v>
      </c>
      <c r="AO208" s="35">
        <f>VLOOKUP(Tabla4[[#This Row],[SERVICIO 2025]],$J$2:$V$14,8,0)*Tabla4[[#This Row],[TOTAL COBERTURA]]</f>
        <v>0</v>
      </c>
      <c r="AP208" s="35">
        <f>VLOOKUP(Tabla4[[#This Row],[SERVICIO 2025]],$J$2:$V$14,3,0)*Tabla4[[#This Row],[TOTAL COBERTURA]]*8</f>
        <v>68866560</v>
      </c>
      <c r="AQ208" s="35"/>
      <c r="AR208" s="35">
        <f>Tabla4[[#This Row],[VALOR FASE PREPARATORIA DE ALISTAMIENTO]]+Tabla4[[#This Row],[VALOR FASE PREPARATORIA DE CIERRE]]+Tabla4[[#This Row],[DOTACIÓN ÚNICA]]+Tabla4[[#This Row],[VALOR ATENCIÓN]]+Tabla4[[#This Row],[VALOR RACION PREPARADA]]</f>
        <v>72926640</v>
      </c>
      <c r="AS208" s="35" t="str">
        <f>+IF(Tabla4[[#This Row],[AGRUPACIONES]]=1,SUMIFS(Tabla4[VALOR TOTAL],Tabla4[ZONA DEFINITIVO],Tabla4[[#This Row],[ZONA DEFINITIVO]])," ")</f>
        <v xml:space="preserve"> </v>
      </c>
      <c r="AT208" s="27">
        <f>(VLOOKUP(Tabla4[[#This Row],[SERVICIO 2025]],$J$2:$V$14,3,0)*Tabla4[[#This Row],[TOTAL COBERTURA]])+Tabla4[[#This Row],[VALOR FASE PREPARATORIA DE ALISTAMIENTO]]+Tabla4[[#This Row],[DOTACIÓN ÚNICA]]</f>
        <v>10852032</v>
      </c>
      <c r="AU208" s="35">
        <f>(VLOOKUP(Tabla4[[#This Row],[SERVICIO 2025]],$J$2:$V$14,3,0)*Tabla4[[#This Row],[TOTAL COBERTURA]])</f>
        <v>8608320</v>
      </c>
      <c r="AV208" s="35">
        <f>(VLOOKUP(Tabla4[[#This Row],[SERVICIO 2025]],$J$2:$V$14,3,0)*Tabla4[[#This Row],[TOTAL COBERTURA]])</f>
        <v>8608320</v>
      </c>
      <c r="AW208" s="35">
        <f>(VLOOKUP(Tabla4[[#This Row],[SERVICIO 2025]],$J$2:$V$14,3,0)*Tabla4[[#This Row],[TOTAL COBERTURA]])</f>
        <v>8608320</v>
      </c>
      <c r="AX208" s="35">
        <f>(VLOOKUP(Tabla4[[#This Row],[SERVICIO 2025]],$J$2:$V$14,3,0)*Tabla4[[#This Row],[TOTAL COBERTURA]])</f>
        <v>8608320</v>
      </c>
      <c r="AY208" s="35">
        <f>(VLOOKUP(Tabla4[[#This Row],[SERVICIO 2025]],$J$2:$V$14,3,0)*Tabla4[[#This Row],[TOTAL COBERTURA]])</f>
        <v>8608320</v>
      </c>
      <c r="AZ208" s="35">
        <f>(VLOOKUP(Tabla4[[#This Row],[SERVICIO 2025]],$J$2:$V$14,3,0)*Tabla4[[#This Row],[TOTAL COBERTURA]])</f>
        <v>8608320</v>
      </c>
      <c r="BA208" s="35">
        <f>(VLOOKUP(Tabla4[[#This Row],[SERVICIO 2025]],$J$2:$V$14,3,0)*Tabla4[[#This Row],[TOTAL COBERTURA]])+Tabla4[[#This Row],[VALOR FASE PREPARATORIA DE CIERRE]]</f>
        <v>10424688</v>
      </c>
      <c r="BB208" s="35">
        <f>SUM(Tabla4[[#This Row],[DESEMBOLSO 1]:[DESEMBOLSO 8]])</f>
        <v>72926640</v>
      </c>
      <c r="BC208" s="35"/>
      <c r="BD208" s="47" t="s">
        <v>97</v>
      </c>
      <c r="BE208" s="12" t="b">
        <f>EXACT(Tabla4[[#This Row],[VALOR ATENCIÓN (8 MESES)]],Tabla4[[#This Row],[VALOR TOTAL]])</f>
        <v>1</v>
      </c>
      <c r="BF208" s="23">
        <f>Tabla4[[#This Row],[VALOR ATENCIÓN (8 MESES)]]-Tabla4[[#This Row],[VALOR TOTAL]]</f>
        <v>0</v>
      </c>
      <c r="BG208" s="12" t="b">
        <f>EXACT(Tabla4[[#This Row],[TOTAL DESEMBOLSOS]],Tabla4[[#This Row],[VALOR ATENCIÓN (8 MESES)]])</f>
        <v>1</v>
      </c>
      <c r="BH208" s="29">
        <f>Tabla4[[#This Row],[TOTAL DESEMBOLSOS]]-Tabla4[[#This Row],[VALOR ATENCIÓN (8 MESES)]]</f>
        <v>0</v>
      </c>
      <c r="BI208" t="s">
        <v>98</v>
      </c>
    </row>
    <row r="209" spans="1:62">
      <c r="A209" s="13">
        <v>1903</v>
      </c>
      <c r="B209" s="13" t="s">
        <v>526</v>
      </c>
      <c r="C209" s="12" t="s">
        <v>87</v>
      </c>
      <c r="D209" s="12" t="s">
        <v>527</v>
      </c>
      <c r="E209" s="12" t="s">
        <v>528</v>
      </c>
      <c r="F209" s="12" t="s">
        <v>21</v>
      </c>
      <c r="G209" s="12" t="s">
        <v>90</v>
      </c>
      <c r="H209" s="12" t="s">
        <v>546</v>
      </c>
      <c r="I209" s="12">
        <v>554100112889</v>
      </c>
      <c r="J209" s="12" t="s">
        <v>547</v>
      </c>
      <c r="K209" s="12">
        <v>1</v>
      </c>
      <c r="L209" s="12">
        <v>50</v>
      </c>
      <c r="M209" s="12"/>
      <c r="N209" s="13">
        <v>1903</v>
      </c>
      <c r="O209" s="12" t="s">
        <v>93</v>
      </c>
      <c r="P209" s="12"/>
      <c r="Q209" s="12"/>
      <c r="R209" s="12" t="s">
        <v>94</v>
      </c>
      <c r="S209" s="12">
        <v>10</v>
      </c>
      <c r="T209" s="12" t="s">
        <v>534</v>
      </c>
      <c r="U209" s="12" t="s">
        <v>531</v>
      </c>
      <c r="V209" s="12">
        <f>VLOOKUP(Tabla4[[#This Row],[ZONA DEFINITIVO]],Hoja1!$A$1:$D$121,3,0)</f>
        <v>229067</v>
      </c>
      <c r="W209" s="12">
        <f>VLOOKUP(Tabla4[[#This Row],[ZONA DEFINITIVO]],Hoja1!$A$1:$D$121,2,0)</f>
        <v>15188</v>
      </c>
      <c r="X209" s="12">
        <f>VLOOKUP(Tabla4[[#This Row],[ZONA DEFINITIVO]],Hoja1!$A$1:$D$121,4,0)</f>
        <v>82325</v>
      </c>
      <c r="Y209" s="12" t="str">
        <f>+IF(Tabla4[[#This Row],[AGRUPACIONES]]=1,SUMIFS(Tabla4[UDS],Tabla4[ZONA DEFINITIVO],Tabla4[[#This Row],[ZONA DEFINITIVO]])," ")</f>
        <v xml:space="preserve"> </v>
      </c>
      <c r="Z209" s="12" t="str">
        <f>+IF(Tabla4[[#This Row],[AGRUPACIONES]]=1,SUMIFS(Tabla4[TOTAL COBERTURA],Tabla4[ZONA DEFINITIVO],Tabla4[[#This Row],[ZONA DEFINITIVO]])," ")</f>
        <v xml:space="preserve"> </v>
      </c>
      <c r="AA209" s="12"/>
      <c r="AB209" s="38">
        <v>75965250</v>
      </c>
      <c r="AC209" s="37">
        <v>0.02</v>
      </c>
      <c r="AD209" s="38">
        <f t="shared" si="3"/>
        <v>1519305</v>
      </c>
      <c r="AE209" s="12"/>
      <c r="AF209" s="12">
        <f>COUNTIF($A$20:A209,A209)</f>
        <v>9</v>
      </c>
      <c r="AG209" s="38">
        <v>75965250</v>
      </c>
      <c r="AH209" s="38">
        <f>Tabla4[[#This Row],[VALOR CONTRAPARTIDA]]+Tabla4[[#This Row],[TOTAL APORTES ICBF]]</f>
        <v>77484555</v>
      </c>
      <c r="AI209" s="35"/>
      <c r="AJ209" s="38"/>
      <c r="AK209" s="38"/>
      <c r="AL209" s="23"/>
      <c r="AM209" s="35">
        <f>VLOOKUP(Tabla4[[#This Row],[SERVICIO 2025]],$J$2:$V$14,5,0)*Tabla4[[#This Row],[TOTAL COBERTURA]]</f>
        <v>2337200</v>
      </c>
      <c r="AN209" s="35">
        <f>VLOOKUP(Tabla4[[#This Row],[SERVICIO 2025]],$J$2:$V$14,6,0)*Tabla4[[#This Row],[TOTAL COBERTURA]]</f>
        <v>1892050</v>
      </c>
      <c r="AO209" s="35">
        <f>VLOOKUP(Tabla4[[#This Row],[SERVICIO 2025]],$J$2:$V$14,8,0)*Tabla4[[#This Row],[TOTAL COBERTURA]]</f>
        <v>0</v>
      </c>
      <c r="AP209" s="35">
        <f>VLOOKUP(Tabla4[[#This Row],[SERVICIO 2025]],$J$2:$V$14,3,0)*Tabla4[[#This Row],[TOTAL COBERTURA]]*8</f>
        <v>71736000</v>
      </c>
      <c r="AQ209" s="35"/>
      <c r="AR209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209" s="35" t="str">
        <f>+IF(Tabla4[[#This Row],[AGRUPACIONES]]=1,SUMIFS(Tabla4[VALOR TOTAL],Tabla4[ZONA DEFINITIVO],Tabla4[[#This Row],[ZONA DEFINITIVO]])," ")</f>
        <v xml:space="preserve"> </v>
      </c>
      <c r="AT209" s="27">
        <f>(VLOOKUP(Tabla4[[#This Row],[SERVICIO 2025]],$J$2:$V$14,3,0)*Tabla4[[#This Row],[TOTAL COBERTURA]])+Tabla4[[#This Row],[VALOR FASE PREPARATORIA DE ALISTAMIENTO]]+Tabla4[[#This Row],[DOTACIÓN ÚNICA]]</f>
        <v>11304200</v>
      </c>
      <c r="AU209" s="35">
        <f>(VLOOKUP(Tabla4[[#This Row],[SERVICIO 2025]],$J$2:$V$14,3,0)*Tabla4[[#This Row],[TOTAL COBERTURA]])</f>
        <v>8967000</v>
      </c>
      <c r="AV209" s="35">
        <f>(VLOOKUP(Tabla4[[#This Row],[SERVICIO 2025]],$J$2:$V$14,3,0)*Tabla4[[#This Row],[TOTAL COBERTURA]])</f>
        <v>8967000</v>
      </c>
      <c r="AW209" s="35">
        <f>(VLOOKUP(Tabla4[[#This Row],[SERVICIO 2025]],$J$2:$V$14,3,0)*Tabla4[[#This Row],[TOTAL COBERTURA]])</f>
        <v>8967000</v>
      </c>
      <c r="AX209" s="35">
        <f>(VLOOKUP(Tabla4[[#This Row],[SERVICIO 2025]],$J$2:$V$14,3,0)*Tabla4[[#This Row],[TOTAL COBERTURA]])</f>
        <v>8967000</v>
      </c>
      <c r="AY209" s="35">
        <f>(VLOOKUP(Tabla4[[#This Row],[SERVICIO 2025]],$J$2:$V$14,3,0)*Tabla4[[#This Row],[TOTAL COBERTURA]])</f>
        <v>8967000</v>
      </c>
      <c r="AZ209" s="35">
        <f>(VLOOKUP(Tabla4[[#This Row],[SERVICIO 2025]],$J$2:$V$14,3,0)*Tabla4[[#This Row],[TOTAL COBERTURA]])</f>
        <v>8967000</v>
      </c>
      <c r="BA209" s="35">
        <f>(VLOOKUP(Tabla4[[#This Row],[SERVICIO 2025]],$J$2:$V$14,3,0)*Tabla4[[#This Row],[TOTAL COBERTURA]])+Tabla4[[#This Row],[VALOR FASE PREPARATORIA DE CIERRE]]</f>
        <v>10859050</v>
      </c>
      <c r="BB209" s="35">
        <f>SUM(Tabla4[[#This Row],[DESEMBOLSO 1]:[DESEMBOLSO 8]])</f>
        <v>75965250</v>
      </c>
      <c r="BC209" s="35"/>
      <c r="BD209" s="47" t="s">
        <v>97</v>
      </c>
      <c r="BE209" s="12" t="b">
        <f>EXACT(Tabla4[[#This Row],[VALOR ATENCIÓN (8 MESES)]],Tabla4[[#This Row],[VALOR TOTAL]])</f>
        <v>1</v>
      </c>
      <c r="BF209" s="23">
        <f>Tabla4[[#This Row],[VALOR ATENCIÓN (8 MESES)]]-Tabla4[[#This Row],[VALOR TOTAL]]</f>
        <v>0</v>
      </c>
      <c r="BG209" s="12" t="b">
        <f>EXACT(Tabla4[[#This Row],[TOTAL DESEMBOLSOS]],Tabla4[[#This Row],[VALOR ATENCIÓN (8 MESES)]])</f>
        <v>1</v>
      </c>
      <c r="BH209" s="29">
        <f>Tabla4[[#This Row],[TOTAL DESEMBOLSOS]]-Tabla4[[#This Row],[VALOR ATENCIÓN (8 MESES)]]</f>
        <v>0</v>
      </c>
      <c r="BI209" t="s">
        <v>98</v>
      </c>
    </row>
    <row r="210" spans="1:62">
      <c r="A210" s="13">
        <v>1903</v>
      </c>
      <c r="B210" s="13" t="s">
        <v>526</v>
      </c>
      <c r="C210" s="12" t="s">
        <v>87</v>
      </c>
      <c r="D210" s="12" t="s">
        <v>527</v>
      </c>
      <c r="E210" s="12" t="s">
        <v>528</v>
      </c>
      <c r="F210" s="12" t="s">
        <v>14</v>
      </c>
      <c r="G210" s="12" t="s">
        <v>90</v>
      </c>
      <c r="H210" s="12" t="s">
        <v>548</v>
      </c>
      <c r="I210" s="12">
        <v>554100112942</v>
      </c>
      <c r="J210" s="12" t="s">
        <v>549</v>
      </c>
      <c r="K210" s="12">
        <v>1</v>
      </c>
      <c r="L210" s="12">
        <v>199</v>
      </c>
      <c r="M210" s="12"/>
      <c r="N210" s="13">
        <v>1903</v>
      </c>
      <c r="O210" s="12" t="s">
        <v>93</v>
      </c>
      <c r="P210" s="12"/>
      <c r="Q210" s="12"/>
      <c r="R210" s="12" t="s">
        <v>94</v>
      </c>
      <c r="S210" s="12">
        <v>10</v>
      </c>
      <c r="T210" s="12" t="s">
        <v>534</v>
      </c>
      <c r="U210" s="12" t="s">
        <v>531</v>
      </c>
      <c r="V210" s="12">
        <f>VLOOKUP(Tabla4[[#This Row],[ZONA DEFINITIVO]],Hoja1!$A$1:$D$121,3,0)</f>
        <v>229067</v>
      </c>
      <c r="W210" s="12">
        <f>VLOOKUP(Tabla4[[#This Row],[ZONA DEFINITIVO]],Hoja1!$A$1:$D$121,2,0)</f>
        <v>15188</v>
      </c>
      <c r="X210" s="12">
        <f>VLOOKUP(Tabla4[[#This Row],[ZONA DEFINITIVO]],Hoja1!$A$1:$D$121,4,0)</f>
        <v>82325</v>
      </c>
      <c r="Y210" s="12" t="str">
        <f>+IF(Tabla4[[#This Row],[AGRUPACIONES]]=1,SUMIFS(Tabla4[UDS],Tabla4[ZONA DEFINITIVO],Tabla4[[#This Row],[ZONA DEFINITIVO]])," ")</f>
        <v xml:space="preserve"> </v>
      </c>
      <c r="Z210" s="12" t="str">
        <f>+IF(Tabla4[[#This Row],[AGRUPACIONES]]=1,SUMIFS(Tabla4[TOTAL COBERTURA],Tabla4[ZONA DEFINITIVO],Tabla4[[#This Row],[ZONA DEFINITIVO]])," ")</f>
        <v xml:space="preserve"> </v>
      </c>
      <c r="AA210" s="12"/>
      <c r="AB210" s="38">
        <v>833581150</v>
      </c>
      <c r="AC210" s="37">
        <v>0.02</v>
      </c>
      <c r="AD210" s="38">
        <f t="shared" si="3"/>
        <v>16671623</v>
      </c>
      <c r="AE210" s="12"/>
      <c r="AF210" s="12">
        <f>COUNTIF($A$20:A210,A210)</f>
        <v>10</v>
      </c>
      <c r="AG210" s="38">
        <v>833581150</v>
      </c>
      <c r="AH210" s="38">
        <f>Tabla4[[#This Row],[VALOR CONTRAPARTIDA]]+Tabla4[[#This Row],[TOTAL APORTES ICBF]]</f>
        <v>850252773</v>
      </c>
      <c r="AI210" s="35"/>
      <c r="AJ210" s="38"/>
      <c r="AK210" s="38"/>
      <c r="AL210" s="23"/>
      <c r="AM210" s="35">
        <f>VLOOKUP(Tabla4[[#This Row],[SERVICIO 2025]],$J$2:$V$14,5,0)*Tabla4[[#This Row],[TOTAL COBERTURA]]</f>
        <v>17540457</v>
      </c>
      <c r="AN210" s="35">
        <f>VLOOKUP(Tabla4[[#This Row],[SERVICIO 2025]],$J$2:$V$14,6,0)*Tabla4[[#This Row],[TOTAL COBERTURA]]</f>
        <v>14933557</v>
      </c>
      <c r="AO210" s="35">
        <f>VLOOKUP(Tabla4[[#This Row],[SERVICIO 2025]],$J$2:$V$14,8,0)*Tabla4[[#This Row],[TOTAL COBERTURA]]</f>
        <v>0</v>
      </c>
      <c r="AP210" s="35">
        <f>VLOOKUP(Tabla4[[#This Row],[SERVICIO 2025]],$J$2:$V$14,3,0)*Tabla4[[#This Row],[TOTAL COBERTURA]]*8</f>
        <v>801107136</v>
      </c>
      <c r="AQ210" s="35"/>
      <c r="AR210" s="35">
        <f>Tabla4[[#This Row],[VALOR FASE PREPARATORIA DE ALISTAMIENTO]]+Tabla4[[#This Row],[VALOR FASE PREPARATORIA DE CIERRE]]+Tabla4[[#This Row],[DOTACIÓN ÚNICA]]+Tabla4[[#This Row],[VALOR ATENCIÓN]]+Tabla4[[#This Row],[VALOR RACION PREPARADA]]</f>
        <v>833581150</v>
      </c>
      <c r="AS210" s="35" t="str">
        <f>+IF(Tabla4[[#This Row],[AGRUPACIONES]]=1,SUMIFS(Tabla4[VALOR TOTAL],Tabla4[ZONA DEFINITIVO],Tabla4[[#This Row],[ZONA DEFINITIVO]])," ")</f>
        <v xml:space="preserve"> </v>
      </c>
      <c r="AT210" s="27">
        <f>(VLOOKUP(Tabla4[[#This Row],[SERVICIO 2025]],$J$2:$V$14,3,0)*Tabla4[[#This Row],[TOTAL COBERTURA]])+Tabla4[[#This Row],[VALOR FASE PREPARATORIA DE ALISTAMIENTO]]+Tabla4[[#This Row],[DOTACIÓN ÚNICA]]</f>
        <v>117678849</v>
      </c>
      <c r="AU210" s="35">
        <f>(VLOOKUP(Tabla4[[#This Row],[SERVICIO 2025]],$J$2:$V$14,3,0)*Tabla4[[#This Row],[TOTAL COBERTURA]])</f>
        <v>100138392</v>
      </c>
      <c r="AV210" s="35">
        <f>(VLOOKUP(Tabla4[[#This Row],[SERVICIO 2025]],$J$2:$V$14,3,0)*Tabla4[[#This Row],[TOTAL COBERTURA]])</f>
        <v>100138392</v>
      </c>
      <c r="AW210" s="35">
        <f>(VLOOKUP(Tabla4[[#This Row],[SERVICIO 2025]],$J$2:$V$14,3,0)*Tabla4[[#This Row],[TOTAL COBERTURA]])</f>
        <v>100138392</v>
      </c>
      <c r="AX210" s="35">
        <f>(VLOOKUP(Tabla4[[#This Row],[SERVICIO 2025]],$J$2:$V$14,3,0)*Tabla4[[#This Row],[TOTAL COBERTURA]])</f>
        <v>100138392</v>
      </c>
      <c r="AY210" s="35">
        <f>(VLOOKUP(Tabla4[[#This Row],[SERVICIO 2025]],$J$2:$V$14,3,0)*Tabla4[[#This Row],[TOTAL COBERTURA]])</f>
        <v>100138392</v>
      </c>
      <c r="AZ210" s="35">
        <f>(VLOOKUP(Tabla4[[#This Row],[SERVICIO 2025]],$J$2:$V$14,3,0)*Tabla4[[#This Row],[TOTAL COBERTURA]])</f>
        <v>100138392</v>
      </c>
      <c r="BA210" s="35">
        <f>(VLOOKUP(Tabla4[[#This Row],[SERVICIO 2025]],$J$2:$V$14,3,0)*Tabla4[[#This Row],[TOTAL COBERTURA]])+Tabla4[[#This Row],[VALOR FASE PREPARATORIA DE CIERRE]]</f>
        <v>115071949</v>
      </c>
      <c r="BB210" s="35">
        <f>SUM(Tabla4[[#This Row],[DESEMBOLSO 1]:[DESEMBOLSO 8]])</f>
        <v>833581150</v>
      </c>
      <c r="BC210" s="35">
        <f>VLOOKUP(Tabla4[[#This Row],[SERVICIO 2025]],$J$2:$V$14,10,0)*Tabla4[[#This Row],[TOTAL COBERTURA]]*$W$3</f>
        <v>0</v>
      </c>
      <c r="BD210" s="47" t="s">
        <v>145</v>
      </c>
      <c r="BE210" s="12" t="b">
        <f>EXACT(Tabla4[[#This Row],[VALOR ATENCIÓN (8 MESES)]],Tabla4[[#This Row],[VALOR TOTAL]])</f>
        <v>1</v>
      </c>
      <c r="BF210" s="23">
        <f>Tabla4[[#This Row],[VALOR ATENCIÓN (8 MESES)]]-Tabla4[[#This Row],[VALOR TOTAL]]</f>
        <v>0</v>
      </c>
      <c r="BG210" s="12" t="b">
        <f>EXACT(Tabla4[[#This Row],[TOTAL DESEMBOLSOS]],Tabla4[[#This Row],[VALOR ATENCIÓN (8 MESES)]])</f>
        <v>1</v>
      </c>
      <c r="BH210" s="29">
        <f>Tabla4[[#This Row],[TOTAL DESEMBOLSOS]]-Tabla4[[#This Row],[VALOR ATENCIÓN (8 MESES)]]</f>
        <v>0</v>
      </c>
      <c r="BI210" t="s">
        <v>98</v>
      </c>
    </row>
    <row r="211" spans="1:62">
      <c r="A211" s="13">
        <v>1904</v>
      </c>
      <c r="B211" s="13" t="s">
        <v>550</v>
      </c>
      <c r="C211" s="12" t="s">
        <v>87</v>
      </c>
      <c r="D211" s="12" t="s">
        <v>527</v>
      </c>
      <c r="E211" s="12" t="s">
        <v>551</v>
      </c>
      <c r="F211" s="12" t="s">
        <v>14</v>
      </c>
      <c r="G211" s="12" t="s">
        <v>90</v>
      </c>
      <c r="H211" s="12" t="s">
        <v>552</v>
      </c>
      <c r="I211" s="12">
        <v>50021134958</v>
      </c>
      <c r="J211" s="12" t="s">
        <v>553</v>
      </c>
      <c r="K211" s="12">
        <v>1</v>
      </c>
      <c r="L211" s="12">
        <v>70</v>
      </c>
      <c r="M211" s="12"/>
      <c r="N211" s="13">
        <v>1904</v>
      </c>
      <c r="O211" s="12" t="s">
        <v>93</v>
      </c>
      <c r="P211" s="12"/>
      <c r="Q211" s="12"/>
      <c r="R211" s="12" t="s">
        <v>94</v>
      </c>
      <c r="S211" s="12">
        <v>10</v>
      </c>
      <c r="T211" s="12" t="s">
        <v>534</v>
      </c>
      <c r="U211" s="12" t="s">
        <v>531</v>
      </c>
      <c r="V211" s="12">
        <f>VLOOKUP(Tabla4[[#This Row],[ZONA DEFINITIVO]],Hoja1!$A$1:$D$121,3,0)</f>
        <v>229068</v>
      </c>
      <c r="W211" s="12">
        <f>VLOOKUP(Tabla4[[#This Row],[ZONA DEFINITIVO]],Hoja1!$A$1:$D$121,2,0)</f>
        <v>15166</v>
      </c>
      <c r="X211" s="12">
        <f>VLOOKUP(Tabla4[[#This Row],[ZONA DEFINITIVO]],Hoja1!$A$1:$D$121,4,0)</f>
        <v>87225</v>
      </c>
      <c r="Y211" s="12">
        <f>+IF(Tabla4[[#This Row],[AGRUPACIONES]]=1,SUMIFS(Tabla4[UDS],Tabla4[ZONA DEFINITIVO],Tabla4[[#This Row],[ZONA DEFINITIVO]])," ")</f>
        <v>14</v>
      </c>
      <c r="Z211" s="12">
        <f>+IF(Tabla4[[#This Row],[AGRUPACIONES]]=1,SUMIFS(Tabla4[TOTAL COBERTURA],Tabla4[ZONA DEFINITIVO],Tabla4[[#This Row],[ZONA DEFINITIVO]])," ")</f>
        <v>759</v>
      </c>
      <c r="AA211" s="12"/>
      <c r="AB211" s="38">
        <v>293219500</v>
      </c>
      <c r="AC211" s="37">
        <v>0.02</v>
      </c>
      <c r="AD211" s="38">
        <f t="shared" si="3"/>
        <v>5864390</v>
      </c>
      <c r="AE211" s="12"/>
      <c r="AF211" s="12">
        <f>COUNTIF($A$20:A211,A211)</f>
        <v>1</v>
      </c>
      <c r="AG211" s="38">
        <v>293219500</v>
      </c>
      <c r="AH211" s="38">
        <f>Tabla4[[#This Row],[VALOR CONTRAPARTIDA]]+Tabla4[[#This Row],[TOTAL APORTES ICBF]]</f>
        <v>299083890</v>
      </c>
      <c r="AI211" s="35">
        <f>ROUND(+IF(Tabla4[[#This Row],[AGRUPACIONES]]=1,SUMIFS(Tabla4[TOTAL APORTES ICBF],Tabla4[ZONA DEFINITIVO],Tabla4[[#This Row],[ZONA DEFINITIVO]])," "),0)</f>
        <v>1976151607</v>
      </c>
      <c r="AJ211" s="38">
        <f>ROUND(+IF(Tabla4[[#This Row],[AGRUPACIONES]]=1,SUMIFS(Tabla4[VALOR CONTRAPARTIDA],Tabla4[ZONA DEFINITIVO],Tabla4[[#This Row],[ZONA DEFINITIVO]])," "),0)</f>
        <v>39523032</v>
      </c>
      <c r="AK211" s="38">
        <f>Tabla4[[#This Row],[TOTAL APORTES ICBF AGRUPADO]]+Tabla4[[#This Row],[TOTAL CONTRAPARTIDA AGRUPADO]]</f>
        <v>2015674639</v>
      </c>
      <c r="AL211" s="23">
        <f>Tabla4[[#This Row],[TOTAL APORTES ICBF AGRUPADO]]/$AL$18</f>
        <v>1388.2343568668773</v>
      </c>
      <c r="AM211" s="35">
        <f>VLOOKUP(Tabla4[[#This Row],[SERVICIO 2025]],$J$2:$V$14,5,0)*Tabla4[[#This Row],[TOTAL COBERTURA]]</f>
        <v>6170010</v>
      </c>
      <c r="AN211" s="35">
        <f>VLOOKUP(Tabla4[[#This Row],[SERVICIO 2025]],$J$2:$V$14,6,0)*Tabla4[[#This Row],[TOTAL COBERTURA]]</f>
        <v>5253010</v>
      </c>
      <c r="AO211" s="35">
        <f>VLOOKUP(Tabla4[[#This Row],[SERVICIO 2025]],$J$2:$V$14,8,0)*Tabla4[[#This Row],[TOTAL COBERTURA]]</f>
        <v>0</v>
      </c>
      <c r="AP211" s="35">
        <f>VLOOKUP(Tabla4[[#This Row],[SERVICIO 2025]],$J$2:$V$14,3,0)*Tabla4[[#This Row],[TOTAL COBERTURA]]*8</f>
        <v>281796480</v>
      </c>
      <c r="AQ211" s="35"/>
      <c r="AR211" s="35">
        <f>Tabla4[[#This Row],[VALOR FASE PREPARATORIA DE ALISTAMIENTO]]+Tabla4[[#This Row],[VALOR FASE PREPARATORIA DE CIERRE]]+Tabla4[[#This Row],[DOTACIÓN ÚNICA]]+Tabla4[[#This Row],[VALOR ATENCIÓN]]+Tabla4[[#This Row],[VALOR RACION PREPARADA]]</f>
        <v>293219500</v>
      </c>
      <c r="AS211" s="35">
        <f>+IF(Tabla4[[#This Row],[AGRUPACIONES]]=1,SUMIFS(Tabla4[VALOR TOTAL],Tabla4[ZONA DEFINITIVO],Tabla4[[#This Row],[ZONA DEFINITIVO]])," ")</f>
        <v>1976151607</v>
      </c>
      <c r="AT211" s="27">
        <f>(VLOOKUP(Tabla4[[#This Row],[SERVICIO 2025]],$J$2:$V$14,3,0)*Tabla4[[#This Row],[TOTAL COBERTURA]])+Tabla4[[#This Row],[VALOR FASE PREPARATORIA DE ALISTAMIENTO]]+Tabla4[[#This Row],[DOTACIÓN ÚNICA]]</f>
        <v>41394570</v>
      </c>
      <c r="AU211" s="35">
        <f>(VLOOKUP(Tabla4[[#This Row],[SERVICIO 2025]],$J$2:$V$14,3,0)*Tabla4[[#This Row],[TOTAL COBERTURA]])</f>
        <v>35224560</v>
      </c>
      <c r="AV211" s="35">
        <f>(VLOOKUP(Tabla4[[#This Row],[SERVICIO 2025]],$J$2:$V$14,3,0)*Tabla4[[#This Row],[TOTAL COBERTURA]])</f>
        <v>35224560</v>
      </c>
      <c r="AW211" s="35">
        <f>(VLOOKUP(Tabla4[[#This Row],[SERVICIO 2025]],$J$2:$V$14,3,0)*Tabla4[[#This Row],[TOTAL COBERTURA]])</f>
        <v>35224560</v>
      </c>
      <c r="AX211" s="35">
        <f>(VLOOKUP(Tabla4[[#This Row],[SERVICIO 2025]],$J$2:$V$14,3,0)*Tabla4[[#This Row],[TOTAL COBERTURA]])</f>
        <v>35224560</v>
      </c>
      <c r="AY211" s="35">
        <f>(VLOOKUP(Tabla4[[#This Row],[SERVICIO 2025]],$J$2:$V$14,3,0)*Tabla4[[#This Row],[TOTAL COBERTURA]])</f>
        <v>35224560</v>
      </c>
      <c r="AZ211" s="35">
        <f>(VLOOKUP(Tabla4[[#This Row],[SERVICIO 2025]],$J$2:$V$14,3,0)*Tabla4[[#This Row],[TOTAL COBERTURA]])</f>
        <v>35224560</v>
      </c>
      <c r="BA211" s="35">
        <f>(VLOOKUP(Tabla4[[#This Row],[SERVICIO 2025]],$J$2:$V$14,3,0)*Tabla4[[#This Row],[TOTAL COBERTURA]])+Tabla4[[#This Row],[VALOR FASE PREPARATORIA DE CIERRE]]</f>
        <v>40477570</v>
      </c>
      <c r="BB211" s="35">
        <f>SUM(Tabla4[[#This Row],[DESEMBOLSO 1]:[DESEMBOLSO 8]])</f>
        <v>293219500</v>
      </c>
      <c r="BC211" s="35">
        <f>VLOOKUP(Tabla4[[#This Row],[SERVICIO 2025]],$J$2:$V$14,10,0)*Tabla4[[#This Row],[TOTAL COBERTURA]]*$W$3</f>
        <v>0</v>
      </c>
      <c r="BD211" s="47" t="s">
        <v>145</v>
      </c>
      <c r="BE211" s="12" t="b">
        <f>EXACT(Tabla4[[#This Row],[VALOR ATENCIÓN (8 MESES)]],Tabla4[[#This Row],[VALOR TOTAL]])</f>
        <v>1</v>
      </c>
      <c r="BF211" s="23">
        <f>Tabla4[[#This Row],[VALOR ATENCIÓN (8 MESES)]]-Tabla4[[#This Row],[VALOR TOTAL]]</f>
        <v>0</v>
      </c>
      <c r="BG211" s="12" t="b">
        <f>EXACT(Tabla4[[#This Row],[TOTAL DESEMBOLSOS]],Tabla4[[#This Row],[VALOR ATENCIÓN (8 MESES)]])</f>
        <v>1</v>
      </c>
      <c r="BH211" s="29">
        <f>Tabla4[[#This Row],[TOTAL DESEMBOLSOS]]-Tabla4[[#This Row],[VALOR ATENCIÓN (8 MESES)]]</f>
        <v>0</v>
      </c>
      <c r="BI211" t="s">
        <v>98</v>
      </c>
      <c r="BJ211">
        <v>1904</v>
      </c>
    </row>
    <row r="212" spans="1:62">
      <c r="A212" s="13">
        <v>1904</v>
      </c>
      <c r="B212" s="13" t="s">
        <v>550</v>
      </c>
      <c r="C212" s="12" t="s">
        <v>87</v>
      </c>
      <c r="D212" s="12" t="s">
        <v>527</v>
      </c>
      <c r="E212" s="12" t="s">
        <v>551</v>
      </c>
      <c r="F212" s="12" t="s">
        <v>18</v>
      </c>
      <c r="G212" s="12" t="s">
        <v>90</v>
      </c>
      <c r="H212" s="12" t="s">
        <v>554</v>
      </c>
      <c r="I212" s="12">
        <v>50021143038</v>
      </c>
      <c r="J212" s="12" t="s">
        <v>262</v>
      </c>
      <c r="K212" s="12">
        <v>1</v>
      </c>
      <c r="L212" s="12">
        <v>50</v>
      </c>
      <c r="M212" s="12"/>
      <c r="N212" s="13">
        <v>1904</v>
      </c>
      <c r="O212" s="12" t="s">
        <v>93</v>
      </c>
      <c r="P212" s="12"/>
      <c r="Q212" s="12"/>
      <c r="R212" s="12" t="s">
        <v>94</v>
      </c>
      <c r="S212" s="12">
        <v>10</v>
      </c>
      <c r="T212" s="12" t="s">
        <v>534</v>
      </c>
      <c r="U212" s="12" t="s">
        <v>531</v>
      </c>
      <c r="V212" s="12">
        <f>VLOOKUP(Tabla4[[#This Row],[ZONA DEFINITIVO]],Hoja1!$A$1:$D$121,3,0)</f>
        <v>229068</v>
      </c>
      <c r="W212" s="12">
        <f>VLOOKUP(Tabla4[[#This Row],[ZONA DEFINITIVO]],Hoja1!$A$1:$D$121,2,0)</f>
        <v>15166</v>
      </c>
      <c r="X212" s="12">
        <f>VLOOKUP(Tabla4[[#This Row],[ZONA DEFINITIVO]],Hoja1!$A$1:$D$121,4,0)</f>
        <v>87225</v>
      </c>
      <c r="Y212" s="12" t="str">
        <f>+IF(Tabla4[[#This Row],[AGRUPACIONES]]=1,SUMIFS(Tabla4[UDS],Tabla4[ZONA DEFINITIVO],Tabla4[[#This Row],[ZONA DEFINITIVO]])," ")</f>
        <v xml:space="preserve"> </v>
      </c>
      <c r="Z212" s="12" t="str">
        <f>+IF(Tabla4[[#This Row],[AGRUPACIONES]]=1,SUMIFS(Tabla4[TOTAL COBERTURA],Tabla4[ZONA DEFINITIVO],Tabla4[[#This Row],[ZONA DEFINITIVO]])," ")</f>
        <v xml:space="preserve"> </v>
      </c>
      <c r="AA212" s="12"/>
      <c r="AB212" s="38">
        <v>109009650</v>
      </c>
      <c r="AC212" s="37">
        <v>0.02</v>
      </c>
      <c r="AD212" s="38">
        <f t="shared" ref="AD212:AD275" si="4">AB212*AC212</f>
        <v>2180193</v>
      </c>
      <c r="AE212" s="12"/>
      <c r="AF212" s="12">
        <f>COUNTIF($A$20:A212,A212)</f>
        <v>2</v>
      </c>
      <c r="AG212" s="38">
        <v>109009650</v>
      </c>
      <c r="AH212" s="38">
        <f>Tabla4[[#This Row],[VALOR CONTRAPARTIDA]]+Tabla4[[#This Row],[TOTAL APORTES ICBF]]</f>
        <v>111189843</v>
      </c>
      <c r="AI212" s="35"/>
      <c r="AJ212" s="38"/>
      <c r="AK212" s="38"/>
      <c r="AL212" s="23"/>
      <c r="AM212" s="35">
        <f>VLOOKUP(Tabla4[[#This Row],[SERVICIO 2025]],$J$2:$V$14,5,0)*Tabla4[[#This Row],[TOTAL COBERTURA]]</f>
        <v>2468800</v>
      </c>
      <c r="AN212" s="35">
        <f>VLOOKUP(Tabla4[[#This Row],[SERVICIO 2025]],$J$2:$V$14,6,0)*Tabla4[[#This Row],[TOTAL COBERTURA]]</f>
        <v>2051450</v>
      </c>
      <c r="AO212" s="35">
        <f>VLOOKUP(Tabla4[[#This Row],[SERVICIO 2025]],$J$2:$V$14,8,0)*Tabla4[[#This Row],[TOTAL COBERTURA]]</f>
        <v>1455000</v>
      </c>
      <c r="AP212" s="35">
        <f>VLOOKUP(Tabla4[[#This Row],[SERVICIO 2025]],$J$2:$V$14,3,0)*Tabla4[[#This Row],[TOTAL COBERTURA]]*8</f>
        <v>103034400</v>
      </c>
      <c r="AQ212" s="35"/>
      <c r="AR212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212" s="35" t="str">
        <f>+IF(Tabla4[[#This Row],[AGRUPACIONES]]=1,SUMIFS(Tabla4[VALOR TOTAL],Tabla4[ZONA DEFINITIVO],Tabla4[[#This Row],[ZONA DEFINITIVO]])," ")</f>
        <v xml:space="preserve"> </v>
      </c>
      <c r="AT212" s="27">
        <f>(VLOOKUP(Tabla4[[#This Row],[SERVICIO 2025]],$J$2:$V$14,3,0)*Tabla4[[#This Row],[TOTAL COBERTURA]])+Tabla4[[#This Row],[VALOR FASE PREPARATORIA DE ALISTAMIENTO]]+Tabla4[[#This Row],[DOTACIÓN ÚNICA]]</f>
        <v>16803100</v>
      </c>
      <c r="AU212" s="35">
        <f>(VLOOKUP(Tabla4[[#This Row],[SERVICIO 2025]],$J$2:$V$14,3,0)*Tabla4[[#This Row],[TOTAL COBERTURA]])</f>
        <v>12879300</v>
      </c>
      <c r="AV212" s="35">
        <f>(VLOOKUP(Tabla4[[#This Row],[SERVICIO 2025]],$J$2:$V$14,3,0)*Tabla4[[#This Row],[TOTAL COBERTURA]])</f>
        <v>12879300</v>
      </c>
      <c r="AW212" s="35">
        <f>(VLOOKUP(Tabla4[[#This Row],[SERVICIO 2025]],$J$2:$V$14,3,0)*Tabla4[[#This Row],[TOTAL COBERTURA]])</f>
        <v>12879300</v>
      </c>
      <c r="AX212" s="35">
        <f>(VLOOKUP(Tabla4[[#This Row],[SERVICIO 2025]],$J$2:$V$14,3,0)*Tabla4[[#This Row],[TOTAL COBERTURA]])</f>
        <v>12879300</v>
      </c>
      <c r="AY212" s="35">
        <f>(VLOOKUP(Tabla4[[#This Row],[SERVICIO 2025]],$J$2:$V$14,3,0)*Tabla4[[#This Row],[TOTAL COBERTURA]])</f>
        <v>12879300</v>
      </c>
      <c r="AZ212" s="35">
        <f>(VLOOKUP(Tabla4[[#This Row],[SERVICIO 2025]],$J$2:$V$14,3,0)*Tabla4[[#This Row],[TOTAL COBERTURA]])</f>
        <v>12879300</v>
      </c>
      <c r="BA212" s="35">
        <f>(VLOOKUP(Tabla4[[#This Row],[SERVICIO 2025]],$J$2:$V$14,3,0)*Tabla4[[#This Row],[TOTAL COBERTURA]])+Tabla4[[#This Row],[VALOR FASE PREPARATORIA DE CIERRE]]</f>
        <v>14930750</v>
      </c>
      <c r="BB212" s="35">
        <f>SUM(Tabla4[[#This Row],[DESEMBOLSO 1]:[DESEMBOLSO 8]])</f>
        <v>109009650</v>
      </c>
      <c r="BC212" s="35">
        <f>VLOOKUP(Tabla4[[#This Row],[SERVICIO 2025]],$J$2:$V$14,10,0)*Tabla4[[#This Row],[TOTAL COBERTURA]]*$W$3</f>
        <v>72153200</v>
      </c>
      <c r="BD212" s="47" t="s">
        <v>211</v>
      </c>
      <c r="BE212" s="12" t="b">
        <f>EXACT(Tabla4[[#This Row],[VALOR ATENCIÓN (8 MESES)]],Tabla4[[#This Row],[VALOR TOTAL]])</f>
        <v>1</v>
      </c>
      <c r="BF212" s="23">
        <f>Tabla4[[#This Row],[VALOR ATENCIÓN (8 MESES)]]-Tabla4[[#This Row],[VALOR TOTAL]]</f>
        <v>0</v>
      </c>
      <c r="BG212" s="12" t="b">
        <f>EXACT(Tabla4[[#This Row],[TOTAL DESEMBOLSOS]],Tabla4[[#This Row],[VALOR ATENCIÓN (8 MESES)]])</f>
        <v>1</v>
      </c>
      <c r="BH212" s="29">
        <f>Tabla4[[#This Row],[TOTAL DESEMBOLSOS]]-Tabla4[[#This Row],[VALOR ATENCIÓN (8 MESES)]]</f>
        <v>0</v>
      </c>
      <c r="BI212" t="s">
        <v>98</v>
      </c>
      <c r="BJ212">
        <v>1904</v>
      </c>
    </row>
    <row r="213" spans="1:62">
      <c r="A213" s="13">
        <v>1904</v>
      </c>
      <c r="B213" s="13" t="s">
        <v>550</v>
      </c>
      <c r="C213" s="12" t="s">
        <v>87</v>
      </c>
      <c r="D213" s="12" t="s">
        <v>527</v>
      </c>
      <c r="E213" s="12" t="s">
        <v>551</v>
      </c>
      <c r="F213" s="12" t="s">
        <v>18</v>
      </c>
      <c r="G213" s="12" t="s">
        <v>90</v>
      </c>
      <c r="H213" s="12" t="s">
        <v>555</v>
      </c>
      <c r="I213" s="12">
        <v>50021143039</v>
      </c>
      <c r="J213" s="12" t="s">
        <v>556</v>
      </c>
      <c r="K213" s="12">
        <v>1</v>
      </c>
      <c r="L213" s="12">
        <v>50</v>
      </c>
      <c r="M213" s="12"/>
      <c r="N213" s="13">
        <v>1904</v>
      </c>
      <c r="O213" s="12" t="s">
        <v>93</v>
      </c>
      <c r="P213" s="12"/>
      <c r="Q213" s="12"/>
      <c r="R213" s="12" t="s">
        <v>94</v>
      </c>
      <c r="S213" s="12">
        <v>10</v>
      </c>
      <c r="T213" s="12" t="s">
        <v>534</v>
      </c>
      <c r="U213" s="12" t="s">
        <v>531</v>
      </c>
      <c r="V213" s="12">
        <f>VLOOKUP(Tabla4[[#This Row],[ZONA DEFINITIVO]],Hoja1!$A$1:$D$121,3,0)</f>
        <v>229068</v>
      </c>
      <c r="W213" s="12">
        <f>VLOOKUP(Tabla4[[#This Row],[ZONA DEFINITIVO]],Hoja1!$A$1:$D$121,2,0)</f>
        <v>15166</v>
      </c>
      <c r="X213" s="12">
        <f>VLOOKUP(Tabla4[[#This Row],[ZONA DEFINITIVO]],Hoja1!$A$1:$D$121,4,0)</f>
        <v>87225</v>
      </c>
      <c r="Y213" s="12" t="str">
        <f>+IF(Tabla4[[#This Row],[AGRUPACIONES]]=1,SUMIFS(Tabla4[UDS],Tabla4[ZONA DEFINITIVO],Tabla4[[#This Row],[ZONA DEFINITIVO]])," ")</f>
        <v xml:space="preserve"> </v>
      </c>
      <c r="Z213" s="12" t="str">
        <f>+IF(Tabla4[[#This Row],[AGRUPACIONES]]=1,SUMIFS(Tabla4[TOTAL COBERTURA],Tabla4[ZONA DEFINITIVO],Tabla4[[#This Row],[ZONA DEFINITIVO]])," ")</f>
        <v xml:space="preserve"> </v>
      </c>
      <c r="AA213" s="12"/>
      <c r="AB213" s="38">
        <v>109009650</v>
      </c>
      <c r="AC213" s="37">
        <v>0.02</v>
      </c>
      <c r="AD213" s="38">
        <f t="shared" si="4"/>
        <v>2180193</v>
      </c>
      <c r="AE213" s="12"/>
      <c r="AF213" s="12">
        <f>COUNTIF($A$20:A213,A213)</f>
        <v>3</v>
      </c>
      <c r="AG213" s="38">
        <v>109009650</v>
      </c>
      <c r="AH213" s="38">
        <f>Tabla4[[#This Row],[VALOR CONTRAPARTIDA]]+Tabla4[[#This Row],[TOTAL APORTES ICBF]]</f>
        <v>111189843</v>
      </c>
      <c r="AI213" s="35"/>
      <c r="AJ213" s="38"/>
      <c r="AK213" s="38"/>
      <c r="AL213" s="23"/>
      <c r="AM213" s="35">
        <f>VLOOKUP(Tabla4[[#This Row],[SERVICIO 2025]],$J$2:$V$14,5,0)*Tabla4[[#This Row],[TOTAL COBERTURA]]</f>
        <v>2468800</v>
      </c>
      <c r="AN213" s="35">
        <f>VLOOKUP(Tabla4[[#This Row],[SERVICIO 2025]],$J$2:$V$14,6,0)*Tabla4[[#This Row],[TOTAL COBERTURA]]</f>
        <v>2051450</v>
      </c>
      <c r="AO213" s="35">
        <f>VLOOKUP(Tabla4[[#This Row],[SERVICIO 2025]],$J$2:$V$14,8,0)*Tabla4[[#This Row],[TOTAL COBERTURA]]</f>
        <v>1455000</v>
      </c>
      <c r="AP213" s="35">
        <f>VLOOKUP(Tabla4[[#This Row],[SERVICIO 2025]],$J$2:$V$14,3,0)*Tabla4[[#This Row],[TOTAL COBERTURA]]*8</f>
        <v>103034400</v>
      </c>
      <c r="AQ213" s="35"/>
      <c r="AR213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213" s="35" t="str">
        <f>+IF(Tabla4[[#This Row],[AGRUPACIONES]]=1,SUMIFS(Tabla4[VALOR TOTAL],Tabla4[ZONA DEFINITIVO],Tabla4[[#This Row],[ZONA DEFINITIVO]])," ")</f>
        <v xml:space="preserve"> </v>
      </c>
      <c r="AT213" s="27">
        <f>(VLOOKUP(Tabla4[[#This Row],[SERVICIO 2025]],$J$2:$V$14,3,0)*Tabla4[[#This Row],[TOTAL COBERTURA]])+Tabla4[[#This Row],[VALOR FASE PREPARATORIA DE ALISTAMIENTO]]+Tabla4[[#This Row],[DOTACIÓN ÚNICA]]</f>
        <v>16803100</v>
      </c>
      <c r="AU213" s="35">
        <f>(VLOOKUP(Tabla4[[#This Row],[SERVICIO 2025]],$J$2:$V$14,3,0)*Tabla4[[#This Row],[TOTAL COBERTURA]])</f>
        <v>12879300</v>
      </c>
      <c r="AV213" s="35">
        <f>(VLOOKUP(Tabla4[[#This Row],[SERVICIO 2025]],$J$2:$V$14,3,0)*Tabla4[[#This Row],[TOTAL COBERTURA]])</f>
        <v>12879300</v>
      </c>
      <c r="AW213" s="35">
        <f>(VLOOKUP(Tabla4[[#This Row],[SERVICIO 2025]],$J$2:$V$14,3,0)*Tabla4[[#This Row],[TOTAL COBERTURA]])</f>
        <v>12879300</v>
      </c>
      <c r="AX213" s="35">
        <f>(VLOOKUP(Tabla4[[#This Row],[SERVICIO 2025]],$J$2:$V$14,3,0)*Tabla4[[#This Row],[TOTAL COBERTURA]])</f>
        <v>12879300</v>
      </c>
      <c r="AY213" s="35">
        <f>(VLOOKUP(Tabla4[[#This Row],[SERVICIO 2025]],$J$2:$V$14,3,0)*Tabla4[[#This Row],[TOTAL COBERTURA]])</f>
        <v>12879300</v>
      </c>
      <c r="AZ213" s="35">
        <f>(VLOOKUP(Tabla4[[#This Row],[SERVICIO 2025]],$J$2:$V$14,3,0)*Tabla4[[#This Row],[TOTAL COBERTURA]])</f>
        <v>12879300</v>
      </c>
      <c r="BA213" s="35">
        <f>(VLOOKUP(Tabla4[[#This Row],[SERVICIO 2025]],$J$2:$V$14,3,0)*Tabla4[[#This Row],[TOTAL COBERTURA]])+Tabla4[[#This Row],[VALOR FASE PREPARATORIA DE CIERRE]]</f>
        <v>14930750</v>
      </c>
      <c r="BB213" s="35">
        <f>SUM(Tabla4[[#This Row],[DESEMBOLSO 1]:[DESEMBOLSO 8]])</f>
        <v>109009650</v>
      </c>
      <c r="BC213" s="35">
        <f>VLOOKUP(Tabla4[[#This Row],[SERVICIO 2025]],$J$2:$V$14,10,0)*Tabla4[[#This Row],[TOTAL COBERTURA]]*$W$3</f>
        <v>72153200</v>
      </c>
      <c r="BD213" s="47" t="s">
        <v>211</v>
      </c>
      <c r="BE213" s="12" t="b">
        <f>EXACT(Tabla4[[#This Row],[VALOR ATENCIÓN (8 MESES)]],Tabla4[[#This Row],[VALOR TOTAL]])</f>
        <v>1</v>
      </c>
      <c r="BF213" s="23">
        <f>Tabla4[[#This Row],[VALOR ATENCIÓN (8 MESES)]]-Tabla4[[#This Row],[VALOR TOTAL]]</f>
        <v>0</v>
      </c>
      <c r="BG213" s="12" t="b">
        <f>EXACT(Tabla4[[#This Row],[TOTAL DESEMBOLSOS]],Tabla4[[#This Row],[VALOR ATENCIÓN (8 MESES)]])</f>
        <v>1</v>
      </c>
      <c r="BH213" s="29">
        <f>Tabla4[[#This Row],[TOTAL DESEMBOLSOS]]-Tabla4[[#This Row],[VALOR ATENCIÓN (8 MESES)]]</f>
        <v>0</v>
      </c>
      <c r="BI213" t="s">
        <v>98</v>
      </c>
      <c r="BJ213">
        <v>1904</v>
      </c>
    </row>
    <row r="214" spans="1:62">
      <c r="A214" s="13">
        <v>1904</v>
      </c>
      <c r="B214" s="13" t="s">
        <v>550</v>
      </c>
      <c r="C214" s="12" t="s">
        <v>87</v>
      </c>
      <c r="D214" s="12" t="s">
        <v>527</v>
      </c>
      <c r="E214" s="12" t="s">
        <v>551</v>
      </c>
      <c r="F214" s="12" t="s">
        <v>18</v>
      </c>
      <c r="G214" s="12" t="s">
        <v>90</v>
      </c>
      <c r="H214" s="12" t="s">
        <v>557</v>
      </c>
      <c r="I214" s="12">
        <v>50021143040</v>
      </c>
      <c r="J214" s="12" t="s">
        <v>558</v>
      </c>
      <c r="K214" s="12">
        <v>1</v>
      </c>
      <c r="L214" s="12">
        <v>50</v>
      </c>
      <c r="M214" s="12"/>
      <c r="N214" s="13">
        <v>1904</v>
      </c>
      <c r="O214" s="12" t="s">
        <v>93</v>
      </c>
      <c r="P214" s="12"/>
      <c r="Q214" s="12"/>
      <c r="R214" s="12" t="s">
        <v>94</v>
      </c>
      <c r="S214" s="12">
        <v>10</v>
      </c>
      <c r="T214" s="12" t="s">
        <v>534</v>
      </c>
      <c r="U214" s="12" t="s">
        <v>531</v>
      </c>
      <c r="V214" s="12">
        <f>VLOOKUP(Tabla4[[#This Row],[ZONA DEFINITIVO]],Hoja1!$A$1:$D$121,3,0)</f>
        <v>229068</v>
      </c>
      <c r="W214" s="12">
        <f>VLOOKUP(Tabla4[[#This Row],[ZONA DEFINITIVO]],Hoja1!$A$1:$D$121,2,0)</f>
        <v>15166</v>
      </c>
      <c r="X214" s="12">
        <f>VLOOKUP(Tabla4[[#This Row],[ZONA DEFINITIVO]],Hoja1!$A$1:$D$121,4,0)</f>
        <v>87225</v>
      </c>
      <c r="Y214" s="12" t="str">
        <f>+IF(Tabla4[[#This Row],[AGRUPACIONES]]=1,SUMIFS(Tabla4[UDS],Tabla4[ZONA DEFINITIVO],Tabla4[[#This Row],[ZONA DEFINITIVO]])," ")</f>
        <v xml:space="preserve"> </v>
      </c>
      <c r="Z214" s="12" t="str">
        <f>+IF(Tabla4[[#This Row],[AGRUPACIONES]]=1,SUMIFS(Tabla4[TOTAL COBERTURA],Tabla4[ZONA DEFINITIVO],Tabla4[[#This Row],[ZONA DEFINITIVO]])," ")</f>
        <v xml:space="preserve"> </v>
      </c>
      <c r="AA214" s="12"/>
      <c r="AB214" s="38">
        <v>109009650</v>
      </c>
      <c r="AC214" s="37">
        <v>0.02</v>
      </c>
      <c r="AD214" s="38">
        <f t="shared" si="4"/>
        <v>2180193</v>
      </c>
      <c r="AE214" s="12"/>
      <c r="AF214" s="12">
        <f>COUNTIF($A$20:A214,A214)</f>
        <v>4</v>
      </c>
      <c r="AG214" s="38">
        <v>109009650</v>
      </c>
      <c r="AH214" s="38">
        <f>Tabla4[[#This Row],[VALOR CONTRAPARTIDA]]+Tabla4[[#This Row],[TOTAL APORTES ICBF]]</f>
        <v>111189843</v>
      </c>
      <c r="AI214" s="35"/>
      <c r="AJ214" s="38"/>
      <c r="AK214" s="38"/>
      <c r="AL214" s="23"/>
      <c r="AM214" s="35">
        <f>VLOOKUP(Tabla4[[#This Row],[SERVICIO 2025]],$J$2:$V$14,5,0)*Tabla4[[#This Row],[TOTAL COBERTURA]]</f>
        <v>2468800</v>
      </c>
      <c r="AN214" s="35">
        <f>VLOOKUP(Tabla4[[#This Row],[SERVICIO 2025]],$J$2:$V$14,6,0)*Tabla4[[#This Row],[TOTAL COBERTURA]]</f>
        <v>2051450</v>
      </c>
      <c r="AO214" s="35">
        <f>VLOOKUP(Tabla4[[#This Row],[SERVICIO 2025]],$J$2:$V$14,8,0)*Tabla4[[#This Row],[TOTAL COBERTURA]]</f>
        <v>1455000</v>
      </c>
      <c r="AP214" s="35">
        <f>VLOOKUP(Tabla4[[#This Row],[SERVICIO 2025]],$J$2:$V$14,3,0)*Tabla4[[#This Row],[TOTAL COBERTURA]]*8</f>
        <v>103034400</v>
      </c>
      <c r="AQ214" s="35"/>
      <c r="AR214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214" s="35" t="str">
        <f>+IF(Tabla4[[#This Row],[AGRUPACIONES]]=1,SUMIFS(Tabla4[VALOR TOTAL],Tabla4[ZONA DEFINITIVO],Tabla4[[#This Row],[ZONA DEFINITIVO]])," ")</f>
        <v xml:space="preserve"> </v>
      </c>
      <c r="AT214" s="27">
        <f>(VLOOKUP(Tabla4[[#This Row],[SERVICIO 2025]],$J$2:$V$14,3,0)*Tabla4[[#This Row],[TOTAL COBERTURA]])+Tabla4[[#This Row],[VALOR FASE PREPARATORIA DE ALISTAMIENTO]]+Tabla4[[#This Row],[DOTACIÓN ÚNICA]]</f>
        <v>16803100</v>
      </c>
      <c r="AU214" s="35">
        <f>(VLOOKUP(Tabla4[[#This Row],[SERVICIO 2025]],$J$2:$V$14,3,0)*Tabla4[[#This Row],[TOTAL COBERTURA]])</f>
        <v>12879300</v>
      </c>
      <c r="AV214" s="35">
        <f>(VLOOKUP(Tabla4[[#This Row],[SERVICIO 2025]],$J$2:$V$14,3,0)*Tabla4[[#This Row],[TOTAL COBERTURA]])</f>
        <v>12879300</v>
      </c>
      <c r="AW214" s="35">
        <f>(VLOOKUP(Tabla4[[#This Row],[SERVICIO 2025]],$J$2:$V$14,3,0)*Tabla4[[#This Row],[TOTAL COBERTURA]])</f>
        <v>12879300</v>
      </c>
      <c r="AX214" s="35">
        <f>(VLOOKUP(Tabla4[[#This Row],[SERVICIO 2025]],$J$2:$V$14,3,0)*Tabla4[[#This Row],[TOTAL COBERTURA]])</f>
        <v>12879300</v>
      </c>
      <c r="AY214" s="35">
        <f>(VLOOKUP(Tabla4[[#This Row],[SERVICIO 2025]],$J$2:$V$14,3,0)*Tabla4[[#This Row],[TOTAL COBERTURA]])</f>
        <v>12879300</v>
      </c>
      <c r="AZ214" s="35">
        <f>(VLOOKUP(Tabla4[[#This Row],[SERVICIO 2025]],$J$2:$V$14,3,0)*Tabla4[[#This Row],[TOTAL COBERTURA]])</f>
        <v>12879300</v>
      </c>
      <c r="BA214" s="35">
        <f>(VLOOKUP(Tabla4[[#This Row],[SERVICIO 2025]],$J$2:$V$14,3,0)*Tabla4[[#This Row],[TOTAL COBERTURA]])+Tabla4[[#This Row],[VALOR FASE PREPARATORIA DE CIERRE]]</f>
        <v>14930750</v>
      </c>
      <c r="BB214" s="35">
        <f>SUM(Tabla4[[#This Row],[DESEMBOLSO 1]:[DESEMBOLSO 8]])</f>
        <v>109009650</v>
      </c>
      <c r="BC214" s="35">
        <f>VLOOKUP(Tabla4[[#This Row],[SERVICIO 2025]],$J$2:$V$14,10,0)*Tabla4[[#This Row],[TOTAL COBERTURA]]*$W$3</f>
        <v>72153200</v>
      </c>
      <c r="BD214" s="47" t="s">
        <v>211</v>
      </c>
      <c r="BE214" s="12" t="b">
        <f>EXACT(Tabla4[[#This Row],[VALOR ATENCIÓN (8 MESES)]],Tabla4[[#This Row],[VALOR TOTAL]])</f>
        <v>1</v>
      </c>
      <c r="BF214" s="23">
        <f>Tabla4[[#This Row],[VALOR ATENCIÓN (8 MESES)]]-Tabla4[[#This Row],[VALOR TOTAL]]</f>
        <v>0</v>
      </c>
      <c r="BG214" s="12" t="b">
        <f>EXACT(Tabla4[[#This Row],[TOTAL DESEMBOLSOS]],Tabla4[[#This Row],[VALOR ATENCIÓN (8 MESES)]])</f>
        <v>1</v>
      </c>
      <c r="BH214" s="29">
        <f>Tabla4[[#This Row],[TOTAL DESEMBOLSOS]]-Tabla4[[#This Row],[VALOR ATENCIÓN (8 MESES)]]</f>
        <v>0</v>
      </c>
      <c r="BI214" t="s">
        <v>98</v>
      </c>
      <c r="BJ214">
        <v>1904</v>
      </c>
    </row>
    <row r="215" spans="1:62">
      <c r="A215" s="13">
        <v>1904</v>
      </c>
      <c r="B215" s="13" t="s">
        <v>550</v>
      </c>
      <c r="C215" s="12" t="s">
        <v>87</v>
      </c>
      <c r="D215" s="12" t="s">
        <v>527</v>
      </c>
      <c r="E215" s="12" t="s">
        <v>551</v>
      </c>
      <c r="F215" s="12" t="s">
        <v>18</v>
      </c>
      <c r="G215" s="12" t="s">
        <v>90</v>
      </c>
      <c r="H215" s="12" t="s">
        <v>559</v>
      </c>
      <c r="I215" s="12">
        <v>50021143041</v>
      </c>
      <c r="J215" s="12" t="s">
        <v>560</v>
      </c>
      <c r="K215" s="12">
        <v>1</v>
      </c>
      <c r="L215" s="12">
        <v>50</v>
      </c>
      <c r="M215" s="12"/>
      <c r="N215" s="13">
        <v>1904</v>
      </c>
      <c r="O215" s="12" t="s">
        <v>93</v>
      </c>
      <c r="P215" s="12"/>
      <c r="Q215" s="12"/>
      <c r="R215" s="12" t="s">
        <v>94</v>
      </c>
      <c r="S215" s="12">
        <v>10</v>
      </c>
      <c r="T215" s="12" t="s">
        <v>534</v>
      </c>
      <c r="U215" s="12" t="s">
        <v>531</v>
      </c>
      <c r="V215" s="12">
        <f>VLOOKUP(Tabla4[[#This Row],[ZONA DEFINITIVO]],Hoja1!$A$1:$D$121,3,0)</f>
        <v>229068</v>
      </c>
      <c r="W215" s="12">
        <f>VLOOKUP(Tabla4[[#This Row],[ZONA DEFINITIVO]],Hoja1!$A$1:$D$121,2,0)</f>
        <v>15166</v>
      </c>
      <c r="X215" s="12">
        <f>VLOOKUP(Tabla4[[#This Row],[ZONA DEFINITIVO]],Hoja1!$A$1:$D$121,4,0)</f>
        <v>87225</v>
      </c>
      <c r="Y215" s="12" t="str">
        <f>+IF(Tabla4[[#This Row],[AGRUPACIONES]]=1,SUMIFS(Tabla4[UDS],Tabla4[ZONA DEFINITIVO],Tabla4[[#This Row],[ZONA DEFINITIVO]])," ")</f>
        <v xml:space="preserve"> </v>
      </c>
      <c r="Z215" s="12" t="str">
        <f>+IF(Tabla4[[#This Row],[AGRUPACIONES]]=1,SUMIFS(Tabla4[TOTAL COBERTURA],Tabla4[ZONA DEFINITIVO],Tabla4[[#This Row],[ZONA DEFINITIVO]])," ")</f>
        <v xml:space="preserve"> </v>
      </c>
      <c r="AA215" s="12"/>
      <c r="AB215" s="38">
        <v>109009650</v>
      </c>
      <c r="AC215" s="37">
        <v>0.02</v>
      </c>
      <c r="AD215" s="38">
        <f t="shared" si="4"/>
        <v>2180193</v>
      </c>
      <c r="AE215" s="12"/>
      <c r="AF215" s="12">
        <f>COUNTIF($A$20:A215,A215)</f>
        <v>5</v>
      </c>
      <c r="AG215" s="38">
        <v>109009650</v>
      </c>
      <c r="AH215" s="38">
        <f>Tabla4[[#This Row],[VALOR CONTRAPARTIDA]]+Tabla4[[#This Row],[TOTAL APORTES ICBF]]</f>
        <v>111189843</v>
      </c>
      <c r="AI215" s="35"/>
      <c r="AJ215" s="38"/>
      <c r="AK215" s="38"/>
      <c r="AL215" s="23"/>
      <c r="AM215" s="35">
        <f>VLOOKUP(Tabla4[[#This Row],[SERVICIO 2025]],$J$2:$V$14,5,0)*Tabla4[[#This Row],[TOTAL COBERTURA]]</f>
        <v>2468800</v>
      </c>
      <c r="AN215" s="35">
        <f>VLOOKUP(Tabla4[[#This Row],[SERVICIO 2025]],$J$2:$V$14,6,0)*Tabla4[[#This Row],[TOTAL COBERTURA]]</f>
        <v>2051450</v>
      </c>
      <c r="AO215" s="35">
        <f>VLOOKUP(Tabla4[[#This Row],[SERVICIO 2025]],$J$2:$V$14,8,0)*Tabla4[[#This Row],[TOTAL COBERTURA]]</f>
        <v>1455000</v>
      </c>
      <c r="AP215" s="35">
        <f>VLOOKUP(Tabla4[[#This Row],[SERVICIO 2025]],$J$2:$V$14,3,0)*Tabla4[[#This Row],[TOTAL COBERTURA]]*8</f>
        <v>103034400</v>
      </c>
      <c r="AQ215" s="35"/>
      <c r="AR215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215" s="35" t="str">
        <f>+IF(Tabla4[[#This Row],[AGRUPACIONES]]=1,SUMIFS(Tabla4[VALOR TOTAL],Tabla4[ZONA DEFINITIVO],Tabla4[[#This Row],[ZONA DEFINITIVO]])," ")</f>
        <v xml:space="preserve"> </v>
      </c>
      <c r="AT215" s="27">
        <f>(VLOOKUP(Tabla4[[#This Row],[SERVICIO 2025]],$J$2:$V$14,3,0)*Tabla4[[#This Row],[TOTAL COBERTURA]])+Tabla4[[#This Row],[VALOR FASE PREPARATORIA DE ALISTAMIENTO]]+Tabla4[[#This Row],[DOTACIÓN ÚNICA]]</f>
        <v>16803100</v>
      </c>
      <c r="AU215" s="35">
        <f>(VLOOKUP(Tabla4[[#This Row],[SERVICIO 2025]],$J$2:$V$14,3,0)*Tabla4[[#This Row],[TOTAL COBERTURA]])</f>
        <v>12879300</v>
      </c>
      <c r="AV215" s="35">
        <f>(VLOOKUP(Tabla4[[#This Row],[SERVICIO 2025]],$J$2:$V$14,3,0)*Tabla4[[#This Row],[TOTAL COBERTURA]])</f>
        <v>12879300</v>
      </c>
      <c r="AW215" s="35">
        <f>(VLOOKUP(Tabla4[[#This Row],[SERVICIO 2025]],$J$2:$V$14,3,0)*Tabla4[[#This Row],[TOTAL COBERTURA]])</f>
        <v>12879300</v>
      </c>
      <c r="AX215" s="35">
        <f>(VLOOKUP(Tabla4[[#This Row],[SERVICIO 2025]],$J$2:$V$14,3,0)*Tabla4[[#This Row],[TOTAL COBERTURA]])</f>
        <v>12879300</v>
      </c>
      <c r="AY215" s="35">
        <f>(VLOOKUP(Tabla4[[#This Row],[SERVICIO 2025]],$J$2:$V$14,3,0)*Tabla4[[#This Row],[TOTAL COBERTURA]])</f>
        <v>12879300</v>
      </c>
      <c r="AZ215" s="35">
        <f>(VLOOKUP(Tabla4[[#This Row],[SERVICIO 2025]],$J$2:$V$14,3,0)*Tabla4[[#This Row],[TOTAL COBERTURA]])</f>
        <v>12879300</v>
      </c>
      <c r="BA215" s="35">
        <f>(VLOOKUP(Tabla4[[#This Row],[SERVICIO 2025]],$J$2:$V$14,3,0)*Tabla4[[#This Row],[TOTAL COBERTURA]])+Tabla4[[#This Row],[VALOR FASE PREPARATORIA DE CIERRE]]</f>
        <v>14930750</v>
      </c>
      <c r="BB215" s="35">
        <f>SUM(Tabla4[[#This Row],[DESEMBOLSO 1]:[DESEMBOLSO 8]])</f>
        <v>109009650</v>
      </c>
      <c r="BC215" s="35">
        <f>VLOOKUP(Tabla4[[#This Row],[SERVICIO 2025]],$J$2:$V$14,10,0)*Tabla4[[#This Row],[TOTAL COBERTURA]]*$W$3</f>
        <v>72153200</v>
      </c>
      <c r="BD215" s="47" t="s">
        <v>211</v>
      </c>
      <c r="BE215" s="12" t="b">
        <f>EXACT(Tabla4[[#This Row],[VALOR ATENCIÓN (8 MESES)]],Tabla4[[#This Row],[VALOR TOTAL]])</f>
        <v>1</v>
      </c>
      <c r="BF215" s="23">
        <f>Tabla4[[#This Row],[VALOR ATENCIÓN (8 MESES)]]-Tabla4[[#This Row],[VALOR TOTAL]]</f>
        <v>0</v>
      </c>
      <c r="BG215" s="12" t="b">
        <f>EXACT(Tabla4[[#This Row],[TOTAL DESEMBOLSOS]],Tabla4[[#This Row],[VALOR ATENCIÓN (8 MESES)]])</f>
        <v>1</v>
      </c>
      <c r="BH215" s="29">
        <f>Tabla4[[#This Row],[TOTAL DESEMBOLSOS]]-Tabla4[[#This Row],[VALOR ATENCIÓN (8 MESES)]]</f>
        <v>0</v>
      </c>
      <c r="BI215" t="s">
        <v>98</v>
      </c>
      <c r="BJ215">
        <v>1904</v>
      </c>
    </row>
    <row r="216" spans="1:62">
      <c r="A216" s="13">
        <v>1904</v>
      </c>
      <c r="B216" s="13" t="s">
        <v>550</v>
      </c>
      <c r="C216" s="12" t="s">
        <v>87</v>
      </c>
      <c r="D216" s="12" t="s">
        <v>527</v>
      </c>
      <c r="E216" s="12" t="s">
        <v>551</v>
      </c>
      <c r="F216" s="12" t="s">
        <v>18</v>
      </c>
      <c r="G216" s="12" t="s">
        <v>90</v>
      </c>
      <c r="H216" s="12" t="s">
        <v>561</v>
      </c>
      <c r="I216" s="12">
        <v>50021143042</v>
      </c>
      <c r="J216" s="12" t="s">
        <v>562</v>
      </c>
      <c r="K216" s="12">
        <v>1</v>
      </c>
      <c r="L216" s="12">
        <v>50</v>
      </c>
      <c r="M216" s="12"/>
      <c r="N216" s="13">
        <v>1904</v>
      </c>
      <c r="O216" s="12" t="s">
        <v>93</v>
      </c>
      <c r="P216" s="12"/>
      <c r="Q216" s="12"/>
      <c r="R216" s="12" t="s">
        <v>94</v>
      </c>
      <c r="S216" s="12">
        <v>10</v>
      </c>
      <c r="T216" s="12" t="s">
        <v>534</v>
      </c>
      <c r="U216" s="12" t="s">
        <v>531</v>
      </c>
      <c r="V216" s="12">
        <f>VLOOKUP(Tabla4[[#This Row],[ZONA DEFINITIVO]],Hoja1!$A$1:$D$121,3,0)</f>
        <v>229068</v>
      </c>
      <c r="W216" s="12">
        <f>VLOOKUP(Tabla4[[#This Row],[ZONA DEFINITIVO]],Hoja1!$A$1:$D$121,2,0)</f>
        <v>15166</v>
      </c>
      <c r="X216" s="12">
        <f>VLOOKUP(Tabla4[[#This Row],[ZONA DEFINITIVO]],Hoja1!$A$1:$D$121,4,0)</f>
        <v>87225</v>
      </c>
      <c r="Y216" s="12" t="str">
        <f>+IF(Tabla4[[#This Row],[AGRUPACIONES]]=1,SUMIFS(Tabla4[UDS],Tabla4[ZONA DEFINITIVO],Tabla4[[#This Row],[ZONA DEFINITIVO]])," ")</f>
        <v xml:space="preserve"> </v>
      </c>
      <c r="Z216" s="12" t="str">
        <f>+IF(Tabla4[[#This Row],[AGRUPACIONES]]=1,SUMIFS(Tabla4[TOTAL COBERTURA],Tabla4[ZONA DEFINITIVO],Tabla4[[#This Row],[ZONA DEFINITIVO]])," ")</f>
        <v xml:space="preserve"> </v>
      </c>
      <c r="AA216" s="12"/>
      <c r="AB216" s="38">
        <v>109009650</v>
      </c>
      <c r="AC216" s="37">
        <v>0.02</v>
      </c>
      <c r="AD216" s="38">
        <f t="shared" si="4"/>
        <v>2180193</v>
      </c>
      <c r="AE216" s="12"/>
      <c r="AF216" s="12">
        <f>COUNTIF($A$20:A216,A216)</f>
        <v>6</v>
      </c>
      <c r="AG216" s="38">
        <v>109009650</v>
      </c>
      <c r="AH216" s="38">
        <f>Tabla4[[#This Row],[VALOR CONTRAPARTIDA]]+Tabla4[[#This Row],[TOTAL APORTES ICBF]]</f>
        <v>111189843</v>
      </c>
      <c r="AI216" s="35"/>
      <c r="AJ216" s="38"/>
      <c r="AK216" s="38"/>
      <c r="AL216" s="23"/>
      <c r="AM216" s="35">
        <f>VLOOKUP(Tabla4[[#This Row],[SERVICIO 2025]],$J$2:$V$14,5,0)*Tabla4[[#This Row],[TOTAL COBERTURA]]</f>
        <v>2468800</v>
      </c>
      <c r="AN216" s="35">
        <f>VLOOKUP(Tabla4[[#This Row],[SERVICIO 2025]],$J$2:$V$14,6,0)*Tabla4[[#This Row],[TOTAL COBERTURA]]</f>
        <v>2051450</v>
      </c>
      <c r="AO216" s="35">
        <f>VLOOKUP(Tabla4[[#This Row],[SERVICIO 2025]],$J$2:$V$14,8,0)*Tabla4[[#This Row],[TOTAL COBERTURA]]</f>
        <v>1455000</v>
      </c>
      <c r="AP216" s="35">
        <f>VLOOKUP(Tabla4[[#This Row],[SERVICIO 2025]],$J$2:$V$14,3,0)*Tabla4[[#This Row],[TOTAL COBERTURA]]*8</f>
        <v>103034400</v>
      </c>
      <c r="AQ216" s="35"/>
      <c r="AR216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216" s="35" t="str">
        <f>+IF(Tabla4[[#This Row],[AGRUPACIONES]]=1,SUMIFS(Tabla4[VALOR TOTAL],Tabla4[ZONA DEFINITIVO],Tabla4[[#This Row],[ZONA DEFINITIVO]])," ")</f>
        <v xml:space="preserve"> </v>
      </c>
      <c r="AT216" s="27">
        <f>(VLOOKUP(Tabla4[[#This Row],[SERVICIO 2025]],$J$2:$V$14,3,0)*Tabla4[[#This Row],[TOTAL COBERTURA]])+Tabla4[[#This Row],[VALOR FASE PREPARATORIA DE ALISTAMIENTO]]+Tabla4[[#This Row],[DOTACIÓN ÚNICA]]</f>
        <v>16803100</v>
      </c>
      <c r="AU216" s="35">
        <f>(VLOOKUP(Tabla4[[#This Row],[SERVICIO 2025]],$J$2:$V$14,3,0)*Tabla4[[#This Row],[TOTAL COBERTURA]])</f>
        <v>12879300</v>
      </c>
      <c r="AV216" s="35">
        <f>(VLOOKUP(Tabla4[[#This Row],[SERVICIO 2025]],$J$2:$V$14,3,0)*Tabla4[[#This Row],[TOTAL COBERTURA]])</f>
        <v>12879300</v>
      </c>
      <c r="AW216" s="35">
        <f>(VLOOKUP(Tabla4[[#This Row],[SERVICIO 2025]],$J$2:$V$14,3,0)*Tabla4[[#This Row],[TOTAL COBERTURA]])</f>
        <v>12879300</v>
      </c>
      <c r="AX216" s="35">
        <f>(VLOOKUP(Tabla4[[#This Row],[SERVICIO 2025]],$J$2:$V$14,3,0)*Tabla4[[#This Row],[TOTAL COBERTURA]])</f>
        <v>12879300</v>
      </c>
      <c r="AY216" s="35">
        <f>(VLOOKUP(Tabla4[[#This Row],[SERVICIO 2025]],$J$2:$V$14,3,0)*Tabla4[[#This Row],[TOTAL COBERTURA]])</f>
        <v>12879300</v>
      </c>
      <c r="AZ216" s="35">
        <f>(VLOOKUP(Tabla4[[#This Row],[SERVICIO 2025]],$J$2:$V$14,3,0)*Tabla4[[#This Row],[TOTAL COBERTURA]])</f>
        <v>12879300</v>
      </c>
      <c r="BA216" s="35">
        <f>(VLOOKUP(Tabla4[[#This Row],[SERVICIO 2025]],$J$2:$V$14,3,0)*Tabla4[[#This Row],[TOTAL COBERTURA]])+Tabla4[[#This Row],[VALOR FASE PREPARATORIA DE CIERRE]]</f>
        <v>14930750</v>
      </c>
      <c r="BB216" s="35">
        <f>SUM(Tabla4[[#This Row],[DESEMBOLSO 1]:[DESEMBOLSO 8]])</f>
        <v>109009650</v>
      </c>
      <c r="BC216" s="35">
        <f>VLOOKUP(Tabla4[[#This Row],[SERVICIO 2025]],$J$2:$V$14,10,0)*Tabla4[[#This Row],[TOTAL COBERTURA]]*$W$3</f>
        <v>72153200</v>
      </c>
      <c r="BD216" s="47" t="s">
        <v>211</v>
      </c>
      <c r="BE216" s="12" t="b">
        <f>EXACT(Tabla4[[#This Row],[VALOR ATENCIÓN (8 MESES)]],Tabla4[[#This Row],[VALOR TOTAL]])</f>
        <v>1</v>
      </c>
      <c r="BF216" s="23">
        <f>Tabla4[[#This Row],[VALOR ATENCIÓN (8 MESES)]]-Tabla4[[#This Row],[VALOR TOTAL]]</f>
        <v>0</v>
      </c>
      <c r="BG216" s="12" t="b">
        <f>EXACT(Tabla4[[#This Row],[TOTAL DESEMBOLSOS]],Tabla4[[#This Row],[VALOR ATENCIÓN (8 MESES)]])</f>
        <v>1</v>
      </c>
      <c r="BH216" s="29">
        <f>Tabla4[[#This Row],[TOTAL DESEMBOLSOS]]-Tabla4[[#This Row],[VALOR ATENCIÓN (8 MESES)]]</f>
        <v>0</v>
      </c>
      <c r="BI216" t="s">
        <v>98</v>
      </c>
      <c r="BJ216">
        <v>1904</v>
      </c>
    </row>
    <row r="217" spans="1:62">
      <c r="A217" s="13">
        <v>1904</v>
      </c>
      <c r="B217" s="13" t="s">
        <v>550</v>
      </c>
      <c r="C217" s="12" t="s">
        <v>87</v>
      </c>
      <c r="D217" s="12" t="s">
        <v>527</v>
      </c>
      <c r="E217" s="12" t="s">
        <v>551</v>
      </c>
      <c r="F217" s="12" t="s">
        <v>18</v>
      </c>
      <c r="G217" s="12" t="s">
        <v>90</v>
      </c>
      <c r="H217" s="12" t="s">
        <v>563</v>
      </c>
      <c r="I217" s="12">
        <v>50021143043</v>
      </c>
      <c r="J217" s="12" t="s">
        <v>564</v>
      </c>
      <c r="K217" s="12">
        <v>1</v>
      </c>
      <c r="L217" s="12">
        <v>50</v>
      </c>
      <c r="M217" s="12"/>
      <c r="N217" s="13">
        <v>1904</v>
      </c>
      <c r="O217" s="12" t="s">
        <v>93</v>
      </c>
      <c r="P217" s="12"/>
      <c r="Q217" s="12"/>
      <c r="R217" s="12" t="s">
        <v>94</v>
      </c>
      <c r="S217" s="12">
        <v>10</v>
      </c>
      <c r="T217" s="12" t="s">
        <v>534</v>
      </c>
      <c r="U217" s="12" t="s">
        <v>531</v>
      </c>
      <c r="V217" s="12">
        <f>VLOOKUP(Tabla4[[#This Row],[ZONA DEFINITIVO]],Hoja1!$A$1:$D$121,3,0)</f>
        <v>229068</v>
      </c>
      <c r="W217" s="12">
        <f>VLOOKUP(Tabla4[[#This Row],[ZONA DEFINITIVO]],Hoja1!$A$1:$D$121,2,0)</f>
        <v>15166</v>
      </c>
      <c r="X217" s="12">
        <f>VLOOKUP(Tabla4[[#This Row],[ZONA DEFINITIVO]],Hoja1!$A$1:$D$121,4,0)</f>
        <v>87225</v>
      </c>
      <c r="Y217" s="12" t="str">
        <f>+IF(Tabla4[[#This Row],[AGRUPACIONES]]=1,SUMIFS(Tabla4[UDS],Tabla4[ZONA DEFINITIVO],Tabla4[[#This Row],[ZONA DEFINITIVO]])," ")</f>
        <v xml:space="preserve"> </v>
      </c>
      <c r="Z217" s="12" t="str">
        <f>+IF(Tabla4[[#This Row],[AGRUPACIONES]]=1,SUMIFS(Tabla4[TOTAL COBERTURA],Tabla4[ZONA DEFINITIVO],Tabla4[[#This Row],[ZONA DEFINITIVO]])," ")</f>
        <v xml:space="preserve"> </v>
      </c>
      <c r="AA217" s="12"/>
      <c r="AB217" s="38">
        <v>109009650</v>
      </c>
      <c r="AC217" s="37">
        <v>0.02</v>
      </c>
      <c r="AD217" s="38">
        <f t="shared" si="4"/>
        <v>2180193</v>
      </c>
      <c r="AE217" s="12"/>
      <c r="AF217" s="12">
        <f>COUNTIF($A$20:A217,A217)</f>
        <v>7</v>
      </c>
      <c r="AG217" s="38">
        <v>109009650</v>
      </c>
      <c r="AH217" s="38">
        <f>Tabla4[[#This Row],[VALOR CONTRAPARTIDA]]+Tabla4[[#This Row],[TOTAL APORTES ICBF]]</f>
        <v>111189843</v>
      </c>
      <c r="AI217" s="35"/>
      <c r="AJ217" s="38"/>
      <c r="AK217" s="38"/>
      <c r="AL217" s="23"/>
      <c r="AM217" s="35">
        <f>VLOOKUP(Tabla4[[#This Row],[SERVICIO 2025]],$J$2:$V$14,5,0)*Tabla4[[#This Row],[TOTAL COBERTURA]]</f>
        <v>2468800</v>
      </c>
      <c r="AN217" s="35">
        <f>VLOOKUP(Tabla4[[#This Row],[SERVICIO 2025]],$J$2:$V$14,6,0)*Tabla4[[#This Row],[TOTAL COBERTURA]]</f>
        <v>2051450</v>
      </c>
      <c r="AO217" s="35">
        <f>VLOOKUP(Tabla4[[#This Row],[SERVICIO 2025]],$J$2:$V$14,8,0)*Tabla4[[#This Row],[TOTAL COBERTURA]]</f>
        <v>1455000</v>
      </c>
      <c r="AP217" s="35">
        <f>VLOOKUP(Tabla4[[#This Row],[SERVICIO 2025]],$J$2:$V$14,3,0)*Tabla4[[#This Row],[TOTAL COBERTURA]]*8</f>
        <v>103034400</v>
      </c>
      <c r="AQ217" s="35"/>
      <c r="AR217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217" s="35" t="str">
        <f>+IF(Tabla4[[#This Row],[AGRUPACIONES]]=1,SUMIFS(Tabla4[VALOR TOTAL],Tabla4[ZONA DEFINITIVO],Tabla4[[#This Row],[ZONA DEFINITIVO]])," ")</f>
        <v xml:space="preserve"> </v>
      </c>
      <c r="AT217" s="27">
        <f>(VLOOKUP(Tabla4[[#This Row],[SERVICIO 2025]],$J$2:$V$14,3,0)*Tabla4[[#This Row],[TOTAL COBERTURA]])+Tabla4[[#This Row],[VALOR FASE PREPARATORIA DE ALISTAMIENTO]]+Tabla4[[#This Row],[DOTACIÓN ÚNICA]]</f>
        <v>16803100</v>
      </c>
      <c r="AU217" s="35">
        <f>(VLOOKUP(Tabla4[[#This Row],[SERVICIO 2025]],$J$2:$V$14,3,0)*Tabla4[[#This Row],[TOTAL COBERTURA]])</f>
        <v>12879300</v>
      </c>
      <c r="AV217" s="35">
        <f>(VLOOKUP(Tabla4[[#This Row],[SERVICIO 2025]],$J$2:$V$14,3,0)*Tabla4[[#This Row],[TOTAL COBERTURA]])</f>
        <v>12879300</v>
      </c>
      <c r="AW217" s="35">
        <f>(VLOOKUP(Tabla4[[#This Row],[SERVICIO 2025]],$J$2:$V$14,3,0)*Tabla4[[#This Row],[TOTAL COBERTURA]])</f>
        <v>12879300</v>
      </c>
      <c r="AX217" s="35">
        <f>(VLOOKUP(Tabla4[[#This Row],[SERVICIO 2025]],$J$2:$V$14,3,0)*Tabla4[[#This Row],[TOTAL COBERTURA]])</f>
        <v>12879300</v>
      </c>
      <c r="AY217" s="35">
        <f>(VLOOKUP(Tabla4[[#This Row],[SERVICIO 2025]],$J$2:$V$14,3,0)*Tabla4[[#This Row],[TOTAL COBERTURA]])</f>
        <v>12879300</v>
      </c>
      <c r="AZ217" s="35">
        <f>(VLOOKUP(Tabla4[[#This Row],[SERVICIO 2025]],$J$2:$V$14,3,0)*Tabla4[[#This Row],[TOTAL COBERTURA]])</f>
        <v>12879300</v>
      </c>
      <c r="BA217" s="35">
        <f>(VLOOKUP(Tabla4[[#This Row],[SERVICIO 2025]],$J$2:$V$14,3,0)*Tabla4[[#This Row],[TOTAL COBERTURA]])+Tabla4[[#This Row],[VALOR FASE PREPARATORIA DE CIERRE]]</f>
        <v>14930750</v>
      </c>
      <c r="BB217" s="35">
        <f>SUM(Tabla4[[#This Row],[DESEMBOLSO 1]:[DESEMBOLSO 8]])</f>
        <v>109009650</v>
      </c>
      <c r="BC217" s="35">
        <f>VLOOKUP(Tabla4[[#This Row],[SERVICIO 2025]],$J$2:$V$14,10,0)*Tabla4[[#This Row],[TOTAL COBERTURA]]*$W$3</f>
        <v>72153200</v>
      </c>
      <c r="BD217" s="47" t="s">
        <v>211</v>
      </c>
      <c r="BE217" s="12" t="b">
        <f>EXACT(Tabla4[[#This Row],[VALOR ATENCIÓN (8 MESES)]],Tabla4[[#This Row],[VALOR TOTAL]])</f>
        <v>1</v>
      </c>
      <c r="BF217" s="23">
        <f>Tabla4[[#This Row],[VALOR ATENCIÓN (8 MESES)]]-Tabla4[[#This Row],[VALOR TOTAL]]</f>
        <v>0</v>
      </c>
      <c r="BG217" s="12" t="b">
        <f>EXACT(Tabla4[[#This Row],[TOTAL DESEMBOLSOS]],Tabla4[[#This Row],[VALOR ATENCIÓN (8 MESES)]])</f>
        <v>1</v>
      </c>
      <c r="BH217" s="29">
        <f>Tabla4[[#This Row],[TOTAL DESEMBOLSOS]]-Tabla4[[#This Row],[VALOR ATENCIÓN (8 MESES)]]</f>
        <v>0</v>
      </c>
      <c r="BI217" t="s">
        <v>98</v>
      </c>
      <c r="BJ217">
        <v>1904</v>
      </c>
    </row>
    <row r="218" spans="1:62">
      <c r="A218" s="13">
        <v>1904</v>
      </c>
      <c r="B218" s="13" t="s">
        <v>550</v>
      </c>
      <c r="C218" s="12" t="s">
        <v>87</v>
      </c>
      <c r="D218" s="12" t="s">
        <v>527</v>
      </c>
      <c r="E218" s="12" t="s">
        <v>551</v>
      </c>
      <c r="F218" s="12" t="s">
        <v>18</v>
      </c>
      <c r="G218" s="12" t="s">
        <v>90</v>
      </c>
      <c r="H218" s="12" t="s">
        <v>565</v>
      </c>
      <c r="I218" s="12">
        <v>50021143044</v>
      </c>
      <c r="J218" s="12" t="s">
        <v>566</v>
      </c>
      <c r="K218" s="12">
        <v>1</v>
      </c>
      <c r="L218" s="12">
        <v>50</v>
      </c>
      <c r="M218" s="12"/>
      <c r="N218" s="13">
        <v>1904</v>
      </c>
      <c r="O218" s="12" t="s">
        <v>93</v>
      </c>
      <c r="P218" s="12"/>
      <c r="Q218" s="12"/>
      <c r="R218" s="12" t="s">
        <v>94</v>
      </c>
      <c r="S218" s="12">
        <v>10</v>
      </c>
      <c r="T218" s="12" t="s">
        <v>534</v>
      </c>
      <c r="U218" s="12" t="s">
        <v>531</v>
      </c>
      <c r="V218" s="12">
        <f>VLOOKUP(Tabla4[[#This Row],[ZONA DEFINITIVO]],Hoja1!$A$1:$D$121,3,0)</f>
        <v>229068</v>
      </c>
      <c r="W218" s="12">
        <f>VLOOKUP(Tabla4[[#This Row],[ZONA DEFINITIVO]],Hoja1!$A$1:$D$121,2,0)</f>
        <v>15166</v>
      </c>
      <c r="X218" s="12">
        <f>VLOOKUP(Tabla4[[#This Row],[ZONA DEFINITIVO]],Hoja1!$A$1:$D$121,4,0)</f>
        <v>87225</v>
      </c>
      <c r="Y218" s="12" t="str">
        <f>+IF(Tabla4[[#This Row],[AGRUPACIONES]]=1,SUMIFS(Tabla4[UDS],Tabla4[ZONA DEFINITIVO],Tabla4[[#This Row],[ZONA DEFINITIVO]])," ")</f>
        <v xml:space="preserve"> </v>
      </c>
      <c r="Z218" s="12" t="str">
        <f>+IF(Tabla4[[#This Row],[AGRUPACIONES]]=1,SUMIFS(Tabla4[TOTAL COBERTURA],Tabla4[ZONA DEFINITIVO],Tabla4[[#This Row],[ZONA DEFINITIVO]])," ")</f>
        <v xml:space="preserve"> </v>
      </c>
      <c r="AA218" s="12"/>
      <c r="AB218" s="38">
        <v>109009650</v>
      </c>
      <c r="AC218" s="37">
        <v>0.02</v>
      </c>
      <c r="AD218" s="38">
        <f t="shared" si="4"/>
        <v>2180193</v>
      </c>
      <c r="AE218" s="12"/>
      <c r="AF218" s="12">
        <f>COUNTIF($A$20:A218,A218)</f>
        <v>8</v>
      </c>
      <c r="AG218" s="38">
        <v>109009650</v>
      </c>
      <c r="AH218" s="38">
        <f>Tabla4[[#This Row],[VALOR CONTRAPARTIDA]]+Tabla4[[#This Row],[TOTAL APORTES ICBF]]</f>
        <v>111189843</v>
      </c>
      <c r="AI218" s="35"/>
      <c r="AJ218" s="38"/>
      <c r="AK218" s="38"/>
      <c r="AL218" s="23"/>
      <c r="AM218" s="35">
        <f>VLOOKUP(Tabla4[[#This Row],[SERVICIO 2025]],$J$2:$V$14,5,0)*Tabla4[[#This Row],[TOTAL COBERTURA]]</f>
        <v>2468800</v>
      </c>
      <c r="AN218" s="35">
        <f>VLOOKUP(Tabla4[[#This Row],[SERVICIO 2025]],$J$2:$V$14,6,0)*Tabla4[[#This Row],[TOTAL COBERTURA]]</f>
        <v>2051450</v>
      </c>
      <c r="AO218" s="35">
        <f>VLOOKUP(Tabla4[[#This Row],[SERVICIO 2025]],$J$2:$V$14,8,0)*Tabla4[[#This Row],[TOTAL COBERTURA]]</f>
        <v>1455000</v>
      </c>
      <c r="AP218" s="35">
        <f>VLOOKUP(Tabla4[[#This Row],[SERVICIO 2025]],$J$2:$V$14,3,0)*Tabla4[[#This Row],[TOTAL COBERTURA]]*8</f>
        <v>103034400</v>
      </c>
      <c r="AQ218" s="35"/>
      <c r="AR218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218" s="35" t="str">
        <f>+IF(Tabla4[[#This Row],[AGRUPACIONES]]=1,SUMIFS(Tabla4[VALOR TOTAL],Tabla4[ZONA DEFINITIVO],Tabla4[[#This Row],[ZONA DEFINITIVO]])," ")</f>
        <v xml:space="preserve"> </v>
      </c>
      <c r="AT218" s="27">
        <f>(VLOOKUP(Tabla4[[#This Row],[SERVICIO 2025]],$J$2:$V$14,3,0)*Tabla4[[#This Row],[TOTAL COBERTURA]])+Tabla4[[#This Row],[VALOR FASE PREPARATORIA DE ALISTAMIENTO]]+Tabla4[[#This Row],[DOTACIÓN ÚNICA]]</f>
        <v>16803100</v>
      </c>
      <c r="AU218" s="35">
        <f>(VLOOKUP(Tabla4[[#This Row],[SERVICIO 2025]],$J$2:$V$14,3,0)*Tabla4[[#This Row],[TOTAL COBERTURA]])</f>
        <v>12879300</v>
      </c>
      <c r="AV218" s="35">
        <f>(VLOOKUP(Tabla4[[#This Row],[SERVICIO 2025]],$J$2:$V$14,3,0)*Tabla4[[#This Row],[TOTAL COBERTURA]])</f>
        <v>12879300</v>
      </c>
      <c r="AW218" s="35">
        <f>(VLOOKUP(Tabla4[[#This Row],[SERVICIO 2025]],$J$2:$V$14,3,0)*Tabla4[[#This Row],[TOTAL COBERTURA]])</f>
        <v>12879300</v>
      </c>
      <c r="AX218" s="35">
        <f>(VLOOKUP(Tabla4[[#This Row],[SERVICIO 2025]],$J$2:$V$14,3,0)*Tabla4[[#This Row],[TOTAL COBERTURA]])</f>
        <v>12879300</v>
      </c>
      <c r="AY218" s="35">
        <f>(VLOOKUP(Tabla4[[#This Row],[SERVICIO 2025]],$J$2:$V$14,3,0)*Tabla4[[#This Row],[TOTAL COBERTURA]])</f>
        <v>12879300</v>
      </c>
      <c r="AZ218" s="35">
        <f>(VLOOKUP(Tabla4[[#This Row],[SERVICIO 2025]],$J$2:$V$14,3,0)*Tabla4[[#This Row],[TOTAL COBERTURA]])</f>
        <v>12879300</v>
      </c>
      <c r="BA218" s="35">
        <f>(VLOOKUP(Tabla4[[#This Row],[SERVICIO 2025]],$J$2:$V$14,3,0)*Tabla4[[#This Row],[TOTAL COBERTURA]])+Tabla4[[#This Row],[VALOR FASE PREPARATORIA DE CIERRE]]</f>
        <v>14930750</v>
      </c>
      <c r="BB218" s="35">
        <f>SUM(Tabla4[[#This Row],[DESEMBOLSO 1]:[DESEMBOLSO 8]])</f>
        <v>109009650</v>
      </c>
      <c r="BC218" s="35">
        <f>VLOOKUP(Tabla4[[#This Row],[SERVICIO 2025]],$J$2:$V$14,10,0)*Tabla4[[#This Row],[TOTAL COBERTURA]]*$W$3</f>
        <v>72153200</v>
      </c>
      <c r="BD218" s="47" t="s">
        <v>211</v>
      </c>
      <c r="BE218" s="12" t="b">
        <f>EXACT(Tabla4[[#This Row],[VALOR ATENCIÓN (8 MESES)]],Tabla4[[#This Row],[VALOR TOTAL]])</f>
        <v>1</v>
      </c>
      <c r="BF218" s="23">
        <f>Tabla4[[#This Row],[VALOR ATENCIÓN (8 MESES)]]-Tabla4[[#This Row],[VALOR TOTAL]]</f>
        <v>0</v>
      </c>
      <c r="BG218" s="12" t="b">
        <f>EXACT(Tabla4[[#This Row],[TOTAL DESEMBOLSOS]],Tabla4[[#This Row],[VALOR ATENCIÓN (8 MESES)]])</f>
        <v>1</v>
      </c>
      <c r="BH218" s="29">
        <f>Tabla4[[#This Row],[TOTAL DESEMBOLSOS]]-Tabla4[[#This Row],[VALOR ATENCIÓN (8 MESES)]]</f>
        <v>0</v>
      </c>
      <c r="BI218" t="s">
        <v>98</v>
      </c>
      <c r="BJ218">
        <v>1904</v>
      </c>
    </row>
    <row r="219" spans="1:62">
      <c r="A219" s="13">
        <v>1904</v>
      </c>
      <c r="B219" s="13" t="s">
        <v>550</v>
      </c>
      <c r="C219" s="12" t="s">
        <v>87</v>
      </c>
      <c r="D219" s="12" t="s">
        <v>527</v>
      </c>
      <c r="E219" s="12" t="s">
        <v>551</v>
      </c>
      <c r="F219" s="12" t="s">
        <v>18</v>
      </c>
      <c r="G219" s="12" t="s">
        <v>90</v>
      </c>
      <c r="H219" s="12" t="s">
        <v>567</v>
      </c>
      <c r="I219" s="12">
        <v>50021143045</v>
      </c>
      <c r="J219" s="12" t="s">
        <v>568</v>
      </c>
      <c r="K219" s="12">
        <v>1</v>
      </c>
      <c r="L219" s="12">
        <v>50</v>
      </c>
      <c r="M219" s="12"/>
      <c r="N219" s="13">
        <v>1904</v>
      </c>
      <c r="O219" s="12" t="s">
        <v>93</v>
      </c>
      <c r="P219" s="12"/>
      <c r="Q219" s="12"/>
      <c r="R219" s="12" t="s">
        <v>94</v>
      </c>
      <c r="S219" s="12">
        <v>10</v>
      </c>
      <c r="T219" s="12" t="s">
        <v>534</v>
      </c>
      <c r="U219" s="12" t="s">
        <v>531</v>
      </c>
      <c r="V219" s="12">
        <f>VLOOKUP(Tabla4[[#This Row],[ZONA DEFINITIVO]],Hoja1!$A$1:$D$121,3,0)</f>
        <v>229068</v>
      </c>
      <c r="W219" s="12">
        <f>VLOOKUP(Tabla4[[#This Row],[ZONA DEFINITIVO]],Hoja1!$A$1:$D$121,2,0)</f>
        <v>15166</v>
      </c>
      <c r="X219" s="12">
        <f>VLOOKUP(Tabla4[[#This Row],[ZONA DEFINITIVO]],Hoja1!$A$1:$D$121,4,0)</f>
        <v>87225</v>
      </c>
      <c r="Y219" s="12" t="str">
        <f>+IF(Tabla4[[#This Row],[AGRUPACIONES]]=1,SUMIFS(Tabla4[UDS],Tabla4[ZONA DEFINITIVO],Tabla4[[#This Row],[ZONA DEFINITIVO]])," ")</f>
        <v xml:space="preserve"> </v>
      </c>
      <c r="Z219" s="12" t="str">
        <f>+IF(Tabla4[[#This Row],[AGRUPACIONES]]=1,SUMIFS(Tabla4[TOTAL COBERTURA],Tabla4[ZONA DEFINITIVO],Tabla4[[#This Row],[ZONA DEFINITIVO]])," ")</f>
        <v xml:space="preserve"> </v>
      </c>
      <c r="AA219" s="12"/>
      <c r="AB219" s="38">
        <v>109009650</v>
      </c>
      <c r="AC219" s="37">
        <v>0.02</v>
      </c>
      <c r="AD219" s="38">
        <f t="shared" si="4"/>
        <v>2180193</v>
      </c>
      <c r="AE219" s="12"/>
      <c r="AF219" s="12">
        <f>COUNTIF($A$20:A219,A219)</f>
        <v>9</v>
      </c>
      <c r="AG219" s="38">
        <v>109009650</v>
      </c>
      <c r="AH219" s="38">
        <f>Tabla4[[#This Row],[VALOR CONTRAPARTIDA]]+Tabla4[[#This Row],[TOTAL APORTES ICBF]]</f>
        <v>111189843</v>
      </c>
      <c r="AI219" s="35"/>
      <c r="AJ219" s="38"/>
      <c r="AK219" s="38"/>
      <c r="AL219" s="23"/>
      <c r="AM219" s="35">
        <f>VLOOKUP(Tabla4[[#This Row],[SERVICIO 2025]],$J$2:$V$14,5,0)*Tabla4[[#This Row],[TOTAL COBERTURA]]</f>
        <v>2468800</v>
      </c>
      <c r="AN219" s="35">
        <f>VLOOKUP(Tabla4[[#This Row],[SERVICIO 2025]],$J$2:$V$14,6,0)*Tabla4[[#This Row],[TOTAL COBERTURA]]</f>
        <v>2051450</v>
      </c>
      <c r="AO219" s="35">
        <f>VLOOKUP(Tabla4[[#This Row],[SERVICIO 2025]],$J$2:$V$14,8,0)*Tabla4[[#This Row],[TOTAL COBERTURA]]</f>
        <v>1455000</v>
      </c>
      <c r="AP219" s="35">
        <f>VLOOKUP(Tabla4[[#This Row],[SERVICIO 2025]],$J$2:$V$14,3,0)*Tabla4[[#This Row],[TOTAL COBERTURA]]*8</f>
        <v>103034400</v>
      </c>
      <c r="AQ219" s="35"/>
      <c r="AR219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219" s="35" t="str">
        <f>+IF(Tabla4[[#This Row],[AGRUPACIONES]]=1,SUMIFS(Tabla4[VALOR TOTAL],Tabla4[ZONA DEFINITIVO],Tabla4[[#This Row],[ZONA DEFINITIVO]])," ")</f>
        <v xml:space="preserve"> </v>
      </c>
      <c r="AT219" s="27">
        <f>(VLOOKUP(Tabla4[[#This Row],[SERVICIO 2025]],$J$2:$V$14,3,0)*Tabla4[[#This Row],[TOTAL COBERTURA]])+Tabla4[[#This Row],[VALOR FASE PREPARATORIA DE ALISTAMIENTO]]+Tabla4[[#This Row],[DOTACIÓN ÚNICA]]</f>
        <v>16803100</v>
      </c>
      <c r="AU219" s="35">
        <f>(VLOOKUP(Tabla4[[#This Row],[SERVICIO 2025]],$J$2:$V$14,3,0)*Tabla4[[#This Row],[TOTAL COBERTURA]])</f>
        <v>12879300</v>
      </c>
      <c r="AV219" s="35">
        <f>(VLOOKUP(Tabla4[[#This Row],[SERVICIO 2025]],$J$2:$V$14,3,0)*Tabla4[[#This Row],[TOTAL COBERTURA]])</f>
        <v>12879300</v>
      </c>
      <c r="AW219" s="35">
        <f>(VLOOKUP(Tabla4[[#This Row],[SERVICIO 2025]],$J$2:$V$14,3,0)*Tabla4[[#This Row],[TOTAL COBERTURA]])</f>
        <v>12879300</v>
      </c>
      <c r="AX219" s="35">
        <f>(VLOOKUP(Tabla4[[#This Row],[SERVICIO 2025]],$J$2:$V$14,3,0)*Tabla4[[#This Row],[TOTAL COBERTURA]])</f>
        <v>12879300</v>
      </c>
      <c r="AY219" s="35">
        <f>(VLOOKUP(Tabla4[[#This Row],[SERVICIO 2025]],$J$2:$V$14,3,0)*Tabla4[[#This Row],[TOTAL COBERTURA]])</f>
        <v>12879300</v>
      </c>
      <c r="AZ219" s="35">
        <f>(VLOOKUP(Tabla4[[#This Row],[SERVICIO 2025]],$J$2:$V$14,3,0)*Tabla4[[#This Row],[TOTAL COBERTURA]])</f>
        <v>12879300</v>
      </c>
      <c r="BA219" s="35">
        <f>(VLOOKUP(Tabla4[[#This Row],[SERVICIO 2025]],$J$2:$V$14,3,0)*Tabla4[[#This Row],[TOTAL COBERTURA]])+Tabla4[[#This Row],[VALOR FASE PREPARATORIA DE CIERRE]]</f>
        <v>14930750</v>
      </c>
      <c r="BB219" s="35">
        <f>SUM(Tabla4[[#This Row],[DESEMBOLSO 1]:[DESEMBOLSO 8]])</f>
        <v>109009650</v>
      </c>
      <c r="BC219" s="35">
        <f>VLOOKUP(Tabla4[[#This Row],[SERVICIO 2025]],$J$2:$V$14,10,0)*Tabla4[[#This Row],[TOTAL COBERTURA]]*$W$3</f>
        <v>72153200</v>
      </c>
      <c r="BD219" s="47" t="s">
        <v>211</v>
      </c>
      <c r="BE219" s="12" t="b">
        <f>EXACT(Tabla4[[#This Row],[VALOR ATENCIÓN (8 MESES)]],Tabla4[[#This Row],[VALOR TOTAL]])</f>
        <v>1</v>
      </c>
      <c r="BF219" s="23">
        <f>Tabla4[[#This Row],[VALOR ATENCIÓN (8 MESES)]]-Tabla4[[#This Row],[VALOR TOTAL]]</f>
        <v>0</v>
      </c>
      <c r="BG219" s="12" t="b">
        <f>EXACT(Tabla4[[#This Row],[TOTAL DESEMBOLSOS]],Tabla4[[#This Row],[VALOR ATENCIÓN (8 MESES)]])</f>
        <v>1</v>
      </c>
      <c r="BH219" s="29">
        <f>Tabla4[[#This Row],[TOTAL DESEMBOLSOS]]-Tabla4[[#This Row],[VALOR ATENCIÓN (8 MESES)]]</f>
        <v>0</v>
      </c>
      <c r="BI219" t="s">
        <v>98</v>
      </c>
      <c r="BJ219">
        <v>1904</v>
      </c>
    </row>
    <row r="220" spans="1:62">
      <c r="A220" s="13">
        <v>1904</v>
      </c>
      <c r="B220" s="13" t="s">
        <v>550</v>
      </c>
      <c r="C220" s="12" t="s">
        <v>87</v>
      </c>
      <c r="D220" s="12" t="s">
        <v>527</v>
      </c>
      <c r="E220" s="12" t="s">
        <v>551</v>
      </c>
      <c r="F220" s="12" t="s">
        <v>18</v>
      </c>
      <c r="G220" s="12" t="s">
        <v>90</v>
      </c>
      <c r="H220" s="12" t="s">
        <v>569</v>
      </c>
      <c r="I220" s="12">
        <v>50021143046</v>
      </c>
      <c r="J220" s="12" t="s">
        <v>570</v>
      </c>
      <c r="K220" s="12">
        <v>1</v>
      </c>
      <c r="L220" s="12">
        <v>50</v>
      </c>
      <c r="M220" s="12"/>
      <c r="N220" s="13">
        <v>1904</v>
      </c>
      <c r="O220" s="12" t="s">
        <v>93</v>
      </c>
      <c r="P220" s="12"/>
      <c r="Q220" s="12"/>
      <c r="R220" s="12" t="s">
        <v>94</v>
      </c>
      <c r="S220" s="12">
        <v>10</v>
      </c>
      <c r="T220" s="12" t="s">
        <v>534</v>
      </c>
      <c r="U220" s="12" t="s">
        <v>531</v>
      </c>
      <c r="V220" s="12">
        <f>VLOOKUP(Tabla4[[#This Row],[ZONA DEFINITIVO]],Hoja1!$A$1:$D$121,3,0)</f>
        <v>229068</v>
      </c>
      <c r="W220" s="12">
        <f>VLOOKUP(Tabla4[[#This Row],[ZONA DEFINITIVO]],Hoja1!$A$1:$D$121,2,0)</f>
        <v>15166</v>
      </c>
      <c r="X220" s="12">
        <f>VLOOKUP(Tabla4[[#This Row],[ZONA DEFINITIVO]],Hoja1!$A$1:$D$121,4,0)</f>
        <v>87225</v>
      </c>
      <c r="Y220" s="12" t="str">
        <f>+IF(Tabla4[[#This Row],[AGRUPACIONES]]=1,SUMIFS(Tabla4[UDS],Tabla4[ZONA DEFINITIVO],Tabla4[[#This Row],[ZONA DEFINITIVO]])," ")</f>
        <v xml:space="preserve"> </v>
      </c>
      <c r="Z220" s="12" t="str">
        <f>+IF(Tabla4[[#This Row],[AGRUPACIONES]]=1,SUMIFS(Tabla4[TOTAL COBERTURA],Tabla4[ZONA DEFINITIVO],Tabla4[[#This Row],[ZONA DEFINITIVO]])," ")</f>
        <v xml:space="preserve"> </v>
      </c>
      <c r="AA220" s="12"/>
      <c r="AB220" s="38">
        <v>109009650</v>
      </c>
      <c r="AC220" s="37">
        <v>0.02</v>
      </c>
      <c r="AD220" s="38">
        <f t="shared" si="4"/>
        <v>2180193</v>
      </c>
      <c r="AE220" s="12"/>
      <c r="AF220" s="12">
        <f>COUNTIF($A$20:A220,A220)</f>
        <v>10</v>
      </c>
      <c r="AG220" s="38">
        <v>109009650</v>
      </c>
      <c r="AH220" s="38">
        <f>Tabla4[[#This Row],[VALOR CONTRAPARTIDA]]+Tabla4[[#This Row],[TOTAL APORTES ICBF]]</f>
        <v>111189843</v>
      </c>
      <c r="AI220" s="35"/>
      <c r="AJ220" s="38"/>
      <c r="AK220" s="38"/>
      <c r="AL220" s="23"/>
      <c r="AM220" s="35">
        <f>VLOOKUP(Tabla4[[#This Row],[SERVICIO 2025]],$J$2:$V$14,5,0)*Tabla4[[#This Row],[TOTAL COBERTURA]]</f>
        <v>2468800</v>
      </c>
      <c r="AN220" s="35">
        <f>VLOOKUP(Tabla4[[#This Row],[SERVICIO 2025]],$J$2:$V$14,6,0)*Tabla4[[#This Row],[TOTAL COBERTURA]]</f>
        <v>2051450</v>
      </c>
      <c r="AO220" s="35">
        <f>VLOOKUP(Tabla4[[#This Row],[SERVICIO 2025]],$J$2:$V$14,8,0)*Tabla4[[#This Row],[TOTAL COBERTURA]]</f>
        <v>1455000</v>
      </c>
      <c r="AP220" s="35">
        <f>VLOOKUP(Tabla4[[#This Row],[SERVICIO 2025]],$J$2:$V$14,3,0)*Tabla4[[#This Row],[TOTAL COBERTURA]]*8</f>
        <v>103034400</v>
      </c>
      <c r="AQ220" s="35"/>
      <c r="AR220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220" s="35" t="str">
        <f>+IF(Tabla4[[#This Row],[AGRUPACIONES]]=1,SUMIFS(Tabla4[VALOR TOTAL],Tabla4[ZONA DEFINITIVO],Tabla4[[#This Row],[ZONA DEFINITIVO]])," ")</f>
        <v xml:space="preserve"> </v>
      </c>
      <c r="AT220" s="27">
        <f>(VLOOKUP(Tabla4[[#This Row],[SERVICIO 2025]],$J$2:$V$14,3,0)*Tabla4[[#This Row],[TOTAL COBERTURA]])+Tabla4[[#This Row],[VALOR FASE PREPARATORIA DE ALISTAMIENTO]]+Tabla4[[#This Row],[DOTACIÓN ÚNICA]]</f>
        <v>16803100</v>
      </c>
      <c r="AU220" s="35">
        <f>(VLOOKUP(Tabla4[[#This Row],[SERVICIO 2025]],$J$2:$V$14,3,0)*Tabla4[[#This Row],[TOTAL COBERTURA]])</f>
        <v>12879300</v>
      </c>
      <c r="AV220" s="35">
        <f>(VLOOKUP(Tabla4[[#This Row],[SERVICIO 2025]],$J$2:$V$14,3,0)*Tabla4[[#This Row],[TOTAL COBERTURA]])</f>
        <v>12879300</v>
      </c>
      <c r="AW220" s="35">
        <f>(VLOOKUP(Tabla4[[#This Row],[SERVICIO 2025]],$J$2:$V$14,3,0)*Tabla4[[#This Row],[TOTAL COBERTURA]])</f>
        <v>12879300</v>
      </c>
      <c r="AX220" s="35">
        <f>(VLOOKUP(Tabla4[[#This Row],[SERVICIO 2025]],$J$2:$V$14,3,0)*Tabla4[[#This Row],[TOTAL COBERTURA]])</f>
        <v>12879300</v>
      </c>
      <c r="AY220" s="35">
        <f>(VLOOKUP(Tabla4[[#This Row],[SERVICIO 2025]],$J$2:$V$14,3,0)*Tabla4[[#This Row],[TOTAL COBERTURA]])</f>
        <v>12879300</v>
      </c>
      <c r="AZ220" s="35">
        <f>(VLOOKUP(Tabla4[[#This Row],[SERVICIO 2025]],$J$2:$V$14,3,0)*Tabla4[[#This Row],[TOTAL COBERTURA]])</f>
        <v>12879300</v>
      </c>
      <c r="BA220" s="35">
        <f>(VLOOKUP(Tabla4[[#This Row],[SERVICIO 2025]],$J$2:$V$14,3,0)*Tabla4[[#This Row],[TOTAL COBERTURA]])+Tabla4[[#This Row],[VALOR FASE PREPARATORIA DE CIERRE]]</f>
        <v>14930750</v>
      </c>
      <c r="BB220" s="35">
        <f>SUM(Tabla4[[#This Row],[DESEMBOLSO 1]:[DESEMBOLSO 8]])</f>
        <v>109009650</v>
      </c>
      <c r="BC220" s="35">
        <f>VLOOKUP(Tabla4[[#This Row],[SERVICIO 2025]],$J$2:$V$14,10,0)*Tabla4[[#This Row],[TOTAL COBERTURA]]*$W$3</f>
        <v>72153200</v>
      </c>
      <c r="BD220" s="47" t="s">
        <v>211</v>
      </c>
      <c r="BE220" s="12" t="b">
        <f>EXACT(Tabla4[[#This Row],[VALOR ATENCIÓN (8 MESES)]],Tabla4[[#This Row],[VALOR TOTAL]])</f>
        <v>1</v>
      </c>
      <c r="BF220" s="23">
        <f>Tabla4[[#This Row],[VALOR ATENCIÓN (8 MESES)]]-Tabla4[[#This Row],[VALOR TOTAL]]</f>
        <v>0</v>
      </c>
      <c r="BG220" s="12" t="b">
        <f>EXACT(Tabla4[[#This Row],[TOTAL DESEMBOLSOS]],Tabla4[[#This Row],[VALOR ATENCIÓN (8 MESES)]])</f>
        <v>1</v>
      </c>
      <c r="BH220" s="29">
        <f>Tabla4[[#This Row],[TOTAL DESEMBOLSOS]]-Tabla4[[#This Row],[VALOR ATENCIÓN (8 MESES)]]</f>
        <v>0</v>
      </c>
      <c r="BI220" t="s">
        <v>98</v>
      </c>
      <c r="BJ220">
        <v>1904</v>
      </c>
    </row>
    <row r="221" spans="1:62">
      <c r="A221" s="13">
        <v>1904</v>
      </c>
      <c r="B221" s="13" t="s">
        <v>550</v>
      </c>
      <c r="C221" s="12" t="s">
        <v>87</v>
      </c>
      <c r="D221" s="12" t="s">
        <v>527</v>
      </c>
      <c r="E221" s="12" t="s">
        <v>551</v>
      </c>
      <c r="F221" s="12" t="s">
        <v>18</v>
      </c>
      <c r="G221" s="12" t="s">
        <v>90</v>
      </c>
      <c r="H221" s="12" t="s">
        <v>571</v>
      </c>
      <c r="I221" s="12">
        <v>50021143047</v>
      </c>
      <c r="J221" s="12" t="s">
        <v>572</v>
      </c>
      <c r="K221" s="12">
        <v>1</v>
      </c>
      <c r="L221" s="12">
        <v>49</v>
      </c>
      <c r="M221" s="12"/>
      <c r="N221" s="13">
        <v>1904</v>
      </c>
      <c r="O221" s="12" t="s">
        <v>93</v>
      </c>
      <c r="P221" s="12"/>
      <c r="Q221" s="12"/>
      <c r="R221" s="12" t="s">
        <v>94</v>
      </c>
      <c r="S221" s="12">
        <v>10</v>
      </c>
      <c r="T221" s="12" t="s">
        <v>534</v>
      </c>
      <c r="U221" s="12" t="s">
        <v>531</v>
      </c>
      <c r="V221" s="12">
        <f>VLOOKUP(Tabla4[[#This Row],[ZONA DEFINITIVO]],Hoja1!$A$1:$D$121,3,0)</f>
        <v>229068</v>
      </c>
      <c r="W221" s="12">
        <f>VLOOKUP(Tabla4[[#This Row],[ZONA DEFINITIVO]],Hoja1!$A$1:$D$121,2,0)</f>
        <v>15166</v>
      </c>
      <c r="X221" s="12">
        <f>VLOOKUP(Tabla4[[#This Row],[ZONA DEFINITIVO]],Hoja1!$A$1:$D$121,4,0)</f>
        <v>87225</v>
      </c>
      <c r="Y221" s="12" t="str">
        <f>+IF(Tabla4[[#This Row],[AGRUPACIONES]]=1,SUMIFS(Tabla4[UDS],Tabla4[ZONA DEFINITIVO],Tabla4[[#This Row],[ZONA DEFINITIVO]])," ")</f>
        <v xml:space="preserve"> </v>
      </c>
      <c r="Z221" s="12" t="str">
        <f>+IF(Tabla4[[#This Row],[AGRUPACIONES]]=1,SUMIFS(Tabla4[TOTAL COBERTURA],Tabla4[ZONA DEFINITIVO],Tabla4[[#This Row],[ZONA DEFINITIVO]])," ")</f>
        <v xml:space="preserve"> </v>
      </c>
      <c r="AA221" s="12"/>
      <c r="AB221" s="38">
        <v>106829457</v>
      </c>
      <c r="AC221" s="37">
        <v>0.02</v>
      </c>
      <c r="AD221" s="38">
        <f t="shared" si="4"/>
        <v>2136589.14</v>
      </c>
      <c r="AE221" s="12"/>
      <c r="AF221" s="12">
        <f>COUNTIF($A$20:A221,A221)</f>
        <v>11</v>
      </c>
      <c r="AG221" s="38">
        <v>106829457</v>
      </c>
      <c r="AH221" s="38">
        <f>Tabla4[[#This Row],[VALOR CONTRAPARTIDA]]+Tabla4[[#This Row],[TOTAL APORTES ICBF]]</f>
        <v>108966046.14</v>
      </c>
      <c r="AI221" s="35"/>
      <c r="AJ221" s="38"/>
      <c r="AK221" s="38"/>
      <c r="AL221" s="23"/>
      <c r="AM221" s="35">
        <f>VLOOKUP(Tabla4[[#This Row],[SERVICIO 2025]],$J$2:$V$14,5,0)*Tabla4[[#This Row],[TOTAL COBERTURA]]</f>
        <v>2419424</v>
      </c>
      <c r="AN221" s="35">
        <f>VLOOKUP(Tabla4[[#This Row],[SERVICIO 2025]],$J$2:$V$14,6,0)*Tabla4[[#This Row],[TOTAL COBERTURA]]</f>
        <v>2010421</v>
      </c>
      <c r="AO221" s="35">
        <f>VLOOKUP(Tabla4[[#This Row],[SERVICIO 2025]],$J$2:$V$14,8,0)*Tabla4[[#This Row],[TOTAL COBERTURA]]</f>
        <v>1425900</v>
      </c>
      <c r="AP221" s="35">
        <f>VLOOKUP(Tabla4[[#This Row],[SERVICIO 2025]],$J$2:$V$14,3,0)*Tabla4[[#This Row],[TOTAL COBERTURA]]*8</f>
        <v>100973712</v>
      </c>
      <c r="AQ221" s="35"/>
      <c r="AR221" s="35">
        <f>Tabla4[[#This Row],[VALOR FASE PREPARATORIA DE ALISTAMIENTO]]+Tabla4[[#This Row],[VALOR FASE PREPARATORIA DE CIERRE]]+Tabla4[[#This Row],[DOTACIÓN ÚNICA]]+Tabla4[[#This Row],[VALOR ATENCIÓN]]+Tabla4[[#This Row],[VALOR RACION PREPARADA]]</f>
        <v>106829457</v>
      </c>
      <c r="AS221" s="35" t="str">
        <f>+IF(Tabla4[[#This Row],[AGRUPACIONES]]=1,SUMIFS(Tabla4[VALOR TOTAL],Tabla4[ZONA DEFINITIVO],Tabla4[[#This Row],[ZONA DEFINITIVO]])," ")</f>
        <v xml:space="preserve"> </v>
      </c>
      <c r="AT221" s="27">
        <f>(VLOOKUP(Tabla4[[#This Row],[SERVICIO 2025]],$J$2:$V$14,3,0)*Tabla4[[#This Row],[TOTAL COBERTURA]])+Tabla4[[#This Row],[VALOR FASE PREPARATORIA DE ALISTAMIENTO]]+Tabla4[[#This Row],[DOTACIÓN ÚNICA]]</f>
        <v>16467038</v>
      </c>
      <c r="AU221" s="35">
        <f>(VLOOKUP(Tabla4[[#This Row],[SERVICIO 2025]],$J$2:$V$14,3,0)*Tabla4[[#This Row],[TOTAL COBERTURA]])</f>
        <v>12621714</v>
      </c>
      <c r="AV221" s="35">
        <f>(VLOOKUP(Tabla4[[#This Row],[SERVICIO 2025]],$J$2:$V$14,3,0)*Tabla4[[#This Row],[TOTAL COBERTURA]])</f>
        <v>12621714</v>
      </c>
      <c r="AW221" s="35">
        <f>(VLOOKUP(Tabla4[[#This Row],[SERVICIO 2025]],$J$2:$V$14,3,0)*Tabla4[[#This Row],[TOTAL COBERTURA]])</f>
        <v>12621714</v>
      </c>
      <c r="AX221" s="35">
        <f>(VLOOKUP(Tabla4[[#This Row],[SERVICIO 2025]],$J$2:$V$14,3,0)*Tabla4[[#This Row],[TOTAL COBERTURA]])</f>
        <v>12621714</v>
      </c>
      <c r="AY221" s="35">
        <f>(VLOOKUP(Tabla4[[#This Row],[SERVICIO 2025]],$J$2:$V$14,3,0)*Tabla4[[#This Row],[TOTAL COBERTURA]])</f>
        <v>12621714</v>
      </c>
      <c r="AZ221" s="35">
        <f>(VLOOKUP(Tabla4[[#This Row],[SERVICIO 2025]],$J$2:$V$14,3,0)*Tabla4[[#This Row],[TOTAL COBERTURA]])</f>
        <v>12621714</v>
      </c>
      <c r="BA221" s="35">
        <f>(VLOOKUP(Tabla4[[#This Row],[SERVICIO 2025]],$J$2:$V$14,3,0)*Tabla4[[#This Row],[TOTAL COBERTURA]])+Tabla4[[#This Row],[VALOR FASE PREPARATORIA DE CIERRE]]</f>
        <v>14632135</v>
      </c>
      <c r="BB221" s="35">
        <f>SUM(Tabla4[[#This Row],[DESEMBOLSO 1]:[DESEMBOLSO 8]])</f>
        <v>106829457</v>
      </c>
      <c r="BC221" s="35">
        <f>VLOOKUP(Tabla4[[#This Row],[SERVICIO 2025]],$J$2:$V$14,10,0)*Tabla4[[#This Row],[TOTAL COBERTURA]]*$W$3</f>
        <v>70710136</v>
      </c>
      <c r="BD221" s="47" t="s">
        <v>211</v>
      </c>
      <c r="BE221" s="12" t="b">
        <f>EXACT(Tabla4[[#This Row],[VALOR ATENCIÓN (8 MESES)]],Tabla4[[#This Row],[VALOR TOTAL]])</f>
        <v>1</v>
      </c>
      <c r="BF221" s="23">
        <f>Tabla4[[#This Row],[VALOR ATENCIÓN (8 MESES)]]-Tabla4[[#This Row],[VALOR TOTAL]]</f>
        <v>0</v>
      </c>
      <c r="BG221" s="12" t="b">
        <f>EXACT(Tabla4[[#This Row],[TOTAL DESEMBOLSOS]],Tabla4[[#This Row],[VALOR ATENCIÓN (8 MESES)]])</f>
        <v>1</v>
      </c>
      <c r="BH221" s="29">
        <f>Tabla4[[#This Row],[TOTAL DESEMBOLSOS]]-Tabla4[[#This Row],[VALOR ATENCIÓN (8 MESES)]]</f>
        <v>0</v>
      </c>
      <c r="BI221" t="s">
        <v>98</v>
      </c>
      <c r="BJ221">
        <v>1904</v>
      </c>
    </row>
    <row r="222" spans="1:62">
      <c r="A222" s="13">
        <v>1904</v>
      </c>
      <c r="B222" s="13" t="s">
        <v>550</v>
      </c>
      <c r="C222" s="12" t="s">
        <v>87</v>
      </c>
      <c r="D222" s="12" t="s">
        <v>527</v>
      </c>
      <c r="E222" s="12" t="s">
        <v>551</v>
      </c>
      <c r="F222" s="12" t="s">
        <v>18</v>
      </c>
      <c r="G222" s="12" t="s">
        <v>90</v>
      </c>
      <c r="H222" s="12" t="s">
        <v>573</v>
      </c>
      <c r="I222" s="12">
        <v>50021143048</v>
      </c>
      <c r="J222" s="12" t="s">
        <v>574</v>
      </c>
      <c r="K222" s="12">
        <v>1</v>
      </c>
      <c r="L222" s="12">
        <v>50</v>
      </c>
      <c r="M222" s="12"/>
      <c r="N222" s="13">
        <v>1904</v>
      </c>
      <c r="O222" s="12" t="s">
        <v>93</v>
      </c>
      <c r="P222" s="12"/>
      <c r="Q222" s="12"/>
      <c r="R222" s="12" t="s">
        <v>94</v>
      </c>
      <c r="S222" s="12">
        <v>10</v>
      </c>
      <c r="T222" s="12" t="s">
        <v>534</v>
      </c>
      <c r="U222" s="12" t="s">
        <v>531</v>
      </c>
      <c r="V222" s="12">
        <f>VLOOKUP(Tabla4[[#This Row],[ZONA DEFINITIVO]],Hoja1!$A$1:$D$121,3,0)</f>
        <v>229068</v>
      </c>
      <c r="W222" s="12">
        <f>VLOOKUP(Tabla4[[#This Row],[ZONA DEFINITIVO]],Hoja1!$A$1:$D$121,2,0)</f>
        <v>15166</v>
      </c>
      <c r="X222" s="12">
        <f>VLOOKUP(Tabla4[[#This Row],[ZONA DEFINITIVO]],Hoja1!$A$1:$D$121,4,0)</f>
        <v>87225</v>
      </c>
      <c r="Y222" s="12" t="str">
        <f>+IF(Tabla4[[#This Row],[AGRUPACIONES]]=1,SUMIFS(Tabla4[UDS],Tabla4[ZONA DEFINITIVO],Tabla4[[#This Row],[ZONA DEFINITIVO]])," ")</f>
        <v xml:space="preserve"> </v>
      </c>
      <c r="Z222" s="12" t="str">
        <f>+IF(Tabla4[[#This Row],[AGRUPACIONES]]=1,SUMIFS(Tabla4[TOTAL COBERTURA],Tabla4[ZONA DEFINITIVO],Tabla4[[#This Row],[ZONA DEFINITIVO]])," ")</f>
        <v xml:space="preserve"> </v>
      </c>
      <c r="AA222" s="12"/>
      <c r="AB222" s="38">
        <v>109009650</v>
      </c>
      <c r="AC222" s="37">
        <v>0.02</v>
      </c>
      <c r="AD222" s="38">
        <f t="shared" si="4"/>
        <v>2180193</v>
      </c>
      <c r="AE222" s="12"/>
      <c r="AF222" s="12">
        <f>COUNTIF($A$20:A222,A222)</f>
        <v>12</v>
      </c>
      <c r="AG222" s="38">
        <v>109009650</v>
      </c>
      <c r="AH222" s="38">
        <f>Tabla4[[#This Row],[VALOR CONTRAPARTIDA]]+Tabla4[[#This Row],[TOTAL APORTES ICBF]]</f>
        <v>111189843</v>
      </c>
      <c r="AI222" s="35"/>
      <c r="AJ222" s="38"/>
      <c r="AK222" s="38"/>
      <c r="AL222" s="23"/>
      <c r="AM222" s="35">
        <f>VLOOKUP(Tabla4[[#This Row],[SERVICIO 2025]],$J$2:$V$14,5,0)*Tabla4[[#This Row],[TOTAL COBERTURA]]</f>
        <v>2468800</v>
      </c>
      <c r="AN222" s="35">
        <f>VLOOKUP(Tabla4[[#This Row],[SERVICIO 2025]],$J$2:$V$14,6,0)*Tabla4[[#This Row],[TOTAL COBERTURA]]</f>
        <v>2051450</v>
      </c>
      <c r="AO222" s="35">
        <f>VLOOKUP(Tabla4[[#This Row],[SERVICIO 2025]],$J$2:$V$14,8,0)*Tabla4[[#This Row],[TOTAL COBERTURA]]</f>
        <v>1455000</v>
      </c>
      <c r="AP222" s="35">
        <f>VLOOKUP(Tabla4[[#This Row],[SERVICIO 2025]],$J$2:$V$14,3,0)*Tabla4[[#This Row],[TOTAL COBERTURA]]*8</f>
        <v>103034400</v>
      </c>
      <c r="AQ222" s="35"/>
      <c r="AR222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222" s="35" t="str">
        <f>+IF(Tabla4[[#This Row],[AGRUPACIONES]]=1,SUMIFS(Tabla4[VALOR TOTAL],Tabla4[ZONA DEFINITIVO],Tabla4[[#This Row],[ZONA DEFINITIVO]])," ")</f>
        <v xml:space="preserve"> </v>
      </c>
      <c r="AT222" s="27">
        <f>(VLOOKUP(Tabla4[[#This Row],[SERVICIO 2025]],$J$2:$V$14,3,0)*Tabla4[[#This Row],[TOTAL COBERTURA]])+Tabla4[[#This Row],[VALOR FASE PREPARATORIA DE ALISTAMIENTO]]+Tabla4[[#This Row],[DOTACIÓN ÚNICA]]</f>
        <v>16803100</v>
      </c>
      <c r="AU222" s="35">
        <f>(VLOOKUP(Tabla4[[#This Row],[SERVICIO 2025]],$J$2:$V$14,3,0)*Tabla4[[#This Row],[TOTAL COBERTURA]])</f>
        <v>12879300</v>
      </c>
      <c r="AV222" s="35">
        <f>(VLOOKUP(Tabla4[[#This Row],[SERVICIO 2025]],$J$2:$V$14,3,0)*Tabla4[[#This Row],[TOTAL COBERTURA]])</f>
        <v>12879300</v>
      </c>
      <c r="AW222" s="35">
        <f>(VLOOKUP(Tabla4[[#This Row],[SERVICIO 2025]],$J$2:$V$14,3,0)*Tabla4[[#This Row],[TOTAL COBERTURA]])</f>
        <v>12879300</v>
      </c>
      <c r="AX222" s="35">
        <f>(VLOOKUP(Tabla4[[#This Row],[SERVICIO 2025]],$J$2:$V$14,3,0)*Tabla4[[#This Row],[TOTAL COBERTURA]])</f>
        <v>12879300</v>
      </c>
      <c r="AY222" s="35">
        <f>(VLOOKUP(Tabla4[[#This Row],[SERVICIO 2025]],$J$2:$V$14,3,0)*Tabla4[[#This Row],[TOTAL COBERTURA]])</f>
        <v>12879300</v>
      </c>
      <c r="AZ222" s="35">
        <f>(VLOOKUP(Tabla4[[#This Row],[SERVICIO 2025]],$J$2:$V$14,3,0)*Tabla4[[#This Row],[TOTAL COBERTURA]])</f>
        <v>12879300</v>
      </c>
      <c r="BA222" s="35">
        <f>(VLOOKUP(Tabla4[[#This Row],[SERVICIO 2025]],$J$2:$V$14,3,0)*Tabla4[[#This Row],[TOTAL COBERTURA]])+Tabla4[[#This Row],[VALOR FASE PREPARATORIA DE CIERRE]]</f>
        <v>14930750</v>
      </c>
      <c r="BB222" s="35">
        <f>SUM(Tabla4[[#This Row],[DESEMBOLSO 1]:[DESEMBOLSO 8]])</f>
        <v>109009650</v>
      </c>
      <c r="BC222" s="35">
        <f>VLOOKUP(Tabla4[[#This Row],[SERVICIO 2025]],$J$2:$V$14,10,0)*Tabla4[[#This Row],[TOTAL COBERTURA]]*$W$3</f>
        <v>72153200</v>
      </c>
      <c r="BD222" s="47" t="s">
        <v>211</v>
      </c>
      <c r="BE222" s="12" t="b">
        <f>EXACT(Tabla4[[#This Row],[VALOR ATENCIÓN (8 MESES)]],Tabla4[[#This Row],[VALOR TOTAL]])</f>
        <v>1</v>
      </c>
      <c r="BF222" s="23">
        <f>Tabla4[[#This Row],[VALOR ATENCIÓN (8 MESES)]]-Tabla4[[#This Row],[VALOR TOTAL]]</f>
        <v>0</v>
      </c>
      <c r="BG222" s="12" t="b">
        <f>EXACT(Tabla4[[#This Row],[TOTAL DESEMBOLSOS]],Tabla4[[#This Row],[VALOR ATENCIÓN (8 MESES)]])</f>
        <v>1</v>
      </c>
      <c r="BH222" s="29">
        <f>Tabla4[[#This Row],[TOTAL DESEMBOLSOS]]-Tabla4[[#This Row],[VALOR ATENCIÓN (8 MESES)]]</f>
        <v>0</v>
      </c>
      <c r="BI222" t="s">
        <v>98</v>
      </c>
      <c r="BJ222">
        <v>1904</v>
      </c>
    </row>
    <row r="223" spans="1:62">
      <c r="A223" s="13">
        <v>1904</v>
      </c>
      <c r="B223" s="13" t="s">
        <v>550</v>
      </c>
      <c r="C223" s="12" t="s">
        <v>87</v>
      </c>
      <c r="D223" s="12" t="s">
        <v>527</v>
      </c>
      <c r="E223" s="12" t="s">
        <v>551</v>
      </c>
      <c r="F223" s="12" t="s">
        <v>18</v>
      </c>
      <c r="G223" s="12" t="s">
        <v>90</v>
      </c>
      <c r="H223" s="12" t="s">
        <v>573</v>
      </c>
      <c r="I223" s="12">
        <v>50021143049</v>
      </c>
      <c r="J223" s="12" t="s">
        <v>575</v>
      </c>
      <c r="K223" s="12">
        <v>1</v>
      </c>
      <c r="L223" s="12">
        <v>50</v>
      </c>
      <c r="M223" s="12"/>
      <c r="N223" s="13">
        <v>1904</v>
      </c>
      <c r="O223" s="12" t="s">
        <v>93</v>
      </c>
      <c r="P223" s="12"/>
      <c r="Q223" s="12"/>
      <c r="R223" s="12" t="s">
        <v>94</v>
      </c>
      <c r="S223" s="12">
        <v>10</v>
      </c>
      <c r="T223" s="12" t="s">
        <v>534</v>
      </c>
      <c r="U223" s="12" t="s">
        <v>531</v>
      </c>
      <c r="V223" s="12">
        <f>VLOOKUP(Tabla4[[#This Row],[ZONA DEFINITIVO]],Hoja1!$A$1:$D$121,3,0)</f>
        <v>229068</v>
      </c>
      <c r="W223" s="12">
        <f>VLOOKUP(Tabla4[[#This Row],[ZONA DEFINITIVO]],Hoja1!$A$1:$D$121,2,0)</f>
        <v>15166</v>
      </c>
      <c r="X223" s="12">
        <f>VLOOKUP(Tabla4[[#This Row],[ZONA DEFINITIVO]],Hoja1!$A$1:$D$121,4,0)</f>
        <v>87225</v>
      </c>
      <c r="Y223" s="12" t="str">
        <f>+IF(Tabla4[[#This Row],[AGRUPACIONES]]=1,SUMIFS(Tabla4[UDS],Tabla4[ZONA DEFINITIVO],Tabla4[[#This Row],[ZONA DEFINITIVO]])," ")</f>
        <v xml:space="preserve"> </v>
      </c>
      <c r="Z223" s="12" t="str">
        <f>+IF(Tabla4[[#This Row],[AGRUPACIONES]]=1,SUMIFS(Tabla4[TOTAL COBERTURA],Tabla4[ZONA DEFINITIVO],Tabla4[[#This Row],[ZONA DEFINITIVO]])," ")</f>
        <v xml:space="preserve"> </v>
      </c>
      <c r="AA223" s="12"/>
      <c r="AB223" s="38">
        <v>109009650</v>
      </c>
      <c r="AC223" s="37">
        <v>0.02</v>
      </c>
      <c r="AD223" s="38">
        <f t="shared" si="4"/>
        <v>2180193</v>
      </c>
      <c r="AE223" s="12"/>
      <c r="AF223" s="12">
        <f>COUNTIF($A$20:A223,A223)</f>
        <v>13</v>
      </c>
      <c r="AG223" s="38">
        <v>109009650</v>
      </c>
      <c r="AH223" s="38">
        <f>Tabla4[[#This Row],[VALOR CONTRAPARTIDA]]+Tabla4[[#This Row],[TOTAL APORTES ICBF]]</f>
        <v>111189843</v>
      </c>
      <c r="AI223" s="35"/>
      <c r="AJ223" s="38"/>
      <c r="AK223" s="38"/>
      <c r="AL223" s="23"/>
      <c r="AM223" s="35">
        <f>VLOOKUP(Tabla4[[#This Row],[SERVICIO 2025]],$J$2:$V$14,5,0)*Tabla4[[#This Row],[TOTAL COBERTURA]]</f>
        <v>2468800</v>
      </c>
      <c r="AN223" s="35">
        <f>VLOOKUP(Tabla4[[#This Row],[SERVICIO 2025]],$J$2:$V$14,6,0)*Tabla4[[#This Row],[TOTAL COBERTURA]]</f>
        <v>2051450</v>
      </c>
      <c r="AO223" s="35">
        <f>VLOOKUP(Tabla4[[#This Row],[SERVICIO 2025]],$J$2:$V$14,8,0)*Tabla4[[#This Row],[TOTAL COBERTURA]]</f>
        <v>1455000</v>
      </c>
      <c r="AP223" s="35">
        <f>VLOOKUP(Tabla4[[#This Row],[SERVICIO 2025]],$J$2:$V$14,3,0)*Tabla4[[#This Row],[TOTAL COBERTURA]]*8</f>
        <v>103034400</v>
      </c>
      <c r="AQ223" s="35"/>
      <c r="AR223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223" s="35" t="str">
        <f>+IF(Tabla4[[#This Row],[AGRUPACIONES]]=1,SUMIFS(Tabla4[VALOR TOTAL],Tabla4[ZONA DEFINITIVO],Tabla4[[#This Row],[ZONA DEFINITIVO]])," ")</f>
        <v xml:space="preserve"> </v>
      </c>
      <c r="AT223" s="27">
        <f>(VLOOKUP(Tabla4[[#This Row],[SERVICIO 2025]],$J$2:$V$14,3,0)*Tabla4[[#This Row],[TOTAL COBERTURA]])+Tabla4[[#This Row],[VALOR FASE PREPARATORIA DE ALISTAMIENTO]]+Tabla4[[#This Row],[DOTACIÓN ÚNICA]]</f>
        <v>16803100</v>
      </c>
      <c r="AU223" s="35">
        <f>(VLOOKUP(Tabla4[[#This Row],[SERVICIO 2025]],$J$2:$V$14,3,0)*Tabla4[[#This Row],[TOTAL COBERTURA]])</f>
        <v>12879300</v>
      </c>
      <c r="AV223" s="35">
        <f>(VLOOKUP(Tabla4[[#This Row],[SERVICIO 2025]],$J$2:$V$14,3,0)*Tabla4[[#This Row],[TOTAL COBERTURA]])</f>
        <v>12879300</v>
      </c>
      <c r="AW223" s="35">
        <f>(VLOOKUP(Tabla4[[#This Row],[SERVICIO 2025]],$J$2:$V$14,3,0)*Tabla4[[#This Row],[TOTAL COBERTURA]])</f>
        <v>12879300</v>
      </c>
      <c r="AX223" s="35">
        <f>(VLOOKUP(Tabla4[[#This Row],[SERVICIO 2025]],$J$2:$V$14,3,0)*Tabla4[[#This Row],[TOTAL COBERTURA]])</f>
        <v>12879300</v>
      </c>
      <c r="AY223" s="35">
        <f>(VLOOKUP(Tabla4[[#This Row],[SERVICIO 2025]],$J$2:$V$14,3,0)*Tabla4[[#This Row],[TOTAL COBERTURA]])</f>
        <v>12879300</v>
      </c>
      <c r="AZ223" s="35">
        <f>(VLOOKUP(Tabla4[[#This Row],[SERVICIO 2025]],$J$2:$V$14,3,0)*Tabla4[[#This Row],[TOTAL COBERTURA]])</f>
        <v>12879300</v>
      </c>
      <c r="BA223" s="35">
        <f>(VLOOKUP(Tabla4[[#This Row],[SERVICIO 2025]],$J$2:$V$14,3,0)*Tabla4[[#This Row],[TOTAL COBERTURA]])+Tabla4[[#This Row],[VALOR FASE PREPARATORIA DE CIERRE]]</f>
        <v>14930750</v>
      </c>
      <c r="BB223" s="35">
        <f>SUM(Tabla4[[#This Row],[DESEMBOLSO 1]:[DESEMBOLSO 8]])</f>
        <v>109009650</v>
      </c>
      <c r="BC223" s="35">
        <f>VLOOKUP(Tabla4[[#This Row],[SERVICIO 2025]],$J$2:$V$14,10,0)*Tabla4[[#This Row],[TOTAL COBERTURA]]*$W$3</f>
        <v>72153200</v>
      </c>
      <c r="BD223" s="47" t="s">
        <v>211</v>
      </c>
      <c r="BE223" s="12" t="b">
        <f>EXACT(Tabla4[[#This Row],[VALOR ATENCIÓN (8 MESES)]],Tabla4[[#This Row],[VALOR TOTAL]])</f>
        <v>1</v>
      </c>
      <c r="BF223" s="23">
        <f>Tabla4[[#This Row],[VALOR ATENCIÓN (8 MESES)]]-Tabla4[[#This Row],[VALOR TOTAL]]</f>
        <v>0</v>
      </c>
      <c r="BG223" s="12" t="b">
        <f>EXACT(Tabla4[[#This Row],[TOTAL DESEMBOLSOS]],Tabla4[[#This Row],[VALOR ATENCIÓN (8 MESES)]])</f>
        <v>1</v>
      </c>
      <c r="BH223" s="29">
        <f>Tabla4[[#This Row],[TOTAL DESEMBOLSOS]]-Tabla4[[#This Row],[VALOR ATENCIÓN (8 MESES)]]</f>
        <v>0</v>
      </c>
      <c r="BI223" t="s">
        <v>98</v>
      </c>
      <c r="BJ223">
        <v>1904</v>
      </c>
    </row>
    <row r="224" spans="1:62">
      <c r="A224" s="13">
        <v>1904</v>
      </c>
      <c r="B224" s="13" t="s">
        <v>550</v>
      </c>
      <c r="C224" s="12" t="s">
        <v>87</v>
      </c>
      <c r="D224" s="12" t="s">
        <v>527</v>
      </c>
      <c r="E224" s="12" t="s">
        <v>551</v>
      </c>
      <c r="F224" s="12" t="s">
        <v>14</v>
      </c>
      <c r="G224" s="12" t="s">
        <v>90</v>
      </c>
      <c r="H224" s="12" t="s">
        <v>576</v>
      </c>
      <c r="I224" s="12">
        <v>500200089244</v>
      </c>
      <c r="J224" s="12" t="s">
        <v>577</v>
      </c>
      <c r="K224" s="12">
        <v>1</v>
      </c>
      <c r="L224" s="12">
        <v>90</v>
      </c>
      <c r="M224" s="12"/>
      <c r="N224" s="13">
        <v>1904</v>
      </c>
      <c r="O224" s="12" t="s">
        <v>93</v>
      </c>
      <c r="P224" s="12"/>
      <c r="Q224" s="12"/>
      <c r="R224" s="12" t="s">
        <v>94</v>
      </c>
      <c r="S224" s="12">
        <v>10</v>
      </c>
      <c r="T224" s="12" t="s">
        <v>534</v>
      </c>
      <c r="U224" s="12" t="s">
        <v>531</v>
      </c>
      <c r="V224" s="12">
        <f>VLOOKUP(Tabla4[[#This Row],[ZONA DEFINITIVO]],Hoja1!$A$1:$D$121,3,0)</f>
        <v>229068</v>
      </c>
      <c r="W224" s="12">
        <f>VLOOKUP(Tabla4[[#This Row],[ZONA DEFINITIVO]],Hoja1!$A$1:$D$121,2,0)</f>
        <v>15166</v>
      </c>
      <c r="X224" s="12">
        <f>VLOOKUP(Tabla4[[#This Row],[ZONA DEFINITIVO]],Hoja1!$A$1:$D$121,4,0)</f>
        <v>87225</v>
      </c>
      <c r="Y224" s="12" t="str">
        <f>+IF(Tabla4[[#This Row],[AGRUPACIONES]]=1,SUMIFS(Tabla4[UDS],Tabla4[ZONA DEFINITIVO],Tabla4[[#This Row],[ZONA DEFINITIVO]])," ")</f>
        <v xml:space="preserve"> </v>
      </c>
      <c r="Z224" s="12" t="str">
        <f>+IF(Tabla4[[#This Row],[AGRUPACIONES]]=1,SUMIFS(Tabla4[TOTAL COBERTURA],Tabla4[ZONA DEFINITIVO],Tabla4[[#This Row],[ZONA DEFINITIVO]])," ")</f>
        <v xml:space="preserve"> </v>
      </c>
      <c r="AA224" s="12"/>
      <c r="AB224" s="38">
        <v>376996500</v>
      </c>
      <c r="AC224" s="37">
        <v>0.02</v>
      </c>
      <c r="AD224" s="38">
        <f t="shared" si="4"/>
        <v>7539930</v>
      </c>
      <c r="AE224" s="12"/>
      <c r="AF224" s="12">
        <f>COUNTIF($A$20:A224,A224)</f>
        <v>14</v>
      </c>
      <c r="AG224" s="38">
        <v>376996500</v>
      </c>
      <c r="AH224" s="38">
        <f>Tabla4[[#This Row],[VALOR CONTRAPARTIDA]]+Tabla4[[#This Row],[TOTAL APORTES ICBF]]</f>
        <v>384536430</v>
      </c>
      <c r="AI224" s="35"/>
      <c r="AJ224" s="38"/>
      <c r="AK224" s="38"/>
      <c r="AL224" s="23"/>
      <c r="AM224" s="35">
        <f>VLOOKUP(Tabla4[[#This Row],[SERVICIO 2025]],$J$2:$V$14,5,0)*Tabla4[[#This Row],[TOTAL COBERTURA]]</f>
        <v>7932870</v>
      </c>
      <c r="AN224" s="35">
        <f>VLOOKUP(Tabla4[[#This Row],[SERVICIO 2025]],$J$2:$V$14,6,0)*Tabla4[[#This Row],[TOTAL COBERTURA]]</f>
        <v>6753870</v>
      </c>
      <c r="AO224" s="35">
        <f>VLOOKUP(Tabla4[[#This Row],[SERVICIO 2025]],$J$2:$V$14,8,0)*Tabla4[[#This Row],[TOTAL COBERTURA]]</f>
        <v>0</v>
      </c>
      <c r="AP224" s="35">
        <f>VLOOKUP(Tabla4[[#This Row],[SERVICIO 2025]],$J$2:$V$14,3,0)*Tabla4[[#This Row],[TOTAL COBERTURA]]*8</f>
        <v>362309760</v>
      </c>
      <c r="AQ224" s="35"/>
      <c r="AR224" s="35">
        <f>Tabla4[[#This Row],[VALOR FASE PREPARATORIA DE ALISTAMIENTO]]+Tabla4[[#This Row],[VALOR FASE PREPARATORIA DE CIERRE]]+Tabla4[[#This Row],[DOTACIÓN ÚNICA]]+Tabla4[[#This Row],[VALOR ATENCIÓN]]+Tabla4[[#This Row],[VALOR RACION PREPARADA]]</f>
        <v>376996500</v>
      </c>
      <c r="AS224" s="35" t="str">
        <f>+IF(Tabla4[[#This Row],[AGRUPACIONES]]=1,SUMIFS(Tabla4[VALOR TOTAL],Tabla4[ZONA DEFINITIVO],Tabla4[[#This Row],[ZONA DEFINITIVO]])," ")</f>
        <v xml:space="preserve"> </v>
      </c>
      <c r="AT224" s="27">
        <f>(VLOOKUP(Tabla4[[#This Row],[SERVICIO 2025]],$J$2:$V$14,3,0)*Tabla4[[#This Row],[TOTAL COBERTURA]])+Tabla4[[#This Row],[VALOR FASE PREPARATORIA DE ALISTAMIENTO]]+Tabla4[[#This Row],[DOTACIÓN ÚNICA]]</f>
        <v>53221590</v>
      </c>
      <c r="AU224" s="35">
        <f>(VLOOKUP(Tabla4[[#This Row],[SERVICIO 2025]],$J$2:$V$14,3,0)*Tabla4[[#This Row],[TOTAL COBERTURA]])</f>
        <v>45288720</v>
      </c>
      <c r="AV224" s="35">
        <f>(VLOOKUP(Tabla4[[#This Row],[SERVICIO 2025]],$J$2:$V$14,3,0)*Tabla4[[#This Row],[TOTAL COBERTURA]])</f>
        <v>45288720</v>
      </c>
      <c r="AW224" s="35">
        <f>(VLOOKUP(Tabla4[[#This Row],[SERVICIO 2025]],$J$2:$V$14,3,0)*Tabla4[[#This Row],[TOTAL COBERTURA]])</f>
        <v>45288720</v>
      </c>
      <c r="AX224" s="35">
        <f>(VLOOKUP(Tabla4[[#This Row],[SERVICIO 2025]],$J$2:$V$14,3,0)*Tabla4[[#This Row],[TOTAL COBERTURA]])</f>
        <v>45288720</v>
      </c>
      <c r="AY224" s="35">
        <f>(VLOOKUP(Tabla4[[#This Row],[SERVICIO 2025]],$J$2:$V$14,3,0)*Tabla4[[#This Row],[TOTAL COBERTURA]])</f>
        <v>45288720</v>
      </c>
      <c r="AZ224" s="35">
        <f>(VLOOKUP(Tabla4[[#This Row],[SERVICIO 2025]],$J$2:$V$14,3,0)*Tabla4[[#This Row],[TOTAL COBERTURA]])</f>
        <v>45288720</v>
      </c>
      <c r="BA224" s="35">
        <f>(VLOOKUP(Tabla4[[#This Row],[SERVICIO 2025]],$J$2:$V$14,3,0)*Tabla4[[#This Row],[TOTAL COBERTURA]])+Tabla4[[#This Row],[VALOR FASE PREPARATORIA DE CIERRE]]</f>
        <v>52042590</v>
      </c>
      <c r="BB224" s="35">
        <f>SUM(Tabla4[[#This Row],[DESEMBOLSO 1]:[DESEMBOLSO 8]])</f>
        <v>376996500</v>
      </c>
      <c r="BC224" s="35">
        <f>VLOOKUP(Tabla4[[#This Row],[SERVICIO 2025]],$J$2:$V$14,10,0)*Tabla4[[#This Row],[TOTAL COBERTURA]]*$W$3</f>
        <v>0</v>
      </c>
      <c r="BD224" s="47" t="s">
        <v>145</v>
      </c>
      <c r="BE224" s="12" t="b">
        <f>EXACT(Tabla4[[#This Row],[VALOR ATENCIÓN (8 MESES)]],Tabla4[[#This Row],[VALOR TOTAL]])</f>
        <v>1</v>
      </c>
      <c r="BF224" s="23">
        <f>Tabla4[[#This Row],[VALOR ATENCIÓN (8 MESES)]]-Tabla4[[#This Row],[VALOR TOTAL]]</f>
        <v>0</v>
      </c>
      <c r="BG224" s="12" t="b">
        <f>EXACT(Tabla4[[#This Row],[TOTAL DESEMBOLSOS]],Tabla4[[#This Row],[VALOR ATENCIÓN (8 MESES)]])</f>
        <v>1</v>
      </c>
      <c r="BH224" s="29">
        <f>Tabla4[[#This Row],[TOTAL DESEMBOLSOS]]-Tabla4[[#This Row],[VALOR ATENCIÓN (8 MESES)]]</f>
        <v>0</v>
      </c>
      <c r="BI224" t="s">
        <v>98</v>
      </c>
      <c r="BJ224">
        <v>1904</v>
      </c>
    </row>
    <row r="225" spans="1:62">
      <c r="A225" s="13">
        <v>1905</v>
      </c>
      <c r="B225" s="13" t="s">
        <v>578</v>
      </c>
      <c r="C225" s="12" t="s">
        <v>87</v>
      </c>
      <c r="D225" s="12" t="s">
        <v>579</v>
      </c>
      <c r="E225" s="12" t="s">
        <v>580</v>
      </c>
      <c r="F225" s="12" t="s">
        <v>21</v>
      </c>
      <c r="G225" s="12" t="s">
        <v>90</v>
      </c>
      <c r="H225" s="12" t="s">
        <v>581</v>
      </c>
      <c r="I225" s="12">
        <v>50041136552</v>
      </c>
      <c r="J225" s="12" t="s">
        <v>582</v>
      </c>
      <c r="K225" s="12">
        <v>1</v>
      </c>
      <c r="L225" s="12">
        <v>11</v>
      </c>
      <c r="M225" s="12"/>
      <c r="N225" s="13">
        <v>1905</v>
      </c>
      <c r="O225" s="12" t="s">
        <v>93</v>
      </c>
      <c r="P225" s="12"/>
      <c r="Q225" s="12"/>
      <c r="R225" s="12" t="s">
        <v>94</v>
      </c>
      <c r="S225" s="12">
        <v>10</v>
      </c>
      <c r="T225" s="12" t="s">
        <v>583</v>
      </c>
      <c r="U225" s="12" t="s">
        <v>584</v>
      </c>
      <c r="V225" s="12">
        <f>VLOOKUP(Tabla4[[#This Row],[ZONA DEFINITIVO]],Hoja1!$A$1:$D$121,3,0)</f>
        <v>229071</v>
      </c>
      <c r="W225" s="12">
        <f>VLOOKUP(Tabla4[[#This Row],[ZONA DEFINITIVO]],Hoja1!$A$1:$D$121,2,0)</f>
        <v>15180</v>
      </c>
      <c r="X225" s="12">
        <f>VLOOKUP(Tabla4[[#This Row],[ZONA DEFINITIVO]],Hoja1!$A$1:$D$121,4,0)</f>
        <v>82125</v>
      </c>
      <c r="Y225" s="12">
        <f>+IF(Tabla4[[#This Row],[AGRUPACIONES]]=1,SUMIFS(Tabla4[UDS],Tabla4[ZONA DEFINITIVO],Tabla4[[#This Row],[ZONA DEFINITIVO]])," ")</f>
        <v>35</v>
      </c>
      <c r="Z225" s="12">
        <f>+IF(Tabla4[[#This Row],[AGRUPACIONES]]=1,SUMIFS(Tabla4[TOTAL COBERTURA],Tabla4[ZONA DEFINITIVO],Tabla4[[#This Row],[ZONA DEFINITIVO]])," ")</f>
        <v>626</v>
      </c>
      <c r="AA225" s="12"/>
      <c r="AB225" s="38">
        <v>16712355</v>
      </c>
      <c r="AC225" s="37">
        <v>0.02</v>
      </c>
      <c r="AD225" s="38">
        <f t="shared" si="4"/>
        <v>334247.10000000003</v>
      </c>
      <c r="AE225" s="12"/>
      <c r="AF225" s="12">
        <f>COUNTIF($A$20:A225,A225)</f>
        <v>1</v>
      </c>
      <c r="AG225" s="38">
        <v>16712355</v>
      </c>
      <c r="AH225" s="38">
        <f>Tabla4[[#This Row],[VALOR CONTRAPARTIDA]]+Tabla4[[#This Row],[TOTAL APORTES ICBF]]</f>
        <v>17046602.100000001</v>
      </c>
      <c r="AI225" s="35">
        <f>ROUND(+IF(Tabla4[[#This Row],[AGRUPACIONES]]=1,SUMIFS(Tabla4[TOTAL APORTES ICBF],Tabla4[ZONA DEFINITIVO],Tabla4[[#This Row],[ZONA DEFINITIVO]])," "),0)</f>
        <v>1258082605</v>
      </c>
      <c r="AJ225" s="38">
        <f>ROUND(+IF(Tabla4[[#This Row],[AGRUPACIONES]]=1,SUMIFS(Tabla4[VALOR CONTRAPARTIDA],Tabla4[ZONA DEFINITIVO],Tabla4[[#This Row],[ZONA DEFINITIVO]])," "),0)</f>
        <v>25161652</v>
      </c>
      <c r="AK225" s="38">
        <f>Tabla4[[#This Row],[TOTAL APORTES ICBF AGRUPADO]]+Tabla4[[#This Row],[TOTAL CONTRAPARTIDA AGRUPADO]]</f>
        <v>1283244257</v>
      </c>
      <c r="AL225" s="23">
        <f>Tabla4[[#This Row],[TOTAL APORTES ICBF AGRUPADO]]/$AL$18</f>
        <v>883.79529680365295</v>
      </c>
      <c r="AM225" s="35">
        <f>VLOOKUP(Tabla4[[#This Row],[SERVICIO 2025]],$J$2:$V$14,5,0)*Tabla4[[#This Row],[TOTAL COBERTURA]]</f>
        <v>514184</v>
      </c>
      <c r="AN225" s="35">
        <f>VLOOKUP(Tabla4[[#This Row],[SERVICIO 2025]],$J$2:$V$14,6,0)*Tabla4[[#This Row],[TOTAL COBERTURA]]</f>
        <v>416251</v>
      </c>
      <c r="AO225" s="35">
        <f>VLOOKUP(Tabla4[[#This Row],[SERVICIO 2025]],$J$2:$V$14,8,0)*Tabla4[[#This Row],[TOTAL COBERTURA]]</f>
        <v>0</v>
      </c>
      <c r="AP225" s="35">
        <f>VLOOKUP(Tabla4[[#This Row],[SERVICIO 2025]],$J$2:$V$14,3,0)*Tabla4[[#This Row],[TOTAL COBERTURA]]*8</f>
        <v>15781920</v>
      </c>
      <c r="AQ225" s="35"/>
      <c r="AR225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225" s="35">
        <f>+IF(Tabla4[[#This Row],[AGRUPACIONES]]=1,SUMIFS(Tabla4[VALOR TOTAL],Tabla4[ZONA DEFINITIVO],Tabla4[[#This Row],[ZONA DEFINITIVO]])," ")</f>
        <v>1258082605</v>
      </c>
      <c r="AT225" s="27">
        <f>(VLOOKUP(Tabla4[[#This Row],[SERVICIO 2025]],$J$2:$V$14,3,0)*Tabla4[[#This Row],[TOTAL COBERTURA]])+Tabla4[[#This Row],[VALOR FASE PREPARATORIA DE ALISTAMIENTO]]+Tabla4[[#This Row],[DOTACIÓN ÚNICA]]</f>
        <v>2486924</v>
      </c>
      <c r="AU225" s="35">
        <f>(VLOOKUP(Tabla4[[#This Row],[SERVICIO 2025]],$J$2:$V$14,3,0)*Tabla4[[#This Row],[TOTAL COBERTURA]])</f>
        <v>1972740</v>
      </c>
      <c r="AV225" s="35">
        <f>(VLOOKUP(Tabla4[[#This Row],[SERVICIO 2025]],$J$2:$V$14,3,0)*Tabla4[[#This Row],[TOTAL COBERTURA]])</f>
        <v>1972740</v>
      </c>
      <c r="AW225" s="35">
        <f>(VLOOKUP(Tabla4[[#This Row],[SERVICIO 2025]],$J$2:$V$14,3,0)*Tabla4[[#This Row],[TOTAL COBERTURA]])</f>
        <v>1972740</v>
      </c>
      <c r="AX225" s="35">
        <f>(VLOOKUP(Tabla4[[#This Row],[SERVICIO 2025]],$J$2:$V$14,3,0)*Tabla4[[#This Row],[TOTAL COBERTURA]])</f>
        <v>1972740</v>
      </c>
      <c r="AY225" s="35">
        <f>(VLOOKUP(Tabla4[[#This Row],[SERVICIO 2025]],$J$2:$V$14,3,0)*Tabla4[[#This Row],[TOTAL COBERTURA]])</f>
        <v>1972740</v>
      </c>
      <c r="AZ225" s="35">
        <f>(VLOOKUP(Tabla4[[#This Row],[SERVICIO 2025]],$J$2:$V$14,3,0)*Tabla4[[#This Row],[TOTAL COBERTURA]])</f>
        <v>1972740</v>
      </c>
      <c r="BA225" s="35">
        <f>(VLOOKUP(Tabla4[[#This Row],[SERVICIO 2025]],$J$2:$V$14,3,0)*Tabla4[[#This Row],[TOTAL COBERTURA]])+Tabla4[[#This Row],[VALOR FASE PREPARATORIA DE CIERRE]]</f>
        <v>2388991</v>
      </c>
      <c r="BB225" s="35">
        <f>SUM(Tabla4[[#This Row],[DESEMBOLSO 1]:[DESEMBOLSO 8]])</f>
        <v>16712355</v>
      </c>
      <c r="BC225" s="35">
        <f>VLOOKUP(Tabla4[[#This Row],[SERVICIO 2025]],$J$2:$V$14,10,0)*Tabla4[[#This Row],[TOTAL COBERTURA]]*$W$3</f>
        <v>16572248</v>
      </c>
      <c r="BD225" s="47" t="s">
        <v>211</v>
      </c>
      <c r="BE225" s="12" t="b">
        <f>EXACT(Tabla4[[#This Row],[VALOR ATENCIÓN (8 MESES)]],Tabla4[[#This Row],[VALOR TOTAL]])</f>
        <v>1</v>
      </c>
      <c r="BF225" s="23">
        <f>Tabla4[[#This Row],[VALOR ATENCIÓN (8 MESES)]]-Tabla4[[#This Row],[VALOR TOTAL]]</f>
        <v>0</v>
      </c>
      <c r="BG225" s="12" t="b">
        <f>EXACT(Tabla4[[#This Row],[TOTAL DESEMBOLSOS]],Tabla4[[#This Row],[VALOR ATENCIÓN (8 MESES)]])</f>
        <v>1</v>
      </c>
      <c r="BH225" s="29">
        <f>Tabla4[[#This Row],[TOTAL DESEMBOLSOS]]-Tabla4[[#This Row],[VALOR ATENCIÓN (8 MESES)]]</f>
        <v>0</v>
      </c>
      <c r="BI225" t="s">
        <v>98</v>
      </c>
      <c r="BJ225">
        <v>1905</v>
      </c>
    </row>
    <row r="226" spans="1:62">
      <c r="A226" s="13">
        <v>1905</v>
      </c>
      <c r="B226" s="13" t="s">
        <v>578</v>
      </c>
      <c r="C226" s="12" t="s">
        <v>87</v>
      </c>
      <c r="D226" s="12" t="s">
        <v>579</v>
      </c>
      <c r="E226" s="12" t="s">
        <v>580</v>
      </c>
      <c r="F226" s="12" t="s">
        <v>21</v>
      </c>
      <c r="G226" s="12" t="s">
        <v>90</v>
      </c>
      <c r="H226" s="12" t="s">
        <v>585</v>
      </c>
      <c r="I226" s="12">
        <v>50041136557</v>
      </c>
      <c r="J226" s="12" t="s">
        <v>586</v>
      </c>
      <c r="K226" s="12">
        <v>1</v>
      </c>
      <c r="L226" s="12">
        <v>12</v>
      </c>
      <c r="M226" s="12"/>
      <c r="N226" s="13">
        <v>1905</v>
      </c>
      <c r="O226" s="12" t="s">
        <v>93</v>
      </c>
      <c r="P226" s="12"/>
      <c r="Q226" s="12"/>
      <c r="R226" s="12" t="s">
        <v>94</v>
      </c>
      <c r="S226" s="12">
        <v>10</v>
      </c>
      <c r="T226" s="12" t="s">
        <v>583</v>
      </c>
      <c r="U226" s="12" t="s">
        <v>584</v>
      </c>
      <c r="V226" s="12">
        <f>VLOOKUP(Tabla4[[#This Row],[ZONA DEFINITIVO]],Hoja1!$A$1:$D$121,3,0)</f>
        <v>229071</v>
      </c>
      <c r="W226" s="12">
        <f>VLOOKUP(Tabla4[[#This Row],[ZONA DEFINITIVO]],Hoja1!$A$1:$D$121,2,0)</f>
        <v>15180</v>
      </c>
      <c r="X226" s="12">
        <f>VLOOKUP(Tabla4[[#This Row],[ZONA DEFINITIVO]],Hoja1!$A$1:$D$121,4,0)</f>
        <v>82125</v>
      </c>
      <c r="Y226" s="12" t="str">
        <f>+IF(Tabla4[[#This Row],[AGRUPACIONES]]=1,SUMIFS(Tabla4[UDS],Tabla4[ZONA DEFINITIVO],Tabla4[[#This Row],[ZONA DEFINITIVO]])," ")</f>
        <v xml:space="preserve"> </v>
      </c>
      <c r="Z226" s="12" t="str">
        <f>+IF(Tabla4[[#This Row],[AGRUPACIONES]]=1,SUMIFS(Tabla4[TOTAL COBERTURA],Tabla4[ZONA DEFINITIVO],Tabla4[[#This Row],[ZONA DEFINITIVO]])," ")</f>
        <v xml:space="preserve"> </v>
      </c>
      <c r="AA226" s="12"/>
      <c r="AB226" s="38">
        <v>18231660</v>
      </c>
      <c r="AC226" s="37">
        <v>0.02</v>
      </c>
      <c r="AD226" s="38">
        <f t="shared" si="4"/>
        <v>364633.2</v>
      </c>
      <c r="AE226" s="12"/>
      <c r="AF226" s="12">
        <f>COUNTIF($A$20:A226,A226)</f>
        <v>2</v>
      </c>
      <c r="AG226" s="38">
        <v>18231660</v>
      </c>
      <c r="AH226" s="38">
        <f>Tabla4[[#This Row],[VALOR CONTRAPARTIDA]]+Tabla4[[#This Row],[TOTAL APORTES ICBF]]</f>
        <v>18596293.199999999</v>
      </c>
      <c r="AI226" s="35"/>
      <c r="AJ226" s="38"/>
      <c r="AK226" s="38"/>
      <c r="AL226" s="23"/>
      <c r="AM226" s="35">
        <f>VLOOKUP(Tabla4[[#This Row],[SERVICIO 2025]],$J$2:$V$14,5,0)*Tabla4[[#This Row],[TOTAL COBERTURA]]</f>
        <v>560928</v>
      </c>
      <c r="AN226" s="35">
        <f>VLOOKUP(Tabla4[[#This Row],[SERVICIO 2025]],$J$2:$V$14,6,0)*Tabla4[[#This Row],[TOTAL COBERTURA]]</f>
        <v>454092</v>
      </c>
      <c r="AO226" s="35">
        <f>VLOOKUP(Tabla4[[#This Row],[SERVICIO 2025]],$J$2:$V$14,8,0)*Tabla4[[#This Row],[TOTAL COBERTURA]]</f>
        <v>0</v>
      </c>
      <c r="AP226" s="35">
        <f>VLOOKUP(Tabla4[[#This Row],[SERVICIO 2025]],$J$2:$V$14,3,0)*Tabla4[[#This Row],[TOTAL COBERTURA]]*8</f>
        <v>17216640</v>
      </c>
      <c r="AQ226" s="35"/>
      <c r="AR226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226" s="35" t="str">
        <f>+IF(Tabla4[[#This Row],[AGRUPACIONES]]=1,SUMIFS(Tabla4[VALOR TOTAL],Tabla4[ZONA DEFINITIVO],Tabla4[[#This Row],[ZONA DEFINITIVO]])," ")</f>
        <v xml:space="preserve"> </v>
      </c>
      <c r="AT226" s="27">
        <f>(VLOOKUP(Tabla4[[#This Row],[SERVICIO 2025]],$J$2:$V$14,3,0)*Tabla4[[#This Row],[TOTAL COBERTURA]])+Tabla4[[#This Row],[VALOR FASE PREPARATORIA DE ALISTAMIENTO]]+Tabla4[[#This Row],[DOTACIÓN ÚNICA]]</f>
        <v>2713008</v>
      </c>
      <c r="AU226" s="35">
        <f>(VLOOKUP(Tabla4[[#This Row],[SERVICIO 2025]],$J$2:$V$14,3,0)*Tabla4[[#This Row],[TOTAL COBERTURA]])</f>
        <v>2152080</v>
      </c>
      <c r="AV226" s="35">
        <f>(VLOOKUP(Tabla4[[#This Row],[SERVICIO 2025]],$J$2:$V$14,3,0)*Tabla4[[#This Row],[TOTAL COBERTURA]])</f>
        <v>2152080</v>
      </c>
      <c r="AW226" s="35">
        <f>(VLOOKUP(Tabla4[[#This Row],[SERVICIO 2025]],$J$2:$V$14,3,0)*Tabla4[[#This Row],[TOTAL COBERTURA]])</f>
        <v>2152080</v>
      </c>
      <c r="AX226" s="35">
        <f>(VLOOKUP(Tabla4[[#This Row],[SERVICIO 2025]],$J$2:$V$14,3,0)*Tabla4[[#This Row],[TOTAL COBERTURA]])</f>
        <v>2152080</v>
      </c>
      <c r="AY226" s="35">
        <f>(VLOOKUP(Tabla4[[#This Row],[SERVICIO 2025]],$J$2:$V$14,3,0)*Tabla4[[#This Row],[TOTAL COBERTURA]])</f>
        <v>2152080</v>
      </c>
      <c r="AZ226" s="35">
        <f>(VLOOKUP(Tabla4[[#This Row],[SERVICIO 2025]],$J$2:$V$14,3,0)*Tabla4[[#This Row],[TOTAL COBERTURA]])</f>
        <v>2152080</v>
      </c>
      <c r="BA226" s="35">
        <f>(VLOOKUP(Tabla4[[#This Row],[SERVICIO 2025]],$J$2:$V$14,3,0)*Tabla4[[#This Row],[TOTAL COBERTURA]])+Tabla4[[#This Row],[VALOR FASE PREPARATORIA DE CIERRE]]</f>
        <v>2606172</v>
      </c>
      <c r="BB226" s="35">
        <f>SUM(Tabla4[[#This Row],[DESEMBOLSO 1]:[DESEMBOLSO 8]])</f>
        <v>18231660</v>
      </c>
      <c r="BC226" s="35">
        <f>VLOOKUP(Tabla4[[#This Row],[SERVICIO 2025]],$J$2:$V$14,10,0)*Tabla4[[#This Row],[TOTAL COBERTURA]]*$W$3</f>
        <v>18078816</v>
      </c>
      <c r="BD226" s="47" t="s">
        <v>211</v>
      </c>
      <c r="BE226" s="12" t="b">
        <f>EXACT(Tabla4[[#This Row],[VALOR ATENCIÓN (8 MESES)]],Tabla4[[#This Row],[VALOR TOTAL]])</f>
        <v>1</v>
      </c>
      <c r="BF226" s="23">
        <f>Tabla4[[#This Row],[VALOR ATENCIÓN (8 MESES)]]-Tabla4[[#This Row],[VALOR TOTAL]]</f>
        <v>0</v>
      </c>
      <c r="BG226" s="12" t="b">
        <f>EXACT(Tabla4[[#This Row],[TOTAL DESEMBOLSOS]],Tabla4[[#This Row],[VALOR ATENCIÓN (8 MESES)]])</f>
        <v>1</v>
      </c>
      <c r="BH226" s="29">
        <f>Tabla4[[#This Row],[TOTAL DESEMBOLSOS]]-Tabla4[[#This Row],[VALOR ATENCIÓN (8 MESES)]]</f>
        <v>0</v>
      </c>
      <c r="BI226" t="s">
        <v>98</v>
      </c>
      <c r="BJ226">
        <v>1905</v>
      </c>
    </row>
    <row r="227" spans="1:62">
      <c r="A227" s="13">
        <v>1905</v>
      </c>
      <c r="B227" s="13" t="s">
        <v>578</v>
      </c>
      <c r="C227" s="12" t="s">
        <v>87</v>
      </c>
      <c r="D227" s="12" t="s">
        <v>579</v>
      </c>
      <c r="E227" s="12" t="s">
        <v>580</v>
      </c>
      <c r="F227" s="12" t="s">
        <v>21</v>
      </c>
      <c r="G227" s="12" t="s">
        <v>90</v>
      </c>
      <c r="H227" s="12" t="s">
        <v>587</v>
      </c>
      <c r="I227" s="12">
        <v>50041136559</v>
      </c>
      <c r="J227" s="12" t="s">
        <v>588</v>
      </c>
      <c r="K227" s="12">
        <v>1</v>
      </c>
      <c r="L227" s="12">
        <v>12</v>
      </c>
      <c r="M227" s="12"/>
      <c r="N227" s="13">
        <v>1905</v>
      </c>
      <c r="O227" s="12" t="s">
        <v>93</v>
      </c>
      <c r="P227" s="12"/>
      <c r="Q227" s="12"/>
      <c r="R227" s="12" t="s">
        <v>94</v>
      </c>
      <c r="S227" s="12">
        <v>10</v>
      </c>
      <c r="T227" s="12" t="s">
        <v>583</v>
      </c>
      <c r="U227" s="12" t="s">
        <v>584</v>
      </c>
      <c r="V227" s="12">
        <f>VLOOKUP(Tabla4[[#This Row],[ZONA DEFINITIVO]],Hoja1!$A$1:$D$121,3,0)</f>
        <v>229071</v>
      </c>
      <c r="W227" s="12">
        <f>VLOOKUP(Tabla4[[#This Row],[ZONA DEFINITIVO]],Hoja1!$A$1:$D$121,2,0)</f>
        <v>15180</v>
      </c>
      <c r="X227" s="12">
        <f>VLOOKUP(Tabla4[[#This Row],[ZONA DEFINITIVO]],Hoja1!$A$1:$D$121,4,0)</f>
        <v>82125</v>
      </c>
      <c r="Y227" s="12" t="str">
        <f>+IF(Tabla4[[#This Row],[AGRUPACIONES]]=1,SUMIFS(Tabla4[UDS],Tabla4[ZONA DEFINITIVO],Tabla4[[#This Row],[ZONA DEFINITIVO]])," ")</f>
        <v xml:space="preserve"> </v>
      </c>
      <c r="Z227" s="12" t="str">
        <f>+IF(Tabla4[[#This Row],[AGRUPACIONES]]=1,SUMIFS(Tabla4[TOTAL COBERTURA],Tabla4[ZONA DEFINITIVO],Tabla4[[#This Row],[ZONA DEFINITIVO]])," ")</f>
        <v xml:space="preserve"> </v>
      </c>
      <c r="AA227" s="12"/>
      <c r="AB227" s="38">
        <v>18231660</v>
      </c>
      <c r="AC227" s="37">
        <v>0.02</v>
      </c>
      <c r="AD227" s="38">
        <f t="shared" si="4"/>
        <v>364633.2</v>
      </c>
      <c r="AE227" s="12"/>
      <c r="AF227" s="12">
        <f>COUNTIF($A$20:A227,A227)</f>
        <v>3</v>
      </c>
      <c r="AG227" s="38">
        <v>18231660</v>
      </c>
      <c r="AH227" s="38">
        <f>Tabla4[[#This Row],[VALOR CONTRAPARTIDA]]+Tabla4[[#This Row],[TOTAL APORTES ICBF]]</f>
        <v>18596293.199999999</v>
      </c>
      <c r="AI227" s="35"/>
      <c r="AJ227" s="38"/>
      <c r="AK227" s="38"/>
      <c r="AL227" s="23"/>
      <c r="AM227" s="35">
        <f>VLOOKUP(Tabla4[[#This Row],[SERVICIO 2025]],$J$2:$V$14,5,0)*Tabla4[[#This Row],[TOTAL COBERTURA]]</f>
        <v>560928</v>
      </c>
      <c r="AN227" s="35">
        <f>VLOOKUP(Tabla4[[#This Row],[SERVICIO 2025]],$J$2:$V$14,6,0)*Tabla4[[#This Row],[TOTAL COBERTURA]]</f>
        <v>454092</v>
      </c>
      <c r="AO227" s="35">
        <f>VLOOKUP(Tabla4[[#This Row],[SERVICIO 2025]],$J$2:$V$14,8,0)*Tabla4[[#This Row],[TOTAL COBERTURA]]</f>
        <v>0</v>
      </c>
      <c r="AP227" s="35">
        <f>VLOOKUP(Tabla4[[#This Row],[SERVICIO 2025]],$J$2:$V$14,3,0)*Tabla4[[#This Row],[TOTAL COBERTURA]]*8</f>
        <v>17216640</v>
      </c>
      <c r="AQ227" s="35"/>
      <c r="AR227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227" s="35" t="str">
        <f>+IF(Tabla4[[#This Row],[AGRUPACIONES]]=1,SUMIFS(Tabla4[VALOR TOTAL],Tabla4[ZONA DEFINITIVO],Tabla4[[#This Row],[ZONA DEFINITIVO]])," ")</f>
        <v xml:space="preserve"> </v>
      </c>
      <c r="AT227" s="27">
        <f>(VLOOKUP(Tabla4[[#This Row],[SERVICIO 2025]],$J$2:$V$14,3,0)*Tabla4[[#This Row],[TOTAL COBERTURA]])+Tabla4[[#This Row],[VALOR FASE PREPARATORIA DE ALISTAMIENTO]]+Tabla4[[#This Row],[DOTACIÓN ÚNICA]]</f>
        <v>2713008</v>
      </c>
      <c r="AU227" s="35">
        <f>(VLOOKUP(Tabla4[[#This Row],[SERVICIO 2025]],$J$2:$V$14,3,0)*Tabla4[[#This Row],[TOTAL COBERTURA]])</f>
        <v>2152080</v>
      </c>
      <c r="AV227" s="35">
        <f>(VLOOKUP(Tabla4[[#This Row],[SERVICIO 2025]],$J$2:$V$14,3,0)*Tabla4[[#This Row],[TOTAL COBERTURA]])</f>
        <v>2152080</v>
      </c>
      <c r="AW227" s="35">
        <f>(VLOOKUP(Tabla4[[#This Row],[SERVICIO 2025]],$J$2:$V$14,3,0)*Tabla4[[#This Row],[TOTAL COBERTURA]])</f>
        <v>2152080</v>
      </c>
      <c r="AX227" s="35">
        <f>(VLOOKUP(Tabla4[[#This Row],[SERVICIO 2025]],$J$2:$V$14,3,0)*Tabla4[[#This Row],[TOTAL COBERTURA]])</f>
        <v>2152080</v>
      </c>
      <c r="AY227" s="35">
        <f>(VLOOKUP(Tabla4[[#This Row],[SERVICIO 2025]],$J$2:$V$14,3,0)*Tabla4[[#This Row],[TOTAL COBERTURA]])</f>
        <v>2152080</v>
      </c>
      <c r="AZ227" s="35">
        <f>(VLOOKUP(Tabla4[[#This Row],[SERVICIO 2025]],$J$2:$V$14,3,0)*Tabla4[[#This Row],[TOTAL COBERTURA]])</f>
        <v>2152080</v>
      </c>
      <c r="BA227" s="35">
        <f>(VLOOKUP(Tabla4[[#This Row],[SERVICIO 2025]],$J$2:$V$14,3,0)*Tabla4[[#This Row],[TOTAL COBERTURA]])+Tabla4[[#This Row],[VALOR FASE PREPARATORIA DE CIERRE]]</f>
        <v>2606172</v>
      </c>
      <c r="BB227" s="35">
        <f>SUM(Tabla4[[#This Row],[DESEMBOLSO 1]:[DESEMBOLSO 8]])</f>
        <v>18231660</v>
      </c>
      <c r="BC227" s="35">
        <f>VLOOKUP(Tabla4[[#This Row],[SERVICIO 2025]],$J$2:$V$14,10,0)*Tabla4[[#This Row],[TOTAL COBERTURA]]*$W$3</f>
        <v>18078816</v>
      </c>
      <c r="BD227" s="47" t="s">
        <v>211</v>
      </c>
      <c r="BE227" s="12" t="b">
        <f>EXACT(Tabla4[[#This Row],[VALOR ATENCIÓN (8 MESES)]],Tabla4[[#This Row],[VALOR TOTAL]])</f>
        <v>1</v>
      </c>
      <c r="BF227" s="23">
        <f>Tabla4[[#This Row],[VALOR ATENCIÓN (8 MESES)]]-Tabla4[[#This Row],[VALOR TOTAL]]</f>
        <v>0</v>
      </c>
      <c r="BG227" s="12" t="b">
        <f>EXACT(Tabla4[[#This Row],[TOTAL DESEMBOLSOS]],Tabla4[[#This Row],[VALOR ATENCIÓN (8 MESES)]])</f>
        <v>1</v>
      </c>
      <c r="BH227" s="29">
        <f>Tabla4[[#This Row],[TOTAL DESEMBOLSOS]]-Tabla4[[#This Row],[VALOR ATENCIÓN (8 MESES)]]</f>
        <v>0</v>
      </c>
      <c r="BI227" t="s">
        <v>98</v>
      </c>
      <c r="BJ227">
        <v>1905</v>
      </c>
    </row>
    <row r="228" spans="1:62">
      <c r="A228" s="13">
        <v>1905</v>
      </c>
      <c r="B228" s="13" t="s">
        <v>578</v>
      </c>
      <c r="C228" s="12" t="s">
        <v>87</v>
      </c>
      <c r="D228" s="12" t="s">
        <v>579</v>
      </c>
      <c r="E228" s="12" t="s">
        <v>580</v>
      </c>
      <c r="F228" s="12" t="s">
        <v>21</v>
      </c>
      <c r="G228" s="12" t="s">
        <v>90</v>
      </c>
      <c r="H228" s="12" t="s">
        <v>589</v>
      </c>
      <c r="I228" s="12">
        <v>50041136562</v>
      </c>
      <c r="J228" s="12" t="s">
        <v>590</v>
      </c>
      <c r="K228" s="12">
        <v>1</v>
      </c>
      <c r="L228" s="12">
        <v>16</v>
      </c>
      <c r="M228" s="12"/>
      <c r="N228" s="13">
        <v>1905</v>
      </c>
      <c r="O228" s="12" t="s">
        <v>93</v>
      </c>
      <c r="P228" s="12"/>
      <c r="Q228" s="12"/>
      <c r="R228" s="12" t="s">
        <v>94</v>
      </c>
      <c r="S228" s="12">
        <v>10</v>
      </c>
      <c r="T228" s="12" t="s">
        <v>583</v>
      </c>
      <c r="U228" s="12" t="s">
        <v>584</v>
      </c>
      <c r="V228" s="12">
        <f>VLOOKUP(Tabla4[[#This Row],[ZONA DEFINITIVO]],Hoja1!$A$1:$D$121,3,0)</f>
        <v>229071</v>
      </c>
      <c r="W228" s="12">
        <f>VLOOKUP(Tabla4[[#This Row],[ZONA DEFINITIVO]],Hoja1!$A$1:$D$121,2,0)</f>
        <v>15180</v>
      </c>
      <c r="X228" s="12">
        <f>VLOOKUP(Tabla4[[#This Row],[ZONA DEFINITIVO]],Hoja1!$A$1:$D$121,4,0)</f>
        <v>82125</v>
      </c>
      <c r="Y228" s="12" t="str">
        <f>+IF(Tabla4[[#This Row],[AGRUPACIONES]]=1,SUMIFS(Tabla4[UDS],Tabla4[ZONA DEFINITIVO],Tabla4[[#This Row],[ZONA DEFINITIVO]])," ")</f>
        <v xml:space="preserve"> </v>
      </c>
      <c r="Z228" s="12" t="str">
        <f>+IF(Tabla4[[#This Row],[AGRUPACIONES]]=1,SUMIFS(Tabla4[TOTAL COBERTURA],Tabla4[ZONA DEFINITIVO],Tabla4[[#This Row],[ZONA DEFINITIVO]])," ")</f>
        <v xml:space="preserve"> </v>
      </c>
      <c r="AA228" s="12"/>
      <c r="AB228" s="38">
        <v>24308880</v>
      </c>
      <c r="AC228" s="37">
        <v>0.02</v>
      </c>
      <c r="AD228" s="38">
        <f t="shared" si="4"/>
        <v>486177.60000000003</v>
      </c>
      <c r="AE228" s="12"/>
      <c r="AF228" s="12">
        <f>COUNTIF($A$20:A228,A228)</f>
        <v>4</v>
      </c>
      <c r="AG228" s="38">
        <v>24308880</v>
      </c>
      <c r="AH228" s="38">
        <f>Tabla4[[#This Row],[VALOR CONTRAPARTIDA]]+Tabla4[[#This Row],[TOTAL APORTES ICBF]]</f>
        <v>24795057.600000001</v>
      </c>
      <c r="AI228" s="35"/>
      <c r="AJ228" s="38"/>
      <c r="AK228" s="38"/>
      <c r="AL228" s="23"/>
      <c r="AM228" s="35">
        <f>VLOOKUP(Tabla4[[#This Row],[SERVICIO 2025]],$J$2:$V$14,5,0)*Tabla4[[#This Row],[TOTAL COBERTURA]]</f>
        <v>747904</v>
      </c>
      <c r="AN228" s="35">
        <f>VLOOKUP(Tabla4[[#This Row],[SERVICIO 2025]],$J$2:$V$14,6,0)*Tabla4[[#This Row],[TOTAL COBERTURA]]</f>
        <v>605456</v>
      </c>
      <c r="AO228" s="35">
        <f>VLOOKUP(Tabla4[[#This Row],[SERVICIO 2025]],$J$2:$V$14,8,0)*Tabla4[[#This Row],[TOTAL COBERTURA]]</f>
        <v>0</v>
      </c>
      <c r="AP228" s="35">
        <f>VLOOKUP(Tabla4[[#This Row],[SERVICIO 2025]],$J$2:$V$14,3,0)*Tabla4[[#This Row],[TOTAL COBERTURA]]*8</f>
        <v>22955520</v>
      </c>
      <c r="AQ228" s="35"/>
      <c r="AR228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228" s="35" t="str">
        <f>+IF(Tabla4[[#This Row],[AGRUPACIONES]]=1,SUMIFS(Tabla4[VALOR TOTAL],Tabla4[ZONA DEFINITIVO],Tabla4[[#This Row],[ZONA DEFINITIVO]])," ")</f>
        <v xml:space="preserve"> </v>
      </c>
      <c r="AT228" s="27">
        <f>(VLOOKUP(Tabla4[[#This Row],[SERVICIO 2025]],$J$2:$V$14,3,0)*Tabla4[[#This Row],[TOTAL COBERTURA]])+Tabla4[[#This Row],[VALOR FASE PREPARATORIA DE ALISTAMIENTO]]+Tabla4[[#This Row],[DOTACIÓN ÚNICA]]</f>
        <v>3617344</v>
      </c>
      <c r="AU228" s="35">
        <f>(VLOOKUP(Tabla4[[#This Row],[SERVICIO 2025]],$J$2:$V$14,3,0)*Tabla4[[#This Row],[TOTAL COBERTURA]])</f>
        <v>2869440</v>
      </c>
      <c r="AV228" s="35">
        <f>(VLOOKUP(Tabla4[[#This Row],[SERVICIO 2025]],$J$2:$V$14,3,0)*Tabla4[[#This Row],[TOTAL COBERTURA]])</f>
        <v>2869440</v>
      </c>
      <c r="AW228" s="35">
        <f>(VLOOKUP(Tabla4[[#This Row],[SERVICIO 2025]],$J$2:$V$14,3,0)*Tabla4[[#This Row],[TOTAL COBERTURA]])</f>
        <v>2869440</v>
      </c>
      <c r="AX228" s="35">
        <f>(VLOOKUP(Tabla4[[#This Row],[SERVICIO 2025]],$J$2:$V$14,3,0)*Tabla4[[#This Row],[TOTAL COBERTURA]])</f>
        <v>2869440</v>
      </c>
      <c r="AY228" s="35">
        <f>(VLOOKUP(Tabla4[[#This Row],[SERVICIO 2025]],$J$2:$V$14,3,0)*Tabla4[[#This Row],[TOTAL COBERTURA]])</f>
        <v>2869440</v>
      </c>
      <c r="AZ228" s="35">
        <f>(VLOOKUP(Tabla4[[#This Row],[SERVICIO 2025]],$J$2:$V$14,3,0)*Tabla4[[#This Row],[TOTAL COBERTURA]])</f>
        <v>2869440</v>
      </c>
      <c r="BA228" s="35">
        <f>(VLOOKUP(Tabla4[[#This Row],[SERVICIO 2025]],$J$2:$V$14,3,0)*Tabla4[[#This Row],[TOTAL COBERTURA]])+Tabla4[[#This Row],[VALOR FASE PREPARATORIA DE CIERRE]]</f>
        <v>3474896</v>
      </c>
      <c r="BB228" s="35">
        <f>SUM(Tabla4[[#This Row],[DESEMBOLSO 1]:[DESEMBOLSO 8]])</f>
        <v>24308880</v>
      </c>
      <c r="BC228" s="35">
        <f>VLOOKUP(Tabla4[[#This Row],[SERVICIO 2025]],$J$2:$V$14,10,0)*Tabla4[[#This Row],[TOTAL COBERTURA]]*$W$3</f>
        <v>24105088</v>
      </c>
      <c r="BD228" s="47" t="s">
        <v>211</v>
      </c>
      <c r="BE228" s="12" t="b">
        <f>EXACT(Tabla4[[#This Row],[VALOR ATENCIÓN (8 MESES)]],Tabla4[[#This Row],[VALOR TOTAL]])</f>
        <v>1</v>
      </c>
      <c r="BF228" s="23">
        <f>Tabla4[[#This Row],[VALOR ATENCIÓN (8 MESES)]]-Tabla4[[#This Row],[VALOR TOTAL]]</f>
        <v>0</v>
      </c>
      <c r="BG228" s="12" t="b">
        <f>EXACT(Tabla4[[#This Row],[TOTAL DESEMBOLSOS]],Tabla4[[#This Row],[VALOR ATENCIÓN (8 MESES)]])</f>
        <v>1</v>
      </c>
      <c r="BH228" s="29">
        <f>Tabla4[[#This Row],[TOTAL DESEMBOLSOS]]-Tabla4[[#This Row],[VALOR ATENCIÓN (8 MESES)]]</f>
        <v>0</v>
      </c>
      <c r="BI228" t="s">
        <v>98</v>
      </c>
      <c r="BJ228">
        <v>1905</v>
      </c>
    </row>
    <row r="229" spans="1:62">
      <c r="A229" s="13">
        <v>1905</v>
      </c>
      <c r="B229" s="13" t="s">
        <v>578</v>
      </c>
      <c r="C229" s="12" t="s">
        <v>87</v>
      </c>
      <c r="D229" s="12" t="s">
        <v>579</v>
      </c>
      <c r="E229" s="12" t="s">
        <v>580</v>
      </c>
      <c r="F229" s="12" t="s">
        <v>21</v>
      </c>
      <c r="G229" s="12" t="s">
        <v>90</v>
      </c>
      <c r="H229" s="12" t="s">
        <v>591</v>
      </c>
      <c r="I229" s="12">
        <v>50041151145</v>
      </c>
      <c r="J229" s="12" t="s">
        <v>592</v>
      </c>
      <c r="K229" s="12">
        <v>1</v>
      </c>
      <c r="L229" s="12">
        <v>12</v>
      </c>
      <c r="M229" s="12"/>
      <c r="N229" s="13">
        <v>1905</v>
      </c>
      <c r="O229" s="12" t="s">
        <v>93</v>
      </c>
      <c r="P229" s="12"/>
      <c r="Q229" s="12"/>
      <c r="R229" s="12" t="s">
        <v>94</v>
      </c>
      <c r="S229" s="12">
        <v>10</v>
      </c>
      <c r="T229" s="12" t="s">
        <v>583</v>
      </c>
      <c r="U229" s="12" t="s">
        <v>584</v>
      </c>
      <c r="V229" s="12">
        <f>VLOOKUP(Tabla4[[#This Row],[ZONA DEFINITIVO]],Hoja1!$A$1:$D$121,3,0)</f>
        <v>229071</v>
      </c>
      <c r="W229" s="12">
        <f>VLOOKUP(Tabla4[[#This Row],[ZONA DEFINITIVO]],Hoja1!$A$1:$D$121,2,0)</f>
        <v>15180</v>
      </c>
      <c r="X229" s="12">
        <f>VLOOKUP(Tabla4[[#This Row],[ZONA DEFINITIVO]],Hoja1!$A$1:$D$121,4,0)</f>
        <v>82125</v>
      </c>
      <c r="Y229" s="12" t="str">
        <f>+IF(Tabla4[[#This Row],[AGRUPACIONES]]=1,SUMIFS(Tabla4[UDS],Tabla4[ZONA DEFINITIVO],Tabla4[[#This Row],[ZONA DEFINITIVO]])," ")</f>
        <v xml:space="preserve"> </v>
      </c>
      <c r="Z229" s="12" t="str">
        <f>+IF(Tabla4[[#This Row],[AGRUPACIONES]]=1,SUMIFS(Tabla4[TOTAL COBERTURA],Tabla4[ZONA DEFINITIVO],Tabla4[[#This Row],[ZONA DEFINITIVO]])," ")</f>
        <v xml:space="preserve"> </v>
      </c>
      <c r="AA229" s="12"/>
      <c r="AB229" s="38">
        <v>18231660</v>
      </c>
      <c r="AC229" s="37">
        <v>0.02</v>
      </c>
      <c r="AD229" s="38">
        <f t="shared" si="4"/>
        <v>364633.2</v>
      </c>
      <c r="AE229" s="12"/>
      <c r="AF229" s="12">
        <f>COUNTIF($A$20:A229,A229)</f>
        <v>5</v>
      </c>
      <c r="AG229" s="38">
        <v>18231660</v>
      </c>
      <c r="AH229" s="38">
        <f>Tabla4[[#This Row],[VALOR CONTRAPARTIDA]]+Tabla4[[#This Row],[TOTAL APORTES ICBF]]</f>
        <v>18596293.199999999</v>
      </c>
      <c r="AI229" s="35"/>
      <c r="AJ229" s="38"/>
      <c r="AK229" s="38"/>
      <c r="AL229" s="23"/>
      <c r="AM229" s="35">
        <f>VLOOKUP(Tabla4[[#This Row],[SERVICIO 2025]],$J$2:$V$14,5,0)*Tabla4[[#This Row],[TOTAL COBERTURA]]</f>
        <v>560928</v>
      </c>
      <c r="AN229" s="35">
        <f>VLOOKUP(Tabla4[[#This Row],[SERVICIO 2025]],$J$2:$V$14,6,0)*Tabla4[[#This Row],[TOTAL COBERTURA]]</f>
        <v>454092</v>
      </c>
      <c r="AO229" s="35">
        <f>VLOOKUP(Tabla4[[#This Row],[SERVICIO 2025]],$J$2:$V$14,8,0)*Tabla4[[#This Row],[TOTAL COBERTURA]]</f>
        <v>0</v>
      </c>
      <c r="AP229" s="35">
        <f>VLOOKUP(Tabla4[[#This Row],[SERVICIO 2025]],$J$2:$V$14,3,0)*Tabla4[[#This Row],[TOTAL COBERTURA]]*8</f>
        <v>17216640</v>
      </c>
      <c r="AQ229" s="35"/>
      <c r="AR229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229" s="35" t="str">
        <f>+IF(Tabla4[[#This Row],[AGRUPACIONES]]=1,SUMIFS(Tabla4[VALOR TOTAL],Tabla4[ZONA DEFINITIVO],Tabla4[[#This Row],[ZONA DEFINITIVO]])," ")</f>
        <v xml:space="preserve"> </v>
      </c>
      <c r="AT229" s="27">
        <f>(VLOOKUP(Tabla4[[#This Row],[SERVICIO 2025]],$J$2:$V$14,3,0)*Tabla4[[#This Row],[TOTAL COBERTURA]])+Tabla4[[#This Row],[VALOR FASE PREPARATORIA DE ALISTAMIENTO]]+Tabla4[[#This Row],[DOTACIÓN ÚNICA]]</f>
        <v>2713008</v>
      </c>
      <c r="AU229" s="35">
        <f>(VLOOKUP(Tabla4[[#This Row],[SERVICIO 2025]],$J$2:$V$14,3,0)*Tabla4[[#This Row],[TOTAL COBERTURA]])</f>
        <v>2152080</v>
      </c>
      <c r="AV229" s="35">
        <f>(VLOOKUP(Tabla4[[#This Row],[SERVICIO 2025]],$J$2:$V$14,3,0)*Tabla4[[#This Row],[TOTAL COBERTURA]])</f>
        <v>2152080</v>
      </c>
      <c r="AW229" s="35">
        <f>(VLOOKUP(Tabla4[[#This Row],[SERVICIO 2025]],$J$2:$V$14,3,0)*Tabla4[[#This Row],[TOTAL COBERTURA]])</f>
        <v>2152080</v>
      </c>
      <c r="AX229" s="35">
        <f>(VLOOKUP(Tabla4[[#This Row],[SERVICIO 2025]],$J$2:$V$14,3,0)*Tabla4[[#This Row],[TOTAL COBERTURA]])</f>
        <v>2152080</v>
      </c>
      <c r="AY229" s="35">
        <f>(VLOOKUP(Tabla4[[#This Row],[SERVICIO 2025]],$J$2:$V$14,3,0)*Tabla4[[#This Row],[TOTAL COBERTURA]])</f>
        <v>2152080</v>
      </c>
      <c r="AZ229" s="35">
        <f>(VLOOKUP(Tabla4[[#This Row],[SERVICIO 2025]],$J$2:$V$14,3,0)*Tabla4[[#This Row],[TOTAL COBERTURA]])</f>
        <v>2152080</v>
      </c>
      <c r="BA229" s="35">
        <f>(VLOOKUP(Tabla4[[#This Row],[SERVICIO 2025]],$J$2:$V$14,3,0)*Tabla4[[#This Row],[TOTAL COBERTURA]])+Tabla4[[#This Row],[VALOR FASE PREPARATORIA DE CIERRE]]</f>
        <v>2606172</v>
      </c>
      <c r="BB229" s="35">
        <f>SUM(Tabla4[[#This Row],[DESEMBOLSO 1]:[DESEMBOLSO 8]])</f>
        <v>18231660</v>
      </c>
      <c r="BC229" s="35">
        <f>VLOOKUP(Tabla4[[#This Row],[SERVICIO 2025]],$J$2:$V$14,10,0)*Tabla4[[#This Row],[TOTAL COBERTURA]]*$W$3</f>
        <v>18078816</v>
      </c>
      <c r="BD229" s="47" t="s">
        <v>211</v>
      </c>
      <c r="BE229" s="12" t="b">
        <f>EXACT(Tabla4[[#This Row],[VALOR ATENCIÓN (8 MESES)]],Tabla4[[#This Row],[VALOR TOTAL]])</f>
        <v>1</v>
      </c>
      <c r="BF229" s="23">
        <f>Tabla4[[#This Row],[VALOR ATENCIÓN (8 MESES)]]-Tabla4[[#This Row],[VALOR TOTAL]]</f>
        <v>0</v>
      </c>
      <c r="BG229" s="12" t="b">
        <f>EXACT(Tabla4[[#This Row],[TOTAL DESEMBOLSOS]],Tabla4[[#This Row],[VALOR ATENCIÓN (8 MESES)]])</f>
        <v>1</v>
      </c>
      <c r="BH229" s="29">
        <f>Tabla4[[#This Row],[TOTAL DESEMBOLSOS]]-Tabla4[[#This Row],[VALOR ATENCIÓN (8 MESES)]]</f>
        <v>0</v>
      </c>
      <c r="BI229" t="s">
        <v>98</v>
      </c>
      <c r="BJ229">
        <v>1905</v>
      </c>
    </row>
    <row r="230" spans="1:62">
      <c r="A230" s="13">
        <v>1905</v>
      </c>
      <c r="B230" s="13" t="s">
        <v>578</v>
      </c>
      <c r="C230" s="12" t="s">
        <v>87</v>
      </c>
      <c r="D230" s="12" t="s">
        <v>579</v>
      </c>
      <c r="E230" s="12" t="s">
        <v>580</v>
      </c>
      <c r="F230" s="12" t="s">
        <v>21</v>
      </c>
      <c r="G230" s="12" t="s">
        <v>90</v>
      </c>
      <c r="H230" s="12" t="s">
        <v>252</v>
      </c>
      <c r="I230" s="12">
        <v>500400085427</v>
      </c>
      <c r="J230" s="12" t="s">
        <v>593</v>
      </c>
      <c r="K230" s="12">
        <v>1</v>
      </c>
      <c r="L230" s="12">
        <v>14</v>
      </c>
      <c r="M230" s="12"/>
      <c r="N230" s="13">
        <v>1905</v>
      </c>
      <c r="O230" s="12" t="s">
        <v>93</v>
      </c>
      <c r="P230" s="12"/>
      <c r="Q230" s="12"/>
      <c r="R230" s="12" t="s">
        <v>94</v>
      </c>
      <c r="S230" s="12">
        <v>10</v>
      </c>
      <c r="T230" s="12" t="s">
        <v>583</v>
      </c>
      <c r="U230" s="12" t="s">
        <v>584</v>
      </c>
      <c r="V230" s="12">
        <f>VLOOKUP(Tabla4[[#This Row],[ZONA DEFINITIVO]],Hoja1!$A$1:$D$121,3,0)</f>
        <v>229071</v>
      </c>
      <c r="W230" s="12">
        <f>VLOOKUP(Tabla4[[#This Row],[ZONA DEFINITIVO]],Hoja1!$A$1:$D$121,2,0)</f>
        <v>15180</v>
      </c>
      <c r="X230" s="12">
        <f>VLOOKUP(Tabla4[[#This Row],[ZONA DEFINITIVO]],Hoja1!$A$1:$D$121,4,0)</f>
        <v>82125</v>
      </c>
      <c r="Y230" s="12" t="str">
        <f>+IF(Tabla4[[#This Row],[AGRUPACIONES]]=1,SUMIFS(Tabla4[UDS],Tabla4[ZONA DEFINITIVO],Tabla4[[#This Row],[ZONA DEFINITIVO]])," ")</f>
        <v xml:space="preserve"> </v>
      </c>
      <c r="Z230" s="12" t="str">
        <f>+IF(Tabla4[[#This Row],[AGRUPACIONES]]=1,SUMIFS(Tabla4[TOTAL COBERTURA],Tabla4[ZONA DEFINITIVO],Tabla4[[#This Row],[ZONA DEFINITIVO]])," ")</f>
        <v xml:space="preserve"> </v>
      </c>
      <c r="AA230" s="12"/>
      <c r="AB230" s="38">
        <v>21270270</v>
      </c>
      <c r="AC230" s="37">
        <v>0.02</v>
      </c>
      <c r="AD230" s="38">
        <f t="shared" si="4"/>
        <v>425405.4</v>
      </c>
      <c r="AE230" s="12"/>
      <c r="AF230" s="12">
        <f>COUNTIF($A$20:A230,A230)</f>
        <v>6</v>
      </c>
      <c r="AG230" s="38">
        <v>21270270</v>
      </c>
      <c r="AH230" s="38">
        <f>Tabla4[[#This Row],[VALOR CONTRAPARTIDA]]+Tabla4[[#This Row],[TOTAL APORTES ICBF]]</f>
        <v>21695675.399999999</v>
      </c>
      <c r="AI230" s="35"/>
      <c r="AJ230" s="38"/>
      <c r="AK230" s="38"/>
      <c r="AL230" s="23"/>
      <c r="AM230" s="35">
        <f>VLOOKUP(Tabla4[[#This Row],[SERVICIO 2025]],$J$2:$V$14,5,0)*Tabla4[[#This Row],[TOTAL COBERTURA]]</f>
        <v>654416</v>
      </c>
      <c r="AN230" s="35">
        <f>VLOOKUP(Tabla4[[#This Row],[SERVICIO 2025]],$J$2:$V$14,6,0)*Tabla4[[#This Row],[TOTAL COBERTURA]]</f>
        <v>529774</v>
      </c>
      <c r="AO230" s="35">
        <f>VLOOKUP(Tabla4[[#This Row],[SERVICIO 2025]],$J$2:$V$14,8,0)*Tabla4[[#This Row],[TOTAL COBERTURA]]</f>
        <v>0</v>
      </c>
      <c r="AP230" s="35">
        <f>VLOOKUP(Tabla4[[#This Row],[SERVICIO 2025]],$J$2:$V$14,3,0)*Tabla4[[#This Row],[TOTAL COBERTURA]]*8</f>
        <v>20086080</v>
      </c>
      <c r="AQ230" s="35"/>
      <c r="AR230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230" s="35" t="str">
        <f>+IF(Tabla4[[#This Row],[AGRUPACIONES]]=1,SUMIFS(Tabla4[VALOR TOTAL],Tabla4[ZONA DEFINITIVO],Tabla4[[#This Row],[ZONA DEFINITIVO]])," ")</f>
        <v xml:space="preserve"> </v>
      </c>
      <c r="AT230" s="27">
        <f>(VLOOKUP(Tabla4[[#This Row],[SERVICIO 2025]],$J$2:$V$14,3,0)*Tabla4[[#This Row],[TOTAL COBERTURA]])+Tabla4[[#This Row],[VALOR FASE PREPARATORIA DE ALISTAMIENTO]]+Tabla4[[#This Row],[DOTACIÓN ÚNICA]]</f>
        <v>3165176</v>
      </c>
      <c r="AU230" s="35">
        <f>(VLOOKUP(Tabla4[[#This Row],[SERVICIO 2025]],$J$2:$V$14,3,0)*Tabla4[[#This Row],[TOTAL COBERTURA]])</f>
        <v>2510760</v>
      </c>
      <c r="AV230" s="35">
        <f>(VLOOKUP(Tabla4[[#This Row],[SERVICIO 2025]],$J$2:$V$14,3,0)*Tabla4[[#This Row],[TOTAL COBERTURA]])</f>
        <v>2510760</v>
      </c>
      <c r="AW230" s="35">
        <f>(VLOOKUP(Tabla4[[#This Row],[SERVICIO 2025]],$J$2:$V$14,3,0)*Tabla4[[#This Row],[TOTAL COBERTURA]])</f>
        <v>2510760</v>
      </c>
      <c r="AX230" s="35">
        <f>(VLOOKUP(Tabla4[[#This Row],[SERVICIO 2025]],$J$2:$V$14,3,0)*Tabla4[[#This Row],[TOTAL COBERTURA]])</f>
        <v>2510760</v>
      </c>
      <c r="AY230" s="35">
        <f>(VLOOKUP(Tabla4[[#This Row],[SERVICIO 2025]],$J$2:$V$14,3,0)*Tabla4[[#This Row],[TOTAL COBERTURA]])</f>
        <v>2510760</v>
      </c>
      <c r="AZ230" s="35">
        <f>(VLOOKUP(Tabla4[[#This Row],[SERVICIO 2025]],$J$2:$V$14,3,0)*Tabla4[[#This Row],[TOTAL COBERTURA]])</f>
        <v>2510760</v>
      </c>
      <c r="BA230" s="35">
        <f>(VLOOKUP(Tabla4[[#This Row],[SERVICIO 2025]],$J$2:$V$14,3,0)*Tabla4[[#This Row],[TOTAL COBERTURA]])+Tabla4[[#This Row],[VALOR FASE PREPARATORIA DE CIERRE]]</f>
        <v>3040534</v>
      </c>
      <c r="BB230" s="35">
        <f>SUM(Tabla4[[#This Row],[DESEMBOLSO 1]:[DESEMBOLSO 8]])</f>
        <v>21270270</v>
      </c>
      <c r="BC230" s="35">
        <f>VLOOKUP(Tabla4[[#This Row],[SERVICIO 2025]],$J$2:$V$14,10,0)*Tabla4[[#This Row],[TOTAL COBERTURA]]*$W$3</f>
        <v>21091952</v>
      </c>
      <c r="BD230" s="47" t="s">
        <v>211</v>
      </c>
      <c r="BE230" s="12" t="b">
        <f>EXACT(Tabla4[[#This Row],[VALOR ATENCIÓN (8 MESES)]],Tabla4[[#This Row],[VALOR TOTAL]])</f>
        <v>1</v>
      </c>
      <c r="BF230" s="23">
        <f>Tabla4[[#This Row],[VALOR ATENCIÓN (8 MESES)]]-Tabla4[[#This Row],[VALOR TOTAL]]</f>
        <v>0</v>
      </c>
      <c r="BG230" s="12" t="b">
        <f>EXACT(Tabla4[[#This Row],[TOTAL DESEMBOLSOS]],Tabla4[[#This Row],[VALOR ATENCIÓN (8 MESES)]])</f>
        <v>1</v>
      </c>
      <c r="BH230" s="29">
        <f>Tabla4[[#This Row],[TOTAL DESEMBOLSOS]]-Tabla4[[#This Row],[VALOR ATENCIÓN (8 MESES)]]</f>
        <v>0</v>
      </c>
      <c r="BI230" t="s">
        <v>98</v>
      </c>
      <c r="BJ230">
        <v>1905</v>
      </c>
    </row>
    <row r="231" spans="1:62">
      <c r="A231" s="13">
        <v>1905</v>
      </c>
      <c r="B231" s="13" t="s">
        <v>578</v>
      </c>
      <c r="C231" s="12" t="s">
        <v>87</v>
      </c>
      <c r="D231" s="12" t="s">
        <v>579</v>
      </c>
      <c r="E231" s="12" t="s">
        <v>594</v>
      </c>
      <c r="F231" s="12" t="s">
        <v>21</v>
      </c>
      <c r="G231" s="12" t="s">
        <v>90</v>
      </c>
      <c r="H231" s="12" t="s">
        <v>595</v>
      </c>
      <c r="I231" s="12">
        <v>51381119220</v>
      </c>
      <c r="J231" s="12" t="s">
        <v>596</v>
      </c>
      <c r="K231" s="12">
        <v>1</v>
      </c>
      <c r="L231" s="12">
        <v>13</v>
      </c>
      <c r="M231" s="12"/>
      <c r="N231" s="13">
        <v>1905</v>
      </c>
      <c r="O231" s="12" t="s">
        <v>93</v>
      </c>
      <c r="P231" s="12"/>
      <c r="Q231" s="12"/>
      <c r="R231" s="12" t="s">
        <v>94</v>
      </c>
      <c r="S231" s="12">
        <v>10</v>
      </c>
      <c r="T231" s="12" t="s">
        <v>583</v>
      </c>
      <c r="U231" s="12" t="s">
        <v>584</v>
      </c>
      <c r="V231" s="12">
        <f>VLOOKUP(Tabla4[[#This Row],[ZONA DEFINITIVO]],Hoja1!$A$1:$D$121,3,0)</f>
        <v>229071</v>
      </c>
      <c r="W231" s="12">
        <f>VLOOKUP(Tabla4[[#This Row],[ZONA DEFINITIVO]],Hoja1!$A$1:$D$121,2,0)</f>
        <v>15180</v>
      </c>
      <c r="X231" s="12">
        <f>VLOOKUP(Tabla4[[#This Row],[ZONA DEFINITIVO]],Hoja1!$A$1:$D$121,4,0)</f>
        <v>82125</v>
      </c>
      <c r="Y231" s="12" t="str">
        <f>+IF(Tabla4[[#This Row],[AGRUPACIONES]]=1,SUMIFS(Tabla4[UDS],Tabla4[ZONA DEFINITIVO],Tabla4[[#This Row],[ZONA DEFINITIVO]])," ")</f>
        <v xml:space="preserve"> </v>
      </c>
      <c r="Z231" s="12" t="str">
        <f>+IF(Tabla4[[#This Row],[AGRUPACIONES]]=1,SUMIFS(Tabla4[TOTAL COBERTURA],Tabla4[ZONA DEFINITIVO],Tabla4[[#This Row],[ZONA DEFINITIVO]])," ")</f>
        <v xml:space="preserve"> </v>
      </c>
      <c r="AA231" s="12"/>
      <c r="AB231" s="38">
        <v>19750965</v>
      </c>
      <c r="AC231" s="37">
        <v>0.02</v>
      </c>
      <c r="AD231" s="38">
        <f t="shared" si="4"/>
        <v>395019.3</v>
      </c>
      <c r="AE231" s="12"/>
      <c r="AF231" s="12">
        <f>COUNTIF($A$20:A231,A231)</f>
        <v>7</v>
      </c>
      <c r="AG231" s="38">
        <v>19750965</v>
      </c>
      <c r="AH231" s="38">
        <f>Tabla4[[#This Row],[VALOR CONTRAPARTIDA]]+Tabla4[[#This Row],[TOTAL APORTES ICBF]]</f>
        <v>20145984.300000001</v>
      </c>
      <c r="AI231" s="35"/>
      <c r="AJ231" s="38"/>
      <c r="AK231" s="38"/>
      <c r="AL231" s="23"/>
      <c r="AM231" s="35">
        <f>VLOOKUP(Tabla4[[#This Row],[SERVICIO 2025]],$J$2:$V$14,5,0)*Tabla4[[#This Row],[TOTAL COBERTURA]]</f>
        <v>607672</v>
      </c>
      <c r="AN231" s="35">
        <f>VLOOKUP(Tabla4[[#This Row],[SERVICIO 2025]],$J$2:$V$14,6,0)*Tabla4[[#This Row],[TOTAL COBERTURA]]</f>
        <v>491933</v>
      </c>
      <c r="AO231" s="35">
        <f>VLOOKUP(Tabla4[[#This Row],[SERVICIO 2025]],$J$2:$V$14,8,0)*Tabla4[[#This Row],[TOTAL COBERTURA]]</f>
        <v>0</v>
      </c>
      <c r="AP231" s="35">
        <f>VLOOKUP(Tabla4[[#This Row],[SERVICIO 2025]],$J$2:$V$14,3,0)*Tabla4[[#This Row],[TOTAL COBERTURA]]*8</f>
        <v>18651360</v>
      </c>
      <c r="AQ231" s="35"/>
      <c r="AR231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231" s="35" t="str">
        <f>+IF(Tabla4[[#This Row],[AGRUPACIONES]]=1,SUMIFS(Tabla4[VALOR TOTAL],Tabla4[ZONA DEFINITIVO],Tabla4[[#This Row],[ZONA DEFINITIVO]])," ")</f>
        <v xml:space="preserve"> </v>
      </c>
      <c r="AT231" s="27">
        <f>(VLOOKUP(Tabla4[[#This Row],[SERVICIO 2025]],$J$2:$V$14,3,0)*Tabla4[[#This Row],[TOTAL COBERTURA]])+Tabla4[[#This Row],[VALOR FASE PREPARATORIA DE ALISTAMIENTO]]+Tabla4[[#This Row],[DOTACIÓN ÚNICA]]</f>
        <v>2939092</v>
      </c>
      <c r="AU231" s="35">
        <f>(VLOOKUP(Tabla4[[#This Row],[SERVICIO 2025]],$J$2:$V$14,3,0)*Tabla4[[#This Row],[TOTAL COBERTURA]])</f>
        <v>2331420</v>
      </c>
      <c r="AV231" s="35">
        <f>(VLOOKUP(Tabla4[[#This Row],[SERVICIO 2025]],$J$2:$V$14,3,0)*Tabla4[[#This Row],[TOTAL COBERTURA]])</f>
        <v>2331420</v>
      </c>
      <c r="AW231" s="35">
        <f>(VLOOKUP(Tabla4[[#This Row],[SERVICIO 2025]],$J$2:$V$14,3,0)*Tabla4[[#This Row],[TOTAL COBERTURA]])</f>
        <v>2331420</v>
      </c>
      <c r="AX231" s="35">
        <f>(VLOOKUP(Tabla4[[#This Row],[SERVICIO 2025]],$J$2:$V$14,3,0)*Tabla4[[#This Row],[TOTAL COBERTURA]])</f>
        <v>2331420</v>
      </c>
      <c r="AY231" s="35">
        <f>(VLOOKUP(Tabla4[[#This Row],[SERVICIO 2025]],$J$2:$V$14,3,0)*Tabla4[[#This Row],[TOTAL COBERTURA]])</f>
        <v>2331420</v>
      </c>
      <c r="AZ231" s="35">
        <f>(VLOOKUP(Tabla4[[#This Row],[SERVICIO 2025]],$J$2:$V$14,3,0)*Tabla4[[#This Row],[TOTAL COBERTURA]])</f>
        <v>2331420</v>
      </c>
      <c r="BA231" s="35">
        <f>(VLOOKUP(Tabla4[[#This Row],[SERVICIO 2025]],$J$2:$V$14,3,0)*Tabla4[[#This Row],[TOTAL COBERTURA]])+Tabla4[[#This Row],[VALOR FASE PREPARATORIA DE CIERRE]]</f>
        <v>2823353</v>
      </c>
      <c r="BB231" s="35">
        <f>SUM(Tabla4[[#This Row],[DESEMBOLSO 1]:[DESEMBOLSO 8]])</f>
        <v>19750965</v>
      </c>
      <c r="BC231" s="35">
        <f>VLOOKUP(Tabla4[[#This Row],[SERVICIO 2025]],$J$2:$V$14,10,0)*Tabla4[[#This Row],[TOTAL COBERTURA]]*$W$3</f>
        <v>19585384</v>
      </c>
      <c r="BD231" s="47" t="s">
        <v>211</v>
      </c>
      <c r="BE231" s="12" t="b">
        <f>EXACT(Tabla4[[#This Row],[VALOR ATENCIÓN (8 MESES)]],Tabla4[[#This Row],[VALOR TOTAL]])</f>
        <v>1</v>
      </c>
      <c r="BF231" s="23">
        <f>Tabla4[[#This Row],[VALOR ATENCIÓN (8 MESES)]]-Tabla4[[#This Row],[VALOR TOTAL]]</f>
        <v>0</v>
      </c>
      <c r="BG231" s="12" t="b">
        <f>EXACT(Tabla4[[#This Row],[TOTAL DESEMBOLSOS]],Tabla4[[#This Row],[VALOR ATENCIÓN (8 MESES)]])</f>
        <v>1</v>
      </c>
      <c r="BH231" s="29">
        <f>Tabla4[[#This Row],[TOTAL DESEMBOLSOS]]-Tabla4[[#This Row],[VALOR ATENCIÓN (8 MESES)]]</f>
        <v>0</v>
      </c>
      <c r="BI231" t="s">
        <v>98</v>
      </c>
      <c r="BJ231">
        <v>1905</v>
      </c>
    </row>
    <row r="232" spans="1:62">
      <c r="A232" s="13">
        <v>1905</v>
      </c>
      <c r="B232" s="13" t="s">
        <v>578</v>
      </c>
      <c r="C232" s="12" t="s">
        <v>87</v>
      </c>
      <c r="D232" s="12" t="s">
        <v>579</v>
      </c>
      <c r="E232" s="12" t="s">
        <v>594</v>
      </c>
      <c r="F232" s="12" t="s">
        <v>21</v>
      </c>
      <c r="G232" s="12" t="s">
        <v>90</v>
      </c>
      <c r="H232" s="12" t="s">
        <v>597</v>
      </c>
      <c r="I232" s="12">
        <v>51381119221</v>
      </c>
      <c r="J232" s="12" t="s">
        <v>598</v>
      </c>
      <c r="K232" s="12">
        <v>1</v>
      </c>
      <c r="L232" s="12">
        <v>18</v>
      </c>
      <c r="M232" s="12"/>
      <c r="N232" s="13">
        <v>1905</v>
      </c>
      <c r="O232" s="12" t="s">
        <v>93</v>
      </c>
      <c r="P232" s="12"/>
      <c r="Q232" s="12"/>
      <c r="R232" s="12" t="s">
        <v>94</v>
      </c>
      <c r="S232" s="12">
        <v>10</v>
      </c>
      <c r="T232" s="12" t="s">
        <v>583</v>
      </c>
      <c r="U232" s="12" t="s">
        <v>584</v>
      </c>
      <c r="V232" s="12">
        <f>VLOOKUP(Tabla4[[#This Row],[ZONA DEFINITIVO]],Hoja1!$A$1:$D$121,3,0)</f>
        <v>229071</v>
      </c>
      <c r="W232" s="12">
        <f>VLOOKUP(Tabla4[[#This Row],[ZONA DEFINITIVO]],Hoja1!$A$1:$D$121,2,0)</f>
        <v>15180</v>
      </c>
      <c r="X232" s="12">
        <f>VLOOKUP(Tabla4[[#This Row],[ZONA DEFINITIVO]],Hoja1!$A$1:$D$121,4,0)</f>
        <v>82125</v>
      </c>
      <c r="Y232" s="12" t="str">
        <f>+IF(Tabla4[[#This Row],[AGRUPACIONES]]=1,SUMIFS(Tabla4[UDS],Tabla4[ZONA DEFINITIVO],Tabla4[[#This Row],[ZONA DEFINITIVO]])," ")</f>
        <v xml:space="preserve"> </v>
      </c>
      <c r="Z232" s="12" t="str">
        <f>+IF(Tabla4[[#This Row],[AGRUPACIONES]]=1,SUMIFS(Tabla4[TOTAL COBERTURA],Tabla4[ZONA DEFINITIVO],Tabla4[[#This Row],[ZONA DEFINITIVO]])," ")</f>
        <v xml:space="preserve"> </v>
      </c>
      <c r="AA232" s="12"/>
      <c r="AB232" s="38">
        <v>27347490</v>
      </c>
      <c r="AC232" s="37">
        <v>0.02</v>
      </c>
      <c r="AD232" s="38">
        <f t="shared" si="4"/>
        <v>546949.80000000005</v>
      </c>
      <c r="AE232" s="12"/>
      <c r="AF232" s="12">
        <f>COUNTIF($A$20:A232,A232)</f>
        <v>8</v>
      </c>
      <c r="AG232" s="38">
        <v>27347490</v>
      </c>
      <c r="AH232" s="38">
        <f>Tabla4[[#This Row],[VALOR CONTRAPARTIDA]]+Tabla4[[#This Row],[TOTAL APORTES ICBF]]</f>
        <v>27894439.800000001</v>
      </c>
      <c r="AI232" s="35"/>
      <c r="AJ232" s="38"/>
      <c r="AK232" s="38"/>
      <c r="AL232" s="23"/>
      <c r="AM232" s="35">
        <f>VLOOKUP(Tabla4[[#This Row],[SERVICIO 2025]],$J$2:$V$14,5,0)*Tabla4[[#This Row],[TOTAL COBERTURA]]</f>
        <v>841392</v>
      </c>
      <c r="AN232" s="35">
        <f>VLOOKUP(Tabla4[[#This Row],[SERVICIO 2025]],$J$2:$V$14,6,0)*Tabla4[[#This Row],[TOTAL COBERTURA]]</f>
        <v>681138</v>
      </c>
      <c r="AO232" s="35">
        <f>VLOOKUP(Tabla4[[#This Row],[SERVICIO 2025]],$J$2:$V$14,8,0)*Tabla4[[#This Row],[TOTAL COBERTURA]]</f>
        <v>0</v>
      </c>
      <c r="AP232" s="35">
        <f>VLOOKUP(Tabla4[[#This Row],[SERVICIO 2025]],$J$2:$V$14,3,0)*Tabla4[[#This Row],[TOTAL COBERTURA]]*8</f>
        <v>25824960</v>
      </c>
      <c r="AQ232" s="35"/>
      <c r="AR232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232" s="35" t="str">
        <f>+IF(Tabla4[[#This Row],[AGRUPACIONES]]=1,SUMIFS(Tabla4[VALOR TOTAL],Tabla4[ZONA DEFINITIVO],Tabla4[[#This Row],[ZONA DEFINITIVO]])," ")</f>
        <v xml:space="preserve"> </v>
      </c>
      <c r="AT232" s="27">
        <f>(VLOOKUP(Tabla4[[#This Row],[SERVICIO 2025]],$J$2:$V$14,3,0)*Tabla4[[#This Row],[TOTAL COBERTURA]])+Tabla4[[#This Row],[VALOR FASE PREPARATORIA DE ALISTAMIENTO]]+Tabla4[[#This Row],[DOTACIÓN ÚNICA]]</f>
        <v>4069512</v>
      </c>
      <c r="AU232" s="35">
        <f>(VLOOKUP(Tabla4[[#This Row],[SERVICIO 2025]],$J$2:$V$14,3,0)*Tabla4[[#This Row],[TOTAL COBERTURA]])</f>
        <v>3228120</v>
      </c>
      <c r="AV232" s="35">
        <f>(VLOOKUP(Tabla4[[#This Row],[SERVICIO 2025]],$J$2:$V$14,3,0)*Tabla4[[#This Row],[TOTAL COBERTURA]])</f>
        <v>3228120</v>
      </c>
      <c r="AW232" s="35">
        <f>(VLOOKUP(Tabla4[[#This Row],[SERVICIO 2025]],$J$2:$V$14,3,0)*Tabla4[[#This Row],[TOTAL COBERTURA]])</f>
        <v>3228120</v>
      </c>
      <c r="AX232" s="35">
        <f>(VLOOKUP(Tabla4[[#This Row],[SERVICIO 2025]],$J$2:$V$14,3,0)*Tabla4[[#This Row],[TOTAL COBERTURA]])</f>
        <v>3228120</v>
      </c>
      <c r="AY232" s="35">
        <f>(VLOOKUP(Tabla4[[#This Row],[SERVICIO 2025]],$J$2:$V$14,3,0)*Tabla4[[#This Row],[TOTAL COBERTURA]])</f>
        <v>3228120</v>
      </c>
      <c r="AZ232" s="35">
        <f>(VLOOKUP(Tabla4[[#This Row],[SERVICIO 2025]],$J$2:$V$14,3,0)*Tabla4[[#This Row],[TOTAL COBERTURA]])</f>
        <v>3228120</v>
      </c>
      <c r="BA232" s="35">
        <f>(VLOOKUP(Tabla4[[#This Row],[SERVICIO 2025]],$J$2:$V$14,3,0)*Tabla4[[#This Row],[TOTAL COBERTURA]])+Tabla4[[#This Row],[VALOR FASE PREPARATORIA DE CIERRE]]</f>
        <v>3909258</v>
      </c>
      <c r="BB232" s="35">
        <f>SUM(Tabla4[[#This Row],[DESEMBOLSO 1]:[DESEMBOLSO 8]])</f>
        <v>27347490</v>
      </c>
      <c r="BC232" s="35">
        <f>VLOOKUP(Tabla4[[#This Row],[SERVICIO 2025]],$J$2:$V$14,10,0)*Tabla4[[#This Row],[TOTAL COBERTURA]]*$W$3</f>
        <v>27118224</v>
      </c>
      <c r="BD232" s="47" t="s">
        <v>211</v>
      </c>
      <c r="BE232" s="12" t="b">
        <f>EXACT(Tabla4[[#This Row],[VALOR ATENCIÓN (8 MESES)]],Tabla4[[#This Row],[VALOR TOTAL]])</f>
        <v>1</v>
      </c>
      <c r="BF232" s="23">
        <f>Tabla4[[#This Row],[VALOR ATENCIÓN (8 MESES)]]-Tabla4[[#This Row],[VALOR TOTAL]]</f>
        <v>0</v>
      </c>
      <c r="BG232" s="12" t="b">
        <f>EXACT(Tabla4[[#This Row],[TOTAL DESEMBOLSOS]],Tabla4[[#This Row],[VALOR ATENCIÓN (8 MESES)]])</f>
        <v>1</v>
      </c>
      <c r="BH232" s="29">
        <f>Tabla4[[#This Row],[TOTAL DESEMBOLSOS]]-Tabla4[[#This Row],[VALOR ATENCIÓN (8 MESES)]]</f>
        <v>0</v>
      </c>
      <c r="BI232" t="s">
        <v>98</v>
      </c>
      <c r="BJ232">
        <v>1905</v>
      </c>
    </row>
    <row r="233" spans="1:62">
      <c r="A233" s="13">
        <v>1905</v>
      </c>
      <c r="B233" s="13" t="s">
        <v>578</v>
      </c>
      <c r="C233" s="12" t="s">
        <v>87</v>
      </c>
      <c r="D233" s="12" t="s">
        <v>579</v>
      </c>
      <c r="E233" s="12" t="s">
        <v>594</v>
      </c>
      <c r="F233" s="12" t="s">
        <v>21</v>
      </c>
      <c r="G233" s="12" t="s">
        <v>90</v>
      </c>
      <c r="H233" s="12" t="s">
        <v>571</v>
      </c>
      <c r="I233" s="12">
        <v>51381119222</v>
      </c>
      <c r="J233" s="12" t="s">
        <v>599</v>
      </c>
      <c r="K233" s="12">
        <v>1</v>
      </c>
      <c r="L233" s="12">
        <v>15</v>
      </c>
      <c r="M233" s="12"/>
      <c r="N233" s="13">
        <v>1905</v>
      </c>
      <c r="O233" s="12" t="s">
        <v>93</v>
      </c>
      <c r="P233" s="12"/>
      <c r="Q233" s="12"/>
      <c r="R233" s="12" t="s">
        <v>94</v>
      </c>
      <c r="S233" s="12">
        <v>10</v>
      </c>
      <c r="T233" s="12" t="s">
        <v>583</v>
      </c>
      <c r="U233" s="12" t="s">
        <v>584</v>
      </c>
      <c r="V233" s="12">
        <f>VLOOKUP(Tabla4[[#This Row],[ZONA DEFINITIVO]],Hoja1!$A$1:$D$121,3,0)</f>
        <v>229071</v>
      </c>
      <c r="W233" s="12">
        <f>VLOOKUP(Tabla4[[#This Row],[ZONA DEFINITIVO]],Hoja1!$A$1:$D$121,2,0)</f>
        <v>15180</v>
      </c>
      <c r="X233" s="12">
        <f>VLOOKUP(Tabla4[[#This Row],[ZONA DEFINITIVO]],Hoja1!$A$1:$D$121,4,0)</f>
        <v>82125</v>
      </c>
      <c r="Y233" s="12" t="str">
        <f>+IF(Tabla4[[#This Row],[AGRUPACIONES]]=1,SUMIFS(Tabla4[UDS],Tabla4[ZONA DEFINITIVO],Tabla4[[#This Row],[ZONA DEFINITIVO]])," ")</f>
        <v xml:space="preserve"> </v>
      </c>
      <c r="Z233" s="12" t="str">
        <f>+IF(Tabla4[[#This Row],[AGRUPACIONES]]=1,SUMIFS(Tabla4[TOTAL COBERTURA],Tabla4[ZONA DEFINITIVO],Tabla4[[#This Row],[ZONA DEFINITIVO]])," ")</f>
        <v xml:space="preserve"> </v>
      </c>
      <c r="AA233" s="12"/>
      <c r="AB233" s="38">
        <v>22789575</v>
      </c>
      <c r="AC233" s="37">
        <v>0.02</v>
      </c>
      <c r="AD233" s="38">
        <f t="shared" si="4"/>
        <v>455791.5</v>
      </c>
      <c r="AE233" s="12"/>
      <c r="AF233" s="12">
        <f>COUNTIF($A$20:A233,A233)</f>
        <v>9</v>
      </c>
      <c r="AG233" s="38">
        <v>22789575</v>
      </c>
      <c r="AH233" s="38">
        <f>Tabla4[[#This Row],[VALOR CONTRAPARTIDA]]+Tabla4[[#This Row],[TOTAL APORTES ICBF]]</f>
        <v>23245366.5</v>
      </c>
      <c r="AI233" s="35"/>
      <c r="AJ233" s="38"/>
      <c r="AK233" s="38"/>
      <c r="AL233" s="23"/>
      <c r="AM233" s="35">
        <f>VLOOKUP(Tabla4[[#This Row],[SERVICIO 2025]],$J$2:$V$14,5,0)*Tabla4[[#This Row],[TOTAL COBERTURA]]</f>
        <v>701160</v>
      </c>
      <c r="AN233" s="35">
        <f>VLOOKUP(Tabla4[[#This Row],[SERVICIO 2025]],$J$2:$V$14,6,0)*Tabla4[[#This Row],[TOTAL COBERTURA]]</f>
        <v>567615</v>
      </c>
      <c r="AO233" s="35">
        <f>VLOOKUP(Tabla4[[#This Row],[SERVICIO 2025]],$J$2:$V$14,8,0)*Tabla4[[#This Row],[TOTAL COBERTURA]]</f>
        <v>0</v>
      </c>
      <c r="AP233" s="35">
        <f>VLOOKUP(Tabla4[[#This Row],[SERVICIO 2025]],$J$2:$V$14,3,0)*Tabla4[[#This Row],[TOTAL COBERTURA]]*8</f>
        <v>21520800</v>
      </c>
      <c r="AQ233" s="35"/>
      <c r="AR233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233" s="35" t="str">
        <f>+IF(Tabla4[[#This Row],[AGRUPACIONES]]=1,SUMIFS(Tabla4[VALOR TOTAL],Tabla4[ZONA DEFINITIVO],Tabla4[[#This Row],[ZONA DEFINITIVO]])," ")</f>
        <v xml:space="preserve"> </v>
      </c>
      <c r="AT233" s="27">
        <f>(VLOOKUP(Tabla4[[#This Row],[SERVICIO 2025]],$J$2:$V$14,3,0)*Tabla4[[#This Row],[TOTAL COBERTURA]])+Tabla4[[#This Row],[VALOR FASE PREPARATORIA DE ALISTAMIENTO]]+Tabla4[[#This Row],[DOTACIÓN ÚNICA]]</f>
        <v>3391260</v>
      </c>
      <c r="AU233" s="35">
        <f>(VLOOKUP(Tabla4[[#This Row],[SERVICIO 2025]],$J$2:$V$14,3,0)*Tabla4[[#This Row],[TOTAL COBERTURA]])</f>
        <v>2690100</v>
      </c>
      <c r="AV233" s="35">
        <f>(VLOOKUP(Tabla4[[#This Row],[SERVICIO 2025]],$J$2:$V$14,3,0)*Tabla4[[#This Row],[TOTAL COBERTURA]])</f>
        <v>2690100</v>
      </c>
      <c r="AW233" s="35">
        <f>(VLOOKUP(Tabla4[[#This Row],[SERVICIO 2025]],$J$2:$V$14,3,0)*Tabla4[[#This Row],[TOTAL COBERTURA]])</f>
        <v>2690100</v>
      </c>
      <c r="AX233" s="35">
        <f>(VLOOKUP(Tabla4[[#This Row],[SERVICIO 2025]],$J$2:$V$14,3,0)*Tabla4[[#This Row],[TOTAL COBERTURA]])</f>
        <v>2690100</v>
      </c>
      <c r="AY233" s="35">
        <f>(VLOOKUP(Tabla4[[#This Row],[SERVICIO 2025]],$J$2:$V$14,3,0)*Tabla4[[#This Row],[TOTAL COBERTURA]])</f>
        <v>2690100</v>
      </c>
      <c r="AZ233" s="35">
        <f>(VLOOKUP(Tabla4[[#This Row],[SERVICIO 2025]],$J$2:$V$14,3,0)*Tabla4[[#This Row],[TOTAL COBERTURA]])</f>
        <v>2690100</v>
      </c>
      <c r="BA233" s="35">
        <f>(VLOOKUP(Tabla4[[#This Row],[SERVICIO 2025]],$J$2:$V$14,3,0)*Tabla4[[#This Row],[TOTAL COBERTURA]])+Tabla4[[#This Row],[VALOR FASE PREPARATORIA DE CIERRE]]</f>
        <v>3257715</v>
      </c>
      <c r="BB233" s="35">
        <f>SUM(Tabla4[[#This Row],[DESEMBOLSO 1]:[DESEMBOLSO 8]])</f>
        <v>22789575</v>
      </c>
      <c r="BC233" s="35">
        <f>VLOOKUP(Tabla4[[#This Row],[SERVICIO 2025]],$J$2:$V$14,10,0)*Tabla4[[#This Row],[TOTAL COBERTURA]]*$W$3</f>
        <v>22598520</v>
      </c>
      <c r="BD233" s="47" t="s">
        <v>211</v>
      </c>
      <c r="BE233" s="12" t="b">
        <f>EXACT(Tabla4[[#This Row],[VALOR ATENCIÓN (8 MESES)]],Tabla4[[#This Row],[VALOR TOTAL]])</f>
        <v>1</v>
      </c>
      <c r="BF233" s="23">
        <f>Tabla4[[#This Row],[VALOR ATENCIÓN (8 MESES)]]-Tabla4[[#This Row],[VALOR TOTAL]]</f>
        <v>0</v>
      </c>
      <c r="BG233" s="12" t="b">
        <f>EXACT(Tabla4[[#This Row],[TOTAL DESEMBOLSOS]],Tabla4[[#This Row],[VALOR ATENCIÓN (8 MESES)]])</f>
        <v>1</v>
      </c>
      <c r="BH233" s="29">
        <f>Tabla4[[#This Row],[TOTAL DESEMBOLSOS]]-Tabla4[[#This Row],[VALOR ATENCIÓN (8 MESES)]]</f>
        <v>0</v>
      </c>
      <c r="BI233" t="s">
        <v>98</v>
      </c>
      <c r="BJ233">
        <v>1905</v>
      </c>
    </row>
    <row r="234" spans="1:62">
      <c r="A234" s="13">
        <v>1905</v>
      </c>
      <c r="B234" s="13" t="s">
        <v>578</v>
      </c>
      <c r="C234" s="12" t="s">
        <v>87</v>
      </c>
      <c r="D234" s="12" t="s">
        <v>579</v>
      </c>
      <c r="E234" s="12" t="s">
        <v>594</v>
      </c>
      <c r="F234" s="12" t="s">
        <v>21</v>
      </c>
      <c r="G234" s="12" t="s">
        <v>90</v>
      </c>
      <c r="H234" s="12" t="s">
        <v>600</v>
      </c>
      <c r="I234" s="12">
        <v>51381119475</v>
      </c>
      <c r="J234" s="12" t="s">
        <v>601</v>
      </c>
      <c r="K234" s="12">
        <v>1</v>
      </c>
      <c r="L234" s="12">
        <v>16</v>
      </c>
      <c r="M234" s="12"/>
      <c r="N234" s="13">
        <v>1905</v>
      </c>
      <c r="O234" s="12" t="s">
        <v>93</v>
      </c>
      <c r="P234" s="12"/>
      <c r="Q234" s="12"/>
      <c r="R234" s="12" t="s">
        <v>94</v>
      </c>
      <c r="S234" s="12">
        <v>10</v>
      </c>
      <c r="T234" s="12" t="s">
        <v>583</v>
      </c>
      <c r="U234" s="12" t="s">
        <v>584</v>
      </c>
      <c r="V234" s="12">
        <f>VLOOKUP(Tabla4[[#This Row],[ZONA DEFINITIVO]],Hoja1!$A$1:$D$121,3,0)</f>
        <v>229071</v>
      </c>
      <c r="W234" s="12">
        <f>VLOOKUP(Tabla4[[#This Row],[ZONA DEFINITIVO]],Hoja1!$A$1:$D$121,2,0)</f>
        <v>15180</v>
      </c>
      <c r="X234" s="12">
        <f>VLOOKUP(Tabla4[[#This Row],[ZONA DEFINITIVO]],Hoja1!$A$1:$D$121,4,0)</f>
        <v>82125</v>
      </c>
      <c r="Y234" s="12" t="str">
        <f>+IF(Tabla4[[#This Row],[AGRUPACIONES]]=1,SUMIFS(Tabla4[UDS],Tabla4[ZONA DEFINITIVO],Tabla4[[#This Row],[ZONA DEFINITIVO]])," ")</f>
        <v xml:space="preserve"> </v>
      </c>
      <c r="Z234" s="12" t="str">
        <f>+IF(Tabla4[[#This Row],[AGRUPACIONES]]=1,SUMIFS(Tabla4[TOTAL COBERTURA],Tabla4[ZONA DEFINITIVO],Tabla4[[#This Row],[ZONA DEFINITIVO]])," ")</f>
        <v xml:space="preserve"> </v>
      </c>
      <c r="AA234" s="12"/>
      <c r="AB234" s="38">
        <v>24308880</v>
      </c>
      <c r="AC234" s="37">
        <v>0.02</v>
      </c>
      <c r="AD234" s="38">
        <f t="shared" si="4"/>
        <v>486177.60000000003</v>
      </c>
      <c r="AE234" s="12"/>
      <c r="AF234" s="12">
        <f>COUNTIF($A$20:A234,A234)</f>
        <v>10</v>
      </c>
      <c r="AG234" s="38">
        <v>24308880</v>
      </c>
      <c r="AH234" s="38">
        <f>Tabla4[[#This Row],[VALOR CONTRAPARTIDA]]+Tabla4[[#This Row],[TOTAL APORTES ICBF]]</f>
        <v>24795057.600000001</v>
      </c>
      <c r="AI234" s="35"/>
      <c r="AJ234" s="38"/>
      <c r="AK234" s="38"/>
      <c r="AL234" s="23"/>
      <c r="AM234" s="35">
        <f>VLOOKUP(Tabla4[[#This Row],[SERVICIO 2025]],$J$2:$V$14,5,0)*Tabla4[[#This Row],[TOTAL COBERTURA]]</f>
        <v>747904</v>
      </c>
      <c r="AN234" s="35">
        <f>VLOOKUP(Tabla4[[#This Row],[SERVICIO 2025]],$J$2:$V$14,6,0)*Tabla4[[#This Row],[TOTAL COBERTURA]]</f>
        <v>605456</v>
      </c>
      <c r="AO234" s="35">
        <f>VLOOKUP(Tabla4[[#This Row],[SERVICIO 2025]],$J$2:$V$14,8,0)*Tabla4[[#This Row],[TOTAL COBERTURA]]</f>
        <v>0</v>
      </c>
      <c r="AP234" s="35">
        <f>VLOOKUP(Tabla4[[#This Row],[SERVICIO 2025]],$J$2:$V$14,3,0)*Tabla4[[#This Row],[TOTAL COBERTURA]]*8</f>
        <v>22955520</v>
      </c>
      <c r="AQ234" s="35"/>
      <c r="AR234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234" s="35" t="str">
        <f>+IF(Tabla4[[#This Row],[AGRUPACIONES]]=1,SUMIFS(Tabla4[VALOR TOTAL],Tabla4[ZONA DEFINITIVO],Tabla4[[#This Row],[ZONA DEFINITIVO]])," ")</f>
        <v xml:space="preserve"> </v>
      </c>
      <c r="AT234" s="27">
        <f>(VLOOKUP(Tabla4[[#This Row],[SERVICIO 2025]],$J$2:$V$14,3,0)*Tabla4[[#This Row],[TOTAL COBERTURA]])+Tabla4[[#This Row],[VALOR FASE PREPARATORIA DE ALISTAMIENTO]]+Tabla4[[#This Row],[DOTACIÓN ÚNICA]]</f>
        <v>3617344</v>
      </c>
      <c r="AU234" s="35">
        <f>(VLOOKUP(Tabla4[[#This Row],[SERVICIO 2025]],$J$2:$V$14,3,0)*Tabla4[[#This Row],[TOTAL COBERTURA]])</f>
        <v>2869440</v>
      </c>
      <c r="AV234" s="35">
        <f>(VLOOKUP(Tabla4[[#This Row],[SERVICIO 2025]],$J$2:$V$14,3,0)*Tabla4[[#This Row],[TOTAL COBERTURA]])</f>
        <v>2869440</v>
      </c>
      <c r="AW234" s="35">
        <f>(VLOOKUP(Tabla4[[#This Row],[SERVICIO 2025]],$J$2:$V$14,3,0)*Tabla4[[#This Row],[TOTAL COBERTURA]])</f>
        <v>2869440</v>
      </c>
      <c r="AX234" s="35">
        <f>(VLOOKUP(Tabla4[[#This Row],[SERVICIO 2025]],$J$2:$V$14,3,0)*Tabla4[[#This Row],[TOTAL COBERTURA]])</f>
        <v>2869440</v>
      </c>
      <c r="AY234" s="35">
        <f>(VLOOKUP(Tabla4[[#This Row],[SERVICIO 2025]],$J$2:$V$14,3,0)*Tabla4[[#This Row],[TOTAL COBERTURA]])</f>
        <v>2869440</v>
      </c>
      <c r="AZ234" s="35">
        <f>(VLOOKUP(Tabla4[[#This Row],[SERVICIO 2025]],$J$2:$V$14,3,0)*Tabla4[[#This Row],[TOTAL COBERTURA]])</f>
        <v>2869440</v>
      </c>
      <c r="BA234" s="35">
        <f>(VLOOKUP(Tabla4[[#This Row],[SERVICIO 2025]],$J$2:$V$14,3,0)*Tabla4[[#This Row],[TOTAL COBERTURA]])+Tabla4[[#This Row],[VALOR FASE PREPARATORIA DE CIERRE]]</f>
        <v>3474896</v>
      </c>
      <c r="BB234" s="35">
        <f>SUM(Tabla4[[#This Row],[DESEMBOLSO 1]:[DESEMBOLSO 8]])</f>
        <v>24308880</v>
      </c>
      <c r="BC234" s="35">
        <f>VLOOKUP(Tabla4[[#This Row],[SERVICIO 2025]],$J$2:$V$14,10,0)*Tabla4[[#This Row],[TOTAL COBERTURA]]*$W$3</f>
        <v>24105088</v>
      </c>
      <c r="BD234" s="47" t="s">
        <v>211</v>
      </c>
      <c r="BE234" s="12" t="b">
        <f>EXACT(Tabla4[[#This Row],[VALOR ATENCIÓN (8 MESES)]],Tabla4[[#This Row],[VALOR TOTAL]])</f>
        <v>1</v>
      </c>
      <c r="BF234" s="23">
        <f>Tabla4[[#This Row],[VALOR ATENCIÓN (8 MESES)]]-Tabla4[[#This Row],[VALOR TOTAL]]</f>
        <v>0</v>
      </c>
      <c r="BG234" s="12" t="b">
        <f>EXACT(Tabla4[[#This Row],[TOTAL DESEMBOLSOS]],Tabla4[[#This Row],[VALOR ATENCIÓN (8 MESES)]])</f>
        <v>1</v>
      </c>
      <c r="BH234" s="29">
        <f>Tabla4[[#This Row],[TOTAL DESEMBOLSOS]]-Tabla4[[#This Row],[VALOR ATENCIÓN (8 MESES)]]</f>
        <v>0</v>
      </c>
      <c r="BI234" t="s">
        <v>98</v>
      </c>
      <c r="BJ234">
        <v>1905</v>
      </c>
    </row>
    <row r="235" spans="1:62">
      <c r="A235" s="13">
        <v>1905</v>
      </c>
      <c r="B235" s="13" t="s">
        <v>578</v>
      </c>
      <c r="C235" s="12" t="s">
        <v>87</v>
      </c>
      <c r="D235" s="12" t="s">
        <v>579</v>
      </c>
      <c r="E235" s="12" t="s">
        <v>594</v>
      </c>
      <c r="F235" s="12" t="s">
        <v>21</v>
      </c>
      <c r="G235" s="12" t="s">
        <v>90</v>
      </c>
      <c r="H235" s="12" t="s">
        <v>602</v>
      </c>
      <c r="I235" s="12">
        <v>51381119482</v>
      </c>
      <c r="J235" s="12" t="s">
        <v>603</v>
      </c>
      <c r="K235" s="12">
        <v>1</v>
      </c>
      <c r="L235" s="12">
        <v>20</v>
      </c>
      <c r="M235" s="12"/>
      <c r="N235" s="13">
        <v>1905</v>
      </c>
      <c r="O235" s="12" t="s">
        <v>93</v>
      </c>
      <c r="P235" s="12"/>
      <c r="Q235" s="12"/>
      <c r="R235" s="12" t="s">
        <v>94</v>
      </c>
      <c r="S235" s="12">
        <v>10</v>
      </c>
      <c r="T235" s="12" t="s">
        <v>583</v>
      </c>
      <c r="U235" s="12" t="s">
        <v>584</v>
      </c>
      <c r="V235" s="12">
        <f>VLOOKUP(Tabla4[[#This Row],[ZONA DEFINITIVO]],Hoja1!$A$1:$D$121,3,0)</f>
        <v>229071</v>
      </c>
      <c r="W235" s="12">
        <f>VLOOKUP(Tabla4[[#This Row],[ZONA DEFINITIVO]],Hoja1!$A$1:$D$121,2,0)</f>
        <v>15180</v>
      </c>
      <c r="X235" s="12">
        <f>VLOOKUP(Tabla4[[#This Row],[ZONA DEFINITIVO]],Hoja1!$A$1:$D$121,4,0)</f>
        <v>82125</v>
      </c>
      <c r="Y235" s="12" t="str">
        <f>+IF(Tabla4[[#This Row],[AGRUPACIONES]]=1,SUMIFS(Tabla4[UDS],Tabla4[ZONA DEFINITIVO],Tabla4[[#This Row],[ZONA DEFINITIVO]])," ")</f>
        <v xml:space="preserve"> </v>
      </c>
      <c r="Z235" s="12" t="str">
        <f>+IF(Tabla4[[#This Row],[AGRUPACIONES]]=1,SUMIFS(Tabla4[TOTAL COBERTURA],Tabla4[ZONA DEFINITIVO],Tabla4[[#This Row],[ZONA DEFINITIVO]])," ")</f>
        <v xml:space="preserve"> </v>
      </c>
      <c r="AA235" s="12"/>
      <c r="AB235" s="38">
        <v>30386100</v>
      </c>
      <c r="AC235" s="37">
        <v>0.02</v>
      </c>
      <c r="AD235" s="38">
        <f t="shared" si="4"/>
        <v>607722</v>
      </c>
      <c r="AE235" s="12"/>
      <c r="AF235" s="12">
        <f>COUNTIF($A$20:A235,A235)</f>
        <v>11</v>
      </c>
      <c r="AG235" s="38">
        <v>30386100</v>
      </c>
      <c r="AH235" s="38">
        <f>Tabla4[[#This Row],[VALOR CONTRAPARTIDA]]+Tabla4[[#This Row],[TOTAL APORTES ICBF]]</f>
        <v>30993822</v>
      </c>
      <c r="AI235" s="35"/>
      <c r="AJ235" s="38"/>
      <c r="AK235" s="38"/>
      <c r="AL235" s="23"/>
      <c r="AM235" s="35">
        <f>VLOOKUP(Tabla4[[#This Row],[SERVICIO 2025]],$J$2:$V$14,5,0)*Tabla4[[#This Row],[TOTAL COBERTURA]]</f>
        <v>934880</v>
      </c>
      <c r="AN235" s="35">
        <f>VLOOKUP(Tabla4[[#This Row],[SERVICIO 2025]],$J$2:$V$14,6,0)*Tabla4[[#This Row],[TOTAL COBERTURA]]</f>
        <v>756820</v>
      </c>
      <c r="AO235" s="35">
        <f>VLOOKUP(Tabla4[[#This Row],[SERVICIO 2025]],$J$2:$V$14,8,0)*Tabla4[[#This Row],[TOTAL COBERTURA]]</f>
        <v>0</v>
      </c>
      <c r="AP235" s="35">
        <f>VLOOKUP(Tabla4[[#This Row],[SERVICIO 2025]],$J$2:$V$14,3,0)*Tabla4[[#This Row],[TOTAL COBERTURA]]*8</f>
        <v>28694400</v>
      </c>
      <c r="AQ235" s="35"/>
      <c r="AR235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235" s="35" t="str">
        <f>+IF(Tabla4[[#This Row],[AGRUPACIONES]]=1,SUMIFS(Tabla4[VALOR TOTAL],Tabla4[ZONA DEFINITIVO],Tabla4[[#This Row],[ZONA DEFINITIVO]])," ")</f>
        <v xml:space="preserve"> </v>
      </c>
      <c r="AT235" s="27">
        <f>(VLOOKUP(Tabla4[[#This Row],[SERVICIO 2025]],$J$2:$V$14,3,0)*Tabla4[[#This Row],[TOTAL COBERTURA]])+Tabla4[[#This Row],[VALOR FASE PREPARATORIA DE ALISTAMIENTO]]+Tabla4[[#This Row],[DOTACIÓN ÚNICA]]</f>
        <v>4521680</v>
      </c>
      <c r="AU235" s="35">
        <f>(VLOOKUP(Tabla4[[#This Row],[SERVICIO 2025]],$J$2:$V$14,3,0)*Tabla4[[#This Row],[TOTAL COBERTURA]])</f>
        <v>3586800</v>
      </c>
      <c r="AV235" s="35">
        <f>(VLOOKUP(Tabla4[[#This Row],[SERVICIO 2025]],$J$2:$V$14,3,0)*Tabla4[[#This Row],[TOTAL COBERTURA]])</f>
        <v>3586800</v>
      </c>
      <c r="AW235" s="35">
        <f>(VLOOKUP(Tabla4[[#This Row],[SERVICIO 2025]],$J$2:$V$14,3,0)*Tabla4[[#This Row],[TOTAL COBERTURA]])</f>
        <v>3586800</v>
      </c>
      <c r="AX235" s="35">
        <f>(VLOOKUP(Tabla4[[#This Row],[SERVICIO 2025]],$J$2:$V$14,3,0)*Tabla4[[#This Row],[TOTAL COBERTURA]])</f>
        <v>3586800</v>
      </c>
      <c r="AY235" s="35">
        <f>(VLOOKUP(Tabla4[[#This Row],[SERVICIO 2025]],$J$2:$V$14,3,0)*Tabla4[[#This Row],[TOTAL COBERTURA]])</f>
        <v>3586800</v>
      </c>
      <c r="AZ235" s="35">
        <f>(VLOOKUP(Tabla4[[#This Row],[SERVICIO 2025]],$J$2:$V$14,3,0)*Tabla4[[#This Row],[TOTAL COBERTURA]])</f>
        <v>3586800</v>
      </c>
      <c r="BA235" s="35">
        <f>(VLOOKUP(Tabla4[[#This Row],[SERVICIO 2025]],$J$2:$V$14,3,0)*Tabla4[[#This Row],[TOTAL COBERTURA]])+Tabla4[[#This Row],[VALOR FASE PREPARATORIA DE CIERRE]]</f>
        <v>4343620</v>
      </c>
      <c r="BB235" s="35">
        <f>SUM(Tabla4[[#This Row],[DESEMBOLSO 1]:[DESEMBOLSO 8]])</f>
        <v>30386100</v>
      </c>
      <c r="BC235" s="35">
        <f>VLOOKUP(Tabla4[[#This Row],[SERVICIO 2025]],$J$2:$V$14,10,0)*Tabla4[[#This Row],[TOTAL COBERTURA]]*$W$3</f>
        <v>30131360</v>
      </c>
      <c r="BD235" s="47" t="s">
        <v>211</v>
      </c>
      <c r="BE235" s="12" t="b">
        <f>EXACT(Tabla4[[#This Row],[VALOR ATENCIÓN (8 MESES)]],Tabla4[[#This Row],[VALOR TOTAL]])</f>
        <v>1</v>
      </c>
      <c r="BF235" s="23">
        <f>Tabla4[[#This Row],[VALOR ATENCIÓN (8 MESES)]]-Tabla4[[#This Row],[VALOR TOTAL]]</f>
        <v>0</v>
      </c>
      <c r="BG235" s="12" t="b">
        <f>EXACT(Tabla4[[#This Row],[TOTAL DESEMBOLSOS]],Tabla4[[#This Row],[VALOR ATENCIÓN (8 MESES)]])</f>
        <v>1</v>
      </c>
      <c r="BH235" s="29">
        <f>Tabla4[[#This Row],[TOTAL DESEMBOLSOS]]-Tabla4[[#This Row],[VALOR ATENCIÓN (8 MESES)]]</f>
        <v>0</v>
      </c>
      <c r="BI235" t="s">
        <v>98</v>
      </c>
      <c r="BJ235">
        <v>1905</v>
      </c>
    </row>
    <row r="236" spans="1:62">
      <c r="A236" s="13">
        <v>1905</v>
      </c>
      <c r="B236" s="13" t="s">
        <v>578</v>
      </c>
      <c r="C236" s="12" t="s">
        <v>87</v>
      </c>
      <c r="D236" s="12" t="s">
        <v>579</v>
      </c>
      <c r="E236" s="12" t="s">
        <v>594</v>
      </c>
      <c r="F236" s="12" t="s">
        <v>21</v>
      </c>
      <c r="G236" s="12" t="s">
        <v>90</v>
      </c>
      <c r="H236" s="12" t="s">
        <v>604</v>
      </c>
      <c r="I236" s="12">
        <v>51381119483</v>
      </c>
      <c r="J236" s="12" t="s">
        <v>605</v>
      </c>
      <c r="K236" s="12">
        <v>1</v>
      </c>
      <c r="L236" s="12">
        <v>27</v>
      </c>
      <c r="M236" s="12"/>
      <c r="N236" s="13">
        <v>1905</v>
      </c>
      <c r="O236" s="12" t="s">
        <v>93</v>
      </c>
      <c r="P236" s="12"/>
      <c r="Q236" s="12"/>
      <c r="R236" s="12" t="s">
        <v>94</v>
      </c>
      <c r="S236" s="12">
        <v>10</v>
      </c>
      <c r="T236" s="12" t="s">
        <v>583</v>
      </c>
      <c r="U236" s="12" t="s">
        <v>584</v>
      </c>
      <c r="V236" s="12">
        <f>VLOOKUP(Tabla4[[#This Row],[ZONA DEFINITIVO]],Hoja1!$A$1:$D$121,3,0)</f>
        <v>229071</v>
      </c>
      <c r="W236" s="12">
        <f>VLOOKUP(Tabla4[[#This Row],[ZONA DEFINITIVO]],Hoja1!$A$1:$D$121,2,0)</f>
        <v>15180</v>
      </c>
      <c r="X236" s="12">
        <f>VLOOKUP(Tabla4[[#This Row],[ZONA DEFINITIVO]],Hoja1!$A$1:$D$121,4,0)</f>
        <v>82125</v>
      </c>
      <c r="Y236" s="12" t="str">
        <f>+IF(Tabla4[[#This Row],[AGRUPACIONES]]=1,SUMIFS(Tabla4[UDS],Tabla4[ZONA DEFINITIVO],Tabla4[[#This Row],[ZONA DEFINITIVO]])," ")</f>
        <v xml:space="preserve"> </v>
      </c>
      <c r="Z236" s="12" t="str">
        <f>+IF(Tabla4[[#This Row],[AGRUPACIONES]]=1,SUMIFS(Tabla4[TOTAL COBERTURA],Tabla4[ZONA DEFINITIVO],Tabla4[[#This Row],[ZONA DEFINITIVO]])," ")</f>
        <v xml:space="preserve"> </v>
      </c>
      <c r="AA236" s="12"/>
      <c r="AB236" s="38">
        <v>41021235</v>
      </c>
      <c r="AC236" s="37">
        <v>0.02</v>
      </c>
      <c r="AD236" s="38">
        <f t="shared" si="4"/>
        <v>820424.70000000007</v>
      </c>
      <c r="AE236" s="12"/>
      <c r="AF236" s="12">
        <f>COUNTIF($A$20:A236,A236)</f>
        <v>12</v>
      </c>
      <c r="AG236" s="38">
        <v>41021235</v>
      </c>
      <c r="AH236" s="38">
        <f>Tabla4[[#This Row],[VALOR CONTRAPARTIDA]]+Tabla4[[#This Row],[TOTAL APORTES ICBF]]</f>
        <v>41841659.700000003</v>
      </c>
      <c r="AI236" s="35"/>
      <c r="AJ236" s="38"/>
      <c r="AK236" s="38"/>
      <c r="AL236" s="23"/>
      <c r="AM236" s="35">
        <f>VLOOKUP(Tabla4[[#This Row],[SERVICIO 2025]],$J$2:$V$14,5,0)*Tabla4[[#This Row],[TOTAL COBERTURA]]</f>
        <v>1262088</v>
      </c>
      <c r="AN236" s="35">
        <f>VLOOKUP(Tabla4[[#This Row],[SERVICIO 2025]],$J$2:$V$14,6,0)*Tabla4[[#This Row],[TOTAL COBERTURA]]</f>
        <v>1021707</v>
      </c>
      <c r="AO236" s="35">
        <f>VLOOKUP(Tabla4[[#This Row],[SERVICIO 2025]],$J$2:$V$14,8,0)*Tabla4[[#This Row],[TOTAL COBERTURA]]</f>
        <v>0</v>
      </c>
      <c r="AP236" s="35">
        <f>VLOOKUP(Tabla4[[#This Row],[SERVICIO 2025]],$J$2:$V$14,3,0)*Tabla4[[#This Row],[TOTAL COBERTURA]]*8</f>
        <v>38737440</v>
      </c>
      <c r="AQ236" s="35"/>
      <c r="AR236" s="35">
        <f>Tabla4[[#This Row],[VALOR FASE PREPARATORIA DE ALISTAMIENTO]]+Tabla4[[#This Row],[VALOR FASE PREPARATORIA DE CIERRE]]+Tabla4[[#This Row],[DOTACIÓN ÚNICA]]+Tabla4[[#This Row],[VALOR ATENCIÓN]]+Tabla4[[#This Row],[VALOR RACION PREPARADA]]</f>
        <v>41021235</v>
      </c>
      <c r="AS236" s="35" t="str">
        <f>+IF(Tabla4[[#This Row],[AGRUPACIONES]]=1,SUMIFS(Tabla4[VALOR TOTAL],Tabla4[ZONA DEFINITIVO],Tabla4[[#This Row],[ZONA DEFINITIVO]])," ")</f>
        <v xml:space="preserve"> </v>
      </c>
      <c r="AT236" s="27">
        <f>(VLOOKUP(Tabla4[[#This Row],[SERVICIO 2025]],$J$2:$V$14,3,0)*Tabla4[[#This Row],[TOTAL COBERTURA]])+Tabla4[[#This Row],[VALOR FASE PREPARATORIA DE ALISTAMIENTO]]+Tabla4[[#This Row],[DOTACIÓN ÚNICA]]</f>
        <v>6104268</v>
      </c>
      <c r="AU236" s="35">
        <f>(VLOOKUP(Tabla4[[#This Row],[SERVICIO 2025]],$J$2:$V$14,3,0)*Tabla4[[#This Row],[TOTAL COBERTURA]])</f>
        <v>4842180</v>
      </c>
      <c r="AV236" s="35">
        <f>(VLOOKUP(Tabla4[[#This Row],[SERVICIO 2025]],$J$2:$V$14,3,0)*Tabla4[[#This Row],[TOTAL COBERTURA]])</f>
        <v>4842180</v>
      </c>
      <c r="AW236" s="35">
        <f>(VLOOKUP(Tabla4[[#This Row],[SERVICIO 2025]],$J$2:$V$14,3,0)*Tabla4[[#This Row],[TOTAL COBERTURA]])</f>
        <v>4842180</v>
      </c>
      <c r="AX236" s="35">
        <f>(VLOOKUP(Tabla4[[#This Row],[SERVICIO 2025]],$J$2:$V$14,3,0)*Tabla4[[#This Row],[TOTAL COBERTURA]])</f>
        <v>4842180</v>
      </c>
      <c r="AY236" s="35">
        <f>(VLOOKUP(Tabla4[[#This Row],[SERVICIO 2025]],$J$2:$V$14,3,0)*Tabla4[[#This Row],[TOTAL COBERTURA]])</f>
        <v>4842180</v>
      </c>
      <c r="AZ236" s="35">
        <f>(VLOOKUP(Tabla4[[#This Row],[SERVICIO 2025]],$J$2:$V$14,3,0)*Tabla4[[#This Row],[TOTAL COBERTURA]])</f>
        <v>4842180</v>
      </c>
      <c r="BA236" s="35">
        <f>(VLOOKUP(Tabla4[[#This Row],[SERVICIO 2025]],$J$2:$V$14,3,0)*Tabla4[[#This Row],[TOTAL COBERTURA]])+Tabla4[[#This Row],[VALOR FASE PREPARATORIA DE CIERRE]]</f>
        <v>5863887</v>
      </c>
      <c r="BB236" s="35">
        <f>SUM(Tabla4[[#This Row],[DESEMBOLSO 1]:[DESEMBOLSO 8]])</f>
        <v>41021235</v>
      </c>
      <c r="BC236" s="35">
        <f>VLOOKUP(Tabla4[[#This Row],[SERVICIO 2025]],$J$2:$V$14,10,0)*Tabla4[[#This Row],[TOTAL COBERTURA]]*$W$3</f>
        <v>40677336</v>
      </c>
      <c r="BD236" s="47" t="s">
        <v>211</v>
      </c>
      <c r="BE236" s="12" t="b">
        <f>EXACT(Tabla4[[#This Row],[VALOR ATENCIÓN (8 MESES)]],Tabla4[[#This Row],[VALOR TOTAL]])</f>
        <v>1</v>
      </c>
      <c r="BF236" s="23">
        <f>Tabla4[[#This Row],[VALOR ATENCIÓN (8 MESES)]]-Tabla4[[#This Row],[VALOR TOTAL]]</f>
        <v>0</v>
      </c>
      <c r="BG236" s="12" t="b">
        <f>EXACT(Tabla4[[#This Row],[TOTAL DESEMBOLSOS]],Tabla4[[#This Row],[VALOR ATENCIÓN (8 MESES)]])</f>
        <v>1</v>
      </c>
      <c r="BH236" s="29">
        <f>Tabla4[[#This Row],[TOTAL DESEMBOLSOS]]-Tabla4[[#This Row],[VALOR ATENCIÓN (8 MESES)]]</f>
        <v>0</v>
      </c>
      <c r="BI236" t="s">
        <v>98</v>
      </c>
      <c r="BJ236">
        <v>1905</v>
      </c>
    </row>
    <row r="237" spans="1:62">
      <c r="A237" s="13">
        <v>1905</v>
      </c>
      <c r="B237" s="13" t="s">
        <v>578</v>
      </c>
      <c r="C237" s="12" t="s">
        <v>87</v>
      </c>
      <c r="D237" s="12" t="s">
        <v>579</v>
      </c>
      <c r="E237" s="12" t="s">
        <v>594</v>
      </c>
      <c r="F237" s="12" t="s">
        <v>21</v>
      </c>
      <c r="G237" s="12" t="s">
        <v>90</v>
      </c>
      <c r="H237" s="12" t="s">
        <v>334</v>
      </c>
      <c r="I237" s="12">
        <v>51381136702</v>
      </c>
      <c r="J237" s="12" t="s">
        <v>606</v>
      </c>
      <c r="K237" s="12">
        <v>1</v>
      </c>
      <c r="L237" s="12">
        <v>10</v>
      </c>
      <c r="M237" s="12"/>
      <c r="N237" s="13">
        <v>1905</v>
      </c>
      <c r="O237" s="12" t="s">
        <v>93</v>
      </c>
      <c r="P237" s="12"/>
      <c r="Q237" s="12"/>
      <c r="R237" s="12" t="s">
        <v>94</v>
      </c>
      <c r="S237" s="12">
        <v>10</v>
      </c>
      <c r="T237" s="12" t="s">
        <v>583</v>
      </c>
      <c r="U237" s="12" t="s">
        <v>584</v>
      </c>
      <c r="V237" s="12">
        <f>VLOOKUP(Tabla4[[#This Row],[ZONA DEFINITIVO]],Hoja1!$A$1:$D$121,3,0)</f>
        <v>229071</v>
      </c>
      <c r="W237" s="12">
        <f>VLOOKUP(Tabla4[[#This Row],[ZONA DEFINITIVO]],Hoja1!$A$1:$D$121,2,0)</f>
        <v>15180</v>
      </c>
      <c r="X237" s="12">
        <f>VLOOKUP(Tabla4[[#This Row],[ZONA DEFINITIVO]],Hoja1!$A$1:$D$121,4,0)</f>
        <v>82125</v>
      </c>
      <c r="Y237" s="12" t="str">
        <f>+IF(Tabla4[[#This Row],[AGRUPACIONES]]=1,SUMIFS(Tabla4[UDS],Tabla4[ZONA DEFINITIVO],Tabla4[[#This Row],[ZONA DEFINITIVO]])," ")</f>
        <v xml:space="preserve"> </v>
      </c>
      <c r="Z237" s="12" t="str">
        <f>+IF(Tabla4[[#This Row],[AGRUPACIONES]]=1,SUMIFS(Tabla4[TOTAL COBERTURA],Tabla4[ZONA DEFINITIVO],Tabla4[[#This Row],[ZONA DEFINITIVO]])," ")</f>
        <v xml:space="preserve"> </v>
      </c>
      <c r="AA237" s="12"/>
      <c r="AB237" s="38">
        <v>15193050</v>
      </c>
      <c r="AC237" s="37">
        <v>0.02</v>
      </c>
      <c r="AD237" s="38">
        <f t="shared" si="4"/>
        <v>303861</v>
      </c>
      <c r="AE237" s="12"/>
      <c r="AF237" s="12">
        <f>COUNTIF($A$20:A237,A237)</f>
        <v>13</v>
      </c>
      <c r="AG237" s="38">
        <v>15193050</v>
      </c>
      <c r="AH237" s="38">
        <f>Tabla4[[#This Row],[VALOR CONTRAPARTIDA]]+Tabla4[[#This Row],[TOTAL APORTES ICBF]]</f>
        <v>15496911</v>
      </c>
      <c r="AI237" s="35"/>
      <c r="AJ237" s="38"/>
      <c r="AK237" s="38"/>
      <c r="AL237" s="23"/>
      <c r="AM237" s="35">
        <f>VLOOKUP(Tabla4[[#This Row],[SERVICIO 2025]],$J$2:$V$14,5,0)*Tabla4[[#This Row],[TOTAL COBERTURA]]</f>
        <v>467440</v>
      </c>
      <c r="AN237" s="35">
        <f>VLOOKUP(Tabla4[[#This Row],[SERVICIO 2025]],$J$2:$V$14,6,0)*Tabla4[[#This Row],[TOTAL COBERTURA]]</f>
        <v>378410</v>
      </c>
      <c r="AO237" s="35">
        <f>VLOOKUP(Tabla4[[#This Row],[SERVICIO 2025]],$J$2:$V$14,8,0)*Tabla4[[#This Row],[TOTAL COBERTURA]]</f>
        <v>0</v>
      </c>
      <c r="AP237" s="35">
        <f>VLOOKUP(Tabla4[[#This Row],[SERVICIO 2025]],$J$2:$V$14,3,0)*Tabla4[[#This Row],[TOTAL COBERTURA]]*8</f>
        <v>14347200</v>
      </c>
      <c r="AQ237" s="35"/>
      <c r="AR237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237" s="35" t="str">
        <f>+IF(Tabla4[[#This Row],[AGRUPACIONES]]=1,SUMIFS(Tabla4[VALOR TOTAL],Tabla4[ZONA DEFINITIVO],Tabla4[[#This Row],[ZONA DEFINITIVO]])," ")</f>
        <v xml:space="preserve"> </v>
      </c>
      <c r="AT237" s="27">
        <f>(VLOOKUP(Tabla4[[#This Row],[SERVICIO 2025]],$J$2:$V$14,3,0)*Tabla4[[#This Row],[TOTAL COBERTURA]])+Tabla4[[#This Row],[VALOR FASE PREPARATORIA DE ALISTAMIENTO]]+Tabla4[[#This Row],[DOTACIÓN ÚNICA]]</f>
        <v>2260840</v>
      </c>
      <c r="AU237" s="35">
        <f>(VLOOKUP(Tabla4[[#This Row],[SERVICIO 2025]],$J$2:$V$14,3,0)*Tabla4[[#This Row],[TOTAL COBERTURA]])</f>
        <v>1793400</v>
      </c>
      <c r="AV237" s="35">
        <f>(VLOOKUP(Tabla4[[#This Row],[SERVICIO 2025]],$J$2:$V$14,3,0)*Tabla4[[#This Row],[TOTAL COBERTURA]])</f>
        <v>1793400</v>
      </c>
      <c r="AW237" s="35">
        <f>(VLOOKUP(Tabla4[[#This Row],[SERVICIO 2025]],$J$2:$V$14,3,0)*Tabla4[[#This Row],[TOTAL COBERTURA]])</f>
        <v>1793400</v>
      </c>
      <c r="AX237" s="35">
        <f>(VLOOKUP(Tabla4[[#This Row],[SERVICIO 2025]],$J$2:$V$14,3,0)*Tabla4[[#This Row],[TOTAL COBERTURA]])</f>
        <v>1793400</v>
      </c>
      <c r="AY237" s="35">
        <f>(VLOOKUP(Tabla4[[#This Row],[SERVICIO 2025]],$J$2:$V$14,3,0)*Tabla4[[#This Row],[TOTAL COBERTURA]])</f>
        <v>1793400</v>
      </c>
      <c r="AZ237" s="35">
        <f>(VLOOKUP(Tabla4[[#This Row],[SERVICIO 2025]],$J$2:$V$14,3,0)*Tabla4[[#This Row],[TOTAL COBERTURA]])</f>
        <v>1793400</v>
      </c>
      <c r="BA237" s="35">
        <f>(VLOOKUP(Tabla4[[#This Row],[SERVICIO 2025]],$J$2:$V$14,3,0)*Tabla4[[#This Row],[TOTAL COBERTURA]])+Tabla4[[#This Row],[VALOR FASE PREPARATORIA DE CIERRE]]</f>
        <v>2171810</v>
      </c>
      <c r="BB237" s="35">
        <f>SUM(Tabla4[[#This Row],[DESEMBOLSO 1]:[DESEMBOLSO 8]])</f>
        <v>15193050</v>
      </c>
      <c r="BC237" s="35">
        <f>VLOOKUP(Tabla4[[#This Row],[SERVICIO 2025]],$J$2:$V$14,10,0)*Tabla4[[#This Row],[TOTAL COBERTURA]]*$W$3</f>
        <v>15065680</v>
      </c>
      <c r="BD237" s="47" t="s">
        <v>211</v>
      </c>
      <c r="BE237" s="12" t="b">
        <f>EXACT(Tabla4[[#This Row],[VALOR ATENCIÓN (8 MESES)]],Tabla4[[#This Row],[VALOR TOTAL]])</f>
        <v>1</v>
      </c>
      <c r="BF237" s="23">
        <f>Tabla4[[#This Row],[VALOR ATENCIÓN (8 MESES)]]-Tabla4[[#This Row],[VALOR TOTAL]]</f>
        <v>0</v>
      </c>
      <c r="BG237" s="12" t="b">
        <f>EXACT(Tabla4[[#This Row],[TOTAL DESEMBOLSOS]],Tabla4[[#This Row],[VALOR ATENCIÓN (8 MESES)]])</f>
        <v>1</v>
      </c>
      <c r="BH237" s="29">
        <f>Tabla4[[#This Row],[TOTAL DESEMBOLSOS]]-Tabla4[[#This Row],[VALOR ATENCIÓN (8 MESES)]]</f>
        <v>0</v>
      </c>
      <c r="BI237" t="s">
        <v>98</v>
      </c>
      <c r="BJ237">
        <v>1905</v>
      </c>
    </row>
    <row r="238" spans="1:62">
      <c r="A238" s="13">
        <v>1905</v>
      </c>
      <c r="B238" s="13" t="s">
        <v>578</v>
      </c>
      <c r="C238" s="12" t="s">
        <v>87</v>
      </c>
      <c r="D238" s="12" t="s">
        <v>579</v>
      </c>
      <c r="E238" s="12" t="s">
        <v>594</v>
      </c>
      <c r="F238" s="12" t="s">
        <v>21</v>
      </c>
      <c r="G238" s="12" t="s">
        <v>90</v>
      </c>
      <c r="H238" s="12" t="s">
        <v>607</v>
      </c>
      <c r="I238" s="12">
        <v>51381136703</v>
      </c>
      <c r="J238" s="12" t="s">
        <v>608</v>
      </c>
      <c r="K238" s="12">
        <v>1</v>
      </c>
      <c r="L238" s="12">
        <v>14</v>
      </c>
      <c r="M238" s="12"/>
      <c r="N238" s="13">
        <v>1905</v>
      </c>
      <c r="O238" s="12" t="s">
        <v>93</v>
      </c>
      <c r="P238" s="12"/>
      <c r="Q238" s="12"/>
      <c r="R238" s="12" t="s">
        <v>94</v>
      </c>
      <c r="S238" s="12">
        <v>10</v>
      </c>
      <c r="T238" s="12" t="s">
        <v>583</v>
      </c>
      <c r="U238" s="12" t="s">
        <v>584</v>
      </c>
      <c r="V238" s="12">
        <f>VLOOKUP(Tabla4[[#This Row],[ZONA DEFINITIVO]],Hoja1!$A$1:$D$121,3,0)</f>
        <v>229071</v>
      </c>
      <c r="W238" s="12">
        <f>VLOOKUP(Tabla4[[#This Row],[ZONA DEFINITIVO]],Hoja1!$A$1:$D$121,2,0)</f>
        <v>15180</v>
      </c>
      <c r="X238" s="12">
        <f>VLOOKUP(Tabla4[[#This Row],[ZONA DEFINITIVO]],Hoja1!$A$1:$D$121,4,0)</f>
        <v>82125</v>
      </c>
      <c r="Y238" s="12" t="str">
        <f>+IF(Tabla4[[#This Row],[AGRUPACIONES]]=1,SUMIFS(Tabla4[UDS],Tabla4[ZONA DEFINITIVO],Tabla4[[#This Row],[ZONA DEFINITIVO]])," ")</f>
        <v xml:space="preserve"> </v>
      </c>
      <c r="Z238" s="12" t="str">
        <f>+IF(Tabla4[[#This Row],[AGRUPACIONES]]=1,SUMIFS(Tabla4[TOTAL COBERTURA],Tabla4[ZONA DEFINITIVO],Tabla4[[#This Row],[ZONA DEFINITIVO]])," ")</f>
        <v xml:space="preserve"> </v>
      </c>
      <c r="AA238" s="12"/>
      <c r="AB238" s="38">
        <v>21270270</v>
      </c>
      <c r="AC238" s="37">
        <v>0.02</v>
      </c>
      <c r="AD238" s="38">
        <f t="shared" si="4"/>
        <v>425405.4</v>
      </c>
      <c r="AE238" s="12"/>
      <c r="AF238" s="12">
        <f>COUNTIF($A$20:A238,A238)</f>
        <v>14</v>
      </c>
      <c r="AG238" s="38">
        <v>21270270</v>
      </c>
      <c r="AH238" s="38">
        <f>Tabla4[[#This Row],[VALOR CONTRAPARTIDA]]+Tabla4[[#This Row],[TOTAL APORTES ICBF]]</f>
        <v>21695675.399999999</v>
      </c>
      <c r="AI238" s="35"/>
      <c r="AJ238" s="38"/>
      <c r="AK238" s="38"/>
      <c r="AL238" s="23"/>
      <c r="AM238" s="35">
        <f>VLOOKUP(Tabla4[[#This Row],[SERVICIO 2025]],$J$2:$V$14,5,0)*Tabla4[[#This Row],[TOTAL COBERTURA]]</f>
        <v>654416</v>
      </c>
      <c r="AN238" s="35">
        <f>VLOOKUP(Tabla4[[#This Row],[SERVICIO 2025]],$J$2:$V$14,6,0)*Tabla4[[#This Row],[TOTAL COBERTURA]]</f>
        <v>529774</v>
      </c>
      <c r="AO238" s="35">
        <f>VLOOKUP(Tabla4[[#This Row],[SERVICIO 2025]],$J$2:$V$14,8,0)*Tabla4[[#This Row],[TOTAL COBERTURA]]</f>
        <v>0</v>
      </c>
      <c r="AP238" s="35">
        <f>VLOOKUP(Tabla4[[#This Row],[SERVICIO 2025]],$J$2:$V$14,3,0)*Tabla4[[#This Row],[TOTAL COBERTURA]]*8</f>
        <v>20086080</v>
      </c>
      <c r="AQ238" s="35"/>
      <c r="AR238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238" s="35" t="str">
        <f>+IF(Tabla4[[#This Row],[AGRUPACIONES]]=1,SUMIFS(Tabla4[VALOR TOTAL],Tabla4[ZONA DEFINITIVO],Tabla4[[#This Row],[ZONA DEFINITIVO]])," ")</f>
        <v xml:space="preserve"> </v>
      </c>
      <c r="AT238" s="27">
        <f>(VLOOKUP(Tabla4[[#This Row],[SERVICIO 2025]],$J$2:$V$14,3,0)*Tabla4[[#This Row],[TOTAL COBERTURA]])+Tabla4[[#This Row],[VALOR FASE PREPARATORIA DE ALISTAMIENTO]]+Tabla4[[#This Row],[DOTACIÓN ÚNICA]]</f>
        <v>3165176</v>
      </c>
      <c r="AU238" s="35">
        <f>(VLOOKUP(Tabla4[[#This Row],[SERVICIO 2025]],$J$2:$V$14,3,0)*Tabla4[[#This Row],[TOTAL COBERTURA]])</f>
        <v>2510760</v>
      </c>
      <c r="AV238" s="35">
        <f>(VLOOKUP(Tabla4[[#This Row],[SERVICIO 2025]],$J$2:$V$14,3,0)*Tabla4[[#This Row],[TOTAL COBERTURA]])</f>
        <v>2510760</v>
      </c>
      <c r="AW238" s="35">
        <f>(VLOOKUP(Tabla4[[#This Row],[SERVICIO 2025]],$J$2:$V$14,3,0)*Tabla4[[#This Row],[TOTAL COBERTURA]])</f>
        <v>2510760</v>
      </c>
      <c r="AX238" s="35">
        <f>(VLOOKUP(Tabla4[[#This Row],[SERVICIO 2025]],$J$2:$V$14,3,0)*Tabla4[[#This Row],[TOTAL COBERTURA]])</f>
        <v>2510760</v>
      </c>
      <c r="AY238" s="35">
        <f>(VLOOKUP(Tabla4[[#This Row],[SERVICIO 2025]],$J$2:$V$14,3,0)*Tabla4[[#This Row],[TOTAL COBERTURA]])</f>
        <v>2510760</v>
      </c>
      <c r="AZ238" s="35">
        <f>(VLOOKUP(Tabla4[[#This Row],[SERVICIO 2025]],$J$2:$V$14,3,0)*Tabla4[[#This Row],[TOTAL COBERTURA]])</f>
        <v>2510760</v>
      </c>
      <c r="BA238" s="35">
        <f>(VLOOKUP(Tabla4[[#This Row],[SERVICIO 2025]],$J$2:$V$14,3,0)*Tabla4[[#This Row],[TOTAL COBERTURA]])+Tabla4[[#This Row],[VALOR FASE PREPARATORIA DE CIERRE]]</f>
        <v>3040534</v>
      </c>
      <c r="BB238" s="35">
        <f>SUM(Tabla4[[#This Row],[DESEMBOLSO 1]:[DESEMBOLSO 8]])</f>
        <v>21270270</v>
      </c>
      <c r="BC238" s="35">
        <f>VLOOKUP(Tabla4[[#This Row],[SERVICIO 2025]],$J$2:$V$14,10,0)*Tabla4[[#This Row],[TOTAL COBERTURA]]*$W$3</f>
        <v>21091952</v>
      </c>
      <c r="BD238" s="47" t="s">
        <v>211</v>
      </c>
      <c r="BE238" s="12" t="b">
        <f>EXACT(Tabla4[[#This Row],[VALOR ATENCIÓN (8 MESES)]],Tabla4[[#This Row],[VALOR TOTAL]])</f>
        <v>1</v>
      </c>
      <c r="BF238" s="23">
        <f>Tabla4[[#This Row],[VALOR ATENCIÓN (8 MESES)]]-Tabla4[[#This Row],[VALOR TOTAL]]</f>
        <v>0</v>
      </c>
      <c r="BG238" s="12" t="b">
        <f>EXACT(Tabla4[[#This Row],[TOTAL DESEMBOLSOS]],Tabla4[[#This Row],[VALOR ATENCIÓN (8 MESES)]])</f>
        <v>1</v>
      </c>
      <c r="BH238" s="29">
        <f>Tabla4[[#This Row],[TOTAL DESEMBOLSOS]]-Tabla4[[#This Row],[VALOR ATENCIÓN (8 MESES)]]</f>
        <v>0</v>
      </c>
      <c r="BI238" t="s">
        <v>98</v>
      </c>
      <c r="BJ238">
        <v>1905</v>
      </c>
    </row>
    <row r="239" spans="1:62">
      <c r="A239" s="13">
        <v>1905</v>
      </c>
      <c r="B239" s="13" t="s">
        <v>578</v>
      </c>
      <c r="C239" s="12" t="s">
        <v>87</v>
      </c>
      <c r="D239" s="12" t="s">
        <v>579</v>
      </c>
      <c r="E239" s="12" t="s">
        <v>594</v>
      </c>
      <c r="F239" s="12" t="s">
        <v>21</v>
      </c>
      <c r="G239" s="12" t="s">
        <v>90</v>
      </c>
      <c r="H239" s="12" t="s">
        <v>609</v>
      </c>
      <c r="I239" s="12">
        <v>51381136704</v>
      </c>
      <c r="J239" s="12" t="s">
        <v>610</v>
      </c>
      <c r="K239" s="12">
        <v>1</v>
      </c>
      <c r="L239" s="12">
        <v>12</v>
      </c>
      <c r="M239" s="12"/>
      <c r="N239" s="13">
        <v>1905</v>
      </c>
      <c r="O239" s="12" t="s">
        <v>93</v>
      </c>
      <c r="P239" s="12"/>
      <c r="Q239" s="12"/>
      <c r="R239" s="12" t="s">
        <v>94</v>
      </c>
      <c r="S239" s="12">
        <v>10</v>
      </c>
      <c r="T239" s="12" t="s">
        <v>583</v>
      </c>
      <c r="U239" s="12" t="s">
        <v>584</v>
      </c>
      <c r="V239" s="12">
        <f>VLOOKUP(Tabla4[[#This Row],[ZONA DEFINITIVO]],Hoja1!$A$1:$D$121,3,0)</f>
        <v>229071</v>
      </c>
      <c r="W239" s="12">
        <f>VLOOKUP(Tabla4[[#This Row],[ZONA DEFINITIVO]],Hoja1!$A$1:$D$121,2,0)</f>
        <v>15180</v>
      </c>
      <c r="X239" s="12">
        <f>VLOOKUP(Tabla4[[#This Row],[ZONA DEFINITIVO]],Hoja1!$A$1:$D$121,4,0)</f>
        <v>82125</v>
      </c>
      <c r="Y239" s="12" t="str">
        <f>+IF(Tabla4[[#This Row],[AGRUPACIONES]]=1,SUMIFS(Tabla4[UDS],Tabla4[ZONA DEFINITIVO],Tabla4[[#This Row],[ZONA DEFINITIVO]])," ")</f>
        <v xml:space="preserve"> </v>
      </c>
      <c r="Z239" s="12" t="str">
        <f>+IF(Tabla4[[#This Row],[AGRUPACIONES]]=1,SUMIFS(Tabla4[TOTAL COBERTURA],Tabla4[ZONA DEFINITIVO],Tabla4[[#This Row],[ZONA DEFINITIVO]])," ")</f>
        <v xml:space="preserve"> </v>
      </c>
      <c r="AA239" s="12"/>
      <c r="AB239" s="38">
        <v>18231660</v>
      </c>
      <c r="AC239" s="37">
        <v>0.02</v>
      </c>
      <c r="AD239" s="38">
        <f t="shared" si="4"/>
        <v>364633.2</v>
      </c>
      <c r="AE239" s="12"/>
      <c r="AF239" s="12">
        <f>COUNTIF($A$20:A239,A239)</f>
        <v>15</v>
      </c>
      <c r="AG239" s="38">
        <v>18231660</v>
      </c>
      <c r="AH239" s="38">
        <f>Tabla4[[#This Row],[VALOR CONTRAPARTIDA]]+Tabla4[[#This Row],[TOTAL APORTES ICBF]]</f>
        <v>18596293.199999999</v>
      </c>
      <c r="AI239" s="35"/>
      <c r="AJ239" s="38"/>
      <c r="AK239" s="38"/>
      <c r="AL239" s="23"/>
      <c r="AM239" s="35">
        <f>VLOOKUP(Tabla4[[#This Row],[SERVICIO 2025]],$J$2:$V$14,5,0)*Tabla4[[#This Row],[TOTAL COBERTURA]]</f>
        <v>560928</v>
      </c>
      <c r="AN239" s="35">
        <f>VLOOKUP(Tabla4[[#This Row],[SERVICIO 2025]],$J$2:$V$14,6,0)*Tabla4[[#This Row],[TOTAL COBERTURA]]</f>
        <v>454092</v>
      </c>
      <c r="AO239" s="35">
        <f>VLOOKUP(Tabla4[[#This Row],[SERVICIO 2025]],$J$2:$V$14,8,0)*Tabla4[[#This Row],[TOTAL COBERTURA]]</f>
        <v>0</v>
      </c>
      <c r="AP239" s="35">
        <f>VLOOKUP(Tabla4[[#This Row],[SERVICIO 2025]],$J$2:$V$14,3,0)*Tabla4[[#This Row],[TOTAL COBERTURA]]*8</f>
        <v>17216640</v>
      </c>
      <c r="AQ239" s="35"/>
      <c r="AR239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239" s="35" t="str">
        <f>+IF(Tabla4[[#This Row],[AGRUPACIONES]]=1,SUMIFS(Tabla4[VALOR TOTAL],Tabla4[ZONA DEFINITIVO],Tabla4[[#This Row],[ZONA DEFINITIVO]])," ")</f>
        <v xml:space="preserve"> </v>
      </c>
      <c r="AT239" s="27">
        <f>(VLOOKUP(Tabla4[[#This Row],[SERVICIO 2025]],$J$2:$V$14,3,0)*Tabla4[[#This Row],[TOTAL COBERTURA]])+Tabla4[[#This Row],[VALOR FASE PREPARATORIA DE ALISTAMIENTO]]+Tabla4[[#This Row],[DOTACIÓN ÚNICA]]</f>
        <v>2713008</v>
      </c>
      <c r="AU239" s="35">
        <f>(VLOOKUP(Tabla4[[#This Row],[SERVICIO 2025]],$J$2:$V$14,3,0)*Tabla4[[#This Row],[TOTAL COBERTURA]])</f>
        <v>2152080</v>
      </c>
      <c r="AV239" s="35">
        <f>(VLOOKUP(Tabla4[[#This Row],[SERVICIO 2025]],$J$2:$V$14,3,0)*Tabla4[[#This Row],[TOTAL COBERTURA]])</f>
        <v>2152080</v>
      </c>
      <c r="AW239" s="35">
        <f>(VLOOKUP(Tabla4[[#This Row],[SERVICIO 2025]],$J$2:$V$14,3,0)*Tabla4[[#This Row],[TOTAL COBERTURA]])</f>
        <v>2152080</v>
      </c>
      <c r="AX239" s="35">
        <f>(VLOOKUP(Tabla4[[#This Row],[SERVICIO 2025]],$J$2:$V$14,3,0)*Tabla4[[#This Row],[TOTAL COBERTURA]])</f>
        <v>2152080</v>
      </c>
      <c r="AY239" s="35">
        <f>(VLOOKUP(Tabla4[[#This Row],[SERVICIO 2025]],$J$2:$V$14,3,0)*Tabla4[[#This Row],[TOTAL COBERTURA]])</f>
        <v>2152080</v>
      </c>
      <c r="AZ239" s="35">
        <f>(VLOOKUP(Tabla4[[#This Row],[SERVICIO 2025]],$J$2:$V$14,3,0)*Tabla4[[#This Row],[TOTAL COBERTURA]])</f>
        <v>2152080</v>
      </c>
      <c r="BA239" s="35">
        <f>(VLOOKUP(Tabla4[[#This Row],[SERVICIO 2025]],$J$2:$V$14,3,0)*Tabla4[[#This Row],[TOTAL COBERTURA]])+Tabla4[[#This Row],[VALOR FASE PREPARATORIA DE CIERRE]]</f>
        <v>2606172</v>
      </c>
      <c r="BB239" s="35">
        <f>SUM(Tabla4[[#This Row],[DESEMBOLSO 1]:[DESEMBOLSO 8]])</f>
        <v>18231660</v>
      </c>
      <c r="BC239" s="35">
        <f>VLOOKUP(Tabla4[[#This Row],[SERVICIO 2025]],$J$2:$V$14,10,0)*Tabla4[[#This Row],[TOTAL COBERTURA]]*$W$3</f>
        <v>18078816</v>
      </c>
      <c r="BD239" s="47" t="s">
        <v>211</v>
      </c>
      <c r="BE239" s="12" t="b">
        <f>EXACT(Tabla4[[#This Row],[VALOR ATENCIÓN (8 MESES)]],Tabla4[[#This Row],[VALOR TOTAL]])</f>
        <v>1</v>
      </c>
      <c r="BF239" s="23">
        <f>Tabla4[[#This Row],[VALOR ATENCIÓN (8 MESES)]]-Tabla4[[#This Row],[VALOR TOTAL]]</f>
        <v>0</v>
      </c>
      <c r="BG239" s="12" t="b">
        <f>EXACT(Tabla4[[#This Row],[TOTAL DESEMBOLSOS]],Tabla4[[#This Row],[VALOR ATENCIÓN (8 MESES)]])</f>
        <v>1</v>
      </c>
      <c r="BH239" s="29">
        <f>Tabla4[[#This Row],[TOTAL DESEMBOLSOS]]-Tabla4[[#This Row],[VALOR ATENCIÓN (8 MESES)]]</f>
        <v>0</v>
      </c>
      <c r="BI239" t="s">
        <v>98</v>
      </c>
      <c r="BJ239">
        <v>1905</v>
      </c>
    </row>
    <row r="240" spans="1:62">
      <c r="A240" s="13">
        <v>1905</v>
      </c>
      <c r="B240" s="13" t="s">
        <v>578</v>
      </c>
      <c r="C240" s="12" t="s">
        <v>87</v>
      </c>
      <c r="D240" s="12" t="s">
        <v>579</v>
      </c>
      <c r="E240" s="12" t="s">
        <v>594</v>
      </c>
      <c r="F240" s="12" t="s">
        <v>21</v>
      </c>
      <c r="G240" s="12" t="s">
        <v>90</v>
      </c>
      <c r="H240" s="12" t="s">
        <v>611</v>
      </c>
      <c r="I240" s="12">
        <v>51381136707</v>
      </c>
      <c r="J240" s="12" t="s">
        <v>612</v>
      </c>
      <c r="K240" s="12">
        <v>1</v>
      </c>
      <c r="L240" s="12">
        <v>13</v>
      </c>
      <c r="M240" s="12"/>
      <c r="N240" s="13">
        <v>1905</v>
      </c>
      <c r="O240" s="12" t="s">
        <v>93</v>
      </c>
      <c r="P240" s="12"/>
      <c r="Q240" s="12"/>
      <c r="R240" s="12" t="s">
        <v>94</v>
      </c>
      <c r="S240" s="12">
        <v>10</v>
      </c>
      <c r="T240" s="12" t="s">
        <v>583</v>
      </c>
      <c r="U240" s="12" t="s">
        <v>584</v>
      </c>
      <c r="V240" s="12">
        <f>VLOOKUP(Tabla4[[#This Row],[ZONA DEFINITIVO]],Hoja1!$A$1:$D$121,3,0)</f>
        <v>229071</v>
      </c>
      <c r="W240" s="12">
        <f>VLOOKUP(Tabla4[[#This Row],[ZONA DEFINITIVO]],Hoja1!$A$1:$D$121,2,0)</f>
        <v>15180</v>
      </c>
      <c r="X240" s="12">
        <f>VLOOKUP(Tabla4[[#This Row],[ZONA DEFINITIVO]],Hoja1!$A$1:$D$121,4,0)</f>
        <v>82125</v>
      </c>
      <c r="Y240" s="12" t="str">
        <f>+IF(Tabla4[[#This Row],[AGRUPACIONES]]=1,SUMIFS(Tabla4[UDS],Tabla4[ZONA DEFINITIVO],Tabla4[[#This Row],[ZONA DEFINITIVO]])," ")</f>
        <v xml:space="preserve"> </v>
      </c>
      <c r="Z240" s="12" t="str">
        <f>+IF(Tabla4[[#This Row],[AGRUPACIONES]]=1,SUMIFS(Tabla4[TOTAL COBERTURA],Tabla4[ZONA DEFINITIVO],Tabla4[[#This Row],[ZONA DEFINITIVO]])," ")</f>
        <v xml:space="preserve"> </v>
      </c>
      <c r="AA240" s="12"/>
      <c r="AB240" s="38">
        <v>19750965</v>
      </c>
      <c r="AC240" s="37">
        <v>0.02</v>
      </c>
      <c r="AD240" s="38">
        <f t="shared" si="4"/>
        <v>395019.3</v>
      </c>
      <c r="AE240" s="12"/>
      <c r="AF240" s="12">
        <f>COUNTIF($A$20:A240,A240)</f>
        <v>16</v>
      </c>
      <c r="AG240" s="38">
        <v>19750965</v>
      </c>
      <c r="AH240" s="38">
        <f>Tabla4[[#This Row],[VALOR CONTRAPARTIDA]]+Tabla4[[#This Row],[TOTAL APORTES ICBF]]</f>
        <v>20145984.300000001</v>
      </c>
      <c r="AI240" s="35"/>
      <c r="AJ240" s="38"/>
      <c r="AK240" s="38"/>
      <c r="AL240" s="23"/>
      <c r="AM240" s="35">
        <f>VLOOKUP(Tabla4[[#This Row],[SERVICIO 2025]],$J$2:$V$14,5,0)*Tabla4[[#This Row],[TOTAL COBERTURA]]</f>
        <v>607672</v>
      </c>
      <c r="AN240" s="35">
        <f>VLOOKUP(Tabla4[[#This Row],[SERVICIO 2025]],$J$2:$V$14,6,0)*Tabla4[[#This Row],[TOTAL COBERTURA]]</f>
        <v>491933</v>
      </c>
      <c r="AO240" s="35">
        <f>VLOOKUP(Tabla4[[#This Row],[SERVICIO 2025]],$J$2:$V$14,8,0)*Tabla4[[#This Row],[TOTAL COBERTURA]]</f>
        <v>0</v>
      </c>
      <c r="AP240" s="35">
        <f>VLOOKUP(Tabla4[[#This Row],[SERVICIO 2025]],$J$2:$V$14,3,0)*Tabla4[[#This Row],[TOTAL COBERTURA]]*8</f>
        <v>18651360</v>
      </c>
      <c r="AQ240" s="35"/>
      <c r="AR240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240" s="35" t="str">
        <f>+IF(Tabla4[[#This Row],[AGRUPACIONES]]=1,SUMIFS(Tabla4[VALOR TOTAL],Tabla4[ZONA DEFINITIVO],Tabla4[[#This Row],[ZONA DEFINITIVO]])," ")</f>
        <v xml:space="preserve"> </v>
      </c>
      <c r="AT240" s="27">
        <f>(VLOOKUP(Tabla4[[#This Row],[SERVICIO 2025]],$J$2:$V$14,3,0)*Tabla4[[#This Row],[TOTAL COBERTURA]])+Tabla4[[#This Row],[VALOR FASE PREPARATORIA DE ALISTAMIENTO]]+Tabla4[[#This Row],[DOTACIÓN ÚNICA]]</f>
        <v>2939092</v>
      </c>
      <c r="AU240" s="35">
        <f>(VLOOKUP(Tabla4[[#This Row],[SERVICIO 2025]],$J$2:$V$14,3,0)*Tabla4[[#This Row],[TOTAL COBERTURA]])</f>
        <v>2331420</v>
      </c>
      <c r="AV240" s="35">
        <f>(VLOOKUP(Tabla4[[#This Row],[SERVICIO 2025]],$J$2:$V$14,3,0)*Tabla4[[#This Row],[TOTAL COBERTURA]])</f>
        <v>2331420</v>
      </c>
      <c r="AW240" s="35">
        <f>(VLOOKUP(Tabla4[[#This Row],[SERVICIO 2025]],$J$2:$V$14,3,0)*Tabla4[[#This Row],[TOTAL COBERTURA]])</f>
        <v>2331420</v>
      </c>
      <c r="AX240" s="35">
        <f>(VLOOKUP(Tabla4[[#This Row],[SERVICIO 2025]],$J$2:$V$14,3,0)*Tabla4[[#This Row],[TOTAL COBERTURA]])</f>
        <v>2331420</v>
      </c>
      <c r="AY240" s="35">
        <f>(VLOOKUP(Tabla4[[#This Row],[SERVICIO 2025]],$J$2:$V$14,3,0)*Tabla4[[#This Row],[TOTAL COBERTURA]])</f>
        <v>2331420</v>
      </c>
      <c r="AZ240" s="35">
        <f>(VLOOKUP(Tabla4[[#This Row],[SERVICIO 2025]],$J$2:$V$14,3,0)*Tabla4[[#This Row],[TOTAL COBERTURA]])</f>
        <v>2331420</v>
      </c>
      <c r="BA240" s="35">
        <f>(VLOOKUP(Tabla4[[#This Row],[SERVICIO 2025]],$J$2:$V$14,3,0)*Tabla4[[#This Row],[TOTAL COBERTURA]])+Tabla4[[#This Row],[VALOR FASE PREPARATORIA DE CIERRE]]</f>
        <v>2823353</v>
      </c>
      <c r="BB240" s="35">
        <f>SUM(Tabla4[[#This Row],[DESEMBOLSO 1]:[DESEMBOLSO 8]])</f>
        <v>19750965</v>
      </c>
      <c r="BC240" s="35">
        <f>VLOOKUP(Tabla4[[#This Row],[SERVICIO 2025]],$J$2:$V$14,10,0)*Tabla4[[#This Row],[TOTAL COBERTURA]]*$W$3</f>
        <v>19585384</v>
      </c>
      <c r="BD240" s="47" t="s">
        <v>211</v>
      </c>
      <c r="BE240" s="12" t="b">
        <f>EXACT(Tabla4[[#This Row],[VALOR ATENCIÓN (8 MESES)]],Tabla4[[#This Row],[VALOR TOTAL]])</f>
        <v>1</v>
      </c>
      <c r="BF240" s="23">
        <f>Tabla4[[#This Row],[VALOR ATENCIÓN (8 MESES)]]-Tabla4[[#This Row],[VALOR TOTAL]]</f>
        <v>0</v>
      </c>
      <c r="BG240" s="12" t="b">
        <f>EXACT(Tabla4[[#This Row],[TOTAL DESEMBOLSOS]],Tabla4[[#This Row],[VALOR ATENCIÓN (8 MESES)]])</f>
        <v>1</v>
      </c>
      <c r="BH240" s="29">
        <f>Tabla4[[#This Row],[TOTAL DESEMBOLSOS]]-Tabla4[[#This Row],[VALOR ATENCIÓN (8 MESES)]]</f>
        <v>0</v>
      </c>
      <c r="BI240" t="s">
        <v>98</v>
      </c>
      <c r="BJ240">
        <v>1905</v>
      </c>
    </row>
    <row r="241" spans="1:62">
      <c r="A241" s="13">
        <v>1905</v>
      </c>
      <c r="B241" s="13" t="s">
        <v>578</v>
      </c>
      <c r="C241" s="12" t="s">
        <v>87</v>
      </c>
      <c r="D241" s="12" t="s">
        <v>579</v>
      </c>
      <c r="E241" s="12" t="s">
        <v>594</v>
      </c>
      <c r="F241" s="12" t="s">
        <v>21</v>
      </c>
      <c r="G241" s="12" t="s">
        <v>90</v>
      </c>
      <c r="H241" s="12" t="s">
        <v>613</v>
      </c>
      <c r="I241" s="12">
        <v>51381136708</v>
      </c>
      <c r="J241" s="12" t="s">
        <v>614</v>
      </c>
      <c r="K241" s="12">
        <v>1</v>
      </c>
      <c r="L241" s="12">
        <v>17</v>
      </c>
      <c r="M241" s="12"/>
      <c r="N241" s="13">
        <v>1905</v>
      </c>
      <c r="O241" s="12" t="s">
        <v>93</v>
      </c>
      <c r="P241" s="12"/>
      <c r="Q241" s="12"/>
      <c r="R241" s="12" t="s">
        <v>94</v>
      </c>
      <c r="S241" s="12">
        <v>10</v>
      </c>
      <c r="T241" s="12" t="s">
        <v>583</v>
      </c>
      <c r="U241" s="12" t="s">
        <v>584</v>
      </c>
      <c r="V241" s="12">
        <f>VLOOKUP(Tabla4[[#This Row],[ZONA DEFINITIVO]],Hoja1!$A$1:$D$121,3,0)</f>
        <v>229071</v>
      </c>
      <c r="W241" s="12">
        <f>VLOOKUP(Tabla4[[#This Row],[ZONA DEFINITIVO]],Hoja1!$A$1:$D$121,2,0)</f>
        <v>15180</v>
      </c>
      <c r="X241" s="12">
        <f>VLOOKUP(Tabla4[[#This Row],[ZONA DEFINITIVO]],Hoja1!$A$1:$D$121,4,0)</f>
        <v>82125</v>
      </c>
      <c r="Y241" s="12" t="str">
        <f>+IF(Tabla4[[#This Row],[AGRUPACIONES]]=1,SUMIFS(Tabla4[UDS],Tabla4[ZONA DEFINITIVO],Tabla4[[#This Row],[ZONA DEFINITIVO]])," ")</f>
        <v xml:space="preserve"> </v>
      </c>
      <c r="Z241" s="12" t="str">
        <f>+IF(Tabla4[[#This Row],[AGRUPACIONES]]=1,SUMIFS(Tabla4[TOTAL COBERTURA],Tabla4[ZONA DEFINITIVO],Tabla4[[#This Row],[ZONA DEFINITIVO]])," ")</f>
        <v xml:space="preserve"> </v>
      </c>
      <c r="AA241" s="12"/>
      <c r="AB241" s="38">
        <v>25828185</v>
      </c>
      <c r="AC241" s="37">
        <v>0.02</v>
      </c>
      <c r="AD241" s="38">
        <f t="shared" si="4"/>
        <v>516563.7</v>
      </c>
      <c r="AE241" s="12"/>
      <c r="AF241" s="12">
        <f>COUNTIF($A$20:A241,A241)</f>
        <v>17</v>
      </c>
      <c r="AG241" s="38">
        <v>25828185</v>
      </c>
      <c r="AH241" s="38">
        <f>Tabla4[[#This Row],[VALOR CONTRAPARTIDA]]+Tabla4[[#This Row],[TOTAL APORTES ICBF]]</f>
        <v>26344748.699999999</v>
      </c>
      <c r="AI241" s="35"/>
      <c r="AJ241" s="38"/>
      <c r="AK241" s="38"/>
      <c r="AL241" s="23"/>
      <c r="AM241" s="35">
        <f>VLOOKUP(Tabla4[[#This Row],[SERVICIO 2025]],$J$2:$V$14,5,0)*Tabla4[[#This Row],[TOTAL COBERTURA]]</f>
        <v>794648</v>
      </c>
      <c r="AN241" s="35">
        <f>VLOOKUP(Tabla4[[#This Row],[SERVICIO 2025]],$J$2:$V$14,6,0)*Tabla4[[#This Row],[TOTAL COBERTURA]]</f>
        <v>643297</v>
      </c>
      <c r="AO241" s="35">
        <f>VLOOKUP(Tabla4[[#This Row],[SERVICIO 2025]],$J$2:$V$14,8,0)*Tabla4[[#This Row],[TOTAL COBERTURA]]</f>
        <v>0</v>
      </c>
      <c r="AP241" s="35">
        <f>VLOOKUP(Tabla4[[#This Row],[SERVICIO 2025]],$J$2:$V$14,3,0)*Tabla4[[#This Row],[TOTAL COBERTURA]]*8</f>
        <v>24390240</v>
      </c>
      <c r="AQ241" s="35"/>
      <c r="AR241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241" s="35" t="str">
        <f>+IF(Tabla4[[#This Row],[AGRUPACIONES]]=1,SUMIFS(Tabla4[VALOR TOTAL],Tabla4[ZONA DEFINITIVO],Tabla4[[#This Row],[ZONA DEFINITIVO]])," ")</f>
        <v xml:space="preserve"> </v>
      </c>
      <c r="AT241" s="27">
        <f>(VLOOKUP(Tabla4[[#This Row],[SERVICIO 2025]],$J$2:$V$14,3,0)*Tabla4[[#This Row],[TOTAL COBERTURA]])+Tabla4[[#This Row],[VALOR FASE PREPARATORIA DE ALISTAMIENTO]]+Tabla4[[#This Row],[DOTACIÓN ÚNICA]]</f>
        <v>3843428</v>
      </c>
      <c r="AU241" s="35">
        <f>(VLOOKUP(Tabla4[[#This Row],[SERVICIO 2025]],$J$2:$V$14,3,0)*Tabla4[[#This Row],[TOTAL COBERTURA]])</f>
        <v>3048780</v>
      </c>
      <c r="AV241" s="35">
        <f>(VLOOKUP(Tabla4[[#This Row],[SERVICIO 2025]],$J$2:$V$14,3,0)*Tabla4[[#This Row],[TOTAL COBERTURA]])</f>
        <v>3048780</v>
      </c>
      <c r="AW241" s="35">
        <f>(VLOOKUP(Tabla4[[#This Row],[SERVICIO 2025]],$J$2:$V$14,3,0)*Tabla4[[#This Row],[TOTAL COBERTURA]])</f>
        <v>3048780</v>
      </c>
      <c r="AX241" s="35">
        <f>(VLOOKUP(Tabla4[[#This Row],[SERVICIO 2025]],$J$2:$V$14,3,0)*Tabla4[[#This Row],[TOTAL COBERTURA]])</f>
        <v>3048780</v>
      </c>
      <c r="AY241" s="35">
        <f>(VLOOKUP(Tabla4[[#This Row],[SERVICIO 2025]],$J$2:$V$14,3,0)*Tabla4[[#This Row],[TOTAL COBERTURA]])</f>
        <v>3048780</v>
      </c>
      <c r="AZ241" s="35">
        <f>(VLOOKUP(Tabla4[[#This Row],[SERVICIO 2025]],$J$2:$V$14,3,0)*Tabla4[[#This Row],[TOTAL COBERTURA]])</f>
        <v>3048780</v>
      </c>
      <c r="BA241" s="35">
        <f>(VLOOKUP(Tabla4[[#This Row],[SERVICIO 2025]],$J$2:$V$14,3,0)*Tabla4[[#This Row],[TOTAL COBERTURA]])+Tabla4[[#This Row],[VALOR FASE PREPARATORIA DE CIERRE]]</f>
        <v>3692077</v>
      </c>
      <c r="BB241" s="35">
        <f>SUM(Tabla4[[#This Row],[DESEMBOLSO 1]:[DESEMBOLSO 8]])</f>
        <v>25828185</v>
      </c>
      <c r="BC241" s="35">
        <f>VLOOKUP(Tabla4[[#This Row],[SERVICIO 2025]],$J$2:$V$14,10,0)*Tabla4[[#This Row],[TOTAL COBERTURA]]*$W$3</f>
        <v>25611656</v>
      </c>
      <c r="BD241" s="47" t="s">
        <v>211</v>
      </c>
      <c r="BE241" s="12" t="b">
        <f>EXACT(Tabla4[[#This Row],[VALOR ATENCIÓN (8 MESES)]],Tabla4[[#This Row],[VALOR TOTAL]])</f>
        <v>1</v>
      </c>
      <c r="BF241" s="23">
        <f>Tabla4[[#This Row],[VALOR ATENCIÓN (8 MESES)]]-Tabla4[[#This Row],[VALOR TOTAL]]</f>
        <v>0</v>
      </c>
      <c r="BG241" s="12" t="b">
        <f>EXACT(Tabla4[[#This Row],[TOTAL DESEMBOLSOS]],Tabla4[[#This Row],[VALOR ATENCIÓN (8 MESES)]])</f>
        <v>1</v>
      </c>
      <c r="BH241" s="29">
        <f>Tabla4[[#This Row],[TOTAL DESEMBOLSOS]]-Tabla4[[#This Row],[VALOR ATENCIÓN (8 MESES)]]</f>
        <v>0</v>
      </c>
      <c r="BI241" t="s">
        <v>98</v>
      </c>
      <c r="BJ241">
        <v>1905</v>
      </c>
    </row>
    <row r="242" spans="1:62">
      <c r="A242" s="13">
        <v>1905</v>
      </c>
      <c r="B242" s="13" t="s">
        <v>578</v>
      </c>
      <c r="C242" s="12" t="s">
        <v>87</v>
      </c>
      <c r="D242" s="12" t="s">
        <v>579</v>
      </c>
      <c r="E242" s="12" t="s">
        <v>594</v>
      </c>
      <c r="F242" s="12" t="s">
        <v>21</v>
      </c>
      <c r="G242" s="12" t="s">
        <v>90</v>
      </c>
      <c r="H242" s="12" t="s">
        <v>615</v>
      </c>
      <c r="I242" s="12">
        <v>51381136710</v>
      </c>
      <c r="J242" s="12" t="s">
        <v>616</v>
      </c>
      <c r="K242" s="12">
        <v>1</v>
      </c>
      <c r="L242" s="12">
        <v>6</v>
      </c>
      <c r="M242" s="12"/>
      <c r="N242" s="13">
        <v>1905</v>
      </c>
      <c r="O242" s="12" t="s">
        <v>93</v>
      </c>
      <c r="P242" s="12"/>
      <c r="Q242" s="12"/>
      <c r="R242" s="12" t="s">
        <v>94</v>
      </c>
      <c r="S242" s="12">
        <v>10</v>
      </c>
      <c r="T242" s="12" t="s">
        <v>583</v>
      </c>
      <c r="U242" s="12" t="s">
        <v>584</v>
      </c>
      <c r="V242" s="12">
        <f>VLOOKUP(Tabla4[[#This Row],[ZONA DEFINITIVO]],Hoja1!$A$1:$D$121,3,0)</f>
        <v>229071</v>
      </c>
      <c r="W242" s="12">
        <f>VLOOKUP(Tabla4[[#This Row],[ZONA DEFINITIVO]],Hoja1!$A$1:$D$121,2,0)</f>
        <v>15180</v>
      </c>
      <c r="X242" s="12">
        <f>VLOOKUP(Tabla4[[#This Row],[ZONA DEFINITIVO]],Hoja1!$A$1:$D$121,4,0)</f>
        <v>82125</v>
      </c>
      <c r="Y242" s="12" t="str">
        <f>+IF(Tabla4[[#This Row],[AGRUPACIONES]]=1,SUMIFS(Tabla4[UDS],Tabla4[ZONA DEFINITIVO],Tabla4[[#This Row],[ZONA DEFINITIVO]])," ")</f>
        <v xml:space="preserve"> </v>
      </c>
      <c r="Z242" s="12" t="str">
        <f>+IF(Tabla4[[#This Row],[AGRUPACIONES]]=1,SUMIFS(Tabla4[TOTAL COBERTURA],Tabla4[ZONA DEFINITIVO],Tabla4[[#This Row],[ZONA DEFINITIVO]])," ")</f>
        <v xml:space="preserve"> </v>
      </c>
      <c r="AA242" s="12"/>
      <c r="AB242" s="38">
        <v>9115830</v>
      </c>
      <c r="AC242" s="37">
        <v>0.02</v>
      </c>
      <c r="AD242" s="38">
        <f t="shared" si="4"/>
        <v>182316.6</v>
      </c>
      <c r="AE242" s="12"/>
      <c r="AF242" s="12">
        <f>COUNTIF($A$20:A242,A242)</f>
        <v>18</v>
      </c>
      <c r="AG242" s="38">
        <v>9115830</v>
      </c>
      <c r="AH242" s="38">
        <f>Tabla4[[#This Row],[VALOR CONTRAPARTIDA]]+Tabla4[[#This Row],[TOTAL APORTES ICBF]]</f>
        <v>9298146.5999999996</v>
      </c>
      <c r="AI242" s="35"/>
      <c r="AJ242" s="38"/>
      <c r="AK242" s="38"/>
      <c r="AL242" s="23"/>
      <c r="AM242" s="35">
        <f>VLOOKUP(Tabla4[[#This Row],[SERVICIO 2025]],$J$2:$V$14,5,0)*Tabla4[[#This Row],[TOTAL COBERTURA]]</f>
        <v>280464</v>
      </c>
      <c r="AN242" s="35">
        <f>VLOOKUP(Tabla4[[#This Row],[SERVICIO 2025]],$J$2:$V$14,6,0)*Tabla4[[#This Row],[TOTAL COBERTURA]]</f>
        <v>227046</v>
      </c>
      <c r="AO242" s="35">
        <f>VLOOKUP(Tabla4[[#This Row],[SERVICIO 2025]],$J$2:$V$14,8,0)*Tabla4[[#This Row],[TOTAL COBERTURA]]</f>
        <v>0</v>
      </c>
      <c r="AP242" s="35">
        <f>VLOOKUP(Tabla4[[#This Row],[SERVICIO 2025]],$J$2:$V$14,3,0)*Tabla4[[#This Row],[TOTAL COBERTURA]]*8</f>
        <v>8608320</v>
      </c>
      <c r="AQ242" s="35"/>
      <c r="AR242" s="35">
        <f>Tabla4[[#This Row],[VALOR FASE PREPARATORIA DE ALISTAMIENTO]]+Tabla4[[#This Row],[VALOR FASE PREPARATORIA DE CIERRE]]+Tabla4[[#This Row],[DOTACIÓN ÚNICA]]+Tabla4[[#This Row],[VALOR ATENCIÓN]]+Tabla4[[#This Row],[VALOR RACION PREPARADA]]</f>
        <v>9115830</v>
      </c>
      <c r="AS242" s="35" t="str">
        <f>+IF(Tabla4[[#This Row],[AGRUPACIONES]]=1,SUMIFS(Tabla4[VALOR TOTAL],Tabla4[ZONA DEFINITIVO],Tabla4[[#This Row],[ZONA DEFINITIVO]])," ")</f>
        <v xml:space="preserve"> </v>
      </c>
      <c r="AT242" s="27">
        <f>(VLOOKUP(Tabla4[[#This Row],[SERVICIO 2025]],$J$2:$V$14,3,0)*Tabla4[[#This Row],[TOTAL COBERTURA]])+Tabla4[[#This Row],[VALOR FASE PREPARATORIA DE ALISTAMIENTO]]+Tabla4[[#This Row],[DOTACIÓN ÚNICA]]</f>
        <v>1356504</v>
      </c>
      <c r="AU242" s="35">
        <f>(VLOOKUP(Tabla4[[#This Row],[SERVICIO 2025]],$J$2:$V$14,3,0)*Tabla4[[#This Row],[TOTAL COBERTURA]])</f>
        <v>1076040</v>
      </c>
      <c r="AV242" s="35">
        <f>(VLOOKUP(Tabla4[[#This Row],[SERVICIO 2025]],$J$2:$V$14,3,0)*Tabla4[[#This Row],[TOTAL COBERTURA]])</f>
        <v>1076040</v>
      </c>
      <c r="AW242" s="35">
        <f>(VLOOKUP(Tabla4[[#This Row],[SERVICIO 2025]],$J$2:$V$14,3,0)*Tabla4[[#This Row],[TOTAL COBERTURA]])</f>
        <v>1076040</v>
      </c>
      <c r="AX242" s="35">
        <f>(VLOOKUP(Tabla4[[#This Row],[SERVICIO 2025]],$J$2:$V$14,3,0)*Tabla4[[#This Row],[TOTAL COBERTURA]])</f>
        <v>1076040</v>
      </c>
      <c r="AY242" s="35">
        <f>(VLOOKUP(Tabla4[[#This Row],[SERVICIO 2025]],$J$2:$V$14,3,0)*Tabla4[[#This Row],[TOTAL COBERTURA]])</f>
        <v>1076040</v>
      </c>
      <c r="AZ242" s="35">
        <f>(VLOOKUP(Tabla4[[#This Row],[SERVICIO 2025]],$J$2:$V$14,3,0)*Tabla4[[#This Row],[TOTAL COBERTURA]])</f>
        <v>1076040</v>
      </c>
      <c r="BA242" s="35">
        <f>(VLOOKUP(Tabla4[[#This Row],[SERVICIO 2025]],$J$2:$V$14,3,0)*Tabla4[[#This Row],[TOTAL COBERTURA]])+Tabla4[[#This Row],[VALOR FASE PREPARATORIA DE CIERRE]]</f>
        <v>1303086</v>
      </c>
      <c r="BB242" s="35">
        <f>SUM(Tabla4[[#This Row],[DESEMBOLSO 1]:[DESEMBOLSO 8]])</f>
        <v>9115830</v>
      </c>
      <c r="BC242" s="35">
        <f>VLOOKUP(Tabla4[[#This Row],[SERVICIO 2025]],$J$2:$V$14,10,0)*Tabla4[[#This Row],[TOTAL COBERTURA]]*$W$3</f>
        <v>9039408</v>
      </c>
      <c r="BD242" s="47" t="s">
        <v>211</v>
      </c>
      <c r="BE242" s="12" t="b">
        <f>EXACT(Tabla4[[#This Row],[VALOR ATENCIÓN (8 MESES)]],Tabla4[[#This Row],[VALOR TOTAL]])</f>
        <v>1</v>
      </c>
      <c r="BF242" s="23">
        <f>Tabla4[[#This Row],[VALOR ATENCIÓN (8 MESES)]]-Tabla4[[#This Row],[VALOR TOTAL]]</f>
        <v>0</v>
      </c>
      <c r="BG242" s="12" t="b">
        <f>EXACT(Tabla4[[#This Row],[TOTAL DESEMBOLSOS]],Tabla4[[#This Row],[VALOR ATENCIÓN (8 MESES)]])</f>
        <v>1</v>
      </c>
      <c r="BH242" s="29">
        <f>Tabla4[[#This Row],[TOTAL DESEMBOLSOS]]-Tabla4[[#This Row],[VALOR ATENCIÓN (8 MESES)]]</f>
        <v>0</v>
      </c>
      <c r="BI242" t="s">
        <v>98</v>
      </c>
      <c r="BJ242">
        <v>1905</v>
      </c>
    </row>
    <row r="243" spans="1:62">
      <c r="A243" s="13">
        <v>1905</v>
      </c>
      <c r="B243" s="13" t="s">
        <v>578</v>
      </c>
      <c r="C243" s="12" t="s">
        <v>87</v>
      </c>
      <c r="D243" s="12" t="s">
        <v>579</v>
      </c>
      <c r="E243" s="12" t="s">
        <v>594</v>
      </c>
      <c r="F243" s="12" t="s">
        <v>21</v>
      </c>
      <c r="G243" s="12" t="s">
        <v>90</v>
      </c>
      <c r="H243" s="12" t="s">
        <v>617</v>
      </c>
      <c r="I243" s="12">
        <v>51381136714</v>
      </c>
      <c r="J243" s="12" t="s">
        <v>618</v>
      </c>
      <c r="K243" s="12">
        <v>1</v>
      </c>
      <c r="L243" s="12">
        <v>13</v>
      </c>
      <c r="M243" s="12"/>
      <c r="N243" s="13">
        <v>1905</v>
      </c>
      <c r="O243" s="12" t="s">
        <v>93</v>
      </c>
      <c r="P243" s="12"/>
      <c r="Q243" s="12"/>
      <c r="R243" s="12" t="s">
        <v>94</v>
      </c>
      <c r="S243" s="12">
        <v>10</v>
      </c>
      <c r="T243" s="12" t="s">
        <v>583</v>
      </c>
      <c r="U243" s="12" t="s">
        <v>584</v>
      </c>
      <c r="V243" s="12">
        <f>VLOOKUP(Tabla4[[#This Row],[ZONA DEFINITIVO]],Hoja1!$A$1:$D$121,3,0)</f>
        <v>229071</v>
      </c>
      <c r="W243" s="12">
        <f>VLOOKUP(Tabla4[[#This Row],[ZONA DEFINITIVO]],Hoja1!$A$1:$D$121,2,0)</f>
        <v>15180</v>
      </c>
      <c r="X243" s="12">
        <f>VLOOKUP(Tabla4[[#This Row],[ZONA DEFINITIVO]],Hoja1!$A$1:$D$121,4,0)</f>
        <v>82125</v>
      </c>
      <c r="Y243" s="12" t="str">
        <f>+IF(Tabla4[[#This Row],[AGRUPACIONES]]=1,SUMIFS(Tabla4[UDS],Tabla4[ZONA DEFINITIVO],Tabla4[[#This Row],[ZONA DEFINITIVO]])," ")</f>
        <v xml:space="preserve"> </v>
      </c>
      <c r="Z243" s="12" t="str">
        <f>+IF(Tabla4[[#This Row],[AGRUPACIONES]]=1,SUMIFS(Tabla4[TOTAL COBERTURA],Tabla4[ZONA DEFINITIVO],Tabla4[[#This Row],[ZONA DEFINITIVO]])," ")</f>
        <v xml:space="preserve"> </v>
      </c>
      <c r="AA243" s="12"/>
      <c r="AB243" s="38">
        <v>19750965</v>
      </c>
      <c r="AC243" s="37">
        <v>0.02</v>
      </c>
      <c r="AD243" s="38">
        <f t="shared" si="4"/>
        <v>395019.3</v>
      </c>
      <c r="AE243" s="12"/>
      <c r="AF243" s="12">
        <f>COUNTIF($A$20:A243,A243)</f>
        <v>19</v>
      </c>
      <c r="AG243" s="38">
        <v>19750965</v>
      </c>
      <c r="AH243" s="38">
        <f>Tabla4[[#This Row],[VALOR CONTRAPARTIDA]]+Tabla4[[#This Row],[TOTAL APORTES ICBF]]</f>
        <v>20145984.300000001</v>
      </c>
      <c r="AI243" s="35"/>
      <c r="AJ243" s="38"/>
      <c r="AK243" s="38"/>
      <c r="AL243" s="23"/>
      <c r="AM243" s="35">
        <f>VLOOKUP(Tabla4[[#This Row],[SERVICIO 2025]],$J$2:$V$14,5,0)*Tabla4[[#This Row],[TOTAL COBERTURA]]</f>
        <v>607672</v>
      </c>
      <c r="AN243" s="35">
        <f>VLOOKUP(Tabla4[[#This Row],[SERVICIO 2025]],$J$2:$V$14,6,0)*Tabla4[[#This Row],[TOTAL COBERTURA]]</f>
        <v>491933</v>
      </c>
      <c r="AO243" s="35">
        <f>VLOOKUP(Tabla4[[#This Row],[SERVICIO 2025]],$J$2:$V$14,8,0)*Tabla4[[#This Row],[TOTAL COBERTURA]]</f>
        <v>0</v>
      </c>
      <c r="AP243" s="35">
        <f>VLOOKUP(Tabla4[[#This Row],[SERVICIO 2025]],$J$2:$V$14,3,0)*Tabla4[[#This Row],[TOTAL COBERTURA]]*8</f>
        <v>18651360</v>
      </c>
      <c r="AQ243" s="35"/>
      <c r="AR243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243" s="35" t="str">
        <f>+IF(Tabla4[[#This Row],[AGRUPACIONES]]=1,SUMIFS(Tabla4[VALOR TOTAL],Tabla4[ZONA DEFINITIVO],Tabla4[[#This Row],[ZONA DEFINITIVO]])," ")</f>
        <v xml:space="preserve"> </v>
      </c>
      <c r="AT243" s="27">
        <f>(VLOOKUP(Tabla4[[#This Row],[SERVICIO 2025]],$J$2:$V$14,3,0)*Tabla4[[#This Row],[TOTAL COBERTURA]])+Tabla4[[#This Row],[VALOR FASE PREPARATORIA DE ALISTAMIENTO]]+Tabla4[[#This Row],[DOTACIÓN ÚNICA]]</f>
        <v>2939092</v>
      </c>
      <c r="AU243" s="35">
        <f>(VLOOKUP(Tabla4[[#This Row],[SERVICIO 2025]],$J$2:$V$14,3,0)*Tabla4[[#This Row],[TOTAL COBERTURA]])</f>
        <v>2331420</v>
      </c>
      <c r="AV243" s="35">
        <f>(VLOOKUP(Tabla4[[#This Row],[SERVICIO 2025]],$J$2:$V$14,3,0)*Tabla4[[#This Row],[TOTAL COBERTURA]])</f>
        <v>2331420</v>
      </c>
      <c r="AW243" s="35">
        <f>(VLOOKUP(Tabla4[[#This Row],[SERVICIO 2025]],$J$2:$V$14,3,0)*Tabla4[[#This Row],[TOTAL COBERTURA]])</f>
        <v>2331420</v>
      </c>
      <c r="AX243" s="35">
        <f>(VLOOKUP(Tabla4[[#This Row],[SERVICIO 2025]],$J$2:$V$14,3,0)*Tabla4[[#This Row],[TOTAL COBERTURA]])</f>
        <v>2331420</v>
      </c>
      <c r="AY243" s="35">
        <f>(VLOOKUP(Tabla4[[#This Row],[SERVICIO 2025]],$J$2:$V$14,3,0)*Tabla4[[#This Row],[TOTAL COBERTURA]])</f>
        <v>2331420</v>
      </c>
      <c r="AZ243" s="35">
        <f>(VLOOKUP(Tabla4[[#This Row],[SERVICIO 2025]],$J$2:$V$14,3,0)*Tabla4[[#This Row],[TOTAL COBERTURA]])</f>
        <v>2331420</v>
      </c>
      <c r="BA243" s="35">
        <f>(VLOOKUP(Tabla4[[#This Row],[SERVICIO 2025]],$J$2:$V$14,3,0)*Tabla4[[#This Row],[TOTAL COBERTURA]])+Tabla4[[#This Row],[VALOR FASE PREPARATORIA DE CIERRE]]</f>
        <v>2823353</v>
      </c>
      <c r="BB243" s="35">
        <f>SUM(Tabla4[[#This Row],[DESEMBOLSO 1]:[DESEMBOLSO 8]])</f>
        <v>19750965</v>
      </c>
      <c r="BC243" s="35">
        <f>VLOOKUP(Tabla4[[#This Row],[SERVICIO 2025]],$J$2:$V$14,10,0)*Tabla4[[#This Row],[TOTAL COBERTURA]]*$W$3</f>
        <v>19585384</v>
      </c>
      <c r="BD243" s="47" t="s">
        <v>211</v>
      </c>
      <c r="BE243" s="12" t="b">
        <f>EXACT(Tabla4[[#This Row],[VALOR ATENCIÓN (8 MESES)]],Tabla4[[#This Row],[VALOR TOTAL]])</f>
        <v>1</v>
      </c>
      <c r="BF243" s="23">
        <f>Tabla4[[#This Row],[VALOR ATENCIÓN (8 MESES)]]-Tabla4[[#This Row],[VALOR TOTAL]]</f>
        <v>0</v>
      </c>
      <c r="BG243" s="12" t="b">
        <f>EXACT(Tabla4[[#This Row],[TOTAL DESEMBOLSOS]],Tabla4[[#This Row],[VALOR ATENCIÓN (8 MESES)]])</f>
        <v>1</v>
      </c>
      <c r="BH243" s="29">
        <f>Tabla4[[#This Row],[TOTAL DESEMBOLSOS]]-Tabla4[[#This Row],[VALOR ATENCIÓN (8 MESES)]]</f>
        <v>0</v>
      </c>
      <c r="BI243" t="s">
        <v>98</v>
      </c>
      <c r="BJ243">
        <v>1905</v>
      </c>
    </row>
    <row r="244" spans="1:62">
      <c r="A244" s="13">
        <v>1905</v>
      </c>
      <c r="B244" s="13" t="s">
        <v>578</v>
      </c>
      <c r="C244" s="12" t="s">
        <v>87</v>
      </c>
      <c r="D244" s="12" t="s">
        <v>579</v>
      </c>
      <c r="E244" s="12" t="s">
        <v>594</v>
      </c>
      <c r="F244" s="12" t="s">
        <v>21</v>
      </c>
      <c r="G244" s="12" t="s">
        <v>90</v>
      </c>
      <c r="H244" s="12" t="s">
        <v>619</v>
      </c>
      <c r="I244" s="12">
        <v>51381136715</v>
      </c>
      <c r="J244" s="12" t="s">
        <v>620</v>
      </c>
      <c r="K244" s="12">
        <v>1</v>
      </c>
      <c r="L244" s="12">
        <v>22</v>
      </c>
      <c r="M244" s="12"/>
      <c r="N244" s="13">
        <v>1905</v>
      </c>
      <c r="O244" s="12" t="s">
        <v>93</v>
      </c>
      <c r="P244" s="12"/>
      <c r="Q244" s="12"/>
      <c r="R244" s="12" t="s">
        <v>94</v>
      </c>
      <c r="S244" s="12">
        <v>10</v>
      </c>
      <c r="T244" s="12" t="s">
        <v>583</v>
      </c>
      <c r="U244" s="12" t="s">
        <v>584</v>
      </c>
      <c r="V244" s="12">
        <f>VLOOKUP(Tabla4[[#This Row],[ZONA DEFINITIVO]],Hoja1!$A$1:$D$121,3,0)</f>
        <v>229071</v>
      </c>
      <c r="W244" s="12">
        <f>VLOOKUP(Tabla4[[#This Row],[ZONA DEFINITIVO]],Hoja1!$A$1:$D$121,2,0)</f>
        <v>15180</v>
      </c>
      <c r="X244" s="12">
        <f>VLOOKUP(Tabla4[[#This Row],[ZONA DEFINITIVO]],Hoja1!$A$1:$D$121,4,0)</f>
        <v>82125</v>
      </c>
      <c r="Y244" s="12" t="str">
        <f>+IF(Tabla4[[#This Row],[AGRUPACIONES]]=1,SUMIFS(Tabla4[UDS],Tabla4[ZONA DEFINITIVO],Tabla4[[#This Row],[ZONA DEFINITIVO]])," ")</f>
        <v xml:space="preserve"> </v>
      </c>
      <c r="Z244" s="12" t="str">
        <f>+IF(Tabla4[[#This Row],[AGRUPACIONES]]=1,SUMIFS(Tabla4[TOTAL COBERTURA],Tabla4[ZONA DEFINITIVO],Tabla4[[#This Row],[ZONA DEFINITIVO]])," ")</f>
        <v xml:space="preserve"> </v>
      </c>
      <c r="AA244" s="12"/>
      <c r="AB244" s="38">
        <v>33424710</v>
      </c>
      <c r="AC244" s="37">
        <v>0.02</v>
      </c>
      <c r="AD244" s="38">
        <f t="shared" si="4"/>
        <v>668494.20000000007</v>
      </c>
      <c r="AE244" s="12"/>
      <c r="AF244" s="12">
        <f>COUNTIF($A$20:A244,A244)</f>
        <v>20</v>
      </c>
      <c r="AG244" s="38">
        <v>33424710</v>
      </c>
      <c r="AH244" s="38">
        <f>Tabla4[[#This Row],[VALOR CONTRAPARTIDA]]+Tabla4[[#This Row],[TOTAL APORTES ICBF]]</f>
        <v>34093204.200000003</v>
      </c>
      <c r="AI244" s="35"/>
      <c r="AJ244" s="38"/>
      <c r="AK244" s="38"/>
      <c r="AL244" s="23"/>
      <c r="AM244" s="35">
        <f>VLOOKUP(Tabla4[[#This Row],[SERVICIO 2025]],$J$2:$V$14,5,0)*Tabla4[[#This Row],[TOTAL COBERTURA]]</f>
        <v>1028368</v>
      </c>
      <c r="AN244" s="35">
        <f>VLOOKUP(Tabla4[[#This Row],[SERVICIO 2025]],$J$2:$V$14,6,0)*Tabla4[[#This Row],[TOTAL COBERTURA]]</f>
        <v>832502</v>
      </c>
      <c r="AO244" s="35">
        <f>VLOOKUP(Tabla4[[#This Row],[SERVICIO 2025]],$J$2:$V$14,8,0)*Tabla4[[#This Row],[TOTAL COBERTURA]]</f>
        <v>0</v>
      </c>
      <c r="AP244" s="35">
        <f>VLOOKUP(Tabla4[[#This Row],[SERVICIO 2025]],$J$2:$V$14,3,0)*Tabla4[[#This Row],[TOTAL COBERTURA]]*8</f>
        <v>31563840</v>
      </c>
      <c r="AQ244" s="35"/>
      <c r="AR244" s="35">
        <f>Tabla4[[#This Row],[VALOR FASE PREPARATORIA DE ALISTAMIENTO]]+Tabla4[[#This Row],[VALOR FASE PREPARATORIA DE CIERRE]]+Tabla4[[#This Row],[DOTACIÓN ÚNICA]]+Tabla4[[#This Row],[VALOR ATENCIÓN]]+Tabla4[[#This Row],[VALOR RACION PREPARADA]]</f>
        <v>33424710</v>
      </c>
      <c r="AS244" s="35" t="str">
        <f>+IF(Tabla4[[#This Row],[AGRUPACIONES]]=1,SUMIFS(Tabla4[VALOR TOTAL],Tabla4[ZONA DEFINITIVO],Tabla4[[#This Row],[ZONA DEFINITIVO]])," ")</f>
        <v xml:space="preserve"> </v>
      </c>
      <c r="AT244" s="27">
        <f>(VLOOKUP(Tabla4[[#This Row],[SERVICIO 2025]],$J$2:$V$14,3,0)*Tabla4[[#This Row],[TOTAL COBERTURA]])+Tabla4[[#This Row],[VALOR FASE PREPARATORIA DE ALISTAMIENTO]]+Tabla4[[#This Row],[DOTACIÓN ÚNICA]]</f>
        <v>4973848</v>
      </c>
      <c r="AU244" s="35">
        <f>(VLOOKUP(Tabla4[[#This Row],[SERVICIO 2025]],$J$2:$V$14,3,0)*Tabla4[[#This Row],[TOTAL COBERTURA]])</f>
        <v>3945480</v>
      </c>
      <c r="AV244" s="35">
        <f>(VLOOKUP(Tabla4[[#This Row],[SERVICIO 2025]],$J$2:$V$14,3,0)*Tabla4[[#This Row],[TOTAL COBERTURA]])</f>
        <v>3945480</v>
      </c>
      <c r="AW244" s="35">
        <f>(VLOOKUP(Tabla4[[#This Row],[SERVICIO 2025]],$J$2:$V$14,3,0)*Tabla4[[#This Row],[TOTAL COBERTURA]])</f>
        <v>3945480</v>
      </c>
      <c r="AX244" s="35">
        <f>(VLOOKUP(Tabla4[[#This Row],[SERVICIO 2025]],$J$2:$V$14,3,0)*Tabla4[[#This Row],[TOTAL COBERTURA]])</f>
        <v>3945480</v>
      </c>
      <c r="AY244" s="35">
        <f>(VLOOKUP(Tabla4[[#This Row],[SERVICIO 2025]],$J$2:$V$14,3,0)*Tabla4[[#This Row],[TOTAL COBERTURA]])</f>
        <v>3945480</v>
      </c>
      <c r="AZ244" s="35">
        <f>(VLOOKUP(Tabla4[[#This Row],[SERVICIO 2025]],$J$2:$V$14,3,0)*Tabla4[[#This Row],[TOTAL COBERTURA]])</f>
        <v>3945480</v>
      </c>
      <c r="BA244" s="35">
        <f>(VLOOKUP(Tabla4[[#This Row],[SERVICIO 2025]],$J$2:$V$14,3,0)*Tabla4[[#This Row],[TOTAL COBERTURA]])+Tabla4[[#This Row],[VALOR FASE PREPARATORIA DE CIERRE]]</f>
        <v>4777982</v>
      </c>
      <c r="BB244" s="35">
        <f>SUM(Tabla4[[#This Row],[DESEMBOLSO 1]:[DESEMBOLSO 8]])</f>
        <v>33424710</v>
      </c>
      <c r="BC244" s="35">
        <f>VLOOKUP(Tabla4[[#This Row],[SERVICIO 2025]],$J$2:$V$14,10,0)*Tabla4[[#This Row],[TOTAL COBERTURA]]*$W$3</f>
        <v>33144496</v>
      </c>
      <c r="BD244" s="47" t="s">
        <v>211</v>
      </c>
      <c r="BE244" s="12" t="b">
        <f>EXACT(Tabla4[[#This Row],[VALOR ATENCIÓN (8 MESES)]],Tabla4[[#This Row],[VALOR TOTAL]])</f>
        <v>1</v>
      </c>
      <c r="BF244" s="23">
        <f>Tabla4[[#This Row],[VALOR ATENCIÓN (8 MESES)]]-Tabla4[[#This Row],[VALOR TOTAL]]</f>
        <v>0</v>
      </c>
      <c r="BG244" s="12" t="b">
        <f>EXACT(Tabla4[[#This Row],[TOTAL DESEMBOLSOS]],Tabla4[[#This Row],[VALOR ATENCIÓN (8 MESES)]])</f>
        <v>1</v>
      </c>
      <c r="BH244" s="29">
        <f>Tabla4[[#This Row],[TOTAL DESEMBOLSOS]]-Tabla4[[#This Row],[VALOR ATENCIÓN (8 MESES)]]</f>
        <v>0</v>
      </c>
      <c r="BI244" t="s">
        <v>98</v>
      </c>
      <c r="BJ244">
        <v>1905</v>
      </c>
    </row>
    <row r="245" spans="1:62">
      <c r="A245" s="13">
        <v>1905</v>
      </c>
      <c r="B245" s="13" t="s">
        <v>578</v>
      </c>
      <c r="C245" s="12" t="s">
        <v>87</v>
      </c>
      <c r="D245" s="12" t="s">
        <v>579</v>
      </c>
      <c r="E245" s="12" t="s">
        <v>594</v>
      </c>
      <c r="F245" s="12" t="s">
        <v>21</v>
      </c>
      <c r="G245" s="12" t="s">
        <v>90</v>
      </c>
      <c r="H245" s="12" t="s">
        <v>621</v>
      </c>
      <c r="I245" s="12">
        <v>51381136718</v>
      </c>
      <c r="J245" s="12" t="s">
        <v>622</v>
      </c>
      <c r="K245" s="12">
        <v>1</v>
      </c>
      <c r="L245" s="12">
        <v>20</v>
      </c>
      <c r="M245" s="12"/>
      <c r="N245" s="13">
        <v>1905</v>
      </c>
      <c r="O245" s="12" t="s">
        <v>93</v>
      </c>
      <c r="P245" s="12"/>
      <c r="Q245" s="12"/>
      <c r="R245" s="12" t="s">
        <v>94</v>
      </c>
      <c r="S245" s="12">
        <v>10</v>
      </c>
      <c r="T245" s="12" t="s">
        <v>583</v>
      </c>
      <c r="U245" s="12" t="s">
        <v>584</v>
      </c>
      <c r="V245" s="12">
        <f>VLOOKUP(Tabla4[[#This Row],[ZONA DEFINITIVO]],Hoja1!$A$1:$D$121,3,0)</f>
        <v>229071</v>
      </c>
      <c r="W245" s="12">
        <f>VLOOKUP(Tabla4[[#This Row],[ZONA DEFINITIVO]],Hoja1!$A$1:$D$121,2,0)</f>
        <v>15180</v>
      </c>
      <c r="X245" s="12">
        <f>VLOOKUP(Tabla4[[#This Row],[ZONA DEFINITIVO]],Hoja1!$A$1:$D$121,4,0)</f>
        <v>82125</v>
      </c>
      <c r="Y245" s="12" t="str">
        <f>+IF(Tabla4[[#This Row],[AGRUPACIONES]]=1,SUMIFS(Tabla4[UDS],Tabla4[ZONA DEFINITIVO],Tabla4[[#This Row],[ZONA DEFINITIVO]])," ")</f>
        <v xml:space="preserve"> </v>
      </c>
      <c r="Z245" s="12" t="str">
        <f>+IF(Tabla4[[#This Row],[AGRUPACIONES]]=1,SUMIFS(Tabla4[TOTAL COBERTURA],Tabla4[ZONA DEFINITIVO],Tabla4[[#This Row],[ZONA DEFINITIVO]])," ")</f>
        <v xml:space="preserve"> </v>
      </c>
      <c r="AA245" s="12"/>
      <c r="AB245" s="38">
        <v>30386100</v>
      </c>
      <c r="AC245" s="37">
        <v>0.02</v>
      </c>
      <c r="AD245" s="38">
        <f t="shared" si="4"/>
        <v>607722</v>
      </c>
      <c r="AE245" s="12"/>
      <c r="AF245" s="12">
        <f>COUNTIF($A$20:A245,A245)</f>
        <v>21</v>
      </c>
      <c r="AG245" s="38">
        <v>30386100</v>
      </c>
      <c r="AH245" s="38">
        <f>Tabla4[[#This Row],[VALOR CONTRAPARTIDA]]+Tabla4[[#This Row],[TOTAL APORTES ICBF]]</f>
        <v>30993822</v>
      </c>
      <c r="AI245" s="35"/>
      <c r="AJ245" s="38"/>
      <c r="AK245" s="38"/>
      <c r="AL245" s="23"/>
      <c r="AM245" s="35">
        <f>VLOOKUP(Tabla4[[#This Row],[SERVICIO 2025]],$J$2:$V$14,5,0)*Tabla4[[#This Row],[TOTAL COBERTURA]]</f>
        <v>934880</v>
      </c>
      <c r="AN245" s="35">
        <f>VLOOKUP(Tabla4[[#This Row],[SERVICIO 2025]],$J$2:$V$14,6,0)*Tabla4[[#This Row],[TOTAL COBERTURA]]</f>
        <v>756820</v>
      </c>
      <c r="AO245" s="35">
        <f>VLOOKUP(Tabla4[[#This Row],[SERVICIO 2025]],$J$2:$V$14,8,0)*Tabla4[[#This Row],[TOTAL COBERTURA]]</f>
        <v>0</v>
      </c>
      <c r="AP245" s="35">
        <f>VLOOKUP(Tabla4[[#This Row],[SERVICIO 2025]],$J$2:$V$14,3,0)*Tabla4[[#This Row],[TOTAL COBERTURA]]*8</f>
        <v>28694400</v>
      </c>
      <c r="AQ245" s="35"/>
      <c r="AR245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245" s="35" t="str">
        <f>+IF(Tabla4[[#This Row],[AGRUPACIONES]]=1,SUMIFS(Tabla4[VALOR TOTAL],Tabla4[ZONA DEFINITIVO],Tabla4[[#This Row],[ZONA DEFINITIVO]])," ")</f>
        <v xml:space="preserve"> </v>
      </c>
      <c r="AT245" s="27">
        <f>(VLOOKUP(Tabla4[[#This Row],[SERVICIO 2025]],$J$2:$V$14,3,0)*Tabla4[[#This Row],[TOTAL COBERTURA]])+Tabla4[[#This Row],[VALOR FASE PREPARATORIA DE ALISTAMIENTO]]+Tabla4[[#This Row],[DOTACIÓN ÚNICA]]</f>
        <v>4521680</v>
      </c>
      <c r="AU245" s="35">
        <f>(VLOOKUP(Tabla4[[#This Row],[SERVICIO 2025]],$J$2:$V$14,3,0)*Tabla4[[#This Row],[TOTAL COBERTURA]])</f>
        <v>3586800</v>
      </c>
      <c r="AV245" s="35">
        <f>(VLOOKUP(Tabla4[[#This Row],[SERVICIO 2025]],$J$2:$V$14,3,0)*Tabla4[[#This Row],[TOTAL COBERTURA]])</f>
        <v>3586800</v>
      </c>
      <c r="AW245" s="35">
        <f>(VLOOKUP(Tabla4[[#This Row],[SERVICIO 2025]],$J$2:$V$14,3,0)*Tabla4[[#This Row],[TOTAL COBERTURA]])</f>
        <v>3586800</v>
      </c>
      <c r="AX245" s="35">
        <f>(VLOOKUP(Tabla4[[#This Row],[SERVICIO 2025]],$J$2:$V$14,3,0)*Tabla4[[#This Row],[TOTAL COBERTURA]])</f>
        <v>3586800</v>
      </c>
      <c r="AY245" s="35">
        <f>(VLOOKUP(Tabla4[[#This Row],[SERVICIO 2025]],$J$2:$V$14,3,0)*Tabla4[[#This Row],[TOTAL COBERTURA]])</f>
        <v>3586800</v>
      </c>
      <c r="AZ245" s="35">
        <f>(VLOOKUP(Tabla4[[#This Row],[SERVICIO 2025]],$J$2:$V$14,3,0)*Tabla4[[#This Row],[TOTAL COBERTURA]])</f>
        <v>3586800</v>
      </c>
      <c r="BA245" s="35">
        <f>(VLOOKUP(Tabla4[[#This Row],[SERVICIO 2025]],$J$2:$V$14,3,0)*Tabla4[[#This Row],[TOTAL COBERTURA]])+Tabla4[[#This Row],[VALOR FASE PREPARATORIA DE CIERRE]]</f>
        <v>4343620</v>
      </c>
      <c r="BB245" s="35">
        <f>SUM(Tabla4[[#This Row],[DESEMBOLSO 1]:[DESEMBOLSO 8]])</f>
        <v>30386100</v>
      </c>
      <c r="BC245" s="35">
        <f>VLOOKUP(Tabla4[[#This Row],[SERVICIO 2025]],$J$2:$V$14,10,0)*Tabla4[[#This Row],[TOTAL COBERTURA]]*$W$3</f>
        <v>30131360</v>
      </c>
      <c r="BD245" s="47" t="s">
        <v>211</v>
      </c>
      <c r="BE245" s="12" t="b">
        <f>EXACT(Tabla4[[#This Row],[VALOR ATENCIÓN (8 MESES)]],Tabla4[[#This Row],[VALOR TOTAL]])</f>
        <v>1</v>
      </c>
      <c r="BF245" s="23">
        <f>Tabla4[[#This Row],[VALOR ATENCIÓN (8 MESES)]]-Tabla4[[#This Row],[VALOR TOTAL]]</f>
        <v>0</v>
      </c>
      <c r="BG245" s="12" t="b">
        <f>EXACT(Tabla4[[#This Row],[TOTAL DESEMBOLSOS]],Tabla4[[#This Row],[VALOR ATENCIÓN (8 MESES)]])</f>
        <v>1</v>
      </c>
      <c r="BH245" s="29">
        <f>Tabla4[[#This Row],[TOTAL DESEMBOLSOS]]-Tabla4[[#This Row],[VALOR ATENCIÓN (8 MESES)]]</f>
        <v>0</v>
      </c>
      <c r="BI245" t="s">
        <v>98</v>
      </c>
      <c r="BJ245">
        <v>1905</v>
      </c>
    </row>
    <row r="246" spans="1:62">
      <c r="A246" s="13">
        <v>1905</v>
      </c>
      <c r="B246" s="13" t="s">
        <v>578</v>
      </c>
      <c r="C246" s="12" t="s">
        <v>87</v>
      </c>
      <c r="D246" s="12" t="s">
        <v>579</v>
      </c>
      <c r="E246" s="12" t="s">
        <v>594</v>
      </c>
      <c r="F246" s="12" t="s">
        <v>21</v>
      </c>
      <c r="G246" s="12" t="s">
        <v>90</v>
      </c>
      <c r="H246" s="12" t="s">
        <v>623</v>
      </c>
      <c r="I246" s="12">
        <v>51381136721</v>
      </c>
      <c r="J246" s="12" t="s">
        <v>624</v>
      </c>
      <c r="K246" s="12">
        <v>1</v>
      </c>
      <c r="L246" s="12">
        <v>12</v>
      </c>
      <c r="M246" s="12"/>
      <c r="N246" s="13">
        <v>1905</v>
      </c>
      <c r="O246" s="12" t="s">
        <v>93</v>
      </c>
      <c r="P246" s="12"/>
      <c r="Q246" s="12"/>
      <c r="R246" s="12" t="s">
        <v>94</v>
      </c>
      <c r="S246" s="12">
        <v>10</v>
      </c>
      <c r="T246" s="12" t="s">
        <v>583</v>
      </c>
      <c r="U246" s="12" t="s">
        <v>584</v>
      </c>
      <c r="V246" s="12">
        <f>VLOOKUP(Tabla4[[#This Row],[ZONA DEFINITIVO]],Hoja1!$A$1:$D$121,3,0)</f>
        <v>229071</v>
      </c>
      <c r="W246" s="12">
        <f>VLOOKUP(Tabla4[[#This Row],[ZONA DEFINITIVO]],Hoja1!$A$1:$D$121,2,0)</f>
        <v>15180</v>
      </c>
      <c r="X246" s="12">
        <f>VLOOKUP(Tabla4[[#This Row],[ZONA DEFINITIVO]],Hoja1!$A$1:$D$121,4,0)</f>
        <v>82125</v>
      </c>
      <c r="Y246" s="12" t="str">
        <f>+IF(Tabla4[[#This Row],[AGRUPACIONES]]=1,SUMIFS(Tabla4[UDS],Tabla4[ZONA DEFINITIVO],Tabla4[[#This Row],[ZONA DEFINITIVO]])," ")</f>
        <v xml:space="preserve"> </v>
      </c>
      <c r="Z246" s="12" t="str">
        <f>+IF(Tabla4[[#This Row],[AGRUPACIONES]]=1,SUMIFS(Tabla4[TOTAL COBERTURA],Tabla4[ZONA DEFINITIVO],Tabla4[[#This Row],[ZONA DEFINITIVO]])," ")</f>
        <v xml:space="preserve"> </v>
      </c>
      <c r="AA246" s="12"/>
      <c r="AB246" s="38">
        <v>18231660</v>
      </c>
      <c r="AC246" s="37">
        <v>0.02</v>
      </c>
      <c r="AD246" s="38">
        <f t="shared" si="4"/>
        <v>364633.2</v>
      </c>
      <c r="AE246" s="12"/>
      <c r="AF246" s="12">
        <f>COUNTIF($A$20:A246,A246)</f>
        <v>22</v>
      </c>
      <c r="AG246" s="38">
        <v>18231660</v>
      </c>
      <c r="AH246" s="38">
        <f>Tabla4[[#This Row],[VALOR CONTRAPARTIDA]]+Tabla4[[#This Row],[TOTAL APORTES ICBF]]</f>
        <v>18596293.199999999</v>
      </c>
      <c r="AI246" s="35"/>
      <c r="AJ246" s="38"/>
      <c r="AK246" s="38"/>
      <c r="AL246" s="23"/>
      <c r="AM246" s="35">
        <f>VLOOKUP(Tabla4[[#This Row],[SERVICIO 2025]],$J$2:$V$14,5,0)*Tabla4[[#This Row],[TOTAL COBERTURA]]</f>
        <v>560928</v>
      </c>
      <c r="AN246" s="35">
        <f>VLOOKUP(Tabla4[[#This Row],[SERVICIO 2025]],$J$2:$V$14,6,0)*Tabla4[[#This Row],[TOTAL COBERTURA]]</f>
        <v>454092</v>
      </c>
      <c r="AO246" s="35">
        <f>VLOOKUP(Tabla4[[#This Row],[SERVICIO 2025]],$J$2:$V$14,8,0)*Tabla4[[#This Row],[TOTAL COBERTURA]]</f>
        <v>0</v>
      </c>
      <c r="AP246" s="35">
        <f>VLOOKUP(Tabla4[[#This Row],[SERVICIO 2025]],$J$2:$V$14,3,0)*Tabla4[[#This Row],[TOTAL COBERTURA]]*8</f>
        <v>17216640</v>
      </c>
      <c r="AQ246" s="35"/>
      <c r="AR246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246" s="35" t="str">
        <f>+IF(Tabla4[[#This Row],[AGRUPACIONES]]=1,SUMIFS(Tabla4[VALOR TOTAL],Tabla4[ZONA DEFINITIVO],Tabla4[[#This Row],[ZONA DEFINITIVO]])," ")</f>
        <v xml:space="preserve"> </v>
      </c>
      <c r="AT246" s="27">
        <f>(VLOOKUP(Tabla4[[#This Row],[SERVICIO 2025]],$J$2:$V$14,3,0)*Tabla4[[#This Row],[TOTAL COBERTURA]])+Tabla4[[#This Row],[VALOR FASE PREPARATORIA DE ALISTAMIENTO]]+Tabla4[[#This Row],[DOTACIÓN ÚNICA]]</f>
        <v>2713008</v>
      </c>
      <c r="AU246" s="35">
        <f>(VLOOKUP(Tabla4[[#This Row],[SERVICIO 2025]],$J$2:$V$14,3,0)*Tabla4[[#This Row],[TOTAL COBERTURA]])</f>
        <v>2152080</v>
      </c>
      <c r="AV246" s="35">
        <f>(VLOOKUP(Tabla4[[#This Row],[SERVICIO 2025]],$J$2:$V$14,3,0)*Tabla4[[#This Row],[TOTAL COBERTURA]])</f>
        <v>2152080</v>
      </c>
      <c r="AW246" s="35">
        <f>(VLOOKUP(Tabla4[[#This Row],[SERVICIO 2025]],$J$2:$V$14,3,0)*Tabla4[[#This Row],[TOTAL COBERTURA]])</f>
        <v>2152080</v>
      </c>
      <c r="AX246" s="35">
        <f>(VLOOKUP(Tabla4[[#This Row],[SERVICIO 2025]],$J$2:$V$14,3,0)*Tabla4[[#This Row],[TOTAL COBERTURA]])</f>
        <v>2152080</v>
      </c>
      <c r="AY246" s="35">
        <f>(VLOOKUP(Tabla4[[#This Row],[SERVICIO 2025]],$J$2:$V$14,3,0)*Tabla4[[#This Row],[TOTAL COBERTURA]])</f>
        <v>2152080</v>
      </c>
      <c r="AZ246" s="35">
        <f>(VLOOKUP(Tabla4[[#This Row],[SERVICIO 2025]],$J$2:$V$14,3,0)*Tabla4[[#This Row],[TOTAL COBERTURA]])</f>
        <v>2152080</v>
      </c>
      <c r="BA246" s="35">
        <f>(VLOOKUP(Tabla4[[#This Row],[SERVICIO 2025]],$J$2:$V$14,3,0)*Tabla4[[#This Row],[TOTAL COBERTURA]])+Tabla4[[#This Row],[VALOR FASE PREPARATORIA DE CIERRE]]</f>
        <v>2606172</v>
      </c>
      <c r="BB246" s="35">
        <f>SUM(Tabla4[[#This Row],[DESEMBOLSO 1]:[DESEMBOLSO 8]])</f>
        <v>18231660</v>
      </c>
      <c r="BC246" s="35">
        <f>VLOOKUP(Tabla4[[#This Row],[SERVICIO 2025]],$J$2:$V$14,10,0)*Tabla4[[#This Row],[TOTAL COBERTURA]]*$W$3</f>
        <v>18078816</v>
      </c>
      <c r="BD246" s="47" t="s">
        <v>211</v>
      </c>
      <c r="BE246" s="12" t="b">
        <f>EXACT(Tabla4[[#This Row],[VALOR ATENCIÓN (8 MESES)]],Tabla4[[#This Row],[VALOR TOTAL]])</f>
        <v>1</v>
      </c>
      <c r="BF246" s="23">
        <f>Tabla4[[#This Row],[VALOR ATENCIÓN (8 MESES)]]-Tabla4[[#This Row],[VALOR TOTAL]]</f>
        <v>0</v>
      </c>
      <c r="BG246" s="12" t="b">
        <f>EXACT(Tabla4[[#This Row],[TOTAL DESEMBOLSOS]],Tabla4[[#This Row],[VALOR ATENCIÓN (8 MESES)]])</f>
        <v>1</v>
      </c>
      <c r="BH246" s="29">
        <f>Tabla4[[#This Row],[TOTAL DESEMBOLSOS]]-Tabla4[[#This Row],[VALOR ATENCIÓN (8 MESES)]]</f>
        <v>0</v>
      </c>
      <c r="BI246" t="s">
        <v>98</v>
      </c>
      <c r="BJ246">
        <v>1905</v>
      </c>
    </row>
    <row r="247" spans="1:62">
      <c r="A247" s="13">
        <v>1905</v>
      </c>
      <c r="B247" s="13" t="s">
        <v>578</v>
      </c>
      <c r="C247" s="12" t="s">
        <v>87</v>
      </c>
      <c r="D247" s="12" t="s">
        <v>579</v>
      </c>
      <c r="E247" s="12" t="s">
        <v>594</v>
      </c>
      <c r="F247" s="12" t="s">
        <v>21</v>
      </c>
      <c r="G247" s="12" t="s">
        <v>90</v>
      </c>
      <c r="H247" s="12" t="s">
        <v>625</v>
      </c>
      <c r="I247" s="12">
        <v>51381136724</v>
      </c>
      <c r="J247" s="12" t="s">
        <v>626</v>
      </c>
      <c r="K247" s="12">
        <v>1</v>
      </c>
      <c r="L247" s="12">
        <v>18</v>
      </c>
      <c r="M247" s="12"/>
      <c r="N247" s="13">
        <v>1905</v>
      </c>
      <c r="O247" s="12" t="s">
        <v>93</v>
      </c>
      <c r="P247" s="12"/>
      <c r="Q247" s="12"/>
      <c r="R247" s="12" t="s">
        <v>94</v>
      </c>
      <c r="S247" s="12">
        <v>10</v>
      </c>
      <c r="T247" s="12" t="s">
        <v>583</v>
      </c>
      <c r="U247" s="12" t="s">
        <v>584</v>
      </c>
      <c r="V247" s="12">
        <f>VLOOKUP(Tabla4[[#This Row],[ZONA DEFINITIVO]],Hoja1!$A$1:$D$121,3,0)</f>
        <v>229071</v>
      </c>
      <c r="W247" s="12">
        <f>VLOOKUP(Tabla4[[#This Row],[ZONA DEFINITIVO]],Hoja1!$A$1:$D$121,2,0)</f>
        <v>15180</v>
      </c>
      <c r="X247" s="12">
        <f>VLOOKUP(Tabla4[[#This Row],[ZONA DEFINITIVO]],Hoja1!$A$1:$D$121,4,0)</f>
        <v>82125</v>
      </c>
      <c r="Y247" s="12" t="str">
        <f>+IF(Tabla4[[#This Row],[AGRUPACIONES]]=1,SUMIFS(Tabla4[UDS],Tabla4[ZONA DEFINITIVO],Tabla4[[#This Row],[ZONA DEFINITIVO]])," ")</f>
        <v xml:space="preserve"> </v>
      </c>
      <c r="Z247" s="12" t="str">
        <f>+IF(Tabla4[[#This Row],[AGRUPACIONES]]=1,SUMIFS(Tabla4[TOTAL COBERTURA],Tabla4[ZONA DEFINITIVO],Tabla4[[#This Row],[ZONA DEFINITIVO]])," ")</f>
        <v xml:space="preserve"> </v>
      </c>
      <c r="AA247" s="12"/>
      <c r="AB247" s="38">
        <v>27347490</v>
      </c>
      <c r="AC247" s="37">
        <v>0.02</v>
      </c>
      <c r="AD247" s="38">
        <f t="shared" si="4"/>
        <v>546949.80000000005</v>
      </c>
      <c r="AE247" s="12"/>
      <c r="AF247" s="12">
        <f>COUNTIF($A$20:A247,A247)</f>
        <v>23</v>
      </c>
      <c r="AG247" s="38">
        <v>27347490</v>
      </c>
      <c r="AH247" s="38">
        <f>Tabla4[[#This Row],[VALOR CONTRAPARTIDA]]+Tabla4[[#This Row],[TOTAL APORTES ICBF]]</f>
        <v>27894439.800000001</v>
      </c>
      <c r="AI247" s="35"/>
      <c r="AJ247" s="38"/>
      <c r="AK247" s="38"/>
      <c r="AL247" s="23"/>
      <c r="AM247" s="35">
        <f>VLOOKUP(Tabla4[[#This Row],[SERVICIO 2025]],$J$2:$V$14,5,0)*Tabla4[[#This Row],[TOTAL COBERTURA]]</f>
        <v>841392</v>
      </c>
      <c r="AN247" s="35">
        <f>VLOOKUP(Tabla4[[#This Row],[SERVICIO 2025]],$J$2:$V$14,6,0)*Tabla4[[#This Row],[TOTAL COBERTURA]]</f>
        <v>681138</v>
      </c>
      <c r="AO247" s="35">
        <f>VLOOKUP(Tabla4[[#This Row],[SERVICIO 2025]],$J$2:$V$14,8,0)*Tabla4[[#This Row],[TOTAL COBERTURA]]</f>
        <v>0</v>
      </c>
      <c r="AP247" s="35">
        <f>VLOOKUP(Tabla4[[#This Row],[SERVICIO 2025]],$J$2:$V$14,3,0)*Tabla4[[#This Row],[TOTAL COBERTURA]]*8</f>
        <v>25824960</v>
      </c>
      <c r="AQ247" s="35"/>
      <c r="AR247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247" s="35" t="str">
        <f>+IF(Tabla4[[#This Row],[AGRUPACIONES]]=1,SUMIFS(Tabla4[VALOR TOTAL],Tabla4[ZONA DEFINITIVO],Tabla4[[#This Row],[ZONA DEFINITIVO]])," ")</f>
        <v xml:space="preserve"> </v>
      </c>
      <c r="AT247" s="27">
        <f>(VLOOKUP(Tabla4[[#This Row],[SERVICIO 2025]],$J$2:$V$14,3,0)*Tabla4[[#This Row],[TOTAL COBERTURA]])+Tabla4[[#This Row],[VALOR FASE PREPARATORIA DE ALISTAMIENTO]]+Tabla4[[#This Row],[DOTACIÓN ÚNICA]]</f>
        <v>4069512</v>
      </c>
      <c r="AU247" s="35">
        <f>(VLOOKUP(Tabla4[[#This Row],[SERVICIO 2025]],$J$2:$V$14,3,0)*Tabla4[[#This Row],[TOTAL COBERTURA]])</f>
        <v>3228120</v>
      </c>
      <c r="AV247" s="35">
        <f>(VLOOKUP(Tabla4[[#This Row],[SERVICIO 2025]],$J$2:$V$14,3,0)*Tabla4[[#This Row],[TOTAL COBERTURA]])</f>
        <v>3228120</v>
      </c>
      <c r="AW247" s="35">
        <f>(VLOOKUP(Tabla4[[#This Row],[SERVICIO 2025]],$J$2:$V$14,3,0)*Tabla4[[#This Row],[TOTAL COBERTURA]])</f>
        <v>3228120</v>
      </c>
      <c r="AX247" s="35">
        <f>(VLOOKUP(Tabla4[[#This Row],[SERVICIO 2025]],$J$2:$V$14,3,0)*Tabla4[[#This Row],[TOTAL COBERTURA]])</f>
        <v>3228120</v>
      </c>
      <c r="AY247" s="35">
        <f>(VLOOKUP(Tabla4[[#This Row],[SERVICIO 2025]],$J$2:$V$14,3,0)*Tabla4[[#This Row],[TOTAL COBERTURA]])</f>
        <v>3228120</v>
      </c>
      <c r="AZ247" s="35">
        <f>(VLOOKUP(Tabla4[[#This Row],[SERVICIO 2025]],$J$2:$V$14,3,0)*Tabla4[[#This Row],[TOTAL COBERTURA]])</f>
        <v>3228120</v>
      </c>
      <c r="BA247" s="35">
        <f>(VLOOKUP(Tabla4[[#This Row],[SERVICIO 2025]],$J$2:$V$14,3,0)*Tabla4[[#This Row],[TOTAL COBERTURA]])+Tabla4[[#This Row],[VALOR FASE PREPARATORIA DE CIERRE]]</f>
        <v>3909258</v>
      </c>
      <c r="BB247" s="35">
        <f>SUM(Tabla4[[#This Row],[DESEMBOLSO 1]:[DESEMBOLSO 8]])</f>
        <v>27347490</v>
      </c>
      <c r="BC247" s="35">
        <f>VLOOKUP(Tabla4[[#This Row],[SERVICIO 2025]],$J$2:$V$14,10,0)*Tabla4[[#This Row],[TOTAL COBERTURA]]*$W$3</f>
        <v>27118224</v>
      </c>
      <c r="BD247" s="47" t="s">
        <v>211</v>
      </c>
      <c r="BE247" s="12" t="b">
        <f>EXACT(Tabla4[[#This Row],[VALOR ATENCIÓN (8 MESES)]],Tabla4[[#This Row],[VALOR TOTAL]])</f>
        <v>1</v>
      </c>
      <c r="BF247" s="23">
        <f>Tabla4[[#This Row],[VALOR ATENCIÓN (8 MESES)]]-Tabla4[[#This Row],[VALOR TOTAL]]</f>
        <v>0</v>
      </c>
      <c r="BG247" s="12" t="b">
        <f>EXACT(Tabla4[[#This Row],[TOTAL DESEMBOLSOS]],Tabla4[[#This Row],[VALOR ATENCIÓN (8 MESES)]])</f>
        <v>1</v>
      </c>
      <c r="BH247" s="29">
        <f>Tabla4[[#This Row],[TOTAL DESEMBOLSOS]]-Tabla4[[#This Row],[VALOR ATENCIÓN (8 MESES)]]</f>
        <v>0</v>
      </c>
      <c r="BI247" t="s">
        <v>98</v>
      </c>
      <c r="BJ247">
        <v>1905</v>
      </c>
    </row>
    <row r="248" spans="1:62">
      <c r="A248" s="13">
        <v>1905</v>
      </c>
      <c r="B248" s="13" t="s">
        <v>578</v>
      </c>
      <c r="C248" s="12" t="s">
        <v>87</v>
      </c>
      <c r="D248" s="12" t="s">
        <v>579</v>
      </c>
      <c r="E248" s="12" t="s">
        <v>594</v>
      </c>
      <c r="F248" s="12" t="s">
        <v>21</v>
      </c>
      <c r="G248" s="12" t="s">
        <v>90</v>
      </c>
      <c r="H248" s="12" t="s">
        <v>627</v>
      </c>
      <c r="I248" s="12">
        <v>51381137041</v>
      </c>
      <c r="J248" s="12" t="s">
        <v>628</v>
      </c>
      <c r="K248" s="12">
        <v>1</v>
      </c>
      <c r="L248" s="12">
        <v>9</v>
      </c>
      <c r="M248" s="12"/>
      <c r="N248" s="13">
        <v>1905</v>
      </c>
      <c r="O248" s="12" t="s">
        <v>93</v>
      </c>
      <c r="P248" s="12"/>
      <c r="Q248" s="12"/>
      <c r="R248" s="12" t="s">
        <v>94</v>
      </c>
      <c r="S248" s="12">
        <v>10</v>
      </c>
      <c r="T248" s="12" t="s">
        <v>583</v>
      </c>
      <c r="U248" s="12" t="s">
        <v>584</v>
      </c>
      <c r="V248" s="12">
        <f>VLOOKUP(Tabla4[[#This Row],[ZONA DEFINITIVO]],Hoja1!$A$1:$D$121,3,0)</f>
        <v>229071</v>
      </c>
      <c r="W248" s="12">
        <f>VLOOKUP(Tabla4[[#This Row],[ZONA DEFINITIVO]],Hoja1!$A$1:$D$121,2,0)</f>
        <v>15180</v>
      </c>
      <c r="X248" s="12">
        <f>VLOOKUP(Tabla4[[#This Row],[ZONA DEFINITIVO]],Hoja1!$A$1:$D$121,4,0)</f>
        <v>82125</v>
      </c>
      <c r="Y248" s="12" t="str">
        <f>+IF(Tabla4[[#This Row],[AGRUPACIONES]]=1,SUMIFS(Tabla4[UDS],Tabla4[ZONA DEFINITIVO],Tabla4[[#This Row],[ZONA DEFINITIVO]])," ")</f>
        <v xml:space="preserve"> </v>
      </c>
      <c r="Z248" s="12" t="str">
        <f>+IF(Tabla4[[#This Row],[AGRUPACIONES]]=1,SUMIFS(Tabla4[TOTAL COBERTURA],Tabla4[ZONA DEFINITIVO],Tabla4[[#This Row],[ZONA DEFINITIVO]])," ")</f>
        <v xml:space="preserve"> </v>
      </c>
      <c r="AA248" s="12"/>
      <c r="AB248" s="38">
        <v>13673745</v>
      </c>
      <c r="AC248" s="37">
        <v>0.02</v>
      </c>
      <c r="AD248" s="38">
        <f t="shared" si="4"/>
        <v>273474.90000000002</v>
      </c>
      <c r="AE248" s="12"/>
      <c r="AF248" s="12">
        <f>COUNTIF($A$20:A248,A248)</f>
        <v>24</v>
      </c>
      <c r="AG248" s="38">
        <v>13673745</v>
      </c>
      <c r="AH248" s="38">
        <f>Tabla4[[#This Row],[VALOR CONTRAPARTIDA]]+Tabla4[[#This Row],[TOTAL APORTES ICBF]]</f>
        <v>13947219.9</v>
      </c>
      <c r="AI248" s="35"/>
      <c r="AJ248" s="38"/>
      <c r="AK248" s="38"/>
      <c r="AL248" s="23"/>
      <c r="AM248" s="35">
        <f>VLOOKUP(Tabla4[[#This Row],[SERVICIO 2025]],$J$2:$V$14,5,0)*Tabla4[[#This Row],[TOTAL COBERTURA]]</f>
        <v>420696</v>
      </c>
      <c r="AN248" s="35">
        <f>VLOOKUP(Tabla4[[#This Row],[SERVICIO 2025]],$J$2:$V$14,6,0)*Tabla4[[#This Row],[TOTAL COBERTURA]]</f>
        <v>340569</v>
      </c>
      <c r="AO248" s="35">
        <f>VLOOKUP(Tabla4[[#This Row],[SERVICIO 2025]],$J$2:$V$14,8,0)*Tabla4[[#This Row],[TOTAL COBERTURA]]</f>
        <v>0</v>
      </c>
      <c r="AP248" s="35">
        <f>VLOOKUP(Tabla4[[#This Row],[SERVICIO 2025]],$J$2:$V$14,3,0)*Tabla4[[#This Row],[TOTAL COBERTURA]]*8</f>
        <v>12912480</v>
      </c>
      <c r="AQ248" s="35"/>
      <c r="AR248" s="35">
        <f>Tabla4[[#This Row],[VALOR FASE PREPARATORIA DE ALISTAMIENTO]]+Tabla4[[#This Row],[VALOR FASE PREPARATORIA DE CIERRE]]+Tabla4[[#This Row],[DOTACIÓN ÚNICA]]+Tabla4[[#This Row],[VALOR ATENCIÓN]]+Tabla4[[#This Row],[VALOR RACION PREPARADA]]</f>
        <v>13673745</v>
      </c>
      <c r="AS248" s="35" t="str">
        <f>+IF(Tabla4[[#This Row],[AGRUPACIONES]]=1,SUMIFS(Tabla4[VALOR TOTAL],Tabla4[ZONA DEFINITIVO],Tabla4[[#This Row],[ZONA DEFINITIVO]])," ")</f>
        <v xml:space="preserve"> </v>
      </c>
      <c r="AT248" s="27">
        <f>(VLOOKUP(Tabla4[[#This Row],[SERVICIO 2025]],$J$2:$V$14,3,0)*Tabla4[[#This Row],[TOTAL COBERTURA]])+Tabla4[[#This Row],[VALOR FASE PREPARATORIA DE ALISTAMIENTO]]+Tabla4[[#This Row],[DOTACIÓN ÚNICA]]</f>
        <v>2034756</v>
      </c>
      <c r="AU248" s="35">
        <f>(VLOOKUP(Tabla4[[#This Row],[SERVICIO 2025]],$J$2:$V$14,3,0)*Tabla4[[#This Row],[TOTAL COBERTURA]])</f>
        <v>1614060</v>
      </c>
      <c r="AV248" s="35">
        <f>(VLOOKUP(Tabla4[[#This Row],[SERVICIO 2025]],$J$2:$V$14,3,0)*Tabla4[[#This Row],[TOTAL COBERTURA]])</f>
        <v>1614060</v>
      </c>
      <c r="AW248" s="35">
        <f>(VLOOKUP(Tabla4[[#This Row],[SERVICIO 2025]],$J$2:$V$14,3,0)*Tabla4[[#This Row],[TOTAL COBERTURA]])</f>
        <v>1614060</v>
      </c>
      <c r="AX248" s="35">
        <f>(VLOOKUP(Tabla4[[#This Row],[SERVICIO 2025]],$J$2:$V$14,3,0)*Tabla4[[#This Row],[TOTAL COBERTURA]])</f>
        <v>1614060</v>
      </c>
      <c r="AY248" s="35">
        <f>(VLOOKUP(Tabla4[[#This Row],[SERVICIO 2025]],$J$2:$V$14,3,0)*Tabla4[[#This Row],[TOTAL COBERTURA]])</f>
        <v>1614060</v>
      </c>
      <c r="AZ248" s="35">
        <f>(VLOOKUP(Tabla4[[#This Row],[SERVICIO 2025]],$J$2:$V$14,3,0)*Tabla4[[#This Row],[TOTAL COBERTURA]])</f>
        <v>1614060</v>
      </c>
      <c r="BA248" s="35">
        <f>(VLOOKUP(Tabla4[[#This Row],[SERVICIO 2025]],$J$2:$V$14,3,0)*Tabla4[[#This Row],[TOTAL COBERTURA]])+Tabla4[[#This Row],[VALOR FASE PREPARATORIA DE CIERRE]]</f>
        <v>1954629</v>
      </c>
      <c r="BB248" s="35">
        <f>SUM(Tabla4[[#This Row],[DESEMBOLSO 1]:[DESEMBOLSO 8]])</f>
        <v>13673745</v>
      </c>
      <c r="BC248" s="35">
        <f>VLOOKUP(Tabla4[[#This Row],[SERVICIO 2025]],$J$2:$V$14,10,0)*Tabla4[[#This Row],[TOTAL COBERTURA]]*$W$3</f>
        <v>13559112</v>
      </c>
      <c r="BD248" s="47" t="s">
        <v>211</v>
      </c>
      <c r="BE248" s="12" t="b">
        <f>EXACT(Tabla4[[#This Row],[VALOR ATENCIÓN (8 MESES)]],Tabla4[[#This Row],[VALOR TOTAL]])</f>
        <v>1</v>
      </c>
      <c r="BF248" s="23">
        <f>Tabla4[[#This Row],[VALOR ATENCIÓN (8 MESES)]]-Tabla4[[#This Row],[VALOR TOTAL]]</f>
        <v>0</v>
      </c>
      <c r="BG248" s="12" t="b">
        <f>EXACT(Tabla4[[#This Row],[TOTAL DESEMBOLSOS]],Tabla4[[#This Row],[VALOR ATENCIÓN (8 MESES)]])</f>
        <v>1</v>
      </c>
      <c r="BH248" s="29">
        <f>Tabla4[[#This Row],[TOTAL DESEMBOLSOS]]-Tabla4[[#This Row],[VALOR ATENCIÓN (8 MESES)]]</f>
        <v>0</v>
      </c>
      <c r="BI248" t="s">
        <v>98</v>
      </c>
      <c r="BJ248">
        <v>1905</v>
      </c>
    </row>
    <row r="249" spans="1:62">
      <c r="A249" s="13">
        <v>1905</v>
      </c>
      <c r="B249" s="13" t="s">
        <v>578</v>
      </c>
      <c r="C249" s="12" t="s">
        <v>87</v>
      </c>
      <c r="D249" s="12" t="s">
        <v>579</v>
      </c>
      <c r="E249" s="12" t="s">
        <v>594</v>
      </c>
      <c r="F249" s="12" t="s">
        <v>21</v>
      </c>
      <c r="G249" s="12" t="s">
        <v>90</v>
      </c>
      <c r="H249" s="12" t="s">
        <v>621</v>
      </c>
      <c r="I249" s="12">
        <v>51381148729</v>
      </c>
      <c r="J249" s="12" t="s">
        <v>629</v>
      </c>
      <c r="K249" s="12">
        <v>1</v>
      </c>
      <c r="L249" s="12">
        <v>16</v>
      </c>
      <c r="M249" s="12"/>
      <c r="N249" s="13">
        <v>1905</v>
      </c>
      <c r="O249" s="12" t="s">
        <v>93</v>
      </c>
      <c r="P249" s="12"/>
      <c r="Q249" s="12"/>
      <c r="R249" s="12" t="s">
        <v>94</v>
      </c>
      <c r="S249" s="12">
        <v>10</v>
      </c>
      <c r="T249" s="12" t="s">
        <v>583</v>
      </c>
      <c r="U249" s="12" t="s">
        <v>584</v>
      </c>
      <c r="V249" s="12">
        <f>VLOOKUP(Tabla4[[#This Row],[ZONA DEFINITIVO]],Hoja1!$A$1:$D$121,3,0)</f>
        <v>229071</v>
      </c>
      <c r="W249" s="12">
        <f>VLOOKUP(Tabla4[[#This Row],[ZONA DEFINITIVO]],Hoja1!$A$1:$D$121,2,0)</f>
        <v>15180</v>
      </c>
      <c r="X249" s="12">
        <f>VLOOKUP(Tabla4[[#This Row],[ZONA DEFINITIVO]],Hoja1!$A$1:$D$121,4,0)</f>
        <v>82125</v>
      </c>
      <c r="Y249" s="12" t="str">
        <f>+IF(Tabla4[[#This Row],[AGRUPACIONES]]=1,SUMIFS(Tabla4[UDS],Tabla4[ZONA DEFINITIVO],Tabla4[[#This Row],[ZONA DEFINITIVO]])," ")</f>
        <v xml:space="preserve"> </v>
      </c>
      <c r="Z249" s="12" t="str">
        <f>+IF(Tabla4[[#This Row],[AGRUPACIONES]]=1,SUMIFS(Tabla4[TOTAL COBERTURA],Tabla4[ZONA DEFINITIVO],Tabla4[[#This Row],[ZONA DEFINITIVO]])," ")</f>
        <v xml:space="preserve"> </v>
      </c>
      <c r="AA249" s="12"/>
      <c r="AB249" s="38">
        <v>24308880</v>
      </c>
      <c r="AC249" s="37">
        <v>0.02</v>
      </c>
      <c r="AD249" s="38">
        <f t="shared" si="4"/>
        <v>486177.60000000003</v>
      </c>
      <c r="AE249" s="12"/>
      <c r="AF249" s="12">
        <f>COUNTIF($A$20:A249,A249)</f>
        <v>25</v>
      </c>
      <c r="AG249" s="38">
        <v>24308880</v>
      </c>
      <c r="AH249" s="38">
        <f>Tabla4[[#This Row],[VALOR CONTRAPARTIDA]]+Tabla4[[#This Row],[TOTAL APORTES ICBF]]</f>
        <v>24795057.600000001</v>
      </c>
      <c r="AI249" s="35"/>
      <c r="AJ249" s="38"/>
      <c r="AK249" s="38"/>
      <c r="AL249" s="23"/>
      <c r="AM249" s="35">
        <f>VLOOKUP(Tabla4[[#This Row],[SERVICIO 2025]],$J$2:$V$14,5,0)*Tabla4[[#This Row],[TOTAL COBERTURA]]</f>
        <v>747904</v>
      </c>
      <c r="AN249" s="35">
        <f>VLOOKUP(Tabla4[[#This Row],[SERVICIO 2025]],$J$2:$V$14,6,0)*Tabla4[[#This Row],[TOTAL COBERTURA]]</f>
        <v>605456</v>
      </c>
      <c r="AO249" s="35">
        <f>VLOOKUP(Tabla4[[#This Row],[SERVICIO 2025]],$J$2:$V$14,8,0)*Tabla4[[#This Row],[TOTAL COBERTURA]]</f>
        <v>0</v>
      </c>
      <c r="AP249" s="35">
        <f>VLOOKUP(Tabla4[[#This Row],[SERVICIO 2025]],$J$2:$V$14,3,0)*Tabla4[[#This Row],[TOTAL COBERTURA]]*8</f>
        <v>22955520</v>
      </c>
      <c r="AQ249" s="35"/>
      <c r="AR249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249" s="35" t="str">
        <f>+IF(Tabla4[[#This Row],[AGRUPACIONES]]=1,SUMIFS(Tabla4[VALOR TOTAL],Tabla4[ZONA DEFINITIVO],Tabla4[[#This Row],[ZONA DEFINITIVO]])," ")</f>
        <v xml:space="preserve"> </v>
      </c>
      <c r="AT249" s="27">
        <f>(VLOOKUP(Tabla4[[#This Row],[SERVICIO 2025]],$J$2:$V$14,3,0)*Tabla4[[#This Row],[TOTAL COBERTURA]])+Tabla4[[#This Row],[VALOR FASE PREPARATORIA DE ALISTAMIENTO]]+Tabla4[[#This Row],[DOTACIÓN ÚNICA]]</f>
        <v>3617344</v>
      </c>
      <c r="AU249" s="35">
        <f>(VLOOKUP(Tabla4[[#This Row],[SERVICIO 2025]],$J$2:$V$14,3,0)*Tabla4[[#This Row],[TOTAL COBERTURA]])</f>
        <v>2869440</v>
      </c>
      <c r="AV249" s="35">
        <f>(VLOOKUP(Tabla4[[#This Row],[SERVICIO 2025]],$J$2:$V$14,3,0)*Tabla4[[#This Row],[TOTAL COBERTURA]])</f>
        <v>2869440</v>
      </c>
      <c r="AW249" s="35">
        <f>(VLOOKUP(Tabla4[[#This Row],[SERVICIO 2025]],$J$2:$V$14,3,0)*Tabla4[[#This Row],[TOTAL COBERTURA]])</f>
        <v>2869440</v>
      </c>
      <c r="AX249" s="35">
        <f>(VLOOKUP(Tabla4[[#This Row],[SERVICIO 2025]],$J$2:$V$14,3,0)*Tabla4[[#This Row],[TOTAL COBERTURA]])</f>
        <v>2869440</v>
      </c>
      <c r="AY249" s="35">
        <f>(VLOOKUP(Tabla4[[#This Row],[SERVICIO 2025]],$J$2:$V$14,3,0)*Tabla4[[#This Row],[TOTAL COBERTURA]])</f>
        <v>2869440</v>
      </c>
      <c r="AZ249" s="35">
        <f>(VLOOKUP(Tabla4[[#This Row],[SERVICIO 2025]],$J$2:$V$14,3,0)*Tabla4[[#This Row],[TOTAL COBERTURA]])</f>
        <v>2869440</v>
      </c>
      <c r="BA249" s="35">
        <f>(VLOOKUP(Tabla4[[#This Row],[SERVICIO 2025]],$J$2:$V$14,3,0)*Tabla4[[#This Row],[TOTAL COBERTURA]])+Tabla4[[#This Row],[VALOR FASE PREPARATORIA DE CIERRE]]</f>
        <v>3474896</v>
      </c>
      <c r="BB249" s="35">
        <f>SUM(Tabla4[[#This Row],[DESEMBOLSO 1]:[DESEMBOLSO 8]])</f>
        <v>24308880</v>
      </c>
      <c r="BC249" s="35">
        <f>VLOOKUP(Tabla4[[#This Row],[SERVICIO 2025]],$J$2:$V$14,10,0)*Tabla4[[#This Row],[TOTAL COBERTURA]]*$W$3</f>
        <v>24105088</v>
      </c>
      <c r="BD249" s="47" t="s">
        <v>211</v>
      </c>
      <c r="BE249" s="12" t="b">
        <f>EXACT(Tabla4[[#This Row],[VALOR ATENCIÓN (8 MESES)]],Tabla4[[#This Row],[VALOR TOTAL]])</f>
        <v>1</v>
      </c>
      <c r="BF249" s="23">
        <f>Tabla4[[#This Row],[VALOR ATENCIÓN (8 MESES)]]-Tabla4[[#This Row],[VALOR TOTAL]]</f>
        <v>0</v>
      </c>
      <c r="BG249" s="12" t="b">
        <f>EXACT(Tabla4[[#This Row],[TOTAL DESEMBOLSOS]],Tabla4[[#This Row],[VALOR ATENCIÓN (8 MESES)]])</f>
        <v>1</v>
      </c>
      <c r="BH249" s="29">
        <f>Tabla4[[#This Row],[TOTAL DESEMBOLSOS]]-Tabla4[[#This Row],[VALOR ATENCIÓN (8 MESES)]]</f>
        <v>0</v>
      </c>
      <c r="BI249" t="s">
        <v>98</v>
      </c>
      <c r="BJ249">
        <v>1905</v>
      </c>
    </row>
    <row r="250" spans="1:62">
      <c r="A250" s="13">
        <v>1905</v>
      </c>
      <c r="B250" s="13" t="s">
        <v>578</v>
      </c>
      <c r="C250" s="12" t="s">
        <v>87</v>
      </c>
      <c r="D250" s="12" t="s">
        <v>579</v>
      </c>
      <c r="E250" s="12" t="s">
        <v>594</v>
      </c>
      <c r="F250" s="12" t="s">
        <v>21</v>
      </c>
      <c r="G250" s="12" t="s">
        <v>90</v>
      </c>
      <c r="H250" s="12" t="s">
        <v>630</v>
      </c>
      <c r="I250" s="12">
        <v>51381148730</v>
      </c>
      <c r="J250" s="12" t="s">
        <v>631</v>
      </c>
      <c r="K250" s="12">
        <v>1</v>
      </c>
      <c r="L250" s="12">
        <v>12</v>
      </c>
      <c r="M250" s="12"/>
      <c r="N250" s="13">
        <v>1905</v>
      </c>
      <c r="O250" s="12" t="s">
        <v>93</v>
      </c>
      <c r="P250" s="12"/>
      <c r="Q250" s="12"/>
      <c r="R250" s="12" t="s">
        <v>94</v>
      </c>
      <c r="S250" s="12">
        <v>10</v>
      </c>
      <c r="T250" s="12" t="s">
        <v>583</v>
      </c>
      <c r="U250" s="12" t="s">
        <v>584</v>
      </c>
      <c r="V250" s="12">
        <f>VLOOKUP(Tabla4[[#This Row],[ZONA DEFINITIVO]],Hoja1!$A$1:$D$121,3,0)</f>
        <v>229071</v>
      </c>
      <c r="W250" s="12">
        <f>VLOOKUP(Tabla4[[#This Row],[ZONA DEFINITIVO]],Hoja1!$A$1:$D$121,2,0)</f>
        <v>15180</v>
      </c>
      <c r="X250" s="12">
        <f>VLOOKUP(Tabla4[[#This Row],[ZONA DEFINITIVO]],Hoja1!$A$1:$D$121,4,0)</f>
        <v>82125</v>
      </c>
      <c r="Y250" s="12" t="str">
        <f>+IF(Tabla4[[#This Row],[AGRUPACIONES]]=1,SUMIFS(Tabla4[UDS],Tabla4[ZONA DEFINITIVO],Tabla4[[#This Row],[ZONA DEFINITIVO]])," ")</f>
        <v xml:space="preserve"> </v>
      </c>
      <c r="Z250" s="12" t="str">
        <f>+IF(Tabla4[[#This Row],[AGRUPACIONES]]=1,SUMIFS(Tabla4[TOTAL COBERTURA],Tabla4[ZONA DEFINITIVO],Tabla4[[#This Row],[ZONA DEFINITIVO]])," ")</f>
        <v xml:space="preserve"> </v>
      </c>
      <c r="AA250" s="12"/>
      <c r="AB250" s="38">
        <v>18231660</v>
      </c>
      <c r="AC250" s="37">
        <v>0.02</v>
      </c>
      <c r="AD250" s="38">
        <f t="shared" si="4"/>
        <v>364633.2</v>
      </c>
      <c r="AE250" s="12"/>
      <c r="AF250" s="12">
        <f>COUNTIF($A$20:A250,A250)</f>
        <v>26</v>
      </c>
      <c r="AG250" s="38">
        <v>18231660</v>
      </c>
      <c r="AH250" s="38">
        <f>Tabla4[[#This Row],[VALOR CONTRAPARTIDA]]+Tabla4[[#This Row],[TOTAL APORTES ICBF]]</f>
        <v>18596293.199999999</v>
      </c>
      <c r="AI250" s="35"/>
      <c r="AJ250" s="38"/>
      <c r="AK250" s="38"/>
      <c r="AL250" s="23"/>
      <c r="AM250" s="35">
        <f>VLOOKUP(Tabla4[[#This Row],[SERVICIO 2025]],$J$2:$V$14,5,0)*Tabla4[[#This Row],[TOTAL COBERTURA]]</f>
        <v>560928</v>
      </c>
      <c r="AN250" s="35">
        <f>VLOOKUP(Tabla4[[#This Row],[SERVICIO 2025]],$J$2:$V$14,6,0)*Tabla4[[#This Row],[TOTAL COBERTURA]]</f>
        <v>454092</v>
      </c>
      <c r="AO250" s="35">
        <f>VLOOKUP(Tabla4[[#This Row],[SERVICIO 2025]],$J$2:$V$14,8,0)*Tabla4[[#This Row],[TOTAL COBERTURA]]</f>
        <v>0</v>
      </c>
      <c r="AP250" s="35">
        <f>VLOOKUP(Tabla4[[#This Row],[SERVICIO 2025]],$J$2:$V$14,3,0)*Tabla4[[#This Row],[TOTAL COBERTURA]]*8</f>
        <v>17216640</v>
      </c>
      <c r="AQ250" s="35"/>
      <c r="AR250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250" s="35" t="str">
        <f>+IF(Tabla4[[#This Row],[AGRUPACIONES]]=1,SUMIFS(Tabla4[VALOR TOTAL],Tabla4[ZONA DEFINITIVO],Tabla4[[#This Row],[ZONA DEFINITIVO]])," ")</f>
        <v xml:space="preserve"> </v>
      </c>
      <c r="AT250" s="27">
        <f>(VLOOKUP(Tabla4[[#This Row],[SERVICIO 2025]],$J$2:$V$14,3,0)*Tabla4[[#This Row],[TOTAL COBERTURA]])+Tabla4[[#This Row],[VALOR FASE PREPARATORIA DE ALISTAMIENTO]]+Tabla4[[#This Row],[DOTACIÓN ÚNICA]]</f>
        <v>2713008</v>
      </c>
      <c r="AU250" s="35">
        <f>(VLOOKUP(Tabla4[[#This Row],[SERVICIO 2025]],$J$2:$V$14,3,0)*Tabla4[[#This Row],[TOTAL COBERTURA]])</f>
        <v>2152080</v>
      </c>
      <c r="AV250" s="35">
        <f>(VLOOKUP(Tabla4[[#This Row],[SERVICIO 2025]],$J$2:$V$14,3,0)*Tabla4[[#This Row],[TOTAL COBERTURA]])</f>
        <v>2152080</v>
      </c>
      <c r="AW250" s="35">
        <f>(VLOOKUP(Tabla4[[#This Row],[SERVICIO 2025]],$J$2:$V$14,3,0)*Tabla4[[#This Row],[TOTAL COBERTURA]])</f>
        <v>2152080</v>
      </c>
      <c r="AX250" s="35">
        <f>(VLOOKUP(Tabla4[[#This Row],[SERVICIO 2025]],$J$2:$V$14,3,0)*Tabla4[[#This Row],[TOTAL COBERTURA]])</f>
        <v>2152080</v>
      </c>
      <c r="AY250" s="35">
        <f>(VLOOKUP(Tabla4[[#This Row],[SERVICIO 2025]],$J$2:$V$14,3,0)*Tabla4[[#This Row],[TOTAL COBERTURA]])</f>
        <v>2152080</v>
      </c>
      <c r="AZ250" s="35">
        <f>(VLOOKUP(Tabla4[[#This Row],[SERVICIO 2025]],$J$2:$V$14,3,0)*Tabla4[[#This Row],[TOTAL COBERTURA]])</f>
        <v>2152080</v>
      </c>
      <c r="BA250" s="35">
        <f>(VLOOKUP(Tabla4[[#This Row],[SERVICIO 2025]],$J$2:$V$14,3,0)*Tabla4[[#This Row],[TOTAL COBERTURA]])+Tabla4[[#This Row],[VALOR FASE PREPARATORIA DE CIERRE]]</f>
        <v>2606172</v>
      </c>
      <c r="BB250" s="35">
        <f>SUM(Tabla4[[#This Row],[DESEMBOLSO 1]:[DESEMBOLSO 8]])</f>
        <v>18231660</v>
      </c>
      <c r="BC250" s="35">
        <f>VLOOKUP(Tabla4[[#This Row],[SERVICIO 2025]],$J$2:$V$14,10,0)*Tabla4[[#This Row],[TOTAL COBERTURA]]*$W$3</f>
        <v>18078816</v>
      </c>
      <c r="BD250" s="47" t="s">
        <v>211</v>
      </c>
      <c r="BE250" s="12" t="b">
        <f>EXACT(Tabla4[[#This Row],[VALOR ATENCIÓN (8 MESES)]],Tabla4[[#This Row],[VALOR TOTAL]])</f>
        <v>1</v>
      </c>
      <c r="BF250" s="23">
        <f>Tabla4[[#This Row],[VALOR ATENCIÓN (8 MESES)]]-Tabla4[[#This Row],[VALOR TOTAL]]</f>
        <v>0</v>
      </c>
      <c r="BG250" s="12" t="b">
        <f>EXACT(Tabla4[[#This Row],[TOTAL DESEMBOLSOS]],Tabla4[[#This Row],[VALOR ATENCIÓN (8 MESES)]])</f>
        <v>1</v>
      </c>
      <c r="BH250" s="29">
        <f>Tabla4[[#This Row],[TOTAL DESEMBOLSOS]]-Tabla4[[#This Row],[VALOR ATENCIÓN (8 MESES)]]</f>
        <v>0</v>
      </c>
      <c r="BI250" t="s">
        <v>98</v>
      </c>
      <c r="BJ250">
        <v>1905</v>
      </c>
    </row>
    <row r="251" spans="1:62">
      <c r="A251" s="13">
        <v>1905</v>
      </c>
      <c r="B251" s="13" t="s">
        <v>578</v>
      </c>
      <c r="C251" s="12" t="s">
        <v>87</v>
      </c>
      <c r="D251" s="12" t="s">
        <v>579</v>
      </c>
      <c r="E251" s="12" t="s">
        <v>594</v>
      </c>
      <c r="F251" s="12" t="s">
        <v>21</v>
      </c>
      <c r="G251" s="12" t="s">
        <v>90</v>
      </c>
      <c r="H251" s="12" t="s">
        <v>632</v>
      </c>
      <c r="I251" s="12">
        <v>51381148731</v>
      </c>
      <c r="J251" s="12" t="s">
        <v>633</v>
      </c>
      <c r="K251" s="12">
        <v>1</v>
      </c>
      <c r="L251" s="12">
        <v>23</v>
      </c>
      <c r="M251" s="12"/>
      <c r="N251" s="13">
        <v>1905</v>
      </c>
      <c r="O251" s="12" t="s">
        <v>93</v>
      </c>
      <c r="P251" s="12"/>
      <c r="Q251" s="12"/>
      <c r="R251" s="12" t="s">
        <v>94</v>
      </c>
      <c r="S251" s="12">
        <v>10</v>
      </c>
      <c r="T251" s="12" t="s">
        <v>583</v>
      </c>
      <c r="U251" s="12" t="s">
        <v>584</v>
      </c>
      <c r="V251" s="12">
        <f>VLOOKUP(Tabla4[[#This Row],[ZONA DEFINITIVO]],Hoja1!$A$1:$D$121,3,0)</f>
        <v>229071</v>
      </c>
      <c r="W251" s="12">
        <f>VLOOKUP(Tabla4[[#This Row],[ZONA DEFINITIVO]],Hoja1!$A$1:$D$121,2,0)</f>
        <v>15180</v>
      </c>
      <c r="X251" s="12">
        <f>VLOOKUP(Tabla4[[#This Row],[ZONA DEFINITIVO]],Hoja1!$A$1:$D$121,4,0)</f>
        <v>82125</v>
      </c>
      <c r="Y251" s="12" t="str">
        <f>+IF(Tabla4[[#This Row],[AGRUPACIONES]]=1,SUMIFS(Tabla4[UDS],Tabla4[ZONA DEFINITIVO],Tabla4[[#This Row],[ZONA DEFINITIVO]])," ")</f>
        <v xml:space="preserve"> </v>
      </c>
      <c r="Z251" s="12" t="str">
        <f>+IF(Tabla4[[#This Row],[AGRUPACIONES]]=1,SUMIFS(Tabla4[TOTAL COBERTURA],Tabla4[ZONA DEFINITIVO],Tabla4[[#This Row],[ZONA DEFINITIVO]])," ")</f>
        <v xml:space="preserve"> </v>
      </c>
      <c r="AA251" s="12"/>
      <c r="AB251" s="38">
        <v>34944015</v>
      </c>
      <c r="AC251" s="37">
        <v>0.02</v>
      </c>
      <c r="AD251" s="38">
        <f t="shared" si="4"/>
        <v>698880.3</v>
      </c>
      <c r="AE251" s="12"/>
      <c r="AF251" s="12">
        <f>COUNTIF($A$20:A251,A251)</f>
        <v>27</v>
      </c>
      <c r="AG251" s="38">
        <v>34944015</v>
      </c>
      <c r="AH251" s="38">
        <f>Tabla4[[#This Row],[VALOR CONTRAPARTIDA]]+Tabla4[[#This Row],[TOTAL APORTES ICBF]]</f>
        <v>35642895.299999997</v>
      </c>
      <c r="AI251" s="35"/>
      <c r="AJ251" s="38"/>
      <c r="AK251" s="38"/>
      <c r="AL251" s="23"/>
      <c r="AM251" s="35">
        <f>VLOOKUP(Tabla4[[#This Row],[SERVICIO 2025]],$J$2:$V$14,5,0)*Tabla4[[#This Row],[TOTAL COBERTURA]]</f>
        <v>1075112</v>
      </c>
      <c r="AN251" s="35">
        <f>VLOOKUP(Tabla4[[#This Row],[SERVICIO 2025]],$J$2:$V$14,6,0)*Tabla4[[#This Row],[TOTAL COBERTURA]]</f>
        <v>870343</v>
      </c>
      <c r="AO251" s="35">
        <f>VLOOKUP(Tabla4[[#This Row],[SERVICIO 2025]],$J$2:$V$14,8,0)*Tabla4[[#This Row],[TOTAL COBERTURA]]</f>
        <v>0</v>
      </c>
      <c r="AP251" s="35">
        <f>VLOOKUP(Tabla4[[#This Row],[SERVICIO 2025]],$J$2:$V$14,3,0)*Tabla4[[#This Row],[TOTAL COBERTURA]]*8</f>
        <v>32998560</v>
      </c>
      <c r="AQ251" s="35"/>
      <c r="AR251" s="35">
        <f>Tabla4[[#This Row],[VALOR FASE PREPARATORIA DE ALISTAMIENTO]]+Tabla4[[#This Row],[VALOR FASE PREPARATORIA DE CIERRE]]+Tabla4[[#This Row],[DOTACIÓN ÚNICA]]+Tabla4[[#This Row],[VALOR ATENCIÓN]]+Tabla4[[#This Row],[VALOR RACION PREPARADA]]</f>
        <v>34944015</v>
      </c>
      <c r="AS251" s="35" t="str">
        <f>+IF(Tabla4[[#This Row],[AGRUPACIONES]]=1,SUMIFS(Tabla4[VALOR TOTAL],Tabla4[ZONA DEFINITIVO],Tabla4[[#This Row],[ZONA DEFINITIVO]])," ")</f>
        <v xml:space="preserve"> </v>
      </c>
      <c r="AT251" s="27">
        <f>(VLOOKUP(Tabla4[[#This Row],[SERVICIO 2025]],$J$2:$V$14,3,0)*Tabla4[[#This Row],[TOTAL COBERTURA]])+Tabla4[[#This Row],[VALOR FASE PREPARATORIA DE ALISTAMIENTO]]+Tabla4[[#This Row],[DOTACIÓN ÚNICA]]</f>
        <v>5199932</v>
      </c>
      <c r="AU251" s="35">
        <f>(VLOOKUP(Tabla4[[#This Row],[SERVICIO 2025]],$J$2:$V$14,3,0)*Tabla4[[#This Row],[TOTAL COBERTURA]])</f>
        <v>4124820</v>
      </c>
      <c r="AV251" s="35">
        <f>(VLOOKUP(Tabla4[[#This Row],[SERVICIO 2025]],$J$2:$V$14,3,0)*Tabla4[[#This Row],[TOTAL COBERTURA]])</f>
        <v>4124820</v>
      </c>
      <c r="AW251" s="35">
        <f>(VLOOKUP(Tabla4[[#This Row],[SERVICIO 2025]],$J$2:$V$14,3,0)*Tabla4[[#This Row],[TOTAL COBERTURA]])</f>
        <v>4124820</v>
      </c>
      <c r="AX251" s="35">
        <f>(VLOOKUP(Tabla4[[#This Row],[SERVICIO 2025]],$J$2:$V$14,3,0)*Tabla4[[#This Row],[TOTAL COBERTURA]])</f>
        <v>4124820</v>
      </c>
      <c r="AY251" s="35">
        <f>(VLOOKUP(Tabla4[[#This Row],[SERVICIO 2025]],$J$2:$V$14,3,0)*Tabla4[[#This Row],[TOTAL COBERTURA]])</f>
        <v>4124820</v>
      </c>
      <c r="AZ251" s="35">
        <f>(VLOOKUP(Tabla4[[#This Row],[SERVICIO 2025]],$J$2:$V$14,3,0)*Tabla4[[#This Row],[TOTAL COBERTURA]])</f>
        <v>4124820</v>
      </c>
      <c r="BA251" s="35">
        <f>(VLOOKUP(Tabla4[[#This Row],[SERVICIO 2025]],$J$2:$V$14,3,0)*Tabla4[[#This Row],[TOTAL COBERTURA]])+Tabla4[[#This Row],[VALOR FASE PREPARATORIA DE CIERRE]]</f>
        <v>4995163</v>
      </c>
      <c r="BB251" s="35">
        <f>SUM(Tabla4[[#This Row],[DESEMBOLSO 1]:[DESEMBOLSO 8]])</f>
        <v>34944015</v>
      </c>
      <c r="BC251" s="35">
        <f>VLOOKUP(Tabla4[[#This Row],[SERVICIO 2025]],$J$2:$V$14,10,0)*Tabla4[[#This Row],[TOTAL COBERTURA]]*$W$3</f>
        <v>34651064</v>
      </c>
      <c r="BD251" s="47" t="s">
        <v>211</v>
      </c>
      <c r="BE251" s="12" t="b">
        <f>EXACT(Tabla4[[#This Row],[VALOR ATENCIÓN (8 MESES)]],Tabla4[[#This Row],[VALOR TOTAL]])</f>
        <v>1</v>
      </c>
      <c r="BF251" s="23">
        <f>Tabla4[[#This Row],[VALOR ATENCIÓN (8 MESES)]]-Tabla4[[#This Row],[VALOR TOTAL]]</f>
        <v>0</v>
      </c>
      <c r="BG251" s="12" t="b">
        <f>EXACT(Tabla4[[#This Row],[TOTAL DESEMBOLSOS]],Tabla4[[#This Row],[VALOR ATENCIÓN (8 MESES)]])</f>
        <v>1</v>
      </c>
      <c r="BH251" s="29">
        <f>Tabla4[[#This Row],[TOTAL DESEMBOLSOS]]-Tabla4[[#This Row],[VALOR ATENCIÓN (8 MESES)]]</f>
        <v>0</v>
      </c>
      <c r="BI251" t="s">
        <v>98</v>
      </c>
      <c r="BJ251">
        <v>1905</v>
      </c>
    </row>
    <row r="252" spans="1:62">
      <c r="A252" s="13">
        <v>1905</v>
      </c>
      <c r="B252" s="13" t="s">
        <v>578</v>
      </c>
      <c r="C252" s="12" t="s">
        <v>87</v>
      </c>
      <c r="D252" s="12" t="s">
        <v>579</v>
      </c>
      <c r="E252" s="12" t="s">
        <v>594</v>
      </c>
      <c r="F252" s="12" t="s">
        <v>21</v>
      </c>
      <c r="G252" s="12" t="s">
        <v>90</v>
      </c>
      <c r="H252" s="12" t="s">
        <v>634</v>
      </c>
      <c r="I252" s="12">
        <v>51381150452</v>
      </c>
      <c r="J252" s="12" t="s">
        <v>635</v>
      </c>
      <c r="K252" s="12">
        <v>1</v>
      </c>
      <c r="L252" s="12">
        <v>13</v>
      </c>
      <c r="M252" s="12"/>
      <c r="N252" s="13">
        <v>1905</v>
      </c>
      <c r="O252" s="12" t="s">
        <v>93</v>
      </c>
      <c r="P252" s="12"/>
      <c r="Q252" s="12"/>
      <c r="R252" s="12" t="s">
        <v>94</v>
      </c>
      <c r="S252" s="12">
        <v>10</v>
      </c>
      <c r="T252" s="12" t="s">
        <v>583</v>
      </c>
      <c r="U252" s="12" t="s">
        <v>584</v>
      </c>
      <c r="V252" s="12">
        <f>VLOOKUP(Tabla4[[#This Row],[ZONA DEFINITIVO]],Hoja1!$A$1:$D$121,3,0)</f>
        <v>229071</v>
      </c>
      <c r="W252" s="12">
        <f>VLOOKUP(Tabla4[[#This Row],[ZONA DEFINITIVO]],Hoja1!$A$1:$D$121,2,0)</f>
        <v>15180</v>
      </c>
      <c r="X252" s="12">
        <f>VLOOKUP(Tabla4[[#This Row],[ZONA DEFINITIVO]],Hoja1!$A$1:$D$121,4,0)</f>
        <v>82125</v>
      </c>
      <c r="Y252" s="12" t="str">
        <f>+IF(Tabla4[[#This Row],[AGRUPACIONES]]=1,SUMIFS(Tabla4[UDS],Tabla4[ZONA DEFINITIVO],Tabla4[[#This Row],[ZONA DEFINITIVO]])," ")</f>
        <v xml:space="preserve"> </v>
      </c>
      <c r="Z252" s="12" t="str">
        <f>+IF(Tabla4[[#This Row],[AGRUPACIONES]]=1,SUMIFS(Tabla4[TOTAL COBERTURA],Tabla4[ZONA DEFINITIVO],Tabla4[[#This Row],[ZONA DEFINITIVO]])," ")</f>
        <v xml:space="preserve"> </v>
      </c>
      <c r="AA252" s="12"/>
      <c r="AB252" s="38">
        <v>19750965</v>
      </c>
      <c r="AC252" s="37">
        <v>0.02</v>
      </c>
      <c r="AD252" s="38">
        <f t="shared" si="4"/>
        <v>395019.3</v>
      </c>
      <c r="AE252" s="12"/>
      <c r="AF252" s="12">
        <f>COUNTIF($A$20:A252,A252)</f>
        <v>28</v>
      </c>
      <c r="AG252" s="38">
        <v>19750965</v>
      </c>
      <c r="AH252" s="38">
        <f>Tabla4[[#This Row],[VALOR CONTRAPARTIDA]]+Tabla4[[#This Row],[TOTAL APORTES ICBF]]</f>
        <v>20145984.300000001</v>
      </c>
      <c r="AI252" s="35"/>
      <c r="AJ252" s="38"/>
      <c r="AK252" s="38"/>
      <c r="AL252" s="23"/>
      <c r="AM252" s="35">
        <f>VLOOKUP(Tabla4[[#This Row],[SERVICIO 2025]],$J$2:$V$14,5,0)*Tabla4[[#This Row],[TOTAL COBERTURA]]</f>
        <v>607672</v>
      </c>
      <c r="AN252" s="35">
        <f>VLOOKUP(Tabla4[[#This Row],[SERVICIO 2025]],$J$2:$V$14,6,0)*Tabla4[[#This Row],[TOTAL COBERTURA]]</f>
        <v>491933</v>
      </c>
      <c r="AO252" s="35">
        <f>VLOOKUP(Tabla4[[#This Row],[SERVICIO 2025]],$J$2:$V$14,8,0)*Tabla4[[#This Row],[TOTAL COBERTURA]]</f>
        <v>0</v>
      </c>
      <c r="AP252" s="35">
        <f>VLOOKUP(Tabla4[[#This Row],[SERVICIO 2025]],$J$2:$V$14,3,0)*Tabla4[[#This Row],[TOTAL COBERTURA]]*8</f>
        <v>18651360</v>
      </c>
      <c r="AQ252" s="35"/>
      <c r="AR252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252" s="35" t="str">
        <f>+IF(Tabla4[[#This Row],[AGRUPACIONES]]=1,SUMIFS(Tabla4[VALOR TOTAL],Tabla4[ZONA DEFINITIVO],Tabla4[[#This Row],[ZONA DEFINITIVO]])," ")</f>
        <v xml:space="preserve"> </v>
      </c>
      <c r="AT252" s="27">
        <f>(VLOOKUP(Tabla4[[#This Row],[SERVICIO 2025]],$J$2:$V$14,3,0)*Tabla4[[#This Row],[TOTAL COBERTURA]])+Tabla4[[#This Row],[VALOR FASE PREPARATORIA DE ALISTAMIENTO]]+Tabla4[[#This Row],[DOTACIÓN ÚNICA]]</f>
        <v>2939092</v>
      </c>
      <c r="AU252" s="35">
        <f>(VLOOKUP(Tabla4[[#This Row],[SERVICIO 2025]],$J$2:$V$14,3,0)*Tabla4[[#This Row],[TOTAL COBERTURA]])</f>
        <v>2331420</v>
      </c>
      <c r="AV252" s="35">
        <f>(VLOOKUP(Tabla4[[#This Row],[SERVICIO 2025]],$J$2:$V$14,3,0)*Tabla4[[#This Row],[TOTAL COBERTURA]])</f>
        <v>2331420</v>
      </c>
      <c r="AW252" s="35">
        <f>(VLOOKUP(Tabla4[[#This Row],[SERVICIO 2025]],$J$2:$V$14,3,0)*Tabla4[[#This Row],[TOTAL COBERTURA]])</f>
        <v>2331420</v>
      </c>
      <c r="AX252" s="35">
        <f>(VLOOKUP(Tabla4[[#This Row],[SERVICIO 2025]],$J$2:$V$14,3,0)*Tabla4[[#This Row],[TOTAL COBERTURA]])</f>
        <v>2331420</v>
      </c>
      <c r="AY252" s="35">
        <f>(VLOOKUP(Tabla4[[#This Row],[SERVICIO 2025]],$J$2:$V$14,3,0)*Tabla4[[#This Row],[TOTAL COBERTURA]])</f>
        <v>2331420</v>
      </c>
      <c r="AZ252" s="35">
        <f>(VLOOKUP(Tabla4[[#This Row],[SERVICIO 2025]],$J$2:$V$14,3,0)*Tabla4[[#This Row],[TOTAL COBERTURA]])</f>
        <v>2331420</v>
      </c>
      <c r="BA252" s="35">
        <f>(VLOOKUP(Tabla4[[#This Row],[SERVICIO 2025]],$J$2:$V$14,3,0)*Tabla4[[#This Row],[TOTAL COBERTURA]])+Tabla4[[#This Row],[VALOR FASE PREPARATORIA DE CIERRE]]</f>
        <v>2823353</v>
      </c>
      <c r="BB252" s="35">
        <f>SUM(Tabla4[[#This Row],[DESEMBOLSO 1]:[DESEMBOLSO 8]])</f>
        <v>19750965</v>
      </c>
      <c r="BC252" s="35">
        <f>VLOOKUP(Tabla4[[#This Row],[SERVICIO 2025]],$J$2:$V$14,10,0)*Tabla4[[#This Row],[TOTAL COBERTURA]]*$W$3</f>
        <v>19585384</v>
      </c>
      <c r="BD252" s="47" t="s">
        <v>211</v>
      </c>
      <c r="BE252" s="12" t="b">
        <f>EXACT(Tabla4[[#This Row],[VALOR ATENCIÓN (8 MESES)]],Tabla4[[#This Row],[VALOR TOTAL]])</f>
        <v>1</v>
      </c>
      <c r="BF252" s="23">
        <f>Tabla4[[#This Row],[VALOR ATENCIÓN (8 MESES)]]-Tabla4[[#This Row],[VALOR TOTAL]]</f>
        <v>0</v>
      </c>
      <c r="BG252" s="12" t="b">
        <f>EXACT(Tabla4[[#This Row],[TOTAL DESEMBOLSOS]],Tabla4[[#This Row],[VALOR ATENCIÓN (8 MESES)]])</f>
        <v>1</v>
      </c>
      <c r="BH252" s="29">
        <f>Tabla4[[#This Row],[TOTAL DESEMBOLSOS]]-Tabla4[[#This Row],[VALOR ATENCIÓN (8 MESES)]]</f>
        <v>0</v>
      </c>
      <c r="BI252" t="s">
        <v>98</v>
      </c>
      <c r="BJ252">
        <v>1905</v>
      </c>
    </row>
    <row r="253" spans="1:62">
      <c r="A253" s="13">
        <v>1905</v>
      </c>
      <c r="B253" s="13" t="s">
        <v>578</v>
      </c>
      <c r="C253" s="12" t="s">
        <v>87</v>
      </c>
      <c r="D253" s="12" t="s">
        <v>579</v>
      </c>
      <c r="E253" s="12" t="s">
        <v>594</v>
      </c>
      <c r="F253" s="12" t="s">
        <v>21</v>
      </c>
      <c r="G253" s="12" t="s">
        <v>90</v>
      </c>
      <c r="H253" s="12" t="s">
        <v>636</v>
      </c>
      <c r="I253" s="12">
        <v>51381150453</v>
      </c>
      <c r="J253" s="12" t="s">
        <v>637</v>
      </c>
      <c r="K253" s="12">
        <v>1</v>
      </c>
      <c r="L253" s="12">
        <v>21</v>
      </c>
      <c r="M253" s="12"/>
      <c r="N253" s="13">
        <v>1905</v>
      </c>
      <c r="O253" s="12" t="s">
        <v>93</v>
      </c>
      <c r="P253" s="12"/>
      <c r="Q253" s="12"/>
      <c r="R253" s="12" t="s">
        <v>94</v>
      </c>
      <c r="S253" s="12">
        <v>10</v>
      </c>
      <c r="T253" s="12" t="s">
        <v>583</v>
      </c>
      <c r="U253" s="12" t="s">
        <v>584</v>
      </c>
      <c r="V253" s="12">
        <f>VLOOKUP(Tabla4[[#This Row],[ZONA DEFINITIVO]],Hoja1!$A$1:$D$121,3,0)</f>
        <v>229071</v>
      </c>
      <c r="W253" s="12">
        <f>VLOOKUP(Tabla4[[#This Row],[ZONA DEFINITIVO]],Hoja1!$A$1:$D$121,2,0)</f>
        <v>15180</v>
      </c>
      <c r="X253" s="12">
        <f>VLOOKUP(Tabla4[[#This Row],[ZONA DEFINITIVO]],Hoja1!$A$1:$D$121,4,0)</f>
        <v>82125</v>
      </c>
      <c r="Y253" s="12" t="str">
        <f>+IF(Tabla4[[#This Row],[AGRUPACIONES]]=1,SUMIFS(Tabla4[UDS],Tabla4[ZONA DEFINITIVO],Tabla4[[#This Row],[ZONA DEFINITIVO]])," ")</f>
        <v xml:space="preserve"> </v>
      </c>
      <c r="Z253" s="12" t="str">
        <f>+IF(Tabla4[[#This Row],[AGRUPACIONES]]=1,SUMIFS(Tabla4[TOTAL COBERTURA],Tabla4[ZONA DEFINITIVO],Tabla4[[#This Row],[ZONA DEFINITIVO]])," ")</f>
        <v xml:space="preserve"> </v>
      </c>
      <c r="AA253" s="12"/>
      <c r="AB253" s="38">
        <v>31905405</v>
      </c>
      <c r="AC253" s="37">
        <v>0.02</v>
      </c>
      <c r="AD253" s="38">
        <f t="shared" si="4"/>
        <v>638108.1</v>
      </c>
      <c r="AE253" s="12"/>
      <c r="AF253" s="12">
        <f>COUNTIF($A$20:A253,A253)</f>
        <v>29</v>
      </c>
      <c r="AG253" s="38">
        <v>31905405</v>
      </c>
      <c r="AH253" s="38">
        <f>Tabla4[[#This Row],[VALOR CONTRAPARTIDA]]+Tabla4[[#This Row],[TOTAL APORTES ICBF]]</f>
        <v>32543513.100000001</v>
      </c>
      <c r="AI253" s="35"/>
      <c r="AJ253" s="38"/>
      <c r="AK253" s="38"/>
      <c r="AL253" s="23"/>
      <c r="AM253" s="35">
        <f>VLOOKUP(Tabla4[[#This Row],[SERVICIO 2025]],$J$2:$V$14,5,0)*Tabla4[[#This Row],[TOTAL COBERTURA]]</f>
        <v>981624</v>
      </c>
      <c r="AN253" s="35">
        <f>VLOOKUP(Tabla4[[#This Row],[SERVICIO 2025]],$J$2:$V$14,6,0)*Tabla4[[#This Row],[TOTAL COBERTURA]]</f>
        <v>794661</v>
      </c>
      <c r="AO253" s="35">
        <f>VLOOKUP(Tabla4[[#This Row],[SERVICIO 2025]],$J$2:$V$14,8,0)*Tabla4[[#This Row],[TOTAL COBERTURA]]</f>
        <v>0</v>
      </c>
      <c r="AP253" s="35">
        <f>VLOOKUP(Tabla4[[#This Row],[SERVICIO 2025]],$J$2:$V$14,3,0)*Tabla4[[#This Row],[TOTAL COBERTURA]]*8</f>
        <v>30129120</v>
      </c>
      <c r="AQ253" s="35"/>
      <c r="AR253" s="35">
        <f>Tabla4[[#This Row],[VALOR FASE PREPARATORIA DE ALISTAMIENTO]]+Tabla4[[#This Row],[VALOR FASE PREPARATORIA DE CIERRE]]+Tabla4[[#This Row],[DOTACIÓN ÚNICA]]+Tabla4[[#This Row],[VALOR ATENCIÓN]]+Tabla4[[#This Row],[VALOR RACION PREPARADA]]</f>
        <v>31905405</v>
      </c>
      <c r="AS253" s="35" t="str">
        <f>+IF(Tabla4[[#This Row],[AGRUPACIONES]]=1,SUMIFS(Tabla4[VALOR TOTAL],Tabla4[ZONA DEFINITIVO],Tabla4[[#This Row],[ZONA DEFINITIVO]])," ")</f>
        <v xml:space="preserve"> </v>
      </c>
      <c r="AT253" s="27">
        <f>(VLOOKUP(Tabla4[[#This Row],[SERVICIO 2025]],$J$2:$V$14,3,0)*Tabla4[[#This Row],[TOTAL COBERTURA]])+Tabla4[[#This Row],[VALOR FASE PREPARATORIA DE ALISTAMIENTO]]+Tabla4[[#This Row],[DOTACIÓN ÚNICA]]</f>
        <v>4747764</v>
      </c>
      <c r="AU253" s="35">
        <f>(VLOOKUP(Tabla4[[#This Row],[SERVICIO 2025]],$J$2:$V$14,3,0)*Tabla4[[#This Row],[TOTAL COBERTURA]])</f>
        <v>3766140</v>
      </c>
      <c r="AV253" s="35">
        <f>(VLOOKUP(Tabla4[[#This Row],[SERVICIO 2025]],$J$2:$V$14,3,0)*Tabla4[[#This Row],[TOTAL COBERTURA]])</f>
        <v>3766140</v>
      </c>
      <c r="AW253" s="35">
        <f>(VLOOKUP(Tabla4[[#This Row],[SERVICIO 2025]],$J$2:$V$14,3,0)*Tabla4[[#This Row],[TOTAL COBERTURA]])</f>
        <v>3766140</v>
      </c>
      <c r="AX253" s="35">
        <f>(VLOOKUP(Tabla4[[#This Row],[SERVICIO 2025]],$J$2:$V$14,3,0)*Tabla4[[#This Row],[TOTAL COBERTURA]])</f>
        <v>3766140</v>
      </c>
      <c r="AY253" s="35">
        <f>(VLOOKUP(Tabla4[[#This Row],[SERVICIO 2025]],$J$2:$V$14,3,0)*Tabla4[[#This Row],[TOTAL COBERTURA]])</f>
        <v>3766140</v>
      </c>
      <c r="AZ253" s="35">
        <f>(VLOOKUP(Tabla4[[#This Row],[SERVICIO 2025]],$J$2:$V$14,3,0)*Tabla4[[#This Row],[TOTAL COBERTURA]])</f>
        <v>3766140</v>
      </c>
      <c r="BA253" s="35">
        <f>(VLOOKUP(Tabla4[[#This Row],[SERVICIO 2025]],$J$2:$V$14,3,0)*Tabla4[[#This Row],[TOTAL COBERTURA]])+Tabla4[[#This Row],[VALOR FASE PREPARATORIA DE CIERRE]]</f>
        <v>4560801</v>
      </c>
      <c r="BB253" s="35">
        <f>SUM(Tabla4[[#This Row],[DESEMBOLSO 1]:[DESEMBOLSO 8]])</f>
        <v>31905405</v>
      </c>
      <c r="BC253" s="35">
        <f>VLOOKUP(Tabla4[[#This Row],[SERVICIO 2025]],$J$2:$V$14,10,0)*Tabla4[[#This Row],[TOTAL COBERTURA]]*$W$3</f>
        <v>31637928</v>
      </c>
      <c r="BD253" s="47" t="s">
        <v>211</v>
      </c>
      <c r="BE253" s="12" t="b">
        <f>EXACT(Tabla4[[#This Row],[VALOR ATENCIÓN (8 MESES)]],Tabla4[[#This Row],[VALOR TOTAL]])</f>
        <v>1</v>
      </c>
      <c r="BF253" s="23">
        <f>Tabla4[[#This Row],[VALOR ATENCIÓN (8 MESES)]]-Tabla4[[#This Row],[VALOR TOTAL]]</f>
        <v>0</v>
      </c>
      <c r="BG253" s="12" t="b">
        <f>EXACT(Tabla4[[#This Row],[TOTAL DESEMBOLSOS]],Tabla4[[#This Row],[VALOR ATENCIÓN (8 MESES)]])</f>
        <v>1</v>
      </c>
      <c r="BH253" s="29">
        <f>Tabla4[[#This Row],[TOTAL DESEMBOLSOS]]-Tabla4[[#This Row],[VALOR ATENCIÓN (8 MESES)]]</f>
        <v>0</v>
      </c>
      <c r="BI253" t="s">
        <v>98</v>
      </c>
      <c r="BJ253">
        <v>1905</v>
      </c>
    </row>
    <row r="254" spans="1:62">
      <c r="A254" s="13">
        <v>1905</v>
      </c>
      <c r="B254" s="13" t="s">
        <v>578</v>
      </c>
      <c r="C254" s="12" t="s">
        <v>87</v>
      </c>
      <c r="D254" s="12" t="s">
        <v>579</v>
      </c>
      <c r="E254" s="12" t="s">
        <v>594</v>
      </c>
      <c r="F254" s="12" t="s">
        <v>21</v>
      </c>
      <c r="G254" s="12" t="s">
        <v>90</v>
      </c>
      <c r="H254" s="12" t="s">
        <v>638</v>
      </c>
      <c r="I254" s="12">
        <v>51381152914</v>
      </c>
      <c r="J254" s="12" t="s">
        <v>639</v>
      </c>
      <c r="K254" s="12">
        <v>1</v>
      </c>
      <c r="L254" s="12">
        <v>17</v>
      </c>
      <c r="M254" s="12"/>
      <c r="N254" s="13">
        <v>1905</v>
      </c>
      <c r="O254" s="12" t="s">
        <v>93</v>
      </c>
      <c r="P254" s="12"/>
      <c r="Q254" s="12"/>
      <c r="R254" s="12" t="s">
        <v>94</v>
      </c>
      <c r="S254" s="12">
        <v>10</v>
      </c>
      <c r="T254" s="12" t="s">
        <v>583</v>
      </c>
      <c r="U254" s="12" t="s">
        <v>584</v>
      </c>
      <c r="V254" s="12">
        <f>VLOOKUP(Tabla4[[#This Row],[ZONA DEFINITIVO]],Hoja1!$A$1:$D$121,3,0)</f>
        <v>229071</v>
      </c>
      <c r="W254" s="12">
        <f>VLOOKUP(Tabla4[[#This Row],[ZONA DEFINITIVO]],Hoja1!$A$1:$D$121,2,0)</f>
        <v>15180</v>
      </c>
      <c r="X254" s="12">
        <f>VLOOKUP(Tabla4[[#This Row],[ZONA DEFINITIVO]],Hoja1!$A$1:$D$121,4,0)</f>
        <v>82125</v>
      </c>
      <c r="Y254" s="12" t="str">
        <f>+IF(Tabla4[[#This Row],[AGRUPACIONES]]=1,SUMIFS(Tabla4[UDS],Tabla4[ZONA DEFINITIVO],Tabla4[[#This Row],[ZONA DEFINITIVO]])," ")</f>
        <v xml:space="preserve"> </v>
      </c>
      <c r="Z254" s="12" t="str">
        <f>+IF(Tabla4[[#This Row],[AGRUPACIONES]]=1,SUMIFS(Tabla4[TOTAL COBERTURA],Tabla4[ZONA DEFINITIVO],Tabla4[[#This Row],[ZONA DEFINITIVO]])," ")</f>
        <v xml:space="preserve"> </v>
      </c>
      <c r="AA254" s="12"/>
      <c r="AB254" s="38">
        <v>25828185</v>
      </c>
      <c r="AC254" s="37">
        <v>0.02</v>
      </c>
      <c r="AD254" s="38">
        <f t="shared" si="4"/>
        <v>516563.7</v>
      </c>
      <c r="AE254" s="12"/>
      <c r="AF254" s="12">
        <f>COUNTIF($A$20:A254,A254)</f>
        <v>30</v>
      </c>
      <c r="AG254" s="38">
        <v>25828185</v>
      </c>
      <c r="AH254" s="38">
        <f>Tabla4[[#This Row],[VALOR CONTRAPARTIDA]]+Tabla4[[#This Row],[TOTAL APORTES ICBF]]</f>
        <v>26344748.699999999</v>
      </c>
      <c r="AI254" s="35"/>
      <c r="AJ254" s="38"/>
      <c r="AK254" s="38"/>
      <c r="AL254" s="23"/>
      <c r="AM254" s="35">
        <f>VLOOKUP(Tabla4[[#This Row],[SERVICIO 2025]],$J$2:$V$14,5,0)*Tabla4[[#This Row],[TOTAL COBERTURA]]</f>
        <v>794648</v>
      </c>
      <c r="AN254" s="35">
        <f>VLOOKUP(Tabla4[[#This Row],[SERVICIO 2025]],$J$2:$V$14,6,0)*Tabla4[[#This Row],[TOTAL COBERTURA]]</f>
        <v>643297</v>
      </c>
      <c r="AO254" s="35">
        <f>VLOOKUP(Tabla4[[#This Row],[SERVICIO 2025]],$J$2:$V$14,8,0)*Tabla4[[#This Row],[TOTAL COBERTURA]]</f>
        <v>0</v>
      </c>
      <c r="AP254" s="35">
        <f>VLOOKUP(Tabla4[[#This Row],[SERVICIO 2025]],$J$2:$V$14,3,0)*Tabla4[[#This Row],[TOTAL COBERTURA]]*8</f>
        <v>24390240</v>
      </c>
      <c r="AQ254" s="35"/>
      <c r="AR254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254" s="35" t="str">
        <f>+IF(Tabla4[[#This Row],[AGRUPACIONES]]=1,SUMIFS(Tabla4[VALOR TOTAL],Tabla4[ZONA DEFINITIVO],Tabla4[[#This Row],[ZONA DEFINITIVO]])," ")</f>
        <v xml:space="preserve"> </v>
      </c>
      <c r="AT254" s="27">
        <f>(VLOOKUP(Tabla4[[#This Row],[SERVICIO 2025]],$J$2:$V$14,3,0)*Tabla4[[#This Row],[TOTAL COBERTURA]])+Tabla4[[#This Row],[VALOR FASE PREPARATORIA DE ALISTAMIENTO]]+Tabla4[[#This Row],[DOTACIÓN ÚNICA]]</f>
        <v>3843428</v>
      </c>
      <c r="AU254" s="35">
        <f>(VLOOKUP(Tabla4[[#This Row],[SERVICIO 2025]],$J$2:$V$14,3,0)*Tabla4[[#This Row],[TOTAL COBERTURA]])</f>
        <v>3048780</v>
      </c>
      <c r="AV254" s="35">
        <f>(VLOOKUP(Tabla4[[#This Row],[SERVICIO 2025]],$J$2:$V$14,3,0)*Tabla4[[#This Row],[TOTAL COBERTURA]])</f>
        <v>3048780</v>
      </c>
      <c r="AW254" s="35">
        <f>(VLOOKUP(Tabla4[[#This Row],[SERVICIO 2025]],$J$2:$V$14,3,0)*Tabla4[[#This Row],[TOTAL COBERTURA]])</f>
        <v>3048780</v>
      </c>
      <c r="AX254" s="35">
        <f>(VLOOKUP(Tabla4[[#This Row],[SERVICIO 2025]],$J$2:$V$14,3,0)*Tabla4[[#This Row],[TOTAL COBERTURA]])</f>
        <v>3048780</v>
      </c>
      <c r="AY254" s="35">
        <f>(VLOOKUP(Tabla4[[#This Row],[SERVICIO 2025]],$J$2:$V$14,3,0)*Tabla4[[#This Row],[TOTAL COBERTURA]])</f>
        <v>3048780</v>
      </c>
      <c r="AZ254" s="35">
        <f>(VLOOKUP(Tabla4[[#This Row],[SERVICIO 2025]],$J$2:$V$14,3,0)*Tabla4[[#This Row],[TOTAL COBERTURA]])</f>
        <v>3048780</v>
      </c>
      <c r="BA254" s="35">
        <f>(VLOOKUP(Tabla4[[#This Row],[SERVICIO 2025]],$J$2:$V$14,3,0)*Tabla4[[#This Row],[TOTAL COBERTURA]])+Tabla4[[#This Row],[VALOR FASE PREPARATORIA DE CIERRE]]</f>
        <v>3692077</v>
      </c>
      <c r="BB254" s="35">
        <f>SUM(Tabla4[[#This Row],[DESEMBOLSO 1]:[DESEMBOLSO 8]])</f>
        <v>25828185</v>
      </c>
      <c r="BC254" s="35">
        <f>VLOOKUP(Tabla4[[#This Row],[SERVICIO 2025]],$J$2:$V$14,10,0)*Tabla4[[#This Row],[TOTAL COBERTURA]]*$W$3</f>
        <v>25611656</v>
      </c>
      <c r="BD254" s="47" t="s">
        <v>211</v>
      </c>
      <c r="BE254" s="12" t="b">
        <f>EXACT(Tabla4[[#This Row],[VALOR ATENCIÓN (8 MESES)]],Tabla4[[#This Row],[VALOR TOTAL]])</f>
        <v>1</v>
      </c>
      <c r="BF254" s="23">
        <f>Tabla4[[#This Row],[VALOR ATENCIÓN (8 MESES)]]-Tabla4[[#This Row],[VALOR TOTAL]]</f>
        <v>0</v>
      </c>
      <c r="BG254" s="12" t="b">
        <f>EXACT(Tabla4[[#This Row],[TOTAL DESEMBOLSOS]],Tabla4[[#This Row],[VALOR ATENCIÓN (8 MESES)]])</f>
        <v>1</v>
      </c>
      <c r="BH254" s="29">
        <f>Tabla4[[#This Row],[TOTAL DESEMBOLSOS]]-Tabla4[[#This Row],[VALOR ATENCIÓN (8 MESES)]]</f>
        <v>0</v>
      </c>
      <c r="BI254" t="s">
        <v>98</v>
      </c>
      <c r="BJ254">
        <v>1905</v>
      </c>
    </row>
    <row r="255" spans="1:62">
      <c r="A255" s="13">
        <v>1905</v>
      </c>
      <c r="B255" s="13" t="s">
        <v>578</v>
      </c>
      <c r="C255" s="12" t="s">
        <v>87</v>
      </c>
      <c r="D255" s="12" t="s">
        <v>579</v>
      </c>
      <c r="E255" s="12" t="s">
        <v>594</v>
      </c>
      <c r="F255" s="12" t="s">
        <v>21</v>
      </c>
      <c r="G255" s="12" t="s">
        <v>90</v>
      </c>
      <c r="H255" s="12" t="s">
        <v>640</v>
      </c>
      <c r="I255" s="12">
        <v>51381152990</v>
      </c>
      <c r="J255" s="12" t="s">
        <v>641</v>
      </c>
      <c r="K255" s="12">
        <v>1</v>
      </c>
      <c r="L255" s="12">
        <v>23</v>
      </c>
      <c r="M255" s="12"/>
      <c r="N255" s="13">
        <v>1905</v>
      </c>
      <c r="O255" s="12" t="s">
        <v>93</v>
      </c>
      <c r="P255" s="12"/>
      <c r="Q255" s="12"/>
      <c r="R255" s="12" t="s">
        <v>94</v>
      </c>
      <c r="S255" s="12">
        <v>10</v>
      </c>
      <c r="T255" s="12" t="s">
        <v>583</v>
      </c>
      <c r="U255" s="12" t="s">
        <v>584</v>
      </c>
      <c r="V255" s="12">
        <f>VLOOKUP(Tabla4[[#This Row],[ZONA DEFINITIVO]],Hoja1!$A$1:$D$121,3,0)</f>
        <v>229071</v>
      </c>
      <c r="W255" s="12">
        <f>VLOOKUP(Tabla4[[#This Row],[ZONA DEFINITIVO]],Hoja1!$A$1:$D$121,2,0)</f>
        <v>15180</v>
      </c>
      <c r="X255" s="12">
        <f>VLOOKUP(Tabla4[[#This Row],[ZONA DEFINITIVO]],Hoja1!$A$1:$D$121,4,0)</f>
        <v>82125</v>
      </c>
      <c r="Y255" s="12" t="str">
        <f>+IF(Tabla4[[#This Row],[AGRUPACIONES]]=1,SUMIFS(Tabla4[UDS],Tabla4[ZONA DEFINITIVO],Tabla4[[#This Row],[ZONA DEFINITIVO]])," ")</f>
        <v xml:space="preserve"> </v>
      </c>
      <c r="Z255" s="12" t="str">
        <f>+IF(Tabla4[[#This Row],[AGRUPACIONES]]=1,SUMIFS(Tabla4[TOTAL COBERTURA],Tabla4[ZONA DEFINITIVO],Tabla4[[#This Row],[ZONA DEFINITIVO]])," ")</f>
        <v xml:space="preserve"> </v>
      </c>
      <c r="AA255" s="12"/>
      <c r="AB255" s="38">
        <v>34944015</v>
      </c>
      <c r="AC255" s="37">
        <v>0.02</v>
      </c>
      <c r="AD255" s="38">
        <f t="shared" si="4"/>
        <v>698880.3</v>
      </c>
      <c r="AE255" s="12"/>
      <c r="AF255" s="12">
        <f>COUNTIF($A$20:A255,A255)</f>
        <v>31</v>
      </c>
      <c r="AG255" s="38">
        <v>34944015</v>
      </c>
      <c r="AH255" s="38">
        <f>Tabla4[[#This Row],[VALOR CONTRAPARTIDA]]+Tabla4[[#This Row],[TOTAL APORTES ICBF]]</f>
        <v>35642895.299999997</v>
      </c>
      <c r="AI255" s="35"/>
      <c r="AJ255" s="38"/>
      <c r="AK255" s="38"/>
      <c r="AL255" s="23"/>
      <c r="AM255" s="35">
        <f>VLOOKUP(Tabla4[[#This Row],[SERVICIO 2025]],$J$2:$V$14,5,0)*Tabla4[[#This Row],[TOTAL COBERTURA]]</f>
        <v>1075112</v>
      </c>
      <c r="AN255" s="35">
        <f>VLOOKUP(Tabla4[[#This Row],[SERVICIO 2025]],$J$2:$V$14,6,0)*Tabla4[[#This Row],[TOTAL COBERTURA]]</f>
        <v>870343</v>
      </c>
      <c r="AO255" s="35">
        <f>VLOOKUP(Tabla4[[#This Row],[SERVICIO 2025]],$J$2:$V$14,8,0)*Tabla4[[#This Row],[TOTAL COBERTURA]]</f>
        <v>0</v>
      </c>
      <c r="AP255" s="35">
        <f>VLOOKUP(Tabla4[[#This Row],[SERVICIO 2025]],$J$2:$V$14,3,0)*Tabla4[[#This Row],[TOTAL COBERTURA]]*8</f>
        <v>32998560</v>
      </c>
      <c r="AQ255" s="35"/>
      <c r="AR255" s="35">
        <f>Tabla4[[#This Row],[VALOR FASE PREPARATORIA DE ALISTAMIENTO]]+Tabla4[[#This Row],[VALOR FASE PREPARATORIA DE CIERRE]]+Tabla4[[#This Row],[DOTACIÓN ÚNICA]]+Tabla4[[#This Row],[VALOR ATENCIÓN]]+Tabla4[[#This Row],[VALOR RACION PREPARADA]]</f>
        <v>34944015</v>
      </c>
      <c r="AS255" s="35" t="str">
        <f>+IF(Tabla4[[#This Row],[AGRUPACIONES]]=1,SUMIFS(Tabla4[VALOR TOTAL],Tabla4[ZONA DEFINITIVO],Tabla4[[#This Row],[ZONA DEFINITIVO]])," ")</f>
        <v xml:space="preserve"> </v>
      </c>
      <c r="AT255" s="27">
        <f>(VLOOKUP(Tabla4[[#This Row],[SERVICIO 2025]],$J$2:$V$14,3,0)*Tabla4[[#This Row],[TOTAL COBERTURA]])+Tabla4[[#This Row],[VALOR FASE PREPARATORIA DE ALISTAMIENTO]]+Tabla4[[#This Row],[DOTACIÓN ÚNICA]]</f>
        <v>5199932</v>
      </c>
      <c r="AU255" s="35">
        <f>(VLOOKUP(Tabla4[[#This Row],[SERVICIO 2025]],$J$2:$V$14,3,0)*Tabla4[[#This Row],[TOTAL COBERTURA]])</f>
        <v>4124820</v>
      </c>
      <c r="AV255" s="35">
        <f>(VLOOKUP(Tabla4[[#This Row],[SERVICIO 2025]],$J$2:$V$14,3,0)*Tabla4[[#This Row],[TOTAL COBERTURA]])</f>
        <v>4124820</v>
      </c>
      <c r="AW255" s="35">
        <f>(VLOOKUP(Tabla4[[#This Row],[SERVICIO 2025]],$J$2:$V$14,3,0)*Tabla4[[#This Row],[TOTAL COBERTURA]])</f>
        <v>4124820</v>
      </c>
      <c r="AX255" s="35">
        <f>(VLOOKUP(Tabla4[[#This Row],[SERVICIO 2025]],$J$2:$V$14,3,0)*Tabla4[[#This Row],[TOTAL COBERTURA]])</f>
        <v>4124820</v>
      </c>
      <c r="AY255" s="35">
        <f>(VLOOKUP(Tabla4[[#This Row],[SERVICIO 2025]],$J$2:$V$14,3,0)*Tabla4[[#This Row],[TOTAL COBERTURA]])</f>
        <v>4124820</v>
      </c>
      <c r="AZ255" s="35">
        <f>(VLOOKUP(Tabla4[[#This Row],[SERVICIO 2025]],$J$2:$V$14,3,0)*Tabla4[[#This Row],[TOTAL COBERTURA]])</f>
        <v>4124820</v>
      </c>
      <c r="BA255" s="35">
        <f>(VLOOKUP(Tabla4[[#This Row],[SERVICIO 2025]],$J$2:$V$14,3,0)*Tabla4[[#This Row],[TOTAL COBERTURA]])+Tabla4[[#This Row],[VALOR FASE PREPARATORIA DE CIERRE]]</f>
        <v>4995163</v>
      </c>
      <c r="BB255" s="35">
        <f>SUM(Tabla4[[#This Row],[DESEMBOLSO 1]:[DESEMBOLSO 8]])</f>
        <v>34944015</v>
      </c>
      <c r="BC255" s="35">
        <f>VLOOKUP(Tabla4[[#This Row],[SERVICIO 2025]],$J$2:$V$14,10,0)*Tabla4[[#This Row],[TOTAL COBERTURA]]*$W$3</f>
        <v>34651064</v>
      </c>
      <c r="BD255" s="47" t="s">
        <v>211</v>
      </c>
      <c r="BE255" s="12" t="b">
        <f>EXACT(Tabla4[[#This Row],[VALOR ATENCIÓN (8 MESES)]],Tabla4[[#This Row],[VALOR TOTAL]])</f>
        <v>1</v>
      </c>
      <c r="BF255" s="23">
        <f>Tabla4[[#This Row],[VALOR ATENCIÓN (8 MESES)]]-Tabla4[[#This Row],[VALOR TOTAL]]</f>
        <v>0</v>
      </c>
      <c r="BG255" s="12" t="b">
        <f>EXACT(Tabla4[[#This Row],[TOTAL DESEMBOLSOS]],Tabla4[[#This Row],[VALOR ATENCIÓN (8 MESES)]])</f>
        <v>1</v>
      </c>
      <c r="BH255" s="29">
        <f>Tabla4[[#This Row],[TOTAL DESEMBOLSOS]]-Tabla4[[#This Row],[VALOR ATENCIÓN (8 MESES)]]</f>
        <v>0</v>
      </c>
      <c r="BI255" t="s">
        <v>98</v>
      </c>
      <c r="BJ255">
        <v>1905</v>
      </c>
    </row>
    <row r="256" spans="1:62">
      <c r="A256" s="13">
        <v>1905</v>
      </c>
      <c r="B256" s="13" t="s">
        <v>578</v>
      </c>
      <c r="C256" s="12" t="s">
        <v>87</v>
      </c>
      <c r="D256" s="12" t="s">
        <v>579</v>
      </c>
      <c r="E256" s="12" t="s">
        <v>594</v>
      </c>
      <c r="F256" s="12" t="s">
        <v>14</v>
      </c>
      <c r="G256" s="12" t="s">
        <v>90</v>
      </c>
      <c r="H256" s="12" t="s">
        <v>642</v>
      </c>
      <c r="I256" s="12">
        <v>513800080717</v>
      </c>
      <c r="J256" s="12" t="s">
        <v>643</v>
      </c>
      <c r="K256" s="12">
        <v>1</v>
      </c>
      <c r="L256" s="12">
        <v>35</v>
      </c>
      <c r="M256" s="12"/>
      <c r="N256" s="13">
        <v>1905</v>
      </c>
      <c r="O256" s="12" t="s">
        <v>93</v>
      </c>
      <c r="P256" s="12"/>
      <c r="Q256" s="12"/>
      <c r="R256" s="12" t="s">
        <v>94</v>
      </c>
      <c r="S256" s="12">
        <v>10</v>
      </c>
      <c r="T256" s="12" t="s">
        <v>583</v>
      </c>
      <c r="U256" s="12" t="s">
        <v>584</v>
      </c>
      <c r="V256" s="12">
        <f>VLOOKUP(Tabla4[[#This Row],[ZONA DEFINITIVO]],Hoja1!$A$1:$D$121,3,0)</f>
        <v>229071</v>
      </c>
      <c r="W256" s="12">
        <f>VLOOKUP(Tabla4[[#This Row],[ZONA DEFINITIVO]],Hoja1!$A$1:$D$121,2,0)</f>
        <v>15180</v>
      </c>
      <c r="X256" s="12">
        <f>VLOOKUP(Tabla4[[#This Row],[ZONA DEFINITIVO]],Hoja1!$A$1:$D$121,4,0)</f>
        <v>82125</v>
      </c>
      <c r="Y256" s="12" t="str">
        <f>+IF(Tabla4[[#This Row],[AGRUPACIONES]]=1,SUMIFS(Tabla4[UDS],Tabla4[ZONA DEFINITIVO],Tabla4[[#This Row],[ZONA DEFINITIVO]])," ")</f>
        <v xml:space="preserve"> </v>
      </c>
      <c r="Z256" s="12" t="str">
        <f>+IF(Tabla4[[#This Row],[AGRUPACIONES]]=1,SUMIFS(Tabla4[TOTAL COBERTURA],Tabla4[ZONA DEFINITIVO],Tabla4[[#This Row],[ZONA DEFINITIVO]])," ")</f>
        <v xml:space="preserve"> </v>
      </c>
      <c r="AA256" s="12"/>
      <c r="AB256" s="38">
        <v>146609750</v>
      </c>
      <c r="AC256" s="37">
        <v>0.02</v>
      </c>
      <c r="AD256" s="38">
        <f t="shared" si="4"/>
        <v>2932195</v>
      </c>
      <c r="AE256" s="12"/>
      <c r="AF256" s="12">
        <f>COUNTIF($A$20:A256,A256)</f>
        <v>32</v>
      </c>
      <c r="AG256" s="38">
        <v>146609750</v>
      </c>
      <c r="AH256" s="38">
        <f>Tabla4[[#This Row],[VALOR CONTRAPARTIDA]]+Tabla4[[#This Row],[TOTAL APORTES ICBF]]</f>
        <v>149541945</v>
      </c>
      <c r="AI256" s="35"/>
      <c r="AJ256" s="38"/>
      <c r="AK256" s="38"/>
      <c r="AL256" s="23"/>
      <c r="AM256" s="35">
        <f>VLOOKUP(Tabla4[[#This Row],[SERVICIO 2025]],$J$2:$V$14,5,0)*Tabla4[[#This Row],[TOTAL COBERTURA]]</f>
        <v>3085005</v>
      </c>
      <c r="AN256" s="35">
        <f>VLOOKUP(Tabla4[[#This Row],[SERVICIO 2025]],$J$2:$V$14,6,0)*Tabla4[[#This Row],[TOTAL COBERTURA]]</f>
        <v>2626505</v>
      </c>
      <c r="AO256" s="35">
        <f>VLOOKUP(Tabla4[[#This Row],[SERVICIO 2025]],$J$2:$V$14,8,0)*Tabla4[[#This Row],[TOTAL COBERTURA]]</f>
        <v>0</v>
      </c>
      <c r="AP256" s="35">
        <f>VLOOKUP(Tabla4[[#This Row],[SERVICIO 2025]],$J$2:$V$14,3,0)*Tabla4[[#This Row],[TOTAL COBERTURA]]*8</f>
        <v>140898240</v>
      </c>
      <c r="AQ256" s="35"/>
      <c r="AR256" s="35">
        <f>Tabla4[[#This Row],[VALOR FASE PREPARATORIA DE ALISTAMIENTO]]+Tabla4[[#This Row],[VALOR FASE PREPARATORIA DE CIERRE]]+Tabla4[[#This Row],[DOTACIÓN ÚNICA]]+Tabla4[[#This Row],[VALOR ATENCIÓN]]+Tabla4[[#This Row],[VALOR RACION PREPARADA]]</f>
        <v>146609750</v>
      </c>
      <c r="AS256" s="35" t="str">
        <f>+IF(Tabla4[[#This Row],[AGRUPACIONES]]=1,SUMIFS(Tabla4[VALOR TOTAL],Tabla4[ZONA DEFINITIVO],Tabla4[[#This Row],[ZONA DEFINITIVO]])," ")</f>
        <v xml:space="preserve"> </v>
      </c>
      <c r="AT256" s="27">
        <f>(VLOOKUP(Tabla4[[#This Row],[SERVICIO 2025]],$J$2:$V$14,3,0)*Tabla4[[#This Row],[TOTAL COBERTURA]])+Tabla4[[#This Row],[VALOR FASE PREPARATORIA DE ALISTAMIENTO]]+Tabla4[[#This Row],[DOTACIÓN ÚNICA]]</f>
        <v>20697285</v>
      </c>
      <c r="AU256" s="35">
        <f>(VLOOKUP(Tabla4[[#This Row],[SERVICIO 2025]],$J$2:$V$14,3,0)*Tabla4[[#This Row],[TOTAL COBERTURA]])</f>
        <v>17612280</v>
      </c>
      <c r="AV256" s="35">
        <f>(VLOOKUP(Tabla4[[#This Row],[SERVICIO 2025]],$J$2:$V$14,3,0)*Tabla4[[#This Row],[TOTAL COBERTURA]])</f>
        <v>17612280</v>
      </c>
      <c r="AW256" s="35">
        <f>(VLOOKUP(Tabla4[[#This Row],[SERVICIO 2025]],$J$2:$V$14,3,0)*Tabla4[[#This Row],[TOTAL COBERTURA]])</f>
        <v>17612280</v>
      </c>
      <c r="AX256" s="35">
        <f>(VLOOKUP(Tabla4[[#This Row],[SERVICIO 2025]],$J$2:$V$14,3,0)*Tabla4[[#This Row],[TOTAL COBERTURA]])</f>
        <v>17612280</v>
      </c>
      <c r="AY256" s="35">
        <f>(VLOOKUP(Tabla4[[#This Row],[SERVICIO 2025]],$J$2:$V$14,3,0)*Tabla4[[#This Row],[TOTAL COBERTURA]])</f>
        <v>17612280</v>
      </c>
      <c r="AZ256" s="35">
        <f>(VLOOKUP(Tabla4[[#This Row],[SERVICIO 2025]],$J$2:$V$14,3,0)*Tabla4[[#This Row],[TOTAL COBERTURA]])</f>
        <v>17612280</v>
      </c>
      <c r="BA256" s="35">
        <f>(VLOOKUP(Tabla4[[#This Row],[SERVICIO 2025]],$J$2:$V$14,3,0)*Tabla4[[#This Row],[TOTAL COBERTURA]])+Tabla4[[#This Row],[VALOR FASE PREPARATORIA DE CIERRE]]</f>
        <v>20238785</v>
      </c>
      <c r="BB256" s="35">
        <f>SUM(Tabla4[[#This Row],[DESEMBOLSO 1]:[DESEMBOLSO 8]])</f>
        <v>146609750</v>
      </c>
      <c r="BC256" s="35">
        <f>VLOOKUP(Tabla4[[#This Row],[SERVICIO 2025]],$J$2:$V$14,10,0)*Tabla4[[#This Row],[TOTAL COBERTURA]]*$W$3</f>
        <v>0</v>
      </c>
      <c r="BD256" s="47" t="s">
        <v>145</v>
      </c>
      <c r="BE256" s="12" t="b">
        <f>EXACT(Tabla4[[#This Row],[VALOR ATENCIÓN (8 MESES)]],Tabla4[[#This Row],[VALOR TOTAL]])</f>
        <v>1</v>
      </c>
      <c r="BF256" s="23">
        <f>Tabla4[[#This Row],[VALOR ATENCIÓN (8 MESES)]]-Tabla4[[#This Row],[VALOR TOTAL]]</f>
        <v>0</v>
      </c>
      <c r="BG256" s="12" t="b">
        <f>EXACT(Tabla4[[#This Row],[TOTAL DESEMBOLSOS]],Tabla4[[#This Row],[VALOR ATENCIÓN (8 MESES)]])</f>
        <v>1</v>
      </c>
      <c r="BH256" s="29">
        <f>Tabla4[[#This Row],[TOTAL DESEMBOLSOS]]-Tabla4[[#This Row],[VALOR ATENCIÓN (8 MESES)]]</f>
        <v>0</v>
      </c>
      <c r="BI256" t="s">
        <v>98</v>
      </c>
      <c r="BJ256">
        <v>1905</v>
      </c>
    </row>
    <row r="257" spans="1:62">
      <c r="A257" s="13">
        <v>1905</v>
      </c>
      <c r="B257" s="13" t="s">
        <v>578</v>
      </c>
      <c r="C257" s="12" t="s">
        <v>87</v>
      </c>
      <c r="D257" s="12" t="s">
        <v>579</v>
      </c>
      <c r="E257" s="12" t="s">
        <v>594</v>
      </c>
      <c r="F257" s="12" t="s">
        <v>14</v>
      </c>
      <c r="G257" s="12" t="s">
        <v>90</v>
      </c>
      <c r="H257" s="12" t="s">
        <v>644</v>
      </c>
      <c r="I257" s="12">
        <v>513800080721</v>
      </c>
      <c r="J257" s="12" t="s">
        <v>645</v>
      </c>
      <c r="K257" s="12">
        <v>1</v>
      </c>
      <c r="L257" s="12">
        <v>80</v>
      </c>
      <c r="M257" s="12"/>
      <c r="N257" s="13">
        <v>1905</v>
      </c>
      <c r="O257" s="12" t="s">
        <v>93</v>
      </c>
      <c r="P257" s="12"/>
      <c r="Q257" s="12"/>
      <c r="R257" s="12" t="s">
        <v>94</v>
      </c>
      <c r="S257" s="12">
        <v>10</v>
      </c>
      <c r="T257" s="12" t="s">
        <v>583</v>
      </c>
      <c r="U257" s="12" t="s">
        <v>584</v>
      </c>
      <c r="V257" s="12">
        <f>VLOOKUP(Tabla4[[#This Row],[ZONA DEFINITIVO]],Hoja1!$A$1:$D$121,3,0)</f>
        <v>229071</v>
      </c>
      <c r="W257" s="12">
        <f>VLOOKUP(Tabla4[[#This Row],[ZONA DEFINITIVO]],Hoja1!$A$1:$D$121,2,0)</f>
        <v>15180</v>
      </c>
      <c r="X257" s="12">
        <f>VLOOKUP(Tabla4[[#This Row],[ZONA DEFINITIVO]],Hoja1!$A$1:$D$121,4,0)</f>
        <v>82125</v>
      </c>
      <c r="Y257" s="12" t="str">
        <f>+IF(Tabla4[[#This Row],[AGRUPACIONES]]=1,SUMIFS(Tabla4[UDS],Tabla4[ZONA DEFINITIVO],Tabla4[[#This Row],[ZONA DEFINITIVO]])," ")</f>
        <v xml:space="preserve"> </v>
      </c>
      <c r="Z257" s="12" t="str">
        <f>+IF(Tabla4[[#This Row],[AGRUPACIONES]]=1,SUMIFS(Tabla4[TOTAL COBERTURA],Tabla4[ZONA DEFINITIVO],Tabla4[[#This Row],[ZONA DEFINITIVO]])," ")</f>
        <v xml:space="preserve"> </v>
      </c>
      <c r="AA257" s="12"/>
      <c r="AB257" s="38">
        <v>335108000</v>
      </c>
      <c r="AC257" s="37">
        <v>0.02</v>
      </c>
      <c r="AD257" s="38">
        <f t="shared" si="4"/>
        <v>6702160</v>
      </c>
      <c r="AE257" s="12"/>
      <c r="AF257" s="12">
        <f>COUNTIF($A$20:A257,A257)</f>
        <v>33</v>
      </c>
      <c r="AG257" s="38">
        <v>335108000</v>
      </c>
      <c r="AH257" s="38">
        <f>Tabla4[[#This Row],[VALOR CONTRAPARTIDA]]+Tabla4[[#This Row],[TOTAL APORTES ICBF]]</f>
        <v>341810160</v>
      </c>
      <c r="AI257" s="35"/>
      <c r="AJ257" s="38"/>
      <c r="AK257" s="38"/>
      <c r="AL257" s="23"/>
      <c r="AM257" s="35">
        <f>VLOOKUP(Tabla4[[#This Row],[SERVICIO 2025]],$J$2:$V$14,5,0)*Tabla4[[#This Row],[TOTAL COBERTURA]]</f>
        <v>7051440</v>
      </c>
      <c r="AN257" s="35">
        <f>VLOOKUP(Tabla4[[#This Row],[SERVICIO 2025]],$J$2:$V$14,6,0)*Tabla4[[#This Row],[TOTAL COBERTURA]]</f>
        <v>6003440</v>
      </c>
      <c r="AO257" s="35">
        <f>VLOOKUP(Tabla4[[#This Row],[SERVICIO 2025]],$J$2:$V$14,8,0)*Tabla4[[#This Row],[TOTAL COBERTURA]]</f>
        <v>0</v>
      </c>
      <c r="AP257" s="35">
        <f>VLOOKUP(Tabla4[[#This Row],[SERVICIO 2025]],$J$2:$V$14,3,0)*Tabla4[[#This Row],[TOTAL COBERTURA]]*8</f>
        <v>322053120</v>
      </c>
      <c r="AQ257" s="35"/>
      <c r="AR257" s="35">
        <f>Tabla4[[#This Row],[VALOR FASE PREPARATORIA DE ALISTAMIENTO]]+Tabla4[[#This Row],[VALOR FASE PREPARATORIA DE CIERRE]]+Tabla4[[#This Row],[DOTACIÓN ÚNICA]]+Tabla4[[#This Row],[VALOR ATENCIÓN]]+Tabla4[[#This Row],[VALOR RACION PREPARADA]]</f>
        <v>335108000</v>
      </c>
      <c r="AS257" s="35" t="str">
        <f>+IF(Tabla4[[#This Row],[AGRUPACIONES]]=1,SUMIFS(Tabla4[VALOR TOTAL],Tabla4[ZONA DEFINITIVO],Tabla4[[#This Row],[ZONA DEFINITIVO]])," ")</f>
        <v xml:space="preserve"> </v>
      </c>
      <c r="AT257" s="27">
        <f>(VLOOKUP(Tabla4[[#This Row],[SERVICIO 2025]],$J$2:$V$14,3,0)*Tabla4[[#This Row],[TOTAL COBERTURA]])+Tabla4[[#This Row],[VALOR FASE PREPARATORIA DE ALISTAMIENTO]]+Tabla4[[#This Row],[DOTACIÓN ÚNICA]]</f>
        <v>47308080</v>
      </c>
      <c r="AU257" s="35">
        <f>(VLOOKUP(Tabla4[[#This Row],[SERVICIO 2025]],$J$2:$V$14,3,0)*Tabla4[[#This Row],[TOTAL COBERTURA]])</f>
        <v>40256640</v>
      </c>
      <c r="AV257" s="35">
        <f>(VLOOKUP(Tabla4[[#This Row],[SERVICIO 2025]],$J$2:$V$14,3,0)*Tabla4[[#This Row],[TOTAL COBERTURA]])</f>
        <v>40256640</v>
      </c>
      <c r="AW257" s="35">
        <f>(VLOOKUP(Tabla4[[#This Row],[SERVICIO 2025]],$J$2:$V$14,3,0)*Tabla4[[#This Row],[TOTAL COBERTURA]])</f>
        <v>40256640</v>
      </c>
      <c r="AX257" s="35">
        <f>(VLOOKUP(Tabla4[[#This Row],[SERVICIO 2025]],$J$2:$V$14,3,0)*Tabla4[[#This Row],[TOTAL COBERTURA]])</f>
        <v>40256640</v>
      </c>
      <c r="AY257" s="35">
        <f>(VLOOKUP(Tabla4[[#This Row],[SERVICIO 2025]],$J$2:$V$14,3,0)*Tabla4[[#This Row],[TOTAL COBERTURA]])</f>
        <v>40256640</v>
      </c>
      <c r="AZ257" s="35">
        <f>(VLOOKUP(Tabla4[[#This Row],[SERVICIO 2025]],$J$2:$V$14,3,0)*Tabla4[[#This Row],[TOTAL COBERTURA]])</f>
        <v>40256640</v>
      </c>
      <c r="BA257" s="35">
        <f>(VLOOKUP(Tabla4[[#This Row],[SERVICIO 2025]],$J$2:$V$14,3,0)*Tabla4[[#This Row],[TOTAL COBERTURA]])+Tabla4[[#This Row],[VALOR FASE PREPARATORIA DE CIERRE]]</f>
        <v>46260080</v>
      </c>
      <c r="BB257" s="35">
        <f>SUM(Tabla4[[#This Row],[DESEMBOLSO 1]:[DESEMBOLSO 8]])</f>
        <v>335108000</v>
      </c>
      <c r="BC257" s="35">
        <f>VLOOKUP(Tabla4[[#This Row],[SERVICIO 2025]],$J$2:$V$14,10,0)*Tabla4[[#This Row],[TOTAL COBERTURA]]*$W$3</f>
        <v>0</v>
      </c>
      <c r="BD257" s="47" t="s">
        <v>145</v>
      </c>
      <c r="BE257" s="12" t="b">
        <f>EXACT(Tabla4[[#This Row],[VALOR ATENCIÓN (8 MESES)]],Tabla4[[#This Row],[VALOR TOTAL]])</f>
        <v>1</v>
      </c>
      <c r="BF257" s="23">
        <f>Tabla4[[#This Row],[VALOR ATENCIÓN (8 MESES)]]-Tabla4[[#This Row],[VALOR TOTAL]]</f>
        <v>0</v>
      </c>
      <c r="BG257" s="12" t="b">
        <f>EXACT(Tabla4[[#This Row],[TOTAL DESEMBOLSOS]],Tabla4[[#This Row],[VALOR ATENCIÓN (8 MESES)]])</f>
        <v>1</v>
      </c>
      <c r="BH257" s="29">
        <f>Tabla4[[#This Row],[TOTAL DESEMBOLSOS]]-Tabla4[[#This Row],[VALOR ATENCIÓN (8 MESES)]]</f>
        <v>0</v>
      </c>
      <c r="BI257" t="s">
        <v>98</v>
      </c>
      <c r="BJ257">
        <v>1905</v>
      </c>
    </row>
    <row r="258" spans="1:62">
      <c r="A258" s="13">
        <v>1905</v>
      </c>
      <c r="B258" s="13" t="s">
        <v>578</v>
      </c>
      <c r="C258" s="12" t="s">
        <v>87</v>
      </c>
      <c r="D258" s="12" t="s">
        <v>579</v>
      </c>
      <c r="E258" s="12" t="s">
        <v>594</v>
      </c>
      <c r="F258" s="12" t="s">
        <v>21</v>
      </c>
      <c r="G258" s="12" t="s">
        <v>90</v>
      </c>
      <c r="H258" s="12" t="s">
        <v>646</v>
      </c>
      <c r="I258" s="12">
        <v>513800085428</v>
      </c>
      <c r="J258" s="12" t="s">
        <v>647</v>
      </c>
      <c r="K258" s="12">
        <v>1</v>
      </c>
      <c r="L258" s="12">
        <v>21</v>
      </c>
      <c r="M258" s="12"/>
      <c r="N258" s="13">
        <v>1905</v>
      </c>
      <c r="O258" s="12" t="s">
        <v>93</v>
      </c>
      <c r="P258" s="12"/>
      <c r="Q258" s="12"/>
      <c r="R258" s="12" t="s">
        <v>94</v>
      </c>
      <c r="S258" s="12">
        <v>10</v>
      </c>
      <c r="T258" s="12" t="s">
        <v>583</v>
      </c>
      <c r="U258" s="12" t="s">
        <v>584</v>
      </c>
      <c r="V258" s="12">
        <f>VLOOKUP(Tabla4[[#This Row],[ZONA DEFINITIVO]],Hoja1!$A$1:$D$121,3,0)</f>
        <v>229071</v>
      </c>
      <c r="W258" s="12">
        <f>VLOOKUP(Tabla4[[#This Row],[ZONA DEFINITIVO]],Hoja1!$A$1:$D$121,2,0)</f>
        <v>15180</v>
      </c>
      <c r="X258" s="12">
        <f>VLOOKUP(Tabla4[[#This Row],[ZONA DEFINITIVO]],Hoja1!$A$1:$D$121,4,0)</f>
        <v>82125</v>
      </c>
      <c r="Y258" s="12" t="str">
        <f>+IF(Tabla4[[#This Row],[AGRUPACIONES]]=1,SUMIFS(Tabla4[UDS],Tabla4[ZONA DEFINITIVO],Tabla4[[#This Row],[ZONA DEFINITIVO]])," ")</f>
        <v xml:space="preserve"> </v>
      </c>
      <c r="Z258" s="12" t="str">
        <f>+IF(Tabla4[[#This Row],[AGRUPACIONES]]=1,SUMIFS(Tabla4[TOTAL COBERTURA],Tabla4[ZONA DEFINITIVO],Tabla4[[#This Row],[ZONA DEFINITIVO]])," ")</f>
        <v xml:space="preserve"> </v>
      </c>
      <c r="AA258" s="12"/>
      <c r="AB258" s="38">
        <v>31905405</v>
      </c>
      <c r="AC258" s="37">
        <v>0.02</v>
      </c>
      <c r="AD258" s="38">
        <f t="shared" si="4"/>
        <v>638108.1</v>
      </c>
      <c r="AE258" s="12"/>
      <c r="AF258" s="12">
        <f>COUNTIF($A$20:A258,A258)</f>
        <v>34</v>
      </c>
      <c r="AG258" s="38">
        <v>31905405</v>
      </c>
      <c r="AH258" s="38">
        <f>Tabla4[[#This Row],[VALOR CONTRAPARTIDA]]+Tabla4[[#This Row],[TOTAL APORTES ICBF]]</f>
        <v>32543513.100000001</v>
      </c>
      <c r="AI258" s="35"/>
      <c r="AJ258" s="38"/>
      <c r="AK258" s="38"/>
      <c r="AL258" s="23"/>
      <c r="AM258" s="35">
        <f>VLOOKUP(Tabla4[[#This Row],[SERVICIO 2025]],$J$2:$V$14,5,0)*Tabla4[[#This Row],[TOTAL COBERTURA]]</f>
        <v>981624</v>
      </c>
      <c r="AN258" s="35">
        <f>VLOOKUP(Tabla4[[#This Row],[SERVICIO 2025]],$J$2:$V$14,6,0)*Tabla4[[#This Row],[TOTAL COBERTURA]]</f>
        <v>794661</v>
      </c>
      <c r="AO258" s="35">
        <f>VLOOKUP(Tabla4[[#This Row],[SERVICIO 2025]],$J$2:$V$14,8,0)*Tabla4[[#This Row],[TOTAL COBERTURA]]</f>
        <v>0</v>
      </c>
      <c r="AP258" s="35">
        <f>VLOOKUP(Tabla4[[#This Row],[SERVICIO 2025]],$J$2:$V$14,3,0)*Tabla4[[#This Row],[TOTAL COBERTURA]]*8</f>
        <v>30129120</v>
      </c>
      <c r="AQ258" s="35"/>
      <c r="AR258" s="35">
        <f>Tabla4[[#This Row],[VALOR FASE PREPARATORIA DE ALISTAMIENTO]]+Tabla4[[#This Row],[VALOR FASE PREPARATORIA DE CIERRE]]+Tabla4[[#This Row],[DOTACIÓN ÚNICA]]+Tabla4[[#This Row],[VALOR ATENCIÓN]]+Tabla4[[#This Row],[VALOR RACION PREPARADA]]</f>
        <v>31905405</v>
      </c>
      <c r="AS258" s="35" t="str">
        <f>+IF(Tabla4[[#This Row],[AGRUPACIONES]]=1,SUMIFS(Tabla4[VALOR TOTAL],Tabla4[ZONA DEFINITIVO],Tabla4[[#This Row],[ZONA DEFINITIVO]])," ")</f>
        <v xml:space="preserve"> </v>
      </c>
      <c r="AT258" s="27">
        <f>(VLOOKUP(Tabla4[[#This Row],[SERVICIO 2025]],$J$2:$V$14,3,0)*Tabla4[[#This Row],[TOTAL COBERTURA]])+Tabla4[[#This Row],[VALOR FASE PREPARATORIA DE ALISTAMIENTO]]+Tabla4[[#This Row],[DOTACIÓN ÚNICA]]</f>
        <v>4747764</v>
      </c>
      <c r="AU258" s="35">
        <f>(VLOOKUP(Tabla4[[#This Row],[SERVICIO 2025]],$J$2:$V$14,3,0)*Tabla4[[#This Row],[TOTAL COBERTURA]])</f>
        <v>3766140</v>
      </c>
      <c r="AV258" s="35">
        <f>(VLOOKUP(Tabla4[[#This Row],[SERVICIO 2025]],$J$2:$V$14,3,0)*Tabla4[[#This Row],[TOTAL COBERTURA]])</f>
        <v>3766140</v>
      </c>
      <c r="AW258" s="35">
        <f>(VLOOKUP(Tabla4[[#This Row],[SERVICIO 2025]],$J$2:$V$14,3,0)*Tabla4[[#This Row],[TOTAL COBERTURA]])</f>
        <v>3766140</v>
      </c>
      <c r="AX258" s="35">
        <f>(VLOOKUP(Tabla4[[#This Row],[SERVICIO 2025]],$J$2:$V$14,3,0)*Tabla4[[#This Row],[TOTAL COBERTURA]])</f>
        <v>3766140</v>
      </c>
      <c r="AY258" s="35">
        <f>(VLOOKUP(Tabla4[[#This Row],[SERVICIO 2025]],$J$2:$V$14,3,0)*Tabla4[[#This Row],[TOTAL COBERTURA]])</f>
        <v>3766140</v>
      </c>
      <c r="AZ258" s="35">
        <f>(VLOOKUP(Tabla4[[#This Row],[SERVICIO 2025]],$J$2:$V$14,3,0)*Tabla4[[#This Row],[TOTAL COBERTURA]])</f>
        <v>3766140</v>
      </c>
      <c r="BA258" s="35">
        <f>(VLOOKUP(Tabla4[[#This Row],[SERVICIO 2025]],$J$2:$V$14,3,0)*Tabla4[[#This Row],[TOTAL COBERTURA]])+Tabla4[[#This Row],[VALOR FASE PREPARATORIA DE CIERRE]]</f>
        <v>4560801</v>
      </c>
      <c r="BB258" s="35">
        <f>SUM(Tabla4[[#This Row],[DESEMBOLSO 1]:[DESEMBOLSO 8]])</f>
        <v>31905405</v>
      </c>
      <c r="BC258" s="35">
        <f>VLOOKUP(Tabla4[[#This Row],[SERVICIO 2025]],$J$2:$V$14,10,0)*Tabla4[[#This Row],[TOTAL COBERTURA]]*$W$3</f>
        <v>31637928</v>
      </c>
      <c r="BD258" s="47" t="s">
        <v>211</v>
      </c>
      <c r="BE258" s="12" t="b">
        <f>EXACT(Tabla4[[#This Row],[VALOR ATENCIÓN (8 MESES)]],Tabla4[[#This Row],[VALOR TOTAL]])</f>
        <v>1</v>
      </c>
      <c r="BF258" s="23">
        <f>Tabla4[[#This Row],[VALOR ATENCIÓN (8 MESES)]]-Tabla4[[#This Row],[VALOR TOTAL]]</f>
        <v>0</v>
      </c>
      <c r="BG258" s="12" t="b">
        <f>EXACT(Tabla4[[#This Row],[TOTAL DESEMBOLSOS]],Tabla4[[#This Row],[VALOR ATENCIÓN (8 MESES)]])</f>
        <v>1</v>
      </c>
      <c r="BH258" s="29">
        <f>Tabla4[[#This Row],[TOTAL DESEMBOLSOS]]-Tabla4[[#This Row],[VALOR ATENCIÓN (8 MESES)]]</f>
        <v>0</v>
      </c>
      <c r="BI258" t="s">
        <v>98</v>
      </c>
      <c r="BJ258">
        <v>1905</v>
      </c>
    </row>
    <row r="259" spans="1:62">
      <c r="A259" s="13">
        <v>1905</v>
      </c>
      <c r="B259" s="13" t="s">
        <v>578</v>
      </c>
      <c r="C259" s="12" t="s">
        <v>87</v>
      </c>
      <c r="D259" s="12" t="s">
        <v>579</v>
      </c>
      <c r="E259" s="12" t="s">
        <v>594</v>
      </c>
      <c r="F259" s="12" t="s">
        <v>21</v>
      </c>
      <c r="G259" s="12" t="s">
        <v>90</v>
      </c>
      <c r="H259" s="12" t="s">
        <v>648</v>
      </c>
      <c r="I259" s="12">
        <v>513800104902</v>
      </c>
      <c r="J259" s="12" t="s">
        <v>649</v>
      </c>
      <c r="K259" s="12">
        <v>1</v>
      </c>
      <c r="L259" s="12">
        <v>13</v>
      </c>
      <c r="M259" s="12"/>
      <c r="N259" s="13">
        <v>1905</v>
      </c>
      <c r="O259" s="12" t="s">
        <v>93</v>
      </c>
      <c r="P259" s="12"/>
      <c r="Q259" s="12"/>
      <c r="R259" s="12" t="s">
        <v>94</v>
      </c>
      <c r="S259" s="12">
        <v>10</v>
      </c>
      <c r="T259" s="12" t="s">
        <v>583</v>
      </c>
      <c r="U259" s="12" t="s">
        <v>584</v>
      </c>
      <c r="V259" s="12">
        <f>VLOOKUP(Tabla4[[#This Row],[ZONA DEFINITIVO]],Hoja1!$A$1:$D$121,3,0)</f>
        <v>229071</v>
      </c>
      <c r="W259" s="12">
        <f>VLOOKUP(Tabla4[[#This Row],[ZONA DEFINITIVO]],Hoja1!$A$1:$D$121,2,0)</f>
        <v>15180</v>
      </c>
      <c r="X259" s="12">
        <f>VLOOKUP(Tabla4[[#This Row],[ZONA DEFINITIVO]],Hoja1!$A$1:$D$121,4,0)</f>
        <v>82125</v>
      </c>
      <c r="Y259" s="12" t="str">
        <f>+IF(Tabla4[[#This Row],[AGRUPACIONES]]=1,SUMIFS(Tabla4[UDS],Tabla4[ZONA DEFINITIVO],Tabla4[[#This Row],[ZONA DEFINITIVO]])," ")</f>
        <v xml:space="preserve"> </v>
      </c>
      <c r="Z259" s="12" t="str">
        <f>+IF(Tabla4[[#This Row],[AGRUPACIONES]]=1,SUMIFS(Tabla4[TOTAL COBERTURA],Tabla4[ZONA DEFINITIVO],Tabla4[[#This Row],[ZONA DEFINITIVO]])," ")</f>
        <v xml:space="preserve"> </v>
      </c>
      <c r="AA259" s="12"/>
      <c r="AB259" s="38">
        <v>19750965</v>
      </c>
      <c r="AC259" s="37">
        <v>0.02</v>
      </c>
      <c r="AD259" s="38">
        <f t="shared" si="4"/>
        <v>395019.3</v>
      </c>
      <c r="AE259" s="12"/>
      <c r="AF259" s="12">
        <f>COUNTIF($A$20:A259,A259)</f>
        <v>35</v>
      </c>
      <c r="AG259" s="38">
        <v>19750965</v>
      </c>
      <c r="AH259" s="38">
        <f>Tabla4[[#This Row],[VALOR CONTRAPARTIDA]]+Tabla4[[#This Row],[TOTAL APORTES ICBF]]</f>
        <v>20145984.300000001</v>
      </c>
      <c r="AI259" s="35"/>
      <c r="AJ259" s="38"/>
      <c r="AK259" s="38"/>
      <c r="AL259" s="23"/>
      <c r="AM259" s="35">
        <f>VLOOKUP(Tabla4[[#This Row],[SERVICIO 2025]],$J$2:$V$14,5,0)*Tabla4[[#This Row],[TOTAL COBERTURA]]</f>
        <v>607672</v>
      </c>
      <c r="AN259" s="35">
        <f>VLOOKUP(Tabla4[[#This Row],[SERVICIO 2025]],$J$2:$V$14,6,0)*Tabla4[[#This Row],[TOTAL COBERTURA]]</f>
        <v>491933</v>
      </c>
      <c r="AO259" s="35">
        <f>VLOOKUP(Tabla4[[#This Row],[SERVICIO 2025]],$J$2:$V$14,8,0)*Tabla4[[#This Row],[TOTAL COBERTURA]]</f>
        <v>0</v>
      </c>
      <c r="AP259" s="35">
        <f>VLOOKUP(Tabla4[[#This Row],[SERVICIO 2025]],$J$2:$V$14,3,0)*Tabla4[[#This Row],[TOTAL COBERTURA]]*8</f>
        <v>18651360</v>
      </c>
      <c r="AQ259" s="35"/>
      <c r="AR259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259" s="35" t="str">
        <f>+IF(Tabla4[[#This Row],[AGRUPACIONES]]=1,SUMIFS(Tabla4[VALOR TOTAL],Tabla4[ZONA DEFINITIVO],Tabla4[[#This Row],[ZONA DEFINITIVO]])," ")</f>
        <v xml:space="preserve"> </v>
      </c>
      <c r="AT259" s="27">
        <f>(VLOOKUP(Tabla4[[#This Row],[SERVICIO 2025]],$J$2:$V$14,3,0)*Tabla4[[#This Row],[TOTAL COBERTURA]])+Tabla4[[#This Row],[VALOR FASE PREPARATORIA DE ALISTAMIENTO]]+Tabla4[[#This Row],[DOTACIÓN ÚNICA]]</f>
        <v>2939092</v>
      </c>
      <c r="AU259" s="35">
        <f>(VLOOKUP(Tabla4[[#This Row],[SERVICIO 2025]],$J$2:$V$14,3,0)*Tabla4[[#This Row],[TOTAL COBERTURA]])</f>
        <v>2331420</v>
      </c>
      <c r="AV259" s="35">
        <f>(VLOOKUP(Tabla4[[#This Row],[SERVICIO 2025]],$J$2:$V$14,3,0)*Tabla4[[#This Row],[TOTAL COBERTURA]])</f>
        <v>2331420</v>
      </c>
      <c r="AW259" s="35">
        <f>(VLOOKUP(Tabla4[[#This Row],[SERVICIO 2025]],$J$2:$V$14,3,0)*Tabla4[[#This Row],[TOTAL COBERTURA]])</f>
        <v>2331420</v>
      </c>
      <c r="AX259" s="35">
        <f>(VLOOKUP(Tabla4[[#This Row],[SERVICIO 2025]],$J$2:$V$14,3,0)*Tabla4[[#This Row],[TOTAL COBERTURA]])</f>
        <v>2331420</v>
      </c>
      <c r="AY259" s="35">
        <f>(VLOOKUP(Tabla4[[#This Row],[SERVICIO 2025]],$J$2:$V$14,3,0)*Tabla4[[#This Row],[TOTAL COBERTURA]])</f>
        <v>2331420</v>
      </c>
      <c r="AZ259" s="35">
        <f>(VLOOKUP(Tabla4[[#This Row],[SERVICIO 2025]],$J$2:$V$14,3,0)*Tabla4[[#This Row],[TOTAL COBERTURA]])</f>
        <v>2331420</v>
      </c>
      <c r="BA259" s="35">
        <f>(VLOOKUP(Tabla4[[#This Row],[SERVICIO 2025]],$J$2:$V$14,3,0)*Tabla4[[#This Row],[TOTAL COBERTURA]])+Tabla4[[#This Row],[VALOR FASE PREPARATORIA DE CIERRE]]</f>
        <v>2823353</v>
      </c>
      <c r="BB259" s="35">
        <f>SUM(Tabla4[[#This Row],[DESEMBOLSO 1]:[DESEMBOLSO 8]])</f>
        <v>19750965</v>
      </c>
      <c r="BC259" s="35">
        <f>VLOOKUP(Tabla4[[#This Row],[SERVICIO 2025]],$J$2:$V$14,10,0)*Tabla4[[#This Row],[TOTAL COBERTURA]]*$W$3</f>
        <v>19585384</v>
      </c>
      <c r="BD259" s="47" t="s">
        <v>211</v>
      </c>
      <c r="BE259" s="12" t="b">
        <f>EXACT(Tabla4[[#This Row],[VALOR ATENCIÓN (8 MESES)]],Tabla4[[#This Row],[VALOR TOTAL]])</f>
        <v>1</v>
      </c>
      <c r="BF259" s="23">
        <f>Tabla4[[#This Row],[VALOR ATENCIÓN (8 MESES)]]-Tabla4[[#This Row],[VALOR TOTAL]]</f>
        <v>0</v>
      </c>
      <c r="BG259" s="12" t="b">
        <f>EXACT(Tabla4[[#This Row],[TOTAL DESEMBOLSOS]],Tabla4[[#This Row],[VALOR ATENCIÓN (8 MESES)]])</f>
        <v>1</v>
      </c>
      <c r="BH259" s="29">
        <f>Tabla4[[#This Row],[TOTAL DESEMBOLSOS]]-Tabla4[[#This Row],[VALOR ATENCIÓN (8 MESES)]]</f>
        <v>0</v>
      </c>
      <c r="BI259" t="s">
        <v>98</v>
      </c>
      <c r="BJ259">
        <v>1905</v>
      </c>
    </row>
    <row r="260" spans="1:62">
      <c r="A260" s="13">
        <v>1907</v>
      </c>
      <c r="B260" s="13" t="s">
        <v>650</v>
      </c>
      <c r="C260" s="12" t="s">
        <v>87</v>
      </c>
      <c r="D260" s="12" t="s">
        <v>651</v>
      </c>
      <c r="E260" s="12" t="s">
        <v>652</v>
      </c>
      <c r="F260" s="12" t="s">
        <v>21</v>
      </c>
      <c r="G260" s="12" t="s">
        <v>90</v>
      </c>
      <c r="H260" s="12" t="s">
        <v>653</v>
      </c>
      <c r="I260" s="12">
        <v>50301115003</v>
      </c>
      <c r="J260" s="12" t="s">
        <v>654</v>
      </c>
      <c r="K260" s="12">
        <v>1</v>
      </c>
      <c r="L260" s="12">
        <v>24</v>
      </c>
      <c r="M260" s="12"/>
      <c r="N260" s="13">
        <v>1907</v>
      </c>
      <c r="O260" s="12" t="s">
        <v>93</v>
      </c>
      <c r="P260" s="12"/>
      <c r="Q260" s="12"/>
      <c r="R260" s="12" t="s">
        <v>94</v>
      </c>
      <c r="S260" s="12">
        <v>10</v>
      </c>
      <c r="T260" s="12" t="s">
        <v>655</v>
      </c>
      <c r="U260" s="12" t="s">
        <v>656</v>
      </c>
      <c r="V260" s="12">
        <f>VLOOKUP(Tabla4[[#This Row],[ZONA DEFINITIVO]],Hoja1!$A$1:$D$121,3,0)</f>
        <v>229072</v>
      </c>
      <c r="W260" s="12">
        <f>VLOOKUP(Tabla4[[#This Row],[ZONA DEFINITIVO]],Hoja1!$A$1:$D$121,2,0)</f>
        <v>15192</v>
      </c>
      <c r="X260" s="12">
        <f>VLOOKUP(Tabla4[[#This Row],[ZONA DEFINITIVO]],Hoja1!$A$1:$D$121,4,0)</f>
        <v>82725</v>
      </c>
      <c r="Y260" s="12">
        <f>+IF(Tabla4[[#This Row],[AGRUPACIONES]]=1,SUMIFS(Tabla4[UDS],Tabla4[ZONA DEFINITIVO],Tabla4[[#This Row],[ZONA DEFINITIVO]])," ")</f>
        <v>10</v>
      </c>
      <c r="Z260" s="12">
        <f>+IF(Tabla4[[#This Row],[AGRUPACIONES]]=1,SUMIFS(Tabla4[TOTAL COBERTURA],Tabla4[ZONA DEFINITIVO],Tabla4[[#This Row],[ZONA DEFINITIVO]])," ")</f>
        <v>494</v>
      </c>
      <c r="AA260" s="12"/>
      <c r="AB260" s="38">
        <v>36463320</v>
      </c>
      <c r="AC260" s="37">
        <v>0.02</v>
      </c>
      <c r="AD260" s="38">
        <f t="shared" si="4"/>
        <v>729266.4</v>
      </c>
      <c r="AE260" s="12"/>
      <c r="AF260" s="12">
        <f>COUNTIF($A$20:A260,A260)</f>
        <v>1</v>
      </c>
      <c r="AG260" s="38">
        <v>36463320</v>
      </c>
      <c r="AH260" s="38">
        <f>Tabla4[[#This Row],[VALOR CONTRAPARTIDA]]+Tabla4[[#This Row],[TOTAL APORTES ICBF]]</f>
        <v>37192586.399999999</v>
      </c>
      <c r="AI260" s="35">
        <f>ROUND(+IF(Tabla4[[#This Row],[AGRUPACIONES]]=1,SUMIFS(Tabla4[TOTAL APORTES ICBF],Tabla4[ZONA DEFINITIVO],Tabla4[[#This Row],[ZONA DEFINITIVO]])," "),0)</f>
        <v>1028169350</v>
      </c>
      <c r="AJ260" s="38">
        <f>ROUND(+IF(Tabla4[[#This Row],[AGRUPACIONES]]=1,SUMIFS(Tabla4[VALOR CONTRAPARTIDA],Tabla4[ZONA DEFINITIVO],Tabla4[[#This Row],[ZONA DEFINITIVO]])," "),0)</f>
        <v>20563387</v>
      </c>
      <c r="AK260" s="38">
        <f>Tabla4[[#This Row],[TOTAL APORTES ICBF AGRUPADO]]+Tabla4[[#This Row],[TOTAL CONTRAPARTIDA AGRUPADO]]</f>
        <v>1048732737</v>
      </c>
      <c r="AL260" s="23">
        <f>Tabla4[[#This Row],[TOTAL APORTES ICBF AGRUPADO]]/$AL$18</f>
        <v>722.28264840182646</v>
      </c>
      <c r="AM260" s="35">
        <f>VLOOKUP(Tabla4[[#This Row],[SERVICIO 2025]],$J$2:$V$14,5,0)*Tabla4[[#This Row],[TOTAL COBERTURA]]</f>
        <v>1121856</v>
      </c>
      <c r="AN260" s="35">
        <f>VLOOKUP(Tabla4[[#This Row],[SERVICIO 2025]],$J$2:$V$14,6,0)*Tabla4[[#This Row],[TOTAL COBERTURA]]</f>
        <v>908184</v>
      </c>
      <c r="AO260" s="35">
        <f>VLOOKUP(Tabla4[[#This Row],[SERVICIO 2025]],$J$2:$V$14,8,0)*Tabla4[[#This Row],[TOTAL COBERTURA]]</f>
        <v>0</v>
      </c>
      <c r="AP260" s="35">
        <f>VLOOKUP(Tabla4[[#This Row],[SERVICIO 2025]],$J$2:$V$14,3,0)*Tabla4[[#This Row],[TOTAL COBERTURA]]*8</f>
        <v>34433280</v>
      </c>
      <c r="AQ260" s="35"/>
      <c r="AR260" s="35">
        <f>Tabla4[[#This Row],[VALOR FASE PREPARATORIA DE ALISTAMIENTO]]+Tabla4[[#This Row],[VALOR FASE PREPARATORIA DE CIERRE]]+Tabla4[[#This Row],[DOTACIÓN ÚNICA]]+Tabla4[[#This Row],[VALOR ATENCIÓN]]+Tabla4[[#This Row],[VALOR RACION PREPARADA]]</f>
        <v>36463320</v>
      </c>
      <c r="AS260" s="35">
        <f>+IF(Tabla4[[#This Row],[AGRUPACIONES]]=1,SUMIFS(Tabla4[VALOR TOTAL],Tabla4[ZONA DEFINITIVO],Tabla4[[#This Row],[ZONA DEFINITIVO]])," ")</f>
        <v>1028169350</v>
      </c>
      <c r="AT260" s="27">
        <f>(VLOOKUP(Tabla4[[#This Row],[SERVICIO 2025]],$J$2:$V$14,3,0)*Tabla4[[#This Row],[TOTAL COBERTURA]])+Tabla4[[#This Row],[VALOR FASE PREPARATORIA DE ALISTAMIENTO]]+Tabla4[[#This Row],[DOTACIÓN ÚNICA]]</f>
        <v>5426016</v>
      </c>
      <c r="AU260" s="35">
        <f>(VLOOKUP(Tabla4[[#This Row],[SERVICIO 2025]],$J$2:$V$14,3,0)*Tabla4[[#This Row],[TOTAL COBERTURA]])</f>
        <v>4304160</v>
      </c>
      <c r="AV260" s="35">
        <f>(VLOOKUP(Tabla4[[#This Row],[SERVICIO 2025]],$J$2:$V$14,3,0)*Tabla4[[#This Row],[TOTAL COBERTURA]])</f>
        <v>4304160</v>
      </c>
      <c r="AW260" s="35">
        <f>(VLOOKUP(Tabla4[[#This Row],[SERVICIO 2025]],$J$2:$V$14,3,0)*Tabla4[[#This Row],[TOTAL COBERTURA]])</f>
        <v>4304160</v>
      </c>
      <c r="AX260" s="35">
        <f>(VLOOKUP(Tabla4[[#This Row],[SERVICIO 2025]],$J$2:$V$14,3,0)*Tabla4[[#This Row],[TOTAL COBERTURA]])</f>
        <v>4304160</v>
      </c>
      <c r="AY260" s="35">
        <f>(VLOOKUP(Tabla4[[#This Row],[SERVICIO 2025]],$J$2:$V$14,3,0)*Tabla4[[#This Row],[TOTAL COBERTURA]])</f>
        <v>4304160</v>
      </c>
      <c r="AZ260" s="35">
        <f>(VLOOKUP(Tabla4[[#This Row],[SERVICIO 2025]],$J$2:$V$14,3,0)*Tabla4[[#This Row],[TOTAL COBERTURA]])</f>
        <v>4304160</v>
      </c>
      <c r="BA260" s="35">
        <f>(VLOOKUP(Tabla4[[#This Row],[SERVICIO 2025]],$J$2:$V$14,3,0)*Tabla4[[#This Row],[TOTAL COBERTURA]])+Tabla4[[#This Row],[VALOR FASE PREPARATORIA DE CIERRE]]</f>
        <v>5212344</v>
      </c>
      <c r="BB260" s="35">
        <f>SUM(Tabla4[[#This Row],[DESEMBOLSO 1]:[DESEMBOLSO 8]])</f>
        <v>36463320</v>
      </c>
      <c r="BC260" s="35">
        <f>VLOOKUP(Tabla4[[#This Row],[SERVICIO 2025]],$J$2:$V$14,10,0)*Tabla4[[#This Row],[TOTAL COBERTURA]]*$W$3</f>
        <v>36157632</v>
      </c>
      <c r="BD260" s="47" t="s">
        <v>211</v>
      </c>
      <c r="BE260" s="12" t="b">
        <f>EXACT(Tabla4[[#This Row],[VALOR ATENCIÓN (8 MESES)]],Tabla4[[#This Row],[VALOR TOTAL]])</f>
        <v>1</v>
      </c>
      <c r="BF260" s="23">
        <f>Tabla4[[#This Row],[VALOR ATENCIÓN (8 MESES)]]-Tabla4[[#This Row],[VALOR TOTAL]]</f>
        <v>0</v>
      </c>
      <c r="BG260" s="12" t="b">
        <f>EXACT(Tabla4[[#This Row],[TOTAL DESEMBOLSOS]],Tabla4[[#This Row],[VALOR ATENCIÓN (8 MESES)]])</f>
        <v>1</v>
      </c>
      <c r="BH260" s="29">
        <f>Tabla4[[#This Row],[TOTAL DESEMBOLSOS]]-Tabla4[[#This Row],[VALOR ATENCIÓN (8 MESES)]]</f>
        <v>0</v>
      </c>
      <c r="BI260" t="s">
        <v>98</v>
      </c>
      <c r="BJ260">
        <v>1907</v>
      </c>
    </row>
    <row r="261" spans="1:62">
      <c r="A261" s="13">
        <v>1907</v>
      </c>
      <c r="B261" s="13" t="s">
        <v>650</v>
      </c>
      <c r="C261" s="12" t="s">
        <v>87</v>
      </c>
      <c r="D261" s="12" t="s">
        <v>651</v>
      </c>
      <c r="E261" s="12" t="s">
        <v>652</v>
      </c>
      <c r="F261" s="12" t="s">
        <v>21</v>
      </c>
      <c r="G261" s="12" t="s">
        <v>90</v>
      </c>
      <c r="H261" s="12" t="s">
        <v>657</v>
      </c>
      <c r="I261" s="12">
        <v>50301115005</v>
      </c>
      <c r="J261" s="12" t="s">
        <v>658</v>
      </c>
      <c r="K261" s="12">
        <v>1</v>
      </c>
      <c r="L261" s="12">
        <v>140</v>
      </c>
      <c r="M261" s="12"/>
      <c r="N261" s="13">
        <v>1907</v>
      </c>
      <c r="O261" s="12" t="s">
        <v>93</v>
      </c>
      <c r="P261" s="12"/>
      <c r="Q261" s="12"/>
      <c r="R261" s="12" t="s">
        <v>94</v>
      </c>
      <c r="S261" s="12">
        <v>10</v>
      </c>
      <c r="T261" s="12" t="s">
        <v>655</v>
      </c>
      <c r="U261" s="12" t="s">
        <v>656</v>
      </c>
      <c r="V261" s="12">
        <f>VLOOKUP(Tabla4[[#This Row],[ZONA DEFINITIVO]],Hoja1!$A$1:$D$121,3,0)</f>
        <v>229072</v>
      </c>
      <c r="W261" s="12">
        <f>VLOOKUP(Tabla4[[#This Row],[ZONA DEFINITIVO]],Hoja1!$A$1:$D$121,2,0)</f>
        <v>15192</v>
      </c>
      <c r="X261" s="12">
        <f>VLOOKUP(Tabla4[[#This Row],[ZONA DEFINITIVO]],Hoja1!$A$1:$D$121,4,0)</f>
        <v>82725</v>
      </c>
      <c r="Y261" s="12" t="str">
        <f>+IF(Tabla4[[#This Row],[AGRUPACIONES]]=1,SUMIFS(Tabla4[UDS],Tabla4[ZONA DEFINITIVO],Tabla4[[#This Row],[ZONA DEFINITIVO]])," ")</f>
        <v xml:space="preserve"> </v>
      </c>
      <c r="Z261" s="12" t="str">
        <f>+IF(Tabla4[[#This Row],[AGRUPACIONES]]=1,SUMIFS(Tabla4[TOTAL COBERTURA],Tabla4[ZONA DEFINITIVO],Tabla4[[#This Row],[ZONA DEFINITIVO]])," ")</f>
        <v xml:space="preserve"> </v>
      </c>
      <c r="AA261" s="12"/>
      <c r="AB261" s="38">
        <v>212702700</v>
      </c>
      <c r="AC261" s="37">
        <v>0.02</v>
      </c>
      <c r="AD261" s="38">
        <f t="shared" si="4"/>
        <v>4254054</v>
      </c>
      <c r="AE261" s="12"/>
      <c r="AF261" s="12">
        <f>COUNTIF($A$20:A261,A261)</f>
        <v>2</v>
      </c>
      <c r="AG261" s="38">
        <v>212702700</v>
      </c>
      <c r="AH261" s="38">
        <f>Tabla4[[#This Row],[VALOR CONTRAPARTIDA]]+Tabla4[[#This Row],[TOTAL APORTES ICBF]]</f>
        <v>216956754</v>
      </c>
      <c r="AI261" s="35"/>
      <c r="AJ261" s="38"/>
      <c r="AK261" s="38"/>
      <c r="AL261" s="23"/>
      <c r="AM261" s="35">
        <f>VLOOKUP(Tabla4[[#This Row],[SERVICIO 2025]],$J$2:$V$14,5,0)*Tabla4[[#This Row],[TOTAL COBERTURA]]</f>
        <v>6544160</v>
      </c>
      <c r="AN261" s="35">
        <f>VLOOKUP(Tabla4[[#This Row],[SERVICIO 2025]],$J$2:$V$14,6,0)*Tabla4[[#This Row],[TOTAL COBERTURA]]</f>
        <v>5297740</v>
      </c>
      <c r="AO261" s="35">
        <f>VLOOKUP(Tabla4[[#This Row],[SERVICIO 2025]],$J$2:$V$14,8,0)*Tabla4[[#This Row],[TOTAL COBERTURA]]</f>
        <v>0</v>
      </c>
      <c r="AP261" s="35">
        <f>VLOOKUP(Tabla4[[#This Row],[SERVICIO 2025]],$J$2:$V$14,3,0)*Tabla4[[#This Row],[TOTAL COBERTURA]]*8</f>
        <v>200860800</v>
      </c>
      <c r="AQ261" s="35"/>
      <c r="AR261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212702700</v>
      </c>
      <c r="AS261" s="35" t="str">
        <f>+IF(Tabla4[[#This Row],[AGRUPACIONES]]=1,SUMIFS(Tabla4[VALOR TOTAL],Tabla4[ZONA DEFINITIVO],Tabla4[[#This Row],[ZONA DEFINITIVO]])," ")</f>
        <v xml:space="preserve"> </v>
      </c>
      <c r="AT261" s="27">
        <f>(VLOOKUP(Tabla4[[#This Row],[SERVICIO 2025]],$J$2:$V$14,3,0)*Tabla4[[#This Row],[TOTAL COBERTURA]])+Tabla4[[#This Row],[VALOR FASE PREPARATORIA DE ALISTAMIENTO]]+Tabla4[[#This Row],[DOTACIÓN ÚNICA]]</f>
        <v>31651760</v>
      </c>
      <c r="AU261" s="35">
        <f>(VLOOKUP(Tabla4[[#This Row],[SERVICIO 2025]],$J$2:$V$14,3,0)*Tabla4[[#This Row],[TOTAL COBERTURA]])</f>
        <v>25107600</v>
      </c>
      <c r="AV261" s="35">
        <f>(VLOOKUP(Tabla4[[#This Row],[SERVICIO 2025]],$J$2:$V$14,3,0)*Tabla4[[#This Row],[TOTAL COBERTURA]])</f>
        <v>25107600</v>
      </c>
      <c r="AW261" s="35">
        <f>(VLOOKUP(Tabla4[[#This Row],[SERVICIO 2025]],$J$2:$V$14,3,0)*Tabla4[[#This Row],[TOTAL COBERTURA]])</f>
        <v>25107600</v>
      </c>
      <c r="AX261" s="35">
        <f>(VLOOKUP(Tabla4[[#This Row],[SERVICIO 2025]],$J$2:$V$14,3,0)*Tabla4[[#This Row],[TOTAL COBERTURA]])</f>
        <v>25107600</v>
      </c>
      <c r="AY261" s="35">
        <f>(VLOOKUP(Tabla4[[#This Row],[SERVICIO 2025]],$J$2:$V$14,3,0)*Tabla4[[#This Row],[TOTAL COBERTURA]])</f>
        <v>25107600</v>
      </c>
      <c r="AZ261" s="35">
        <f>(VLOOKUP(Tabla4[[#This Row],[SERVICIO 2025]],$J$2:$V$14,3,0)*Tabla4[[#This Row],[TOTAL COBERTURA]])</f>
        <v>25107600</v>
      </c>
      <c r="BA261" s="35">
        <f>(VLOOKUP(Tabla4[[#This Row],[SERVICIO 2025]],$J$2:$V$14,3,0)*Tabla4[[#This Row],[TOTAL COBERTURA]])+Tabla4[[#This Row],[VALOR FASE PREPARATORIA DE CIERRE]]</f>
        <v>30405340</v>
      </c>
      <c r="BB261" s="35">
        <f>SUM(Tabla4[[#This Row],[DESEMBOLSO 1]:[DESEMBOLSO 8]])</f>
        <v>212702700</v>
      </c>
      <c r="BC261" s="35">
        <f>VLOOKUP(Tabla4[[#This Row],[SERVICIO 2025]],$J$2:$V$14,10,0)*Tabla4[[#This Row],[TOTAL COBERTURA]]*$W$3</f>
        <v>210919520</v>
      </c>
      <c r="BD261" s="47" t="s">
        <v>211</v>
      </c>
      <c r="BE261" s="12" t="b">
        <f>EXACT(Tabla4[[#This Row],[VALOR ATENCIÓN (8 MESES)]],Tabla4[[#This Row],[VALOR TOTAL]])</f>
        <v>1</v>
      </c>
      <c r="BF261" s="23">
        <f>Tabla4[[#This Row],[VALOR ATENCIÓN (8 MESES)]]-Tabla4[[#This Row],[VALOR TOTAL]]</f>
        <v>0</v>
      </c>
      <c r="BG261" s="12" t="b">
        <f>EXACT(Tabla4[[#This Row],[TOTAL DESEMBOLSOS]],Tabla4[[#This Row],[VALOR ATENCIÓN (8 MESES)]])</f>
        <v>1</v>
      </c>
      <c r="BH261" s="29">
        <f>Tabla4[[#This Row],[TOTAL DESEMBOLSOS]]-Tabla4[[#This Row],[VALOR ATENCIÓN (8 MESES)]]</f>
        <v>0</v>
      </c>
      <c r="BI261" t="s">
        <v>98</v>
      </c>
      <c r="BJ261">
        <v>1907</v>
      </c>
    </row>
    <row r="262" spans="1:62">
      <c r="A262" s="13">
        <v>1907</v>
      </c>
      <c r="B262" s="13" t="s">
        <v>650</v>
      </c>
      <c r="C262" s="12" t="s">
        <v>87</v>
      </c>
      <c r="D262" s="12" t="s">
        <v>651</v>
      </c>
      <c r="E262" s="12" t="s">
        <v>652</v>
      </c>
      <c r="F262" s="12" t="s">
        <v>21</v>
      </c>
      <c r="G262" s="12" t="s">
        <v>90</v>
      </c>
      <c r="H262" s="12" t="s">
        <v>659</v>
      </c>
      <c r="I262" s="12">
        <v>50301115008</v>
      </c>
      <c r="J262" s="12" t="s">
        <v>660</v>
      </c>
      <c r="K262" s="12">
        <v>1</v>
      </c>
      <c r="L262" s="12">
        <v>31</v>
      </c>
      <c r="M262" s="12"/>
      <c r="N262" s="13">
        <v>1907</v>
      </c>
      <c r="O262" s="12" t="s">
        <v>93</v>
      </c>
      <c r="P262" s="12"/>
      <c r="Q262" s="12"/>
      <c r="R262" s="12" t="s">
        <v>94</v>
      </c>
      <c r="S262" s="12">
        <v>10</v>
      </c>
      <c r="T262" s="12" t="s">
        <v>655</v>
      </c>
      <c r="U262" s="12" t="s">
        <v>656</v>
      </c>
      <c r="V262" s="12">
        <f>VLOOKUP(Tabla4[[#This Row],[ZONA DEFINITIVO]],Hoja1!$A$1:$D$121,3,0)</f>
        <v>229072</v>
      </c>
      <c r="W262" s="12">
        <f>VLOOKUP(Tabla4[[#This Row],[ZONA DEFINITIVO]],Hoja1!$A$1:$D$121,2,0)</f>
        <v>15192</v>
      </c>
      <c r="X262" s="12">
        <f>VLOOKUP(Tabla4[[#This Row],[ZONA DEFINITIVO]],Hoja1!$A$1:$D$121,4,0)</f>
        <v>82725</v>
      </c>
      <c r="Y262" s="12" t="str">
        <f>+IF(Tabla4[[#This Row],[AGRUPACIONES]]=1,SUMIFS(Tabla4[UDS],Tabla4[ZONA DEFINITIVO],Tabla4[[#This Row],[ZONA DEFINITIVO]])," ")</f>
        <v xml:space="preserve"> </v>
      </c>
      <c r="Z262" s="12" t="str">
        <f>+IF(Tabla4[[#This Row],[AGRUPACIONES]]=1,SUMIFS(Tabla4[TOTAL COBERTURA],Tabla4[ZONA DEFINITIVO],Tabla4[[#This Row],[ZONA DEFINITIVO]])," ")</f>
        <v xml:space="preserve"> </v>
      </c>
      <c r="AA262" s="12"/>
      <c r="AB262" s="38">
        <v>47098455</v>
      </c>
      <c r="AC262" s="37">
        <v>0.02</v>
      </c>
      <c r="AD262" s="38">
        <f t="shared" si="4"/>
        <v>941969.1</v>
      </c>
      <c r="AE262" s="12"/>
      <c r="AF262" s="12">
        <f>COUNTIF($A$20:A262,A262)</f>
        <v>3</v>
      </c>
      <c r="AG262" s="38">
        <v>47098455</v>
      </c>
      <c r="AH262" s="38">
        <f>Tabla4[[#This Row],[VALOR CONTRAPARTIDA]]+Tabla4[[#This Row],[TOTAL APORTES ICBF]]</f>
        <v>48040424.100000001</v>
      </c>
      <c r="AI262" s="35"/>
      <c r="AJ262" s="38"/>
      <c r="AK262" s="38"/>
      <c r="AL262" s="23"/>
      <c r="AM262" s="35">
        <f>VLOOKUP(Tabla4[[#This Row],[SERVICIO 2025]],$J$2:$V$14,5,0)*Tabla4[[#This Row],[TOTAL COBERTURA]]</f>
        <v>1449064</v>
      </c>
      <c r="AN262" s="35">
        <f>VLOOKUP(Tabla4[[#This Row],[SERVICIO 2025]],$J$2:$V$14,6,0)*Tabla4[[#This Row],[TOTAL COBERTURA]]</f>
        <v>1173071</v>
      </c>
      <c r="AO262" s="35">
        <f>VLOOKUP(Tabla4[[#This Row],[SERVICIO 2025]],$J$2:$V$14,8,0)*Tabla4[[#This Row],[TOTAL COBERTURA]]</f>
        <v>0</v>
      </c>
      <c r="AP262" s="35">
        <f>VLOOKUP(Tabla4[[#This Row],[SERVICIO 2025]],$J$2:$V$14,3,0)*Tabla4[[#This Row],[TOTAL COBERTURA]]*8</f>
        <v>44476320</v>
      </c>
      <c r="AQ262" s="35"/>
      <c r="AR262" s="35">
        <f>Tabla4[[#This Row],[VALOR FASE PREPARATORIA DE ALISTAMIENTO]]+Tabla4[[#This Row],[VALOR FASE PREPARATORIA DE CIERRE]]+Tabla4[[#This Row],[DOTACIÓN ÚNICA]]+Tabla4[[#This Row],[VALOR ATENCIÓN]]+Tabla4[[#This Row],[VALOR RACION PREPARADA]]</f>
        <v>47098455</v>
      </c>
      <c r="AS262" s="35" t="str">
        <f>+IF(Tabla4[[#This Row],[AGRUPACIONES]]=1,SUMIFS(Tabla4[VALOR TOTAL],Tabla4[ZONA DEFINITIVO],Tabla4[[#This Row],[ZONA DEFINITIVO]])," ")</f>
        <v xml:space="preserve"> </v>
      </c>
      <c r="AT262" s="27">
        <f>(VLOOKUP(Tabla4[[#This Row],[SERVICIO 2025]],$J$2:$V$14,3,0)*Tabla4[[#This Row],[TOTAL COBERTURA]])+Tabla4[[#This Row],[VALOR FASE PREPARATORIA DE ALISTAMIENTO]]+Tabla4[[#This Row],[DOTACIÓN ÚNICA]]</f>
        <v>7008604</v>
      </c>
      <c r="AU262" s="35">
        <f>(VLOOKUP(Tabla4[[#This Row],[SERVICIO 2025]],$J$2:$V$14,3,0)*Tabla4[[#This Row],[TOTAL COBERTURA]])</f>
        <v>5559540</v>
      </c>
      <c r="AV262" s="35">
        <f>(VLOOKUP(Tabla4[[#This Row],[SERVICIO 2025]],$J$2:$V$14,3,0)*Tabla4[[#This Row],[TOTAL COBERTURA]])</f>
        <v>5559540</v>
      </c>
      <c r="AW262" s="35">
        <f>(VLOOKUP(Tabla4[[#This Row],[SERVICIO 2025]],$J$2:$V$14,3,0)*Tabla4[[#This Row],[TOTAL COBERTURA]])</f>
        <v>5559540</v>
      </c>
      <c r="AX262" s="35">
        <f>(VLOOKUP(Tabla4[[#This Row],[SERVICIO 2025]],$J$2:$V$14,3,0)*Tabla4[[#This Row],[TOTAL COBERTURA]])</f>
        <v>5559540</v>
      </c>
      <c r="AY262" s="35">
        <f>(VLOOKUP(Tabla4[[#This Row],[SERVICIO 2025]],$J$2:$V$14,3,0)*Tabla4[[#This Row],[TOTAL COBERTURA]])</f>
        <v>5559540</v>
      </c>
      <c r="AZ262" s="35">
        <f>(VLOOKUP(Tabla4[[#This Row],[SERVICIO 2025]],$J$2:$V$14,3,0)*Tabla4[[#This Row],[TOTAL COBERTURA]])</f>
        <v>5559540</v>
      </c>
      <c r="BA262" s="35">
        <f>(VLOOKUP(Tabla4[[#This Row],[SERVICIO 2025]],$J$2:$V$14,3,0)*Tabla4[[#This Row],[TOTAL COBERTURA]])+Tabla4[[#This Row],[VALOR FASE PREPARATORIA DE CIERRE]]</f>
        <v>6732611</v>
      </c>
      <c r="BB262" s="35">
        <f>SUM(Tabla4[[#This Row],[DESEMBOLSO 1]:[DESEMBOLSO 8]])</f>
        <v>47098455</v>
      </c>
      <c r="BC262" s="35">
        <f>VLOOKUP(Tabla4[[#This Row],[SERVICIO 2025]],$J$2:$V$14,10,0)*Tabla4[[#This Row],[TOTAL COBERTURA]]*$W$3</f>
        <v>46703608</v>
      </c>
      <c r="BD262" s="47" t="s">
        <v>211</v>
      </c>
      <c r="BE262" s="12" t="b">
        <f>EXACT(Tabla4[[#This Row],[VALOR ATENCIÓN (8 MESES)]],Tabla4[[#This Row],[VALOR TOTAL]])</f>
        <v>1</v>
      </c>
      <c r="BF262" s="23">
        <f>Tabla4[[#This Row],[VALOR ATENCIÓN (8 MESES)]]-Tabla4[[#This Row],[VALOR TOTAL]]</f>
        <v>0</v>
      </c>
      <c r="BG262" s="12" t="b">
        <f>EXACT(Tabla4[[#This Row],[TOTAL DESEMBOLSOS]],Tabla4[[#This Row],[VALOR ATENCIÓN (8 MESES)]])</f>
        <v>1</v>
      </c>
      <c r="BH262" s="29">
        <f>Tabla4[[#This Row],[TOTAL DESEMBOLSOS]]-Tabla4[[#This Row],[VALOR ATENCIÓN (8 MESES)]]</f>
        <v>0</v>
      </c>
      <c r="BI262" t="s">
        <v>98</v>
      </c>
      <c r="BJ262">
        <v>1907</v>
      </c>
    </row>
    <row r="263" spans="1:62">
      <c r="A263" s="13">
        <v>1907</v>
      </c>
      <c r="B263" s="13" t="s">
        <v>650</v>
      </c>
      <c r="C263" s="12" t="s">
        <v>87</v>
      </c>
      <c r="D263" s="12" t="s">
        <v>651</v>
      </c>
      <c r="E263" s="12" t="s">
        <v>652</v>
      </c>
      <c r="F263" s="12" t="s">
        <v>21</v>
      </c>
      <c r="G263" s="12" t="s">
        <v>90</v>
      </c>
      <c r="H263" s="12" t="s">
        <v>661</v>
      </c>
      <c r="I263" s="12">
        <v>50301115010</v>
      </c>
      <c r="J263" s="12" t="s">
        <v>661</v>
      </c>
      <c r="K263" s="12">
        <v>1</v>
      </c>
      <c r="L263" s="12">
        <v>56</v>
      </c>
      <c r="M263" s="12"/>
      <c r="N263" s="13">
        <v>1907</v>
      </c>
      <c r="O263" s="12" t="s">
        <v>93</v>
      </c>
      <c r="P263" s="12"/>
      <c r="Q263" s="12"/>
      <c r="R263" s="12" t="s">
        <v>94</v>
      </c>
      <c r="S263" s="12">
        <v>10</v>
      </c>
      <c r="T263" s="12" t="s">
        <v>655</v>
      </c>
      <c r="U263" s="12" t="s">
        <v>656</v>
      </c>
      <c r="V263" s="12">
        <f>VLOOKUP(Tabla4[[#This Row],[ZONA DEFINITIVO]],Hoja1!$A$1:$D$121,3,0)</f>
        <v>229072</v>
      </c>
      <c r="W263" s="12">
        <f>VLOOKUP(Tabla4[[#This Row],[ZONA DEFINITIVO]],Hoja1!$A$1:$D$121,2,0)</f>
        <v>15192</v>
      </c>
      <c r="X263" s="12">
        <f>VLOOKUP(Tabla4[[#This Row],[ZONA DEFINITIVO]],Hoja1!$A$1:$D$121,4,0)</f>
        <v>82725</v>
      </c>
      <c r="Y263" s="12" t="str">
        <f>+IF(Tabla4[[#This Row],[AGRUPACIONES]]=1,SUMIFS(Tabla4[UDS],Tabla4[ZONA DEFINITIVO],Tabla4[[#This Row],[ZONA DEFINITIVO]])," ")</f>
        <v xml:space="preserve"> </v>
      </c>
      <c r="Z263" s="12" t="str">
        <f>+IF(Tabla4[[#This Row],[AGRUPACIONES]]=1,SUMIFS(Tabla4[TOTAL COBERTURA],Tabla4[ZONA DEFINITIVO],Tabla4[[#This Row],[ZONA DEFINITIVO]])," ")</f>
        <v xml:space="preserve"> </v>
      </c>
      <c r="AA263" s="12"/>
      <c r="AB263" s="38">
        <v>85081080</v>
      </c>
      <c r="AC263" s="37">
        <v>0.02</v>
      </c>
      <c r="AD263" s="38">
        <f t="shared" si="4"/>
        <v>1701621.6</v>
      </c>
      <c r="AE263" s="12"/>
      <c r="AF263" s="12">
        <f>COUNTIF($A$20:A263,A263)</f>
        <v>4</v>
      </c>
      <c r="AG263" s="38">
        <v>85081080</v>
      </c>
      <c r="AH263" s="38">
        <f>Tabla4[[#This Row],[VALOR CONTRAPARTIDA]]+Tabla4[[#This Row],[TOTAL APORTES ICBF]]</f>
        <v>86782701.599999994</v>
      </c>
      <c r="AI263" s="35"/>
      <c r="AJ263" s="38"/>
      <c r="AK263" s="38"/>
      <c r="AL263" s="23"/>
      <c r="AM263" s="35">
        <f>VLOOKUP(Tabla4[[#This Row],[SERVICIO 2025]],$J$2:$V$14,5,0)*Tabla4[[#This Row],[TOTAL COBERTURA]]</f>
        <v>2617664</v>
      </c>
      <c r="AN263" s="35">
        <f>VLOOKUP(Tabla4[[#This Row],[SERVICIO 2025]],$J$2:$V$14,6,0)*Tabla4[[#This Row],[TOTAL COBERTURA]]</f>
        <v>2119096</v>
      </c>
      <c r="AO263" s="35">
        <f>VLOOKUP(Tabla4[[#This Row],[SERVICIO 2025]],$J$2:$V$14,8,0)*Tabla4[[#This Row],[TOTAL COBERTURA]]</f>
        <v>0</v>
      </c>
      <c r="AP263" s="35">
        <f>VLOOKUP(Tabla4[[#This Row],[SERVICIO 2025]],$J$2:$V$14,3,0)*Tabla4[[#This Row],[TOTAL COBERTURA]]*8</f>
        <v>80344320</v>
      </c>
      <c r="AQ263" s="35"/>
      <c r="AR263" s="35">
        <f>Tabla4[[#This Row],[VALOR FASE PREPARATORIA DE ALISTAMIENTO]]+Tabla4[[#This Row],[VALOR FASE PREPARATORIA DE CIERRE]]+Tabla4[[#This Row],[DOTACIÓN ÚNICA]]+Tabla4[[#This Row],[VALOR ATENCIÓN]]+Tabla4[[#This Row],[VALOR RACION PREPARADA]]</f>
        <v>85081080</v>
      </c>
      <c r="AS263" s="35" t="str">
        <f>+IF(Tabla4[[#This Row],[AGRUPACIONES]]=1,SUMIFS(Tabla4[VALOR TOTAL],Tabla4[ZONA DEFINITIVO],Tabla4[[#This Row],[ZONA DEFINITIVO]])," ")</f>
        <v xml:space="preserve"> </v>
      </c>
      <c r="AT263" s="27">
        <f>(VLOOKUP(Tabla4[[#This Row],[SERVICIO 2025]],$J$2:$V$14,3,0)*Tabla4[[#This Row],[TOTAL COBERTURA]])+Tabla4[[#This Row],[VALOR FASE PREPARATORIA DE ALISTAMIENTO]]+Tabla4[[#This Row],[DOTACIÓN ÚNICA]]</f>
        <v>12660704</v>
      </c>
      <c r="AU263" s="35">
        <f>(VLOOKUP(Tabla4[[#This Row],[SERVICIO 2025]],$J$2:$V$14,3,0)*Tabla4[[#This Row],[TOTAL COBERTURA]])</f>
        <v>10043040</v>
      </c>
      <c r="AV263" s="35">
        <f>(VLOOKUP(Tabla4[[#This Row],[SERVICIO 2025]],$J$2:$V$14,3,0)*Tabla4[[#This Row],[TOTAL COBERTURA]])</f>
        <v>10043040</v>
      </c>
      <c r="AW263" s="35">
        <f>(VLOOKUP(Tabla4[[#This Row],[SERVICIO 2025]],$J$2:$V$14,3,0)*Tabla4[[#This Row],[TOTAL COBERTURA]])</f>
        <v>10043040</v>
      </c>
      <c r="AX263" s="35">
        <f>(VLOOKUP(Tabla4[[#This Row],[SERVICIO 2025]],$J$2:$V$14,3,0)*Tabla4[[#This Row],[TOTAL COBERTURA]])</f>
        <v>10043040</v>
      </c>
      <c r="AY263" s="35">
        <f>(VLOOKUP(Tabla4[[#This Row],[SERVICIO 2025]],$J$2:$V$14,3,0)*Tabla4[[#This Row],[TOTAL COBERTURA]])</f>
        <v>10043040</v>
      </c>
      <c r="AZ263" s="35">
        <f>(VLOOKUP(Tabla4[[#This Row],[SERVICIO 2025]],$J$2:$V$14,3,0)*Tabla4[[#This Row],[TOTAL COBERTURA]])</f>
        <v>10043040</v>
      </c>
      <c r="BA263" s="35">
        <f>(VLOOKUP(Tabla4[[#This Row],[SERVICIO 2025]],$J$2:$V$14,3,0)*Tabla4[[#This Row],[TOTAL COBERTURA]])+Tabla4[[#This Row],[VALOR FASE PREPARATORIA DE CIERRE]]</f>
        <v>12162136</v>
      </c>
      <c r="BB263" s="35">
        <f>SUM(Tabla4[[#This Row],[DESEMBOLSO 1]:[DESEMBOLSO 8]])</f>
        <v>85081080</v>
      </c>
      <c r="BC263" s="35">
        <f>VLOOKUP(Tabla4[[#This Row],[SERVICIO 2025]],$J$2:$V$14,10,0)*Tabla4[[#This Row],[TOTAL COBERTURA]]*$W$3</f>
        <v>84367808</v>
      </c>
      <c r="BD263" s="47" t="s">
        <v>211</v>
      </c>
      <c r="BE263" s="12" t="b">
        <f>EXACT(Tabla4[[#This Row],[VALOR ATENCIÓN (8 MESES)]],Tabla4[[#This Row],[VALOR TOTAL]])</f>
        <v>1</v>
      </c>
      <c r="BF263" s="23">
        <f>Tabla4[[#This Row],[VALOR ATENCIÓN (8 MESES)]]-Tabla4[[#This Row],[VALOR TOTAL]]</f>
        <v>0</v>
      </c>
      <c r="BG263" s="12" t="b">
        <f>EXACT(Tabla4[[#This Row],[TOTAL DESEMBOLSOS]],Tabla4[[#This Row],[VALOR ATENCIÓN (8 MESES)]])</f>
        <v>1</v>
      </c>
      <c r="BH263" s="29">
        <f>Tabla4[[#This Row],[TOTAL DESEMBOLSOS]]-Tabla4[[#This Row],[VALOR ATENCIÓN (8 MESES)]]</f>
        <v>0</v>
      </c>
      <c r="BI263" t="s">
        <v>98</v>
      </c>
      <c r="BJ263">
        <v>1907</v>
      </c>
    </row>
    <row r="264" spans="1:62">
      <c r="A264" s="13">
        <v>1907</v>
      </c>
      <c r="B264" s="13" t="s">
        <v>650</v>
      </c>
      <c r="C264" s="12" t="s">
        <v>87</v>
      </c>
      <c r="D264" s="12" t="s">
        <v>651</v>
      </c>
      <c r="E264" s="12" t="s">
        <v>652</v>
      </c>
      <c r="F264" s="12" t="s">
        <v>21</v>
      </c>
      <c r="G264" s="12" t="s">
        <v>90</v>
      </c>
      <c r="H264" s="12" t="s">
        <v>662</v>
      </c>
      <c r="I264" s="12">
        <v>50301135978</v>
      </c>
      <c r="J264" s="12" t="s">
        <v>663</v>
      </c>
      <c r="K264" s="12">
        <v>1</v>
      </c>
      <c r="L264" s="12">
        <v>50</v>
      </c>
      <c r="M264" s="12"/>
      <c r="N264" s="13">
        <v>1907</v>
      </c>
      <c r="O264" s="12" t="s">
        <v>93</v>
      </c>
      <c r="P264" s="12"/>
      <c r="Q264" s="12"/>
      <c r="R264" s="12" t="s">
        <v>94</v>
      </c>
      <c r="S264" s="12">
        <v>10</v>
      </c>
      <c r="T264" s="12" t="s">
        <v>655</v>
      </c>
      <c r="U264" s="12" t="s">
        <v>656</v>
      </c>
      <c r="V264" s="12">
        <f>VLOOKUP(Tabla4[[#This Row],[ZONA DEFINITIVO]],Hoja1!$A$1:$D$121,3,0)</f>
        <v>229072</v>
      </c>
      <c r="W264" s="12">
        <f>VLOOKUP(Tabla4[[#This Row],[ZONA DEFINITIVO]],Hoja1!$A$1:$D$121,2,0)</f>
        <v>15192</v>
      </c>
      <c r="X264" s="12">
        <f>VLOOKUP(Tabla4[[#This Row],[ZONA DEFINITIVO]],Hoja1!$A$1:$D$121,4,0)</f>
        <v>82725</v>
      </c>
      <c r="Y264" s="12" t="str">
        <f>+IF(Tabla4[[#This Row],[AGRUPACIONES]]=1,SUMIFS(Tabla4[UDS],Tabla4[ZONA DEFINITIVO],Tabla4[[#This Row],[ZONA DEFINITIVO]])," ")</f>
        <v xml:space="preserve"> </v>
      </c>
      <c r="Z264" s="12" t="str">
        <f>+IF(Tabla4[[#This Row],[AGRUPACIONES]]=1,SUMIFS(Tabla4[TOTAL COBERTURA],Tabla4[ZONA DEFINITIVO],Tabla4[[#This Row],[ZONA DEFINITIVO]])," ")</f>
        <v xml:space="preserve"> </v>
      </c>
      <c r="AA264" s="12"/>
      <c r="AB264" s="38">
        <v>75965250</v>
      </c>
      <c r="AC264" s="37">
        <v>0.02</v>
      </c>
      <c r="AD264" s="38">
        <f t="shared" si="4"/>
        <v>1519305</v>
      </c>
      <c r="AE264" s="12"/>
      <c r="AF264" s="12">
        <f>COUNTIF($A$20:A264,A264)</f>
        <v>5</v>
      </c>
      <c r="AG264" s="38">
        <v>75965250</v>
      </c>
      <c r="AH264" s="38">
        <f>Tabla4[[#This Row],[VALOR CONTRAPARTIDA]]+Tabla4[[#This Row],[TOTAL APORTES ICBF]]</f>
        <v>77484555</v>
      </c>
      <c r="AI264" s="35"/>
      <c r="AJ264" s="38"/>
      <c r="AK264" s="38"/>
      <c r="AL264" s="23"/>
      <c r="AM264" s="35">
        <f>VLOOKUP(Tabla4[[#This Row],[SERVICIO 2025]],$J$2:$V$14,5,0)*Tabla4[[#This Row],[TOTAL COBERTURA]]</f>
        <v>2337200</v>
      </c>
      <c r="AN264" s="35">
        <f>VLOOKUP(Tabla4[[#This Row],[SERVICIO 2025]],$J$2:$V$14,6,0)*Tabla4[[#This Row],[TOTAL COBERTURA]]</f>
        <v>1892050</v>
      </c>
      <c r="AO264" s="35">
        <f>VLOOKUP(Tabla4[[#This Row],[SERVICIO 2025]],$J$2:$V$14,8,0)*Tabla4[[#This Row],[TOTAL COBERTURA]]</f>
        <v>0</v>
      </c>
      <c r="AP264" s="35">
        <f>VLOOKUP(Tabla4[[#This Row],[SERVICIO 2025]],$J$2:$V$14,3,0)*Tabla4[[#This Row],[TOTAL COBERTURA]]*8</f>
        <v>71736000</v>
      </c>
      <c r="AQ264" s="35"/>
      <c r="AR264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264" s="35" t="str">
        <f>+IF(Tabla4[[#This Row],[AGRUPACIONES]]=1,SUMIFS(Tabla4[VALOR TOTAL],Tabla4[ZONA DEFINITIVO],Tabla4[[#This Row],[ZONA DEFINITIVO]])," ")</f>
        <v xml:space="preserve"> </v>
      </c>
      <c r="AT264" s="27">
        <f>(VLOOKUP(Tabla4[[#This Row],[SERVICIO 2025]],$J$2:$V$14,3,0)*Tabla4[[#This Row],[TOTAL COBERTURA]])+Tabla4[[#This Row],[VALOR FASE PREPARATORIA DE ALISTAMIENTO]]+Tabla4[[#This Row],[DOTACIÓN ÚNICA]]</f>
        <v>11304200</v>
      </c>
      <c r="AU264" s="35">
        <f>(VLOOKUP(Tabla4[[#This Row],[SERVICIO 2025]],$J$2:$V$14,3,0)*Tabla4[[#This Row],[TOTAL COBERTURA]])</f>
        <v>8967000</v>
      </c>
      <c r="AV264" s="35">
        <f>(VLOOKUP(Tabla4[[#This Row],[SERVICIO 2025]],$J$2:$V$14,3,0)*Tabla4[[#This Row],[TOTAL COBERTURA]])</f>
        <v>8967000</v>
      </c>
      <c r="AW264" s="35">
        <f>(VLOOKUP(Tabla4[[#This Row],[SERVICIO 2025]],$J$2:$V$14,3,0)*Tabla4[[#This Row],[TOTAL COBERTURA]])</f>
        <v>8967000</v>
      </c>
      <c r="AX264" s="35">
        <f>(VLOOKUP(Tabla4[[#This Row],[SERVICIO 2025]],$J$2:$V$14,3,0)*Tabla4[[#This Row],[TOTAL COBERTURA]])</f>
        <v>8967000</v>
      </c>
      <c r="AY264" s="35">
        <f>(VLOOKUP(Tabla4[[#This Row],[SERVICIO 2025]],$J$2:$V$14,3,0)*Tabla4[[#This Row],[TOTAL COBERTURA]])</f>
        <v>8967000</v>
      </c>
      <c r="AZ264" s="35">
        <f>(VLOOKUP(Tabla4[[#This Row],[SERVICIO 2025]],$J$2:$V$14,3,0)*Tabla4[[#This Row],[TOTAL COBERTURA]])</f>
        <v>8967000</v>
      </c>
      <c r="BA264" s="35">
        <f>(VLOOKUP(Tabla4[[#This Row],[SERVICIO 2025]],$J$2:$V$14,3,0)*Tabla4[[#This Row],[TOTAL COBERTURA]])+Tabla4[[#This Row],[VALOR FASE PREPARATORIA DE CIERRE]]</f>
        <v>10859050</v>
      </c>
      <c r="BB264" s="35">
        <f>SUM(Tabla4[[#This Row],[DESEMBOLSO 1]:[DESEMBOLSO 8]])</f>
        <v>75965250</v>
      </c>
      <c r="BC264" s="35">
        <f>VLOOKUP(Tabla4[[#This Row],[SERVICIO 2025]],$J$2:$V$14,10,0)*Tabla4[[#This Row],[TOTAL COBERTURA]]*$W$3</f>
        <v>75328400</v>
      </c>
      <c r="BD264" s="47" t="s">
        <v>211</v>
      </c>
      <c r="BE264" s="12" t="b">
        <f>EXACT(Tabla4[[#This Row],[VALOR ATENCIÓN (8 MESES)]],Tabla4[[#This Row],[VALOR TOTAL]])</f>
        <v>1</v>
      </c>
      <c r="BF264" s="23">
        <f>Tabla4[[#This Row],[VALOR ATENCIÓN (8 MESES)]]-Tabla4[[#This Row],[VALOR TOTAL]]</f>
        <v>0</v>
      </c>
      <c r="BG264" s="12" t="b">
        <f>EXACT(Tabla4[[#This Row],[TOTAL DESEMBOLSOS]],Tabla4[[#This Row],[VALOR ATENCIÓN (8 MESES)]])</f>
        <v>1</v>
      </c>
      <c r="BH264" s="29">
        <f>Tabla4[[#This Row],[TOTAL DESEMBOLSOS]]-Tabla4[[#This Row],[VALOR ATENCIÓN (8 MESES)]]</f>
        <v>0</v>
      </c>
      <c r="BI264" t="s">
        <v>98</v>
      </c>
      <c r="BJ264">
        <v>1907</v>
      </c>
    </row>
    <row r="265" spans="1:62">
      <c r="A265" s="13">
        <v>1907</v>
      </c>
      <c r="B265" s="13" t="s">
        <v>650</v>
      </c>
      <c r="C265" s="12" t="s">
        <v>87</v>
      </c>
      <c r="D265" s="12" t="s">
        <v>651</v>
      </c>
      <c r="E265" s="12" t="s">
        <v>652</v>
      </c>
      <c r="F265" s="12" t="s">
        <v>21</v>
      </c>
      <c r="G265" s="12" t="s">
        <v>90</v>
      </c>
      <c r="H265" s="12" t="s">
        <v>664</v>
      </c>
      <c r="I265" s="12">
        <v>50301136051</v>
      </c>
      <c r="J265" s="12" t="s">
        <v>665</v>
      </c>
      <c r="K265" s="12">
        <v>1</v>
      </c>
      <c r="L265" s="12">
        <v>30</v>
      </c>
      <c r="M265" s="12"/>
      <c r="N265" s="13">
        <v>1907</v>
      </c>
      <c r="O265" s="12" t="s">
        <v>93</v>
      </c>
      <c r="P265" s="12"/>
      <c r="Q265" s="12"/>
      <c r="R265" s="12" t="s">
        <v>94</v>
      </c>
      <c r="S265" s="12">
        <v>10</v>
      </c>
      <c r="T265" s="12" t="s">
        <v>655</v>
      </c>
      <c r="U265" s="12" t="s">
        <v>656</v>
      </c>
      <c r="V265" s="12">
        <f>VLOOKUP(Tabla4[[#This Row],[ZONA DEFINITIVO]],Hoja1!$A$1:$D$121,3,0)</f>
        <v>229072</v>
      </c>
      <c r="W265" s="12">
        <f>VLOOKUP(Tabla4[[#This Row],[ZONA DEFINITIVO]],Hoja1!$A$1:$D$121,2,0)</f>
        <v>15192</v>
      </c>
      <c r="X265" s="12">
        <f>VLOOKUP(Tabla4[[#This Row],[ZONA DEFINITIVO]],Hoja1!$A$1:$D$121,4,0)</f>
        <v>82725</v>
      </c>
      <c r="Y265" s="12" t="str">
        <f>+IF(Tabla4[[#This Row],[AGRUPACIONES]]=1,SUMIFS(Tabla4[UDS],Tabla4[ZONA DEFINITIVO],Tabla4[[#This Row],[ZONA DEFINITIVO]])," ")</f>
        <v xml:space="preserve"> </v>
      </c>
      <c r="Z265" s="12" t="str">
        <f>+IF(Tabla4[[#This Row],[AGRUPACIONES]]=1,SUMIFS(Tabla4[TOTAL COBERTURA],Tabla4[ZONA DEFINITIVO],Tabla4[[#This Row],[ZONA DEFINITIVO]])," ")</f>
        <v xml:space="preserve"> </v>
      </c>
      <c r="AA265" s="12"/>
      <c r="AB265" s="38">
        <v>45579150</v>
      </c>
      <c r="AC265" s="37">
        <v>0.02</v>
      </c>
      <c r="AD265" s="38">
        <f t="shared" si="4"/>
        <v>911583</v>
      </c>
      <c r="AE265" s="12"/>
      <c r="AF265" s="12">
        <f>COUNTIF($A$20:A265,A265)</f>
        <v>6</v>
      </c>
      <c r="AG265" s="38">
        <v>45579150</v>
      </c>
      <c r="AH265" s="38">
        <f>Tabla4[[#This Row],[VALOR CONTRAPARTIDA]]+Tabla4[[#This Row],[TOTAL APORTES ICBF]]</f>
        <v>46490733</v>
      </c>
      <c r="AI265" s="35"/>
      <c r="AJ265" s="38"/>
      <c r="AK265" s="38"/>
      <c r="AL265" s="23"/>
      <c r="AM265" s="35">
        <f>VLOOKUP(Tabla4[[#This Row],[SERVICIO 2025]],$J$2:$V$14,5,0)*Tabla4[[#This Row],[TOTAL COBERTURA]]</f>
        <v>1402320</v>
      </c>
      <c r="AN265" s="35">
        <f>VLOOKUP(Tabla4[[#This Row],[SERVICIO 2025]],$J$2:$V$14,6,0)*Tabla4[[#This Row],[TOTAL COBERTURA]]</f>
        <v>1135230</v>
      </c>
      <c r="AO265" s="35">
        <f>VLOOKUP(Tabla4[[#This Row],[SERVICIO 2025]],$J$2:$V$14,8,0)*Tabla4[[#This Row],[TOTAL COBERTURA]]</f>
        <v>0</v>
      </c>
      <c r="AP265" s="35">
        <f>VLOOKUP(Tabla4[[#This Row],[SERVICIO 2025]],$J$2:$V$14,3,0)*Tabla4[[#This Row],[TOTAL COBERTURA]]*8</f>
        <v>43041600</v>
      </c>
      <c r="AQ265" s="35"/>
      <c r="AR265" s="35">
        <f>Tabla4[[#This Row],[VALOR FASE PREPARATORIA DE ALISTAMIENTO]]+Tabla4[[#This Row],[VALOR FASE PREPARATORIA DE CIERRE]]+Tabla4[[#This Row],[DOTACIÓN ÚNICA]]+Tabla4[[#This Row],[VALOR ATENCIÓN]]+Tabla4[[#This Row],[VALOR RACION PREPARADA]]</f>
        <v>45579150</v>
      </c>
      <c r="AS265" s="35" t="str">
        <f>+IF(Tabla4[[#This Row],[AGRUPACIONES]]=1,SUMIFS(Tabla4[VALOR TOTAL],Tabla4[ZONA DEFINITIVO],Tabla4[[#This Row],[ZONA DEFINITIVO]])," ")</f>
        <v xml:space="preserve"> </v>
      </c>
      <c r="AT265" s="27">
        <f>(VLOOKUP(Tabla4[[#This Row],[SERVICIO 2025]],$J$2:$V$14,3,0)*Tabla4[[#This Row],[TOTAL COBERTURA]])+Tabla4[[#This Row],[VALOR FASE PREPARATORIA DE ALISTAMIENTO]]+Tabla4[[#This Row],[DOTACIÓN ÚNICA]]</f>
        <v>6782520</v>
      </c>
      <c r="AU265" s="35">
        <f>(VLOOKUP(Tabla4[[#This Row],[SERVICIO 2025]],$J$2:$V$14,3,0)*Tabla4[[#This Row],[TOTAL COBERTURA]])</f>
        <v>5380200</v>
      </c>
      <c r="AV265" s="35">
        <f>(VLOOKUP(Tabla4[[#This Row],[SERVICIO 2025]],$J$2:$V$14,3,0)*Tabla4[[#This Row],[TOTAL COBERTURA]])</f>
        <v>5380200</v>
      </c>
      <c r="AW265" s="35">
        <f>(VLOOKUP(Tabla4[[#This Row],[SERVICIO 2025]],$J$2:$V$14,3,0)*Tabla4[[#This Row],[TOTAL COBERTURA]])</f>
        <v>5380200</v>
      </c>
      <c r="AX265" s="35">
        <f>(VLOOKUP(Tabla4[[#This Row],[SERVICIO 2025]],$J$2:$V$14,3,0)*Tabla4[[#This Row],[TOTAL COBERTURA]])</f>
        <v>5380200</v>
      </c>
      <c r="AY265" s="35">
        <f>(VLOOKUP(Tabla4[[#This Row],[SERVICIO 2025]],$J$2:$V$14,3,0)*Tabla4[[#This Row],[TOTAL COBERTURA]])</f>
        <v>5380200</v>
      </c>
      <c r="AZ265" s="35">
        <f>(VLOOKUP(Tabla4[[#This Row],[SERVICIO 2025]],$J$2:$V$14,3,0)*Tabla4[[#This Row],[TOTAL COBERTURA]])</f>
        <v>5380200</v>
      </c>
      <c r="BA265" s="35">
        <f>(VLOOKUP(Tabla4[[#This Row],[SERVICIO 2025]],$J$2:$V$14,3,0)*Tabla4[[#This Row],[TOTAL COBERTURA]])+Tabla4[[#This Row],[VALOR FASE PREPARATORIA DE CIERRE]]</f>
        <v>6515430</v>
      </c>
      <c r="BB265" s="35">
        <f>SUM(Tabla4[[#This Row],[DESEMBOLSO 1]:[DESEMBOLSO 8]])</f>
        <v>45579150</v>
      </c>
      <c r="BC265" s="35">
        <f>VLOOKUP(Tabla4[[#This Row],[SERVICIO 2025]],$J$2:$V$14,10,0)*Tabla4[[#This Row],[TOTAL COBERTURA]]*$W$3</f>
        <v>45197040</v>
      </c>
      <c r="BD265" s="47" t="s">
        <v>211</v>
      </c>
      <c r="BE265" s="12" t="b">
        <f>EXACT(Tabla4[[#This Row],[VALOR ATENCIÓN (8 MESES)]],Tabla4[[#This Row],[VALOR TOTAL]])</f>
        <v>1</v>
      </c>
      <c r="BF265" s="23">
        <f>Tabla4[[#This Row],[VALOR ATENCIÓN (8 MESES)]]-Tabla4[[#This Row],[VALOR TOTAL]]</f>
        <v>0</v>
      </c>
      <c r="BG265" s="12" t="b">
        <f>EXACT(Tabla4[[#This Row],[TOTAL DESEMBOLSOS]],Tabla4[[#This Row],[VALOR ATENCIÓN (8 MESES)]])</f>
        <v>1</v>
      </c>
      <c r="BH265" s="29">
        <f>Tabla4[[#This Row],[TOTAL DESEMBOLSOS]]-Tabla4[[#This Row],[VALOR ATENCIÓN (8 MESES)]]</f>
        <v>0</v>
      </c>
      <c r="BI265" t="s">
        <v>98</v>
      </c>
      <c r="BJ265">
        <v>1907</v>
      </c>
    </row>
    <row r="266" spans="1:62">
      <c r="A266" s="13">
        <v>1907</v>
      </c>
      <c r="B266" s="13" t="s">
        <v>650</v>
      </c>
      <c r="C266" s="12" t="s">
        <v>87</v>
      </c>
      <c r="D266" s="12" t="s">
        <v>651</v>
      </c>
      <c r="E266" s="12" t="s">
        <v>652</v>
      </c>
      <c r="F266" s="12" t="s">
        <v>21</v>
      </c>
      <c r="G266" s="12" t="s">
        <v>90</v>
      </c>
      <c r="H266" s="12" t="s">
        <v>666</v>
      </c>
      <c r="I266" s="12">
        <v>50301136064</v>
      </c>
      <c r="J266" s="12" t="s">
        <v>666</v>
      </c>
      <c r="K266" s="12">
        <v>1</v>
      </c>
      <c r="L266" s="12">
        <v>26</v>
      </c>
      <c r="M266" s="12"/>
      <c r="N266" s="13">
        <v>1907</v>
      </c>
      <c r="O266" s="12" t="s">
        <v>93</v>
      </c>
      <c r="P266" s="12"/>
      <c r="Q266" s="12"/>
      <c r="R266" s="12" t="s">
        <v>94</v>
      </c>
      <c r="S266" s="12">
        <v>10</v>
      </c>
      <c r="T266" s="12" t="s">
        <v>655</v>
      </c>
      <c r="U266" s="12" t="s">
        <v>656</v>
      </c>
      <c r="V266" s="12">
        <f>VLOOKUP(Tabla4[[#This Row],[ZONA DEFINITIVO]],Hoja1!$A$1:$D$121,3,0)</f>
        <v>229072</v>
      </c>
      <c r="W266" s="12">
        <f>VLOOKUP(Tabla4[[#This Row],[ZONA DEFINITIVO]],Hoja1!$A$1:$D$121,2,0)</f>
        <v>15192</v>
      </c>
      <c r="X266" s="12">
        <f>VLOOKUP(Tabla4[[#This Row],[ZONA DEFINITIVO]],Hoja1!$A$1:$D$121,4,0)</f>
        <v>82725</v>
      </c>
      <c r="Y266" s="12" t="str">
        <f>+IF(Tabla4[[#This Row],[AGRUPACIONES]]=1,SUMIFS(Tabla4[UDS],Tabla4[ZONA DEFINITIVO],Tabla4[[#This Row],[ZONA DEFINITIVO]])," ")</f>
        <v xml:space="preserve"> </v>
      </c>
      <c r="Z266" s="12" t="str">
        <f>+IF(Tabla4[[#This Row],[AGRUPACIONES]]=1,SUMIFS(Tabla4[TOTAL COBERTURA],Tabla4[ZONA DEFINITIVO],Tabla4[[#This Row],[ZONA DEFINITIVO]])," ")</f>
        <v xml:space="preserve"> </v>
      </c>
      <c r="AA266" s="12"/>
      <c r="AB266" s="38">
        <v>39501930</v>
      </c>
      <c r="AC266" s="37">
        <v>0.02</v>
      </c>
      <c r="AD266" s="38">
        <f t="shared" si="4"/>
        <v>790038.6</v>
      </c>
      <c r="AE266" s="12"/>
      <c r="AF266" s="12">
        <f>COUNTIF($A$20:A266,A266)</f>
        <v>7</v>
      </c>
      <c r="AG266" s="38">
        <v>39501930</v>
      </c>
      <c r="AH266" s="38">
        <f>Tabla4[[#This Row],[VALOR CONTRAPARTIDA]]+Tabla4[[#This Row],[TOTAL APORTES ICBF]]</f>
        <v>40291968.600000001</v>
      </c>
      <c r="AI266" s="35"/>
      <c r="AJ266" s="38"/>
      <c r="AK266" s="38"/>
      <c r="AL266" s="23"/>
      <c r="AM266" s="35">
        <f>VLOOKUP(Tabla4[[#This Row],[SERVICIO 2025]],$J$2:$V$14,5,0)*Tabla4[[#This Row],[TOTAL COBERTURA]]</f>
        <v>1215344</v>
      </c>
      <c r="AN266" s="35">
        <f>VLOOKUP(Tabla4[[#This Row],[SERVICIO 2025]],$J$2:$V$14,6,0)*Tabla4[[#This Row],[TOTAL COBERTURA]]</f>
        <v>983866</v>
      </c>
      <c r="AO266" s="35">
        <f>VLOOKUP(Tabla4[[#This Row],[SERVICIO 2025]],$J$2:$V$14,8,0)*Tabla4[[#This Row],[TOTAL COBERTURA]]</f>
        <v>0</v>
      </c>
      <c r="AP266" s="35">
        <f>VLOOKUP(Tabla4[[#This Row],[SERVICIO 2025]],$J$2:$V$14,3,0)*Tabla4[[#This Row],[TOTAL COBERTURA]]*8</f>
        <v>37302720</v>
      </c>
      <c r="AQ266" s="35"/>
      <c r="AR266" s="35">
        <f>Tabla4[[#This Row],[VALOR FASE PREPARATORIA DE ALISTAMIENTO]]+Tabla4[[#This Row],[VALOR FASE PREPARATORIA DE CIERRE]]+Tabla4[[#This Row],[DOTACIÓN ÚNICA]]+Tabla4[[#This Row],[VALOR ATENCIÓN]]+Tabla4[[#This Row],[VALOR RACION PREPARADA]]</f>
        <v>39501930</v>
      </c>
      <c r="AS266" s="35" t="str">
        <f>+IF(Tabla4[[#This Row],[AGRUPACIONES]]=1,SUMIFS(Tabla4[VALOR TOTAL],Tabla4[ZONA DEFINITIVO],Tabla4[[#This Row],[ZONA DEFINITIVO]])," ")</f>
        <v xml:space="preserve"> </v>
      </c>
      <c r="AT266" s="27">
        <f>(VLOOKUP(Tabla4[[#This Row],[SERVICIO 2025]],$J$2:$V$14,3,0)*Tabla4[[#This Row],[TOTAL COBERTURA]])+Tabla4[[#This Row],[VALOR FASE PREPARATORIA DE ALISTAMIENTO]]+Tabla4[[#This Row],[DOTACIÓN ÚNICA]]</f>
        <v>5878184</v>
      </c>
      <c r="AU266" s="35">
        <f>(VLOOKUP(Tabla4[[#This Row],[SERVICIO 2025]],$J$2:$V$14,3,0)*Tabla4[[#This Row],[TOTAL COBERTURA]])</f>
        <v>4662840</v>
      </c>
      <c r="AV266" s="35">
        <f>(VLOOKUP(Tabla4[[#This Row],[SERVICIO 2025]],$J$2:$V$14,3,0)*Tabla4[[#This Row],[TOTAL COBERTURA]])</f>
        <v>4662840</v>
      </c>
      <c r="AW266" s="35">
        <f>(VLOOKUP(Tabla4[[#This Row],[SERVICIO 2025]],$J$2:$V$14,3,0)*Tabla4[[#This Row],[TOTAL COBERTURA]])</f>
        <v>4662840</v>
      </c>
      <c r="AX266" s="35">
        <f>(VLOOKUP(Tabla4[[#This Row],[SERVICIO 2025]],$J$2:$V$14,3,0)*Tabla4[[#This Row],[TOTAL COBERTURA]])</f>
        <v>4662840</v>
      </c>
      <c r="AY266" s="35">
        <f>(VLOOKUP(Tabla4[[#This Row],[SERVICIO 2025]],$J$2:$V$14,3,0)*Tabla4[[#This Row],[TOTAL COBERTURA]])</f>
        <v>4662840</v>
      </c>
      <c r="AZ266" s="35">
        <f>(VLOOKUP(Tabla4[[#This Row],[SERVICIO 2025]],$J$2:$V$14,3,0)*Tabla4[[#This Row],[TOTAL COBERTURA]])</f>
        <v>4662840</v>
      </c>
      <c r="BA266" s="35">
        <f>(VLOOKUP(Tabla4[[#This Row],[SERVICIO 2025]],$J$2:$V$14,3,0)*Tabla4[[#This Row],[TOTAL COBERTURA]])+Tabla4[[#This Row],[VALOR FASE PREPARATORIA DE CIERRE]]</f>
        <v>5646706</v>
      </c>
      <c r="BB266" s="35">
        <f>SUM(Tabla4[[#This Row],[DESEMBOLSO 1]:[DESEMBOLSO 8]])</f>
        <v>39501930</v>
      </c>
      <c r="BC266" s="35">
        <f>VLOOKUP(Tabla4[[#This Row],[SERVICIO 2025]],$J$2:$V$14,10,0)*Tabla4[[#This Row],[TOTAL COBERTURA]]*$W$3</f>
        <v>39170768</v>
      </c>
      <c r="BD266" s="47" t="s">
        <v>211</v>
      </c>
      <c r="BE266" s="12" t="b">
        <f>EXACT(Tabla4[[#This Row],[VALOR ATENCIÓN (8 MESES)]],Tabla4[[#This Row],[VALOR TOTAL]])</f>
        <v>1</v>
      </c>
      <c r="BF266" s="23">
        <f>Tabla4[[#This Row],[VALOR ATENCIÓN (8 MESES)]]-Tabla4[[#This Row],[VALOR TOTAL]]</f>
        <v>0</v>
      </c>
      <c r="BG266" s="12" t="b">
        <f>EXACT(Tabla4[[#This Row],[TOTAL DESEMBOLSOS]],Tabla4[[#This Row],[VALOR ATENCIÓN (8 MESES)]])</f>
        <v>1</v>
      </c>
      <c r="BH266" s="29">
        <f>Tabla4[[#This Row],[TOTAL DESEMBOLSOS]]-Tabla4[[#This Row],[VALOR ATENCIÓN (8 MESES)]]</f>
        <v>0</v>
      </c>
      <c r="BI266" t="s">
        <v>98</v>
      </c>
      <c r="BJ266">
        <v>1907</v>
      </c>
    </row>
    <row r="267" spans="1:62">
      <c r="A267" s="13">
        <v>1907</v>
      </c>
      <c r="B267" s="13" t="s">
        <v>650</v>
      </c>
      <c r="C267" s="12" t="s">
        <v>87</v>
      </c>
      <c r="D267" s="12" t="s">
        <v>651</v>
      </c>
      <c r="E267" s="12" t="s">
        <v>652</v>
      </c>
      <c r="F267" s="12" t="s">
        <v>21</v>
      </c>
      <c r="G267" s="12" t="s">
        <v>90</v>
      </c>
      <c r="H267" s="12" t="s">
        <v>667</v>
      </c>
      <c r="I267" s="12">
        <v>50301144849</v>
      </c>
      <c r="J267" s="12" t="s">
        <v>667</v>
      </c>
      <c r="K267" s="12">
        <v>1</v>
      </c>
      <c r="L267" s="12">
        <v>16</v>
      </c>
      <c r="M267" s="12"/>
      <c r="N267" s="13">
        <v>1907</v>
      </c>
      <c r="O267" s="12" t="s">
        <v>93</v>
      </c>
      <c r="P267" s="12"/>
      <c r="Q267" s="12"/>
      <c r="R267" s="12" t="s">
        <v>94</v>
      </c>
      <c r="S267" s="12">
        <v>10</v>
      </c>
      <c r="T267" s="12" t="s">
        <v>655</v>
      </c>
      <c r="U267" s="12" t="s">
        <v>656</v>
      </c>
      <c r="V267" s="12">
        <f>VLOOKUP(Tabla4[[#This Row],[ZONA DEFINITIVO]],Hoja1!$A$1:$D$121,3,0)</f>
        <v>229072</v>
      </c>
      <c r="W267" s="12">
        <f>VLOOKUP(Tabla4[[#This Row],[ZONA DEFINITIVO]],Hoja1!$A$1:$D$121,2,0)</f>
        <v>15192</v>
      </c>
      <c r="X267" s="12">
        <f>VLOOKUP(Tabla4[[#This Row],[ZONA DEFINITIVO]],Hoja1!$A$1:$D$121,4,0)</f>
        <v>82725</v>
      </c>
      <c r="Y267" s="12" t="str">
        <f>+IF(Tabla4[[#This Row],[AGRUPACIONES]]=1,SUMIFS(Tabla4[UDS],Tabla4[ZONA DEFINITIVO],Tabla4[[#This Row],[ZONA DEFINITIVO]])," ")</f>
        <v xml:space="preserve"> </v>
      </c>
      <c r="Z267" s="12" t="str">
        <f>+IF(Tabla4[[#This Row],[AGRUPACIONES]]=1,SUMIFS(Tabla4[TOTAL COBERTURA],Tabla4[ZONA DEFINITIVO],Tabla4[[#This Row],[ZONA DEFINITIVO]])," ")</f>
        <v xml:space="preserve"> </v>
      </c>
      <c r="AA267" s="12"/>
      <c r="AB267" s="38">
        <v>24308880</v>
      </c>
      <c r="AC267" s="37">
        <v>0.02</v>
      </c>
      <c r="AD267" s="38">
        <f t="shared" si="4"/>
        <v>486177.60000000003</v>
      </c>
      <c r="AE267" s="12"/>
      <c r="AF267" s="12">
        <f>COUNTIF($A$20:A267,A267)</f>
        <v>8</v>
      </c>
      <c r="AG267" s="38">
        <v>24308880</v>
      </c>
      <c r="AH267" s="38">
        <f>Tabla4[[#This Row],[VALOR CONTRAPARTIDA]]+Tabla4[[#This Row],[TOTAL APORTES ICBF]]</f>
        <v>24795057.600000001</v>
      </c>
      <c r="AI267" s="35"/>
      <c r="AJ267" s="38"/>
      <c r="AK267" s="38"/>
      <c r="AL267" s="23"/>
      <c r="AM267" s="35">
        <f>VLOOKUP(Tabla4[[#This Row],[SERVICIO 2025]],$J$2:$V$14,5,0)*Tabla4[[#This Row],[TOTAL COBERTURA]]</f>
        <v>747904</v>
      </c>
      <c r="AN267" s="35">
        <f>VLOOKUP(Tabla4[[#This Row],[SERVICIO 2025]],$J$2:$V$14,6,0)*Tabla4[[#This Row],[TOTAL COBERTURA]]</f>
        <v>605456</v>
      </c>
      <c r="AO267" s="35">
        <f>VLOOKUP(Tabla4[[#This Row],[SERVICIO 2025]],$J$2:$V$14,8,0)*Tabla4[[#This Row],[TOTAL COBERTURA]]</f>
        <v>0</v>
      </c>
      <c r="AP267" s="35">
        <f>VLOOKUP(Tabla4[[#This Row],[SERVICIO 2025]],$J$2:$V$14,3,0)*Tabla4[[#This Row],[TOTAL COBERTURA]]*8</f>
        <v>22955520</v>
      </c>
      <c r="AQ267" s="35"/>
      <c r="AR267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267" s="35" t="str">
        <f>+IF(Tabla4[[#This Row],[AGRUPACIONES]]=1,SUMIFS(Tabla4[VALOR TOTAL],Tabla4[ZONA DEFINITIVO],Tabla4[[#This Row],[ZONA DEFINITIVO]])," ")</f>
        <v xml:space="preserve"> </v>
      </c>
      <c r="AT267" s="27">
        <f>(VLOOKUP(Tabla4[[#This Row],[SERVICIO 2025]],$J$2:$V$14,3,0)*Tabla4[[#This Row],[TOTAL COBERTURA]])+Tabla4[[#This Row],[VALOR FASE PREPARATORIA DE ALISTAMIENTO]]+Tabla4[[#This Row],[DOTACIÓN ÚNICA]]</f>
        <v>3617344</v>
      </c>
      <c r="AU267" s="35">
        <f>(VLOOKUP(Tabla4[[#This Row],[SERVICIO 2025]],$J$2:$V$14,3,0)*Tabla4[[#This Row],[TOTAL COBERTURA]])</f>
        <v>2869440</v>
      </c>
      <c r="AV267" s="35">
        <f>(VLOOKUP(Tabla4[[#This Row],[SERVICIO 2025]],$J$2:$V$14,3,0)*Tabla4[[#This Row],[TOTAL COBERTURA]])</f>
        <v>2869440</v>
      </c>
      <c r="AW267" s="35">
        <f>(VLOOKUP(Tabla4[[#This Row],[SERVICIO 2025]],$J$2:$V$14,3,0)*Tabla4[[#This Row],[TOTAL COBERTURA]])</f>
        <v>2869440</v>
      </c>
      <c r="AX267" s="35">
        <f>(VLOOKUP(Tabla4[[#This Row],[SERVICIO 2025]],$J$2:$V$14,3,0)*Tabla4[[#This Row],[TOTAL COBERTURA]])</f>
        <v>2869440</v>
      </c>
      <c r="AY267" s="35">
        <f>(VLOOKUP(Tabla4[[#This Row],[SERVICIO 2025]],$J$2:$V$14,3,0)*Tabla4[[#This Row],[TOTAL COBERTURA]])</f>
        <v>2869440</v>
      </c>
      <c r="AZ267" s="35">
        <f>(VLOOKUP(Tabla4[[#This Row],[SERVICIO 2025]],$J$2:$V$14,3,0)*Tabla4[[#This Row],[TOTAL COBERTURA]])</f>
        <v>2869440</v>
      </c>
      <c r="BA267" s="35">
        <f>(VLOOKUP(Tabla4[[#This Row],[SERVICIO 2025]],$J$2:$V$14,3,0)*Tabla4[[#This Row],[TOTAL COBERTURA]])+Tabla4[[#This Row],[VALOR FASE PREPARATORIA DE CIERRE]]</f>
        <v>3474896</v>
      </c>
      <c r="BB267" s="35">
        <f>SUM(Tabla4[[#This Row],[DESEMBOLSO 1]:[DESEMBOLSO 8]])</f>
        <v>24308880</v>
      </c>
      <c r="BC267" s="35">
        <f>VLOOKUP(Tabla4[[#This Row],[SERVICIO 2025]],$J$2:$V$14,10,0)*Tabla4[[#This Row],[TOTAL COBERTURA]]*$W$3</f>
        <v>24105088</v>
      </c>
      <c r="BD267" s="47" t="s">
        <v>211</v>
      </c>
      <c r="BE267" s="12" t="b">
        <f>EXACT(Tabla4[[#This Row],[VALOR ATENCIÓN (8 MESES)]],Tabla4[[#This Row],[VALOR TOTAL]])</f>
        <v>1</v>
      </c>
      <c r="BF267" s="23">
        <f>Tabla4[[#This Row],[VALOR ATENCIÓN (8 MESES)]]-Tabla4[[#This Row],[VALOR TOTAL]]</f>
        <v>0</v>
      </c>
      <c r="BG267" s="12" t="b">
        <f>EXACT(Tabla4[[#This Row],[TOTAL DESEMBOLSOS]],Tabla4[[#This Row],[VALOR ATENCIÓN (8 MESES)]])</f>
        <v>1</v>
      </c>
      <c r="BH267" s="29">
        <f>Tabla4[[#This Row],[TOTAL DESEMBOLSOS]]-Tabla4[[#This Row],[VALOR ATENCIÓN (8 MESES)]]</f>
        <v>0</v>
      </c>
      <c r="BI267" t="s">
        <v>98</v>
      </c>
      <c r="BJ267">
        <v>1907</v>
      </c>
    </row>
    <row r="268" spans="1:62">
      <c r="A268" s="13">
        <v>1907</v>
      </c>
      <c r="B268" s="13" t="s">
        <v>650</v>
      </c>
      <c r="C268" s="12" t="s">
        <v>87</v>
      </c>
      <c r="D268" s="12" t="s">
        <v>651</v>
      </c>
      <c r="E268" s="12" t="s">
        <v>652</v>
      </c>
      <c r="F268" s="12" t="s">
        <v>21</v>
      </c>
      <c r="G268" s="12" t="s">
        <v>90</v>
      </c>
      <c r="H268" s="12" t="s">
        <v>668</v>
      </c>
      <c r="I268" s="12">
        <v>50301148663</v>
      </c>
      <c r="J268" s="12" t="s">
        <v>669</v>
      </c>
      <c r="K268" s="12">
        <v>1</v>
      </c>
      <c r="L268" s="12">
        <v>17</v>
      </c>
      <c r="M268" s="12"/>
      <c r="N268" s="13">
        <v>1907</v>
      </c>
      <c r="O268" s="12" t="s">
        <v>93</v>
      </c>
      <c r="P268" s="12"/>
      <c r="Q268" s="12"/>
      <c r="R268" s="12" t="s">
        <v>94</v>
      </c>
      <c r="S268" s="12">
        <v>10</v>
      </c>
      <c r="T268" s="12" t="s">
        <v>655</v>
      </c>
      <c r="U268" s="12" t="s">
        <v>656</v>
      </c>
      <c r="V268" s="12">
        <f>VLOOKUP(Tabla4[[#This Row],[ZONA DEFINITIVO]],Hoja1!$A$1:$D$121,3,0)</f>
        <v>229072</v>
      </c>
      <c r="W268" s="12">
        <f>VLOOKUP(Tabla4[[#This Row],[ZONA DEFINITIVO]],Hoja1!$A$1:$D$121,2,0)</f>
        <v>15192</v>
      </c>
      <c r="X268" s="12">
        <f>VLOOKUP(Tabla4[[#This Row],[ZONA DEFINITIVO]],Hoja1!$A$1:$D$121,4,0)</f>
        <v>82725</v>
      </c>
      <c r="Y268" s="12" t="str">
        <f>+IF(Tabla4[[#This Row],[AGRUPACIONES]]=1,SUMIFS(Tabla4[UDS],Tabla4[ZONA DEFINITIVO],Tabla4[[#This Row],[ZONA DEFINITIVO]])," ")</f>
        <v xml:space="preserve"> </v>
      </c>
      <c r="Z268" s="12" t="str">
        <f>+IF(Tabla4[[#This Row],[AGRUPACIONES]]=1,SUMIFS(Tabla4[TOTAL COBERTURA],Tabla4[ZONA DEFINITIVO],Tabla4[[#This Row],[ZONA DEFINITIVO]])," ")</f>
        <v xml:space="preserve"> </v>
      </c>
      <c r="AA268" s="12"/>
      <c r="AB268" s="38">
        <v>25828185</v>
      </c>
      <c r="AC268" s="37">
        <v>0.02</v>
      </c>
      <c r="AD268" s="38">
        <f t="shared" si="4"/>
        <v>516563.7</v>
      </c>
      <c r="AE268" s="12"/>
      <c r="AF268" s="12">
        <f>COUNTIF($A$20:A268,A268)</f>
        <v>9</v>
      </c>
      <c r="AG268" s="38">
        <v>25828185</v>
      </c>
      <c r="AH268" s="38">
        <f>Tabla4[[#This Row],[VALOR CONTRAPARTIDA]]+Tabla4[[#This Row],[TOTAL APORTES ICBF]]</f>
        <v>26344748.699999999</v>
      </c>
      <c r="AI268" s="35"/>
      <c r="AJ268" s="38"/>
      <c r="AK268" s="38"/>
      <c r="AL268" s="23"/>
      <c r="AM268" s="35">
        <f>VLOOKUP(Tabla4[[#This Row],[SERVICIO 2025]],$J$2:$V$14,5,0)*Tabla4[[#This Row],[TOTAL COBERTURA]]</f>
        <v>794648</v>
      </c>
      <c r="AN268" s="35">
        <f>VLOOKUP(Tabla4[[#This Row],[SERVICIO 2025]],$J$2:$V$14,6,0)*Tabla4[[#This Row],[TOTAL COBERTURA]]</f>
        <v>643297</v>
      </c>
      <c r="AO268" s="35">
        <f>VLOOKUP(Tabla4[[#This Row],[SERVICIO 2025]],$J$2:$V$14,8,0)*Tabla4[[#This Row],[TOTAL COBERTURA]]</f>
        <v>0</v>
      </c>
      <c r="AP268" s="35">
        <f>VLOOKUP(Tabla4[[#This Row],[SERVICIO 2025]],$J$2:$V$14,3,0)*Tabla4[[#This Row],[TOTAL COBERTURA]]*8</f>
        <v>24390240</v>
      </c>
      <c r="AQ268" s="35"/>
      <c r="AR268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268" s="35" t="str">
        <f>+IF(Tabla4[[#This Row],[AGRUPACIONES]]=1,SUMIFS(Tabla4[VALOR TOTAL],Tabla4[ZONA DEFINITIVO],Tabla4[[#This Row],[ZONA DEFINITIVO]])," ")</f>
        <v xml:space="preserve"> </v>
      </c>
      <c r="AT268" s="27">
        <f>(VLOOKUP(Tabla4[[#This Row],[SERVICIO 2025]],$J$2:$V$14,3,0)*Tabla4[[#This Row],[TOTAL COBERTURA]])+Tabla4[[#This Row],[VALOR FASE PREPARATORIA DE ALISTAMIENTO]]+Tabla4[[#This Row],[DOTACIÓN ÚNICA]]</f>
        <v>3843428</v>
      </c>
      <c r="AU268" s="35">
        <f>(VLOOKUP(Tabla4[[#This Row],[SERVICIO 2025]],$J$2:$V$14,3,0)*Tabla4[[#This Row],[TOTAL COBERTURA]])</f>
        <v>3048780</v>
      </c>
      <c r="AV268" s="35">
        <f>(VLOOKUP(Tabla4[[#This Row],[SERVICIO 2025]],$J$2:$V$14,3,0)*Tabla4[[#This Row],[TOTAL COBERTURA]])</f>
        <v>3048780</v>
      </c>
      <c r="AW268" s="35">
        <f>(VLOOKUP(Tabla4[[#This Row],[SERVICIO 2025]],$J$2:$V$14,3,0)*Tabla4[[#This Row],[TOTAL COBERTURA]])</f>
        <v>3048780</v>
      </c>
      <c r="AX268" s="35">
        <f>(VLOOKUP(Tabla4[[#This Row],[SERVICIO 2025]],$J$2:$V$14,3,0)*Tabla4[[#This Row],[TOTAL COBERTURA]])</f>
        <v>3048780</v>
      </c>
      <c r="AY268" s="35">
        <f>(VLOOKUP(Tabla4[[#This Row],[SERVICIO 2025]],$J$2:$V$14,3,0)*Tabla4[[#This Row],[TOTAL COBERTURA]])</f>
        <v>3048780</v>
      </c>
      <c r="AZ268" s="35">
        <f>(VLOOKUP(Tabla4[[#This Row],[SERVICIO 2025]],$J$2:$V$14,3,0)*Tabla4[[#This Row],[TOTAL COBERTURA]])</f>
        <v>3048780</v>
      </c>
      <c r="BA268" s="35">
        <f>(VLOOKUP(Tabla4[[#This Row],[SERVICIO 2025]],$J$2:$V$14,3,0)*Tabla4[[#This Row],[TOTAL COBERTURA]])+Tabla4[[#This Row],[VALOR FASE PREPARATORIA DE CIERRE]]</f>
        <v>3692077</v>
      </c>
      <c r="BB268" s="35">
        <f>SUM(Tabla4[[#This Row],[DESEMBOLSO 1]:[DESEMBOLSO 8]])</f>
        <v>25828185</v>
      </c>
      <c r="BC268" s="35">
        <f>VLOOKUP(Tabla4[[#This Row],[SERVICIO 2025]],$J$2:$V$14,10,0)*Tabla4[[#This Row],[TOTAL COBERTURA]]*$W$3</f>
        <v>25611656</v>
      </c>
      <c r="BD268" s="47" t="s">
        <v>211</v>
      </c>
      <c r="BE268" s="12" t="b">
        <f>EXACT(Tabla4[[#This Row],[VALOR ATENCIÓN (8 MESES)]],Tabla4[[#This Row],[VALOR TOTAL]])</f>
        <v>1</v>
      </c>
      <c r="BF268" s="23">
        <f>Tabla4[[#This Row],[VALOR ATENCIÓN (8 MESES)]]-Tabla4[[#This Row],[VALOR TOTAL]]</f>
        <v>0</v>
      </c>
      <c r="BG268" s="12" t="b">
        <f>EXACT(Tabla4[[#This Row],[TOTAL DESEMBOLSOS]],Tabla4[[#This Row],[VALOR ATENCIÓN (8 MESES)]])</f>
        <v>1</v>
      </c>
      <c r="BH268" s="29">
        <f>Tabla4[[#This Row],[TOTAL DESEMBOLSOS]]-Tabla4[[#This Row],[VALOR ATENCIÓN (8 MESES)]]</f>
        <v>0</v>
      </c>
      <c r="BI268" t="s">
        <v>98</v>
      </c>
      <c r="BJ268">
        <v>1907</v>
      </c>
    </row>
    <row r="269" spans="1:62">
      <c r="A269" s="13">
        <v>1907</v>
      </c>
      <c r="B269" s="13" t="s">
        <v>650</v>
      </c>
      <c r="C269" s="12" t="s">
        <v>87</v>
      </c>
      <c r="D269" s="12" t="s">
        <v>651</v>
      </c>
      <c r="E269" s="12" t="s">
        <v>652</v>
      </c>
      <c r="F269" s="12" t="s">
        <v>14</v>
      </c>
      <c r="G269" s="12" t="s">
        <v>90</v>
      </c>
      <c r="H269" s="12" t="s">
        <v>670</v>
      </c>
      <c r="I269" s="12">
        <v>503000038688</v>
      </c>
      <c r="J269" s="12" t="s">
        <v>671</v>
      </c>
      <c r="K269" s="12">
        <v>1</v>
      </c>
      <c r="L269" s="12">
        <v>104</v>
      </c>
      <c r="M269" s="12"/>
      <c r="N269" s="13">
        <v>1907</v>
      </c>
      <c r="O269" s="12" t="s">
        <v>93</v>
      </c>
      <c r="P269" s="12"/>
      <c r="Q269" s="12"/>
      <c r="R269" s="12" t="s">
        <v>94</v>
      </c>
      <c r="S269" s="12">
        <v>10</v>
      </c>
      <c r="T269" s="12" t="s">
        <v>655</v>
      </c>
      <c r="U269" s="12" t="s">
        <v>656</v>
      </c>
      <c r="V269" s="12">
        <f>VLOOKUP(Tabla4[[#This Row],[ZONA DEFINITIVO]],Hoja1!$A$1:$D$121,3,0)</f>
        <v>229072</v>
      </c>
      <c r="W269" s="12">
        <f>VLOOKUP(Tabla4[[#This Row],[ZONA DEFINITIVO]],Hoja1!$A$1:$D$121,2,0)</f>
        <v>15192</v>
      </c>
      <c r="X269" s="12">
        <f>VLOOKUP(Tabla4[[#This Row],[ZONA DEFINITIVO]],Hoja1!$A$1:$D$121,4,0)</f>
        <v>82725</v>
      </c>
      <c r="Y269" s="12" t="str">
        <f>+IF(Tabla4[[#This Row],[AGRUPACIONES]]=1,SUMIFS(Tabla4[UDS],Tabla4[ZONA DEFINITIVO],Tabla4[[#This Row],[ZONA DEFINITIVO]])," ")</f>
        <v xml:space="preserve"> </v>
      </c>
      <c r="Z269" s="12" t="str">
        <f>+IF(Tabla4[[#This Row],[AGRUPACIONES]]=1,SUMIFS(Tabla4[TOTAL COBERTURA],Tabla4[ZONA DEFINITIVO],Tabla4[[#This Row],[ZONA DEFINITIVO]])," ")</f>
        <v xml:space="preserve"> </v>
      </c>
      <c r="AA269" s="12"/>
      <c r="AB269" s="38">
        <v>435640400</v>
      </c>
      <c r="AC269" s="37">
        <v>0.02</v>
      </c>
      <c r="AD269" s="38">
        <f t="shared" si="4"/>
        <v>8712808</v>
      </c>
      <c r="AE269" s="12"/>
      <c r="AF269" s="12">
        <f>COUNTIF($A$20:A269,A269)</f>
        <v>10</v>
      </c>
      <c r="AG269" s="38">
        <v>435640400</v>
      </c>
      <c r="AH269" s="38">
        <f>Tabla4[[#This Row],[VALOR CONTRAPARTIDA]]+Tabla4[[#This Row],[TOTAL APORTES ICBF]]</f>
        <v>444353208</v>
      </c>
      <c r="AI269" s="35"/>
      <c r="AJ269" s="38"/>
      <c r="AK269" s="38"/>
      <c r="AL269" s="23"/>
      <c r="AM269" s="35">
        <f>VLOOKUP(Tabla4[[#This Row],[SERVICIO 2025]],$J$2:$V$14,5,0)*Tabla4[[#This Row],[TOTAL COBERTURA]]</f>
        <v>9166872</v>
      </c>
      <c r="AN269" s="35">
        <f>VLOOKUP(Tabla4[[#This Row],[SERVICIO 2025]],$J$2:$V$14,6,0)*Tabla4[[#This Row],[TOTAL COBERTURA]]</f>
        <v>7804472</v>
      </c>
      <c r="AO269" s="35">
        <f>VLOOKUP(Tabla4[[#This Row],[SERVICIO 2025]],$J$2:$V$14,8,0)*Tabla4[[#This Row],[TOTAL COBERTURA]]</f>
        <v>0</v>
      </c>
      <c r="AP269" s="35">
        <f>VLOOKUP(Tabla4[[#This Row],[SERVICIO 2025]],$J$2:$V$14,3,0)*Tabla4[[#This Row],[TOTAL COBERTURA]]*8</f>
        <v>418669056</v>
      </c>
      <c r="AQ269" s="35"/>
      <c r="AR269" s="35">
        <f>Tabla4[[#This Row],[VALOR FASE PREPARATORIA DE ALISTAMIENTO]]+Tabla4[[#This Row],[VALOR FASE PREPARATORIA DE CIERRE]]+Tabla4[[#This Row],[DOTACIÓN ÚNICA]]+Tabla4[[#This Row],[VALOR ATENCIÓN]]+Tabla4[[#This Row],[VALOR RACION PREPARADA]]</f>
        <v>435640400</v>
      </c>
      <c r="AS269" s="35" t="str">
        <f>+IF(Tabla4[[#This Row],[AGRUPACIONES]]=1,SUMIFS(Tabla4[VALOR TOTAL],Tabla4[ZONA DEFINITIVO],Tabla4[[#This Row],[ZONA DEFINITIVO]])," ")</f>
        <v xml:space="preserve"> </v>
      </c>
      <c r="AT269" s="27">
        <f>(VLOOKUP(Tabla4[[#This Row],[SERVICIO 2025]],$J$2:$V$14,3,0)*Tabla4[[#This Row],[TOTAL COBERTURA]])+Tabla4[[#This Row],[VALOR FASE PREPARATORIA DE ALISTAMIENTO]]+Tabla4[[#This Row],[DOTACIÓN ÚNICA]]</f>
        <v>61500504</v>
      </c>
      <c r="AU269" s="35">
        <f>(VLOOKUP(Tabla4[[#This Row],[SERVICIO 2025]],$J$2:$V$14,3,0)*Tabla4[[#This Row],[TOTAL COBERTURA]])</f>
        <v>52333632</v>
      </c>
      <c r="AV269" s="35">
        <f>(VLOOKUP(Tabla4[[#This Row],[SERVICIO 2025]],$J$2:$V$14,3,0)*Tabla4[[#This Row],[TOTAL COBERTURA]])</f>
        <v>52333632</v>
      </c>
      <c r="AW269" s="35">
        <f>(VLOOKUP(Tabla4[[#This Row],[SERVICIO 2025]],$J$2:$V$14,3,0)*Tabla4[[#This Row],[TOTAL COBERTURA]])</f>
        <v>52333632</v>
      </c>
      <c r="AX269" s="35">
        <f>(VLOOKUP(Tabla4[[#This Row],[SERVICIO 2025]],$J$2:$V$14,3,0)*Tabla4[[#This Row],[TOTAL COBERTURA]])</f>
        <v>52333632</v>
      </c>
      <c r="AY269" s="35">
        <f>(VLOOKUP(Tabla4[[#This Row],[SERVICIO 2025]],$J$2:$V$14,3,0)*Tabla4[[#This Row],[TOTAL COBERTURA]])</f>
        <v>52333632</v>
      </c>
      <c r="AZ269" s="35">
        <f>(VLOOKUP(Tabla4[[#This Row],[SERVICIO 2025]],$J$2:$V$14,3,0)*Tabla4[[#This Row],[TOTAL COBERTURA]])</f>
        <v>52333632</v>
      </c>
      <c r="BA269" s="35">
        <f>(VLOOKUP(Tabla4[[#This Row],[SERVICIO 2025]],$J$2:$V$14,3,0)*Tabla4[[#This Row],[TOTAL COBERTURA]])+Tabla4[[#This Row],[VALOR FASE PREPARATORIA DE CIERRE]]</f>
        <v>60138104</v>
      </c>
      <c r="BB269" s="35">
        <f>SUM(Tabla4[[#This Row],[DESEMBOLSO 1]:[DESEMBOLSO 8]])</f>
        <v>435640400</v>
      </c>
      <c r="BC269" s="35">
        <f>VLOOKUP(Tabla4[[#This Row],[SERVICIO 2025]],$J$2:$V$14,10,0)*Tabla4[[#This Row],[TOTAL COBERTURA]]*$W$3</f>
        <v>0</v>
      </c>
      <c r="BD269" s="47" t="s">
        <v>145</v>
      </c>
      <c r="BE269" s="12" t="b">
        <f>EXACT(Tabla4[[#This Row],[VALOR ATENCIÓN (8 MESES)]],Tabla4[[#This Row],[VALOR TOTAL]])</f>
        <v>1</v>
      </c>
      <c r="BF269" s="23">
        <f>Tabla4[[#This Row],[VALOR ATENCIÓN (8 MESES)]]-Tabla4[[#This Row],[VALOR TOTAL]]</f>
        <v>0</v>
      </c>
      <c r="BG269" s="12" t="b">
        <f>EXACT(Tabla4[[#This Row],[TOTAL DESEMBOLSOS]],Tabla4[[#This Row],[VALOR ATENCIÓN (8 MESES)]])</f>
        <v>1</v>
      </c>
      <c r="BH269" s="29">
        <f>Tabla4[[#This Row],[TOTAL DESEMBOLSOS]]-Tabla4[[#This Row],[VALOR ATENCIÓN (8 MESES)]]</f>
        <v>0</v>
      </c>
      <c r="BI269" t="s">
        <v>98</v>
      </c>
      <c r="BJ269">
        <v>1907</v>
      </c>
    </row>
    <row r="270" spans="1:62">
      <c r="A270" s="13">
        <v>1908</v>
      </c>
      <c r="B270" s="13" t="s">
        <v>672</v>
      </c>
      <c r="C270" s="12" t="s">
        <v>87</v>
      </c>
      <c r="D270" s="12" t="s">
        <v>673</v>
      </c>
      <c r="E270" s="12" t="s">
        <v>674</v>
      </c>
      <c r="F270" s="12" t="s">
        <v>18</v>
      </c>
      <c r="G270" s="12" t="s">
        <v>90</v>
      </c>
      <c r="H270" s="12" t="s">
        <v>675</v>
      </c>
      <c r="I270" s="12">
        <v>50311117948</v>
      </c>
      <c r="J270" s="12" t="s">
        <v>676</v>
      </c>
      <c r="K270" s="12">
        <v>1</v>
      </c>
      <c r="L270" s="12">
        <v>24</v>
      </c>
      <c r="M270" s="12"/>
      <c r="N270" s="13">
        <v>1908</v>
      </c>
      <c r="O270" s="12" t="s">
        <v>93</v>
      </c>
      <c r="P270" s="12"/>
      <c r="Q270" s="12"/>
      <c r="R270" s="12" t="s">
        <v>94</v>
      </c>
      <c r="S270" s="12">
        <v>10</v>
      </c>
      <c r="T270" s="12" t="s">
        <v>677</v>
      </c>
      <c r="U270" s="12" t="s">
        <v>678</v>
      </c>
      <c r="V270" s="12">
        <f>VLOOKUP(Tabla4[[#This Row],[ZONA DEFINITIVO]],Hoja1!$A$1:$D$121,3,0)</f>
        <v>229073</v>
      </c>
      <c r="W270" s="12">
        <f>VLOOKUP(Tabla4[[#This Row],[ZONA DEFINITIVO]],Hoja1!$A$1:$D$121,2,0)</f>
        <v>15172</v>
      </c>
      <c r="X270" s="12">
        <f>VLOOKUP(Tabla4[[#This Row],[ZONA DEFINITIVO]],Hoja1!$A$1:$D$121,4,0)</f>
        <v>91225</v>
      </c>
      <c r="Y270" s="12">
        <f>+IF(Tabla4[[#This Row],[AGRUPACIONES]]=1,SUMIFS(Tabla4[UDS],Tabla4[ZONA DEFINITIVO],Tabla4[[#This Row],[ZONA DEFINITIVO]])," ")</f>
        <v>13</v>
      </c>
      <c r="Z270" s="12">
        <f>+IF(Tabla4[[#This Row],[AGRUPACIONES]]=1,SUMIFS(Tabla4[TOTAL COBERTURA],Tabla4[ZONA DEFINITIVO],Tabla4[[#This Row],[ZONA DEFINITIVO]])," ")</f>
        <v>481</v>
      </c>
      <c r="AA270" s="12"/>
      <c r="AB270" s="38">
        <v>52324632</v>
      </c>
      <c r="AC270" s="37">
        <v>0.02</v>
      </c>
      <c r="AD270" s="38">
        <f t="shared" si="4"/>
        <v>1046492.64</v>
      </c>
      <c r="AE270" s="12"/>
      <c r="AF270" s="12">
        <f>COUNTIF($A$20:A270,A270)</f>
        <v>1</v>
      </c>
      <c r="AG270" s="38">
        <v>52324632</v>
      </c>
      <c r="AH270" s="38">
        <f>Tabla4[[#This Row],[VALOR CONTRAPARTIDA]]+Tabla4[[#This Row],[TOTAL APORTES ICBF]]</f>
        <v>53371124.640000001</v>
      </c>
      <c r="AI270" s="35">
        <f>ROUND(+IF(Tabla4[[#This Row],[AGRUPACIONES]]=1,SUMIFS(Tabla4[TOTAL APORTES ICBF],Tabla4[ZONA DEFINITIVO],Tabla4[[#This Row],[ZONA DEFINITIVO]])," "),0)</f>
        <v>1609917799</v>
      </c>
      <c r="AJ270" s="38">
        <f>ROUND(+IF(Tabla4[[#This Row],[AGRUPACIONES]]=1,SUMIFS(Tabla4[VALOR CONTRAPARTIDA],Tabla4[ZONA DEFINITIVO],Tabla4[[#This Row],[ZONA DEFINITIVO]])," "),0)</f>
        <v>32198356</v>
      </c>
      <c r="AK270" s="38">
        <f>Tabla4[[#This Row],[TOTAL APORTES ICBF AGRUPADO]]+Tabla4[[#This Row],[TOTAL CONTRAPARTIDA AGRUPADO]]</f>
        <v>1642116155</v>
      </c>
      <c r="AL270" s="23">
        <f>Tabla4[[#This Row],[TOTAL APORTES ICBF AGRUPADO]]/$AL$18</f>
        <v>1130.9573579206183</v>
      </c>
      <c r="AM270" s="35">
        <f>VLOOKUP(Tabla4[[#This Row],[SERVICIO 2025]],$J$2:$V$14,5,0)*Tabla4[[#This Row],[TOTAL COBERTURA]]</f>
        <v>1185024</v>
      </c>
      <c r="AN270" s="35">
        <f>VLOOKUP(Tabla4[[#This Row],[SERVICIO 2025]],$J$2:$V$14,6,0)*Tabla4[[#This Row],[TOTAL COBERTURA]]</f>
        <v>984696</v>
      </c>
      <c r="AO270" s="35">
        <f>VLOOKUP(Tabla4[[#This Row],[SERVICIO 2025]],$J$2:$V$14,8,0)*Tabla4[[#This Row],[TOTAL COBERTURA]]</f>
        <v>698400</v>
      </c>
      <c r="AP270" s="35">
        <f>VLOOKUP(Tabla4[[#This Row],[SERVICIO 2025]],$J$2:$V$14,3,0)*Tabla4[[#This Row],[TOTAL COBERTURA]]*8</f>
        <v>49456512</v>
      </c>
      <c r="AQ270" s="35"/>
      <c r="AR270" s="35">
        <f>Tabla4[[#This Row],[VALOR FASE PREPARATORIA DE ALISTAMIENTO]]+Tabla4[[#This Row],[VALOR FASE PREPARATORIA DE CIERRE]]+Tabla4[[#This Row],[DOTACIÓN ÚNICA]]+Tabla4[[#This Row],[VALOR ATENCIÓN]]+Tabla4[[#This Row],[VALOR RACION PREPARADA]]</f>
        <v>52324632</v>
      </c>
      <c r="AS270" s="35">
        <f>+IF(Tabla4[[#This Row],[AGRUPACIONES]]=1,SUMIFS(Tabla4[VALOR TOTAL],Tabla4[ZONA DEFINITIVO],Tabla4[[#This Row],[ZONA DEFINITIVO]])," ")</f>
        <v>1609917799</v>
      </c>
      <c r="AT270" s="27">
        <f>(VLOOKUP(Tabla4[[#This Row],[SERVICIO 2025]],$J$2:$V$14,3,0)*Tabla4[[#This Row],[TOTAL COBERTURA]])+Tabla4[[#This Row],[VALOR FASE PREPARATORIA DE ALISTAMIENTO]]+Tabla4[[#This Row],[DOTACIÓN ÚNICA]]</f>
        <v>8065488</v>
      </c>
      <c r="AU270" s="35">
        <f>(VLOOKUP(Tabla4[[#This Row],[SERVICIO 2025]],$J$2:$V$14,3,0)*Tabla4[[#This Row],[TOTAL COBERTURA]])</f>
        <v>6182064</v>
      </c>
      <c r="AV270" s="35">
        <f>(VLOOKUP(Tabla4[[#This Row],[SERVICIO 2025]],$J$2:$V$14,3,0)*Tabla4[[#This Row],[TOTAL COBERTURA]])</f>
        <v>6182064</v>
      </c>
      <c r="AW270" s="35">
        <f>(VLOOKUP(Tabla4[[#This Row],[SERVICIO 2025]],$J$2:$V$14,3,0)*Tabla4[[#This Row],[TOTAL COBERTURA]])</f>
        <v>6182064</v>
      </c>
      <c r="AX270" s="35">
        <f>(VLOOKUP(Tabla4[[#This Row],[SERVICIO 2025]],$J$2:$V$14,3,0)*Tabla4[[#This Row],[TOTAL COBERTURA]])</f>
        <v>6182064</v>
      </c>
      <c r="AY270" s="35">
        <f>(VLOOKUP(Tabla4[[#This Row],[SERVICIO 2025]],$J$2:$V$14,3,0)*Tabla4[[#This Row],[TOTAL COBERTURA]])</f>
        <v>6182064</v>
      </c>
      <c r="AZ270" s="35">
        <f>(VLOOKUP(Tabla4[[#This Row],[SERVICIO 2025]],$J$2:$V$14,3,0)*Tabla4[[#This Row],[TOTAL COBERTURA]])</f>
        <v>6182064</v>
      </c>
      <c r="BA270" s="35">
        <f>(VLOOKUP(Tabla4[[#This Row],[SERVICIO 2025]],$J$2:$V$14,3,0)*Tabla4[[#This Row],[TOTAL COBERTURA]])+Tabla4[[#This Row],[VALOR FASE PREPARATORIA DE CIERRE]]</f>
        <v>7166760</v>
      </c>
      <c r="BB270" s="35">
        <f>SUM(Tabla4[[#This Row],[DESEMBOLSO 1]:[DESEMBOLSO 8]])</f>
        <v>52324632</v>
      </c>
      <c r="BC270" s="35">
        <f>VLOOKUP(Tabla4[[#This Row],[SERVICIO 2025]],$J$2:$V$14,10,0)*Tabla4[[#This Row],[TOTAL COBERTURA]]*$W$3</f>
        <v>34633536</v>
      </c>
      <c r="BD270" s="47" t="s">
        <v>211</v>
      </c>
      <c r="BE270" s="12" t="b">
        <f>EXACT(Tabla4[[#This Row],[VALOR ATENCIÓN (8 MESES)]],Tabla4[[#This Row],[VALOR TOTAL]])</f>
        <v>1</v>
      </c>
      <c r="BF270" s="23">
        <f>Tabla4[[#This Row],[VALOR ATENCIÓN (8 MESES)]]-Tabla4[[#This Row],[VALOR TOTAL]]</f>
        <v>0</v>
      </c>
      <c r="BG270" s="12" t="b">
        <f>EXACT(Tabla4[[#This Row],[TOTAL DESEMBOLSOS]],Tabla4[[#This Row],[VALOR ATENCIÓN (8 MESES)]])</f>
        <v>1</v>
      </c>
      <c r="BH270" s="29">
        <f>Tabla4[[#This Row],[TOTAL DESEMBOLSOS]]-Tabla4[[#This Row],[VALOR ATENCIÓN (8 MESES)]]</f>
        <v>0</v>
      </c>
      <c r="BI270" t="s">
        <v>98</v>
      </c>
      <c r="BJ270">
        <v>1908</v>
      </c>
    </row>
    <row r="271" spans="1:62">
      <c r="A271" s="13">
        <v>1908</v>
      </c>
      <c r="B271" s="13" t="s">
        <v>672</v>
      </c>
      <c r="C271" s="12" t="s">
        <v>87</v>
      </c>
      <c r="D271" s="12" t="s">
        <v>673</v>
      </c>
      <c r="E271" s="12" t="s">
        <v>674</v>
      </c>
      <c r="F271" s="12" t="s">
        <v>18</v>
      </c>
      <c r="G271" s="12" t="s">
        <v>90</v>
      </c>
      <c r="H271" s="12" t="s">
        <v>679</v>
      </c>
      <c r="I271" s="12">
        <v>50311117951</v>
      </c>
      <c r="J271" s="12" t="s">
        <v>680</v>
      </c>
      <c r="K271" s="12">
        <v>1</v>
      </c>
      <c r="L271" s="12">
        <v>11</v>
      </c>
      <c r="M271" s="12"/>
      <c r="N271" s="13">
        <v>1908</v>
      </c>
      <c r="O271" s="12" t="s">
        <v>93</v>
      </c>
      <c r="P271" s="12"/>
      <c r="Q271" s="12"/>
      <c r="R271" s="12" t="s">
        <v>94</v>
      </c>
      <c r="S271" s="12">
        <v>10</v>
      </c>
      <c r="T271" s="12" t="s">
        <v>677</v>
      </c>
      <c r="U271" s="12" t="s">
        <v>678</v>
      </c>
      <c r="V271" s="12">
        <f>VLOOKUP(Tabla4[[#This Row],[ZONA DEFINITIVO]],Hoja1!$A$1:$D$121,3,0)</f>
        <v>229073</v>
      </c>
      <c r="W271" s="12">
        <f>VLOOKUP(Tabla4[[#This Row],[ZONA DEFINITIVO]],Hoja1!$A$1:$D$121,2,0)</f>
        <v>15172</v>
      </c>
      <c r="X271" s="12">
        <f>VLOOKUP(Tabla4[[#This Row],[ZONA DEFINITIVO]],Hoja1!$A$1:$D$121,4,0)</f>
        <v>91225</v>
      </c>
      <c r="Y271" s="12" t="str">
        <f>+IF(Tabla4[[#This Row],[AGRUPACIONES]]=1,SUMIFS(Tabla4[UDS],Tabla4[ZONA DEFINITIVO],Tabla4[[#This Row],[ZONA DEFINITIVO]])," ")</f>
        <v xml:space="preserve"> </v>
      </c>
      <c r="Z271" s="12" t="str">
        <f>+IF(Tabla4[[#This Row],[AGRUPACIONES]]=1,SUMIFS(Tabla4[TOTAL COBERTURA],Tabla4[ZONA DEFINITIVO],Tabla4[[#This Row],[ZONA DEFINITIVO]])," ")</f>
        <v xml:space="preserve"> </v>
      </c>
      <c r="AA271" s="12"/>
      <c r="AB271" s="38">
        <v>23982123</v>
      </c>
      <c r="AC271" s="37">
        <v>0.02</v>
      </c>
      <c r="AD271" s="38">
        <f t="shared" si="4"/>
        <v>479642.46</v>
      </c>
      <c r="AE271" s="12"/>
      <c r="AF271" s="12">
        <f>COUNTIF($A$20:A271,A271)</f>
        <v>2</v>
      </c>
      <c r="AG271" s="38">
        <v>23982123</v>
      </c>
      <c r="AH271" s="38">
        <f>Tabla4[[#This Row],[VALOR CONTRAPARTIDA]]+Tabla4[[#This Row],[TOTAL APORTES ICBF]]</f>
        <v>24461765.460000001</v>
      </c>
      <c r="AI271" s="35"/>
      <c r="AJ271" s="38"/>
      <c r="AK271" s="38"/>
      <c r="AL271" s="23"/>
      <c r="AM271" s="35">
        <f>VLOOKUP(Tabla4[[#This Row],[SERVICIO 2025]],$J$2:$V$14,5,0)*Tabla4[[#This Row],[TOTAL COBERTURA]]</f>
        <v>543136</v>
      </c>
      <c r="AN271" s="35">
        <f>VLOOKUP(Tabla4[[#This Row],[SERVICIO 2025]],$J$2:$V$14,6,0)*Tabla4[[#This Row],[TOTAL COBERTURA]]</f>
        <v>451319</v>
      </c>
      <c r="AO271" s="35">
        <f>VLOOKUP(Tabla4[[#This Row],[SERVICIO 2025]],$J$2:$V$14,8,0)*Tabla4[[#This Row],[TOTAL COBERTURA]]</f>
        <v>320100</v>
      </c>
      <c r="AP271" s="35">
        <f>VLOOKUP(Tabla4[[#This Row],[SERVICIO 2025]],$J$2:$V$14,3,0)*Tabla4[[#This Row],[TOTAL COBERTURA]]*8</f>
        <v>22667568</v>
      </c>
      <c r="AQ271" s="35"/>
      <c r="AR271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271" s="35" t="str">
        <f>+IF(Tabla4[[#This Row],[AGRUPACIONES]]=1,SUMIFS(Tabla4[VALOR TOTAL],Tabla4[ZONA DEFINITIVO],Tabla4[[#This Row],[ZONA DEFINITIVO]])," ")</f>
        <v xml:space="preserve"> </v>
      </c>
      <c r="AT271" s="27">
        <f>(VLOOKUP(Tabla4[[#This Row],[SERVICIO 2025]],$J$2:$V$14,3,0)*Tabla4[[#This Row],[TOTAL COBERTURA]])+Tabla4[[#This Row],[VALOR FASE PREPARATORIA DE ALISTAMIENTO]]+Tabla4[[#This Row],[DOTACIÓN ÚNICA]]</f>
        <v>3696682</v>
      </c>
      <c r="AU271" s="35">
        <f>(VLOOKUP(Tabla4[[#This Row],[SERVICIO 2025]],$J$2:$V$14,3,0)*Tabla4[[#This Row],[TOTAL COBERTURA]])</f>
        <v>2833446</v>
      </c>
      <c r="AV271" s="35">
        <f>(VLOOKUP(Tabla4[[#This Row],[SERVICIO 2025]],$J$2:$V$14,3,0)*Tabla4[[#This Row],[TOTAL COBERTURA]])</f>
        <v>2833446</v>
      </c>
      <c r="AW271" s="35">
        <f>(VLOOKUP(Tabla4[[#This Row],[SERVICIO 2025]],$J$2:$V$14,3,0)*Tabla4[[#This Row],[TOTAL COBERTURA]])</f>
        <v>2833446</v>
      </c>
      <c r="AX271" s="35">
        <f>(VLOOKUP(Tabla4[[#This Row],[SERVICIO 2025]],$J$2:$V$14,3,0)*Tabla4[[#This Row],[TOTAL COBERTURA]])</f>
        <v>2833446</v>
      </c>
      <c r="AY271" s="35">
        <f>(VLOOKUP(Tabla4[[#This Row],[SERVICIO 2025]],$J$2:$V$14,3,0)*Tabla4[[#This Row],[TOTAL COBERTURA]])</f>
        <v>2833446</v>
      </c>
      <c r="AZ271" s="35">
        <f>(VLOOKUP(Tabla4[[#This Row],[SERVICIO 2025]],$J$2:$V$14,3,0)*Tabla4[[#This Row],[TOTAL COBERTURA]])</f>
        <v>2833446</v>
      </c>
      <c r="BA271" s="35">
        <f>(VLOOKUP(Tabla4[[#This Row],[SERVICIO 2025]],$J$2:$V$14,3,0)*Tabla4[[#This Row],[TOTAL COBERTURA]])+Tabla4[[#This Row],[VALOR FASE PREPARATORIA DE CIERRE]]</f>
        <v>3284765</v>
      </c>
      <c r="BB271" s="35">
        <f>SUM(Tabla4[[#This Row],[DESEMBOLSO 1]:[DESEMBOLSO 8]])</f>
        <v>23982123</v>
      </c>
      <c r="BC271" s="35">
        <f>VLOOKUP(Tabla4[[#This Row],[SERVICIO 2025]],$J$2:$V$14,10,0)*Tabla4[[#This Row],[TOTAL COBERTURA]]*$W$3</f>
        <v>15873704</v>
      </c>
      <c r="BD271" s="47" t="s">
        <v>211</v>
      </c>
      <c r="BE271" s="12" t="b">
        <f>EXACT(Tabla4[[#This Row],[VALOR ATENCIÓN (8 MESES)]],Tabla4[[#This Row],[VALOR TOTAL]])</f>
        <v>1</v>
      </c>
      <c r="BF271" s="23">
        <f>Tabla4[[#This Row],[VALOR ATENCIÓN (8 MESES)]]-Tabla4[[#This Row],[VALOR TOTAL]]</f>
        <v>0</v>
      </c>
      <c r="BG271" s="12" t="b">
        <f>EXACT(Tabla4[[#This Row],[TOTAL DESEMBOLSOS]],Tabla4[[#This Row],[VALOR ATENCIÓN (8 MESES)]])</f>
        <v>1</v>
      </c>
      <c r="BH271" s="29">
        <f>Tabla4[[#This Row],[TOTAL DESEMBOLSOS]]-Tabla4[[#This Row],[VALOR ATENCIÓN (8 MESES)]]</f>
        <v>0</v>
      </c>
      <c r="BI271" t="s">
        <v>98</v>
      </c>
      <c r="BJ271">
        <v>1908</v>
      </c>
    </row>
    <row r="272" spans="1:62">
      <c r="A272" s="13">
        <v>1908</v>
      </c>
      <c r="B272" s="13" t="s">
        <v>672</v>
      </c>
      <c r="C272" s="12" t="s">
        <v>87</v>
      </c>
      <c r="D272" s="12" t="s">
        <v>673</v>
      </c>
      <c r="E272" s="12" t="s">
        <v>674</v>
      </c>
      <c r="F272" s="12" t="s">
        <v>18</v>
      </c>
      <c r="G272" s="12" t="s">
        <v>90</v>
      </c>
      <c r="H272" s="12" t="s">
        <v>681</v>
      </c>
      <c r="I272" s="12">
        <v>50311117954</v>
      </c>
      <c r="J272" s="12" t="s">
        <v>682</v>
      </c>
      <c r="K272" s="12">
        <v>1</v>
      </c>
      <c r="L272" s="12">
        <v>19</v>
      </c>
      <c r="M272" s="12"/>
      <c r="N272" s="13">
        <v>1908</v>
      </c>
      <c r="O272" s="12" t="s">
        <v>93</v>
      </c>
      <c r="P272" s="12"/>
      <c r="Q272" s="12"/>
      <c r="R272" s="12" t="s">
        <v>94</v>
      </c>
      <c r="S272" s="12">
        <v>10</v>
      </c>
      <c r="T272" s="12" t="s">
        <v>677</v>
      </c>
      <c r="U272" s="12" t="s">
        <v>678</v>
      </c>
      <c r="V272" s="12">
        <f>VLOOKUP(Tabla4[[#This Row],[ZONA DEFINITIVO]],Hoja1!$A$1:$D$121,3,0)</f>
        <v>229073</v>
      </c>
      <c r="W272" s="12">
        <f>VLOOKUP(Tabla4[[#This Row],[ZONA DEFINITIVO]],Hoja1!$A$1:$D$121,2,0)</f>
        <v>15172</v>
      </c>
      <c r="X272" s="12">
        <f>VLOOKUP(Tabla4[[#This Row],[ZONA DEFINITIVO]],Hoja1!$A$1:$D$121,4,0)</f>
        <v>91225</v>
      </c>
      <c r="Y272" s="12" t="str">
        <f>+IF(Tabla4[[#This Row],[AGRUPACIONES]]=1,SUMIFS(Tabla4[UDS],Tabla4[ZONA DEFINITIVO],Tabla4[[#This Row],[ZONA DEFINITIVO]])," ")</f>
        <v xml:space="preserve"> </v>
      </c>
      <c r="Z272" s="12" t="str">
        <f>+IF(Tabla4[[#This Row],[AGRUPACIONES]]=1,SUMIFS(Tabla4[TOTAL COBERTURA],Tabla4[ZONA DEFINITIVO],Tabla4[[#This Row],[ZONA DEFINITIVO]])," ")</f>
        <v xml:space="preserve"> </v>
      </c>
      <c r="AA272" s="12"/>
      <c r="AB272" s="38">
        <v>41423667</v>
      </c>
      <c r="AC272" s="37">
        <v>0.02</v>
      </c>
      <c r="AD272" s="38">
        <f t="shared" si="4"/>
        <v>828473.34</v>
      </c>
      <c r="AE272" s="12"/>
      <c r="AF272" s="12">
        <f>COUNTIF($A$20:A272,A272)</f>
        <v>3</v>
      </c>
      <c r="AG272" s="38">
        <v>41423667</v>
      </c>
      <c r="AH272" s="38">
        <f>Tabla4[[#This Row],[VALOR CONTRAPARTIDA]]+Tabla4[[#This Row],[TOTAL APORTES ICBF]]</f>
        <v>42252140.340000004</v>
      </c>
      <c r="AI272" s="35"/>
      <c r="AJ272" s="38"/>
      <c r="AK272" s="38"/>
      <c r="AL272" s="23"/>
      <c r="AM272" s="35">
        <f>VLOOKUP(Tabla4[[#This Row],[SERVICIO 2025]],$J$2:$V$14,5,0)*Tabla4[[#This Row],[TOTAL COBERTURA]]</f>
        <v>938144</v>
      </c>
      <c r="AN272" s="35">
        <f>VLOOKUP(Tabla4[[#This Row],[SERVICIO 2025]],$J$2:$V$14,6,0)*Tabla4[[#This Row],[TOTAL COBERTURA]]</f>
        <v>779551</v>
      </c>
      <c r="AO272" s="35">
        <f>VLOOKUP(Tabla4[[#This Row],[SERVICIO 2025]],$J$2:$V$14,8,0)*Tabla4[[#This Row],[TOTAL COBERTURA]]</f>
        <v>552900</v>
      </c>
      <c r="AP272" s="35">
        <f>VLOOKUP(Tabla4[[#This Row],[SERVICIO 2025]],$J$2:$V$14,3,0)*Tabla4[[#This Row],[TOTAL COBERTURA]]*8</f>
        <v>39153072</v>
      </c>
      <c r="AQ272" s="35"/>
      <c r="AR272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272" s="35" t="str">
        <f>+IF(Tabla4[[#This Row],[AGRUPACIONES]]=1,SUMIFS(Tabla4[VALOR TOTAL],Tabla4[ZONA DEFINITIVO],Tabla4[[#This Row],[ZONA DEFINITIVO]])," ")</f>
        <v xml:space="preserve"> </v>
      </c>
      <c r="AT272" s="27">
        <f>(VLOOKUP(Tabla4[[#This Row],[SERVICIO 2025]],$J$2:$V$14,3,0)*Tabla4[[#This Row],[TOTAL COBERTURA]])+Tabla4[[#This Row],[VALOR FASE PREPARATORIA DE ALISTAMIENTO]]+Tabla4[[#This Row],[DOTACIÓN ÚNICA]]</f>
        <v>6385178</v>
      </c>
      <c r="AU272" s="35">
        <f>(VLOOKUP(Tabla4[[#This Row],[SERVICIO 2025]],$J$2:$V$14,3,0)*Tabla4[[#This Row],[TOTAL COBERTURA]])</f>
        <v>4894134</v>
      </c>
      <c r="AV272" s="35">
        <f>(VLOOKUP(Tabla4[[#This Row],[SERVICIO 2025]],$J$2:$V$14,3,0)*Tabla4[[#This Row],[TOTAL COBERTURA]])</f>
        <v>4894134</v>
      </c>
      <c r="AW272" s="35">
        <f>(VLOOKUP(Tabla4[[#This Row],[SERVICIO 2025]],$J$2:$V$14,3,0)*Tabla4[[#This Row],[TOTAL COBERTURA]])</f>
        <v>4894134</v>
      </c>
      <c r="AX272" s="35">
        <f>(VLOOKUP(Tabla4[[#This Row],[SERVICIO 2025]],$J$2:$V$14,3,0)*Tabla4[[#This Row],[TOTAL COBERTURA]])</f>
        <v>4894134</v>
      </c>
      <c r="AY272" s="35">
        <f>(VLOOKUP(Tabla4[[#This Row],[SERVICIO 2025]],$J$2:$V$14,3,0)*Tabla4[[#This Row],[TOTAL COBERTURA]])</f>
        <v>4894134</v>
      </c>
      <c r="AZ272" s="35">
        <f>(VLOOKUP(Tabla4[[#This Row],[SERVICIO 2025]],$J$2:$V$14,3,0)*Tabla4[[#This Row],[TOTAL COBERTURA]])</f>
        <v>4894134</v>
      </c>
      <c r="BA272" s="35">
        <f>(VLOOKUP(Tabla4[[#This Row],[SERVICIO 2025]],$J$2:$V$14,3,0)*Tabla4[[#This Row],[TOTAL COBERTURA]])+Tabla4[[#This Row],[VALOR FASE PREPARATORIA DE CIERRE]]</f>
        <v>5673685</v>
      </c>
      <c r="BB272" s="35">
        <f>SUM(Tabla4[[#This Row],[DESEMBOLSO 1]:[DESEMBOLSO 8]])</f>
        <v>41423667</v>
      </c>
      <c r="BC272" s="35">
        <f>VLOOKUP(Tabla4[[#This Row],[SERVICIO 2025]],$J$2:$V$14,10,0)*Tabla4[[#This Row],[TOTAL COBERTURA]]*$W$3</f>
        <v>27418216</v>
      </c>
      <c r="BD272" s="47" t="s">
        <v>211</v>
      </c>
      <c r="BE272" s="12" t="b">
        <f>EXACT(Tabla4[[#This Row],[VALOR ATENCIÓN (8 MESES)]],Tabla4[[#This Row],[VALOR TOTAL]])</f>
        <v>1</v>
      </c>
      <c r="BF272" s="23">
        <f>Tabla4[[#This Row],[VALOR ATENCIÓN (8 MESES)]]-Tabla4[[#This Row],[VALOR TOTAL]]</f>
        <v>0</v>
      </c>
      <c r="BG272" s="12" t="b">
        <f>EXACT(Tabla4[[#This Row],[TOTAL DESEMBOLSOS]],Tabla4[[#This Row],[VALOR ATENCIÓN (8 MESES)]])</f>
        <v>1</v>
      </c>
      <c r="BH272" s="29">
        <f>Tabla4[[#This Row],[TOTAL DESEMBOLSOS]]-Tabla4[[#This Row],[VALOR ATENCIÓN (8 MESES)]]</f>
        <v>0</v>
      </c>
      <c r="BI272" t="s">
        <v>98</v>
      </c>
      <c r="BJ272">
        <v>1908</v>
      </c>
    </row>
    <row r="273" spans="1:62">
      <c r="A273" s="13">
        <v>1908</v>
      </c>
      <c r="B273" s="13" t="s">
        <v>672</v>
      </c>
      <c r="C273" s="12" t="s">
        <v>87</v>
      </c>
      <c r="D273" s="12" t="s">
        <v>673</v>
      </c>
      <c r="E273" s="12" t="s">
        <v>674</v>
      </c>
      <c r="F273" s="12" t="s">
        <v>18</v>
      </c>
      <c r="G273" s="12" t="s">
        <v>90</v>
      </c>
      <c r="H273" s="12" t="s">
        <v>683</v>
      </c>
      <c r="I273" s="12">
        <v>50311135148</v>
      </c>
      <c r="J273" s="12" t="s">
        <v>684</v>
      </c>
      <c r="K273" s="12">
        <v>1</v>
      </c>
      <c r="L273" s="12">
        <v>13</v>
      </c>
      <c r="M273" s="12"/>
      <c r="N273" s="13">
        <v>1908</v>
      </c>
      <c r="O273" s="12" t="s">
        <v>93</v>
      </c>
      <c r="P273" s="12"/>
      <c r="Q273" s="12"/>
      <c r="R273" s="12" t="s">
        <v>94</v>
      </c>
      <c r="S273" s="12">
        <v>10</v>
      </c>
      <c r="T273" s="12" t="s">
        <v>677</v>
      </c>
      <c r="U273" s="12" t="s">
        <v>678</v>
      </c>
      <c r="V273" s="12">
        <f>VLOOKUP(Tabla4[[#This Row],[ZONA DEFINITIVO]],Hoja1!$A$1:$D$121,3,0)</f>
        <v>229073</v>
      </c>
      <c r="W273" s="12">
        <f>VLOOKUP(Tabla4[[#This Row],[ZONA DEFINITIVO]],Hoja1!$A$1:$D$121,2,0)</f>
        <v>15172</v>
      </c>
      <c r="X273" s="12">
        <f>VLOOKUP(Tabla4[[#This Row],[ZONA DEFINITIVO]],Hoja1!$A$1:$D$121,4,0)</f>
        <v>91225</v>
      </c>
      <c r="Y273" s="12" t="str">
        <f>+IF(Tabla4[[#This Row],[AGRUPACIONES]]=1,SUMIFS(Tabla4[UDS],Tabla4[ZONA DEFINITIVO],Tabla4[[#This Row],[ZONA DEFINITIVO]])," ")</f>
        <v xml:space="preserve"> </v>
      </c>
      <c r="Z273" s="12" t="str">
        <f>+IF(Tabla4[[#This Row],[AGRUPACIONES]]=1,SUMIFS(Tabla4[TOTAL COBERTURA],Tabla4[ZONA DEFINITIVO],Tabla4[[#This Row],[ZONA DEFINITIVO]])," ")</f>
        <v xml:space="preserve"> </v>
      </c>
      <c r="AA273" s="12"/>
      <c r="AB273" s="38">
        <v>28342509</v>
      </c>
      <c r="AC273" s="37">
        <v>0.02</v>
      </c>
      <c r="AD273" s="38">
        <f t="shared" si="4"/>
        <v>566850.18000000005</v>
      </c>
      <c r="AE273" s="12"/>
      <c r="AF273" s="12">
        <f>COUNTIF($A$20:A273,A273)</f>
        <v>4</v>
      </c>
      <c r="AG273" s="38">
        <v>28342509</v>
      </c>
      <c r="AH273" s="38">
        <f>Tabla4[[#This Row],[VALOR CONTRAPARTIDA]]+Tabla4[[#This Row],[TOTAL APORTES ICBF]]</f>
        <v>28909359.18</v>
      </c>
      <c r="AI273" s="35"/>
      <c r="AJ273" s="38"/>
      <c r="AK273" s="38"/>
      <c r="AL273" s="23"/>
      <c r="AM273" s="35">
        <f>VLOOKUP(Tabla4[[#This Row],[SERVICIO 2025]],$J$2:$V$14,5,0)*Tabla4[[#This Row],[TOTAL COBERTURA]]</f>
        <v>641888</v>
      </c>
      <c r="AN273" s="35">
        <f>VLOOKUP(Tabla4[[#This Row],[SERVICIO 2025]],$J$2:$V$14,6,0)*Tabla4[[#This Row],[TOTAL COBERTURA]]</f>
        <v>533377</v>
      </c>
      <c r="AO273" s="35">
        <f>VLOOKUP(Tabla4[[#This Row],[SERVICIO 2025]],$J$2:$V$14,8,0)*Tabla4[[#This Row],[TOTAL COBERTURA]]</f>
        <v>378300</v>
      </c>
      <c r="AP273" s="35">
        <f>VLOOKUP(Tabla4[[#This Row],[SERVICIO 2025]],$J$2:$V$14,3,0)*Tabla4[[#This Row],[TOTAL COBERTURA]]*8</f>
        <v>26788944</v>
      </c>
      <c r="AQ273" s="35"/>
      <c r="AR273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273" s="35" t="str">
        <f>+IF(Tabla4[[#This Row],[AGRUPACIONES]]=1,SUMIFS(Tabla4[VALOR TOTAL],Tabla4[ZONA DEFINITIVO],Tabla4[[#This Row],[ZONA DEFINITIVO]])," ")</f>
        <v xml:space="preserve"> </v>
      </c>
      <c r="AT273" s="27">
        <f>(VLOOKUP(Tabla4[[#This Row],[SERVICIO 2025]],$J$2:$V$14,3,0)*Tabla4[[#This Row],[TOTAL COBERTURA]])+Tabla4[[#This Row],[VALOR FASE PREPARATORIA DE ALISTAMIENTO]]+Tabla4[[#This Row],[DOTACIÓN ÚNICA]]</f>
        <v>4368806</v>
      </c>
      <c r="AU273" s="35">
        <f>(VLOOKUP(Tabla4[[#This Row],[SERVICIO 2025]],$J$2:$V$14,3,0)*Tabla4[[#This Row],[TOTAL COBERTURA]])</f>
        <v>3348618</v>
      </c>
      <c r="AV273" s="35">
        <f>(VLOOKUP(Tabla4[[#This Row],[SERVICIO 2025]],$J$2:$V$14,3,0)*Tabla4[[#This Row],[TOTAL COBERTURA]])</f>
        <v>3348618</v>
      </c>
      <c r="AW273" s="35">
        <f>(VLOOKUP(Tabla4[[#This Row],[SERVICIO 2025]],$J$2:$V$14,3,0)*Tabla4[[#This Row],[TOTAL COBERTURA]])</f>
        <v>3348618</v>
      </c>
      <c r="AX273" s="35">
        <f>(VLOOKUP(Tabla4[[#This Row],[SERVICIO 2025]],$J$2:$V$14,3,0)*Tabla4[[#This Row],[TOTAL COBERTURA]])</f>
        <v>3348618</v>
      </c>
      <c r="AY273" s="35">
        <f>(VLOOKUP(Tabla4[[#This Row],[SERVICIO 2025]],$J$2:$V$14,3,0)*Tabla4[[#This Row],[TOTAL COBERTURA]])</f>
        <v>3348618</v>
      </c>
      <c r="AZ273" s="35">
        <f>(VLOOKUP(Tabla4[[#This Row],[SERVICIO 2025]],$J$2:$V$14,3,0)*Tabla4[[#This Row],[TOTAL COBERTURA]])</f>
        <v>3348618</v>
      </c>
      <c r="BA273" s="35">
        <f>(VLOOKUP(Tabla4[[#This Row],[SERVICIO 2025]],$J$2:$V$14,3,0)*Tabla4[[#This Row],[TOTAL COBERTURA]])+Tabla4[[#This Row],[VALOR FASE PREPARATORIA DE CIERRE]]</f>
        <v>3881995</v>
      </c>
      <c r="BB273" s="35">
        <f>SUM(Tabla4[[#This Row],[DESEMBOLSO 1]:[DESEMBOLSO 8]])</f>
        <v>28342509</v>
      </c>
      <c r="BC273" s="35">
        <f>VLOOKUP(Tabla4[[#This Row],[SERVICIO 2025]],$J$2:$V$14,10,0)*Tabla4[[#This Row],[TOTAL COBERTURA]]*$W$3</f>
        <v>18759832</v>
      </c>
      <c r="BD273" s="47" t="s">
        <v>211</v>
      </c>
      <c r="BE273" s="12" t="b">
        <f>EXACT(Tabla4[[#This Row],[VALOR ATENCIÓN (8 MESES)]],Tabla4[[#This Row],[VALOR TOTAL]])</f>
        <v>1</v>
      </c>
      <c r="BF273" s="23">
        <f>Tabla4[[#This Row],[VALOR ATENCIÓN (8 MESES)]]-Tabla4[[#This Row],[VALOR TOTAL]]</f>
        <v>0</v>
      </c>
      <c r="BG273" s="12" t="b">
        <f>EXACT(Tabla4[[#This Row],[TOTAL DESEMBOLSOS]],Tabla4[[#This Row],[VALOR ATENCIÓN (8 MESES)]])</f>
        <v>1</v>
      </c>
      <c r="BH273" s="29">
        <f>Tabla4[[#This Row],[TOTAL DESEMBOLSOS]]-Tabla4[[#This Row],[VALOR ATENCIÓN (8 MESES)]]</f>
        <v>0</v>
      </c>
      <c r="BI273" t="s">
        <v>98</v>
      </c>
      <c r="BJ273">
        <v>1908</v>
      </c>
    </row>
    <row r="274" spans="1:62">
      <c r="A274" s="13">
        <v>1908</v>
      </c>
      <c r="B274" s="13" t="s">
        <v>672</v>
      </c>
      <c r="C274" s="12" t="s">
        <v>87</v>
      </c>
      <c r="D274" s="12" t="s">
        <v>673</v>
      </c>
      <c r="E274" s="12" t="s">
        <v>674</v>
      </c>
      <c r="F274" s="12" t="s">
        <v>18</v>
      </c>
      <c r="G274" s="12" t="s">
        <v>90</v>
      </c>
      <c r="H274" s="12" t="s">
        <v>685</v>
      </c>
      <c r="I274" s="12">
        <v>50311135191</v>
      </c>
      <c r="J274" s="12" t="s">
        <v>686</v>
      </c>
      <c r="K274" s="12">
        <v>1</v>
      </c>
      <c r="L274" s="12">
        <v>8</v>
      </c>
      <c r="M274" s="12"/>
      <c r="N274" s="13">
        <v>1908</v>
      </c>
      <c r="O274" s="12" t="s">
        <v>93</v>
      </c>
      <c r="P274" s="12"/>
      <c r="Q274" s="12"/>
      <c r="R274" s="12" t="s">
        <v>94</v>
      </c>
      <c r="S274" s="12">
        <v>10</v>
      </c>
      <c r="T274" s="12" t="s">
        <v>677</v>
      </c>
      <c r="U274" s="12" t="s">
        <v>678</v>
      </c>
      <c r="V274" s="12">
        <f>VLOOKUP(Tabla4[[#This Row],[ZONA DEFINITIVO]],Hoja1!$A$1:$D$121,3,0)</f>
        <v>229073</v>
      </c>
      <c r="W274" s="12">
        <f>VLOOKUP(Tabla4[[#This Row],[ZONA DEFINITIVO]],Hoja1!$A$1:$D$121,2,0)</f>
        <v>15172</v>
      </c>
      <c r="X274" s="12">
        <f>VLOOKUP(Tabla4[[#This Row],[ZONA DEFINITIVO]],Hoja1!$A$1:$D$121,4,0)</f>
        <v>91225</v>
      </c>
      <c r="Y274" s="12" t="str">
        <f>+IF(Tabla4[[#This Row],[AGRUPACIONES]]=1,SUMIFS(Tabla4[UDS],Tabla4[ZONA DEFINITIVO],Tabla4[[#This Row],[ZONA DEFINITIVO]])," ")</f>
        <v xml:space="preserve"> </v>
      </c>
      <c r="Z274" s="12" t="str">
        <f>+IF(Tabla4[[#This Row],[AGRUPACIONES]]=1,SUMIFS(Tabla4[TOTAL COBERTURA],Tabla4[ZONA DEFINITIVO],Tabla4[[#This Row],[ZONA DEFINITIVO]])," ")</f>
        <v xml:space="preserve"> </v>
      </c>
      <c r="AA274" s="12"/>
      <c r="AB274" s="38">
        <v>17441544</v>
      </c>
      <c r="AC274" s="37">
        <v>0.02</v>
      </c>
      <c r="AD274" s="38">
        <f t="shared" si="4"/>
        <v>348830.88</v>
      </c>
      <c r="AE274" s="12"/>
      <c r="AF274" s="12">
        <f>COUNTIF($A$20:A274,A274)</f>
        <v>5</v>
      </c>
      <c r="AG274" s="38">
        <v>17441544</v>
      </c>
      <c r="AH274" s="38">
        <f>Tabla4[[#This Row],[VALOR CONTRAPARTIDA]]+Tabla4[[#This Row],[TOTAL APORTES ICBF]]</f>
        <v>17790374.879999999</v>
      </c>
      <c r="AI274" s="35"/>
      <c r="AJ274" s="38"/>
      <c r="AK274" s="38"/>
      <c r="AL274" s="23"/>
      <c r="AM274" s="35">
        <f>VLOOKUP(Tabla4[[#This Row],[SERVICIO 2025]],$J$2:$V$14,5,0)*Tabla4[[#This Row],[TOTAL COBERTURA]]</f>
        <v>395008</v>
      </c>
      <c r="AN274" s="35">
        <f>VLOOKUP(Tabla4[[#This Row],[SERVICIO 2025]],$J$2:$V$14,6,0)*Tabla4[[#This Row],[TOTAL COBERTURA]]</f>
        <v>328232</v>
      </c>
      <c r="AO274" s="35">
        <f>VLOOKUP(Tabla4[[#This Row],[SERVICIO 2025]],$J$2:$V$14,8,0)*Tabla4[[#This Row],[TOTAL COBERTURA]]</f>
        <v>232800</v>
      </c>
      <c r="AP274" s="35">
        <f>VLOOKUP(Tabla4[[#This Row],[SERVICIO 2025]],$J$2:$V$14,3,0)*Tabla4[[#This Row],[TOTAL COBERTURA]]*8</f>
        <v>16485504</v>
      </c>
      <c r="AQ274" s="35"/>
      <c r="AR274" s="35">
        <f>Tabla4[[#This Row],[VALOR FASE PREPARATORIA DE ALISTAMIENTO]]+Tabla4[[#This Row],[VALOR FASE PREPARATORIA DE CIERRE]]+Tabla4[[#This Row],[DOTACIÓN ÚNICA]]+Tabla4[[#This Row],[VALOR ATENCIÓN]]+Tabla4[[#This Row],[VALOR RACION PREPARADA]]</f>
        <v>17441544</v>
      </c>
      <c r="AS274" s="35" t="str">
        <f>+IF(Tabla4[[#This Row],[AGRUPACIONES]]=1,SUMIFS(Tabla4[VALOR TOTAL],Tabla4[ZONA DEFINITIVO],Tabla4[[#This Row],[ZONA DEFINITIVO]])," ")</f>
        <v xml:space="preserve"> </v>
      </c>
      <c r="AT274" s="27">
        <f>(VLOOKUP(Tabla4[[#This Row],[SERVICIO 2025]],$J$2:$V$14,3,0)*Tabla4[[#This Row],[TOTAL COBERTURA]])+Tabla4[[#This Row],[VALOR FASE PREPARATORIA DE ALISTAMIENTO]]+Tabla4[[#This Row],[DOTACIÓN ÚNICA]]</f>
        <v>2688496</v>
      </c>
      <c r="AU274" s="35">
        <f>(VLOOKUP(Tabla4[[#This Row],[SERVICIO 2025]],$J$2:$V$14,3,0)*Tabla4[[#This Row],[TOTAL COBERTURA]])</f>
        <v>2060688</v>
      </c>
      <c r="AV274" s="35">
        <f>(VLOOKUP(Tabla4[[#This Row],[SERVICIO 2025]],$J$2:$V$14,3,0)*Tabla4[[#This Row],[TOTAL COBERTURA]])</f>
        <v>2060688</v>
      </c>
      <c r="AW274" s="35">
        <f>(VLOOKUP(Tabla4[[#This Row],[SERVICIO 2025]],$J$2:$V$14,3,0)*Tabla4[[#This Row],[TOTAL COBERTURA]])</f>
        <v>2060688</v>
      </c>
      <c r="AX274" s="35">
        <f>(VLOOKUP(Tabla4[[#This Row],[SERVICIO 2025]],$J$2:$V$14,3,0)*Tabla4[[#This Row],[TOTAL COBERTURA]])</f>
        <v>2060688</v>
      </c>
      <c r="AY274" s="35">
        <f>(VLOOKUP(Tabla4[[#This Row],[SERVICIO 2025]],$J$2:$V$14,3,0)*Tabla4[[#This Row],[TOTAL COBERTURA]])</f>
        <v>2060688</v>
      </c>
      <c r="AZ274" s="35">
        <f>(VLOOKUP(Tabla4[[#This Row],[SERVICIO 2025]],$J$2:$V$14,3,0)*Tabla4[[#This Row],[TOTAL COBERTURA]])</f>
        <v>2060688</v>
      </c>
      <c r="BA274" s="35">
        <f>(VLOOKUP(Tabla4[[#This Row],[SERVICIO 2025]],$J$2:$V$14,3,0)*Tabla4[[#This Row],[TOTAL COBERTURA]])+Tabla4[[#This Row],[VALOR FASE PREPARATORIA DE CIERRE]]</f>
        <v>2388920</v>
      </c>
      <c r="BB274" s="35">
        <f>SUM(Tabla4[[#This Row],[DESEMBOLSO 1]:[DESEMBOLSO 8]])</f>
        <v>17441544</v>
      </c>
      <c r="BC274" s="35">
        <f>VLOOKUP(Tabla4[[#This Row],[SERVICIO 2025]],$J$2:$V$14,10,0)*Tabla4[[#This Row],[TOTAL COBERTURA]]*$W$3</f>
        <v>11544512</v>
      </c>
      <c r="BD274" s="47" t="s">
        <v>211</v>
      </c>
      <c r="BE274" s="12" t="b">
        <f>EXACT(Tabla4[[#This Row],[VALOR ATENCIÓN (8 MESES)]],Tabla4[[#This Row],[VALOR TOTAL]])</f>
        <v>1</v>
      </c>
      <c r="BF274" s="23">
        <f>Tabla4[[#This Row],[VALOR ATENCIÓN (8 MESES)]]-Tabla4[[#This Row],[VALOR TOTAL]]</f>
        <v>0</v>
      </c>
      <c r="BG274" s="12" t="b">
        <f>EXACT(Tabla4[[#This Row],[TOTAL DESEMBOLSOS]],Tabla4[[#This Row],[VALOR ATENCIÓN (8 MESES)]])</f>
        <v>1</v>
      </c>
      <c r="BH274" s="29">
        <f>Tabla4[[#This Row],[TOTAL DESEMBOLSOS]]-Tabla4[[#This Row],[VALOR ATENCIÓN (8 MESES)]]</f>
        <v>0</v>
      </c>
      <c r="BI274" t="s">
        <v>98</v>
      </c>
      <c r="BJ274">
        <v>1908</v>
      </c>
    </row>
    <row r="275" spans="1:62">
      <c r="A275" s="13">
        <v>1908</v>
      </c>
      <c r="B275" s="13" t="s">
        <v>672</v>
      </c>
      <c r="C275" s="12" t="s">
        <v>87</v>
      </c>
      <c r="D275" s="12" t="s">
        <v>673</v>
      </c>
      <c r="E275" s="12" t="s">
        <v>674</v>
      </c>
      <c r="F275" s="12" t="s">
        <v>18</v>
      </c>
      <c r="G275" s="12" t="s">
        <v>90</v>
      </c>
      <c r="H275" s="12" t="s">
        <v>687</v>
      </c>
      <c r="I275" s="12">
        <v>50311135204</v>
      </c>
      <c r="J275" s="12" t="s">
        <v>688</v>
      </c>
      <c r="K275" s="12">
        <v>1</v>
      </c>
      <c r="L275" s="12">
        <v>13</v>
      </c>
      <c r="M275" s="12"/>
      <c r="N275" s="13">
        <v>1908</v>
      </c>
      <c r="O275" s="12" t="s">
        <v>93</v>
      </c>
      <c r="P275" s="12"/>
      <c r="Q275" s="12"/>
      <c r="R275" s="12" t="s">
        <v>94</v>
      </c>
      <c r="S275" s="12">
        <v>10</v>
      </c>
      <c r="T275" s="12" t="s">
        <v>677</v>
      </c>
      <c r="U275" s="12" t="s">
        <v>678</v>
      </c>
      <c r="V275" s="12">
        <f>VLOOKUP(Tabla4[[#This Row],[ZONA DEFINITIVO]],Hoja1!$A$1:$D$121,3,0)</f>
        <v>229073</v>
      </c>
      <c r="W275" s="12">
        <f>VLOOKUP(Tabla4[[#This Row],[ZONA DEFINITIVO]],Hoja1!$A$1:$D$121,2,0)</f>
        <v>15172</v>
      </c>
      <c r="X275" s="12">
        <f>VLOOKUP(Tabla4[[#This Row],[ZONA DEFINITIVO]],Hoja1!$A$1:$D$121,4,0)</f>
        <v>91225</v>
      </c>
      <c r="Y275" s="12" t="str">
        <f>+IF(Tabla4[[#This Row],[AGRUPACIONES]]=1,SUMIFS(Tabla4[UDS],Tabla4[ZONA DEFINITIVO],Tabla4[[#This Row],[ZONA DEFINITIVO]])," ")</f>
        <v xml:space="preserve"> </v>
      </c>
      <c r="Z275" s="12" t="str">
        <f>+IF(Tabla4[[#This Row],[AGRUPACIONES]]=1,SUMIFS(Tabla4[TOTAL COBERTURA],Tabla4[ZONA DEFINITIVO],Tabla4[[#This Row],[ZONA DEFINITIVO]])," ")</f>
        <v xml:space="preserve"> </v>
      </c>
      <c r="AA275" s="12"/>
      <c r="AB275" s="38">
        <v>28342509</v>
      </c>
      <c r="AC275" s="37">
        <v>0.02</v>
      </c>
      <c r="AD275" s="38">
        <f t="shared" si="4"/>
        <v>566850.18000000005</v>
      </c>
      <c r="AE275" s="12"/>
      <c r="AF275" s="12">
        <f>COUNTIF($A$20:A275,A275)</f>
        <v>6</v>
      </c>
      <c r="AG275" s="38">
        <v>28342509</v>
      </c>
      <c r="AH275" s="38">
        <f>Tabla4[[#This Row],[VALOR CONTRAPARTIDA]]+Tabla4[[#This Row],[TOTAL APORTES ICBF]]</f>
        <v>28909359.18</v>
      </c>
      <c r="AI275" s="35"/>
      <c r="AJ275" s="38"/>
      <c r="AK275" s="38"/>
      <c r="AL275" s="23"/>
      <c r="AM275" s="35">
        <f>VLOOKUP(Tabla4[[#This Row],[SERVICIO 2025]],$J$2:$V$14,5,0)*Tabla4[[#This Row],[TOTAL COBERTURA]]</f>
        <v>641888</v>
      </c>
      <c r="AN275" s="35">
        <f>VLOOKUP(Tabla4[[#This Row],[SERVICIO 2025]],$J$2:$V$14,6,0)*Tabla4[[#This Row],[TOTAL COBERTURA]]</f>
        <v>533377</v>
      </c>
      <c r="AO275" s="35">
        <f>VLOOKUP(Tabla4[[#This Row],[SERVICIO 2025]],$J$2:$V$14,8,0)*Tabla4[[#This Row],[TOTAL COBERTURA]]</f>
        <v>378300</v>
      </c>
      <c r="AP275" s="35">
        <f>VLOOKUP(Tabla4[[#This Row],[SERVICIO 2025]],$J$2:$V$14,3,0)*Tabla4[[#This Row],[TOTAL COBERTURA]]*8</f>
        <v>26788944</v>
      </c>
      <c r="AQ275" s="35"/>
      <c r="AR275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275" s="35" t="str">
        <f>+IF(Tabla4[[#This Row],[AGRUPACIONES]]=1,SUMIFS(Tabla4[VALOR TOTAL],Tabla4[ZONA DEFINITIVO],Tabla4[[#This Row],[ZONA DEFINITIVO]])," ")</f>
        <v xml:space="preserve"> </v>
      </c>
      <c r="AT275" s="27">
        <f>(VLOOKUP(Tabla4[[#This Row],[SERVICIO 2025]],$J$2:$V$14,3,0)*Tabla4[[#This Row],[TOTAL COBERTURA]])+Tabla4[[#This Row],[VALOR FASE PREPARATORIA DE ALISTAMIENTO]]+Tabla4[[#This Row],[DOTACIÓN ÚNICA]]</f>
        <v>4368806</v>
      </c>
      <c r="AU275" s="35">
        <f>(VLOOKUP(Tabla4[[#This Row],[SERVICIO 2025]],$J$2:$V$14,3,0)*Tabla4[[#This Row],[TOTAL COBERTURA]])</f>
        <v>3348618</v>
      </c>
      <c r="AV275" s="35">
        <f>(VLOOKUP(Tabla4[[#This Row],[SERVICIO 2025]],$J$2:$V$14,3,0)*Tabla4[[#This Row],[TOTAL COBERTURA]])</f>
        <v>3348618</v>
      </c>
      <c r="AW275" s="35">
        <f>(VLOOKUP(Tabla4[[#This Row],[SERVICIO 2025]],$J$2:$V$14,3,0)*Tabla4[[#This Row],[TOTAL COBERTURA]])</f>
        <v>3348618</v>
      </c>
      <c r="AX275" s="35">
        <f>(VLOOKUP(Tabla4[[#This Row],[SERVICIO 2025]],$J$2:$V$14,3,0)*Tabla4[[#This Row],[TOTAL COBERTURA]])</f>
        <v>3348618</v>
      </c>
      <c r="AY275" s="35">
        <f>(VLOOKUP(Tabla4[[#This Row],[SERVICIO 2025]],$J$2:$V$14,3,0)*Tabla4[[#This Row],[TOTAL COBERTURA]])</f>
        <v>3348618</v>
      </c>
      <c r="AZ275" s="35">
        <f>(VLOOKUP(Tabla4[[#This Row],[SERVICIO 2025]],$J$2:$V$14,3,0)*Tabla4[[#This Row],[TOTAL COBERTURA]])</f>
        <v>3348618</v>
      </c>
      <c r="BA275" s="35">
        <f>(VLOOKUP(Tabla4[[#This Row],[SERVICIO 2025]],$J$2:$V$14,3,0)*Tabla4[[#This Row],[TOTAL COBERTURA]])+Tabla4[[#This Row],[VALOR FASE PREPARATORIA DE CIERRE]]</f>
        <v>3881995</v>
      </c>
      <c r="BB275" s="35">
        <f>SUM(Tabla4[[#This Row],[DESEMBOLSO 1]:[DESEMBOLSO 8]])</f>
        <v>28342509</v>
      </c>
      <c r="BC275" s="35">
        <f>VLOOKUP(Tabla4[[#This Row],[SERVICIO 2025]],$J$2:$V$14,10,0)*Tabla4[[#This Row],[TOTAL COBERTURA]]*$W$3</f>
        <v>18759832</v>
      </c>
      <c r="BD275" s="47" t="s">
        <v>211</v>
      </c>
      <c r="BE275" s="12" t="b">
        <f>EXACT(Tabla4[[#This Row],[VALOR ATENCIÓN (8 MESES)]],Tabla4[[#This Row],[VALOR TOTAL]])</f>
        <v>1</v>
      </c>
      <c r="BF275" s="23">
        <f>Tabla4[[#This Row],[VALOR ATENCIÓN (8 MESES)]]-Tabla4[[#This Row],[VALOR TOTAL]]</f>
        <v>0</v>
      </c>
      <c r="BG275" s="12" t="b">
        <f>EXACT(Tabla4[[#This Row],[TOTAL DESEMBOLSOS]],Tabla4[[#This Row],[VALOR ATENCIÓN (8 MESES)]])</f>
        <v>1</v>
      </c>
      <c r="BH275" s="29">
        <f>Tabla4[[#This Row],[TOTAL DESEMBOLSOS]]-Tabla4[[#This Row],[VALOR ATENCIÓN (8 MESES)]]</f>
        <v>0</v>
      </c>
      <c r="BI275" t="s">
        <v>98</v>
      </c>
      <c r="BJ275">
        <v>1908</v>
      </c>
    </row>
    <row r="276" spans="1:62">
      <c r="A276" s="13">
        <v>1908</v>
      </c>
      <c r="B276" s="13" t="s">
        <v>672</v>
      </c>
      <c r="C276" s="12" t="s">
        <v>87</v>
      </c>
      <c r="D276" s="12" t="s">
        <v>673</v>
      </c>
      <c r="E276" s="12" t="s">
        <v>674</v>
      </c>
      <c r="F276" s="12" t="s">
        <v>18</v>
      </c>
      <c r="G276" s="12" t="s">
        <v>90</v>
      </c>
      <c r="H276" s="12" t="s">
        <v>689</v>
      </c>
      <c r="I276" s="12">
        <v>50311135206</v>
      </c>
      <c r="J276" s="12" t="s">
        <v>690</v>
      </c>
      <c r="K276" s="12">
        <v>1</v>
      </c>
      <c r="L276" s="12">
        <v>5</v>
      </c>
      <c r="M276" s="12"/>
      <c r="N276" s="13">
        <v>1908</v>
      </c>
      <c r="O276" s="12" t="s">
        <v>93</v>
      </c>
      <c r="P276" s="12"/>
      <c r="Q276" s="12"/>
      <c r="R276" s="12" t="s">
        <v>94</v>
      </c>
      <c r="S276" s="12">
        <v>10</v>
      </c>
      <c r="T276" s="12" t="s">
        <v>677</v>
      </c>
      <c r="U276" s="12" t="s">
        <v>678</v>
      </c>
      <c r="V276" s="12">
        <f>VLOOKUP(Tabla4[[#This Row],[ZONA DEFINITIVO]],Hoja1!$A$1:$D$121,3,0)</f>
        <v>229073</v>
      </c>
      <c r="W276" s="12">
        <f>VLOOKUP(Tabla4[[#This Row],[ZONA DEFINITIVO]],Hoja1!$A$1:$D$121,2,0)</f>
        <v>15172</v>
      </c>
      <c r="X276" s="12">
        <f>VLOOKUP(Tabla4[[#This Row],[ZONA DEFINITIVO]],Hoja1!$A$1:$D$121,4,0)</f>
        <v>91225</v>
      </c>
      <c r="Y276" s="12" t="str">
        <f>+IF(Tabla4[[#This Row],[AGRUPACIONES]]=1,SUMIFS(Tabla4[UDS],Tabla4[ZONA DEFINITIVO],Tabla4[[#This Row],[ZONA DEFINITIVO]])," ")</f>
        <v xml:space="preserve"> </v>
      </c>
      <c r="Z276" s="12" t="str">
        <f>+IF(Tabla4[[#This Row],[AGRUPACIONES]]=1,SUMIFS(Tabla4[TOTAL COBERTURA],Tabla4[ZONA DEFINITIVO],Tabla4[[#This Row],[ZONA DEFINITIVO]])," ")</f>
        <v xml:space="preserve"> </v>
      </c>
      <c r="AA276" s="12"/>
      <c r="AB276" s="38">
        <v>10900965</v>
      </c>
      <c r="AC276" s="37">
        <v>0.02</v>
      </c>
      <c r="AD276" s="38">
        <f t="shared" ref="AD276:AD339" si="5">AB276*AC276</f>
        <v>218019.30000000002</v>
      </c>
      <c r="AE276" s="12"/>
      <c r="AF276" s="12">
        <f>COUNTIF($A$20:A276,A276)</f>
        <v>7</v>
      </c>
      <c r="AG276" s="38">
        <v>10900965</v>
      </c>
      <c r="AH276" s="38">
        <f>Tabla4[[#This Row],[VALOR CONTRAPARTIDA]]+Tabla4[[#This Row],[TOTAL APORTES ICBF]]</f>
        <v>11118984.300000001</v>
      </c>
      <c r="AI276" s="35"/>
      <c r="AJ276" s="38"/>
      <c r="AK276" s="38"/>
      <c r="AL276" s="23"/>
      <c r="AM276" s="35">
        <f>VLOOKUP(Tabla4[[#This Row],[SERVICIO 2025]],$J$2:$V$14,5,0)*Tabla4[[#This Row],[TOTAL COBERTURA]]</f>
        <v>246880</v>
      </c>
      <c r="AN276" s="35">
        <f>VLOOKUP(Tabla4[[#This Row],[SERVICIO 2025]],$J$2:$V$14,6,0)*Tabla4[[#This Row],[TOTAL COBERTURA]]</f>
        <v>205145</v>
      </c>
      <c r="AO276" s="35">
        <f>VLOOKUP(Tabla4[[#This Row],[SERVICIO 2025]],$J$2:$V$14,8,0)*Tabla4[[#This Row],[TOTAL COBERTURA]]</f>
        <v>145500</v>
      </c>
      <c r="AP276" s="35">
        <f>VLOOKUP(Tabla4[[#This Row],[SERVICIO 2025]],$J$2:$V$14,3,0)*Tabla4[[#This Row],[TOTAL COBERTURA]]*8</f>
        <v>10303440</v>
      </c>
      <c r="AQ276" s="35"/>
      <c r="AR276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</v>
      </c>
      <c r="AS276" s="35" t="str">
        <f>+IF(Tabla4[[#This Row],[AGRUPACIONES]]=1,SUMIFS(Tabla4[VALOR TOTAL],Tabla4[ZONA DEFINITIVO],Tabla4[[#This Row],[ZONA DEFINITIVO]])," ")</f>
        <v xml:space="preserve"> </v>
      </c>
      <c r="AT276" s="27">
        <f>(VLOOKUP(Tabla4[[#This Row],[SERVICIO 2025]],$J$2:$V$14,3,0)*Tabla4[[#This Row],[TOTAL COBERTURA]])+Tabla4[[#This Row],[VALOR FASE PREPARATORIA DE ALISTAMIENTO]]+Tabla4[[#This Row],[DOTACIÓN ÚNICA]]</f>
        <v>1680310</v>
      </c>
      <c r="AU276" s="35">
        <f>(VLOOKUP(Tabla4[[#This Row],[SERVICIO 2025]],$J$2:$V$14,3,0)*Tabla4[[#This Row],[TOTAL COBERTURA]])</f>
        <v>1287930</v>
      </c>
      <c r="AV276" s="35">
        <f>(VLOOKUP(Tabla4[[#This Row],[SERVICIO 2025]],$J$2:$V$14,3,0)*Tabla4[[#This Row],[TOTAL COBERTURA]])</f>
        <v>1287930</v>
      </c>
      <c r="AW276" s="35">
        <f>(VLOOKUP(Tabla4[[#This Row],[SERVICIO 2025]],$J$2:$V$14,3,0)*Tabla4[[#This Row],[TOTAL COBERTURA]])</f>
        <v>1287930</v>
      </c>
      <c r="AX276" s="35">
        <f>(VLOOKUP(Tabla4[[#This Row],[SERVICIO 2025]],$J$2:$V$14,3,0)*Tabla4[[#This Row],[TOTAL COBERTURA]])</f>
        <v>1287930</v>
      </c>
      <c r="AY276" s="35">
        <f>(VLOOKUP(Tabla4[[#This Row],[SERVICIO 2025]],$J$2:$V$14,3,0)*Tabla4[[#This Row],[TOTAL COBERTURA]])</f>
        <v>1287930</v>
      </c>
      <c r="AZ276" s="35">
        <f>(VLOOKUP(Tabla4[[#This Row],[SERVICIO 2025]],$J$2:$V$14,3,0)*Tabla4[[#This Row],[TOTAL COBERTURA]])</f>
        <v>1287930</v>
      </c>
      <c r="BA276" s="35">
        <f>(VLOOKUP(Tabla4[[#This Row],[SERVICIO 2025]],$J$2:$V$14,3,0)*Tabla4[[#This Row],[TOTAL COBERTURA]])+Tabla4[[#This Row],[VALOR FASE PREPARATORIA DE CIERRE]]</f>
        <v>1493075</v>
      </c>
      <c r="BB276" s="35">
        <f>SUM(Tabla4[[#This Row],[DESEMBOLSO 1]:[DESEMBOLSO 8]])</f>
        <v>10900965</v>
      </c>
      <c r="BC276" s="35">
        <f>VLOOKUP(Tabla4[[#This Row],[SERVICIO 2025]],$J$2:$V$14,10,0)*Tabla4[[#This Row],[TOTAL COBERTURA]]*$W$3</f>
        <v>7215320</v>
      </c>
      <c r="BD276" s="47" t="s">
        <v>211</v>
      </c>
      <c r="BE276" s="12" t="b">
        <f>EXACT(Tabla4[[#This Row],[VALOR ATENCIÓN (8 MESES)]],Tabla4[[#This Row],[VALOR TOTAL]])</f>
        <v>1</v>
      </c>
      <c r="BF276" s="23">
        <f>Tabla4[[#This Row],[VALOR ATENCIÓN (8 MESES)]]-Tabla4[[#This Row],[VALOR TOTAL]]</f>
        <v>0</v>
      </c>
      <c r="BG276" s="12" t="b">
        <f>EXACT(Tabla4[[#This Row],[TOTAL DESEMBOLSOS]],Tabla4[[#This Row],[VALOR ATENCIÓN (8 MESES)]])</f>
        <v>1</v>
      </c>
      <c r="BH276" s="29">
        <f>Tabla4[[#This Row],[TOTAL DESEMBOLSOS]]-Tabla4[[#This Row],[VALOR ATENCIÓN (8 MESES)]]</f>
        <v>0</v>
      </c>
      <c r="BI276" t="s">
        <v>98</v>
      </c>
      <c r="BJ276">
        <v>1908</v>
      </c>
    </row>
    <row r="277" spans="1:62">
      <c r="A277" s="13">
        <v>1908</v>
      </c>
      <c r="B277" s="13" t="s">
        <v>672</v>
      </c>
      <c r="C277" s="12" t="s">
        <v>87</v>
      </c>
      <c r="D277" s="12" t="s">
        <v>673</v>
      </c>
      <c r="E277" s="12" t="s">
        <v>674</v>
      </c>
      <c r="F277" s="12" t="s">
        <v>19</v>
      </c>
      <c r="G277" s="12" t="s">
        <v>90</v>
      </c>
      <c r="H277" s="12" t="s">
        <v>691</v>
      </c>
      <c r="I277" s="12">
        <v>50311147301</v>
      </c>
      <c r="J277" s="12" t="s">
        <v>692</v>
      </c>
      <c r="K277" s="12">
        <v>1</v>
      </c>
      <c r="L277" s="12">
        <v>40</v>
      </c>
      <c r="M277" s="12"/>
      <c r="N277" s="13">
        <v>1908</v>
      </c>
      <c r="O277" s="12" t="s">
        <v>93</v>
      </c>
      <c r="P277" s="12"/>
      <c r="Q277" s="12"/>
      <c r="R277" s="12" t="s">
        <v>94</v>
      </c>
      <c r="S277" s="12">
        <v>10</v>
      </c>
      <c r="T277" s="12" t="s">
        <v>677</v>
      </c>
      <c r="U277" s="12" t="s">
        <v>678</v>
      </c>
      <c r="V277" s="12">
        <f>VLOOKUP(Tabla4[[#This Row],[ZONA DEFINITIVO]],Hoja1!$A$1:$D$121,3,0)</f>
        <v>229073</v>
      </c>
      <c r="W277" s="12">
        <f>VLOOKUP(Tabla4[[#This Row],[ZONA DEFINITIVO]],Hoja1!$A$1:$D$121,2,0)</f>
        <v>15172</v>
      </c>
      <c r="X277" s="12">
        <f>VLOOKUP(Tabla4[[#This Row],[ZONA DEFINITIVO]],Hoja1!$A$1:$D$121,4,0)</f>
        <v>91225</v>
      </c>
      <c r="Y277" s="12" t="str">
        <f>+IF(Tabla4[[#This Row],[AGRUPACIONES]]=1,SUMIFS(Tabla4[UDS],Tabla4[ZONA DEFINITIVO],Tabla4[[#This Row],[ZONA DEFINITIVO]])," ")</f>
        <v xml:space="preserve"> </v>
      </c>
      <c r="Z277" s="12" t="str">
        <f>+IF(Tabla4[[#This Row],[AGRUPACIONES]]=1,SUMIFS(Tabla4[TOTAL COBERTURA],Tabla4[ZONA DEFINITIVO],Tabla4[[#This Row],[ZONA DEFINITIVO]])," ")</f>
        <v xml:space="preserve"> </v>
      </c>
      <c r="AA277" s="12"/>
      <c r="AB277" s="38">
        <v>90046040</v>
      </c>
      <c r="AC277" s="37">
        <v>0.02</v>
      </c>
      <c r="AD277" s="38">
        <f t="shared" si="5"/>
        <v>1800920.8</v>
      </c>
      <c r="AE277" s="12"/>
      <c r="AF277" s="12">
        <f>COUNTIF($A$20:A277,A277)</f>
        <v>8</v>
      </c>
      <c r="AG277" s="38">
        <v>90046040</v>
      </c>
      <c r="AH277" s="38">
        <f>Tabla4[[#This Row],[VALOR CONTRAPARTIDA]]+Tabla4[[#This Row],[TOTAL APORTES ICBF]]</f>
        <v>91846960.799999997</v>
      </c>
      <c r="AI277" s="35"/>
      <c r="AJ277" s="38"/>
      <c r="AK277" s="38"/>
      <c r="AL277" s="23"/>
      <c r="AM277" s="35">
        <f>VLOOKUP(Tabla4[[#This Row],[SERVICIO 2025]],$J$2:$V$14,5,0)*Tabla4[[#This Row],[TOTAL COBERTURA]]</f>
        <v>2058520</v>
      </c>
      <c r="AN277" s="35">
        <f>VLOOKUP(Tabla4[[#This Row],[SERVICIO 2025]],$J$2:$V$14,6,0)*Tabla4[[#This Row],[TOTAL COBERTURA]]</f>
        <v>1724640</v>
      </c>
      <c r="AO277" s="35">
        <f>VLOOKUP(Tabla4[[#This Row],[SERVICIO 2025]],$J$2:$V$14,8,0)*Tabla4[[#This Row],[TOTAL COBERTURA]]</f>
        <v>1164000</v>
      </c>
      <c r="AP277" s="35">
        <f>VLOOKUP(Tabla4[[#This Row],[SERVICIO 2025]],$J$2:$V$14,3,0)*Tabla4[[#This Row],[TOTAL COBERTURA]]*8</f>
        <v>85098880</v>
      </c>
      <c r="AQ277" s="35"/>
      <c r="AR277" s="35">
        <f>Tabla4[[#This Row],[VALOR FASE PREPARATORIA DE ALISTAMIENTO]]+Tabla4[[#This Row],[VALOR FASE PREPARATORIA DE CIERRE]]+Tabla4[[#This Row],[DOTACIÓN ÚNICA]]+Tabla4[[#This Row],[VALOR ATENCIÓN]]+Tabla4[[#This Row],[VALOR RACION PREPARADA]]</f>
        <v>90046040</v>
      </c>
      <c r="AS277" s="35" t="str">
        <f>+IF(Tabla4[[#This Row],[AGRUPACIONES]]=1,SUMIFS(Tabla4[VALOR TOTAL],Tabla4[ZONA DEFINITIVO],Tabla4[[#This Row],[ZONA DEFINITIVO]])," ")</f>
        <v xml:space="preserve"> </v>
      </c>
      <c r="AT277" s="27">
        <f>(VLOOKUP(Tabla4[[#This Row],[SERVICIO 2025]],$J$2:$V$14,3,0)*Tabla4[[#This Row],[TOTAL COBERTURA]])+Tabla4[[#This Row],[VALOR FASE PREPARATORIA DE ALISTAMIENTO]]+Tabla4[[#This Row],[DOTACIÓN ÚNICA]]</f>
        <v>13859880</v>
      </c>
      <c r="AU277" s="35">
        <f>(VLOOKUP(Tabla4[[#This Row],[SERVICIO 2025]],$J$2:$V$14,3,0)*Tabla4[[#This Row],[TOTAL COBERTURA]])</f>
        <v>10637360</v>
      </c>
      <c r="AV277" s="35">
        <f>(VLOOKUP(Tabla4[[#This Row],[SERVICIO 2025]],$J$2:$V$14,3,0)*Tabla4[[#This Row],[TOTAL COBERTURA]])</f>
        <v>10637360</v>
      </c>
      <c r="AW277" s="35">
        <f>(VLOOKUP(Tabla4[[#This Row],[SERVICIO 2025]],$J$2:$V$14,3,0)*Tabla4[[#This Row],[TOTAL COBERTURA]])</f>
        <v>10637360</v>
      </c>
      <c r="AX277" s="35">
        <f>(VLOOKUP(Tabla4[[#This Row],[SERVICIO 2025]],$J$2:$V$14,3,0)*Tabla4[[#This Row],[TOTAL COBERTURA]])</f>
        <v>10637360</v>
      </c>
      <c r="AY277" s="35">
        <f>(VLOOKUP(Tabla4[[#This Row],[SERVICIO 2025]],$J$2:$V$14,3,0)*Tabla4[[#This Row],[TOTAL COBERTURA]])</f>
        <v>10637360</v>
      </c>
      <c r="AZ277" s="35">
        <f>(VLOOKUP(Tabla4[[#This Row],[SERVICIO 2025]],$J$2:$V$14,3,0)*Tabla4[[#This Row],[TOTAL COBERTURA]])</f>
        <v>10637360</v>
      </c>
      <c r="BA277" s="35">
        <f>(VLOOKUP(Tabla4[[#This Row],[SERVICIO 2025]],$J$2:$V$14,3,0)*Tabla4[[#This Row],[TOTAL COBERTURA]])+Tabla4[[#This Row],[VALOR FASE PREPARATORIA DE CIERRE]]</f>
        <v>12362000</v>
      </c>
      <c r="BB277" s="35">
        <f>SUM(Tabla4[[#This Row],[DESEMBOLSO 1]:[DESEMBOLSO 8]])</f>
        <v>90046040</v>
      </c>
      <c r="BC277" s="35">
        <f>VLOOKUP(Tabla4[[#This Row],[SERVICIO 2025]],$J$2:$V$14,10,0)*Tabla4[[#This Row],[TOTAL COBERTURA]]*$W$3</f>
        <v>57722560</v>
      </c>
      <c r="BD277" s="47" t="s">
        <v>211</v>
      </c>
      <c r="BE277" s="12" t="b">
        <f>EXACT(Tabla4[[#This Row],[VALOR ATENCIÓN (8 MESES)]],Tabla4[[#This Row],[VALOR TOTAL]])</f>
        <v>1</v>
      </c>
      <c r="BF277" s="23">
        <f>Tabla4[[#This Row],[VALOR ATENCIÓN (8 MESES)]]-Tabla4[[#This Row],[VALOR TOTAL]]</f>
        <v>0</v>
      </c>
      <c r="BG277" s="12" t="b">
        <f>EXACT(Tabla4[[#This Row],[TOTAL DESEMBOLSOS]],Tabla4[[#This Row],[VALOR ATENCIÓN (8 MESES)]])</f>
        <v>1</v>
      </c>
      <c r="BH277" s="29">
        <f>Tabla4[[#This Row],[TOTAL DESEMBOLSOS]]-Tabla4[[#This Row],[VALOR ATENCIÓN (8 MESES)]]</f>
        <v>0</v>
      </c>
      <c r="BI277" t="s">
        <v>98</v>
      </c>
      <c r="BJ277">
        <v>1908</v>
      </c>
    </row>
    <row r="278" spans="1:62">
      <c r="A278" s="13">
        <v>1908</v>
      </c>
      <c r="B278" s="13" t="s">
        <v>672</v>
      </c>
      <c r="C278" s="12" t="s">
        <v>87</v>
      </c>
      <c r="D278" s="12" t="s">
        <v>673</v>
      </c>
      <c r="E278" s="12" t="s">
        <v>674</v>
      </c>
      <c r="F278" s="12" t="s">
        <v>18</v>
      </c>
      <c r="G278" s="12" t="s">
        <v>90</v>
      </c>
      <c r="H278" s="12" t="s">
        <v>693</v>
      </c>
      <c r="I278" s="12">
        <v>50311148678</v>
      </c>
      <c r="J278" s="12" t="s">
        <v>694</v>
      </c>
      <c r="K278" s="12">
        <v>1</v>
      </c>
      <c r="L278" s="12">
        <v>13</v>
      </c>
      <c r="M278" s="12"/>
      <c r="N278" s="13">
        <v>1908</v>
      </c>
      <c r="O278" s="12" t="s">
        <v>93</v>
      </c>
      <c r="P278" s="12"/>
      <c r="Q278" s="12"/>
      <c r="R278" s="12" t="s">
        <v>94</v>
      </c>
      <c r="S278" s="12">
        <v>10</v>
      </c>
      <c r="T278" s="12" t="s">
        <v>677</v>
      </c>
      <c r="U278" s="12" t="s">
        <v>678</v>
      </c>
      <c r="V278" s="12">
        <f>VLOOKUP(Tabla4[[#This Row],[ZONA DEFINITIVO]],Hoja1!$A$1:$D$121,3,0)</f>
        <v>229073</v>
      </c>
      <c r="W278" s="12">
        <f>VLOOKUP(Tabla4[[#This Row],[ZONA DEFINITIVO]],Hoja1!$A$1:$D$121,2,0)</f>
        <v>15172</v>
      </c>
      <c r="X278" s="12">
        <f>VLOOKUP(Tabla4[[#This Row],[ZONA DEFINITIVO]],Hoja1!$A$1:$D$121,4,0)</f>
        <v>91225</v>
      </c>
      <c r="Y278" s="12" t="str">
        <f>+IF(Tabla4[[#This Row],[AGRUPACIONES]]=1,SUMIFS(Tabla4[UDS],Tabla4[ZONA DEFINITIVO],Tabla4[[#This Row],[ZONA DEFINITIVO]])," ")</f>
        <v xml:space="preserve"> </v>
      </c>
      <c r="Z278" s="12" t="str">
        <f>+IF(Tabla4[[#This Row],[AGRUPACIONES]]=1,SUMIFS(Tabla4[TOTAL COBERTURA],Tabla4[ZONA DEFINITIVO],Tabla4[[#This Row],[ZONA DEFINITIVO]])," ")</f>
        <v xml:space="preserve"> </v>
      </c>
      <c r="AA278" s="12"/>
      <c r="AB278" s="38">
        <v>28342509</v>
      </c>
      <c r="AC278" s="37">
        <v>0.02</v>
      </c>
      <c r="AD278" s="38">
        <f t="shared" si="5"/>
        <v>566850.18000000005</v>
      </c>
      <c r="AE278" s="12"/>
      <c r="AF278" s="12">
        <f>COUNTIF($A$20:A278,A278)</f>
        <v>9</v>
      </c>
      <c r="AG278" s="38">
        <v>28342509</v>
      </c>
      <c r="AH278" s="38">
        <f>Tabla4[[#This Row],[VALOR CONTRAPARTIDA]]+Tabla4[[#This Row],[TOTAL APORTES ICBF]]</f>
        <v>28909359.18</v>
      </c>
      <c r="AI278" s="35"/>
      <c r="AJ278" s="38"/>
      <c r="AK278" s="38"/>
      <c r="AL278" s="23"/>
      <c r="AM278" s="35">
        <f>VLOOKUP(Tabla4[[#This Row],[SERVICIO 2025]],$J$2:$V$14,5,0)*Tabla4[[#This Row],[TOTAL COBERTURA]]</f>
        <v>641888</v>
      </c>
      <c r="AN278" s="35">
        <f>VLOOKUP(Tabla4[[#This Row],[SERVICIO 2025]],$J$2:$V$14,6,0)*Tabla4[[#This Row],[TOTAL COBERTURA]]</f>
        <v>533377</v>
      </c>
      <c r="AO278" s="35">
        <f>VLOOKUP(Tabla4[[#This Row],[SERVICIO 2025]],$J$2:$V$14,8,0)*Tabla4[[#This Row],[TOTAL COBERTURA]]</f>
        <v>378300</v>
      </c>
      <c r="AP278" s="35">
        <f>VLOOKUP(Tabla4[[#This Row],[SERVICIO 2025]],$J$2:$V$14,3,0)*Tabla4[[#This Row],[TOTAL COBERTURA]]*8</f>
        <v>26788944</v>
      </c>
      <c r="AQ278" s="35"/>
      <c r="AR278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278" s="35" t="str">
        <f>+IF(Tabla4[[#This Row],[AGRUPACIONES]]=1,SUMIFS(Tabla4[VALOR TOTAL],Tabla4[ZONA DEFINITIVO],Tabla4[[#This Row],[ZONA DEFINITIVO]])," ")</f>
        <v xml:space="preserve"> </v>
      </c>
      <c r="AT278" s="27">
        <f>(VLOOKUP(Tabla4[[#This Row],[SERVICIO 2025]],$J$2:$V$14,3,0)*Tabla4[[#This Row],[TOTAL COBERTURA]])+Tabla4[[#This Row],[VALOR FASE PREPARATORIA DE ALISTAMIENTO]]+Tabla4[[#This Row],[DOTACIÓN ÚNICA]]</f>
        <v>4368806</v>
      </c>
      <c r="AU278" s="35">
        <f>(VLOOKUP(Tabla4[[#This Row],[SERVICIO 2025]],$J$2:$V$14,3,0)*Tabla4[[#This Row],[TOTAL COBERTURA]])</f>
        <v>3348618</v>
      </c>
      <c r="AV278" s="35">
        <f>(VLOOKUP(Tabla4[[#This Row],[SERVICIO 2025]],$J$2:$V$14,3,0)*Tabla4[[#This Row],[TOTAL COBERTURA]])</f>
        <v>3348618</v>
      </c>
      <c r="AW278" s="35">
        <f>(VLOOKUP(Tabla4[[#This Row],[SERVICIO 2025]],$J$2:$V$14,3,0)*Tabla4[[#This Row],[TOTAL COBERTURA]])</f>
        <v>3348618</v>
      </c>
      <c r="AX278" s="35">
        <f>(VLOOKUP(Tabla4[[#This Row],[SERVICIO 2025]],$J$2:$V$14,3,0)*Tabla4[[#This Row],[TOTAL COBERTURA]])</f>
        <v>3348618</v>
      </c>
      <c r="AY278" s="35">
        <f>(VLOOKUP(Tabla4[[#This Row],[SERVICIO 2025]],$J$2:$V$14,3,0)*Tabla4[[#This Row],[TOTAL COBERTURA]])</f>
        <v>3348618</v>
      </c>
      <c r="AZ278" s="35">
        <f>(VLOOKUP(Tabla4[[#This Row],[SERVICIO 2025]],$J$2:$V$14,3,0)*Tabla4[[#This Row],[TOTAL COBERTURA]])</f>
        <v>3348618</v>
      </c>
      <c r="BA278" s="35">
        <f>(VLOOKUP(Tabla4[[#This Row],[SERVICIO 2025]],$J$2:$V$14,3,0)*Tabla4[[#This Row],[TOTAL COBERTURA]])+Tabla4[[#This Row],[VALOR FASE PREPARATORIA DE CIERRE]]</f>
        <v>3881995</v>
      </c>
      <c r="BB278" s="35">
        <f>SUM(Tabla4[[#This Row],[DESEMBOLSO 1]:[DESEMBOLSO 8]])</f>
        <v>28342509</v>
      </c>
      <c r="BC278" s="35">
        <f>VLOOKUP(Tabla4[[#This Row],[SERVICIO 2025]],$J$2:$V$14,10,0)*Tabla4[[#This Row],[TOTAL COBERTURA]]*$W$3</f>
        <v>18759832</v>
      </c>
      <c r="BD278" s="47" t="s">
        <v>211</v>
      </c>
      <c r="BE278" s="12" t="b">
        <f>EXACT(Tabla4[[#This Row],[VALOR ATENCIÓN (8 MESES)]],Tabla4[[#This Row],[VALOR TOTAL]])</f>
        <v>1</v>
      </c>
      <c r="BF278" s="23">
        <f>Tabla4[[#This Row],[VALOR ATENCIÓN (8 MESES)]]-Tabla4[[#This Row],[VALOR TOTAL]]</f>
        <v>0</v>
      </c>
      <c r="BG278" s="12" t="b">
        <f>EXACT(Tabla4[[#This Row],[TOTAL DESEMBOLSOS]],Tabla4[[#This Row],[VALOR ATENCIÓN (8 MESES)]])</f>
        <v>1</v>
      </c>
      <c r="BH278" s="29">
        <f>Tabla4[[#This Row],[TOTAL DESEMBOLSOS]]-Tabla4[[#This Row],[VALOR ATENCIÓN (8 MESES)]]</f>
        <v>0</v>
      </c>
      <c r="BI278" t="s">
        <v>98</v>
      </c>
      <c r="BJ278">
        <v>1908</v>
      </c>
    </row>
    <row r="279" spans="1:62">
      <c r="A279" s="13">
        <v>1908</v>
      </c>
      <c r="B279" s="13" t="s">
        <v>672</v>
      </c>
      <c r="C279" s="12" t="s">
        <v>87</v>
      </c>
      <c r="D279" s="12" t="s">
        <v>673</v>
      </c>
      <c r="E279" s="12" t="s">
        <v>674</v>
      </c>
      <c r="F279" s="12" t="s">
        <v>18</v>
      </c>
      <c r="G279" s="12" t="s">
        <v>90</v>
      </c>
      <c r="H279" s="12" t="s">
        <v>695</v>
      </c>
      <c r="I279" s="12">
        <v>50311150175</v>
      </c>
      <c r="J279" s="12" t="s">
        <v>696</v>
      </c>
      <c r="K279" s="12">
        <v>1</v>
      </c>
      <c r="L279" s="12">
        <v>20</v>
      </c>
      <c r="M279" s="12"/>
      <c r="N279" s="13">
        <v>1908</v>
      </c>
      <c r="O279" s="12" t="s">
        <v>93</v>
      </c>
      <c r="P279" s="12"/>
      <c r="Q279" s="12"/>
      <c r="R279" s="12" t="s">
        <v>94</v>
      </c>
      <c r="S279" s="12">
        <v>10</v>
      </c>
      <c r="T279" s="12" t="s">
        <v>677</v>
      </c>
      <c r="U279" s="12" t="s">
        <v>678</v>
      </c>
      <c r="V279" s="12">
        <f>VLOOKUP(Tabla4[[#This Row],[ZONA DEFINITIVO]],Hoja1!$A$1:$D$121,3,0)</f>
        <v>229073</v>
      </c>
      <c r="W279" s="12">
        <f>VLOOKUP(Tabla4[[#This Row],[ZONA DEFINITIVO]],Hoja1!$A$1:$D$121,2,0)</f>
        <v>15172</v>
      </c>
      <c r="X279" s="12">
        <f>VLOOKUP(Tabla4[[#This Row],[ZONA DEFINITIVO]],Hoja1!$A$1:$D$121,4,0)</f>
        <v>91225</v>
      </c>
      <c r="Y279" s="12" t="str">
        <f>+IF(Tabla4[[#This Row],[AGRUPACIONES]]=1,SUMIFS(Tabla4[UDS],Tabla4[ZONA DEFINITIVO],Tabla4[[#This Row],[ZONA DEFINITIVO]])," ")</f>
        <v xml:space="preserve"> </v>
      </c>
      <c r="Z279" s="12" t="str">
        <f>+IF(Tabla4[[#This Row],[AGRUPACIONES]]=1,SUMIFS(Tabla4[TOTAL COBERTURA],Tabla4[ZONA DEFINITIVO],Tabla4[[#This Row],[ZONA DEFINITIVO]])," ")</f>
        <v xml:space="preserve"> </v>
      </c>
      <c r="AA279" s="12"/>
      <c r="AB279" s="38">
        <v>43603860</v>
      </c>
      <c r="AC279" s="37">
        <v>0.02</v>
      </c>
      <c r="AD279" s="38">
        <f t="shared" si="5"/>
        <v>872077.20000000007</v>
      </c>
      <c r="AE279" s="12"/>
      <c r="AF279" s="12">
        <f>COUNTIF($A$20:A279,A279)</f>
        <v>10</v>
      </c>
      <c r="AG279" s="38">
        <v>43603860</v>
      </c>
      <c r="AH279" s="38">
        <f>Tabla4[[#This Row],[VALOR CONTRAPARTIDA]]+Tabla4[[#This Row],[TOTAL APORTES ICBF]]</f>
        <v>44475937.200000003</v>
      </c>
      <c r="AI279" s="35"/>
      <c r="AJ279" s="38"/>
      <c r="AK279" s="38"/>
      <c r="AL279" s="23"/>
      <c r="AM279" s="35">
        <f>VLOOKUP(Tabla4[[#This Row],[SERVICIO 2025]],$J$2:$V$14,5,0)*Tabla4[[#This Row],[TOTAL COBERTURA]]</f>
        <v>987520</v>
      </c>
      <c r="AN279" s="35">
        <f>VLOOKUP(Tabla4[[#This Row],[SERVICIO 2025]],$J$2:$V$14,6,0)*Tabla4[[#This Row],[TOTAL COBERTURA]]</f>
        <v>820580</v>
      </c>
      <c r="AO279" s="35">
        <f>VLOOKUP(Tabla4[[#This Row],[SERVICIO 2025]],$J$2:$V$14,8,0)*Tabla4[[#This Row],[TOTAL COBERTURA]]</f>
        <v>582000</v>
      </c>
      <c r="AP279" s="35">
        <f>VLOOKUP(Tabla4[[#This Row],[SERVICIO 2025]],$J$2:$V$14,3,0)*Tabla4[[#This Row],[TOTAL COBERTURA]]*8</f>
        <v>41213760</v>
      </c>
      <c r="AQ279" s="35"/>
      <c r="AR279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279" s="35" t="str">
        <f>+IF(Tabla4[[#This Row],[AGRUPACIONES]]=1,SUMIFS(Tabla4[VALOR TOTAL],Tabla4[ZONA DEFINITIVO],Tabla4[[#This Row],[ZONA DEFINITIVO]])," ")</f>
        <v xml:space="preserve"> </v>
      </c>
      <c r="AT279" s="27">
        <f>(VLOOKUP(Tabla4[[#This Row],[SERVICIO 2025]],$J$2:$V$14,3,0)*Tabla4[[#This Row],[TOTAL COBERTURA]])+Tabla4[[#This Row],[VALOR FASE PREPARATORIA DE ALISTAMIENTO]]+Tabla4[[#This Row],[DOTACIÓN ÚNICA]]</f>
        <v>6721240</v>
      </c>
      <c r="AU279" s="35">
        <f>(VLOOKUP(Tabla4[[#This Row],[SERVICIO 2025]],$J$2:$V$14,3,0)*Tabla4[[#This Row],[TOTAL COBERTURA]])</f>
        <v>5151720</v>
      </c>
      <c r="AV279" s="35">
        <f>(VLOOKUP(Tabla4[[#This Row],[SERVICIO 2025]],$J$2:$V$14,3,0)*Tabla4[[#This Row],[TOTAL COBERTURA]])</f>
        <v>5151720</v>
      </c>
      <c r="AW279" s="35">
        <f>(VLOOKUP(Tabla4[[#This Row],[SERVICIO 2025]],$J$2:$V$14,3,0)*Tabla4[[#This Row],[TOTAL COBERTURA]])</f>
        <v>5151720</v>
      </c>
      <c r="AX279" s="35">
        <f>(VLOOKUP(Tabla4[[#This Row],[SERVICIO 2025]],$J$2:$V$14,3,0)*Tabla4[[#This Row],[TOTAL COBERTURA]])</f>
        <v>5151720</v>
      </c>
      <c r="AY279" s="35">
        <f>(VLOOKUP(Tabla4[[#This Row],[SERVICIO 2025]],$J$2:$V$14,3,0)*Tabla4[[#This Row],[TOTAL COBERTURA]])</f>
        <v>5151720</v>
      </c>
      <c r="AZ279" s="35">
        <f>(VLOOKUP(Tabla4[[#This Row],[SERVICIO 2025]],$J$2:$V$14,3,0)*Tabla4[[#This Row],[TOTAL COBERTURA]])</f>
        <v>5151720</v>
      </c>
      <c r="BA279" s="35">
        <f>(VLOOKUP(Tabla4[[#This Row],[SERVICIO 2025]],$J$2:$V$14,3,0)*Tabla4[[#This Row],[TOTAL COBERTURA]])+Tabla4[[#This Row],[VALOR FASE PREPARATORIA DE CIERRE]]</f>
        <v>5972300</v>
      </c>
      <c r="BB279" s="35">
        <f>SUM(Tabla4[[#This Row],[DESEMBOLSO 1]:[DESEMBOLSO 8]])</f>
        <v>43603860</v>
      </c>
      <c r="BC279" s="35">
        <f>VLOOKUP(Tabla4[[#This Row],[SERVICIO 2025]],$J$2:$V$14,10,0)*Tabla4[[#This Row],[TOTAL COBERTURA]]*$W$3</f>
        <v>28861280</v>
      </c>
      <c r="BD279" s="47" t="s">
        <v>211</v>
      </c>
      <c r="BE279" s="12" t="b">
        <f>EXACT(Tabla4[[#This Row],[VALOR ATENCIÓN (8 MESES)]],Tabla4[[#This Row],[VALOR TOTAL]])</f>
        <v>1</v>
      </c>
      <c r="BF279" s="23">
        <f>Tabla4[[#This Row],[VALOR ATENCIÓN (8 MESES)]]-Tabla4[[#This Row],[VALOR TOTAL]]</f>
        <v>0</v>
      </c>
      <c r="BG279" s="12" t="b">
        <f>EXACT(Tabla4[[#This Row],[TOTAL DESEMBOLSOS]],Tabla4[[#This Row],[VALOR ATENCIÓN (8 MESES)]])</f>
        <v>1</v>
      </c>
      <c r="BH279" s="29">
        <f>Tabla4[[#This Row],[TOTAL DESEMBOLSOS]]-Tabla4[[#This Row],[VALOR ATENCIÓN (8 MESES)]]</f>
        <v>0</v>
      </c>
      <c r="BI279" t="s">
        <v>98</v>
      </c>
      <c r="BJ279">
        <v>1908</v>
      </c>
    </row>
    <row r="280" spans="1:62">
      <c r="A280" s="13">
        <v>1908</v>
      </c>
      <c r="B280" s="13" t="s">
        <v>672</v>
      </c>
      <c r="C280" s="12" t="s">
        <v>87</v>
      </c>
      <c r="D280" s="12" t="s">
        <v>673</v>
      </c>
      <c r="E280" s="12" t="s">
        <v>674</v>
      </c>
      <c r="F280" s="12" t="s">
        <v>18</v>
      </c>
      <c r="G280" s="12" t="s">
        <v>90</v>
      </c>
      <c r="H280" s="12" t="s">
        <v>697</v>
      </c>
      <c r="I280" s="12">
        <v>50311150485</v>
      </c>
      <c r="J280" s="12" t="s">
        <v>698</v>
      </c>
      <c r="K280" s="12">
        <v>1</v>
      </c>
      <c r="L280" s="12">
        <v>18</v>
      </c>
      <c r="M280" s="12"/>
      <c r="N280" s="13">
        <v>1908</v>
      </c>
      <c r="O280" s="12" t="s">
        <v>93</v>
      </c>
      <c r="P280" s="12"/>
      <c r="Q280" s="12"/>
      <c r="R280" s="12" t="s">
        <v>94</v>
      </c>
      <c r="S280" s="12">
        <v>10</v>
      </c>
      <c r="T280" s="12" t="s">
        <v>677</v>
      </c>
      <c r="U280" s="12" t="s">
        <v>678</v>
      </c>
      <c r="V280" s="12">
        <f>VLOOKUP(Tabla4[[#This Row],[ZONA DEFINITIVO]],Hoja1!$A$1:$D$121,3,0)</f>
        <v>229073</v>
      </c>
      <c r="W280" s="12">
        <f>VLOOKUP(Tabla4[[#This Row],[ZONA DEFINITIVO]],Hoja1!$A$1:$D$121,2,0)</f>
        <v>15172</v>
      </c>
      <c r="X280" s="12">
        <f>VLOOKUP(Tabla4[[#This Row],[ZONA DEFINITIVO]],Hoja1!$A$1:$D$121,4,0)</f>
        <v>91225</v>
      </c>
      <c r="Y280" s="12" t="str">
        <f>+IF(Tabla4[[#This Row],[AGRUPACIONES]]=1,SUMIFS(Tabla4[UDS],Tabla4[ZONA DEFINITIVO],Tabla4[[#This Row],[ZONA DEFINITIVO]])," ")</f>
        <v xml:space="preserve"> </v>
      </c>
      <c r="Z280" s="12" t="str">
        <f>+IF(Tabla4[[#This Row],[AGRUPACIONES]]=1,SUMIFS(Tabla4[TOTAL COBERTURA],Tabla4[ZONA DEFINITIVO],Tabla4[[#This Row],[ZONA DEFINITIVO]])," ")</f>
        <v xml:space="preserve"> </v>
      </c>
      <c r="AA280" s="12"/>
      <c r="AB280" s="38">
        <v>39243474</v>
      </c>
      <c r="AC280" s="37">
        <v>0.02</v>
      </c>
      <c r="AD280" s="38">
        <f t="shared" si="5"/>
        <v>784869.48</v>
      </c>
      <c r="AE280" s="12"/>
      <c r="AF280" s="12">
        <f>COUNTIF($A$20:A280,A280)</f>
        <v>11</v>
      </c>
      <c r="AG280" s="38">
        <v>39243474</v>
      </c>
      <c r="AH280" s="38">
        <f>Tabla4[[#This Row],[VALOR CONTRAPARTIDA]]+Tabla4[[#This Row],[TOTAL APORTES ICBF]]</f>
        <v>40028343.479999997</v>
      </c>
      <c r="AI280" s="35"/>
      <c r="AJ280" s="38"/>
      <c r="AK280" s="38"/>
      <c r="AL280" s="23"/>
      <c r="AM280" s="35">
        <f>VLOOKUP(Tabla4[[#This Row],[SERVICIO 2025]],$J$2:$V$14,5,0)*Tabla4[[#This Row],[TOTAL COBERTURA]]</f>
        <v>888768</v>
      </c>
      <c r="AN280" s="35">
        <f>VLOOKUP(Tabla4[[#This Row],[SERVICIO 2025]],$J$2:$V$14,6,0)*Tabla4[[#This Row],[TOTAL COBERTURA]]</f>
        <v>738522</v>
      </c>
      <c r="AO280" s="35">
        <f>VLOOKUP(Tabla4[[#This Row],[SERVICIO 2025]],$J$2:$V$14,8,0)*Tabla4[[#This Row],[TOTAL COBERTURA]]</f>
        <v>523800</v>
      </c>
      <c r="AP280" s="35">
        <f>VLOOKUP(Tabla4[[#This Row],[SERVICIO 2025]],$J$2:$V$14,3,0)*Tabla4[[#This Row],[TOTAL COBERTURA]]*8</f>
        <v>37092384</v>
      </c>
      <c r="AQ280" s="35"/>
      <c r="AR280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280" s="35" t="str">
        <f>+IF(Tabla4[[#This Row],[AGRUPACIONES]]=1,SUMIFS(Tabla4[VALOR TOTAL],Tabla4[ZONA DEFINITIVO],Tabla4[[#This Row],[ZONA DEFINITIVO]])," ")</f>
        <v xml:space="preserve"> </v>
      </c>
      <c r="AT280" s="27">
        <f>(VLOOKUP(Tabla4[[#This Row],[SERVICIO 2025]],$J$2:$V$14,3,0)*Tabla4[[#This Row],[TOTAL COBERTURA]])+Tabla4[[#This Row],[VALOR FASE PREPARATORIA DE ALISTAMIENTO]]+Tabla4[[#This Row],[DOTACIÓN ÚNICA]]</f>
        <v>6049116</v>
      </c>
      <c r="AU280" s="35">
        <f>(VLOOKUP(Tabla4[[#This Row],[SERVICIO 2025]],$J$2:$V$14,3,0)*Tabla4[[#This Row],[TOTAL COBERTURA]])</f>
        <v>4636548</v>
      </c>
      <c r="AV280" s="35">
        <f>(VLOOKUP(Tabla4[[#This Row],[SERVICIO 2025]],$J$2:$V$14,3,0)*Tabla4[[#This Row],[TOTAL COBERTURA]])</f>
        <v>4636548</v>
      </c>
      <c r="AW280" s="35">
        <f>(VLOOKUP(Tabla4[[#This Row],[SERVICIO 2025]],$J$2:$V$14,3,0)*Tabla4[[#This Row],[TOTAL COBERTURA]])</f>
        <v>4636548</v>
      </c>
      <c r="AX280" s="35">
        <f>(VLOOKUP(Tabla4[[#This Row],[SERVICIO 2025]],$J$2:$V$14,3,0)*Tabla4[[#This Row],[TOTAL COBERTURA]])</f>
        <v>4636548</v>
      </c>
      <c r="AY280" s="35">
        <f>(VLOOKUP(Tabla4[[#This Row],[SERVICIO 2025]],$J$2:$V$14,3,0)*Tabla4[[#This Row],[TOTAL COBERTURA]])</f>
        <v>4636548</v>
      </c>
      <c r="AZ280" s="35">
        <f>(VLOOKUP(Tabla4[[#This Row],[SERVICIO 2025]],$J$2:$V$14,3,0)*Tabla4[[#This Row],[TOTAL COBERTURA]])</f>
        <v>4636548</v>
      </c>
      <c r="BA280" s="35">
        <f>(VLOOKUP(Tabla4[[#This Row],[SERVICIO 2025]],$J$2:$V$14,3,0)*Tabla4[[#This Row],[TOTAL COBERTURA]])+Tabla4[[#This Row],[VALOR FASE PREPARATORIA DE CIERRE]]</f>
        <v>5375070</v>
      </c>
      <c r="BB280" s="35">
        <f>SUM(Tabla4[[#This Row],[DESEMBOLSO 1]:[DESEMBOLSO 8]])</f>
        <v>39243474</v>
      </c>
      <c r="BC280" s="35">
        <f>VLOOKUP(Tabla4[[#This Row],[SERVICIO 2025]],$J$2:$V$14,10,0)*Tabla4[[#This Row],[TOTAL COBERTURA]]*$W$3</f>
        <v>25975152</v>
      </c>
      <c r="BD280" s="47" t="s">
        <v>211</v>
      </c>
      <c r="BE280" s="12" t="b">
        <f>EXACT(Tabla4[[#This Row],[VALOR ATENCIÓN (8 MESES)]],Tabla4[[#This Row],[VALOR TOTAL]])</f>
        <v>1</v>
      </c>
      <c r="BF280" s="23">
        <f>Tabla4[[#This Row],[VALOR ATENCIÓN (8 MESES)]]-Tabla4[[#This Row],[VALOR TOTAL]]</f>
        <v>0</v>
      </c>
      <c r="BG280" s="12" t="b">
        <f>EXACT(Tabla4[[#This Row],[TOTAL DESEMBOLSOS]],Tabla4[[#This Row],[VALOR ATENCIÓN (8 MESES)]])</f>
        <v>1</v>
      </c>
      <c r="BH280" s="29">
        <f>Tabla4[[#This Row],[TOTAL DESEMBOLSOS]]-Tabla4[[#This Row],[VALOR ATENCIÓN (8 MESES)]]</f>
        <v>0</v>
      </c>
      <c r="BI280" t="s">
        <v>98</v>
      </c>
      <c r="BJ280">
        <v>1908</v>
      </c>
    </row>
    <row r="281" spans="1:62">
      <c r="A281" s="13">
        <v>1908</v>
      </c>
      <c r="B281" s="13" t="s">
        <v>672</v>
      </c>
      <c r="C281" s="12" t="s">
        <v>87</v>
      </c>
      <c r="D281" s="12" t="s">
        <v>673</v>
      </c>
      <c r="E281" s="12" t="s">
        <v>674</v>
      </c>
      <c r="F281" s="12" t="s">
        <v>18</v>
      </c>
      <c r="G281" s="12" t="s">
        <v>90</v>
      </c>
      <c r="H281" s="12" t="s">
        <v>490</v>
      </c>
      <c r="I281" s="12">
        <v>50311152427</v>
      </c>
      <c r="J281" s="12" t="s">
        <v>699</v>
      </c>
      <c r="K281" s="12">
        <v>1</v>
      </c>
      <c r="L281" s="12">
        <v>19</v>
      </c>
      <c r="M281" s="12"/>
      <c r="N281" s="13">
        <v>1908</v>
      </c>
      <c r="O281" s="12" t="s">
        <v>93</v>
      </c>
      <c r="P281" s="12"/>
      <c r="Q281" s="12"/>
      <c r="R281" s="12" t="s">
        <v>94</v>
      </c>
      <c r="S281" s="12">
        <v>10</v>
      </c>
      <c r="T281" s="12" t="s">
        <v>677</v>
      </c>
      <c r="U281" s="12" t="s">
        <v>678</v>
      </c>
      <c r="V281" s="12">
        <f>VLOOKUP(Tabla4[[#This Row],[ZONA DEFINITIVO]],Hoja1!$A$1:$D$121,3,0)</f>
        <v>229073</v>
      </c>
      <c r="W281" s="12">
        <f>VLOOKUP(Tabla4[[#This Row],[ZONA DEFINITIVO]],Hoja1!$A$1:$D$121,2,0)</f>
        <v>15172</v>
      </c>
      <c r="X281" s="12">
        <f>VLOOKUP(Tabla4[[#This Row],[ZONA DEFINITIVO]],Hoja1!$A$1:$D$121,4,0)</f>
        <v>91225</v>
      </c>
      <c r="Y281" s="12" t="str">
        <f>+IF(Tabla4[[#This Row],[AGRUPACIONES]]=1,SUMIFS(Tabla4[UDS],Tabla4[ZONA DEFINITIVO],Tabla4[[#This Row],[ZONA DEFINITIVO]])," ")</f>
        <v xml:space="preserve"> </v>
      </c>
      <c r="Z281" s="12" t="str">
        <f>+IF(Tabla4[[#This Row],[AGRUPACIONES]]=1,SUMIFS(Tabla4[TOTAL COBERTURA],Tabla4[ZONA DEFINITIVO],Tabla4[[#This Row],[ZONA DEFINITIVO]])," ")</f>
        <v xml:space="preserve"> </v>
      </c>
      <c r="AA281" s="12"/>
      <c r="AB281" s="38">
        <v>41423667</v>
      </c>
      <c r="AC281" s="37">
        <v>0.02</v>
      </c>
      <c r="AD281" s="38">
        <f t="shared" si="5"/>
        <v>828473.34</v>
      </c>
      <c r="AE281" s="12"/>
      <c r="AF281" s="12">
        <f>COUNTIF($A$20:A281,A281)</f>
        <v>12</v>
      </c>
      <c r="AG281" s="38">
        <v>41423667</v>
      </c>
      <c r="AH281" s="38">
        <f>Tabla4[[#This Row],[VALOR CONTRAPARTIDA]]+Tabla4[[#This Row],[TOTAL APORTES ICBF]]</f>
        <v>42252140.340000004</v>
      </c>
      <c r="AI281" s="35"/>
      <c r="AJ281" s="38"/>
      <c r="AK281" s="38"/>
      <c r="AL281" s="23"/>
      <c r="AM281" s="35">
        <f>VLOOKUP(Tabla4[[#This Row],[SERVICIO 2025]],$J$2:$V$14,5,0)*Tabla4[[#This Row],[TOTAL COBERTURA]]</f>
        <v>938144</v>
      </c>
      <c r="AN281" s="35">
        <f>VLOOKUP(Tabla4[[#This Row],[SERVICIO 2025]],$J$2:$V$14,6,0)*Tabla4[[#This Row],[TOTAL COBERTURA]]</f>
        <v>779551</v>
      </c>
      <c r="AO281" s="35">
        <f>VLOOKUP(Tabla4[[#This Row],[SERVICIO 2025]],$J$2:$V$14,8,0)*Tabla4[[#This Row],[TOTAL COBERTURA]]</f>
        <v>552900</v>
      </c>
      <c r="AP281" s="35">
        <f>VLOOKUP(Tabla4[[#This Row],[SERVICIO 2025]],$J$2:$V$14,3,0)*Tabla4[[#This Row],[TOTAL COBERTURA]]*8</f>
        <v>39153072</v>
      </c>
      <c r="AQ281" s="35"/>
      <c r="AR281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281" s="35" t="str">
        <f>+IF(Tabla4[[#This Row],[AGRUPACIONES]]=1,SUMIFS(Tabla4[VALOR TOTAL],Tabla4[ZONA DEFINITIVO],Tabla4[[#This Row],[ZONA DEFINITIVO]])," ")</f>
        <v xml:space="preserve"> </v>
      </c>
      <c r="AT281" s="27">
        <f>(VLOOKUP(Tabla4[[#This Row],[SERVICIO 2025]],$J$2:$V$14,3,0)*Tabla4[[#This Row],[TOTAL COBERTURA]])+Tabla4[[#This Row],[VALOR FASE PREPARATORIA DE ALISTAMIENTO]]+Tabla4[[#This Row],[DOTACIÓN ÚNICA]]</f>
        <v>6385178</v>
      </c>
      <c r="AU281" s="35">
        <f>(VLOOKUP(Tabla4[[#This Row],[SERVICIO 2025]],$J$2:$V$14,3,0)*Tabla4[[#This Row],[TOTAL COBERTURA]])</f>
        <v>4894134</v>
      </c>
      <c r="AV281" s="35">
        <f>(VLOOKUP(Tabla4[[#This Row],[SERVICIO 2025]],$J$2:$V$14,3,0)*Tabla4[[#This Row],[TOTAL COBERTURA]])</f>
        <v>4894134</v>
      </c>
      <c r="AW281" s="35">
        <f>(VLOOKUP(Tabla4[[#This Row],[SERVICIO 2025]],$J$2:$V$14,3,0)*Tabla4[[#This Row],[TOTAL COBERTURA]])</f>
        <v>4894134</v>
      </c>
      <c r="AX281" s="35">
        <f>(VLOOKUP(Tabla4[[#This Row],[SERVICIO 2025]],$J$2:$V$14,3,0)*Tabla4[[#This Row],[TOTAL COBERTURA]])</f>
        <v>4894134</v>
      </c>
      <c r="AY281" s="35">
        <f>(VLOOKUP(Tabla4[[#This Row],[SERVICIO 2025]],$J$2:$V$14,3,0)*Tabla4[[#This Row],[TOTAL COBERTURA]])</f>
        <v>4894134</v>
      </c>
      <c r="AZ281" s="35">
        <f>(VLOOKUP(Tabla4[[#This Row],[SERVICIO 2025]],$J$2:$V$14,3,0)*Tabla4[[#This Row],[TOTAL COBERTURA]])</f>
        <v>4894134</v>
      </c>
      <c r="BA281" s="35">
        <f>(VLOOKUP(Tabla4[[#This Row],[SERVICIO 2025]],$J$2:$V$14,3,0)*Tabla4[[#This Row],[TOTAL COBERTURA]])+Tabla4[[#This Row],[VALOR FASE PREPARATORIA DE CIERRE]]</f>
        <v>5673685</v>
      </c>
      <c r="BB281" s="35">
        <f>SUM(Tabla4[[#This Row],[DESEMBOLSO 1]:[DESEMBOLSO 8]])</f>
        <v>41423667</v>
      </c>
      <c r="BC281" s="35">
        <f>VLOOKUP(Tabla4[[#This Row],[SERVICIO 2025]],$J$2:$V$14,10,0)*Tabla4[[#This Row],[TOTAL COBERTURA]]*$W$3</f>
        <v>27418216</v>
      </c>
      <c r="BD281" s="47" t="s">
        <v>211</v>
      </c>
      <c r="BE281" s="12" t="b">
        <f>EXACT(Tabla4[[#This Row],[VALOR ATENCIÓN (8 MESES)]],Tabla4[[#This Row],[VALOR TOTAL]])</f>
        <v>1</v>
      </c>
      <c r="BF281" s="23">
        <f>Tabla4[[#This Row],[VALOR ATENCIÓN (8 MESES)]]-Tabla4[[#This Row],[VALOR TOTAL]]</f>
        <v>0</v>
      </c>
      <c r="BG281" s="12" t="b">
        <f>EXACT(Tabla4[[#This Row],[TOTAL DESEMBOLSOS]],Tabla4[[#This Row],[VALOR ATENCIÓN (8 MESES)]])</f>
        <v>1</v>
      </c>
      <c r="BH281" s="29">
        <f>Tabla4[[#This Row],[TOTAL DESEMBOLSOS]]-Tabla4[[#This Row],[VALOR ATENCIÓN (8 MESES)]]</f>
        <v>0</v>
      </c>
      <c r="BI281" t="s">
        <v>98</v>
      </c>
      <c r="BJ281">
        <v>1908</v>
      </c>
    </row>
    <row r="282" spans="1:62">
      <c r="A282" s="13">
        <v>1908</v>
      </c>
      <c r="B282" s="13" t="s">
        <v>672</v>
      </c>
      <c r="C282" s="12" t="s">
        <v>87</v>
      </c>
      <c r="D282" s="12" t="s">
        <v>673</v>
      </c>
      <c r="E282" s="12" t="s">
        <v>674</v>
      </c>
      <c r="F282" s="12" t="s">
        <v>14</v>
      </c>
      <c r="G282" s="12" t="s">
        <v>90</v>
      </c>
      <c r="H282" s="12" t="s">
        <v>700</v>
      </c>
      <c r="I282" s="12">
        <v>503100122021</v>
      </c>
      <c r="J282" s="12" t="s">
        <v>701</v>
      </c>
      <c r="K282" s="12">
        <v>1</v>
      </c>
      <c r="L282" s="12">
        <v>278</v>
      </c>
      <c r="M282" s="12"/>
      <c r="N282" s="13">
        <v>1908</v>
      </c>
      <c r="O282" s="12" t="s">
        <v>93</v>
      </c>
      <c r="P282" s="12"/>
      <c r="Q282" s="12"/>
      <c r="R282" s="12" t="s">
        <v>94</v>
      </c>
      <c r="S282" s="12">
        <v>10</v>
      </c>
      <c r="T282" s="12" t="s">
        <v>677</v>
      </c>
      <c r="U282" s="12" t="s">
        <v>678</v>
      </c>
      <c r="V282" s="12">
        <f>VLOOKUP(Tabla4[[#This Row],[ZONA DEFINITIVO]],Hoja1!$A$1:$D$121,3,0)</f>
        <v>229073</v>
      </c>
      <c r="W282" s="12">
        <f>VLOOKUP(Tabla4[[#This Row],[ZONA DEFINITIVO]],Hoja1!$A$1:$D$121,2,0)</f>
        <v>15172</v>
      </c>
      <c r="X282" s="12">
        <f>VLOOKUP(Tabla4[[#This Row],[ZONA DEFINITIVO]],Hoja1!$A$1:$D$121,4,0)</f>
        <v>91225</v>
      </c>
      <c r="Y282" s="12" t="str">
        <f>+IF(Tabla4[[#This Row],[AGRUPACIONES]]=1,SUMIFS(Tabla4[UDS],Tabla4[ZONA DEFINITIVO],Tabla4[[#This Row],[ZONA DEFINITIVO]])," ")</f>
        <v xml:space="preserve"> </v>
      </c>
      <c r="Z282" s="12" t="str">
        <f>+IF(Tabla4[[#This Row],[AGRUPACIONES]]=1,SUMIFS(Tabla4[TOTAL COBERTURA],Tabla4[ZONA DEFINITIVO],Tabla4[[#This Row],[ZONA DEFINITIVO]])," ")</f>
        <v xml:space="preserve"> </v>
      </c>
      <c r="AA282" s="12"/>
      <c r="AB282" s="38">
        <v>1164500300</v>
      </c>
      <c r="AC282" s="37">
        <v>0.02</v>
      </c>
      <c r="AD282" s="38">
        <f t="shared" si="5"/>
        <v>23290006</v>
      </c>
      <c r="AE282" s="12"/>
      <c r="AF282" s="12">
        <f>COUNTIF($A$20:A282,A282)</f>
        <v>13</v>
      </c>
      <c r="AG282" s="38">
        <v>1164500300</v>
      </c>
      <c r="AH282" s="38">
        <f>Tabla4[[#This Row],[VALOR CONTRAPARTIDA]]+Tabla4[[#This Row],[TOTAL APORTES ICBF]]</f>
        <v>1187790306</v>
      </c>
      <c r="AI282" s="35"/>
      <c r="AJ282" s="38"/>
      <c r="AK282" s="38"/>
      <c r="AL282" s="23"/>
      <c r="AM282" s="35">
        <f>VLOOKUP(Tabla4[[#This Row],[SERVICIO 2025]],$J$2:$V$14,5,0)*Tabla4[[#This Row],[TOTAL COBERTURA]]</f>
        <v>24503754</v>
      </c>
      <c r="AN282" s="35">
        <f>VLOOKUP(Tabla4[[#This Row],[SERVICIO 2025]],$J$2:$V$14,6,0)*Tabla4[[#This Row],[TOTAL COBERTURA]]</f>
        <v>20861954</v>
      </c>
      <c r="AO282" s="35">
        <f>VLOOKUP(Tabla4[[#This Row],[SERVICIO 2025]],$J$2:$V$14,8,0)*Tabla4[[#This Row],[TOTAL COBERTURA]]</f>
        <v>0</v>
      </c>
      <c r="AP282" s="35">
        <f>VLOOKUP(Tabla4[[#This Row],[SERVICIO 2025]],$J$2:$V$14,3,0)*Tabla4[[#This Row],[TOTAL COBERTURA]]*8</f>
        <v>1119134592</v>
      </c>
      <c r="AQ282" s="35"/>
      <c r="AR282" s="35">
        <f>Tabla4[[#This Row],[VALOR FASE PREPARATORIA DE ALISTAMIENTO]]+Tabla4[[#This Row],[VALOR FASE PREPARATORIA DE CIERRE]]+Tabla4[[#This Row],[DOTACIÓN ÚNICA]]+Tabla4[[#This Row],[VALOR ATENCIÓN]]+Tabla4[[#This Row],[VALOR RACION PREPARADA]]</f>
        <v>1164500300</v>
      </c>
      <c r="AS282" s="35" t="str">
        <f>+IF(Tabla4[[#This Row],[AGRUPACIONES]]=1,SUMIFS(Tabla4[VALOR TOTAL],Tabla4[ZONA DEFINITIVO],Tabla4[[#This Row],[ZONA DEFINITIVO]])," ")</f>
        <v xml:space="preserve"> </v>
      </c>
      <c r="AT282" s="27">
        <f>(VLOOKUP(Tabla4[[#This Row],[SERVICIO 2025]],$J$2:$V$14,3,0)*Tabla4[[#This Row],[TOTAL COBERTURA]])+Tabla4[[#This Row],[VALOR FASE PREPARATORIA DE ALISTAMIENTO]]+Tabla4[[#This Row],[DOTACIÓN ÚNICA]]</f>
        <v>164395578</v>
      </c>
      <c r="AU282" s="35">
        <f>(VLOOKUP(Tabla4[[#This Row],[SERVICIO 2025]],$J$2:$V$14,3,0)*Tabla4[[#This Row],[TOTAL COBERTURA]])</f>
        <v>139891824</v>
      </c>
      <c r="AV282" s="35">
        <f>(VLOOKUP(Tabla4[[#This Row],[SERVICIO 2025]],$J$2:$V$14,3,0)*Tabla4[[#This Row],[TOTAL COBERTURA]])</f>
        <v>139891824</v>
      </c>
      <c r="AW282" s="35">
        <f>(VLOOKUP(Tabla4[[#This Row],[SERVICIO 2025]],$J$2:$V$14,3,0)*Tabla4[[#This Row],[TOTAL COBERTURA]])</f>
        <v>139891824</v>
      </c>
      <c r="AX282" s="35">
        <f>(VLOOKUP(Tabla4[[#This Row],[SERVICIO 2025]],$J$2:$V$14,3,0)*Tabla4[[#This Row],[TOTAL COBERTURA]])</f>
        <v>139891824</v>
      </c>
      <c r="AY282" s="35">
        <f>(VLOOKUP(Tabla4[[#This Row],[SERVICIO 2025]],$J$2:$V$14,3,0)*Tabla4[[#This Row],[TOTAL COBERTURA]])</f>
        <v>139891824</v>
      </c>
      <c r="AZ282" s="35">
        <f>(VLOOKUP(Tabla4[[#This Row],[SERVICIO 2025]],$J$2:$V$14,3,0)*Tabla4[[#This Row],[TOTAL COBERTURA]])</f>
        <v>139891824</v>
      </c>
      <c r="BA282" s="35">
        <f>(VLOOKUP(Tabla4[[#This Row],[SERVICIO 2025]],$J$2:$V$14,3,0)*Tabla4[[#This Row],[TOTAL COBERTURA]])+Tabla4[[#This Row],[VALOR FASE PREPARATORIA DE CIERRE]]</f>
        <v>160753778</v>
      </c>
      <c r="BB282" s="35">
        <f>SUM(Tabla4[[#This Row],[DESEMBOLSO 1]:[DESEMBOLSO 8]])</f>
        <v>1164500300</v>
      </c>
      <c r="BC282" s="35">
        <f>VLOOKUP(Tabla4[[#This Row],[SERVICIO 2025]],$J$2:$V$14,10,0)*Tabla4[[#This Row],[TOTAL COBERTURA]]*$W$3</f>
        <v>0</v>
      </c>
      <c r="BD282" s="47" t="s">
        <v>145</v>
      </c>
      <c r="BE282" s="12" t="b">
        <f>EXACT(Tabla4[[#This Row],[VALOR ATENCIÓN (8 MESES)]],Tabla4[[#This Row],[VALOR TOTAL]])</f>
        <v>1</v>
      </c>
      <c r="BF282" s="23">
        <f>Tabla4[[#This Row],[VALOR ATENCIÓN (8 MESES)]]-Tabla4[[#This Row],[VALOR TOTAL]]</f>
        <v>0</v>
      </c>
      <c r="BG282" s="12" t="b">
        <f>EXACT(Tabla4[[#This Row],[TOTAL DESEMBOLSOS]],Tabla4[[#This Row],[VALOR ATENCIÓN (8 MESES)]])</f>
        <v>1</v>
      </c>
      <c r="BH282" s="29">
        <f>Tabla4[[#This Row],[TOTAL DESEMBOLSOS]]-Tabla4[[#This Row],[VALOR ATENCIÓN (8 MESES)]]</f>
        <v>0</v>
      </c>
      <c r="BI282" t="s">
        <v>98</v>
      </c>
      <c r="BJ282">
        <v>1908</v>
      </c>
    </row>
    <row r="283" spans="1:62">
      <c r="A283" s="13">
        <v>1909</v>
      </c>
      <c r="B283" s="13" t="s">
        <v>702</v>
      </c>
      <c r="C283" s="12" t="s">
        <v>87</v>
      </c>
      <c r="D283" s="12" t="s">
        <v>205</v>
      </c>
      <c r="E283" s="12" t="s">
        <v>703</v>
      </c>
      <c r="F283" s="12" t="s">
        <v>21</v>
      </c>
      <c r="G283" s="12" t="s">
        <v>90</v>
      </c>
      <c r="H283" s="12" t="s">
        <v>704</v>
      </c>
      <c r="I283" s="12">
        <v>50341114791</v>
      </c>
      <c r="J283" s="12" t="s">
        <v>705</v>
      </c>
      <c r="K283" s="12">
        <v>1</v>
      </c>
      <c r="L283" s="12">
        <v>10</v>
      </c>
      <c r="M283" s="12"/>
      <c r="N283" s="13">
        <v>1909</v>
      </c>
      <c r="O283" s="12" t="s">
        <v>93</v>
      </c>
      <c r="P283" s="12"/>
      <c r="Q283" s="12"/>
      <c r="R283" s="12" t="s">
        <v>94</v>
      </c>
      <c r="S283" s="12">
        <v>10</v>
      </c>
      <c r="T283" s="12" t="s">
        <v>379</v>
      </c>
      <c r="U283" s="12" t="s">
        <v>380</v>
      </c>
      <c r="V283" s="12">
        <f>VLOOKUP(Tabla4[[#This Row],[ZONA DEFINITIVO]],Hoja1!$A$1:$D$121,3,0)</f>
        <v>229074</v>
      </c>
      <c r="W283" s="12">
        <f>VLOOKUP(Tabla4[[#This Row],[ZONA DEFINITIVO]],Hoja1!$A$1:$D$121,2,0)</f>
        <v>15181</v>
      </c>
      <c r="X283" s="12">
        <f>VLOOKUP(Tabla4[[#This Row],[ZONA DEFINITIVO]],Hoja1!$A$1:$D$121,4,0)</f>
        <v>82225</v>
      </c>
      <c r="Y283" s="12">
        <f>+IF(Tabla4[[#This Row],[AGRUPACIONES]]=1,SUMIFS(Tabla4[UDS],Tabla4[ZONA DEFINITIVO],Tabla4[[#This Row],[ZONA DEFINITIVO]])," ")</f>
        <v>27</v>
      </c>
      <c r="Z283" s="12">
        <f>+IF(Tabla4[[#This Row],[AGRUPACIONES]]=1,SUMIFS(Tabla4[TOTAL COBERTURA],Tabla4[ZONA DEFINITIVO],Tabla4[[#This Row],[ZONA DEFINITIVO]])," ")</f>
        <v>668</v>
      </c>
      <c r="AA283" s="12"/>
      <c r="AB283" s="38">
        <v>15193050</v>
      </c>
      <c r="AC283" s="37">
        <v>0.02</v>
      </c>
      <c r="AD283" s="38">
        <f t="shared" si="5"/>
        <v>303861</v>
      </c>
      <c r="AE283" s="12"/>
      <c r="AF283" s="12">
        <f>COUNTIF($A$20:A283,A283)</f>
        <v>1</v>
      </c>
      <c r="AG283" s="38">
        <v>15193050</v>
      </c>
      <c r="AH283" s="38">
        <f>Tabla4[[#This Row],[VALOR CONTRAPARTIDA]]+Tabla4[[#This Row],[TOTAL APORTES ICBF]]</f>
        <v>15496911</v>
      </c>
      <c r="AI283" s="35">
        <f>ROUND(+IF(Tabla4[[#This Row],[AGRUPACIONES]]=1,SUMIFS(Tabla4[TOTAL APORTES ICBF],Tabla4[ZONA DEFINITIVO],Tabla4[[#This Row],[ZONA DEFINITIVO]])," "),0)</f>
        <v>1639008948</v>
      </c>
      <c r="AJ283" s="38">
        <f>ROUND(+IF(Tabla4[[#This Row],[AGRUPACIONES]]=1,SUMIFS(Tabla4[VALOR CONTRAPARTIDA],Tabla4[ZONA DEFINITIVO],Tabla4[[#This Row],[ZONA DEFINITIVO]])," "),0)</f>
        <v>32780179</v>
      </c>
      <c r="AK283" s="38">
        <f>Tabla4[[#This Row],[TOTAL APORTES ICBF AGRUPADO]]+Tabla4[[#This Row],[TOTAL CONTRAPARTIDA AGRUPADO]]</f>
        <v>1671789127</v>
      </c>
      <c r="AL283" s="23">
        <f>Tabla4[[#This Row],[TOTAL APORTES ICBF AGRUPADO]]/$AL$18</f>
        <v>1151.3937112750264</v>
      </c>
      <c r="AM283" s="35">
        <f>VLOOKUP(Tabla4[[#This Row],[SERVICIO 2025]],$J$2:$V$14,5,0)*Tabla4[[#This Row],[TOTAL COBERTURA]]</f>
        <v>467440</v>
      </c>
      <c r="AN283" s="35">
        <f>VLOOKUP(Tabla4[[#This Row],[SERVICIO 2025]],$J$2:$V$14,6,0)*Tabla4[[#This Row],[TOTAL COBERTURA]]</f>
        <v>378410</v>
      </c>
      <c r="AO283" s="35">
        <f>VLOOKUP(Tabla4[[#This Row],[SERVICIO 2025]],$J$2:$V$14,8,0)*Tabla4[[#This Row],[TOTAL COBERTURA]]</f>
        <v>0</v>
      </c>
      <c r="AP283" s="35">
        <f>VLOOKUP(Tabla4[[#This Row],[SERVICIO 2025]],$J$2:$V$14,3,0)*Tabla4[[#This Row],[TOTAL COBERTURA]]*8</f>
        <v>14347200</v>
      </c>
      <c r="AQ283" s="35"/>
      <c r="AR283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283" s="35">
        <f>+IF(Tabla4[[#This Row],[AGRUPACIONES]]=1,SUMIFS(Tabla4[VALOR TOTAL],Tabla4[ZONA DEFINITIVO],Tabla4[[#This Row],[ZONA DEFINITIVO]])," ")</f>
        <v>1639008948</v>
      </c>
      <c r="AT283" s="27">
        <f>(VLOOKUP(Tabla4[[#This Row],[SERVICIO 2025]],$J$2:$V$14,3,0)*Tabla4[[#This Row],[TOTAL COBERTURA]])+Tabla4[[#This Row],[VALOR FASE PREPARATORIA DE ALISTAMIENTO]]+Tabla4[[#This Row],[DOTACIÓN ÚNICA]]</f>
        <v>2260840</v>
      </c>
      <c r="AU283" s="35">
        <f>(VLOOKUP(Tabla4[[#This Row],[SERVICIO 2025]],$J$2:$V$14,3,0)*Tabla4[[#This Row],[TOTAL COBERTURA]])</f>
        <v>1793400</v>
      </c>
      <c r="AV283" s="35">
        <f>(VLOOKUP(Tabla4[[#This Row],[SERVICIO 2025]],$J$2:$V$14,3,0)*Tabla4[[#This Row],[TOTAL COBERTURA]])</f>
        <v>1793400</v>
      </c>
      <c r="AW283" s="35">
        <f>(VLOOKUP(Tabla4[[#This Row],[SERVICIO 2025]],$J$2:$V$14,3,0)*Tabla4[[#This Row],[TOTAL COBERTURA]])</f>
        <v>1793400</v>
      </c>
      <c r="AX283" s="35">
        <f>(VLOOKUP(Tabla4[[#This Row],[SERVICIO 2025]],$J$2:$V$14,3,0)*Tabla4[[#This Row],[TOTAL COBERTURA]])</f>
        <v>1793400</v>
      </c>
      <c r="AY283" s="35">
        <f>(VLOOKUP(Tabla4[[#This Row],[SERVICIO 2025]],$J$2:$V$14,3,0)*Tabla4[[#This Row],[TOTAL COBERTURA]])</f>
        <v>1793400</v>
      </c>
      <c r="AZ283" s="35">
        <f>(VLOOKUP(Tabla4[[#This Row],[SERVICIO 2025]],$J$2:$V$14,3,0)*Tabla4[[#This Row],[TOTAL COBERTURA]])</f>
        <v>1793400</v>
      </c>
      <c r="BA283" s="35">
        <f>(VLOOKUP(Tabla4[[#This Row],[SERVICIO 2025]],$J$2:$V$14,3,0)*Tabla4[[#This Row],[TOTAL COBERTURA]])+Tabla4[[#This Row],[VALOR FASE PREPARATORIA DE CIERRE]]</f>
        <v>2171810</v>
      </c>
      <c r="BB283" s="35">
        <f>SUM(Tabla4[[#This Row],[DESEMBOLSO 1]:[DESEMBOLSO 8]])</f>
        <v>15193050</v>
      </c>
      <c r="BC283" s="35">
        <f>VLOOKUP(Tabla4[[#This Row],[SERVICIO 2025]],$J$2:$V$14,10,0)*Tabla4[[#This Row],[TOTAL COBERTURA]]*$W$3</f>
        <v>15065680</v>
      </c>
      <c r="BD283" s="47" t="s">
        <v>211</v>
      </c>
      <c r="BE283" s="12" t="b">
        <f>EXACT(Tabla4[[#This Row],[VALOR ATENCIÓN (8 MESES)]],Tabla4[[#This Row],[VALOR TOTAL]])</f>
        <v>1</v>
      </c>
      <c r="BF283" s="23">
        <f>Tabla4[[#This Row],[VALOR ATENCIÓN (8 MESES)]]-Tabla4[[#This Row],[VALOR TOTAL]]</f>
        <v>0</v>
      </c>
      <c r="BG283" s="12" t="b">
        <f>EXACT(Tabla4[[#This Row],[TOTAL DESEMBOLSOS]],Tabla4[[#This Row],[VALOR ATENCIÓN (8 MESES)]])</f>
        <v>1</v>
      </c>
      <c r="BH283" s="29">
        <f>Tabla4[[#This Row],[TOTAL DESEMBOLSOS]]-Tabla4[[#This Row],[VALOR ATENCIÓN (8 MESES)]]</f>
        <v>0</v>
      </c>
      <c r="BI283" t="s">
        <v>98</v>
      </c>
      <c r="BJ283">
        <v>1909</v>
      </c>
    </row>
    <row r="284" spans="1:62">
      <c r="A284" s="13">
        <v>1909</v>
      </c>
      <c r="B284" s="13" t="s">
        <v>702</v>
      </c>
      <c r="C284" s="12" t="s">
        <v>87</v>
      </c>
      <c r="D284" s="12" t="s">
        <v>205</v>
      </c>
      <c r="E284" s="12" t="s">
        <v>703</v>
      </c>
      <c r="F284" s="12" t="s">
        <v>21</v>
      </c>
      <c r="G284" s="12" t="s">
        <v>90</v>
      </c>
      <c r="H284" s="12" t="s">
        <v>706</v>
      </c>
      <c r="I284" s="12">
        <v>50341114836</v>
      </c>
      <c r="J284" s="12" t="s">
        <v>707</v>
      </c>
      <c r="K284" s="12">
        <v>1</v>
      </c>
      <c r="L284" s="12">
        <v>28</v>
      </c>
      <c r="M284" s="12"/>
      <c r="N284" s="13">
        <v>1909</v>
      </c>
      <c r="O284" s="12" t="s">
        <v>93</v>
      </c>
      <c r="P284" s="12"/>
      <c r="Q284" s="12"/>
      <c r="R284" s="12" t="s">
        <v>94</v>
      </c>
      <c r="S284" s="12">
        <v>10</v>
      </c>
      <c r="T284" s="12" t="s">
        <v>379</v>
      </c>
      <c r="U284" s="12" t="s">
        <v>380</v>
      </c>
      <c r="V284" s="12">
        <f>VLOOKUP(Tabla4[[#This Row],[ZONA DEFINITIVO]],Hoja1!$A$1:$D$121,3,0)</f>
        <v>229074</v>
      </c>
      <c r="W284" s="12">
        <f>VLOOKUP(Tabla4[[#This Row],[ZONA DEFINITIVO]],Hoja1!$A$1:$D$121,2,0)</f>
        <v>15181</v>
      </c>
      <c r="X284" s="12">
        <f>VLOOKUP(Tabla4[[#This Row],[ZONA DEFINITIVO]],Hoja1!$A$1:$D$121,4,0)</f>
        <v>82225</v>
      </c>
      <c r="Y284" s="12" t="str">
        <f>+IF(Tabla4[[#This Row],[AGRUPACIONES]]=1,SUMIFS(Tabla4[UDS],Tabla4[ZONA DEFINITIVO],Tabla4[[#This Row],[ZONA DEFINITIVO]])," ")</f>
        <v xml:space="preserve"> </v>
      </c>
      <c r="Z284" s="12" t="str">
        <f>+IF(Tabla4[[#This Row],[AGRUPACIONES]]=1,SUMIFS(Tabla4[TOTAL COBERTURA],Tabla4[ZONA DEFINITIVO],Tabla4[[#This Row],[ZONA DEFINITIVO]])," ")</f>
        <v xml:space="preserve"> </v>
      </c>
      <c r="AA284" s="12"/>
      <c r="AB284" s="38">
        <v>42540540</v>
      </c>
      <c r="AC284" s="37">
        <v>0.02</v>
      </c>
      <c r="AD284" s="38">
        <f t="shared" si="5"/>
        <v>850810.8</v>
      </c>
      <c r="AE284" s="12"/>
      <c r="AF284" s="12">
        <f>COUNTIF($A$20:A284,A284)</f>
        <v>2</v>
      </c>
      <c r="AG284" s="38">
        <v>42540540</v>
      </c>
      <c r="AH284" s="38">
        <f>Tabla4[[#This Row],[VALOR CONTRAPARTIDA]]+Tabla4[[#This Row],[TOTAL APORTES ICBF]]</f>
        <v>43391350.799999997</v>
      </c>
      <c r="AI284" s="35"/>
      <c r="AJ284" s="38"/>
      <c r="AK284" s="38"/>
      <c r="AL284" s="23"/>
      <c r="AM284" s="35">
        <f>VLOOKUP(Tabla4[[#This Row],[SERVICIO 2025]],$J$2:$V$14,5,0)*Tabla4[[#This Row],[TOTAL COBERTURA]]</f>
        <v>1308832</v>
      </c>
      <c r="AN284" s="35">
        <f>VLOOKUP(Tabla4[[#This Row],[SERVICIO 2025]],$J$2:$V$14,6,0)*Tabla4[[#This Row],[TOTAL COBERTURA]]</f>
        <v>1059548</v>
      </c>
      <c r="AO284" s="35">
        <f>VLOOKUP(Tabla4[[#This Row],[SERVICIO 2025]],$J$2:$V$14,8,0)*Tabla4[[#This Row],[TOTAL COBERTURA]]</f>
        <v>0</v>
      </c>
      <c r="AP284" s="35">
        <f>VLOOKUP(Tabla4[[#This Row],[SERVICIO 2025]],$J$2:$V$14,3,0)*Tabla4[[#This Row],[TOTAL COBERTURA]]*8</f>
        <v>40172160</v>
      </c>
      <c r="AQ284" s="35"/>
      <c r="AR284" s="35">
        <f>Tabla4[[#This Row],[VALOR FASE PREPARATORIA DE ALISTAMIENTO]]+Tabla4[[#This Row],[VALOR FASE PREPARATORIA DE CIERRE]]+Tabla4[[#This Row],[DOTACIÓN ÚNICA]]+Tabla4[[#This Row],[VALOR ATENCIÓN]]+Tabla4[[#This Row],[VALOR RACION PREPARADA]]</f>
        <v>42540540</v>
      </c>
      <c r="AS284" s="35" t="str">
        <f>+IF(Tabla4[[#This Row],[AGRUPACIONES]]=1,SUMIFS(Tabla4[VALOR TOTAL],Tabla4[ZONA DEFINITIVO],Tabla4[[#This Row],[ZONA DEFINITIVO]])," ")</f>
        <v xml:space="preserve"> </v>
      </c>
      <c r="AT284" s="27">
        <f>(VLOOKUP(Tabla4[[#This Row],[SERVICIO 2025]],$J$2:$V$14,3,0)*Tabla4[[#This Row],[TOTAL COBERTURA]])+Tabla4[[#This Row],[VALOR FASE PREPARATORIA DE ALISTAMIENTO]]+Tabla4[[#This Row],[DOTACIÓN ÚNICA]]</f>
        <v>6330352</v>
      </c>
      <c r="AU284" s="35">
        <f>(VLOOKUP(Tabla4[[#This Row],[SERVICIO 2025]],$J$2:$V$14,3,0)*Tabla4[[#This Row],[TOTAL COBERTURA]])</f>
        <v>5021520</v>
      </c>
      <c r="AV284" s="35">
        <f>(VLOOKUP(Tabla4[[#This Row],[SERVICIO 2025]],$J$2:$V$14,3,0)*Tabla4[[#This Row],[TOTAL COBERTURA]])</f>
        <v>5021520</v>
      </c>
      <c r="AW284" s="35">
        <f>(VLOOKUP(Tabla4[[#This Row],[SERVICIO 2025]],$J$2:$V$14,3,0)*Tabla4[[#This Row],[TOTAL COBERTURA]])</f>
        <v>5021520</v>
      </c>
      <c r="AX284" s="35">
        <f>(VLOOKUP(Tabla4[[#This Row],[SERVICIO 2025]],$J$2:$V$14,3,0)*Tabla4[[#This Row],[TOTAL COBERTURA]])</f>
        <v>5021520</v>
      </c>
      <c r="AY284" s="35">
        <f>(VLOOKUP(Tabla4[[#This Row],[SERVICIO 2025]],$J$2:$V$14,3,0)*Tabla4[[#This Row],[TOTAL COBERTURA]])</f>
        <v>5021520</v>
      </c>
      <c r="AZ284" s="35">
        <f>(VLOOKUP(Tabla4[[#This Row],[SERVICIO 2025]],$J$2:$V$14,3,0)*Tabla4[[#This Row],[TOTAL COBERTURA]])</f>
        <v>5021520</v>
      </c>
      <c r="BA284" s="35">
        <f>(VLOOKUP(Tabla4[[#This Row],[SERVICIO 2025]],$J$2:$V$14,3,0)*Tabla4[[#This Row],[TOTAL COBERTURA]])+Tabla4[[#This Row],[VALOR FASE PREPARATORIA DE CIERRE]]</f>
        <v>6081068</v>
      </c>
      <c r="BB284" s="35">
        <f>SUM(Tabla4[[#This Row],[DESEMBOLSO 1]:[DESEMBOLSO 8]])</f>
        <v>42540540</v>
      </c>
      <c r="BC284" s="35">
        <f>VLOOKUP(Tabla4[[#This Row],[SERVICIO 2025]],$J$2:$V$14,10,0)*Tabla4[[#This Row],[TOTAL COBERTURA]]*$W$3</f>
        <v>42183904</v>
      </c>
      <c r="BD284" s="47" t="s">
        <v>211</v>
      </c>
      <c r="BE284" s="12" t="b">
        <f>EXACT(Tabla4[[#This Row],[VALOR ATENCIÓN (8 MESES)]],Tabla4[[#This Row],[VALOR TOTAL]])</f>
        <v>1</v>
      </c>
      <c r="BF284" s="23">
        <f>Tabla4[[#This Row],[VALOR ATENCIÓN (8 MESES)]]-Tabla4[[#This Row],[VALOR TOTAL]]</f>
        <v>0</v>
      </c>
      <c r="BG284" s="12" t="b">
        <f>EXACT(Tabla4[[#This Row],[TOTAL DESEMBOLSOS]],Tabla4[[#This Row],[VALOR ATENCIÓN (8 MESES)]])</f>
        <v>1</v>
      </c>
      <c r="BH284" s="29">
        <f>Tabla4[[#This Row],[TOTAL DESEMBOLSOS]]-Tabla4[[#This Row],[VALOR ATENCIÓN (8 MESES)]]</f>
        <v>0</v>
      </c>
      <c r="BI284" t="s">
        <v>98</v>
      </c>
      <c r="BJ284">
        <v>1909</v>
      </c>
    </row>
    <row r="285" spans="1:62">
      <c r="A285" s="13">
        <v>1909</v>
      </c>
      <c r="B285" s="13" t="s">
        <v>702</v>
      </c>
      <c r="C285" s="12" t="s">
        <v>87</v>
      </c>
      <c r="D285" s="12" t="s">
        <v>205</v>
      </c>
      <c r="E285" s="12" t="s">
        <v>703</v>
      </c>
      <c r="F285" s="12" t="s">
        <v>21</v>
      </c>
      <c r="G285" s="12" t="s">
        <v>90</v>
      </c>
      <c r="H285" s="12" t="s">
        <v>290</v>
      </c>
      <c r="I285" s="12">
        <v>50341114840</v>
      </c>
      <c r="J285" s="12" t="s">
        <v>708</v>
      </c>
      <c r="K285" s="12">
        <v>1</v>
      </c>
      <c r="L285" s="12">
        <v>18</v>
      </c>
      <c r="M285" s="12"/>
      <c r="N285" s="13">
        <v>1909</v>
      </c>
      <c r="O285" s="12" t="s">
        <v>93</v>
      </c>
      <c r="P285" s="12"/>
      <c r="Q285" s="12"/>
      <c r="R285" s="12" t="s">
        <v>94</v>
      </c>
      <c r="S285" s="12">
        <v>10</v>
      </c>
      <c r="T285" s="12" t="s">
        <v>379</v>
      </c>
      <c r="U285" s="12" t="s">
        <v>380</v>
      </c>
      <c r="V285" s="12">
        <f>VLOOKUP(Tabla4[[#This Row],[ZONA DEFINITIVO]],Hoja1!$A$1:$D$121,3,0)</f>
        <v>229074</v>
      </c>
      <c r="W285" s="12">
        <f>VLOOKUP(Tabla4[[#This Row],[ZONA DEFINITIVO]],Hoja1!$A$1:$D$121,2,0)</f>
        <v>15181</v>
      </c>
      <c r="X285" s="12">
        <f>VLOOKUP(Tabla4[[#This Row],[ZONA DEFINITIVO]],Hoja1!$A$1:$D$121,4,0)</f>
        <v>82225</v>
      </c>
      <c r="Y285" s="12" t="str">
        <f>+IF(Tabla4[[#This Row],[AGRUPACIONES]]=1,SUMIFS(Tabla4[UDS],Tabla4[ZONA DEFINITIVO],Tabla4[[#This Row],[ZONA DEFINITIVO]])," ")</f>
        <v xml:space="preserve"> </v>
      </c>
      <c r="Z285" s="12" t="str">
        <f>+IF(Tabla4[[#This Row],[AGRUPACIONES]]=1,SUMIFS(Tabla4[TOTAL COBERTURA],Tabla4[ZONA DEFINITIVO],Tabla4[[#This Row],[ZONA DEFINITIVO]])," ")</f>
        <v xml:space="preserve"> </v>
      </c>
      <c r="AA285" s="12"/>
      <c r="AB285" s="38">
        <v>27347490</v>
      </c>
      <c r="AC285" s="37">
        <v>0.02</v>
      </c>
      <c r="AD285" s="38">
        <f t="shared" si="5"/>
        <v>546949.80000000005</v>
      </c>
      <c r="AE285" s="12"/>
      <c r="AF285" s="12">
        <f>COUNTIF($A$20:A285,A285)</f>
        <v>3</v>
      </c>
      <c r="AG285" s="38">
        <v>27347490</v>
      </c>
      <c r="AH285" s="38">
        <f>Tabla4[[#This Row],[VALOR CONTRAPARTIDA]]+Tabla4[[#This Row],[TOTAL APORTES ICBF]]</f>
        <v>27894439.800000001</v>
      </c>
      <c r="AI285" s="35"/>
      <c r="AJ285" s="38"/>
      <c r="AK285" s="38"/>
      <c r="AL285" s="23"/>
      <c r="AM285" s="35">
        <f>VLOOKUP(Tabla4[[#This Row],[SERVICIO 2025]],$J$2:$V$14,5,0)*Tabla4[[#This Row],[TOTAL COBERTURA]]</f>
        <v>841392</v>
      </c>
      <c r="AN285" s="35">
        <f>VLOOKUP(Tabla4[[#This Row],[SERVICIO 2025]],$J$2:$V$14,6,0)*Tabla4[[#This Row],[TOTAL COBERTURA]]</f>
        <v>681138</v>
      </c>
      <c r="AO285" s="35">
        <f>VLOOKUP(Tabla4[[#This Row],[SERVICIO 2025]],$J$2:$V$14,8,0)*Tabla4[[#This Row],[TOTAL COBERTURA]]</f>
        <v>0</v>
      </c>
      <c r="AP285" s="35">
        <f>VLOOKUP(Tabla4[[#This Row],[SERVICIO 2025]],$J$2:$V$14,3,0)*Tabla4[[#This Row],[TOTAL COBERTURA]]*8</f>
        <v>25824960</v>
      </c>
      <c r="AQ285" s="35"/>
      <c r="AR285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285" s="35" t="str">
        <f>+IF(Tabla4[[#This Row],[AGRUPACIONES]]=1,SUMIFS(Tabla4[VALOR TOTAL],Tabla4[ZONA DEFINITIVO],Tabla4[[#This Row],[ZONA DEFINITIVO]])," ")</f>
        <v xml:space="preserve"> </v>
      </c>
      <c r="AT285" s="27">
        <f>(VLOOKUP(Tabla4[[#This Row],[SERVICIO 2025]],$J$2:$V$14,3,0)*Tabla4[[#This Row],[TOTAL COBERTURA]])+Tabla4[[#This Row],[VALOR FASE PREPARATORIA DE ALISTAMIENTO]]+Tabla4[[#This Row],[DOTACIÓN ÚNICA]]</f>
        <v>4069512</v>
      </c>
      <c r="AU285" s="35">
        <f>(VLOOKUP(Tabla4[[#This Row],[SERVICIO 2025]],$J$2:$V$14,3,0)*Tabla4[[#This Row],[TOTAL COBERTURA]])</f>
        <v>3228120</v>
      </c>
      <c r="AV285" s="35">
        <f>(VLOOKUP(Tabla4[[#This Row],[SERVICIO 2025]],$J$2:$V$14,3,0)*Tabla4[[#This Row],[TOTAL COBERTURA]])</f>
        <v>3228120</v>
      </c>
      <c r="AW285" s="35">
        <f>(VLOOKUP(Tabla4[[#This Row],[SERVICIO 2025]],$J$2:$V$14,3,0)*Tabla4[[#This Row],[TOTAL COBERTURA]])</f>
        <v>3228120</v>
      </c>
      <c r="AX285" s="35">
        <f>(VLOOKUP(Tabla4[[#This Row],[SERVICIO 2025]],$J$2:$V$14,3,0)*Tabla4[[#This Row],[TOTAL COBERTURA]])</f>
        <v>3228120</v>
      </c>
      <c r="AY285" s="35">
        <f>(VLOOKUP(Tabla4[[#This Row],[SERVICIO 2025]],$J$2:$V$14,3,0)*Tabla4[[#This Row],[TOTAL COBERTURA]])</f>
        <v>3228120</v>
      </c>
      <c r="AZ285" s="35">
        <f>(VLOOKUP(Tabla4[[#This Row],[SERVICIO 2025]],$J$2:$V$14,3,0)*Tabla4[[#This Row],[TOTAL COBERTURA]])</f>
        <v>3228120</v>
      </c>
      <c r="BA285" s="35">
        <f>(VLOOKUP(Tabla4[[#This Row],[SERVICIO 2025]],$J$2:$V$14,3,0)*Tabla4[[#This Row],[TOTAL COBERTURA]])+Tabla4[[#This Row],[VALOR FASE PREPARATORIA DE CIERRE]]</f>
        <v>3909258</v>
      </c>
      <c r="BB285" s="35">
        <f>SUM(Tabla4[[#This Row],[DESEMBOLSO 1]:[DESEMBOLSO 8]])</f>
        <v>27347490</v>
      </c>
      <c r="BC285" s="35">
        <f>VLOOKUP(Tabla4[[#This Row],[SERVICIO 2025]],$J$2:$V$14,10,0)*Tabla4[[#This Row],[TOTAL COBERTURA]]*$W$3</f>
        <v>27118224</v>
      </c>
      <c r="BD285" s="47" t="s">
        <v>211</v>
      </c>
      <c r="BE285" s="12" t="b">
        <f>EXACT(Tabla4[[#This Row],[VALOR ATENCIÓN (8 MESES)]],Tabla4[[#This Row],[VALOR TOTAL]])</f>
        <v>1</v>
      </c>
      <c r="BF285" s="23">
        <f>Tabla4[[#This Row],[VALOR ATENCIÓN (8 MESES)]]-Tabla4[[#This Row],[VALOR TOTAL]]</f>
        <v>0</v>
      </c>
      <c r="BG285" s="12" t="b">
        <f>EXACT(Tabla4[[#This Row],[TOTAL DESEMBOLSOS]],Tabla4[[#This Row],[VALOR ATENCIÓN (8 MESES)]])</f>
        <v>1</v>
      </c>
      <c r="BH285" s="29">
        <f>Tabla4[[#This Row],[TOTAL DESEMBOLSOS]]-Tabla4[[#This Row],[VALOR ATENCIÓN (8 MESES)]]</f>
        <v>0</v>
      </c>
      <c r="BI285" t="s">
        <v>98</v>
      </c>
      <c r="BJ285">
        <v>1909</v>
      </c>
    </row>
    <row r="286" spans="1:62">
      <c r="A286" s="13">
        <v>1909</v>
      </c>
      <c r="B286" s="13" t="s">
        <v>702</v>
      </c>
      <c r="C286" s="12" t="s">
        <v>87</v>
      </c>
      <c r="D286" s="12" t="s">
        <v>205</v>
      </c>
      <c r="E286" s="12" t="s">
        <v>703</v>
      </c>
      <c r="F286" s="12" t="s">
        <v>21</v>
      </c>
      <c r="G286" s="12" t="s">
        <v>90</v>
      </c>
      <c r="H286" s="12" t="s">
        <v>709</v>
      </c>
      <c r="I286" s="12">
        <v>50341114845</v>
      </c>
      <c r="J286" s="12" t="s">
        <v>710</v>
      </c>
      <c r="K286" s="12">
        <v>1</v>
      </c>
      <c r="L286" s="12">
        <v>19</v>
      </c>
      <c r="M286" s="12"/>
      <c r="N286" s="13">
        <v>1909</v>
      </c>
      <c r="O286" s="12" t="s">
        <v>93</v>
      </c>
      <c r="P286" s="12"/>
      <c r="Q286" s="12"/>
      <c r="R286" s="12" t="s">
        <v>94</v>
      </c>
      <c r="S286" s="12">
        <v>10</v>
      </c>
      <c r="T286" s="12" t="s">
        <v>379</v>
      </c>
      <c r="U286" s="12" t="s">
        <v>380</v>
      </c>
      <c r="V286" s="12">
        <f>VLOOKUP(Tabla4[[#This Row],[ZONA DEFINITIVO]],Hoja1!$A$1:$D$121,3,0)</f>
        <v>229074</v>
      </c>
      <c r="W286" s="12">
        <f>VLOOKUP(Tabla4[[#This Row],[ZONA DEFINITIVO]],Hoja1!$A$1:$D$121,2,0)</f>
        <v>15181</v>
      </c>
      <c r="X286" s="12">
        <f>VLOOKUP(Tabla4[[#This Row],[ZONA DEFINITIVO]],Hoja1!$A$1:$D$121,4,0)</f>
        <v>82225</v>
      </c>
      <c r="Y286" s="12" t="str">
        <f>+IF(Tabla4[[#This Row],[AGRUPACIONES]]=1,SUMIFS(Tabla4[UDS],Tabla4[ZONA DEFINITIVO],Tabla4[[#This Row],[ZONA DEFINITIVO]])," ")</f>
        <v xml:space="preserve"> </v>
      </c>
      <c r="Z286" s="12" t="str">
        <f>+IF(Tabla4[[#This Row],[AGRUPACIONES]]=1,SUMIFS(Tabla4[TOTAL COBERTURA],Tabla4[ZONA DEFINITIVO],Tabla4[[#This Row],[ZONA DEFINITIVO]])," ")</f>
        <v xml:space="preserve"> </v>
      </c>
      <c r="AA286" s="12"/>
      <c r="AB286" s="38">
        <v>28866795</v>
      </c>
      <c r="AC286" s="37">
        <v>0.02</v>
      </c>
      <c r="AD286" s="38">
        <f t="shared" si="5"/>
        <v>577335.9</v>
      </c>
      <c r="AE286" s="12"/>
      <c r="AF286" s="12">
        <f>COUNTIF($A$20:A286,A286)</f>
        <v>4</v>
      </c>
      <c r="AG286" s="38">
        <v>28866795</v>
      </c>
      <c r="AH286" s="38">
        <f>Tabla4[[#This Row],[VALOR CONTRAPARTIDA]]+Tabla4[[#This Row],[TOTAL APORTES ICBF]]</f>
        <v>29444130.899999999</v>
      </c>
      <c r="AI286" s="35"/>
      <c r="AJ286" s="38"/>
      <c r="AK286" s="38"/>
      <c r="AL286" s="23"/>
      <c r="AM286" s="35">
        <f>VLOOKUP(Tabla4[[#This Row],[SERVICIO 2025]],$J$2:$V$14,5,0)*Tabla4[[#This Row],[TOTAL COBERTURA]]</f>
        <v>888136</v>
      </c>
      <c r="AN286" s="35">
        <f>VLOOKUP(Tabla4[[#This Row],[SERVICIO 2025]],$J$2:$V$14,6,0)*Tabla4[[#This Row],[TOTAL COBERTURA]]</f>
        <v>718979</v>
      </c>
      <c r="AO286" s="35">
        <f>VLOOKUP(Tabla4[[#This Row],[SERVICIO 2025]],$J$2:$V$14,8,0)*Tabla4[[#This Row],[TOTAL COBERTURA]]</f>
        <v>0</v>
      </c>
      <c r="AP286" s="35">
        <f>VLOOKUP(Tabla4[[#This Row],[SERVICIO 2025]],$J$2:$V$14,3,0)*Tabla4[[#This Row],[TOTAL COBERTURA]]*8</f>
        <v>27259680</v>
      </c>
      <c r="AQ286" s="35"/>
      <c r="AR286" s="35">
        <f>Tabla4[[#This Row],[VALOR FASE PREPARATORIA DE ALISTAMIENTO]]+Tabla4[[#This Row],[VALOR FASE PREPARATORIA DE CIERRE]]+Tabla4[[#This Row],[DOTACIÓN ÚNICA]]+Tabla4[[#This Row],[VALOR ATENCIÓN]]+Tabla4[[#This Row],[VALOR RACION PREPARADA]]</f>
        <v>28866795</v>
      </c>
      <c r="AS286" s="35" t="str">
        <f>+IF(Tabla4[[#This Row],[AGRUPACIONES]]=1,SUMIFS(Tabla4[VALOR TOTAL],Tabla4[ZONA DEFINITIVO],Tabla4[[#This Row],[ZONA DEFINITIVO]])," ")</f>
        <v xml:space="preserve"> </v>
      </c>
      <c r="AT286" s="27">
        <f>(VLOOKUP(Tabla4[[#This Row],[SERVICIO 2025]],$J$2:$V$14,3,0)*Tabla4[[#This Row],[TOTAL COBERTURA]])+Tabla4[[#This Row],[VALOR FASE PREPARATORIA DE ALISTAMIENTO]]+Tabla4[[#This Row],[DOTACIÓN ÚNICA]]</f>
        <v>4295596</v>
      </c>
      <c r="AU286" s="35">
        <f>(VLOOKUP(Tabla4[[#This Row],[SERVICIO 2025]],$J$2:$V$14,3,0)*Tabla4[[#This Row],[TOTAL COBERTURA]])</f>
        <v>3407460</v>
      </c>
      <c r="AV286" s="35">
        <f>(VLOOKUP(Tabla4[[#This Row],[SERVICIO 2025]],$J$2:$V$14,3,0)*Tabla4[[#This Row],[TOTAL COBERTURA]])</f>
        <v>3407460</v>
      </c>
      <c r="AW286" s="35">
        <f>(VLOOKUP(Tabla4[[#This Row],[SERVICIO 2025]],$J$2:$V$14,3,0)*Tabla4[[#This Row],[TOTAL COBERTURA]])</f>
        <v>3407460</v>
      </c>
      <c r="AX286" s="35">
        <f>(VLOOKUP(Tabla4[[#This Row],[SERVICIO 2025]],$J$2:$V$14,3,0)*Tabla4[[#This Row],[TOTAL COBERTURA]])</f>
        <v>3407460</v>
      </c>
      <c r="AY286" s="35">
        <f>(VLOOKUP(Tabla4[[#This Row],[SERVICIO 2025]],$J$2:$V$14,3,0)*Tabla4[[#This Row],[TOTAL COBERTURA]])</f>
        <v>3407460</v>
      </c>
      <c r="AZ286" s="35">
        <f>(VLOOKUP(Tabla4[[#This Row],[SERVICIO 2025]],$J$2:$V$14,3,0)*Tabla4[[#This Row],[TOTAL COBERTURA]])</f>
        <v>3407460</v>
      </c>
      <c r="BA286" s="35">
        <f>(VLOOKUP(Tabla4[[#This Row],[SERVICIO 2025]],$J$2:$V$14,3,0)*Tabla4[[#This Row],[TOTAL COBERTURA]])+Tabla4[[#This Row],[VALOR FASE PREPARATORIA DE CIERRE]]</f>
        <v>4126439</v>
      </c>
      <c r="BB286" s="35">
        <f>SUM(Tabla4[[#This Row],[DESEMBOLSO 1]:[DESEMBOLSO 8]])</f>
        <v>28866795</v>
      </c>
      <c r="BC286" s="35">
        <f>VLOOKUP(Tabla4[[#This Row],[SERVICIO 2025]],$J$2:$V$14,10,0)*Tabla4[[#This Row],[TOTAL COBERTURA]]*$W$3</f>
        <v>28624792</v>
      </c>
      <c r="BD286" s="47" t="s">
        <v>211</v>
      </c>
      <c r="BE286" s="12" t="b">
        <f>EXACT(Tabla4[[#This Row],[VALOR ATENCIÓN (8 MESES)]],Tabla4[[#This Row],[VALOR TOTAL]])</f>
        <v>1</v>
      </c>
      <c r="BF286" s="23">
        <f>Tabla4[[#This Row],[VALOR ATENCIÓN (8 MESES)]]-Tabla4[[#This Row],[VALOR TOTAL]]</f>
        <v>0</v>
      </c>
      <c r="BG286" s="12" t="b">
        <f>EXACT(Tabla4[[#This Row],[TOTAL DESEMBOLSOS]],Tabla4[[#This Row],[VALOR ATENCIÓN (8 MESES)]])</f>
        <v>1</v>
      </c>
      <c r="BH286" s="29">
        <f>Tabla4[[#This Row],[TOTAL DESEMBOLSOS]]-Tabla4[[#This Row],[VALOR ATENCIÓN (8 MESES)]]</f>
        <v>0</v>
      </c>
      <c r="BI286" t="s">
        <v>98</v>
      </c>
      <c r="BJ286">
        <v>1909</v>
      </c>
    </row>
    <row r="287" spans="1:62">
      <c r="A287" s="13">
        <v>1909</v>
      </c>
      <c r="B287" s="13" t="s">
        <v>702</v>
      </c>
      <c r="C287" s="12" t="s">
        <v>87</v>
      </c>
      <c r="D287" s="12" t="s">
        <v>205</v>
      </c>
      <c r="E287" s="12" t="s">
        <v>703</v>
      </c>
      <c r="F287" s="12" t="s">
        <v>21</v>
      </c>
      <c r="G287" s="12" t="s">
        <v>90</v>
      </c>
      <c r="H287" s="12" t="s">
        <v>711</v>
      </c>
      <c r="I287" s="12">
        <v>50341114847</v>
      </c>
      <c r="J287" s="12" t="s">
        <v>712</v>
      </c>
      <c r="K287" s="12">
        <v>1</v>
      </c>
      <c r="L287" s="12">
        <v>20</v>
      </c>
      <c r="M287" s="12"/>
      <c r="N287" s="13">
        <v>1909</v>
      </c>
      <c r="O287" s="12" t="s">
        <v>93</v>
      </c>
      <c r="P287" s="12"/>
      <c r="Q287" s="12"/>
      <c r="R287" s="12" t="s">
        <v>94</v>
      </c>
      <c r="S287" s="12">
        <v>10</v>
      </c>
      <c r="T287" s="12" t="s">
        <v>379</v>
      </c>
      <c r="U287" s="12" t="s">
        <v>380</v>
      </c>
      <c r="V287" s="12">
        <f>VLOOKUP(Tabla4[[#This Row],[ZONA DEFINITIVO]],Hoja1!$A$1:$D$121,3,0)</f>
        <v>229074</v>
      </c>
      <c r="W287" s="12">
        <f>VLOOKUP(Tabla4[[#This Row],[ZONA DEFINITIVO]],Hoja1!$A$1:$D$121,2,0)</f>
        <v>15181</v>
      </c>
      <c r="X287" s="12">
        <f>VLOOKUP(Tabla4[[#This Row],[ZONA DEFINITIVO]],Hoja1!$A$1:$D$121,4,0)</f>
        <v>82225</v>
      </c>
      <c r="Y287" s="12" t="str">
        <f>+IF(Tabla4[[#This Row],[AGRUPACIONES]]=1,SUMIFS(Tabla4[UDS],Tabla4[ZONA DEFINITIVO],Tabla4[[#This Row],[ZONA DEFINITIVO]])," ")</f>
        <v xml:space="preserve"> </v>
      </c>
      <c r="Z287" s="12" t="str">
        <f>+IF(Tabla4[[#This Row],[AGRUPACIONES]]=1,SUMIFS(Tabla4[TOTAL COBERTURA],Tabla4[ZONA DEFINITIVO],Tabla4[[#This Row],[ZONA DEFINITIVO]])," ")</f>
        <v xml:space="preserve"> </v>
      </c>
      <c r="AA287" s="12"/>
      <c r="AB287" s="38">
        <v>30386100</v>
      </c>
      <c r="AC287" s="37">
        <v>0.02</v>
      </c>
      <c r="AD287" s="38">
        <f t="shared" si="5"/>
        <v>607722</v>
      </c>
      <c r="AE287" s="12"/>
      <c r="AF287" s="12">
        <f>COUNTIF($A$20:A287,A287)</f>
        <v>5</v>
      </c>
      <c r="AG287" s="38">
        <v>30386100</v>
      </c>
      <c r="AH287" s="38">
        <f>Tabla4[[#This Row],[VALOR CONTRAPARTIDA]]+Tabla4[[#This Row],[TOTAL APORTES ICBF]]</f>
        <v>30993822</v>
      </c>
      <c r="AI287" s="35"/>
      <c r="AJ287" s="38"/>
      <c r="AK287" s="38"/>
      <c r="AL287" s="23"/>
      <c r="AM287" s="35">
        <f>VLOOKUP(Tabla4[[#This Row],[SERVICIO 2025]],$J$2:$V$14,5,0)*Tabla4[[#This Row],[TOTAL COBERTURA]]</f>
        <v>934880</v>
      </c>
      <c r="AN287" s="35">
        <f>VLOOKUP(Tabla4[[#This Row],[SERVICIO 2025]],$J$2:$V$14,6,0)*Tabla4[[#This Row],[TOTAL COBERTURA]]</f>
        <v>756820</v>
      </c>
      <c r="AO287" s="35">
        <f>VLOOKUP(Tabla4[[#This Row],[SERVICIO 2025]],$J$2:$V$14,8,0)*Tabla4[[#This Row],[TOTAL COBERTURA]]</f>
        <v>0</v>
      </c>
      <c r="AP287" s="35">
        <f>VLOOKUP(Tabla4[[#This Row],[SERVICIO 2025]],$J$2:$V$14,3,0)*Tabla4[[#This Row],[TOTAL COBERTURA]]*8</f>
        <v>28694400</v>
      </c>
      <c r="AQ287" s="35"/>
      <c r="AR287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287" s="35" t="str">
        <f>+IF(Tabla4[[#This Row],[AGRUPACIONES]]=1,SUMIFS(Tabla4[VALOR TOTAL],Tabla4[ZONA DEFINITIVO],Tabla4[[#This Row],[ZONA DEFINITIVO]])," ")</f>
        <v xml:space="preserve"> </v>
      </c>
      <c r="AT287" s="27">
        <f>(VLOOKUP(Tabla4[[#This Row],[SERVICIO 2025]],$J$2:$V$14,3,0)*Tabla4[[#This Row],[TOTAL COBERTURA]])+Tabla4[[#This Row],[VALOR FASE PREPARATORIA DE ALISTAMIENTO]]+Tabla4[[#This Row],[DOTACIÓN ÚNICA]]</f>
        <v>4521680</v>
      </c>
      <c r="AU287" s="35">
        <f>(VLOOKUP(Tabla4[[#This Row],[SERVICIO 2025]],$J$2:$V$14,3,0)*Tabla4[[#This Row],[TOTAL COBERTURA]])</f>
        <v>3586800</v>
      </c>
      <c r="AV287" s="35">
        <f>(VLOOKUP(Tabla4[[#This Row],[SERVICIO 2025]],$J$2:$V$14,3,0)*Tabla4[[#This Row],[TOTAL COBERTURA]])</f>
        <v>3586800</v>
      </c>
      <c r="AW287" s="35">
        <f>(VLOOKUP(Tabla4[[#This Row],[SERVICIO 2025]],$J$2:$V$14,3,0)*Tabla4[[#This Row],[TOTAL COBERTURA]])</f>
        <v>3586800</v>
      </c>
      <c r="AX287" s="35">
        <f>(VLOOKUP(Tabla4[[#This Row],[SERVICIO 2025]],$J$2:$V$14,3,0)*Tabla4[[#This Row],[TOTAL COBERTURA]])</f>
        <v>3586800</v>
      </c>
      <c r="AY287" s="35">
        <f>(VLOOKUP(Tabla4[[#This Row],[SERVICIO 2025]],$J$2:$V$14,3,0)*Tabla4[[#This Row],[TOTAL COBERTURA]])</f>
        <v>3586800</v>
      </c>
      <c r="AZ287" s="35">
        <f>(VLOOKUP(Tabla4[[#This Row],[SERVICIO 2025]],$J$2:$V$14,3,0)*Tabla4[[#This Row],[TOTAL COBERTURA]])</f>
        <v>3586800</v>
      </c>
      <c r="BA287" s="35">
        <f>(VLOOKUP(Tabla4[[#This Row],[SERVICIO 2025]],$J$2:$V$14,3,0)*Tabla4[[#This Row],[TOTAL COBERTURA]])+Tabla4[[#This Row],[VALOR FASE PREPARATORIA DE CIERRE]]</f>
        <v>4343620</v>
      </c>
      <c r="BB287" s="35">
        <f>SUM(Tabla4[[#This Row],[DESEMBOLSO 1]:[DESEMBOLSO 8]])</f>
        <v>30386100</v>
      </c>
      <c r="BC287" s="35">
        <f>VLOOKUP(Tabla4[[#This Row],[SERVICIO 2025]],$J$2:$V$14,10,0)*Tabla4[[#This Row],[TOTAL COBERTURA]]*$W$3</f>
        <v>30131360</v>
      </c>
      <c r="BD287" s="47" t="s">
        <v>211</v>
      </c>
      <c r="BE287" s="12" t="b">
        <f>EXACT(Tabla4[[#This Row],[VALOR ATENCIÓN (8 MESES)]],Tabla4[[#This Row],[VALOR TOTAL]])</f>
        <v>1</v>
      </c>
      <c r="BF287" s="23">
        <f>Tabla4[[#This Row],[VALOR ATENCIÓN (8 MESES)]]-Tabla4[[#This Row],[VALOR TOTAL]]</f>
        <v>0</v>
      </c>
      <c r="BG287" s="12" t="b">
        <f>EXACT(Tabla4[[#This Row],[TOTAL DESEMBOLSOS]],Tabla4[[#This Row],[VALOR ATENCIÓN (8 MESES)]])</f>
        <v>1</v>
      </c>
      <c r="BH287" s="29">
        <f>Tabla4[[#This Row],[TOTAL DESEMBOLSOS]]-Tabla4[[#This Row],[VALOR ATENCIÓN (8 MESES)]]</f>
        <v>0</v>
      </c>
      <c r="BI287" t="s">
        <v>98</v>
      </c>
      <c r="BJ287">
        <v>1909</v>
      </c>
    </row>
    <row r="288" spans="1:62">
      <c r="A288" s="13">
        <v>1909</v>
      </c>
      <c r="B288" s="13" t="s">
        <v>702</v>
      </c>
      <c r="C288" s="12" t="s">
        <v>87</v>
      </c>
      <c r="D288" s="12" t="s">
        <v>205</v>
      </c>
      <c r="E288" s="12" t="s">
        <v>703</v>
      </c>
      <c r="F288" s="12" t="s">
        <v>21</v>
      </c>
      <c r="G288" s="12" t="s">
        <v>90</v>
      </c>
      <c r="H288" s="12" t="s">
        <v>565</v>
      </c>
      <c r="I288" s="12">
        <v>50341114849</v>
      </c>
      <c r="J288" s="12" t="s">
        <v>713</v>
      </c>
      <c r="K288" s="12">
        <v>1</v>
      </c>
      <c r="L288" s="12">
        <v>26</v>
      </c>
      <c r="M288" s="12"/>
      <c r="N288" s="13">
        <v>1909</v>
      </c>
      <c r="O288" s="12" t="s">
        <v>93</v>
      </c>
      <c r="P288" s="12"/>
      <c r="Q288" s="12"/>
      <c r="R288" s="12" t="s">
        <v>94</v>
      </c>
      <c r="S288" s="12">
        <v>10</v>
      </c>
      <c r="T288" s="12" t="s">
        <v>379</v>
      </c>
      <c r="U288" s="12" t="s">
        <v>380</v>
      </c>
      <c r="V288" s="12">
        <f>VLOOKUP(Tabla4[[#This Row],[ZONA DEFINITIVO]],Hoja1!$A$1:$D$121,3,0)</f>
        <v>229074</v>
      </c>
      <c r="W288" s="12">
        <f>VLOOKUP(Tabla4[[#This Row],[ZONA DEFINITIVO]],Hoja1!$A$1:$D$121,2,0)</f>
        <v>15181</v>
      </c>
      <c r="X288" s="12">
        <f>VLOOKUP(Tabla4[[#This Row],[ZONA DEFINITIVO]],Hoja1!$A$1:$D$121,4,0)</f>
        <v>82225</v>
      </c>
      <c r="Y288" s="12" t="str">
        <f>+IF(Tabla4[[#This Row],[AGRUPACIONES]]=1,SUMIFS(Tabla4[UDS],Tabla4[ZONA DEFINITIVO],Tabla4[[#This Row],[ZONA DEFINITIVO]])," ")</f>
        <v xml:space="preserve"> </v>
      </c>
      <c r="Z288" s="12" t="str">
        <f>+IF(Tabla4[[#This Row],[AGRUPACIONES]]=1,SUMIFS(Tabla4[TOTAL COBERTURA],Tabla4[ZONA DEFINITIVO],Tabla4[[#This Row],[ZONA DEFINITIVO]])," ")</f>
        <v xml:space="preserve"> </v>
      </c>
      <c r="AA288" s="12"/>
      <c r="AB288" s="38">
        <v>39501930</v>
      </c>
      <c r="AC288" s="37">
        <v>0.02</v>
      </c>
      <c r="AD288" s="38">
        <f t="shared" si="5"/>
        <v>790038.6</v>
      </c>
      <c r="AE288" s="12"/>
      <c r="AF288" s="12">
        <f>COUNTIF($A$20:A288,A288)</f>
        <v>6</v>
      </c>
      <c r="AG288" s="38">
        <v>39501930</v>
      </c>
      <c r="AH288" s="38">
        <f>Tabla4[[#This Row],[VALOR CONTRAPARTIDA]]+Tabla4[[#This Row],[TOTAL APORTES ICBF]]</f>
        <v>40291968.600000001</v>
      </c>
      <c r="AI288" s="35"/>
      <c r="AJ288" s="38"/>
      <c r="AK288" s="38"/>
      <c r="AL288" s="23"/>
      <c r="AM288" s="35">
        <f>VLOOKUP(Tabla4[[#This Row],[SERVICIO 2025]],$J$2:$V$14,5,0)*Tabla4[[#This Row],[TOTAL COBERTURA]]</f>
        <v>1215344</v>
      </c>
      <c r="AN288" s="35">
        <f>VLOOKUP(Tabla4[[#This Row],[SERVICIO 2025]],$J$2:$V$14,6,0)*Tabla4[[#This Row],[TOTAL COBERTURA]]</f>
        <v>983866</v>
      </c>
      <c r="AO288" s="35">
        <f>VLOOKUP(Tabla4[[#This Row],[SERVICIO 2025]],$J$2:$V$14,8,0)*Tabla4[[#This Row],[TOTAL COBERTURA]]</f>
        <v>0</v>
      </c>
      <c r="AP288" s="35">
        <f>VLOOKUP(Tabla4[[#This Row],[SERVICIO 2025]],$J$2:$V$14,3,0)*Tabla4[[#This Row],[TOTAL COBERTURA]]*8</f>
        <v>37302720</v>
      </c>
      <c r="AQ288" s="35"/>
      <c r="AR288" s="35">
        <f>Tabla4[[#This Row],[VALOR FASE PREPARATORIA DE ALISTAMIENTO]]+Tabla4[[#This Row],[VALOR FASE PREPARATORIA DE CIERRE]]+Tabla4[[#This Row],[DOTACIÓN ÚNICA]]+Tabla4[[#This Row],[VALOR ATENCIÓN]]+Tabla4[[#This Row],[VALOR RACION PREPARADA]]</f>
        <v>39501930</v>
      </c>
      <c r="AS288" s="35" t="str">
        <f>+IF(Tabla4[[#This Row],[AGRUPACIONES]]=1,SUMIFS(Tabla4[VALOR TOTAL],Tabla4[ZONA DEFINITIVO],Tabla4[[#This Row],[ZONA DEFINITIVO]])," ")</f>
        <v xml:space="preserve"> </v>
      </c>
      <c r="AT288" s="27">
        <f>(VLOOKUP(Tabla4[[#This Row],[SERVICIO 2025]],$J$2:$V$14,3,0)*Tabla4[[#This Row],[TOTAL COBERTURA]])+Tabla4[[#This Row],[VALOR FASE PREPARATORIA DE ALISTAMIENTO]]+Tabla4[[#This Row],[DOTACIÓN ÚNICA]]</f>
        <v>5878184</v>
      </c>
      <c r="AU288" s="35">
        <f>(VLOOKUP(Tabla4[[#This Row],[SERVICIO 2025]],$J$2:$V$14,3,0)*Tabla4[[#This Row],[TOTAL COBERTURA]])</f>
        <v>4662840</v>
      </c>
      <c r="AV288" s="35">
        <f>(VLOOKUP(Tabla4[[#This Row],[SERVICIO 2025]],$J$2:$V$14,3,0)*Tabla4[[#This Row],[TOTAL COBERTURA]])</f>
        <v>4662840</v>
      </c>
      <c r="AW288" s="35">
        <f>(VLOOKUP(Tabla4[[#This Row],[SERVICIO 2025]],$J$2:$V$14,3,0)*Tabla4[[#This Row],[TOTAL COBERTURA]])</f>
        <v>4662840</v>
      </c>
      <c r="AX288" s="35">
        <f>(VLOOKUP(Tabla4[[#This Row],[SERVICIO 2025]],$J$2:$V$14,3,0)*Tabla4[[#This Row],[TOTAL COBERTURA]])</f>
        <v>4662840</v>
      </c>
      <c r="AY288" s="35">
        <f>(VLOOKUP(Tabla4[[#This Row],[SERVICIO 2025]],$J$2:$V$14,3,0)*Tabla4[[#This Row],[TOTAL COBERTURA]])</f>
        <v>4662840</v>
      </c>
      <c r="AZ288" s="35">
        <f>(VLOOKUP(Tabla4[[#This Row],[SERVICIO 2025]],$J$2:$V$14,3,0)*Tabla4[[#This Row],[TOTAL COBERTURA]])</f>
        <v>4662840</v>
      </c>
      <c r="BA288" s="35">
        <f>(VLOOKUP(Tabla4[[#This Row],[SERVICIO 2025]],$J$2:$V$14,3,0)*Tabla4[[#This Row],[TOTAL COBERTURA]])+Tabla4[[#This Row],[VALOR FASE PREPARATORIA DE CIERRE]]</f>
        <v>5646706</v>
      </c>
      <c r="BB288" s="35">
        <f>SUM(Tabla4[[#This Row],[DESEMBOLSO 1]:[DESEMBOLSO 8]])</f>
        <v>39501930</v>
      </c>
      <c r="BC288" s="35">
        <f>VLOOKUP(Tabla4[[#This Row],[SERVICIO 2025]],$J$2:$V$14,10,0)*Tabla4[[#This Row],[TOTAL COBERTURA]]*$W$3</f>
        <v>39170768</v>
      </c>
      <c r="BD288" s="47" t="s">
        <v>211</v>
      </c>
      <c r="BE288" s="12" t="b">
        <f>EXACT(Tabla4[[#This Row],[VALOR ATENCIÓN (8 MESES)]],Tabla4[[#This Row],[VALOR TOTAL]])</f>
        <v>1</v>
      </c>
      <c r="BF288" s="23">
        <f>Tabla4[[#This Row],[VALOR ATENCIÓN (8 MESES)]]-Tabla4[[#This Row],[VALOR TOTAL]]</f>
        <v>0</v>
      </c>
      <c r="BG288" s="12" t="b">
        <f>EXACT(Tabla4[[#This Row],[TOTAL DESEMBOLSOS]],Tabla4[[#This Row],[VALOR ATENCIÓN (8 MESES)]])</f>
        <v>1</v>
      </c>
      <c r="BH288" s="29">
        <f>Tabla4[[#This Row],[TOTAL DESEMBOLSOS]]-Tabla4[[#This Row],[VALOR ATENCIÓN (8 MESES)]]</f>
        <v>0</v>
      </c>
      <c r="BI288" t="s">
        <v>98</v>
      </c>
      <c r="BJ288">
        <v>1909</v>
      </c>
    </row>
    <row r="289" spans="1:62">
      <c r="A289" s="13">
        <v>1909</v>
      </c>
      <c r="B289" s="13" t="s">
        <v>702</v>
      </c>
      <c r="C289" s="12" t="s">
        <v>87</v>
      </c>
      <c r="D289" s="12" t="s">
        <v>205</v>
      </c>
      <c r="E289" s="12" t="s">
        <v>703</v>
      </c>
      <c r="F289" s="12" t="s">
        <v>21</v>
      </c>
      <c r="G289" s="12" t="s">
        <v>90</v>
      </c>
      <c r="H289" s="12" t="s">
        <v>714</v>
      </c>
      <c r="I289" s="12">
        <v>50341135518</v>
      </c>
      <c r="J289" s="12" t="s">
        <v>715</v>
      </c>
      <c r="K289" s="12">
        <v>1</v>
      </c>
      <c r="L289" s="12">
        <v>30</v>
      </c>
      <c r="M289" s="12"/>
      <c r="N289" s="13">
        <v>1909</v>
      </c>
      <c r="O289" s="12" t="s">
        <v>93</v>
      </c>
      <c r="P289" s="12"/>
      <c r="Q289" s="12"/>
      <c r="R289" s="12" t="s">
        <v>94</v>
      </c>
      <c r="S289" s="12">
        <v>10</v>
      </c>
      <c r="T289" s="12" t="s">
        <v>379</v>
      </c>
      <c r="U289" s="12" t="s">
        <v>380</v>
      </c>
      <c r="V289" s="12">
        <f>VLOOKUP(Tabla4[[#This Row],[ZONA DEFINITIVO]],Hoja1!$A$1:$D$121,3,0)</f>
        <v>229074</v>
      </c>
      <c r="W289" s="12">
        <f>VLOOKUP(Tabla4[[#This Row],[ZONA DEFINITIVO]],Hoja1!$A$1:$D$121,2,0)</f>
        <v>15181</v>
      </c>
      <c r="X289" s="12">
        <f>VLOOKUP(Tabla4[[#This Row],[ZONA DEFINITIVO]],Hoja1!$A$1:$D$121,4,0)</f>
        <v>82225</v>
      </c>
      <c r="Y289" s="12" t="str">
        <f>+IF(Tabla4[[#This Row],[AGRUPACIONES]]=1,SUMIFS(Tabla4[UDS],Tabla4[ZONA DEFINITIVO],Tabla4[[#This Row],[ZONA DEFINITIVO]])," ")</f>
        <v xml:space="preserve"> </v>
      </c>
      <c r="Z289" s="12" t="str">
        <f>+IF(Tabla4[[#This Row],[AGRUPACIONES]]=1,SUMIFS(Tabla4[TOTAL COBERTURA],Tabla4[ZONA DEFINITIVO],Tabla4[[#This Row],[ZONA DEFINITIVO]])," ")</f>
        <v xml:space="preserve"> </v>
      </c>
      <c r="AA289" s="12"/>
      <c r="AB289" s="38">
        <v>45579150</v>
      </c>
      <c r="AC289" s="37">
        <v>0.02</v>
      </c>
      <c r="AD289" s="38">
        <f t="shared" si="5"/>
        <v>911583</v>
      </c>
      <c r="AE289" s="12"/>
      <c r="AF289" s="12">
        <f>COUNTIF($A$20:A289,A289)</f>
        <v>7</v>
      </c>
      <c r="AG289" s="38">
        <v>45579150</v>
      </c>
      <c r="AH289" s="38">
        <f>Tabla4[[#This Row],[VALOR CONTRAPARTIDA]]+Tabla4[[#This Row],[TOTAL APORTES ICBF]]</f>
        <v>46490733</v>
      </c>
      <c r="AI289" s="35"/>
      <c r="AJ289" s="38"/>
      <c r="AK289" s="38"/>
      <c r="AL289" s="23"/>
      <c r="AM289" s="35">
        <f>VLOOKUP(Tabla4[[#This Row],[SERVICIO 2025]],$J$2:$V$14,5,0)*Tabla4[[#This Row],[TOTAL COBERTURA]]</f>
        <v>1402320</v>
      </c>
      <c r="AN289" s="35">
        <f>VLOOKUP(Tabla4[[#This Row],[SERVICIO 2025]],$J$2:$V$14,6,0)*Tabla4[[#This Row],[TOTAL COBERTURA]]</f>
        <v>1135230</v>
      </c>
      <c r="AO289" s="35">
        <f>VLOOKUP(Tabla4[[#This Row],[SERVICIO 2025]],$J$2:$V$14,8,0)*Tabla4[[#This Row],[TOTAL COBERTURA]]</f>
        <v>0</v>
      </c>
      <c r="AP289" s="35">
        <f>VLOOKUP(Tabla4[[#This Row],[SERVICIO 2025]],$J$2:$V$14,3,0)*Tabla4[[#This Row],[TOTAL COBERTURA]]*8</f>
        <v>43041600</v>
      </c>
      <c r="AQ289" s="35"/>
      <c r="AR289" s="35">
        <f>Tabla4[[#This Row],[VALOR FASE PREPARATORIA DE ALISTAMIENTO]]+Tabla4[[#This Row],[VALOR FASE PREPARATORIA DE CIERRE]]+Tabla4[[#This Row],[DOTACIÓN ÚNICA]]+Tabla4[[#This Row],[VALOR ATENCIÓN]]+Tabla4[[#This Row],[VALOR RACION PREPARADA]]</f>
        <v>45579150</v>
      </c>
      <c r="AS289" s="35" t="str">
        <f>+IF(Tabla4[[#This Row],[AGRUPACIONES]]=1,SUMIFS(Tabla4[VALOR TOTAL],Tabla4[ZONA DEFINITIVO],Tabla4[[#This Row],[ZONA DEFINITIVO]])," ")</f>
        <v xml:space="preserve"> </v>
      </c>
      <c r="AT289" s="27">
        <f>(VLOOKUP(Tabla4[[#This Row],[SERVICIO 2025]],$J$2:$V$14,3,0)*Tabla4[[#This Row],[TOTAL COBERTURA]])+Tabla4[[#This Row],[VALOR FASE PREPARATORIA DE ALISTAMIENTO]]+Tabla4[[#This Row],[DOTACIÓN ÚNICA]]</f>
        <v>6782520</v>
      </c>
      <c r="AU289" s="35">
        <f>(VLOOKUP(Tabla4[[#This Row],[SERVICIO 2025]],$J$2:$V$14,3,0)*Tabla4[[#This Row],[TOTAL COBERTURA]])</f>
        <v>5380200</v>
      </c>
      <c r="AV289" s="35">
        <f>(VLOOKUP(Tabla4[[#This Row],[SERVICIO 2025]],$J$2:$V$14,3,0)*Tabla4[[#This Row],[TOTAL COBERTURA]])</f>
        <v>5380200</v>
      </c>
      <c r="AW289" s="35">
        <f>(VLOOKUP(Tabla4[[#This Row],[SERVICIO 2025]],$J$2:$V$14,3,0)*Tabla4[[#This Row],[TOTAL COBERTURA]])</f>
        <v>5380200</v>
      </c>
      <c r="AX289" s="35">
        <f>(VLOOKUP(Tabla4[[#This Row],[SERVICIO 2025]],$J$2:$V$14,3,0)*Tabla4[[#This Row],[TOTAL COBERTURA]])</f>
        <v>5380200</v>
      </c>
      <c r="AY289" s="35">
        <f>(VLOOKUP(Tabla4[[#This Row],[SERVICIO 2025]],$J$2:$V$14,3,0)*Tabla4[[#This Row],[TOTAL COBERTURA]])</f>
        <v>5380200</v>
      </c>
      <c r="AZ289" s="35">
        <f>(VLOOKUP(Tabla4[[#This Row],[SERVICIO 2025]],$J$2:$V$14,3,0)*Tabla4[[#This Row],[TOTAL COBERTURA]])</f>
        <v>5380200</v>
      </c>
      <c r="BA289" s="35">
        <f>(VLOOKUP(Tabla4[[#This Row],[SERVICIO 2025]],$J$2:$V$14,3,0)*Tabla4[[#This Row],[TOTAL COBERTURA]])+Tabla4[[#This Row],[VALOR FASE PREPARATORIA DE CIERRE]]</f>
        <v>6515430</v>
      </c>
      <c r="BB289" s="35">
        <f>SUM(Tabla4[[#This Row],[DESEMBOLSO 1]:[DESEMBOLSO 8]])</f>
        <v>45579150</v>
      </c>
      <c r="BC289" s="35">
        <f>VLOOKUP(Tabla4[[#This Row],[SERVICIO 2025]],$J$2:$V$14,10,0)*Tabla4[[#This Row],[TOTAL COBERTURA]]*$W$3</f>
        <v>45197040</v>
      </c>
      <c r="BD289" s="47" t="s">
        <v>211</v>
      </c>
      <c r="BE289" s="12" t="b">
        <f>EXACT(Tabla4[[#This Row],[VALOR ATENCIÓN (8 MESES)]],Tabla4[[#This Row],[VALOR TOTAL]])</f>
        <v>1</v>
      </c>
      <c r="BF289" s="23">
        <f>Tabla4[[#This Row],[VALOR ATENCIÓN (8 MESES)]]-Tabla4[[#This Row],[VALOR TOTAL]]</f>
        <v>0</v>
      </c>
      <c r="BG289" s="12" t="b">
        <f>EXACT(Tabla4[[#This Row],[TOTAL DESEMBOLSOS]],Tabla4[[#This Row],[VALOR ATENCIÓN (8 MESES)]])</f>
        <v>1</v>
      </c>
      <c r="BH289" s="29">
        <f>Tabla4[[#This Row],[TOTAL DESEMBOLSOS]]-Tabla4[[#This Row],[VALOR ATENCIÓN (8 MESES)]]</f>
        <v>0</v>
      </c>
      <c r="BI289" t="s">
        <v>98</v>
      </c>
      <c r="BJ289">
        <v>1909</v>
      </c>
    </row>
    <row r="290" spans="1:62">
      <c r="A290" s="13">
        <v>1909</v>
      </c>
      <c r="B290" s="13" t="s">
        <v>702</v>
      </c>
      <c r="C290" s="12" t="s">
        <v>87</v>
      </c>
      <c r="D290" s="12" t="s">
        <v>205</v>
      </c>
      <c r="E290" s="12" t="s">
        <v>703</v>
      </c>
      <c r="F290" s="12" t="s">
        <v>21</v>
      </c>
      <c r="G290" s="12" t="s">
        <v>90</v>
      </c>
      <c r="H290" s="12" t="s">
        <v>716</v>
      </c>
      <c r="I290" s="12">
        <v>50341135519</v>
      </c>
      <c r="J290" s="12" t="s">
        <v>717</v>
      </c>
      <c r="K290" s="12">
        <v>1</v>
      </c>
      <c r="L290" s="12">
        <v>17</v>
      </c>
      <c r="M290" s="12"/>
      <c r="N290" s="13">
        <v>1909</v>
      </c>
      <c r="O290" s="12" t="s">
        <v>93</v>
      </c>
      <c r="P290" s="12"/>
      <c r="Q290" s="12"/>
      <c r="R290" s="12" t="s">
        <v>94</v>
      </c>
      <c r="S290" s="12">
        <v>10</v>
      </c>
      <c r="T290" s="12" t="s">
        <v>379</v>
      </c>
      <c r="U290" s="12" t="s">
        <v>380</v>
      </c>
      <c r="V290" s="12">
        <f>VLOOKUP(Tabla4[[#This Row],[ZONA DEFINITIVO]],Hoja1!$A$1:$D$121,3,0)</f>
        <v>229074</v>
      </c>
      <c r="W290" s="12">
        <f>VLOOKUP(Tabla4[[#This Row],[ZONA DEFINITIVO]],Hoja1!$A$1:$D$121,2,0)</f>
        <v>15181</v>
      </c>
      <c r="X290" s="12">
        <f>VLOOKUP(Tabla4[[#This Row],[ZONA DEFINITIVO]],Hoja1!$A$1:$D$121,4,0)</f>
        <v>82225</v>
      </c>
      <c r="Y290" s="12" t="str">
        <f>+IF(Tabla4[[#This Row],[AGRUPACIONES]]=1,SUMIFS(Tabla4[UDS],Tabla4[ZONA DEFINITIVO],Tabla4[[#This Row],[ZONA DEFINITIVO]])," ")</f>
        <v xml:space="preserve"> </v>
      </c>
      <c r="Z290" s="12" t="str">
        <f>+IF(Tabla4[[#This Row],[AGRUPACIONES]]=1,SUMIFS(Tabla4[TOTAL COBERTURA],Tabla4[ZONA DEFINITIVO],Tabla4[[#This Row],[ZONA DEFINITIVO]])," ")</f>
        <v xml:space="preserve"> </v>
      </c>
      <c r="AA290" s="12"/>
      <c r="AB290" s="38">
        <v>25828185</v>
      </c>
      <c r="AC290" s="37">
        <v>0.02</v>
      </c>
      <c r="AD290" s="38">
        <f t="shared" si="5"/>
        <v>516563.7</v>
      </c>
      <c r="AE290" s="12"/>
      <c r="AF290" s="12">
        <f>COUNTIF($A$20:A290,A290)</f>
        <v>8</v>
      </c>
      <c r="AG290" s="38">
        <v>25828185</v>
      </c>
      <c r="AH290" s="38">
        <f>Tabla4[[#This Row],[VALOR CONTRAPARTIDA]]+Tabla4[[#This Row],[TOTAL APORTES ICBF]]</f>
        <v>26344748.699999999</v>
      </c>
      <c r="AI290" s="35"/>
      <c r="AJ290" s="38"/>
      <c r="AK290" s="38"/>
      <c r="AL290" s="23"/>
      <c r="AM290" s="35">
        <f>VLOOKUP(Tabla4[[#This Row],[SERVICIO 2025]],$J$2:$V$14,5,0)*Tabla4[[#This Row],[TOTAL COBERTURA]]</f>
        <v>794648</v>
      </c>
      <c r="AN290" s="35">
        <f>VLOOKUP(Tabla4[[#This Row],[SERVICIO 2025]],$J$2:$V$14,6,0)*Tabla4[[#This Row],[TOTAL COBERTURA]]</f>
        <v>643297</v>
      </c>
      <c r="AO290" s="35">
        <f>VLOOKUP(Tabla4[[#This Row],[SERVICIO 2025]],$J$2:$V$14,8,0)*Tabla4[[#This Row],[TOTAL COBERTURA]]</f>
        <v>0</v>
      </c>
      <c r="AP290" s="35">
        <f>VLOOKUP(Tabla4[[#This Row],[SERVICIO 2025]],$J$2:$V$14,3,0)*Tabla4[[#This Row],[TOTAL COBERTURA]]*8</f>
        <v>24390240</v>
      </c>
      <c r="AQ290" s="35"/>
      <c r="AR290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290" s="35" t="str">
        <f>+IF(Tabla4[[#This Row],[AGRUPACIONES]]=1,SUMIFS(Tabla4[VALOR TOTAL],Tabla4[ZONA DEFINITIVO],Tabla4[[#This Row],[ZONA DEFINITIVO]])," ")</f>
        <v xml:space="preserve"> </v>
      </c>
      <c r="AT290" s="27">
        <f>(VLOOKUP(Tabla4[[#This Row],[SERVICIO 2025]],$J$2:$V$14,3,0)*Tabla4[[#This Row],[TOTAL COBERTURA]])+Tabla4[[#This Row],[VALOR FASE PREPARATORIA DE ALISTAMIENTO]]+Tabla4[[#This Row],[DOTACIÓN ÚNICA]]</f>
        <v>3843428</v>
      </c>
      <c r="AU290" s="35">
        <f>(VLOOKUP(Tabla4[[#This Row],[SERVICIO 2025]],$J$2:$V$14,3,0)*Tabla4[[#This Row],[TOTAL COBERTURA]])</f>
        <v>3048780</v>
      </c>
      <c r="AV290" s="35">
        <f>(VLOOKUP(Tabla4[[#This Row],[SERVICIO 2025]],$J$2:$V$14,3,0)*Tabla4[[#This Row],[TOTAL COBERTURA]])</f>
        <v>3048780</v>
      </c>
      <c r="AW290" s="35">
        <f>(VLOOKUP(Tabla4[[#This Row],[SERVICIO 2025]],$J$2:$V$14,3,0)*Tabla4[[#This Row],[TOTAL COBERTURA]])</f>
        <v>3048780</v>
      </c>
      <c r="AX290" s="35">
        <f>(VLOOKUP(Tabla4[[#This Row],[SERVICIO 2025]],$J$2:$V$14,3,0)*Tabla4[[#This Row],[TOTAL COBERTURA]])</f>
        <v>3048780</v>
      </c>
      <c r="AY290" s="35">
        <f>(VLOOKUP(Tabla4[[#This Row],[SERVICIO 2025]],$J$2:$V$14,3,0)*Tabla4[[#This Row],[TOTAL COBERTURA]])</f>
        <v>3048780</v>
      </c>
      <c r="AZ290" s="35">
        <f>(VLOOKUP(Tabla4[[#This Row],[SERVICIO 2025]],$J$2:$V$14,3,0)*Tabla4[[#This Row],[TOTAL COBERTURA]])</f>
        <v>3048780</v>
      </c>
      <c r="BA290" s="35">
        <f>(VLOOKUP(Tabla4[[#This Row],[SERVICIO 2025]],$J$2:$V$14,3,0)*Tabla4[[#This Row],[TOTAL COBERTURA]])+Tabla4[[#This Row],[VALOR FASE PREPARATORIA DE CIERRE]]</f>
        <v>3692077</v>
      </c>
      <c r="BB290" s="35">
        <f>SUM(Tabla4[[#This Row],[DESEMBOLSO 1]:[DESEMBOLSO 8]])</f>
        <v>25828185</v>
      </c>
      <c r="BC290" s="35">
        <f>VLOOKUP(Tabla4[[#This Row],[SERVICIO 2025]],$J$2:$V$14,10,0)*Tabla4[[#This Row],[TOTAL COBERTURA]]*$W$3</f>
        <v>25611656</v>
      </c>
      <c r="BD290" s="47" t="s">
        <v>211</v>
      </c>
      <c r="BE290" s="12" t="b">
        <f>EXACT(Tabla4[[#This Row],[VALOR ATENCIÓN (8 MESES)]],Tabla4[[#This Row],[VALOR TOTAL]])</f>
        <v>1</v>
      </c>
      <c r="BF290" s="23">
        <f>Tabla4[[#This Row],[VALOR ATENCIÓN (8 MESES)]]-Tabla4[[#This Row],[VALOR TOTAL]]</f>
        <v>0</v>
      </c>
      <c r="BG290" s="12" t="b">
        <f>EXACT(Tabla4[[#This Row],[TOTAL DESEMBOLSOS]],Tabla4[[#This Row],[VALOR ATENCIÓN (8 MESES)]])</f>
        <v>1</v>
      </c>
      <c r="BH290" s="29">
        <f>Tabla4[[#This Row],[TOTAL DESEMBOLSOS]]-Tabla4[[#This Row],[VALOR ATENCIÓN (8 MESES)]]</f>
        <v>0</v>
      </c>
      <c r="BI290" t="s">
        <v>98</v>
      </c>
      <c r="BJ290">
        <v>1909</v>
      </c>
    </row>
    <row r="291" spans="1:62">
      <c r="A291" s="13">
        <v>1909</v>
      </c>
      <c r="B291" s="13" t="s">
        <v>702</v>
      </c>
      <c r="C291" s="12" t="s">
        <v>87</v>
      </c>
      <c r="D291" s="12" t="s">
        <v>205</v>
      </c>
      <c r="E291" s="12" t="s">
        <v>703</v>
      </c>
      <c r="F291" s="12" t="s">
        <v>21</v>
      </c>
      <c r="G291" s="12" t="s">
        <v>90</v>
      </c>
      <c r="H291" s="12" t="s">
        <v>718</v>
      </c>
      <c r="I291" s="12">
        <v>50341135521</v>
      </c>
      <c r="J291" s="12" t="s">
        <v>719</v>
      </c>
      <c r="K291" s="12">
        <v>1</v>
      </c>
      <c r="L291" s="12">
        <v>18</v>
      </c>
      <c r="M291" s="12"/>
      <c r="N291" s="13">
        <v>1909</v>
      </c>
      <c r="O291" s="12" t="s">
        <v>93</v>
      </c>
      <c r="P291" s="12"/>
      <c r="Q291" s="12"/>
      <c r="R291" s="12" t="s">
        <v>94</v>
      </c>
      <c r="S291" s="12">
        <v>10</v>
      </c>
      <c r="T291" s="12" t="s">
        <v>379</v>
      </c>
      <c r="U291" s="12" t="s">
        <v>380</v>
      </c>
      <c r="V291" s="12">
        <f>VLOOKUP(Tabla4[[#This Row],[ZONA DEFINITIVO]],Hoja1!$A$1:$D$121,3,0)</f>
        <v>229074</v>
      </c>
      <c r="W291" s="12">
        <f>VLOOKUP(Tabla4[[#This Row],[ZONA DEFINITIVO]],Hoja1!$A$1:$D$121,2,0)</f>
        <v>15181</v>
      </c>
      <c r="X291" s="12">
        <f>VLOOKUP(Tabla4[[#This Row],[ZONA DEFINITIVO]],Hoja1!$A$1:$D$121,4,0)</f>
        <v>82225</v>
      </c>
      <c r="Y291" s="12" t="str">
        <f>+IF(Tabla4[[#This Row],[AGRUPACIONES]]=1,SUMIFS(Tabla4[UDS],Tabla4[ZONA DEFINITIVO],Tabla4[[#This Row],[ZONA DEFINITIVO]])," ")</f>
        <v xml:space="preserve"> </v>
      </c>
      <c r="Z291" s="12" t="str">
        <f>+IF(Tabla4[[#This Row],[AGRUPACIONES]]=1,SUMIFS(Tabla4[TOTAL COBERTURA],Tabla4[ZONA DEFINITIVO],Tabla4[[#This Row],[ZONA DEFINITIVO]])," ")</f>
        <v xml:space="preserve"> </v>
      </c>
      <c r="AA291" s="12"/>
      <c r="AB291" s="38">
        <v>27347490</v>
      </c>
      <c r="AC291" s="37">
        <v>0.02</v>
      </c>
      <c r="AD291" s="38">
        <f t="shared" si="5"/>
        <v>546949.80000000005</v>
      </c>
      <c r="AE291" s="12"/>
      <c r="AF291" s="12">
        <f>COUNTIF($A$20:A291,A291)</f>
        <v>9</v>
      </c>
      <c r="AG291" s="38">
        <v>27347490</v>
      </c>
      <c r="AH291" s="38">
        <f>Tabla4[[#This Row],[VALOR CONTRAPARTIDA]]+Tabla4[[#This Row],[TOTAL APORTES ICBF]]</f>
        <v>27894439.800000001</v>
      </c>
      <c r="AI291" s="35"/>
      <c r="AJ291" s="38"/>
      <c r="AK291" s="38"/>
      <c r="AL291" s="23"/>
      <c r="AM291" s="35">
        <f>VLOOKUP(Tabla4[[#This Row],[SERVICIO 2025]],$J$2:$V$14,5,0)*Tabla4[[#This Row],[TOTAL COBERTURA]]</f>
        <v>841392</v>
      </c>
      <c r="AN291" s="35">
        <f>VLOOKUP(Tabla4[[#This Row],[SERVICIO 2025]],$J$2:$V$14,6,0)*Tabla4[[#This Row],[TOTAL COBERTURA]]</f>
        <v>681138</v>
      </c>
      <c r="AO291" s="35">
        <f>VLOOKUP(Tabla4[[#This Row],[SERVICIO 2025]],$J$2:$V$14,8,0)*Tabla4[[#This Row],[TOTAL COBERTURA]]</f>
        <v>0</v>
      </c>
      <c r="AP291" s="35">
        <f>VLOOKUP(Tabla4[[#This Row],[SERVICIO 2025]],$J$2:$V$14,3,0)*Tabla4[[#This Row],[TOTAL COBERTURA]]*8</f>
        <v>25824960</v>
      </c>
      <c r="AQ291" s="35"/>
      <c r="AR291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291" s="35" t="str">
        <f>+IF(Tabla4[[#This Row],[AGRUPACIONES]]=1,SUMIFS(Tabla4[VALOR TOTAL],Tabla4[ZONA DEFINITIVO],Tabla4[[#This Row],[ZONA DEFINITIVO]])," ")</f>
        <v xml:space="preserve"> </v>
      </c>
      <c r="AT291" s="27">
        <f>(VLOOKUP(Tabla4[[#This Row],[SERVICIO 2025]],$J$2:$V$14,3,0)*Tabla4[[#This Row],[TOTAL COBERTURA]])+Tabla4[[#This Row],[VALOR FASE PREPARATORIA DE ALISTAMIENTO]]+Tabla4[[#This Row],[DOTACIÓN ÚNICA]]</f>
        <v>4069512</v>
      </c>
      <c r="AU291" s="35">
        <f>(VLOOKUP(Tabla4[[#This Row],[SERVICIO 2025]],$J$2:$V$14,3,0)*Tabla4[[#This Row],[TOTAL COBERTURA]])</f>
        <v>3228120</v>
      </c>
      <c r="AV291" s="35">
        <f>(VLOOKUP(Tabla4[[#This Row],[SERVICIO 2025]],$J$2:$V$14,3,0)*Tabla4[[#This Row],[TOTAL COBERTURA]])</f>
        <v>3228120</v>
      </c>
      <c r="AW291" s="35">
        <f>(VLOOKUP(Tabla4[[#This Row],[SERVICIO 2025]],$J$2:$V$14,3,0)*Tabla4[[#This Row],[TOTAL COBERTURA]])</f>
        <v>3228120</v>
      </c>
      <c r="AX291" s="35">
        <f>(VLOOKUP(Tabla4[[#This Row],[SERVICIO 2025]],$J$2:$V$14,3,0)*Tabla4[[#This Row],[TOTAL COBERTURA]])</f>
        <v>3228120</v>
      </c>
      <c r="AY291" s="35">
        <f>(VLOOKUP(Tabla4[[#This Row],[SERVICIO 2025]],$J$2:$V$14,3,0)*Tabla4[[#This Row],[TOTAL COBERTURA]])</f>
        <v>3228120</v>
      </c>
      <c r="AZ291" s="35">
        <f>(VLOOKUP(Tabla4[[#This Row],[SERVICIO 2025]],$J$2:$V$14,3,0)*Tabla4[[#This Row],[TOTAL COBERTURA]])</f>
        <v>3228120</v>
      </c>
      <c r="BA291" s="35">
        <f>(VLOOKUP(Tabla4[[#This Row],[SERVICIO 2025]],$J$2:$V$14,3,0)*Tabla4[[#This Row],[TOTAL COBERTURA]])+Tabla4[[#This Row],[VALOR FASE PREPARATORIA DE CIERRE]]</f>
        <v>3909258</v>
      </c>
      <c r="BB291" s="35">
        <f>SUM(Tabla4[[#This Row],[DESEMBOLSO 1]:[DESEMBOLSO 8]])</f>
        <v>27347490</v>
      </c>
      <c r="BC291" s="35">
        <f>VLOOKUP(Tabla4[[#This Row],[SERVICIO 2025]],$J$2:$V$14,10,0)*Tabla4[[#This Row],[TOTAL COBERTURA]]*$W$3</f>
        <v>27118224</v>
      </c>
      <c r="BD291" s="47" t="s">
        <v>211</v>
      </c>
      <c r="BE291" s="12" t="b">
        <f>EXACT(Tabla4[[#This Row],[VALOR ATENCIÓN (8 MESES)]],Tabla4[[#This Row],[VALOR TOTAL]])</f>
        <v>1</v>
      </c>
      <c r="BF291" s="23">
        <f>Tabla4[[#This Row],[VALOR ATENCIÓN (8 MESES)]]-Tabla4[[#This Row],[VALOR TOTAL]]</f>
        <v>0</v>
      </c>
      <c r="BG291" s="12" t="b">
        <f>EXACT(Tabla4[[#This Row],[TOTAL DESEMBOLSOS]],Tabla4[[#This Row],[VALOR ATENCIÓN (8 MESES)]])</f>
        <v>1</v>
      </c>
      <c r="BH291" s="29">
        <f>Tabla4[[#This Row],[TOTAL DESEMBOLSOS]]-Tabla4[[#This Row],[VALOR ATENCIÓN (8 MESES)]]</f>
        <v>0</v>
      </c>
      <c r="BI291" t="s">
        <v>98</v>
      </c>
      <c r="BJ291">
        <v>1909</v>
      </c>
    </row>
    <row r="292" spans="1:62">
      <c r="A292" s="13">
        <v>1909</v>
      </c>
      <c r="B292" s="13" t="s">
        <v>702</v>
      </c>
      <c r="C292" s="12" t="s">
        <v>87</v>
      </c>
      <c r="D292" s="12" t="s">
        <v>205</v>
      </c>
      <c r="E292" s="12" t="s">
        <v>703</v>
      </c>
      <c r="F292" s="12" t="s">
        <v>21</v>
      </c>
      <c r="G292" s="12" t="s">
        <v>90</v>
      </c>
      <c r="H292" s="12" t="s">
        <v>720</v>
      </c>
      <c r="I292" s="12">
        <v>50341135522</v>
      </c>
      <c r="J292" s="12" t="s">
        <v>721</v>
      </c>
      <c r="K292" s="12">
        <v>1</v>
      </c>
      <c r="L292" s="12">
        <v>14</v>
      </c>
      <c r="M292" s="12"/>
      <c r="N292" s="13">
        <v>1909</v>
      </c>
      <c r="O292" s="12" t="s">
        <v>93</v>
      </c>
      <c r="P292" s="12"/>
      <c r="Q292" s="12"/>
      <c r="R292" s="12" t="s">
        <v>94</v>
      </c>
      <c r="S292" s="12">
        <v>10</v>
      </c>
      <c r="T292" s="12" t="s">
        <v>379</v>
      </c>
      <c r="U292" s="12" t="s">
        <v>380</v>
      </c>
      <c r="V292" s="12">
        <f>VLOOKUP(Tabla4[[#This Row],[ZONA DEFINITIVO]],Hoja1!$A$1:$D$121,3,0)</f>
        <v>229074</v>
      </c>
      <c r="W292" s="12">
        <f>VLOOKUP(Tabla4[[#This Row],[ZONA DEFINITIVO]],Hoja1!$A$1:$D$121,2,0)</f>
        <v>15181</v>
      </c>
      <c r="X292" s="12">
        <f>VLOOKUP(Tabla4[[#This Row],[ZONA DEFINITIVO]],Hoja1!$A$1:$D$121,4,0)</f>
        <v>82225</v>
      </c>
      <c r="Y292" s="12" t="str">
        <f>+IF(Tabla4[[#This Row],[AGRUPACIONES]]=1,SUMIFS(Tabla4[UDS],Tabla4[ZONA DEFINITIVO],Tabla4[[#This Row],[ZONA DEFINITIVO]])," ")</f>
        <v xml:space="preserve"> </v>
      </c>
      <c r="Z292" s="12" t="str">
        <f>+IF(Tabla4[[#This Row],[AGRUPACIONES]]=1,SUMIFS(Tabla4[TOTAL COBERTURA],Tabla4[ZONA DEFINITIVO],Tabla4[[#This Row],[ZONA DEFINITIVO]])," ")</f>
        <v xml:space="preserve"> </v>
      </c>
      <c r="AA292" s="12"/>
      <c r="AB292" s="38">
        <v>21270270</v>
      </c>
      <c r="AC292" s="37">
        <v>0.02</v>
      </c>
      <c r="AD292" s="38">
        <f t="shared" si="5"/>
        <v>425405.4</v>
      </c>
      <c r="AE292" s="12"/>
      <c r="AF292" s="12">
        <f>COUNTIF($A$20:A292,A292)</f>
        <v>10</v>
      </c>
      <c r="AG292" s="38">
        <v>21270270</v>
      </c>
      <c r="AH292" s="38">
        <f>Tabla4[[#This Row],[VALOR CONTRAPARTIDA]]+Tabla4[[#This Row],[TOTAL APORTES ICBF]]</f>
        <v>21695675.399999999</v>
      </c>
      <c r="AI292" s="35"/>
      <c r="AJ292" s="38"/>
      <c r="AK292" s="38"/>
      <c r="AL292" s="23"/>
      <c r="AM292" s="35">
        <f>VLOOKUP(Tabla4[[#This Row],[SERVICIO 2025]],$J$2:$V$14,5,0)*Tabla4[[#This Row],[TOTAL COBERTURA]]</f>
        <v>654416</v>
      </c>
      <c r="AN292" s="35">
        <f>VLOOKUP(Tabla4[[#This Row],[SERVICIO 2025]],$J$2:$V$14,6,0)*Tabla4[[#This Row],[TOTAL COBERTURA]]</f>
        <v>529774</v>
      </c>
      <c r="AO292" s="35">
        <f>VLOOKUP(Tabla4[[#This Row],[SERVICIO 2025]],$J$2:$V$14,8,0)*Tabla4[[#This Row],[TOTAL COBERTURA]]</f>
        <v>0</v>
      </c>
      <c r="AP292" s="35">
        <f>VLOOKUP(Tabla4[[#This Row],[SERVICIO 2025]],$J$2:$V$14,3,0)*Tabla4[[#This Row],[TOTAL COBERTURA]]*8</f>
        <v>20086080</v>
      </c>
      <c r="AQ292" s="35"/>
      <c r="AR292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292" s="35" t="str">
        <f>+IF(Tabla4[[#This Row],[AGRUPACIONES]]=1,SUMIFS(Tabla4[VALOR TOTAL],Tabla4[ZONA DEFINITIVO],Tabla4[[#This Row],[ZONA DEFINITIVO]])," ")</f>
        <v xml:space="preserve"> </v>
      </c>
      <c r="AT292" s="27">
        <f>(VLOOKUP(Tabla4[[#This Row],[SERVICIO 2025]],$J$2:$V$14,3,0)*Tabla4[[#This Row],[TOTAL COBERTURA]])+Tabla4[[#This Row],[VALOR FASE PREPARATORIA DE ALISTAMIENTO]]+Tabla4[[#This Row],[DOTACIÓN ÚNICA]]</f>
        <v>3165176</v>
      </c>
      <c r="AU292" s="35">
        <f>(VLOOKUP(Tabla4[[#This Row],[SERVICIO 2025]],$J$2:$V$14,3,0)*Tabla4[[#This Row],[TOTAL COBERTURA]])</f>
        <v>2510760</v>
      </c>
      <c r="AV292" s="35">
        <f>(VLOOKUP(Tabla4[[#This Row],[SERVICIO 2025]],$J$2:$V$14,3,0)*Tabla4[[#This Row],[TOTAL COBERTURA]])</f>
        <v>2510760</v>
      </c>
      <c r="AW292" s="35">
        <f>(VLOOKUP(Tabla4[[#This Row],[SERVICIO 2025]],$J$2:$V$14,3,0)*Tabla4[[#This Row],[TOTAL COBERTURA]])</f>
        <v>2510760</v>
      </c>
      <c r="AX292" s="35">
        <f>(VLOOKUP(Tabla4[[#This Row],[SERVICIO 2025]],$J$2:$V$14,3,0)*Tabla4[[#This Row],[TOTAL COBERTURA]])</f>
        <v>2510760</v>
      </c>
      <c r="AY292" s="35">
        <f>(VLOOKUP(Tabla4[[#This Row],[SERVICIO 2025]],$J$2:$V$14,3,0)*Tabla4[[#This Row],[TOTAL COBERTURA]])</f>
        <v>2510760</v>
      </c>
      <c r="AZ292" s="35">
        <f>(VLOOKUP(Tabla4[[#This Row],[SERVICIO 2025]],$J$2:$V$14,3,0)*Tabla4[[#This Row],[TOTAL COBERTURA]])</f>
        <v>2510760</v>
      </c>
      <c r="BA292" s="35">
        <f>(VLOOKUP(Tabla4[[#This Row],[SERVICIO 2025]],$J$2:$V$14,3,0)*Tabla4[[#This Row],[TOTAL COBERTURA]])+Tabla4[[#This Row],[VALOR FASE PREPARATORIA DE CIERRE]]</f>
        <v>3040534</v>
      </c>
      <c r="BB292" s="35">
        <f>SUM(Tabla4[[#This Row],[DESEMBOLSO 1]:[DESEMBOLSO 8]])</f>
        <v>21270270</v>
      </c>
      <c r="BC292" s="35">
        <f>VLOOKUP(Tabla4[[#This Row],[SERVICIO 2025]],$J$2:$V$14,10,0)*Tabla4[[#This Row],[TOTAL COBERTURA]]*$W$3</f>
        <v>21091952</v>
      </c>
      <c r="BD292" s="47" t="s">
        <v>211</v>
      </c>
      <c r="BE292" s="12" t="b">
        <f>EXACT(Tabla4[[#This Row],[VALOR ATENCIÓN (8 MESES)]],Tabla4[[#This Row],[VALOR TOTAL]])</f>
        <v>1</v>
      </c>
      <c r="BF292" s="23">
        <f>Tabla4[[#This Row],[VALOR ATENCIÓN (8 MESES)]]-Tabla4[[#This Row],[VALOR TOTAL]]</f>
        <v>0</v>
      </c>
      <c r="BG292" s="12" t="b">
        <f>EXACT(Tabla4[[#This Row],[TOTAL DESEMBOLSOS]],Tabla4[[#This Row],[VALOR ATENCIÓN (8 MESES)]])</f>
        <v>1</v>
      </c>
      <c r="BH292" s="29">
        <f>Tabla4[[#This Row],[TOTAL DESEMBOLSOS]]-Tabla4[[#This Row],[VALOR ATENCIÓN (8 MESES)]]</f>
        <v>0</v>
      </c>
      <c r="BI292" t="s">
        <v>98</v>
      </c>
      <c r="BJ292">
        <v>1909</v>
      </c>
    </row>
    <row r="293" spans="1:62">
      <c r="A293" s="13">
        <v>1909</v>
      </c>
      <c r="B293" s="13" t="s">
        <v>702</v>
      </c>
      <c r="C293" s="12" t="s">
        <v>87</v>
      </c>
      <c r="D293" s="12" t="s">
        <v>205</v>
      </c>
      <c r="E293" s="12" t="s">
        <v>703</v>
      </c>
      <c r="F293" s="12" t="s">
        <v>21</v>
      </c>
      <c r="G293" s="12" t="s">
        <v>90</v>
      </c>
      <c r="H293" s="12" t="s">
        <v>722</v>
      </c>
      <c r="I293" s="12">
        <v>50341135523</v>
      </c>
      <c r="J293" s="12" t="s">
        <v>723</v>
      </c>
      <c r="K293" s="12">
        <v>1</v>
      </c>
      <c r="L293" s="12">
        <v>13</v>
      </c>
      <c r="M293" s="12"/>
      <c r="N293" s="13">
        <v>1909</v>
      </c>
      <c r="O293" s="12" t="s">
        <v>93</v>
      </c>
      <c r="P293" s="12"/>
      <c r="Q293" s="12"/>
      <c r="R293" s="12" t="s">
        <v>94</v>
      </c>
      <c r="S293" s="12">
        <v>10</v>
      </c>
      <c r="T293" s="12" t="s">
        <v>379</v>
      </c>
      <c r="U293" s="12" t="s">
        <v>380</v>
      </c>
      <c r="V293" s="12">
        <f>VLOOKUP(Tabla4[[#This Row],[ZONA DEFINITIVO]],Hoja1!$A$1:$D$121,3,0)</f>
        <v>229074</v>
      </c>
      <c r="W293" s="12">
        <f>VLOOKUP(Tabla4[[#This Row],[ZONA DEFINITIVO]],Hoja1!$A$1:$D$121,2,0)</f>
        <v>15181</v>
      </c>
      <c r="X293" s="12">
        <f>VLOOKUP(Tabla4[[#This Row],[ZONA DEFINITIVO]],Hoja1!$A$1:$D$121,4,0)</f>
        <v>82225</v>
      </c>
      <c r="Y293" s="12" t="str">
        <f>+IF(Tabla4[[#This Row],[AGRUPACIONES]]=1,SUMIFS(Tabla4[UDS],Tabla4[ZONA DEFINITIVO],Tabla4[[#This Row],[ZONA DEFINITIVO]])," ")</f>
        <v xml:space="preserve"> </v>
      </c>
      <c r="Z293" s="12" t="str">
        <f>+IF(Tabla4[[#This Row],[AGRUPACIONES]]=1,SUMIFS(Tabla4[TOTAL COBERTURA],Tabla4[ZONA DEFINITIVO],Tabla4[[#This Row],[ZONA DEFINITIVO]])," ")</f>
        <v xml:space="preserve"> </v>
      </c>
      <c r="AA293" s="12"/>
      <c r="AB293" s="38">
        <v>19750965</v>
      </c>
      <c r="AC293" s="37">
        <v>0.02</v>
      </c>
      <c r="AD293" s="38">
        <f t="shared" si="5"/>
        <v>395019.3</v>
      </c>
      <c r="AE293" s="12"/>
      <c r="AF293" s="12">
        <f>COUNTIF($A$20:A293,A293)</f>
        <v>11</v>
      </c>
      <c r="AG293" s="38">
        <v>19750965</v>
      </c>
      <c r="AH293" s="38">
        <f>Tabla4[[#This Row],[VALOR CONTRAPARTIDA]]+Tabla4[[#This Row],[TOTAL APORTES ICBF]]</f>
        <v>20145984.300000001</v>
      </c>
      <c r="AI293" s="35"/>
      <c r="AJ293" s="38"/>
      <c r="AK293" s="38"/>
      <c r="AL293" s="23"/>
      <c r="AM293" s="35">
        <f>VLOOKUP(Tabla4[[#This Row],[SERVICIO 2025]],$J$2:$V$14,5,0)*Tabla4[[#This Row],[TOTAL COBERTURA]]</f>
        <v>607672</v>
      </c>
      <c r="AN293" s="35">
        <f>VLOOKUP(Tabla4[[#This Row],[SERVICIO 2025]],$J$2:$V$14,6,0)*Tabla4[[#This Row],[TOTAL COBERTURA]]</f>
        <v>491933</v>
      </c>
      <c r="AO293" s="35">
        <f>VLOOKUP(Tabla4[[#This Row],[SERVICIO 2025]],$J$2:$V$14,8,0)*Tabla4[[#This Row],[TOTAL COBERTURA]]</f>
        <v>0</v>
      </c>
      <c r="AP293" s="35">
        <f>VLOOKUP(Tabla4[[#This Row],[SERVICIO 2025]],$J$2:$V$14,3,0)*Tabla4[[#This Row],[TOTAL COBERTURA]]*8</f>
        <v>18651360</v>
      </c>
      <c r="AQ293" s="35"/>
      <c r="AR293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293" s="35" t="str">
        <f>+IF(Tabla4[[#This Row],[AGRUPACIONES]]=1,SUMIFS(Tabla4[VALOR TOTAL],Tabla4[ZONA DEFINITIVO],Tabla4[[#This Row],[ZONA DEFINITIVO]])," ")</f>
        <v xml:space="preserve"> </v>
      </c>
      <c r="AT293" s="27">
        <f>(VLOOKUP(Tabla4[[#This Row],[SERVICIO 2025]],$J$2:$V$14,3,0)*Tabla4[[#This Row],[TOTAL COBERTURA]])+Tabla4[[#This Row],[VALOR FASE PREPARATORIA DE ALISTAMIENTO]]+Tabla4[[#This Row],[DOTACIÓN ÚNICA]]</f>
        <v>2939092</v>
      </c>
      <c r="AU293" s="35">
        <f>(VLOOKUP(Tabla4[[#This Row],[SERVICIO 2025]],$J$2:$V$14,3,0)*Tabla4[[#This Row],[TOTAL COBERTURA]])</f>
        <v>2331420</v>
      </c>
      <c r="AV293" s="35">
        <f>(VLOOKUP(Tabla4[[#This Row],[SERVICIO 2025]],$J$2:$V$14,3,0)*Tabla4[[#This Row],[TOTAL COBERTURA]])</f>
        <v>2331420</v>
      </c>
      <c r="AW293" s="35">
        <f>(VLOOKUP(Tabla4[[#This Row],[SERVICIO 2025]],$J$2:$V$14,3,0)*Tabla4[[#This Row],[TOTAL COBERTURA]])</f>
        <v>2331420</v>
      </c>
      <c r="AX293" s="35">
        <f>(VLOOKUP(Tabla4[[#This Row],[SERVICIO 2025]],$J$2:$V$14,3,0)*Tabla4[[#This Row],[TOTAL COBERTURA]])</f>
        <v>2331420</v>
      </c>
      <c r="AY293" s="35">
        <f>(VLOOKUP(Tabla4[[#This Row],[SERVICIO 2025]],$J$2:$V$14,3,0)*Tabla4[[#This Row],[TOTAL COBERTURA]])</f>
        <v>2331420</v>
      </c>
      <c r="AZ293" s="35">
        <f>(VLOOKUP(Tabla4[[#This Row],[SERVICIO 2025]],$J$2:$V$14,3,0)*Tabla4[[#This Row],[TOTAL COBERTURA]])</f>
        <v>2331420</v>
      </c>
      <c r="BA293" s="35">
        <f>(VLOOKUP(Tabla4[[#This Row],[SERVICIO 2025]],$J$2:$V$14,3,0)*Tabla4[[#This Row],[TOTAL COBERTURA]])+Tabla4[[#This Row],[VALOR FASE PREPARATORIA DE CIERRE]]</f>
        <v>2823353</v>
      </c>
      <c r="BB293" s="35">
        <f>SUM(Tabla4[[#This Row],[DESEMBOLSO 1]:[DESEMBOLSO 8]])</f>
        <v>19750965</v>
      </c>
      <c r="BC293" s="35">
        <f>VLOOKUP(Tabla4[[#This Row],[SERVICIO 2025]],$J$2:$V$14,10,0)*Tabla4[[#This Row],[TOTAL COBERTURA]]*$W$3</f>
        <v>19585384</v>
      </c>
      <c r="BD293" s="47" t="s">
        <v>211</v>
      </c>
      <c r="BE293" s="12" t="b">
        <f>EXACT(Tabla4[[#This Row],[VALOR ATENCIÓN (8 MESES)]],Tabla4[[#This Row],[VALOR TOTAL]])</f>
        <v>1</v>
      </c>
      <c r="BF293" s="23">
        <f>Tabla4[[#This Row],[VALOR ATENCIÓN (8 MESES)]]-Tabla4[[#This Row],[VALOR TOTAL]]</f>
        <v>0</v>
      </c>
      <c r="BG293" s="12" t="b">
        <f>EXACT(Tabla4[[#This Row],[TOTAL DESEMBOLSOS]],Tabla4[[#This Row],[VALOR ATENCIÓN (8 MESES)]])</f>
        <v>1</v>
      </c>
      <c r="BH293" s="29">
        <f>Tabla4[[#This Row],[TOTAL DESEMBOLSOS]]-Tabla4[[#This Row],[VALOR ATENCIÓN (8 MESES)]]</f>
        <v>0</v>
      </c>
      <c r="BI293" t="s">
        <v>98</v>
      </c>
      <c r="BJ293">
        <v>1909</v>
      </c>
    </row>
    <row r="294" spans="1:62">
      <c r="A294" s="13">
        <v>1909</v>
      </c>
      <c r="B294" s="13" t="s">
        <v>702</v>
      </c>
      <c r="C294" s="12" t="s">
        <v>87</v>
      </c>
      <c r="D294" s="12" t="s">
        <v>205</v>
      </c>
      <c r="E294" s="12" t="s">
        <v>703</v>
      </c>
      <c r="F294" s="12" t="s">
        <v>21</v>
      </c>
      <c r="G294" s="12" t="s">
        <v>90</v>
      </c>
      <c r="H294" s="12" t="s">
        <v>724</v>
      </c>
      <c r="I294" s="12">
        <v>50341135524</v>
      </c>
      <c r="J294" s="12" t="s">
        <v>725</v>
      </c>
      <c r="K294" s="12">
        <v>1</v>
      </c>
      <c r="L294" s="12">
        <v>28</v>
      </c>
      <c r="M294" s="12"/>
      <c r="N294" s="13">
        <v>1909</v>
      </c>
      <c r="O294" s="12" t="s">
        <v>93</v>
      </c>
      <c r="P294" s="12"/>
      <c r="Q294" s="12"/>
      <c r="R294" s="12" t="s">
        <v>94</v>
      </c>
      <c r="S294" s="12">
        <v>10</v>
      </c>
      <c r="T294" s="12" t="s">
        <v>379</v>
      </c>
      <c r="U294" s="12" t="s">
        <v>380</v>
      </c>
      <c r="V294" s="12">
        <f>VLOOKUP(Tabla4[[#This Row],[ZONA DEFINITIVO]],Hoja1!$A$1:$D$121,3,0)</f>
        <v>229074</v>
      </c>
      <c r="W294" s="12">
        <f>VLOOKUP(Tabla4[[#This Row],[ZONA DEFINITIVO]],Hoja1!$A$1:$D$121,2,0)</f>
        <v>15181</v>
      </c>
      <c r="X294" s="12">
        <f>VLOOKUP(Tabla4[[#This Row],[ZONA DEFINITIVO]],Hoja1!$A$1:$D$121,4,0)</f>
        <v>82225</v>
      </c>
      <c r="Y294" s="12" t="str">
        <f>+IF(Tabla4[[#This Row],[AGRUPACIONES]]=1,SUMIFS(Tabla4[UDS],Tabla4[ZONA DEFINITIVO],Tabla4[[#This Row],[ZONA DEFINITIVO]])," ")</f>
        <v xml:space="preserve"> </v>
      </c>
      <c r="Z294" s="12" t="str">
        <f>+IF(Tabla4[[#This Row],[AGRUPACIONES]]=1,SUMIFS(Tabla4[TOTAL COBERTURA],Tabla4[ZONA DEFINITIVO],Tabla4[[#This Row],[ZONA DEFINITIVO]])," ")</f>
        <v xml:space="preserve"> </v>
      </c>
      <c r="AA294" s="12"/>
      <c r="AB294" s="38">
        <v>42540540</v>
      </c>
      <c r="AC294" s="37">
        <v>0.02</v>
      </c>
      <c r="AD294" s="38">
        <f t="shared" si="5"/>
        <v>850810.8</v>
      </c>
      <c r="AE294" s="12"/>
      <c r="AF294" s="12">
        <f>COUNTIF($A$20:A294,A294)</f>
        <v>12</v>
      </c>
      <c r="AG294" s="38">
        <v>42540540</v>
      </c>
      <c r="AH294" s="38">
        <f>Tabla4[[#This Row],[VALOR CONTRAPARTIDA]]+Tabla4[[#This Row],[TOTAL APORTES ICBF]]</f>
        <v>43391350.799999997</v>
      </c>
      <c r="AI294" s="35"/>
      <c r="AJ294" s="38"/>
      <c r="AK294" s="38"/>
      <c r="AL294" s="23"/>
      <c r="AM294" s="35">
        <f>VLOOKUP(Tabla4[[#This Row],[SERVICIO 2025]],$J$2:$V$14,5,0)*Tabla4[[#This Row],[TOTAL COBERTURA]]</f>
        <v>1308832</v>
      </c>
      <c r="AN294" s="35">
        <f>VLOOKUP(Tabla4[[#This Row],[SERVICIO 2025]],$J$2:$V$14,6,0)*Tabla4[[#This Row],[TOTAL COBERTURA]]</f>
        <v>1059548</v>
      </c>
      <c r="AO294" s="35">
        <f>VLOOKUP(Tabla4[[#This Row],[SERVICIO 2025]],$J$2:$V$14,8,0)*Tabla4[[#This Row],[TOTAL COBERTURA]]</f>
        <v>0</v>
      </c>
      <c r="AP294" s="35">
        <f>VLOOKUP(Tabla4[[#This Row],[SERVICIO 2025]],$J$2:$V$14,3,0)*Tabla4[[#This Row],[TOTAL COBERTURA]]*8</f>
        <v>40172160</v>
      </c>
      <c r="AQ294" s="35"/>
      <c r="AR294" s="35">
        <f>Tabla4[[#This Row],[VALOR FASE PREPARATORIA DE ALISTAMIENTO]]+Tabla4[[#This Row],[VALOR FASE PREPARATORIA DE CIERRE]]+Tabla4[[#This Row],[DOTACIÓN ÚNICA]]+Tabla4[[#This Row],[VALOR ATENCIÓN]]+Tabla4[[#This Row],[VALOR RACION PREPARADA]]</f>
        <v>42540540</v>
      </c>
      <c r="AS294" s="35" t="str">
        <f>+IF(Tabla4[[#This Row],[AGRUPACIONES]]=1,SUMIFS(Tabla4[VALOR TOTAL],Tabla4[ZONA DEFINITIVO],Tabla4[[#This Row],[ZONA DEFINITIVO]])," ")</f>
        <v xml:space="preserve"> </v>
      </c>
      <c r="AT294" s="27">
        <f>(VLOOKUP(Tabla4[[#This Row],[SERVICIO 2025]],$J$2:$V$14,3,0)*Tabla4[[#This Row],[TOTAL COBERTURA]])+Tabla4[[#This Row],[VALOR FASE PREPARATORIA DE ALISTAMIENTO]]+Tabla4[[#This Row],[DOTACIÓN ÚNICA]]</f>
        <v>6330352</v>
      </c>
      <c r="AU294" s="35">
        <f>(VLOOKUP(Tabla4[[#This Row],[SERVICIO 2025]],$J$2:$V$14,3,0)*Tabla4[[#This Row],[TOTAL COBERTURA]])</f>
        <v>5021520</v>
      </c>
      <c r="AV294" s="35">
        <f>(VLOOKUP(Tabla4[[#This Row],[SERVICIO 2025]],$J$2:$V$14,3,0)*Tabla4[[#This Row],[TOTAL COBERTURA]])</f>
        <v>5021520</v>
      </c>
      <c r="AW294" s="35">
        <f>(VLOOKUP(Tabla4[[#This Row],[SERVICIO 2025]],$J$2:$V$14,3,0)*Tabla4[[#This Row],[TOTAL COBERTURA]])</f>
        <v>5021520</v>
      </c>
      <c r="AX294" s="35">
        <f>(VLOOKUP(Tabla4[[#This Row],[SERVICIO 2025]],$J$2:$V$14,3,0)*Tabla4[[#This Row],[TOTAL COBERTURA]])</f>
        <v>5021520</v>
      </c>
      <c r="AY294" s="35">
        <f>(VLOOKUP(Tabla4[[#This Row],[SERVICIO 2025]],$J$2:$V$14,3,0)*Tabla4[[#This Row],[TOTAL COBERTURA]])</f>
        <v>5021520</v>
      </c>
      <c r="AZ294" s="35">
        <f>(VLOOKUP(Tabla4[[#This Row],[SERVICIO 2025]],$J$2:$V$14,3,0)*Tabla4[[#This Row],[TOTAL COBERTURA]])</f>
        <v>5021520</v>
      </c>
      <c r="BA294" s="35">
        <f>(VLOOKUP(Tabla4[[#This Row],[SERVICIO 2025]],$J$2:$V$14,3,0)*Tabla4[[#This Row],[TOTAL COBERTURA]])+Tabla4[[#This Row],[VALOR FASE PREPARATORIA DE CIERRE]]</f>
        <v>6081068</v>
      </c>
      <c r="BB294" s="35">
        <f>SUM(Tabla4[[#This Row],[DESEMBOLSO 1]:[DESEMBOLSO 8]])</f>
        <v>42540540</v>
      </c>
      <c r="BC294" s="35">
        <f>VLOOKUP(Tabla4[[#This Row],[SERVICIO 2025]],$J$2:$V$14,10,0)*Tabla4[[#This Row],[TOTAL COBERTURA]]*$W$3</f>
        <v>42183904</v>
      </c>
      <c r="BD294" s="47" t="s">
        <v>211</v>
      </c>
      <c r="BE294" s="12" t="b">
        <f>EXACT(Tabla4[[#This Row],[VALOR ATENCIÓN (8 MESES)]],Tabla4[[#This Row],[VALOR TOTAL]])</f>
        <v>1</v>
      </c>
      <c r="BF294" s="23">
        <f>Tabla4[[#This Row],[VALOR ATENCIÓN (8 MESES)]]-Tabla4[[#This Row],[VALOR TOTAL]]</f>
        <v>0</v>
      </c>
      <c r="BG294" s="12" t="b">
        <f>EXACT(Tabla4[[#This Row],[TOTAL DESEMBOLSOS]],Tabla4[[#This Row],[VALOR ATENCIÓN (8 MESES)]])</f>
        <v>1</v>
      </c>
      <c r="BH294" s="29">
        <f>Tabla4[[#This Row],[TOTAL DESEMBOLSOS]]-Tabla4[[#This Row],[VALOR ATENCIÓN (8 MESES)]]</f>
        <v>0</v>
      </c>
      <c r="BI294" t="s">
        <v>98</v>
      </c>
      <c r="BJ294">
        <v>1909</v>
      </c>
    </row>
    <row r="295" spans="1:62">
      <c r="A295" s="13">
        <v>1909</v>
      </c>
      <c r="B295" s="13" t="s">
        <v>702</v>
      </c>
      <c r="C295" s="12" t="s">
        <v>87</v>
      </c>
      <c r="D295" s="12" t="s">
        <v>205</v>
      </c>
      <c r="E295" s="12" t="s">
        <v>703</v>
      </c>
      <c r="F295" s="12" t="s">
        <v>21</v>
      </c>
      <c r="G295" s="12" t="s">
        <v>90</v>
      </c>
      <c r="H295" s="12" t="s">
        <v>726</v>
      </c>
      <c r="I295" s="12">
        <v>50341135526</v>
      </c>
      <c r="J295" s="12" t="s">
        <v>727</v>
      </c>
      <c r="K295" s="12">
        <v>1</v>
      </c>
      <c r="L295" s="12">
        <v>11</v>
      </c>
      <c r="M295" s="12"/>
      <c r="N295" s="13">
        <v>1909</v>
      </c>
      <c r="O295" s="12" t="s">
        <v>93</v>
      </c>
      <c r="P295" s="12"/>
      <c r="Q295" s="12"/>
      <c r="R295" s="12" t="s">
        <v>94</v>
      </c>
      <c r="S295" s="12">
        <v>10</v>
      </c>
      <c r="T295" s="12" t="s">
        <v>379</v>
      </c>
      <c r="U295" s="12" t="s">
        <v>380</v>
      </c>
      <c r="V295" s="12">
        <f>VLOOKUP(Tabla4[[#This Row],[ZONA DEFINITIVO]],Hoja1!$A$1:$D$121,3,0)</f>
        <v>229074</v>
      </c>
      <c r="W295" s="12">
        <f>VLOOKUP(Tabla4[[#This Row],[ZONA DEFINITIVO]],Hoja1!$A$1:$D$121,2,0)</f>
        <v>15181</v>
      </c>
      <c r="X295" s="12">
        <f>VLOOKUP(Tabla4[[#This Row],[ZONA DEFINITIVO]],Hoja1!$A$1:$D$121,4,0)</f>
        <v>82225</v>
      </c>
      <c r="Y295" s="12" t="str">
        <f>+IF(Tabla4[[#This Row],[AGRUPACIONES]]=1,SUMIFS(Tabla4[UDS],Tabla4[ZONA DEFINITIVO],Tabla4[[#This Row],[ZONA DEFINITIVO]])," ")</f>
        <v xml:space="preserve"> </v>
      </c>
      <c r="Z295" s="12" t="str">
        <f>+IF(Tabla4[[#This Row],[AGRUPACIONES]]=1,SUMIFS(Tabla4[TOTAL COBERTURA],Tabla4[ZONA DEFINITIVO],Tabla4[[#This Row],[ZONA DEFINITIVO]])," ")</f>
        <v xml:space="preserve"> </v>
      </c>
      <c r="AA295" s="12"/>
      <c r="AB295" s="38">
        <v>16712355</v>
      </c>
      <c r="AC295" s="37">
        <v>0.02</v>
      </c>
      <c r="AD295" s="38">
        <f t="shared" si="5"/>
        <v>334247.10000000003</v>
      </c>
      <c r="AE295" s="12"/>
      <c r="AF295" s="12">
        <f>COUNTIF($A$20:A295,A295)</f>
        <v>13</v>
      </c>
      <c r="AG295" s="38">
        <v>16712355</v>
      </c>
      <c r="AH295" s="38">
        <f>Tabla4[[#This Row],[VALOR CONTRAPARTIDA]]+Tabla4[[#This Row],[TOTAL APORTES ICBF]]</f>
        <v>17046602.100000001</v>
      </c>
      <c r="AI295" s="35"/>
      <c r="AJ295" s="38"/>
      <c r="AK295" s="38"/>
      <c r="AL295" s="23"/>
      <c r="AM295" s="35">
        <f>VLOOKUP(Tabla4[[#This Row],[SERVICIO 2025]],$J$2:$V$14,5,0)*Tabla4[[#This Row],[TOTAL COBERTURA]]</f>
        <v>514184</v>
      </c>
      <c r="AN295" s="35">
        <f>VLOOKUP(Tabla4[[#This Row],[SERVICIO 2025]],$J$2:$V$14,6,0)*Tabla4[[#This Row],[TOTAL COBERTURA]]</f>
        <v>416251</v>
      </c>
      <c r="AO295" s="35">
        <f>VLOOKUP(Tabla4[[#This Row],[SERVICIO 2025]],$J$2:$V$14,8,0)*Tabla4[[#This Row],[TOTAL COBERTURA]]</f>
        <v>0</v>
      </c>
      <c r="AP295" s="35">
        <f>VLOOKUP(Tabla4[[#This Row],[SERVICIO 2025]],$J$2:$V$14,3,0)*Tabla4[[#This Row],[TOTAL COBERTURA]]*8</f>
        <v>15781920</v>
      </c>
      <c r="AQ295" s="35"/>
      <c r="AR295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295" s="35" t="str">
        <f>+IF(Tabla4[[#This Row],[AGRUPACIONES]]=1,SUMIFS(Tabla4[VALOR TOTAL],Tabla4[ZONA DEFINITIVO],Tabla4[[#This Row],[ZONA DEFINITIVO]])," ")</f>
        <v xml:space="preserve"> </v>
      </c>
      <c r="AT295" s="27">
        <f>(VLOOKUP(Tabla4[[#This Row],[SERVICIO 2025]],$J$2:$V$14,3,0)*Tabla4[[#This Row],[TOTAL COBERTURA]])+Tabla4[[#This Row],[VALOR FASE PREPARATORIA DE ALISTAMIENTO]]+Tabla4[[#This Row],[DOTACIÓN ÚNICA]]</f>
        <v>2486924</v>
      </c>
      <c r="AU295" s="35">
        <f>(VLOOKUP(Tabla4[[#This Row],[SERVICIO 2025]],$J$2:$V$14,3,0)*Tabla4[[#This Row],[TOTAL COBERTURA]])</f>
        <v>1972740</v>
      </c>
      <c r="AV295" s="35">
        <f>(VLOOKUP(Tabla4[[#This Row],[SERVICIO 2025]],$J$2:$V$14,3,0)*Tabla4[[#This Row],[TOTAL COBERTURA]])</f>
        <v>1972740</v>
      </c>
      <c r="AW295" s="35">
        <f>(VLOOKUP(Tabla4[[#This Row],[SERVICIO 2025]],$J$2:$V$14,3,0)*Tabla4[[#This Row],[TOTAL COBERTURA]])</f>
        <v>1972740</v>
      </c>
      <c r="AX295" s="35">
        <f>(VLOOKUP(Tabla4[[#This Row],[SERVICIO 2025]],$J$2:$V$14,3,0)*Tabla4[[#This Row],[TOTAL COBERTURA]])</f>
        <v>1972740</v>
      </c>
      <c r="AY295" s="35">
        <f>(VLOOKUP(Tabla4[[#This Row],[SERVICIO 2025]],$J$2:$V$14,3,0)*Tabla4[[#This Row],[TOTAL COBERTURA]])</f>
        <v>1972740</v>
      </c>
      <c r="AZ295" s="35">
        <f>(VLOOKUP(Tabla4[[#This Row],[SERVICIO 2025]],$J$2:$V$14,3,0)*Tabla4[[#This Row],[TOTAL COBERTURA]])</f>
        <v>1972740</v>
      </c>
      <c r="BA295" s="35">
        <f>(VLOOKUP(Tabla4[[#This Row],[SERVICIO 2025]],$J$2:$V$14,3,0)*Tabla4[[#This Row],[TOTAL COBERTURA]])+Tabla4[[#This Row],[VALOR FASE PREPARATORIA DE CIERRE]]</f>
        <v>2388991</v>
      </c>
      <c r="BB295" s="35">
        <f>SUM(Tabla4[[#This Row],[DESEMBOLSO 1]:[DESEMBOLSO 8]])</f>
        <v>16712355</v>
      </c>
      <c r="BC295" s="35">
        <f>VLOOKUP(Tabla4[[#This Row],[SERVICIO 2025]],$J$2:$V$14,10,0)*Tabla4[[#This Row],[TOTAL COBERTURA]]*$W$3</f>
        <v>16572248</v>
      </c>
      <c r="BD295" s="47" t="s">
        <v>211</v>
      </c>
      <c r="BE295" s="12" t="b">
        <f>EXACT(Tabla4[[#This Row],[VALOR ATENCIÓN (8 MESES)]],Tabla4[[#This Row],[VALOR TOTAL]])</f>
        <v>1</v>
      </c>
      <c r="BF295" s="23">
        <f>Tabla4[[#This Row],[VALOR ATENCIÓN (8 MESES)]]-Tabla4[[#This Row],[VALOR TOTAL]]</f>
        <v>0</v>
      </c>
      <c r="BG295" s="12" t="b">
        <f>EXACT(Tabla4[[#This Row],[TOTAL DESEMBOLSOS]],Tabla4[[#This Row],[VALOR ATENCIÓN (8 MESES)]])</f>
        <v>1</v>
      </c>
      <c r="BH295" s="29">
        <f>Tabla4[[#This Row],[TOTAL DESEMBOLSOS]]-Tabla4[[#This Row],[VALOR ATENCIÓN (8 MESES)]]</f>
        <v>0</v>
      </c>
      <c r="BI295" t="s">
        <v>98</v>
      </c>
      <c r="BJ295">
        <v>1909</v>
      </c>
    </row>
    <row r="296" spans="1:62">
      <c r="A296" s="13">
        <v>1909</v>
      </c>
      <c r="B296" s="13" t="s">
        <v>702</v>
      </c>
      <c r="C296" s="12" t="s">
        <v>87</v>
      </c>
      <c r="D296" s="12" t="s">
        <v>205</v>
      </c>
      <c r="E296" s="12" t="s">
        <v>703</v>
      </c>
      <c r="F296" s="12" t="s">
        <v>21</v>
      </c>
      <c r="G296" s="12" t="s">
        <v>90</v>
      </c>
      <c r="H296" s="12" t="s">
        <v>728</v>
      </c>
      <c r="I296" s="12">
        <v>50341135527</v>
      </c>
      <c r="J296" s="12" t="s">
        <v>729</v>
      </c>
      <c r="K296" s="12">
        <v>1</v>
      </c>
      <c r="L296" s="12">
        <v>17</v>
      </c>
      <c r="M296" s="12"/>
      <c r="N296" s="13">
        <v>1909</v>
      </c>
      <c r="O296" s="12" t="s">
        <v>93</v>
      </c>
      <c r="P296" s="12"/>
      <c r="Q296" s="12"/>
      <c r="R296" s="12" t="s">
        <v>94</v>
      </c>
      <c r="S296" s="12">
        <v>10</v>
      </c>
      <c r="T296" s="12" t="s">
        <v>379</v>
      </c>
      <c r="U296" s="12" t="s">
        <v>380</v>
      </c>
      <c r="V296" s="12">
        <f>VLOOKUP(Tabla4[[#This Row],[ZONA DEFINITIVO]],Hoja1!$A$1:$D$121,3,0)</f>
        <v>229074</v>
      </c>
      <c r="W296" s="12">
        <f>VLOOKUP(Tabla4[[#This Row],[ZONA DEFINITIVO]],Hoja1!$A$1:$D$121,2,0)</f>
        <v>15181</v>
      </c>
      <c r="X296" s="12">
        <f>VLOOKUP(Tabla4[[#This Row],[ZONA DEFINITIVO]],Hoja1!$A$1:$D$121,4,0)</f>
        <v>82225</v>
      </c>
      <c r="Y296" s="12" t="str">
        <f>+IF(Tabla4[[#This Row],[AGRUPACIONES]]=1,SUMIFS(Tabla4[UDS],Tabla4[ZONA DEFINITIVO],Tabla4[[#This Row],[ZONA DEFINITIVO]])," ")</f>
        <v xml:space="preserve"> </v>
      </c>
      <c r="Z296" s="12" t="str">
        <f>+IF(Tabla4[[#This Row],[AGRUPACIONES]]=1,SUMIFS(Tabla4[TOTAL COBERTURA],Tabla4[ZONA DEFINITIVO],Tabla4[[#This Row],[ZONA DEFINITIVO]])," ")</f>
        <v xml:space="preserve"> </v>
      </c>
      <c r="AA296" s="12"/>
      <c r="AB296" s="38">
        <v>25828185</v>
      </c>
      <c r="AC296" s="37">
        <v>0.02</v>
      </c>
      <c r="AD296" s="38">
        <f t="shared" si="5"/>
        <v>516563.7</v>
      </c>
      <c r="AE296" s="12"/>
      <c r="AF296" s="12">
        <f>COUNTIF($A$20:A296,A296)</f>
        <v>14</v>
      </c>
      <c r="AG296" s="38">
        <v>25828185</v>
      </c>
      <c r="AH296" s="38">
        <f>Tabla4[[#This Row],[VALOR CONTRAPARTIDA]]+Tabla4[[#This Row],[TOTAL APORTES ICBF]]</f>
        <v>26344748.699999999</v>
      </c>
      <c r="AI296" s="35"/>
      <c r="AJ296" s="38"/>
      <c r="AK296" s="38"/>
      <c r="AL296" s="23"/>
      <c r="AM296" s="35">
        <f>VLOOKUP(Tabla4[[#This Row],[SERVICIO 2025]],$J$2:$V$14,5,0)*Tabla4[[#This Row],[TOTAL COBERTURA]]</f>
        <v>794648</v>
      </c>
      <c r="AN296" s="35">
        <f>VLOOKUP(Tabla4[[#This Row],[SERVICIO 2025]],$J$2:$V$14,6,0)*Tabla4[[#This Row],[TOTAL COBERTURA]]</f>
        <v>643297</v>
      </c>
      <c r="AO296" s="35">
        <f>VLOOKUP(Tabla4[[#This Row],[SERVICIO 2025]],$J$2:$V$14,8,0)*Tabla4[[#This Row],[TOTAL COBERTURA]]</f>
        <v>0</v>
      </c>
      <c r="AP296" s="35">
        <f>VLOOKUP(Tabla4[[#This Row],[SERVICIO 2025]],$J$2:$V$14,3,0)*Tabla4[[#This Row],[TOTAL COBERTURA]]*8</f>
        <v>24390240</v>
      </c>
      <c r="AQ296" s="35"/>
      <c r="AR296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296" s="35" t="str">
        <f>+IF(Tabla4[[#This Row],[AGRUPACIONES]]=1,SUMIFS(Tabla4[VALOR TOTAL],Tabla4[ZONA DEFINITIVO],Tabla4[[#This Row],[ZONA DEFINITIVO]])," ")</f>
        <v xml:space="preserve"> </v>
      </c>
      <c r="AT296" s="27">
        <f>(VLOOKUP(Tabla4[[#This Row],[SERVICIO 2025]],$J$2:$V$14,3,0)*Tabla4[[#This Row],[TOTAL COBERTURA]])+Tabla4[[#This Row],[VALOR FASE PREPARATORIA DE ALISTAMIENTO]]+Tabla4[[#This Row],[DOTACIÓN ÚNICA]]</f>
        <v>3843428</v>
      </c>
      <c r="AU296" s="35">
        <f>(VLOOKUP(Tabla4[[#This Row],[SERVICIO 2025]],$J$2:$V$14,3,0)*Tabla4[[#This Row],[TOTAL COBERTURA]])</f>
        <v>3048780</v>
      </c>
      <c r="AV296" s="35">
        <f>(VLOOKUP(Tabla4[[#This Row],[SERVICIO 2025]],$J$2:$V$14,3,0)*Tabla4[[#This Row],[TOTAL COBERTURA]])</f>
        <v>3048780</v>
      </c>
      <c r="AW296" s="35">
        <f>(VLOOKUP(Tabla4[[#This Row],[SERVICIO 2025]],$J$2:$V$14,3,0)*Tabla4[[#This Row],[TOTAL COBERTURA]])</f>
        <v>3048780</v>
      </c>
      <c r="AX296" s="35">
        <f>(VLOOKUP(Tabla4[[#This Row],[SERVICIO 2025]],$J$2:$V$14,3,0)*Tabla4[[#This Row],[TOTAL COBERTURA]])</f>
        <v>3048780</v>
      </c>
      <c r="AY296" s="35">
        <f>(VLOOKUP(Tabla4[[#This Row],[SERVICIO 2025]],$J$2:$V$14,3,0)*Tabla4[[#This Row],[TOTAL COBERTURA]])</f>
        <v>3048780</v>
      </c>
      <c r="AZ296" s="35">
        <f>(VLOOKUP(Tabla4[[#This Row],[SERVICIO 2025]],$J$2:$V$14,3,0)*Tabla4[[#This Row],[TOTAL COBERTURA]])</f>
        <v>3048780</v>
      </c>
      <c r="BA296" s="35">
        <f>(VLOOKUP(Tabla4[[#This Row],[SERVICIO 2025]],$J$2:$V$14,3,0)*Tabla4[[#This Row],[TOTAL COBERTURA]])+Tabla4[[#This Row],[VALOR FASE PREPARATORIA DE CIERRE]]</f>
        <v>3692077</v>
      </c>
      <c r="BB296" s="35">
        <f>SUM(Tabla4[[#This Row],[DESEMBOLSO 1]:[DESEMBOLSO 8]])</f>
        <v>25828185</v>
      </c>
      <c r="BC296" s="35">
        <f>VLOOKUP(Tabla4[[#This Row],[SERVICIO 2025]],$J$2:$V$14,10,0)*Tabla4[[#This Row],[TOTAL COBERTURA]]*$W$3</f>
        <v>25611656</v>
      </c>
      <c r="BD296" s="47" t="s">
        <v>211</v>
      </c>
      <c r="BE296" s="12" t="b">
        <f>EXACT(Tabla4[[#This Row],[VALOR ATENCIÓN (8 MESES)]],Tabla4[[#This Row],[VALOR TOTAL]])</f>
        <v>1</v>
      </c>
      <c r="BF296" s="23">
        <f>Tabla4[[#This Row],[VALOR ATENCIÓN (8 MESES)]]-Tabla4[[#This Row],[VALOR TOTAL]]</f>
        <v>0</v>
      </c>
      <c r="BG296" s="12" t="b">
        <f>EXACT(Tabla4[[#This Row],[TOTAL DESEMBOLSOS]],Tabla4[[#This Row],[VALOR ATENCIÓN (8 MESES)]])</f>
        <v>1</v>
      </c>
      <c r="BH296" s="29">
        <f>Tabla4[[#This Row],[TOTAL DESEMBOLSOS]]-Tabla4[[#This Row],[VALOR ATENCIÓN (8 MESES)]]</f>
        <v>0</v>
      </c>
      <c r="BI296" t="s">
        <v>98</v>
      </c>
      <c r="BJ296">
        <v>1909</v>
      </c>
    </row>
    <row r="297" spans="1:62">
      <c r="A297" s="13">
        <v>1909</v>
      </c>
      <c r="B297" s="13" t="s">
        <v>702</v>
      </c>
      <c r="C297" s="12" t="s">
        <v>87</v>
      </c>
      <c r="D297" s="12" t="s">
        <v>205</v>
      </c>
      <c r="E297" s="12" t="s">
        <v>703</v>
      </c>
      <c r="F297" s="12" t="s">
        <v>21</v>
      </c>
      <c r="G297" s="12" t="s">
        <v>90</v>
      </c>
      <c r="H297" s="12" t="s">
        <v>730</v>
      </c>
      <c r="I297" s="12">
        <v>50341135529</v>
      </c>
      <c r="J297" s="12" t="s">
        <v>731</v>
      </c>
      <c r="K297" s="12">
        <v>1</v>
      </c>
      <c r="L297" s="12">
        <v>14</v>
      </c>
      <c r="M297" s="12"/>
      <c r="N297" s="13">
        <v>1909</v>
      </c>
      <c r="O297" s="12" t="s">
        <v>93</v>
      </c>
      <c r="P297" s="12"/>
      <c r="Q297" s="12"/>
      <c r="R297" s="12" t="s">
        <v>94</v>
      </c>
      <c r="S297" s="12">
        <v>10</v>
      </c>
      <c r="T297" s="12" t="s">
        <v>379</v>
      </c>
      <c r="U297" s="12" t="s">
        <v>380</v>
      </c>
      <c r="V297" s="12">
        <f>VLOOKUP(Tabla4[[#This Row],[ZONA DEFINITIVO]],Hoja1!$A$1:$D$121,3,0)</f>
        <v>229074</v>
      </c>
      <c r="W297" s="12">
        <f>VLOOKUP(Tabla4[[#This Row],[ZONA DEFINITIVO]],Hoja1!$A$1:$D$121,2,0)</f>
        <v>15181</v>
      </c>
      <c r="X297" s="12">
        <f>VLOOKUP(Tabla4[[#This Row],[ZONA DEFINITIVO]],Hoja1!$A$1:$D$121,4,0)</f>
        <v>82225</v>
      </c>
      <c r="Y297" s="12" t="str">
        <f>+IF(Tabla4[[#This Row],[AGRUPACIONES]]=1,SUMIFS(Tabla4[UDS],Tabla4[ZONA DEFINITIVO],Tabla4[[#This Row],[ZONA DEFINITIVO]])," ")</f>
        <v xml:space="preserve"> </v>
      </c>
      <c r="Z297" s="12" t="str">
        <f>+IF(Tabla4[[#This Row],[AGRUPACIONES]]=1,SUMIFS(Tabla4[TOTAL COBERTURA],Tabla4[ZONA DEFINITIVO],Tabla4[[#This Row],[ZONA DEFINITIVO]])," ")</f>
        <v xml:space="preserve"> </v>
      </c>
      <c r="AA297" s="12"/>
      <c r="AB297" s="38">
        <v>21270270</v>
      </c>
      <c r="AC297" s="37">
        <v>0.02</v>
      </c>
      <c r="AD297" s="38">
        <f t="shared" si="5"/>
        <v>425405.4</v>
      </c>
      <c r="AE297" s="12"/>
      <c r="AF297" s="12">
        <f>COUNTIF($A$20:A297,A297)</f>
        <v>15</v>
      </c>
      <c r="AG297" s="38">
        <v>21270270</v>
      </c>
      <c r="AH297" s="38">
        <f>Tabla4[[#This Row],[VALOR CONTRAPARTIDA]]+Tabla4[[#This Row],[TOTAL APORTES ICBF]]</f>
        <v>21695675.399999999</v>
      </c>
      <c r="AI297" s="35"/>
      <c r="AJ297" s="38"/>
      <c r="AK297" s="38"/>
      <c r="AL297" s="23"/>
      <c r="AM297" s="35">
        <f>VLOOKUP(Tabla4[[#This Row],[SERVICIO 2025]],$J$2:$V$14,5,0)*Tabla4[[#This Row],[TOTAL COBERTURA]]</f>
        <v>654416</v>
      </c>
      <c r="AN297" s="35">
        <f>VLOOKUP(Tabla4[[#This Row],[SERVICIO 2025]],$J$2:$V$14,6,0)*Tabla4[[#This Row],[TOTAL COBERTURA]]</f>
        <v>529774</v>
      </c>
      <c r="AO297" s="35">
        <f>VLOOKUP(Tabla4[[#This Row],[SERVICIO 2025]],$J$2:$V$14,8,0)*Tabla4[[#This Row],[TOTAL COBERTURA]]</f>
        <v>0</v>
      </c>
      <c r="AP297" s="35">
        <f>VLOOKUP(Tabla4[[#This Row],[SERVICIO 2025]],$J$2:$V$14,3,0)*Tabla4[[#This Row],[TOTAL COBERTURA]]*8</f>
        <v>20086080</v>
      </c>
      <c r="AQ297" s="35"/>
      <c r="AR297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297" s="35" t="str">
        <f>+IF(Tabla4[[#This Row],[AGRUPACIONES]]=1,SUMIFS(Tabla4[VALOR TOTAL],Tabla4[ZONA DEFINITIVO],Tabla4[[#This Row],[ZONA DEFINITIVO]])," ")</f>
        <v xml:space="preserve"> </v>
      </c>
      <c r="AT297" s="27">
        <f>(VLOOKUP(Tabla4[[#This Row],[SERVICIO 2025]],$J$2:$V$14,3,0)*Tabla4[[#This Row],[TOTAL COBERTURA]])+Tabla4[[#This Row],[VALOR FASE PREPARATORIA DE ALISTAMIENTO]]+Tabla4[[#This Row],[DOTACIÓN ÚNICA]]</f>
        <v>3165176</v>
      </c>
      <c r="AU297" s="35">
        <f>(VLOOKUP(Tabla4[[#This Row],[SERVICIO 2025]],$J$2:$V$14,3,0)*Tabla4[[#This Row],[TOTAL COBERTURA]])</f>
        <v>2510760</v>
      </c>
      <c r="AV297" s="35">
        <f>(VLOOKUP(Tabla4[[#This Row],[SERVICIO 2025]],$J$2:$V$14,3,0)*Tabla4[[#This Row],[TOTAL COBERTURA]])</f>
        <v>2510760</v>
      </c>
      <c r="AW297" s="35">
        <f>(VLOOKUP(Tabla4[[#This Row],[SERVICIO 2025]],$J$2:$V$14,3,0)*Tabla4[[#This Row],[TOTAL COBERTURA]])</f>
        <v>2510760</v>
      </c>
      <c r="AX297" s="35">
        <f>(VLOOKUP(Tabla4[[#This Row],[SERVICIO 2025]],$J$2:$V$14,3,0)*Tabla4[[#This Row],[TOTAL COBERTURA]])</f>
        <v>2510760</v>
      </c>
      <c r="AY297" s="35">
        <f>(VLOOKUP(Tabla4[[#This Row],[SERVICIO 2025]],$J$2:$V$14,3,0)*Tabla4[[#This Row],[TOTAL COBERTURA]])</f>
        <v>2510760</v>
      </c>
      <c r="AZ297" s="35">
        <f>(VLOOKUP(Tabla4[[#This Row],[SERVICIO 2025]],$J$2:$V$14,3,0)*Tabla4[[#This Row],[TOTAL COBERTURA]])</f>
        <v>2510760</v>
      </c>
      <c r="BA297" s="35">
        <f>(VLOOKUP(Tabla4[[#This Row],[SERVICIO 2025]],$J$2:$V$14,3,0)*Tabla4[[#This Row],[TOTAL COBERTURA]])+Tabla4[[#This Row],[VALOR FASE PREPARATORIA DE CIERRE]]</f>
        <v>3040534</v>
      </c>
      <c r="BB297" s="35">
        <f>SUM(Tabla4[[#This Row],[DESEMBOLSO 1]:[DESEMBOLSO 8]])</f>
        <v>21270270</v>
      </c>
      <c r="BC297" s="35">
        <f>VLOOKUP(Tabla4[[#This Row],[SERVICIO 2025]],$J$2:$V$14,10,0)*Tabla4[[#This Row],[TOTAL COBERTURA]]*$W$3</f>
        <v>21091952</v>
      </c>
      <c r="BD297" s="47" t="s">
        <v>211</v>
      </c>
      <c r="BE297" s="12" t="b">
        <f>EXACT(Tabla4[[#This Row],[VALOR ATENCIÓN (8 MESES)]],Tabla4[[#This Row],[VALOR TOTAL]])</f>
        <v>1</v>
      </c>
      <c r="BF297" s="23">
        <f>Tabla4[[#This Row],[VALOR ATENCIÓN (8 MESES)]]-Tabla4[[#This Row],[VALOR TOTAL]]</f>
        <v>0</v>
      </c>
      <c r="BG297" s="12" t="b">
        <f>EXACT(Tabla4[[#This Row],[TOTAL DESEMBOLSOS]],Tabla4[[#This Row],[VALOR ATENCIÓN (8 MESES)]])</f>
        <v>1</v>
      </c>
      <c r="BH297" s="29">
        <f>Tabla4[[#This Row],[TOTAL DESEMBOLSOS]]-Tabla4[[#This Row],[VALOR ATENCIÓN (8 MESES)]]</f>
        <v>0</v>
      </c>
      <c r="BI297" t="s">
        <v>98</v>
      </c>
      <c r="BJ297">
        <v>1909</v>
      </c>
    </row>
    <row r="298" spans="1:62">
      <c r="A298" s="13">
        <v>1909</v>
      </c>
      <c r="B298" s="13" t="s">
        <v>702</v>
      </c>
      <c r="C298" s="12" t="s">
        <v>87</v>
      </c>
      <c r="D298" s="12" t="s">
        <v>205</v>
      </c>
      <c r="E298" s="12" t="s">
        <v>703</v>
      </c>
      <c r="F298" s="12" t="s">
        <v>21</v>
      </c>
      <c r="G298" s="12" t="s">
        <v>90</v>
      </c>
      <c r="H298" s="12" t="s">
        <v>732</v>
      </c>
      <c r="I298" s="12">
        <v>50341135534</v>
      </c>
      <c r="J298" s="12" t="s">
        <v>733</v>
      </c>
      <c r="K298" s="12">
        <v>1</v>
      </c>
      <c r="L298" s="12">
        <v>14</v>
      </c>
      <c r="M298" s="12"/>
      <c r="N298" s="13">
        <v>1909</v>
      </c>
      <c r="O298" s="12" t="s">
        <v>93</v>
      </c>
      <c r="P298" s="12"/>
      <c r="Q298" s="12"/>
      <c r="R298" s="12" t="s">
        <v>94</v>
      </c>
      <c r="S298" s="12">
        <v>10</v>
      </c>
      <c r="T298" s="12" t="s">
        <v>379</v>
      </c>
      <c r="U298" s="12" t="s">
        <v>380</v>
      </c>
      <c r="V298" s="12">
        <f>VLOOKUP(Tabla4[[#This Row],[ZONA DEFINITIVO]],Hoja1!$A$1:$D$121,3,0)</f>
        <v>229074</v>
      </c>
      <c r="W298" s="12">
        <f>VLOOKUP(Tabla4[[#This Row],[ZONA DEFINITIVO]],Hoja1!$A$1:$D$121,2,0)</f>
        <v>15181</v>
      </c>
      <c r="X298" s="12">
        <f>VLOOKUP(Tabla4[[#This Row],[ZONA DEFINITIVO]],Hoja1!$A$1:$D$121,4,0)</f>
        <v>82225</v>
      </c>
      <c r="Y298" s="12" t="str">
        <f>+IF(Tabla4[[#This Row],[AGRUPACIONES]]=1,SUMIFS(Tabla4[UDS],Tabla4[ZONA DEFINITIVO],Tabla4[[#This Row],[ZONA DEFINITIVO]])," ")</f>
        <v xml:space="preserve"> </v>
      </c>
      <c r="Z298" s="12" t="str">
        <f>+IF(Tabla4[[#This Row],[AGRUPACIONES]]=1,SUMIFS(Tabla4[TOTAL COBERTURA],Tabla4[ZONA DEFINITIVO],Tabla4[[#This Row],[ZONA DEFINITIVO]])," ")</f>
        <v xml:space="preserve"> </v>
      </c>
      <c r="AA298" s="12"/>
      <c r="AB298" s="38">
        <v>21270270</v>
      </c>
      <c r="AC298" s="37">
        <v>0.02</v>
      </c>
      <c r="AD298" s="38">
        <f t="shared" si="5"/>
        <v>425405.4</v>
      </c>
      <c r="AE298" s="12"/>
      <c r="AF298" s="12">
        <f>COUNTIF($A$20:A298,A298)</f>
        <v>16</v>
      </c>
      <c r="AG298" s="38">
        <v>21270270</v>
      </c>
      <c r="AH298" s="38">
        <f>Tabla4[[#This Row],[VALOR CONTRAPARTIDA]]+Tabla4[[#This Row],[TOTAL APORTES ICBF]]</f>
        <v>21695675.399999999</v>
      </c>
      <c r="AI298" s="35"/>
      <c r="AJ298" s="38"/>
      <c r="AK298" s="38"/>
      <c r="AL298" s="23"/>
      <c r="AM298" s="35">
        <f>VLOOKUP(Tabla4[[#This Row],[SERVICIO 2025]],$J$2:$V$14,5,0)*Tabla4[[#This Row],[TOTAL COBERTURA]]</f>
        <v>654416</v>
      </c>
      <c r="AN298" s="35">
        <f>VLOOKUP(Tabla4[[#This Row],[SERVICIO 2025]],$J$2:$V$14,6,0)*Tabla4[[#This Row],[TOTAL COBERTURA]]</f>
        <v>529774</v>
      </c>
      <c r="AO298" s="35">
        <f>VLOOKUP(Tabla4[[#This Row],[SERVICIO 2025]],$J$2:$V$14,8,0)*Tabla4[[#This Row],[TOTAL COBERTURA]]</f>
        <v>0</v>
      </c>
      <c r="AP298" s="35">
        <f>VLOOKUP(Tabla4[[#This Row],[SERVICIO 2025]],$J$2:$V$14,3,0)*Tabla4[[#This Row],[TOTAL COBERTURA]]*8</f>
        <v>20086080</v>
      </c>
      <c r="AQ298" s="35"/>
      <c r="AR298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298" s="35" t="str">
        <f>+IF(Tabla4[[#This Row],[AGRUPACIONES]]=1,SUMIFS(Tabla4[VALOR TOTAL],Tabla4[ZONA DEFINITIVO],Tabla4[[#This Row],[ZONA DEFINITIVO]])," ")</f>
        <v xml:space="preserve"> </v>
      </c>
      <c r="AT298" s="27">
        <f>(VLOOKUP(Tabla4[[#This Row],[SERVICIO 2025]],$J$2:$V$14,3,0)*Tabla4[[#This Row],[TOTAL COBERTURA]])+Tabla4[[#This Row],[VALOR FASE PREPARATORIA DE ALISTAMIENTO]]+Tabla4[[#This Row],[DOTACIÓN ÚNICA]]</f>
        <v>3165176</v>
      </c>
      <c r="AU298" s="35">
        <f>(VLOOKUP(Tabla4[[#This Row],[SERVICIO 2025]],$J$2:$V$14,3,0)*Tabla4[[#This Row],[TOTAL COBERTURA]])</f>
        <v>2510760</v>
      </c>
      <c r="AV298" s="35">
        <f>(VLOOKUP(Tabla4[[#This Row],[SERVICIO 2025]],$J$2:$V$14,3,0)*Tabla4[[#This Row],[TOTAL COBERTURA]])</f>
        <v>2510760</v>
      </c>
      <c r="AW298" s="35">
        <f>(VLOOKUP(Tabla4[[#This Row],[SERVICIO 2025]],$J$2:$V$14,3,0)*Tabla4[[#This Row],[TOTAL COBERTURA]])</f>
        <v>2510760</v>
      </c>
      <c r="AX298" s="35">
        <f>(VLOOKUP(Tabla4[[#This Row],[SERVICIO 2025]],$J$2:$V$14,3,0)*Tabla4[[#This Row],[TOTAL COBERTURA]])</f>
        <v>2510760</v>
      </c>
      <c r="AY298" s="35">
        <f>(VLOOKUP(Tabla4[[#This Row],[SERVICIO 2025]],$J$2:$V$14,3,0)*Tabla4[[#This Row],[TOTAL COBERTURA]])</f>
        <v>2510760</v>
      </c>
      <c r="AZ298" s="35">
        <f>(VLOOKUP(Tabla4[[#This Row],[SERVICIO 2025]],$J$2:$V$14,3,0)*Tabla4[[#This Row],[TOTAL COBERTURA]])</f>
        <v>2510760</v>
      </c>
      <c r="BA298" s="35">
        <f>(VLOOKUP(Tabla4[[#This Row],[SERVICIO 2025]],$J$2:$V$14,3,0)*Tabla4[[#This Row],[TOTAL COBERTURA]])+Tabla4[[#This Row],[VALOR FASE PREPARATORIA DE CIERRE]]</f>
        <v>3040534</v>
      </c>
      <c r="BB298" s="35">
        <f>SUM(Tabla4[[#This Row],[DESEMBOLSO 1]:[DESEMBOLSO 8]])</f>
        <v>21270270</v>
      </c>
      <c r="BC298" s="35">
        <f>VLOOKUP(Tabla4[[#This Row],[SERVICIO 2025]],$J$2:$V$14,10,0)*Tabla4[[#This Row],[TOTAL COBERTURA]]*$W$3</f>
        <v>21091952</v>
      </c>
      <c r="BD298" s="47" t="s">
        <v>211</v>
      </c>
      <c r="BE298" s="12" t="b">
        <f>EXACT(Tabla4[[#This Row],[VALOR ATENCIÓN (8 MESES)]],Tabla4[[#This Row],[VALOR TOTAL]])</f>
        <v>1</v>
      </c>
      <c r="BF298" s="23">
        <f>Tabla4[[#This Row],[VALOR ATENCIÓN (8 MESES)]]-Tabla4[[#This Row],[VALOR TOTAL]]</f>
        <v>0</v>
      </c>
      <c r="BG298" s="12" t="b">
        <f>EXACT(Tabla4[[#This Row],[TOTAL DESEMBOLSOS]],Tabla4[[#This Row],[VALOR ATENCIÓN (8 MESES)]])</f>
        <v>1</v>
      </c>
      <c r="BH298" s="29">
        <f>Tabla4[[#This Row],[TOTAL DESEMBOLSOS]]-Tabla4[[#This Row],[VALOR ATENCIÓN (8 MESES)]]</f>
        <v>0</v>
      </c>
      <c r="BI298" t="s">
        <v>98</v>
      </c>
      <c r="BJ298">
        <v>1909</v>
      </c>
    </row>
    <row r="299" spans="1:62">
      <c r="A299" s="13">
        <v>1909</v>
      </c>
      <c r="B299" s="13" t="s">
        <v>702</v>
      </c>
      <c r="C299" s="12" t="s">
        <v>87</v>
      </c>
      <c r="D299" s="12" t="s">
        <v>205</v>
      </c>
      <c r="E299" s="12" t="s">
        <v>703</v>
      </c>
      <c r="F299" s="12" t="s">
        <v>21</v>
      </c>
      <c r="G299" s="12" t="s">
        <v>90</v>
      </c>
      <c r="H299" s="12" t="s">
        <v>734</v>
      </c>
      <c r="I299" s="12">
        <v>50341135535</v>
      </c>
      <c r="J299" s="12" t="s">
        <v>735</v>
      </c>
      <c r="K299" s="12">
        <v>1</v>
      </c>
      <c r="L299" s="12">
        <v>33</v>
      </c>
      <c r="M299" s="12"/>
      <c r="N299" s="13">
        <v>1909</v>
      </c>
      <c r="O299" s="12" t="s">
        <v>93</v>
      </c>
      <c r="P299" s="12"/>
      <c r="Q299" s="12"/>
      <c r="R299" s="12" t="s">
        <v>94</v>
      </c>
      <c r="S299" s="12">
        <v>10</v>
      </c>
      <c r="T299" s="12" t="s">
        <v>379</v>
      </c>
      <c r="U299" s="12" t="s">
        <v>380</v>
      </c>
      <c r="V299" s="12">
        <f>VLOOKUP(Tabla4[[#This Row],[ZONA DEFINITIVO]],Hoja1!$A$1:$D$121,3,0)</f>
        <v>229074</v>
      </c>
      <c r="W299" s="12">
        <f>VLOOKUP(Tabla4[[#This Row],[ZONA DEFINITIVO]],Hoja1!$A$1:$D$121,2,0)</f>
        <v>15181</v>
      </c>
      <c r="X299" s="12">
        <f>VLOOKUP(Tabla4[[#This Row],[ZONA DEFINITIVO]],Hoja1!$A$1:$D$121,4,0)</f>
        <v>82225</v>
      </c>
      <c r="Y299" s="12" t="str">
        <f>+IF(Tabla4[[#This Row],[AGRUPACIONES]]=1,SUMIFS(Tabla4[UDS],Tabla4[ZONA DEFINITIVO],Tabla4[[#This Row],[ZONA DEFINITIVO]])," ")</f>
        <v xml:space="preserve"> </v>
      </c>
      <c r="Z299" s="12" t="str">
        <f>+IF(Tabla4[[#This Row],[AGRUPACIONES]]=1,SUMIFS(Tabla4[TOTAL COBERTURA],Tabla4[ZONA DEFINITIVO],Tabla4[[#This Row],[ZONA DEFINITIVO]])," ")</f>
        <v xml:space="preserve"> </v>
      </c>
      <c r="AA299" s="12"/>
      <c r="AB299" s="38">
        <v>50137065</v>
      </c>
      <c r="AC299" s="37">
        <v>0.02</v>
      </c>
      <c r="AD299" s="38">
        <f t="shared" si="5"/>
        <v>1002741.3</v>
      </c>
      <c r="AE299" s="12"/>
      <c r="AF299" s="12">
        <f>COUNTIF($A$20:A299,A299)</f>
        <v>17</v>
      </c>
      <c r="AG299" s="38">
        <v>50137065</v>
      </c>
      <c r="AH299" s="38">
        <f>Tabla4[[#This Row],[VALOR CONTRAPARTIDA]]+Tabla4[[#This Row],[TOTAL APORTES ICBF]]</f>
        <v>51139806.299999997</v>
      </c>
      <c r="AI299" s="35"/>
      <c r="AJ299" s="38"/>
      <c r="AK299" s="38"/>
      <c r="AL299" s="23"/>
      <c r="AM299" s="35">
        <f>VLOOKUP(Tabla4[[#This Row],[SERVICIO 2025]],$J$2:$V$14,5,0)*Tabla4[[#This Row],[TOTAL COBERTURA]]</f>
        <v>1542552</v>
      </c>
      <c r="AN299" s="35">
        <f>VLOOKUP(Tabla4[[#This Row],[SERVICIO 2025]],$J$2:$V$14,6,0)*Tabla4[[#This Row],[TOTAL COBERTURA]]</f>
        <v>1248753</v>
      </c>
      <c r="AO299" s="35">
        <f>VLOOKUP(Tabla4[[#This Row],[SERVICIO 2025]],$J$2:$V$14,8,0)*Tabla4[[#This Row],[TOTAL COBERTURA]]</f>
        <v>0</v>
      </c>
      <c r="AP299" s="35">
        <f>VLOOKUP(Tabla4[[#This Row],[SERVICIO 2025]],$J$2:$V$14,3,0)*Tabla4[[#This Row],[TOTAL COBERTURA]]*8</f>
        <v>47345760</v>
      </c>
      <c r="AQ299" s="35"/>
      <c r="AR299" s="35">
        <f>Tabla4[[#This Row],[VALOR FASE PREPARATORIA DE ALISTAMIENTO]]+Tabla4[[#This Row],[VALOR FASE PREPARATORIA DE CIERRE]]+Tabla4[[#This Row],[DOTACIÓN ÚNICA]]+Tabla4[[#This Row],[VALOR ATENCIÓN]]+Tabla4[[#This Row],[VALOR RACION PREPARADA]]</f>
        <v>50137065</v>
      </c>
      <c r="AS299" s="35" t="str">
        <f>+IF(Tabla4[[#This Row],[AGRUPACIONES]]=1,SUMIFS(Tabla4[VALOR TOTAL],Tabla4[ZONA DEFINITIVO],Tabla4[[#This Row],[ZONA DEFINITIVO]])," ")</f>
        <v xml:space="preserve"> </v>
      </c>
      <c r="AT299" s="27">
        <f>(VLOOKUP(Tabla4[[#This Row],[SERVICIO 2025]],$J$2:$V$14,3,0)*Tabla4[[#This Row],[TOTAL COBERTURA]])+Tabla4[[#This Row],[VALOR FASE PREPARATORIA DE ALISTAMIENTO]]+Tabla4[[#This Row],[DOTACIÓN ÚNICA]]</f>
        <v>7460772</v>
      </c>
      <c r="AU299" s="35">
        <f>(VLOOKUP(Tabla4[[#This Row],[SERVICIO 2025]],$J$2:$V$14,3,0)*Tabla4[[#This Row],[TOTAL COBERTURA]])</f>
        <v>5918220</v>
      </c>
      <c r="AV299" s="35">
        <f>(VLOOKUP(Tabla4[[#This Row],[SERVICIO 2025]],$J$2:$V$14,3,0)*Tabla4[[#This Row],[TOTAL COBERTURA]])</f>
        <v>5918220</v>
      </c>
      <c r="AW299" s="35">
        <f>(VLOOKUP(Tabla4[[#This Row],[SERVICIO 2025]],$J$2:$V$14,3,0)*Tabla4[[#This Row],[TOTAL COBERTURA]])</f>
        <v>5918220</v>
      </c>
      <c r="AX299" s="35">
        <f>(VLOOKUP(Tabla4[[#This Row],[SERVICIO 2025]],$J$2:$V$14,3,0)*Tabla4[[#This Row],[TOTAL COBERTURA]])</f>
        <v>5918220</v>
      </c>
      <c r="AY299" s="35">
        <f>(VLOOKUP(Tabla4[[#This Row],[SERVICIO 2025]],$J$2:$V$14,3,0)*Tabla4[[#This Row],[TOTAL COBERTURA]])</f>
        <v>5918220</v>
      </c>
      <c r="AZ299" s="35">
        <f>(VLOOKUP(Tabla4[[#This Row],[SERVICIO 2025]],$J$2:$V$14,3,0)*Tabla4[[#This Row],[TOTAL COBERTURA]])</f>
        <v>5918220</v>
      </c>
      <c r="BA299" s="35">
        <f>(VLOOKUP(Tabla4[[#This Row],[SERVICIO 2025]],$J$2:$V$14,3,0)*Tabla4[[#This Row],[TOTAL COBERTURA]])+Tabla4[[#This Row],[VALOR FASE PREPARATORIA DE CIERRE]]</f>
        <v>7166973</v>
      </c>
      <c r="BB299" s="35">
        <f>SUM(Tabla4[[#This Row],[DESEMBOLSO 1]:[DESEMBOLSO 8]])</f>
        <v>50137065</v>
      </c>
      <c r="BC299" s="35">
        <f>VLOOKUP(Tabla4[[#This Row],[SERVICIO 2025]],$J$2:$V$14,10,0)*Tabla4[[#This Row],[TOTAL COBERTURA]]*$W$3</f>
        <v>49716744</v>
      </c>
      <c r="BD299" s="47" t="s">
        <v>211</v>
      </c>
      <c r="BE299" s="12" t="b">
        <f>EXACT(Tabla4[[#This Row],[VALOR ATENCIÓN (8 MESES)]],Tabla4[[#This Row],[VALOR TOTAL]])</f>
        <v>1</v>
      </c>
      <c r="BF299" s="23">
        <f>Tabla4[[#This Row],[VALOR ATENCIÓN (8 MESES)]]-Tabla4[[#This Row],[VALOR TOTAL]]</f>
        <v>0</v>
      </c>
      <c r="BG299" s="12" t="b">
        <f>EXACT(Tabla4[[#This Row],[TOTAL DESEMBOLSOS]],Tabla4[[#This Row],[VALOR ATENCIÓN (8 MESES)]])</f>
        <v>1</v>
      </c>
      <c r="BH299" s="29">
        <f>Tabla4[[#This Row],[TOTAL DESEMBOLSOS]]-Tabla4[[#This Row],[VALOR ATENCIÓN (8 MESES)]]</f>
        <v>0</v>
      </c>
      <c r="BI299" t="s">
        <v>98</v>
      </c>
      <c r="BJ299">
        <v>1909</v>
      </c>
    </row>
    <row r="300" spans="1:62">
      <c r="A300" s="13">
        <v>1909</v>
      </c>
      <c r="B300" s="13" t="s">
        <v>702</v>
      </c>
      <c r="C300" s="12" t="s">
        <v>87</v>
      </c>
      <c r="D300" s="12" t="s">
        <v>205</v>
      </c>
      <c r="E300" s="12" t="s">
        <v>703</v>
      </c>
      <c r="F300" s="12" t="s">
        <v>21</v>
      </c>
      <c r="G300" s="12" t="s">
        <v>90</v>
      </c>
      <c r="H300" s="12" t="s">
        <v>736</v>
      </c>
      <c r="I300" s="12">
        <v>50341135537</v>
      </c>
      <c r="J300" s="12" t="s">
        <v>737</v>
      </c>
      <c r="K300" s="12">
        <v>1</v>
      </c>
      <c r="L300" s="12">
        <v>18</v>
      </c>
      <c r="M300" s="12"/>
      <c r="N300" s="13">
        <v>1909</v>
      </c>
      <c r="O300" s="12" t="s">
        <v>93</v>
      </c>
      <c r="P300" s="12"/>
      <c r="Q300" s="12"/>
      <c r="R300" s="12" t="s">
        <v>94</v>
      </c>
      <c r="S300" s="12">
        <v>10</v>
      </c>
      <c r="T300" s="12" t="s">
        <v>379</v>
      </c>
      <c r="U300" s="12" t="s">
        <v>380</v>
      </c>
      <c r="V300" s="12">
        <f>VLOOKUP(Tabla4[[#This Row],[ZONA DEFINITIVO]],Hoja1!$A$1:$D$121,3,0)</f>
        <v>229074</v>
      </c>
      <c r="W300" s="12">
        <f>VLOOKUP(Tabla4[[#This Row],[ZONA DEFINITIVO]],Hoja1!$A$1:$D$121,2,0)</f>
        <v>15181</v>
      </c>
      <c r="X300" s="12">
        <f>VLOOKUP(Tabla4[[#This Row],[ZONA DEFINITIVO]],Hoja1!$A$1:$D$121,4,0)</f>
        <v>82225</v>
      </c>
      <c r="Y300" s="12" t="str">
        <f>+IF(Tabla4[[#This Row],[AGRUPACIONES]]=1,SUMIFS(Tabla4[UDS],Tabla4[ZONA DEFINITIVO],Tabla4[[#This Row],[ZONA DEFINITIVO]])," ")</f>
        <v xml:space="preserve"> </v>
      </c>
      <c r="Z300" s="12" t="str">
        <f>+IF(Tabla4[[#This Row],[AGRUPACIONES]]=1,SUMIFS(Tabla4[TOTAL COBERTURA],Tabla4[ZONA DEFINITIVO],Tabla4[[#This Row],[ZONA DEFINITIVO]])," ")</f>
        <v xml:space="preserve"> </v>
      </c>
      <c r="AA300" s="12"/>
      <c r="AB300" s="38">
        <v>27347490</v>
      </c>
      <c r="AC300" s="37">
        <v>0.02</v>
      </c>
      <c r="AD300" s="38">
        <f t="shared" si="5"/>
        <v>546949.80000000005</v>
      </c>
      <c r="AE300" s="12"/>
      <c r="AF300" s="12">
        <f>COUNTIF($A$20:A300,A300)</f>
        <v>18</v>
      </c>
      <c r="AG300" s="38">
        <v>27347490</v>
      </c>
      <c r="AH300" s="38">
        <f>Tabla4[[#This Row],[VALOR CONTRAPARTIDA]]+Tabla4[[#This Row],[TOTAL APORTES ICBF]]</f>
        <v>27894439.800000001</v>
      </c>
      <c r="AI300" s="35"/>
      <c r="AJ300" s="38"/>
      <c r="AK300" s="38"/>
      <c r="AL300" s="23"/>
      <c r="AM300" s="35">
        <f>VLOOKUP(Tabla4[[#This Row],[SERVICIO 2025]],$J$2:$V$14,5,0)*Tabla4[[#This Row],[TOTAL COBERTURA]]</f>
        <v>841392</v>
      </c>
      <c r="AN300" s="35">
        <f>VLOOKUP(Tabla4[[#This Row],[SERVICIO 2025]],$J$2:$V$14,6,0)*Tabla4[[#This Row],[TOTAL COBERTURA]]</f>
        <v>681138</v>
      </c>
      <c r="AO300" s="35">
        <f>VLOOKUP(Tabla4[[#This Row],[SERVICIO 2025]],$J$2:$V$14,8,0)*Tabla4[[#This Row],[TOTAL COBERTURA]]</f>
        <v>0</v>
      </c>
      <c r="AP300" s="35">
        <f>VLOOKUP(Tabla4[[#This Row],[SERVICIO 2025]],$J$2:$V$14,3,0)*Tabla4[[#This Row],[TOTAL COBERTURA]]*8</f>
        <v>25824960</v>
      </c>
      <c r="AQ300" s="35"/>
      <c r="AR300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300" s="35" t="str">
        <f>+IF(Tabla4[[#This Row],[AGRUPACIONES]]=1,SUMIFS(Tabla4[VALOR TOTAL],Tabla4[ZONA DEFINITIVO],Tabla4[[#This Row],[ZONA DEFINITIVO]])," ")</f>
        <v xml:space="preserve"> </v>
      </c>
      <c r="AT300" s="27">
        <f>(VLOOKUP(Tabla4[[#This Row],[SERVICIO 2025]],$J$2:$V$14,3,0)*Tabla4[[#This Row],[TOTAL COBERTURA]])+Tabla4[[#This Row],[VALOR FASE PREPARATORIA DE ALISTAMIENTO]]+Tabla4[[#This Row],[DOTACIÓN ÚNICA]]</f>
        <v>4069512</v>
      </c>
      <c r="AU300" s="35">
        <f>(VLOOKUP(Tabla4[[#This Row],[SERVICIO 2025]],$J$2:$V$14,3,0)*Tabla4[[#This Row],[TOTAL COBERTURA]])</f>
        <v>3228120</v>
      </c>
      <c r="AV300" s="35">
        <f>(VLOOKUP(Tabla4[[#This Row],[SERVICIO 2025]],$J$2:$V$14,3,0)*Tabla4[[#This Row],[TOTAL COBERTURA]])</f>
        <v>3228120</v>
      </c>
      <c r="AW300" s="35">
        <f>(VLOOKUP(Tabla4[[#This Row],[SERVICIO 2025]],$J$2:$V$14,3,0)*Tabla4[[#This Row],[TOTAL COBERTURA]])</f>
        <v>3228120</v>
      </c>
      <c r="AX300" s="35">
        <f>(VLOOKUP(Tabla4[[#This Row],[SERVICIO 2025]],$J$2:$V$14,3,0)*Tabla4[[#This Row],[TOTAL COBERTURA]])</f>
        <v>3228120</v>
      </c>
      <c r="AY300" s="35">
        <f>(VLOOKUP(Tabla4[[#This Row],[SERVICIO 2025]],$J$2:$V$14,3,0)*Tabla4[[#This Row],[TOTAL COBERTURA]])</f>
        <v>3228120</v>
      </c>
      <c r="AZ300" s="35">
        <f>(VLOOKUP(Tabla4[[#This Row],[SERVICIO 2025]],$J$2:$V$14,3,0)*Tabla4[[#This Row],[TOTAL COBERTURA]])</f>
        <v>3228120</v>
      </c>
      <c r="BA300" s="35">
        <f>(VLOOKUP(Tabla4[[#This Row],[SERVICIO 2025]],$J$2:$V$14,3,0)*Tabla4[[#This Row],[TOTAL COBERTURA]])+Tabla4[[#This Row],[VALOR FASE PREPARATORIA DE CIERRE]]</f>
        <v>3909258</v>
      </c>
      <c r="BB300" s="35">
        <f>SUM(Tabla4[[#This Row],[DESEMBOLSO 1]:[DESEMBOLSO 8]])</f>
        <v>27347490</v>
      </c>
      <c r="BC300" s="35">
        <f>VLOOKUP(Tabla4[[#This Row],[SERVICIO 2025]],$J$2:$V$14,10,0)*Tabla4[[#This Row],[TOTAL COBERTURA]]*$W$3</f>
        <v>27118224</v>
      </c>
      <c r="BD300" s="47" t="s">
        <v>211</v>
      </c>
      <c r="BE300" s="12" t="b">
        <f>EXACT(Tabla4[[#This Row],[VALOR ATENCIÓN (8 MESES)]],Tabla4[[#This Row],[VALOR TOTAL]])</f>
        <v>1</v>
      </c>
      <c r="BF300" s="23">
        <f>Tabla4[[#This Row],[VALOR ATENCIÓN (8 MESES)]]-Tabla4[[#This Row],[VALOR TOTAL]]</f>
        <v>0</v>
      </c>
      <c r="BG300" s="12" t="b">
        <f>EXACT(Tabla4[[#This Row],[TOTAL DESEMBOLSOS]],Tabla4[[#This Row],[VALOR ATENCIÓN (8 MESES)]])</f>
        <v>1</v>
      </c>
      <c r="BH300" s="29">
        <f>Tabla4[[#This Row],[TOTAL DESEMBOLSOS]]-Tabla4[[#This Row],[VALOR ATENCIÓN (8 MESES)]]</f>
        <v>0</v>
      </c>
      <c r="BI300" t="s">
        <v>98</v>
      </c>
      <c r="BJ300">
        <v>1909</v>
      </c>
    </row>
    <row r="301" spans="1:62">
      <c r="A301" s="13">
        <v>1909</v>
      </c>
      <c r="B301" s="13" t="s">
        <v>702</v>
      </c>
      <c r="C301" s="12" t="s">
        <v>87</v>
      </c>
      <c r="D301" s="12" t="s">
        <v>205</v>
      </c>
      <c r="E301" s="12" t="s">
        <v>703</v>
      </c>
      <c r="F301" s="12" t="s">
        <v>21</v>
      </c>
      <c r="G301" s="12" t="s">
        <v>90</v>
      </c>
      <c r="H301" s="12" t="s">
        <v>738</v>
      </c>
      <c r="I301" s="12">
        <v>50341152824</v>
      </c>
      <c r="J301" s="12" t="s">
        <v>739</v>
      </c>
      <c r="K301" s="12">
        <v>1</v>
      </c>
      <c r="L301" s="12">
        <v>13</v>
      </c>
      <c r="M301" s="12"/>
      <c r="N301" s="13">
        <v>1909</v>
      </c>
      <c r="O301" s="12" t="s">
        <v>93</v>
      </c>
      <c r="P301" s="12"/>
      <c r="Q301" s="12"/>
      <c r="R301" s="12" t="s">
        <v>94</v>
      </c>
      <c r="S301" s="12">
        <v>10</v>
      </c>
      <c r="T301" s="12" t="s">
        <v>379</v>
      </c>
      <c r="U301" s="12" t="s">
        <v>380</v>
      </c>
      <c r="V301" s="12">
        <f>VLOOKUP(Tabla4[[#This Row],[ZONA DEFINITIVO]],Hoja1!$A$1:$D$121,3,0)</f>
        <v>229074</v>
      </c>
      <c r="W301" s="12">
        <f>VLOOKUP(Tabla4[[#This Row],[ZONA DEFINITIVO]],Hoja1!$A$1:$D$121,2,0)</f>
        <v>15181</v>
      </c>
      <c r="X301" s="12">
        <f>VLOOKUP(Tabla4[[#This Row],[ZONA DEFINITIVO]],Hoja1!$A$1:$D$121,4,0)</f>
        <v>82225</v>
      </c>
      <c r="Y301" s="12" t="str">
        <f>+IF(Tabla4[[#This Row],[AGRUPACIONES]]=1,SUMIFS(Tabla4[UDS],Tabla4[ZONA DEFINITIVO],Tabla4[[#This Row],[ZONA DEFINITIVO]])," ")</f>
        <v xml:space="preserve"> </v>
      </c>
      <c r="Z301" s="12" t="str">
        <f>+IF(Tabla4[[#This Row],[AGRUPACIONES]]=1,SUMIFS(Tabla4[TOTAL COBERTURA],Tabla4[ZONA DEFINITIVO],Tabla4[[#This Row],[ZONA DEFINITIVO]])," ")</f>
        <v xml:space="preserve"> </v>
      </c>
      <c r="AA301" s="12"/>
      <c r="AB301" s="38">
        <v>19750965</v>
      </c>
      <c r="AC301" s="37">
        <v>0.02</v>
      </c>
      <c r="AD301" s="38">
        <f t="shared" si="5"/>
        <v>395019.3</v>
      </c>
      <c r="AE301" s="12"/>
      <c r="AF301" s="12">
        <f>COUNTIF($A$20:A301,A301)</f>
        <v>19</v>
      </c>
      <c r="AG301" s="38">
        <v>19750965</v>
      </c>
      <c r="AH301" s="38">
        <f>Tabla4[[#This Row],[VALOR CONTRAPARTIDA]]+Tabla4[[#This Row],[TOTAL APORTES ICBF]]</f>
        <v>20145984.300000001</v>
      </c>
      <c r="AI301" s="35"/>
      <c r="AJ301" s="38"/>
      <c r="AK301" s="38"/>
      <c r="AL301" s="23"/>
      <c r="AM301" s="35">
        <f>VLOOKUP(Tabla4[[#This Row],[SERVICIO 2025]],$J$2:$V$14,5,0)*Tabla4[[#This Row],[TOTAL COBERTURA]]</f>
        <v>607672</v>
      </c>
      <c r="AN301" s="35">
        <f>VLOOKUP(Tabla4[[#This Row],[SERVICIO 2025]],$J$2:$V$14,6,0)*Tabla4[[#This Row],[TOTAL COBERTURA]]</f>
        <v>491933</v>
      </c>
      <c r="AO301" s="35">
        <f>VLOOKUP(Tabla4[[#This Row],[SERVICIO 2025]],$J$2:$V$14,8,0)*Tabla4[[#This Row],[TOTAL COBERTURA]]</f>
        <v>0</v>
      </c>
      <c r="AP301" s="35">
        <f>VLOOKUP(Tabla4[[#This Row],[SERVICIO 2025]],$J$2:$V$14,3,0)*Tabla4[[#This Row],[TOTAL COBERTURA]]*8</f>
        <v>18651360</v>
      </c>
      <c r="AQ301" s="35"/>
      <c r="AR301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301" s="35" t="str">
        <f>+IF(Tabla4[[#This Row],[AGRUPACIONES]]=1,SUMIFS(Tabla4[VALOR TOTAL],Tabla4[ZONA DEFINITIVO],Tabla4[[#This Row],[ZONA DEFINITIVO]])," ")</f>
        <v xml:space="preserve"> </v>
      </c>
      <c r="AT301" s="27">
        <f>(VLOOKUP(Tabla4[[#This Row],[SERVICIO 2025]],$J$2:$V$14,3,0)*Tabla4[[#This Row],[TOTAL COBERTURA]])+Tabla4[[#This Row],[VALOR FASE PREPARATORIA DE ALISTAMIENTO]]+Tabla4[[#This Row],[DOTACIÓN ÚNICA]]</f>
        <v>2939092</v>
      </c>
      <c r="AU301" s="35">
        <f>(VLOOKUP(Tabla4[[#This Row],[SERVICIO 2025]],$J$2:$V$14,3,0)*Tabla4[[#This Row],[TOTAL COBERTURA]])</f>
        <v>2331420</v>
      </c>
      <c r="AV301" s="35">
        <f>(VLOOKUP(Tabla4[[#This Row],[SERVICIO 2025]],$J$2:$V$14,3,0)*Tabla4[[#This Row],[TOTAL COBERTURA]])</f>
        <v>2331420</v>
      </c>
      <c r="AW301" s="35">
        <f>(VLOOKUP(Tabla4[[#This Row],[SERVICIO 2025]],$J$2:$V$14,3,0)*Tabla4[[#This Row],[TOTAL COBERTURA]])</f>
        <v>2331420</v>
      </c>
      <c r="AX301" s="35">
        <f>(VLOOKUP(Tabla4[[#This Row],[SERVICIO 2025]],$J$2:$V$14,3,0)*Tabla4[[#This Row],[TOTAL COBERTURA]])</f>
        <v>2331420</v>
      </c>
      <c r="AY301" s="35">
        <f>(VLOOKUP(Tabla4[[#This Row],[SERVICIO 2025]],$J$2:$V$14,3,0)*Tabla4[[#This Row],[TOTAL COBERTURA]])</f>
        <v>2331420</v>
      </c>
      <c r="AZ301" s="35">
        <f>(VLOOKUP(Tabla4[[#This Row],[SERVICIO 2025]],$J$2:$V$14,3,0)*Tabla4[[#This Row],[TOTAL COBERTURA]])</f>
        <v>2331420</v>
      </c>
      <c r="BA301" s="35">
        <f>(VLOOKUP(Tabla4[[#This Row],[SERVICIO 2025]],$J$2:$V$14,3,0)*Tabla4[[#This Row],[TOTAL COBERTURA]])+Tabla4[[#This Row],[VALOR FASE PREPARATORIA DE CIERRE]]</f>
        <v>2823353</v>
      </c>
      <c r="BB301" s="35">
        <f>SUM(Tabla4[[#This Row],[DESEMBOLSO 1]:[DESEMBOLSO 8]])</f>
        <v>19750965</v>
      </c>
      <c r="BC301" s="35">
        <f>VLOOKUP(Tabla4[[#This Row],[SERVICIO 2025]],$J$2:$V$14,10,0)*Tabla4[[#This Row],[TOTAL COBERTURA]]*$W$3</f>
        <v>19585384</v>
      </c>
      <c r="BD301" s="47" t="s">
        <v>211</v>
      </c>
      <c r="BE301" s="12" t="b">
        <f>EXACT(Tabla4[[#This Row],[VALOR ATENCIÓN (8 MESES)]],Tabla4[[#This Row],[VALOR TOTAL]])</f>
        <v>1</v>
      </c>
      <c r="BF301" s="23">
        <f>Tabla4[[#This Row],[VALOR ATENCIÓN (8 MESES)]]-Tabla4[[#This Row],[VALOR TOTAL]]</f>
        <v>0</v>
      </c>
      <c r="BG301" s="12" t="b">
        <f>EXACT(Tabla4[[#This Row],[TOTAL DESEMBOLSOS]],Tabla4[[#This Row],[VALOR ATENCIÓN (8 MESES)]])</f>
        <v>1</v>
      </c>
      <c r="BH301" s="29">
        <f>Tabla4[[#This Row],[TOTAL DESEMBOLSOS]]-Tabla4[[#This Row],[VALOR ATENCIÓN (8 MESES)]]</f>
        <v>0</v>
      </c>
      <c r="BI301" t="s">
        <v>98</v>
      </c>
      <c r="BJ301">
        <v>1909</v>
      </c>
    </row>
    <row r="302" spans="1:62">
      <c r="A302" s="13">
        <v>1909</v>
      </c>
      <c r="B302" s="13" t="s">
        <v>702</v>
      </c>
      <c r="C302" s="12" t="s">
        <v>87</v>
      </c>
      <c r="D302" s="12" t="s">
        <v>205</v>
      </c>
      <c r="E302" s="12" t="s">
        <v>703</v>
      </c>
      <c r="F302" s="12" t="s">
        <v>21</v>
      </c>
      <c r="G302" s="12" t="s">
        <v>90</v>
      </c>
      <c r="H302" s="12" t="s">
        <v>740</v>
      </c>
      <c r="I302" s="12">
        <v>50341152825</v>
      </c>
      <c r="J302" s="12" t="s">
        <v>741</v>
      </c>
      <c r="K302" s="12">
        <v>1</v>
      </c>
      <c r="L302" s="12">
        <v>31</v>
      </c>
      <c r="M302" s="12"/>
      <c r="N302" s="13">
        <v>1909</v>
      </c>
      <c r="O302" s="12" t="s">
        <v>93</v>
      </c>
      <c r="P302" s="12"/>
      <c r="Q302" s="12"/>
      <c r="R302" s="12" t="s">
        <v>94</v>
      </c>
      <c r="S302" s="12">
        <v>10</v>
      </c>
      <c r="T302" s="12" t="s">
        <v>379</v>
      </c>
      <c r="U302" s="12" t="s">
        <v>380</v>
      </c>
      <c r="V302" s="12">
        <f>VLOOKUP(Tabla4[[#This Row],[ZONA DEFINITIVO]],Hoja1!$A$1:$D$121,3,0)</f>
        <v>229074</v>
      </c>
      <c r="W302" s="12">
        <f>VLOOKUP(Tabla4[[#This Row],[ZONA DEFINITIVO]],Hoja1!$A$1:$D$121,2,0)</f>
        <v>15181</v>
      </c>
      <c r="X302" s="12">
        <f>VLOOKUP(Tabla4[[#This Row],[ZONA DEFINITIVO]],Hoja1!$A$1:$D$121,4,0)</f>
        <v>82225</v>
      </c>
      <c r="Y302" s="12" t="str">
        <f>+IF(Tabla4[[#This Row],[AGRUPACIONES]]=1,SUMIFS(Tabla4[UDS],Tabla4[ZONA DEFINITIVO],Tabla4[[#This Row],[ZONA DEFINITIVO]])," ")</f>
        <v xml:space="preserve"> </v>
      </c>
      <c r="Z302" s="12" t="str">
        <f>+IF(Tabla4[[#This Row],[AGRUPACIONES]]=1,SUMIFS(Tabla4[TOTAL COBERTURA],Tabla4[ZONA DEFINITIVO],Tabla4[[#This Row],[ZONA DEFINITIVO]])," ")</f>
        <v xml:space="preserve"> </v>
      </c>
      <c r="AA302" s="12"/>
      <c r="AB302" s="38">
        <v>47098455</v>
      </c>
      <c r="AC302" s="37">
        <v>0.02</v>
      </c>
      <c r="AD302" s="38">
        <f t="shared" si="5"/>
        <v>941969.1</v>
      </c>
      <c r="AE302" s="12"/>
      <c r="AF302" s="12">
        <f>COUNTIF($A$20:A302,A302)</f>
        <v>20</v>
      </c>
      <c r="AG302" s="38">
        <v>47098455</v>
      </c>
      <c r="AH302" s="38">
        <f>Tabla4[[#This Row],[VALOR CONTRAPARTIDA]]+Tabla4[[#This Row],[TOTAL APORTES ICBF]]</f>
        <v>48040424.100000001</v>
      </c>
      <c r="AI302" s="35"/>
      <c r="AJ302" s="38"/>
      <c r="AK302" s="38"/>
      <c r="AL302" s="23"/>
      <c r="AM302" s="35">
        <f>VLOOKUP(Tabla4[[#This Row],[SERVICIO 2025]],$J$2:$V$14,5,0)*Tabla4[[#This Row],[TOTAL COBERTURA]]</f>
        <v>1449064</v>
      </c>
      <c r="AN302" s="35">
        <f>VLOOKUP(Tabla4[[#This Row],[SERVICIO 2025]],$J$2:$V$14,6,0)*Tabla4[[#This Row],[TOTAL COBERTURA]]</f>
        <v>1173071</v>
      </c>
      <c r="AO302" s="35">
        <f>VLOOKUP(Tabla4[[#This Row],[SERVICIO 2025]],$J$2:$V$14,8,0)*Tabla4[[#This Row],[TOTAL COBERTURA]]</f>
        <v>0</v>
      </c>
      <c r="AP302" s="35">
        <f>VLOOKUP(Tabla4[[#This Row],[SERVICIO 2025]],$J$2:$V$14,3,0)*Tabla4[[#This Row],[TOTAL COBERTURA]]*8</f>
        <v>44476320</v>
      </c>
      <c r="AQ302" s="35"/>
      <c r="AR302" s="35">
        <f>Tabla4[[#This Row],[VALOR FASE PREPARATORIA DE ALISTAMIENTO]]+Tabla4[[#This Row],[VALOR FASE PREPARATORIA DE CIERRE]]+Tabla4[[#This Row],[DOTACIÓN ÚNICA]]+Tabla4[[#This Row],[VALOR ATENCIÓN]]+Tabla4[[#This Row],[VALOR RACION PREPARADA]]</f>
        <v>47098455</v>
      </c>
      <c r="AS302" s="35" t="str">
        <f>+IF(Tabla4[[#This Row],[AGRUPACIONES]]=1,SUMIFS(Tabla4[VALOR TOTAL],Tabla4[ZONA DEFINITIVO],Tabla4[[#This Row],[ZONA DEFINITIVO]])," ")</f>
        <v xml:space="preserve"> </v>
      </c>
      <c r="AT302" s="27">
        <f>(VLOOKUP(Tabla4[[#This Row],[SERVICIO 2025]],$J$2:$V$14,3,0)*Tabla4[[#This Row],[TOTAL COBERTURA]])+Tabla4[[#This Row],[VALOR FASE PREPARATORIA DE ALISTAMIENTO]]+Tabla4[[#This Row],[DOTACIÓN ÚNICA]]</f>
        <v>7008604</v>
      </c>
      <c r="AU302" s="35">
        <f>(VLOOKUP(Tabla4[[#This Row],[SERVICIO 2025]],$J$2:$V$14,3,0)*Tabla4[[#This Row],[TOTAL COBERTURA]])</f>
        <v>5559540</v>
      </c>
      <c r="AV302" s="35">
        <f>(VLOOKUP(Tabla4[[#This Row],[SERVICIO 2025]],$J$2:$V$14,3,0)*Tabla4[[#This Row],[TOTAL COBERTURA]])</f>
        <v>5559540</v>
      </c>
      <c r="AW302" s="35">
        <f>(VLOOKUP(Tabla4[[#This Row],[SERVICIO 2025]],$J$2:$V$14,3,0)*Tabla4[[#This Row],[TOTAL COBERTURA]])</f>
        <v>5559540</v>
      </c>
      <c r="AX302" s="35">
        <f>(VLOOKUP(Tabla4[[#This Row],[SERVICIO 2025]],$J$2:$V$14,3,0)*Tabla4[[#This Row],[TOTAL COBERTURA]])</f>
        <v>5559540</v>
      </c>
      <c r="AY302" s="35">
        <f>(VLOOKUP(Tabla4[[#This Row],[SERVICIO 2025]],$J$2:$V$14,3,0)*Tabla4[[#This Row],[TOTAL COBERTURA]])</f>
        <v>5559540</v>
      </c>
      <c r="AZ302" s="35">
        <f>(VLOOKUP(Tabla4[[#This Row],[SERVICIO 2025]],$J$2:$V$14,3,0)*Tabla4[[#This Row],[TOTAL COBERTURA]])</f>
        <v>5559540</v>
      </c>
      <c r="BA302" s="35">
        <f>(VLOOKUP(Tabla4[[#This Row],[SERVICIO 2025]],$J$2:$V$14,3,0)*Tabla4[[#This Row],[TOTAL COBERTURA]])+Tabla4[[#This Row],[VALOR FASE PREPARATORIA DE CIERRE]]</f>
        <v>6732611</v>
      </c>
      <c r="BB302" s="35">
        <f>SUM(Tabla4[[#This Row],[DESEMBOLSO 1]:[DESEMBOLSO 8]])</f>
        <v>47098455</v>
      </c>
      <c r="BC302" s="35">
        <f>VLOOKUP(Tabla4[[#This Row],[SERVICIO 2025]],$J$2:$V$14,10,0)*Tabla4[[#This Row],[TOTAL COBERTURA]]*$W$3</f>
        <v>46703608</v>
      </c>
      <c r="BD302" s="47" t="s">
        <v>211</v>
      </c>
      <c r="BE302" s="12" t="b">
        <f>EXACT(Tabla4[[#This Row],[VALOR ATENCIÓN (8 MESES)]],Tabla4[[#This Row],[VALOR TOTAL]])</f>
        <v>1</v>
      </c>
      <c r="BF302" s="23">
        <f>Tabla4[[#This Row],[VALOR ATENCIÓN (8 MESES)]]-Tabla4[[#This Row],[VALOR TOTAL]]</f>
        <v>0</v>
      </c>
      <c r="BG302" s="12" t="b">
        <f>EXACT(Tabla4[[#This Row],[TOTAL DESEMBOLSOS]],Tabla4[[#This Row],[VALOR ATENCIÓN (8 MESES)]])</f>
        <v>1</v>
      </c>
      <c r="BH302" s="29">
        <f>Tabla4[[#This Row],[TOTAL DESEMBOLSOS]]-Tabla4[[#This Row],[VALOR ATENCIÓN (8 MESES)]]</f>
        <v>0</v>
      </c>
      <c r="BI302" t="s">
        <v>98</v>
      </c>
      <c r="BJ302">
        <v>1909</v>
      </c>
    </row>
    <row r="303" spans="1:62">
      <c r="A303" s="13">
        <v>1909</v>
      </c>
      <c r="B303" s="13" t="s">
        <v>702</v>
      </c>
      <c r="C303" s="12" t="s">
        <v>87</v>
      </c>
      <c r="D303" s="12" t="s">
        <v>205</v>
      </c>
      <c r="E303" s="12" t="s">
        <v>703</v>
      </c>
      <c r="F303" s="12" t="s">
        <v>21</v>
      </c>
      <c r="G303" s="12" t="s">
        <v>90</v>
      </c>
      <c r="H303" s="12" t="s">
        <v>742</v>
      </c>
      <c r="I303" s="12">
        <v>50341153519</v>
      </c>
      <c r="J303" s="12" t="s">
        <v>743</v>
      </c>
      <c r="K303" s="12">
        <v>1</v>
      </c>
      <c r="L303" s="12">
        <v>15</v>
      </c>
      <c r="M303" s="12"/>
      <c r="N303" s="13">
        <v>1909</v>
      </c>
      <c r="O303" s="12" t="s">
        <v>93</v>
      </c>
      <c r="P303" s="12"/>
      <c r="Q303" s="12"/>
      <c r="R303" s="12" t="s">
        <v>94</v>
      </c>
      <c r="S303" s="12">
        <v>10</v>
      </c>
      <c r="T303" s="12" t="s">
        <v>379</v>
      </c>
      <c r="U303" s="12" t="s">
        <v>380</v>
      </c>
      <c r="V303" s="12">
        <f>VLOOKUP(Tabla4[[#This Row],[ZONA DEFINITIVO]],Hoja1!$A$1:$D$121,3,0)</f>
        <v>229074</v>
      </c>
      <c r="W303" s="12">
        <f>VLOOKUP(Tabla4[[#This Row],[ZONA DEFINITIVO]],Hoja1!$A$1:$D$121,2,0)</f>
        <v>15181</v>
      </c>
      <c r="X303" s="12">
        <f>VLOOKUP(Tabla4[[#This Row],[ZONA DEFINITIVO]],Hoja1!$A$1:$D$121,4,0)</f>
        <v>82225</v>
      </c>
      <c r="Y303" s="12" t="str">
        <f>+IF(Tabla4[[#This Row],[AGRUPACIONES]]=1,SUMIFS(Tabla4[UDS],Tabla4[ZONA DEFINITIVO],Tabla4[[#This Row],[ZONA DEFINITIVO]])," ")</f>
        <v xml:space="preserve"> </v>
      </c>
      <c r="Z303" s="12" t="str">
        <f>+IF(Tabla4[[#This Row],[AGRUPACIONES]]=1,SUMIFS(Tabla4[TOTAL COBERTURA],Tabla4[ZONA DEFINITIVO],Tabla4[[#This Row],[ZONA DEFINITIVO]])," ")</f>
        <v xml:space="preserve"> </v>
      </c>
      <c r="AA303" s="12"/>
      <c r="AB303" s="38">
        <v>22789575</v>
      </c>
      <c r="AC303" s="37">
        <v>0.02</v>
      </c>
      <c r="AD303" s="38">
        <f t="shared" si="5"/>
        <v>455791.5</v>
      </c>
      <c r="AE303" s="12"/>
      <c r="AF303" s="12">
        <f>COUNTIF($A$20:A303,A303)</f>
        <v>21</v>
      </c>
      <c r="AG303" s="38">
        <v>22789575</v>
      </c>
      <c r="AH303" s="38">
        <f>Tabla4[[#This Row],[VALOR CONTRAPARTIDA]]+Tabla4[[#This Row],[TOTAL APORTES ICBF]]</f>
        <v>23245366.5</v>
      </c>
      <c r="AI303" s="35"/>
      <c r="AJ303" s="38"/>
      <c r="AK303" s="38"/>
      <c r="AL303" s="23"/>
      <c r="AM303" s="35">
        <f>VLOOKUP(Tabla4[[#This Row],[SERVICIO 2025]],$J$2:$V$14,5,0)*Tabla4[[#This Row],[TOTAL COBERTURA]]</f>
        <v>701160</v>
      </c>
      <c r="AN303" s="35">
        <f>VLOOKUP(Tabla4[[#This Row],[SERVICIO 2025]],$J$2:$V$14,6,0)*Tabla4[[#This Row],[TOTAL COBERTURA]]</f>
        <v>567615</v>
      </c>
      <c r="AO303" s="35">
        <f>VLOOKUP(Tabla4[[#This Row],[SERVICIO 2025]],$J$2:$V$14,8,0)*Tabla4[[#This Row],[TOTAL COBERTURA]]</f>
        <v>0</v>
      </c>
      <c r="AP303" s="35">
        <f>VLOOKUP(Tabla4[[#This Row],[SERVICIO 2025]],$J$2:$V$14,3,0)*Tabla4[[#This Row],[TOTAL COBERTURA]]*8</f>
        <v>21520800</v>
      </c>
      <c r="AQ303" s="35"/>
      <c r="AR303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303" s="35" t="str">
        <f>+IF(Tabla4[[#This Row],[AGRUPACIONES]]=1,SUMIFS(Tabla4[VALOR TOTAL],Tabla4[ZONA DEFINITIVO],Tabla4[[#This Row],[ZONA DEFINITIVO]])," ")</f>
        <v xml:space="preserve"> </v>
      </c>
      <c r="AT303" s="27">
        <f>(VLOOKUP(Tabla4[[#This Row],[SERVICIO 2025]],$J$2:$V$14,3,0)*Tabla4[[#This Row],[TOTAL COBERTURA]])+Tabla4[[#This Row],[VALOR FASE PREPARATORIA DE ALISTAMIENTO]]+Tabla4[[#This Row],[DOTACIÓN ÚNICA]]</f>
        <v>3391260</v>
      </c>
      <c r="AU303" s="35">
        <f>(VLOOKUP(Tabla4[[#This Row],[SERVICIO 2025]],$J$2:$V$14,3,0)*Tabla4[[#This Row],[TOTAL COBERTURA]])</f>
        <v>2690100</v>
      </c>
      <c r="AV303" s="35">
        <f>(VLOOKUP(Tabla4[[#This Row],[SERVICIO 2025]],$J$2:$V$14,3,0)*Tabla4[[#This Row],[TOTAL COBERTURA]])</f>
        <v>2690100</v>
      </c>
      <c r="AW303" s="35">
        <f>(VLOOKUP(Tabla4[[#This Row],[SERVICIO 2025]],$J$2:$V$14,3,0)*Tabla4[[#This Row],[TOTAL COBERTURA]])</f>
        <v>2690100</v>
      </c>
      <c r="AX303" s="35">
        <f>(VLOOKUP(Tabla4[[#This Row],[SERVICIO 2025]],$J$2:$V$14,3,0)*Tabla4[[#This Row],[TOTAL COBERTURA]])</f>
        <v>2690100</v>
      </c>
      <c r="AY303" s="35">
        <f>(VLOOKUP(Tabla4[[#This Row],[SERVICIO 2025]],$J$2:$V$14,3,0)*Tabla4[[#This Row],[TOTAL COBERTURA]])</f>
        <v>2690100</v>
      </c>
      <c r="AZ303" s="35">
        <f>(VLOOKUP(Tabla4[[#This Row],[SERVICIO 2025]],$J$2:$V$14,3,0)*Tabla4[[#This Row],[TOTAL COBERTURA]])</f>
        <v>2690100</v>
      </c>
      <c r="BA303" s="35">
        <f>(VLOOKUP(Tabla4[[#This Row],[SERVICIO 2025]],$J$2:$V$14,3,0)*Tabla4[[#This Row],[TOTAL COBERTURA]])+Tabla4[[#This Row],[VALOR FASE PREPARATORIA DE CIERRE]]</f>
        <v>3257715</v>
      </c>
      <c r="BB303" s="35">
        <f>SUM(Tabla4[[#This Row],[DESEMBOLSO 1]:[DESEMBOLSO 8]])</f>
        <v>22789575</v>
      </c>
      <c r="BC303" s="35">
        <f>VLOOKUP(Tabla4[[#This Row],[SERVICIO 2025]],$J$2:$V$14,10,0)*Tabla4[[#This Row],[TOTAL COBERTURA]]*$W$3</f>
        <v>22598520</v>
      </c>
      <c r="BD303" s="47" t="s">
        <v>211</v>
      </c>
      <c r="BE303" s="12" t="b">
        <f>EXACT(Tabla4[[#This Row],[VALOR ATENCIÓN (8 MESES)]],Tabla4[[#This Row],[VALOR TOTAL]])</f>
        <v>1</v>
      </c>
      <c r="BF303" s="23">
        <f>Tabla4[[#This Row],[VALOR ATENCIÓN (8 MESES)]]-Tabla4[[#This Row],[VALOR TOTAL]]</f>
        <v>0</v>
      </c>
      <c r="BG303" s="12" t="b">
        <f>EXACT(Tabla4[[#This Row],[TOTAL DESEMBOLSOS]],Tabla4[[#This Row],[VALOR ATENCIÓN (8 MESES)]])</f>
        <v>1</v>
      </c>
      <c r="BH303" s="29">
        <f>Tabla4[[#This Row],[TOTAL DESEMBOLSOS]]-Tabla4[[#This Row],[VALOR ATENCIÓN (8 MESES)]]</f>
        <v>0</v>
      </c>
      <c r="BI303" t="s">
        <v>98</v>
      </c>
      <c r="BJ303">
        <v>1909</v>
      </c>
    </row>
    <row r="304" spans="1:62">
      <c r="A304" s="13">
        <v>1909</v>
      </c>
      <c r="B304" s="13" t="s">
        <v>702</v>
      </c>
      <c r="C304" s="12" t="s">
        <v>87</v>
      </c>
      <c r="D304" s="12" t="s">
        <v>205</v>
      </c>
      <c r="E304" s="12" t="s">
        <v>703</v>
      </c>
      <c r="F304" s="12" t="s">
        <v>14</v>
      </c>
      <c r="G304" s="12" t="s">
        <v>90</v>
      </c>
      <c r="H304" s="12" t="s">
        <v>744</v>
      </c>
      <c r="I304" s="12">
        <v>503400020789</v>
      </c>
      <c r="J304" s="12" t="s">
        <v>745</v>
      </c>
      <c r="K304" s="12">
        <v>1</v>
      </c>
      <c r="L304" s="12">
        <v>18</v>
      </c>
      <c r="M304" s="12"/>
      <c r="N304" s="13">
        <v>1909</v>
      </c>
      <c r="O304" s="12" t="s">
        <v>93</v>
      </c>
      <c r="P304" s="12"/>
      <c r="Q304" s="12"/>
      <c r="R304" s="12" t="s">
        <v>94</v>
      </c>
      <c r="S304" s="12">
        <v>10</v>
      </c>
      <c r="T304" s="12" t="s">
        <v>379</v>
      </c>
      <c r="U304" s="12" t="s">
        <v>380</v>
      </c>
      <c r="V304" s="12">
        <f>VLOOKUP(Tabla4[[#This Row],[ZONA DEFINITIVO]],Hoja1!$A$1:$D$121,3,0)</f>
        <v>229074</v>
      </c>
      <c r="W304" s="12">
        <f>VLOOKUP(Tabla4[[#This Row],[ZONA DEFINITIVO]],Hoja1!$A$1:$D$121,2,0)</f>
        <v>15181</v>
      </c>
      <c r="X304" s="12">
        <f>VLOOKUP(Tabla4[[#This Row],[ZONA DEFINITIVO]],Hoja1!$A$1:$D$121,4,0)</f>
        <v>82225</v>
      </c>
      <c r="Y304" s="12" t="str">
        <f>+IF(Tabla4[[#This Row],[AGRUPACIONES]]=1,SUMIFS(Tabla4[UDS],Tabla4[ZONA DEFINITIVO],Tabla4[[#This Row],[ZONA DEFINITIVO]])," ")</f>
        <v xml:space="preserve"> </v>
      </c>
      <c r="Z304" s="12" t="str">
        <f>+IF(Tabla4[[#This Row],[AGRUPACIONES]]=1,SUMIFS(Tabla4[TOTAL COBERTURA],Tabla4[ZONA DEFINITIVO],Tabla4[[#This Row],[ZONA DEFINITIVO]])," ")</f>
        <v xml:space="preserve"> </v>
      </c>
      <c r="AA304" s="12"/>
      <c r="AB304" s="38">
        <v>75399300</v>
      </c>
      <c r="AC304" s="37">
        <v>0.02</v>
      </c>
      <c r="AD304" s="38">
        <f t="shared" si="5"/>
        <v>1507986</v>
      </c>
      <c r="AE304" s="12"/>
      <c r="AF304" s="12">
        <f>COUNTIF($A$20:A304,A304)</f>
        <v>22</v>
      </c>
      <c r="AG304" s="38">
        <v>75399300</v>
      </c>
      <c r="AH304" s="38">
        <f>Tabla4[[#This Row],[VALOR CONTRAPARTIDA]]+Tabla4[[#This Row],[TOTAL APORTES ICBF]]</f>
        <v>76907286</v>
      </c>
      <c r="AI304" s="35"/>
      <c r="AJ304" s="38"/>
      <c r="AK304" s="38"/>
      <c r="AL304" s="23"/>
      <c r="AM304" s="35">
        <f>VLOOKUP(Tabla4[[#This Row],[SERVICIO 2025]],$J$2:$V$14,5,0)*Tabla4[[#This Row],[TOTAL COBERTURA]]</f>
        <v>1586574</v>
      </c>
      <c r="AN304" s="35">
        <f>VLOOKUP(Tabla4[[#This Row],[SERVICIO 2025]],$J$2:$V$14,6,0)*Tabla4[[#This Row],[TOTAL COBERTURA]]</f>
        <v>1350774</v>
      </c>
      <c r="AO304" s="35">
        <f>VLOOKUP(Tabla4[[#This Row],[SERVICIO 2025]],$J$2:$V$14,8,0)*Tabla4[[#This Row],[TOTAL COBERTURA]]</f>
        <v>0</v>
      </c>
      <c r="AP304" s="35">
        <f>VLOOKUP(Tabla4[[#This Row],[SERVICIO 2025]],$J$2:$V$14,3,0)*Tabla4[[#This Row],[TOTAL COBERTURA]]*8</f>
        <v>72461952</v>
      </c>
      <c r="AQ304" s="35"/>
      <c r="AR304" s="35">
        <f>Tabla4[[#This Row],[VALOR FASE PREPARATORIA DE ALISTAMIENTO]]+Tabla4[[#This Row],[VALOR FASE PREPARATORIA DE CIERRE]]+Tabla4[[#This Row],[DOTACIÓN ÚNICA]]+Tabla4[[#This Row],[VALOR ATENCIÓN]]+Tabla4[[#This Row],[VALOR RACION PREPARADA]]</f>
        <v>75399300</v>
      </c>
      <c r="AS304" s="35" t="str">
        <f>+IF(Tabla4[[#This Row],[AGRUPACIONES]]=1,SUMIFS(Tabla4[VALOR TOTAL],Tabla4[ZONA DEFINITIVO],Tabla4[[#This Row],[ZONA DEFINITIVO]])," ")</f>
        <v xml:space="preserve"> </v>
      </c>
      <c r="AT304" s="27">
        <f>(VLOOKUP(Tabla4[[#This Row],[SERVICIO 2025]],$J$2:$V$14,3,0)*Tabla4[[#This Row],[TOTAL COBERTURA]])+Tabla4[[#This Row],[VALOR FASE PREPARATORIA DE ALISTAMIENTO]]+Tabla4[[#This Row],[DOTACIÓN ÚNICA]]</f>
        <v>10644318</v>
      </c>
      <c r="AU304" s="35">
        <f>(VLOOKUP(Tabla4[[#This Row],[SERVICIO 2025]],$J$2:$V$14,3,0)*Tabla4[[#This Row],[TOTAL COBERTURA]])</f>
        <v>9057744</v>
      </c>
      <c r="AV304" s="35">
        <f>(VLOOKUP(Tabla4[[#This Row],[SERVICIO 2025]],$J$2:$V$14,3,0)*Tabla4[[#This Row],[TOTAL COBERTURA]])</f>
        <v>9057744</v>
      </c>
      <c r="AW304" s="35">
        <f>(VLOOKUP(Tabla4[[#This Row],[SERVICIO 2025]],$J$2:$V$14,3,0)*Tabla4[[#This Row],[TOTAL COBERTURA]])</f>
        <v>9057744</v>
      </c>
      <c r="AX304" s="35">
        <f>(VLOOKUP(Tabla4[[#This Row],[SERVICIO 2025]],$J$2:$V$14,3,0)*Tabla4[[#This Row],[TOTAL COBERTURA]])</f>
        <v>9057744</v>
      </c>
      <c r="AY304" s="35">
        <f>(VLOOKUP(Tabla4[[#This Row],[SERVICIO 2025]],$J$2:$V$14,3,0)*Tabla4[[#This Row],[TOTAL COBERTURA]])</f>
        <v>9057744</v>
      </c>
      <c r="AZ304" s="35">
        <f>(VLOOKUP(Tabla4[[#This Row],[SERVICIO 2025]],$J$2:$V$14,3,0)*Tabla4[[#This Row],[TOTAL COBERTURA]])</f>
        <v>9057744</v>
      </c>
      <c r="BA304" s="35">
        <f>(VLOOKUP(Tabla4[[#This Row],[SERVICIO 2025]],$J$2:$V$14,3,0)*Tabla4[[#This Row],[TOTAL COBERTURA]])+Tabla4[[#This Row],[VALOR FASE PREPARATORIA DE CIERRE]]</f>
        <v>10408518</v>
      </c>
      <c r="BB304" s="35">
        <f>SUM(Tabla4[[#This Row],[DESEMBOLSO 1]:[DESEMBOLSO 8]])</f>
        <v>75399300</v>
      </c>
      <c r="BC304" s="35">
        <f>VLOOKUP(Tabla4[[#This Row],[SERVICIO 2025]],$J$2:$V$14,10,0)*Tabla4[[#This Row],[TOTAL COBERTURA]]*$W$3</f>
        <v>0</v>
      </c>
      <c r="BD304" s="47" t="s">
        <v>145</v>
      </c>
      <c r="BE304" s="12" t="b">
        <f>EXACT(Tabla4[[#This Row],[VALOR ATENCIÓN (8 MESES)]],Tabla4[[#This Row],[VALOR TOTAL]])</f>
        <v>1</v>
      </c>
      <c r="BF304" s="23">
        <f>Tabla4[[#This Row],[VALOR ATENCIÓN (8 MESES)]]-Tabla4[[#This Row],[VALOR TOTAL]]</f>
        <v>0</v>
      </c>
      <c r="BG304" s="12" t="b">
        <f>EXACT(Tabla4[[#This Row],[TOTAL DESEMBOLSOS]],Tabla4[[#This Row],[VALOR ATENCIÓN (8 MESES)]])</f>
        <v>1</v>
      </c>
      <c r="BH304" s="29">
        <f>Tabla4[[#This Row],[TOTAL DESEMBOLSOS]]-Tabla4[[#This Row],[VALOR ATENCIÓN (8 MESES)]]</f>
        <v>0</v>
      </c>
      <c r="BI304" t="s">
        <v>98</v>
      </c>
      <c r="BJ304">
        <v>1909</v>
      </c>
    </row>
    <row r="305" spans="1:62">
      <c r="A305" s="13">
        <v>1909</v>
      </c>
      <c r="B305" s="13" t="s">
        <v>702</v>
      </c>
      <c r="C305" s="12" t="s">
        <v>87</v>
      </c>
      <c r="D305" s="12" t="s">
        <v>205</v>
      </c>
      <c r="E305" s="12" t="s">
        <v>703</v>
      </c>
      <c r="F305" s="12" t="s">
        <v>21</v>
      </c>
      <c r="G305" s="12" t="s">
        <v>90</v>
      </c>
      <c r="H305" s="12" t="s">
        <v>359</v>
      </c>
      <c r="I305" s="12">
        <v>503400021879</v>
      </c>
      <c r="J305" s="12" t="s">
        <v>746</v>
      </c>
      <c r="K305" s="12">
        <v>1</v>
      </c>
      <c r="L305" s="12">
        <v>17</v>
      </c>
      <c r="M305" s="12"/>
      <c r="N305" s="13">
        <v>1909</v>
      </c>
      <c r="O305" s="12" t="s">
        <v>93</v>
      </c>
      <c r="P305" s="12"/>
      <c r="Q305" s="12"/>
      <c r="R305" s="12" t="s">
        <v>94</v>
      </c>
      <c r="S305" s="12">
        <v>10</v>
      </c>
      <c r="T305" s="12" t="s">
        <v>379</v>
      </c>
      <c r="U305" s="12" t="s">
        <v>380</v>
      </c>
      <c r="V305" s="12">
        <f>VLOOKUP(Tabla4[[#This Row],[ZONA DEFINITIVO]],Hoja1!$A$1:$D$121,3,0)</f>
        <v>229074</v>
      </c>
      <c r="W305" s="12">
        <f>VLOOKUP(Tabla4[[#This Row],[ZONA DEFINITIVO]],Hoja1!$A$1:$D$121,2,0)</f>
        <v>15181</v>
      </c>
      <c r="X305" s="12">
        <f>VLOOKUP(Tabla4[[#This Row],[ZONA DEFINITIVO]],Hoja1!$A$1:$D$121,4,0)</f>
        <v>82225</v>
      </c>
      <c r="Y305" s="12" t="str">
        <f>+IF(Tabla4[[#This Row],[AGRUPACIONES]]=1,SUMIFS(Tabla4[UDS],Tabla4[ZONA DEFINITIVO],Tabla4[[#This Row],[ZONA DEFINITIVO]])," ")</f>
        <v xml:space="preserve"> </v>
      </c>
      <c r="Z305" s="12" t="str">
        <f>+IF(Tabla4[[#This Row],[AGRUPACIONES]]=1,SUMIFS(Tabla4[TOTAL COBERTURA],Tabla4[ZONA DEFINITIVO],Tabla4[[#This Row],[ZONA DEFINITIVO]])," ")</f>
        <v xml:space="preserve"> </v>
      </c>
      <c r="AA305" s="12"/>
      <c r="AB305" s="38">
        <v>25828185</v>
      </c>
      <c r="AC305" s="37">
        <v>0.02</v>
      </c>
      <c r="AD305" s="38">
        <f t="shared" si="5"/>
        <v>516563.7</v>
      </c>
      <c r="AE305" s="12"/>
      <c r="AF305" s="12">
        <f>COUNTIF($A$20:A305,A305)</f>
        <v>23</v>
      </c>
      <c r="AG305" s="38">
        <v>25828185</v>
      </c>
      <c r="AH305" s="38">
        <f>Tabla4[[#This Row],[VALOR CONTRAPARTIDA]]+Tabla4[[#This Row],[TOTAL APORTES ICBF]]</f>
        <v>26344748.699999999</v>
      </c>
      <c r="AI305" s="35"/>
      <c r="AJ305" s="38"/>
      <c r="AK305" s="38"/>
      <c r="AL305" s="23"/>
      <c r="AM305" s="35">
        <f>VLOOKUP(Tabla4[[#This Row],[SERVICIO 2025]],$J$2:$V$14,5,0)*Tabla4[[#This Row],[TOTAL COBERTURA]]</f>
        <v>794648</v>
      </c>
      <c r="AN305" s="35">
        <f>VLOOKUP(Tabla4[[#This Row],[SERVICIO 2025]],$J$2:$V$14,6,0)*Tabla4[[#This Row],[TOTAL COBERTURA]]</f>
        <v>643297</v>
      </c>
      <c r="AO305" s="35">
        <f>VLOOKUP(Tabla4[[#This Row],[SERVICIO 2025]],$J$2:$V$14,8,0)*Tabla4[[#This Row],[TOTAL COBERTURA]]</f>
        <v>0</v>
      </c>
      <c r="AP305" s="35">
        <f>VLOOKUP(Tabla4[[#This Row],[SERVICIO 2025]],$J$2:$V$14,3,0)*Tabla4[[#This Row],[TOTAL COBERTURA]]*8</f>
        <v>24390240</v>
      </c>
      <c r="AQ305" s="35"/>
      <c r="AR305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305" s="35" t="str">
        <f>+IF(Tabla4[[#This Row],[AGRUPACIONES]]=1,SUMIFS(Tabla4[VALOR TOTAL],Tabla4[ZONA DEFINITIVO],Tabla4[[#This Row],[ZONA DEFINITIVO]])," ")</f>
        <v xml:space="preserve"> </v>
      </c>
      <c r="AT305" s="27">
        <f>(VLOOKUP(Tabla4[[#This Row],[SERVICIO 2025]],$J$2:$V$14,3,0)*Tabla4[[#This Row],[TOTAL COBERTURA]])+Tabla4[[#This Row],[VALOR FASE PREPARATORIA DE ALISTAMIENTO]]+Tabla4[[#This Row],[DOTACIÓN ÚNICA]]</f>
        <v>3843428</v>
      </c>
      <c r="AU305" s="35">
        <f>(VLOOKUP(Tabla4[[#This Row],[SERVICIO 2025]],$J$2:$V$14,3,0)*Tabla4[[#This Row],[TOTAL COBERTURA]])</f>
        <v>3048780</v>
      </c>
      <c r="AV305" s="35">
        <f>(VLOOKUP(Tabla4[[#This Row],[SERVICIO 2025]],$J$2:$V$14,3,0)*Tabla4[[#This Row],[TOTAL COBERTURA]])</f>
        <v>3048780</v>
      </c>
      <c r="AW305" s="35">
        <f>(VLOOKUP(Tabla4[[#This Row],[SERVICIO 2025]],$J$2:$V$14,3,0)*Tabla4[[#This Row],[TOTAL COBERTURA]])</f>
        <v>3048780</v>
      </c>
      <c r="AX305" s="35">
        <f>(VLOOKUP(Tabla4[[#This Row],[SERVICIO 2025]],$J$2:$V$14,3,0)*Tabla4[[#This Row],[TOTAL COBERTURA]])</f>
        <v>3048780</v>
      </c>
      <c r="AY305" s="35">
        <f>(VLOOKUP(Tabla4[[#This Row],[SERVICIO 2025]],$J$2:$V$14,3,0)*Tabla4[[#This Row],[TOTAL COBERTURA]])</f>
        <v>3048780</v>
      </c>
      <c r="AZ305" s="35">
        <f>(VLOOKUP(Tabla4[[#This Row],[SERVICIO 2025]],$J$2:$V$14,3,0)*Tabla4[[#This Row],[TOTAL COBERTURA]])</f>
        <v>3048780</v>
      </c>
      <c r="BA305" s="35">
        <f>(VLOOKUP(Tabla4[[#This Row],[SERVICIO 2025]],$J$2:$V$14,3,0)*Tabla4[[#This Row],[TOTAL COBERTURA]])+Tabla4[[#This Row],[VALOR FASE PREPARATORIA DE CIERRE]]</f>
        <v>3692077</v>
      </c>
      <c r="BB305" s="35">
        <f>SUM(Tabla4[[#This Row],[DESEMBOLSO 1]:[DESEMBOLSO 8]])</f>
        <v>25828185</v>
      </c>
      <c r="BC305" s="35">
        <f>VLOOKUP(Tabla4[[#This Row],[SERVICIO 2025]],$J$2:$V$14,10,0)*Tabla4[[#This Row],[TOTAL COBERTURA]]*$W$3</f>
        <v>25611656</v>
      </c>
      <c r="BD305" s="47" t="s">
        <v>211</v>
      </c>
      <c r="BE305" s="12" t="b">
        <f>EXACT(Tabla4[[#This Row],[VALOR ATENCIÓN (8 MESES)]],Tabla4[[#This Row],[VALOR TOTAL]])</f>
        <v>1</v>
      </c>
      <c r="BF305" s="23">
        <f>Tabla4[[#This Row],[VALOR ATENCIÓN (8 MESES)]]-Tabla4[[#This Row],[VALOR TOTAL]]</f>
        <v>0</v>
      </c>
      <c r="BG305" s="12" t="b">
        <f>EXACT(Tabla4[[#This Row],[TOTAL DESEMBOLSOS]],Tabla4[[#This Row],[VALOR ATENCIÓN (8 MESES)]])</f>
        <v>1</v>
      </c>
      <c r="BH305" s="29">
        <f>Tabla4[[#This Row],[TOTAL DESEMBOLSOS]]-Tabla4[[#This Row],[VALOR ATENCIÓN (8 MESES)]]</f>
        <v>0</v>
      </c>
      <c r="BI305" t="s">
        <v>98</v>
      </c>
      <c r="BJ305">
        <v>1909</v>
      </c>
    </row>
    <row r="306" spans="1:62">
      <c r="A306" s="13">
        <v>1909</v>
      </c>
      <c r="B306" s="13" t="s">
        <v>702</v>
      </c>
      <c r="C306" s="12" t="s">
        <v>87</v>
      </c>
      <c r="D306" s="12" t="s">
        <v>205</v>
      </c>
      <c r="E306" s="12" t="s">
        <v>703</v>
      </c>
      <c r="F306" s="12" t="s">
        <v>14</v>
      </c>
      <c r="G306" s="12" t="s">
        <v>90</v>
      </c>
      <c r="H306" s="12" t="s">
        <v>747</v>
      </c>
      <c r="I306" s="12">
        <v>503400024228</v>
      </c>
      <c r="J306" s="12" t="s">
        <v>748</v>
      </c>
      <c r="K306" s="12">
        <v>1</v>
      </c>
      <c r="L306" s="12">
        <v>123</v>
      </c>
      <c r="M306" s="12"/>
      <c r="N306" s="13">
        <v>1909</v>
      </c>
      <c r="O306" s="12" t="s">
        <v>93</v>
      </c>
      <c r="P306" s="12"/>
      <c r="Q306" s="12"/>
      <c r="R306" s="12" t="s">
        <v>94</v>
      </c>
      <c r="S306" s="12">
        <v>10</v>
      </c>
      <c r="T306" s="12" t="s">
        <v>379</v>
      </c>
      <c r="U306" s="12" t="s">
        <v>380</v>
      </c>
      <c r="V306" s="12">
        <f>VLOOKUP(Tabla4[[#This Row],[ZONA DEFINITIVO]],Hoja1!$A$1:$D$121,3,0)</f>
        <v>229074</v>
      </c>
      <c r="W306" s="12">
        <f>VLOOKUP(Tabla4[[#This Row],[ZONA DEFINITIVO]],Hoja1!$A$1:$D$121,2,0)</f>
        <v>15181</v>
      </c>
      <c r="X306" s="12">
        <f>VLOOKUP(Tabla4[[#This Row],[ZONA DEFINITIVO]],Hoja1!$A$1:$D$121,4,0)</f>
        <v>82225</v>
      </c>
      <c r="Y306" s="12" t="str">
        <f>+IF(Tabla4[[#This Row],[AGRUPACIONES]]=1,SUMIFS(Tabla4[UDS],Tabla4[ZONA DEFINITIVO],Tabla4[[#This Row],[ZONA DEFINITIVO]])," ")</f>
        <v xml:space="preserve"> </v>
      </c>
      <c r="Z306" s="12" t="str">
        <f>+IF(Tabla4[[#This Row],[AGRUPACIONES]]=1,SUMIFS(Tabla4[TOTAL COBERTURA],Tabla4[ZONA DEFINITIVO],Tabla4[[#This Row],[ZONA DEFINITIVO]])," ")</f>
        <v xml:space="preserve"> </v>
      </c>
      <c r="AA306" s="12"/>
      <c r="AB306" s="38">
        <v>515228550</v>
      </c>
      <c r="AC306" s="37">
        <v>0.02</v>
      </c>
      <c r="AD306" s="38">
        <f t="shared" si="5"/>
        <v>10304571</v>
      </c>
      <c r="AE306" s="12"/>
      <c r="AF306" s="12">
        <f>COUNTIF($A$20:A306,A306)</f>
        <v>24</v>
      </c>
      <c r="AG306" s="38">
        <v>515228550</v>
      </c>
      <c r="AH306" s="38">
        <f>Tabla4[[#This Row],[VALOR CONTRAPARTIDA]]+Tabla4[[#This Row],[TOTAL APORTES ICBF]]</f>
        <v>525533121</v>
      </c>
      <c r="AI306" s="35"/>
      <c r="AJ306" s="38"/>
      <c r="AK306" s="38"/>
      <c r="AL306" s="23"/>
      <c r="AM306" s="35">
        <f>VLOOKUP(Tabla4[[#This Row],[SERVICIO 2025]],$J$2:$V$14,5,0)*Tabla4[[#This Row],[TOTAL COBERTURA]]</f>
        <v>10841589</v>
      </c>
      <c r="AN306" s="35">
        <f>VLOOKUP(Tabla4[[#This Row],[SERVICIO 2025]],$J$2:$V$14,6,0)*Tabla4[[#This Row],[TOTAL COBERTURA]]</f>
        <v>9230289</v>
      </c>
      <c r="AO306" s="35">
        <f>VLOOKUP(Tabla4[[#This Row],[SERVICIO 2025]],$J$2:$V$14,8,0)*Tabla4[[#This Row],[TOTAL COBERTURA]]</f>
        <v>0</v>
      </c>
      <c r="AP306" s="35">
        <f>VLOOKUP(Tabla4[[#This Row],[SERVICIO 2025]],$J$2:$V$14,3,0)*Tabla4[[#This Row],[TOTAL COBERTURA]]*8</f>
        <v>495156672</v>
      </c>
      <c r="AQ306" s="35"/>
      <c r="AR306" s="35">
        <f>Tabla4[[#This Row],[VALOR FASE PREPARATORIA DE ALISTAMIENTO]]+Tabla4[[#This Row],[VALOR FASE PREPARATORIA DE CIERRE]]+Tabla4[[#This Row],[DOTACIÓN ÚNICA]]+Tabla4[[#This Row],[VALOR ATENCIÓN]]+Tabla4[[#This Row],[VALOR RACION PREPARADA]]</f>
        <v>515228550</v>
      </c>
      <c r="AS306" s="35" t="str">
        <f>+IF(Tabla4[[#This Row],[AGRUPACIONES]]=1,SUMIFS(Tabla4[VALOR TOTAL],Tabla4[ZONA DEFINITIVO],Tabla4[[#This Row],[ZONA DEFINITIVO]])," ")</f>
        <v xml:space="preserve"> </v>
      </c>
      <c r="AT306" s="27">
        <f>(VLOOKUP(Tabla4[[#This Row],[SERVICIO 2025]],$J$2:$V$14,3,0)*Tabla4[[#This Row],[TOTAL COBERTURA]])+Tabla4[[#This Row],[VALOR FASE PREPARATORIA DE ALISTAMIENTO]]+Tabla4[[#This Row],[DOTACIÓN ÚNICA]]</f>
        <v>72736173</v>
      </c>
      <c r="AU306" s="35">
        <f>(VLOOKUP(Tabla4[[#This Row],[SERVICIO 2025]],$J$2:$V$14,3,0)*Tabla4[[#This Row],[TOTAL COBERTURA]])</f>
        <v>61894584</v>
      </c>
      <c r="AV306" s="35">
        <f>(VLOOKUP(Tabla4[[#This Row],[SERVICIO 2025]],$J$2:$V$14,3,0)*Tabla4[[#This Row],[TOTAL COBERTURA]])</f>
        <v>61894584</v>
      </c>
      <c r="AW306" s="35">
        <f>(VLOOKUP(Tabla4[[#This Row],[SERVICIO 2025]],$J$2:$V$14,3,0)*Tabla4[[#This Row],[TOTAL COBERTURA]])</f>
        <v>61894584</v>
      </c>
      <c r="AX306" s="35">
        <f>(VLOOKUP(Tabla4[[#This Row],[SERVICIO 2025]],$J$2:$V$14,3,0)*Tabla4[[#This Row],[TOTAL COBERTURA]])</f>
        <v>61894584</v>
      </c>
      <c r="AY306" s="35">
        <f>(VLOOKUP(Tabla4[[#This Row],[SERVICIO 2025]],$J$2:$V$14,3,0)*Tabla4[[#This Row],[TOTAL COBERTURA]])</f>
        <v>61894584</v>
      </c>
      <c r="AZ306" s="35">
        <f>(VLOOKUP(Tabla4[[#This Row],[SERVICIO 2025]],$J$2:$V$14,3,0)*Tabla4[[#This Row],[TOTAL COBERTURA]])</f>
        <v>61894584</v>
      </c>
      <c r="BA306" s="35">
        <f>(VLOOKUP(Tabla4[[#This Row],[SERVICIO 2025]],$J$2:$V$14,3,0)*Tabla4[[#This Row],[TOTAL COBERTURA]])+Tabla4[[#This Row],[VALOR FASE PREPARATORIA DE CIERRE]]</f>
        <v>71124873</v>
      </c>
      <c r="BB306" s="35">
        <f>SUM(Tabla4[[#This Row],[DESEMBOLSO 1]:[DESEMBOLSO 8]])</f>
        <v>515228550</v>
      </c>
      <c r="BC306" s="35">
        <f>VLOOKUP(Tabla4[[#This Row],[SERVICIO 2025]],$J$2:$V$14,10,0)*Tabla4[[#This Row],[TOTAL COBERTURA]]*$W$3</f>
        <v>0</v>
      </c>
      <c r="BD306" s="47" t="s">
        <v>145</v>
      </c>
      <c r="BE306" s="12" t="b">
        <f>EXACT(Tabla4[[#This Row],[VALOR ATENCIÓN (8 MESES)]],Tabla4[[#This Row],[VALOR TOTAL]])</f>
        <v>1</v>
      </c>
      <c r="BF306" s="23">
        <f>Tabla4[[#This Row],[VALOR ATENCIÓN (8 MESES)]]-Tabla4[[#This Row],[VALOR TOTAL]]</f>
        <v>0</v>
      </c>
      <c r="BG306" s="12" t="b">
        <f>EXACT(Tabla4[[#This Row],[TOTAL DESEMBOLSOS]],Tabla4[[#This Row],[VALOR ATENCIÓN (8 MESES)]])</f>
        <v>1</v>
      </c>
      <c r="BH306" s="29">
        <f>Tabla4[[#This Row],[TOTAL DESEMBOLSOS]]-Tabla4[[#This Row],[VALOR ATENCIÓN (8 MESES)]]</f>
        <v>0</v>
      </c>
      <c r="BI306" t="s">
        <v>98</v>
      </c>
      <c r="BJ306">
        <v>1909</v>
      </c>
    </row>
    <row r="307" spans="1:62">
      <c r="A307" s="13">
        <v>1909</v>
      </c>
      <c r="B307" s="13" t="s">
        <v>702</v>
      </c>
      <c r="C307" s="12" t="s">
        <v>87</v>
      </c>
      <c r="D307" s="12" t="s">
        <v>205</v>
      </c>
      <c r="E307" s="12" t="s">
        <v>703</v>
      </c>
      <c r="F307" s="12" t="s">
        <v>14</v>
      </c>
      <c r="G307" s="12" t="s">
        <v>90</v>
      </c>
      <c r="H307" s="12" t="s">
        <v>749</v>
      </c>
      <c r="I307" s="12">
        <v>503400100084</v>
      </c>
      <c r="J307" s="12" t="s">
        <v>750</v>
      </c>
      <c r="K307" s="12">
        <v>1</v>
      </c>
      <c r="L307" s="12">
        <v>57</v>
      </c>
      <c r="M307" s="12"/>
      <c r="N307" s="13">
        <v>1909</v>
      </c>
      <c r="O307" s="12" t="s">
        <v>93</v>
      </c>
      <c r="P307" s="12"/>
      <c r="Q307" s="12"/>
      <c r="R307" s="12" t="s">
        <v>94</v>
      </c>
      <c r="S307" s="12">
        <v>10</v>
      </c>
      <c r="T307" s="12" t="s">
        <v>379</v>
      </c>
      <c r="U307" s="12" t="s">
        <v>380</v>
      </c>
      <c r="V307" s="12">
        <f>VLOOKUP(Tabla4[[#This Row],[ZONA DEFINITIVO]],Hoja1!$A$1:$D$121,3,0)</f>
        <v>229074</v>
      </c>
      <c r="W307" s="12">
        <f>VLOOKUP(Tabla4[[#This Row],[ZONA DEFINITIVO]],Hoja1!$A$1:$D$121,2,0)</f>
        <v>15181</v>
      </c>
      <c r="X307" s="12">
        <f>VLOOKUP(Tabla4[[#This Row],[ZONA DEFINITIVO]],Hoja1!$A$1:$D$121,4,0)</f>
        <v>82225</v>
      </c>
      <c r="Y307" s="12" t="str">
        <f>+IF(Tabla4[[#This Row],[AGRUPACIONES]]=1,SUMIFS(Tabla4[UDS],Tabla4[ZONA DEFINITIVO],Tabla4[[#This Row],[ZONA DEFINITIVO]])," ")</f>
        <v xml:space="preserve"> </v>
      </c>
      <c r="Z307" s="12" t="str">
        <f>+IF(Tabla4[[#This Row],[AGRUPACIONES]]=1,SUMIFS(Tabla4[TOTAL COBERTURA],Tabla4[ZONA DEFINITIVO],Tabla4[[#This Row],[ZONA DEFINITIVO]])," ")</f>
        <v xml:space="preserve"> </v>
      </c>
      <c r="AA307" s="12"/>
      <c r="AB307" s="38">
        <v>238764450</v>
      </c>
      <c r="AC307" s="37">
        <v>0.02</v>
      </c>
      <c r="AD307" s="38">
        <f t="shared" si="5"/>
        <v>4775289</v>
      </c>
      <c r="AE307" s="12"/>
      <c r="AF307" s="12">
        <f>COUNTIF($A$20:A307,A307)</f>
        <v>25</v>
      </c>
      <c r="AG307" s="38">
        <v>238764450</v>
      </c>
      <c r="AH307" s="38">
        <f>Tabla4[[#This Row],[VALOR CONTRAPARTIDA]]+Tabla4[[#This Row],[TOTAL APORTES ICBF]]</f>
        <v>243539739</v>
      </c>
      <c r="AI307" s="35"/>
      <c r="AJ307" s="38"/>
      <c r="AK307" s="38"/>
      <c r="AL307" s="23"/>
      <c r="AM307" s="35">
        <f>VLOOKUP(Tabla4[[#This Row],[SERVICIO 2025]],$J$2:$V$14,5,0)*Tabla4[[#This Row],[TOTAL COBERTURA]]</f>
        <v>5024151</v>
      </c>
      <c r="AN307" s="35">
        <f>VLOOKUP(Tabla4[[#This Row],[SERVICIO 2025]],$J$2:$V$14,6,0)*Tabla4[[#This Row],[TOTAL COBERTURA]]</f>
        <v>4277451</v>
      </c>
      <c r="AO307" s="35">
        <f>VLOOKUP(Tabla4[[#This Row],[SERVICIO 2025]],$J$2:$V$14,8,0)*Tabla4[[#This Row],[TOTAL COBERTURA]]</f>
        <v>0</v>
      </c>
      <c r="AP307" s="35">
        <f>VLOOKUP(Tabla4[[#This Row],[SERVICIO 2025]],$J$2:$V$14,3,0)*Tabla4[[#This Row],[TOTAL COBERTURA]]*8</f>
        <v>229462848</v>
      </c>
      <c r="AQ307" s="35"/>
      <c r="AR307" s="35">
        <f>Tabla4[[#This Row],[VALOR FASE PREPARATORIA DE ALISTAMIENTO]]+Tabla4[[#This Row],[VALOR FASE PREPARATORIA DE CIERRE]]+Tabla4[[#This Row],[DOTACIÓN ÚNICA]]+Tabla4[[#This Row],[VALOR ATENCIÓN]]+Tabla4[[#This Row],[VALOR RACION PREPARADA]]</f>
        <v>238764450</v>
      </c>
      <c r="AS307" s="35" t="str">
        <f>+IF(Tabla4[[#This Row],[AGRUPACIONES]]=1,SUMIFS(Tabla4[VALOR TOTAL],Tabla4[ZONA DEFINITIVO],Tabla4[[#This Row],[ZONA DEFINITIVO]])," ")</f>
        <v xml:space="preserve"> </v>
      </c>
      <c r="AT307" s="27">
        <f>(VLOOKUP(Tabla4[[#This Row],[SERVICIO 2025]],$J$2:$V$14,3,0)*Tabla4[[#This Row],[TOTAL COBERTURA]])+Tabla4[[#This Row],[VALOR FASE PREPARATORIA DE ALISTAMIENTO]]+Tabla4[[#This Row],[DOTACIÓN ÚNICA]]</f>
        <v>33707007</v>
      </c>
      <c r="AU307" s="35">
        <f>(VLOOKUP(Tabla4[[#This Row],[SERVICIO 2025]],$J$2:$V$14,3,0)*Tabla4[[#This Row],[TOTAL COBERTURA]])</f>
        <v>28682856</v>
      </c>
      <c r="AV307" s="35">
        <f>(VLOOKUP(Tabla4[[#This Row],[SERVICIO 2025]],$J$2:$V$14,3,0)*Tabla4[[#This Row],[TOTAL COBERTURA]])</f>
        <v>28682856</v>
      </c>
      <c r="AW307" s="35">
        <f>(VLOOKUP(Tabla4[[#This Row],[SERVICIO 2025]],$J$2:$V$14,3,0)*Tabla4[[#This Row],[TOTAL COBERTURA]])</f>
        <v>28682856</v>
      </c>
      <c r="AX307" s="35">
        <f>(VLOOKUP(Tabla4[[#This Row],[SERVICIO 2025]],$J$2:$V$14,3,0)*Tabla4[[#This Row],[TOTAL COBERTURA]])</f>
        <v>28682856</v>
      </c>
      <c r="AY307" s="35">
        <f>(VLOOKUP(Tabla4[[#This Row],[SERVICIO 2025]],$J$2:$V$14,3,0)*Tabla4[[#This Row],[TOTAL COBERTURA]])</f>
        <v>28682856</v>
      </c>
      <c r="AZ307" s="35">
        <f>(VLOOKUP(Tabla4[[#This Row],[SERVICIO 2025]],$J$2:$V$14,3,0)*Tabla4[[#This Row],[TOTAL COBERTURA]])</f>
        <v>28682856</v>
      </c>
      <c r="BA307" s="35">
        <f>(VLOOKUP(Tabla4[[#This Row],[SERVICIO 2025]],$J$2:$V$14,3,0)*Tabla4[[#This Row],[TOTAL COBERTURA]])+Tabla4[[#This Row],[VALOR FASE PREPARATORIA DE CIERRE]]</f>
        <v>32960307</v>
      </c>
      <c r="BB307" s="35">
        <f>SUM(Tabla4[[#This Row],[DESEMBOLSO 1]:[DESEMBOLSO 8]])</f>
        <v>238764450</v>
      </c>
      <c r="BC307" s="35">
        <f>VLOOKUP(Tabla4[[#This Row],[SERVICIO 2025]],$J$2:$V$14,10,0)*Tabla4[[#This Row],[TOTAL COBERTURA]]*$W$3</f>
        <v>0</v>
      </c>
      <c r="BD307" s="47" t="s">
        <v>145</v>
      </c>
      <c r="BE307" s="12" t="b">
        <f>EXACT(Tabla4[[#This Row],[VALOR ATENCIÓN (8 MESES)]],Tabla4[[#This Row],[VALOR TOTAL]])</f>
        <v>1</v>
      </c>
      <c r="BF307" s="23">
        <f>Tabla4[[#This Row],[VALOR ATENCIÓN (8 MESES)]]-Tabla4[[#This Row],[VALOR TOTAL]]</f>
        <v>0</v>
      </c>
      <c r="BG307" s="12" t="b">
        <f>EXACT(Tabla4[[#This Row],[TOTAL DESEMBOLSOS]],Tabla4[[#This Row],[VALOR ATENCIÓN (8 MESES)]])</f>
        <v>1</v>
      </c>
      <c r="BH307" s="29">
        <f>Tabla4[[#This Row],[TOTAL DESEMBOLSOS]]-Tabla4[[#This Row],[VALOR ATENCIÓN (8 MESES)]]</f>
        <v>0</v>
      </c>
      <c r="BI307" t="s">
        <v>98</v>
      </c>
      <c r="BJ307">
        <v>1909</v>
      </c>
    </row>
    <row r="308" spans="1:62">
      <c r="A308" s="13">
        <v>1909</v>
      </c>
      <c r="B308" s="13" t="s">
        <v>702</v>
      </c>
      <c r="C308" s="12" t="s">
        <v>87</v>
      </c>
      <c r="D308" s="12" t="s">
        <v>205</v>
      </c>
      <c r="E308" s="12" t="s">
        <v>703</v>
      </c>
      <c r="F308" s="12" t="s">
        <v>15</v>
      </c>
      <c r="G308" s="12" t="s">
        <v>90</v>
      </c>
      <c r="H308" s="12" t="s">
        <v>751</v>
      </c>
      <c r="I308" s="12">
        <v>503400100275</v>
      </c>
      <c r="J308" s="12" t="s">
        <v>752</v>
      </c>
      <c r="K308" s="12">
        <v>1</v>
      </c>
      <c r="L308" s="12">
        <v>34</v>
      </c>
      <c r="M308" s="12"/>
      <c r="N308" s="13">
        <v>1909</v>
      </c>
      <c r="O308" s="12" t="s">
        <v>93</v>
      </c>
      <c r="P308" s="12"/>
      <c r="Q308" s="12"/>
      <c r="R308" s="12" t="s">
        <v>94</v>
      </c>
      <c r="S308" s="12">
        <v>10</v>
      </c>
      <c r="T308" s="12" t="s">
        <v>379</v>
      </c>
      <c r="U308" s="12" t="s">
        <v>380</v>
      </c>
      <c r="V308" s="12">
        <f>VLOOKUP(Tabla4[[#This Row],[ZONA DEFINITIVO]],Hoja1!$A$1:$D$121,3,0)</f>
        <v>229074</v>
      </c>
      <c r="W308" s="12">
        <f>VLOOKUP(Tabla4[[#This Row],[ZONA DEFINITIVO]],Hoja1!$A$1:$D$121,2,0)</f>
        <v>15181</v>
      </c>
      <c r="X308" s="12">
        <f>VLOOKUP(Tabla4[[#This Row],[ZONA DEFINITIVO]],Hoja1!$A$1:$D$121,4,0)</f>
        <v>82225</v>
      </c>
      <c r="Y308" s="12" t="str">
        <f>+IF(Tabla4[[#This Row],[AGRUPACIONES]]=1,SUMIFS(Tabla4[UDS],Tabla4[ZONA DEFINITIVO],Tabla4[[#This Row],[ZONA DEFINITIVO]])," ")</f>
        <v xml:space="preserve"> </v>
      </c>
      <c r="Z308" s="12" t="str">
        <f>+IF(Tabla4[[#This Row],[AGRUPACIONES]]=1,SUMIFS(Tabla4[TOTAL COBERTURA],Tabla4[ZONA DEFINITIVO],Tabla4[[#This Row],[ZONA DEFINITIVO]])," ")</f>
        <v xml:space="preserve"> </v>
      </c>
      <c r="AA308" s="12"/>
      <c r="AB308" s="38">
        <v>147199668</v>
      </c>
      <c r="AC308" s="37">
        <v>0.02</v>
      </c>
      <c r="AD308" s="38">
        <f t="shared" si="5"/>
        <v>2943993.36</v>
      </c>
      <c r="AE308" s="12"/>
      <c r="AF308" s="12">
        <f>COUNTIF($A$20:A308,A308)</f>
        <v>26</v>
      </c>
      <c r="AG308" s="38">
        <v>147199668</v>
      </c>
      <c r="AH308" s="38">
        <f>Tabla4[[#This Row],[VALOR CONTRAPARTIDA]]+Tabla4[[#This Row],[TOTAL APORTES ICBF]]</f>
        <v>150143661.36000001</v>
      </c>
      <c r="AI308" s="35"/>
      <c r="AJ308" s="38"/>
      <c r="AK308" s="38"/>
      <c r="AL308" s="23"/>
      <c r="AM308" s="35">
        <f>VLOOKUP(Tabla4[[#This Row],[SERVICIO 2025]],$J$2:$V$14,5,0)*Tabla4[[#This Row],[TOTAL COBERTURA]]</f>
        <v>2996862</v>
      </c>
      <c r="AN308" s="35">
        <f>VLOOKUP(Tabla4[[#This Row],[SERVICIO 2025]],$J$2:$V$14,6,0)*Tabla4[[#This Row],[TOTAL COBERTURA]]</f>
        <v>2551462</v>
      </c>
      <c r="AO308" s="35">
        <f>VLOOKUP(Tabla4[[#This Row],[SERVICIO 2025]],$J$2:$V$14,8,0)*Tabla4[[#This Row],[TOTAL COBERTURA]]</f>
        <v>0</v>
      </c>
      <c r="AP308" s="35">
        <f>VLOOKUP(Tabla4[[#This Row],[SERVICIO 2025]],$J$2:$V$14,3,0)*Tabla4[[#This Row],[TOTAL COBERTURA]]*8</f>
        <v>141651344</v>
      </c>
      <c r="AQ308" s="35"/>
      <c r="AR308" s="35">
        <f>Tabla4[[#This Row],[VALOR FASE PREPARATORIA DE ALISTAMIENTO]]+Tabla4[[#This Row],[VALOR FASE PREPARATORIA DE CIERRE]]+Tabla4[[#This Row],[DOTACIÓN ÚNICA]]+Tabla4[[#This Row],[VALOR ATENCIÓN]]+Tabla4[[#This Row],[VALOR RACION PREPARADA]]</f>
        <v>147199668</v>
      </c>
      <c r="AS308" s="35" t="str">
        <f>+IF(Tabla4[[#This Row],[AGRUPACIONES]]=1,SUMIFS(Tabla4[VALOR TOTAL],Tabla4[ZONA DEFINITIVO],Tabla4[[#This Row],[ZONA DEFINITIVO]])," ")</f>
        <v xml:space="preserve"> </v>
      </c>
      <c r="AT308" s="27">
        <f>(VLOOKUP(Tabla4[[#This Row],[SERVICIO 2025]],$J$2:$V$14,3,0)*Tabla4[[#This Row],[TOTAL COBERTURA]])+Tabla4[[#This Row],[VALOR FASE PREPARATORIA DE ALISTAMIENTO]]+Tabla4[[#This Row],[DOTACIÓN ÚNICA]]</f>
        <v>20703280</v>
      </c>
      <c r="AU308" s="35">
        <f>(VLOOKUP(Tabla4[[#This Row],[SERVICIO 2025]],$J$2:$V$14,3,0)*Tabla4[[#This Row],[TOTAL COBERTURA]])</f>
        <v>17706418</v>
      </c>
      <c r="AV308" s="35">
        <f>(VLOOKUP(Tabla4[[#This Row],[SERVICIO 2025]],$J$2:$V$14,3,0)*Tabla4[[#This Row],[TOTAL COBERTURA]])</f>
        <v>17706418</v>
      </c>
      <c r="AW308" s="35">
        <f>(VLOOKUP(Tabla4[[#This Row],[SERVICIO 2025]],$J$2:$V$14,3,0)*Tabla4[[#This Row],[TOTAL COBERTURA]])</f>
        <v>17706418</v>
      </c>
      <c r="AX308" s="35">
        <f>(VLOOKUP(Tabla4[[#This Row],[SERVICIO 2025]],$J$2:$V$14,3,0)*Tabla4[[#This Row],[TOTAL COBERTURA]])</f>
        <v>17706418</v>
      </c>
      <c r="AY308" s="35">
        <f>(VLOOKUP(Tabla4[[#This Row],[SERVICIO 2025]],$J$2:$V$14,3,0)*Tabla4[[#This Row],[TOTAL COBERTURA]])</f>
        <v>17706418</v>
      </c>
      <c r="AZ308" s="35">
        <f>(VLOOKUP(Tabla4[[#This Row],[SERVICIO 2025]],$J$2:$V$14,3,0)*Tabla4[[#This Row],[TOTAL COBERTURA]])</f>
        <v>17706418</v>
      </c>
      <c r="BA308" s="35">
        <f>(VLOOKUP(Tabla4[[#This Row],[SERVICIO 2025]],$J$2:$V$14,3,0)*Tabla4[[#This Row],[TOTAL COBERTURA]])+Tabla4[[#This Row],[VALOR FASE PREPARATORIA DE CIERRE]]</f>
        <v>20257880</v>
      </c>
      <c r="BB308" s="35">
        <f>SUM(Tabla4[[#This Row],[DESEMBOLSO 1]:[DESEMBOLSO 8]])</f>
        <v>147199668</v>
      </c>
      <c r="BC308" s="35">
        <f>VLOOKUP(Tabla4[[#This Row],[SERVICIO 2025]],$J$2:$V$14,10,0)*Tabla4[[#This Row],[TOTAL COBERTURA]]*$W$3</f>
        <v>0</v>
      </c>
      <c r="BD308" s="47" t="s">
        <v>145</v>
      </c>
      <c r="BE308" s="12" t="b">
        <f>EXACT(Tabla4[[#This Row],[VALOR ATENCIÓN (8 MESES)]],Tabla4[[#This Row],[VALOR TOTAL]])</f>
        <v>1</v>
      </c>
      <c r="BF308" s="23">
        <f>Tabla4[[#This Row],[VALOR ATENCIÓN (8 MESES)]]-Tabla4[[#This Row],[VALOR TOTAL]]</f>
        <v>0</v>
      </c>
      <c r="BG308" s="12" t="b">
        <f>EXACT(Tabla4[[#This Row],[TOTAL DESEMBOLSOS]],Tabla4[[#This Row],[VALOR ATENCIÓN (8 MESES)]])</f>
        <v>1</v>
      </c>
      <c r="BH308" s="29">
        <f>Tabla4[[#This Row],[TOTAL DESEMBOLSOS]]-Tabla4[[#This Row],[VALOR ATENCIÓN (8 MESES)]]</f>
        <v>0</v>
      </c>
      <c r="BI308" t="s">
        <v>98</v>
      </c>
      <c r="BJ308">
        <v>1909</v>
      </c>
    </row>
    <row r="309" spans="1:62">
      <c r="A309" s="13">
        <v>1909</v>
      </c>
      <c r="B309" s="13" t="s">
        <v>702</v>
      </c>
      <c r="C309" s="12" t="s">
        <v>87</v>
      </c>
      <c r="D309" s="12" t="s">
        <v>205</v>
      </c>
      <c r="E309" s="12" t="s">
        <v>703</v>
      </c>
      <c r="F309" s="12" t="s">
        <v>21</v>
      </c>
      <c r="G309" s="12" t="s">
        <v>90</v>
      </c>
      <c r="H309" s="12" t="s">
        <v>753</v>
      </c>
      <c r="I309" s="12">
        <v>503400101970</v>
      </c>
      <c r="J309" s="12" t="s">
        <v>754</v>
      </c>
      <c r="K309" s="12">
        <v>1</v>
      </c>
      <c r="L309" s="12">
        <v>12</v>
      </c>
      <c r="M309" s="12"/>
      <c r="N309" s="13">
        <v>1909</v>
      </c>
      <c r="O309" s="12" t="s">
        <v>93</v>
      </c>
      <c r="P309" s="12"/>
      <c r="Q309" s="12"/>
      <c r="R309" s="12" t="s">
        <v>94</v>
      </c>
      <c r="S309" s="12">
        <v>10</v>
      </c>
      <c r="T309" s="12" t="s">
        <v>379</v>
      </c>
      <c r="U309" s="12" t="s">
        <v>380</v>
      </c>
      <c r="V309" s="12">
        <f>VLOOKUP(Tabla4[[#This Row],[ZONA DEFINITIVO]],Hoja1!$A$1:$D$121,3,0)</f>
        <v>229074</v>
      </c>
      <c r="W309" s="12">
        <f>VLOOKUP(Tabla4[[#This Row],[ZONA DEFINITIVO]],Hoja1!$A$1:$D$121,2,0)</f>
        <v>15181</v>
      </c>
      <c r="X309" s="12">
        <f>VLOOKUP(Tabla4[[#This Row],[ZONA DEFINITIVO]],Hoja1!$A$1:$D$121,4,0)</f>
        <v>82225</v>
      </c>
      <c r="Y309" s="12" t="str">
        <f>+IF(Tabla4[[#This Row],[AGRUPACIONES]]=1,SUMIFS(Tabla4[UDS],Tabla4[ZONA DEFINITIVO],Tabla4[[#This Row],[ZONA DEFINITIVO]])," ")</f>
        <v xml:space="preserve"> </v>
      </c>
      <c r="Z309" s="12" t="str">
        <f>+IF(Tabla4[[#This Row],[AGRUPACIONES]]=1,SUMIFS(Tabla4[TOTAL COBERTURA],Tabla4[ZONA DEFINITIVO],Tabla4[[#This Row],[ZONA DEFINITIVO]])," ")</f>
        <v xml:space="preserve"> </v>
      </c>
      <c r="AA309" s="12"/>
      <c r="AB309" s="38">
        <v>18231660</v>
      </c>
      <c r="AC309" s="37">
        <v>0.02</v>
      </c>
      <c r="AD309" s="38">
        <f t="shared" si="5"/>
        <v>364633.2</v>
      </c>
      <c r="AE309" s="12"/>
      <c r="AF309" s="12">
        <f>COUNTIF($A$20:A309,A309)</f>
        <v>27</v>
      </c>
      <c r="AG309" s="38">
        <v>18231660</v>
      </c>
      <c r="AH309" s="38">
        <f>Tabla4[[#This Row],[VALOR CONTRAPARTIDA]]+Tabla4[[#This Row],[TOTAL APORTES ICBF]]</f>
        <v>18596293.199999999</v>
      </c>
      <c r="AI309" s="35"/>
      <c r="AJ309" s="38"/>
      <c r="AK309" s="38"/>
      <c r="AL309" s="23"/>
      <c r="AM309" s="35">
        <f>VLOOKUP(Tabla4[[#This Row],[SERVICIO 2025]],$J$2:$V$14,5,0)*Tabla4[[#This Row],[TOTAL COBERTURA]]</f>
        <v>560928</v>
      </c>
      <c r="AN309" s="35">
        <f>VLOOKUP(Tabla4[[#This Row],[SERVICIO 2025]],$J$2:$V$14,6,0)*Tabla4[[#This Row],[TOTAL COBERTURA]]</f>
        <v>454092</v>
      </c>
      <c r="AO309" s="35">
        <f>VLOOKUP(Tabla4[[#This Row],[SERVICIO 2025]],$J$2:$V$14,8,0)*Tabla4[[#This Row],[TOTAL COBERTURA]]</f>
        <v>0</v>
      </c>
      <c r="AP309" s="35">
        <f>VLOOKUP(Tabla4[[#This Row],[SERVICIO 2025]],$J$2:$V$14,3,0)*Tabla4[[#This Row],[TOTAL COBERTURA]]*8</f>
        <v>17216640</v>
      </c>
      <c r="AQ309" s="35"/>
      <c r="AR309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309" s="35" t="str">
        <f>+IF(Tabla4[[#This Row],[AGRUPACIONES]]=1,SUMIFS(Tabla4[VALOR TOTAL],Tabla4[ZONA DEFINITIVO],Tabla4[[#This Row],[ZONA DEFINITIVO]])," ")</f>
        <v xml:space="preserve"> </v>
      </c>
      <c r="AT309" s="27">
        <f>(VLOOKUP(Tabla4[[#This Row],[SERVICIO 2025]],$J$2:$V$14,3,0)*Tabla4[[#This Row],[TOTAL COBERTURA]])+Tabla4[[#This Row],[VALOR FASE PREPARATORIA DE ALISTAMIENTO]]+Tabla4[[#This Row],[DOTACIÓN ÚNICA]]</f>
        <v>2713008</v>
      </c>
      <c r="AU309" s="35">
        <f>(VLOOKUP(Tabla4[[#This Row],[SERVICIO 2025]],$J$2:$V$14,3,0)*Tabla4[[#This Row],[TOTAL COBERTURA]])</f>
        <v>2152080</v>
      </c>
      <c r="AV309" s="35">
        <f>(VLOOKUP(Tabla4[[#This Row],[SERVICIO 2025]],$J$2:$V$14,3,0)*Tabla4[[#This Row],[TOTAL COBERTURA]])</f>
        <v>2152080</v>
      </c>
      <c r="AW309" s="35">
        <f>(VLOOKUP(Tabla4[[#This Row],[SERVICIO 2025]],$J$2:$V$14,3,0)*Tabla4[[#This Row],[TOTAL COBERTURA]])</f>
        <v>2152080</v>
      </c>
      <c r="AX309" s="35">
        <f>(VLOOKUP(Tabla4[[#This Row],[SERVICIO 2025]],$J$2:$V$14,3,0)*Tabla4[[#This Row],[TOTAL COBERTURA]])</f>
        <v>2152080</v>
      </c>
      <c r="AY309" s="35">
        <f>(VLOOKUP(Tabla4[[#This Row],[SERVICIO 2025]],$J$2:$V$14,3,0)*Tabla4[[#This Row],[TOTAL COBERTURA]])</f>
        <v>2152080</v>
      </c>
      <c r="AZ309" s="35">
        <f>(VLOOKUP(Tabla4[[#This Row],[SERVICIO 2025]],$J$2:$V$14,3,0)*Tabla4[[#This Row],[TOTAL COBERTURA]])</f>
        <v>2152080</v>
      </c>
      <c r="BA309" s="35">
        <f>(VLOOKUP(Tabla4[[#This Row],[SERVICIO 2025]],$J$2:$V$14,3,0)*Tabla4[[#This Row],[TOTAL COBERTURA]])+Tabla4[[#This Row],[VALOR FASE PREPARATORIA DE CIERRE]]</f>
        <v>2606172</v>
      </c>
      <c r="BB309" s="35">
        <f>SUM(Tabla4[[#This Row],[DESEMBOLSO 1]:[DESEMBOLSO 8]])</f>
        <v>18231660</v>
      </c>
      <c r="BC309" s="35">
        <f>VLOOKUP(Tabla4[[#This Row],[SERVICIO 2025]],$J$2:$V$14,10,0)*Tabla4[[#This Row],[TOTAL COBERTURA]]*$W$3</f>
        <v>18078816</v>
      </c>
      <c r="BD309" s="47" t="s">
        <v>211</v>
      </c>
      <c r="BE309" s="12" t="b">
        <f>EXACT(Tabla4[[#This Row],[VALOR ATENCIÓN (8 MESES)]],Tabla4[[#This Row],[VALOR TOTAL]])</f>
        <v>1</v>
      </c>
      <c r="BF309" s="23">
        <f>Tabla4[[#This Row],[VALOR ATENCIÓN (8 MESES)]]-Tabla4[[#This Row],[VALOR TOTAL]]</f>
        <v>0</v>
      </c>
      <c r="BG309" s="12" t="b">
        <f>EXACT(Tabla4[[#This Row],[TOTAL DESEMBOLSOS]],Tabla4[[#This Row],[VALOR ATENCIÓN (8 MESES)]])</f>
        <v>1</v>
      </c>
      <c r="BH309" s="29">
        <f>Tabla4[[#This Row],[TOTAL DESEMBOLSOS]]-Tabla4[[#This Row],[VALOR ATENCIÓN (8 MESES)]]</f>
        <v>0</v>
      </c>
      <c r="BI309" t="s">
        <v>98</v>
      </c>
      <c r="BJ309">
        <v>1909</v>
      </c>
    </row>
    <row r="310" spans="1:62">
      <c r="A310" s="13">
        <v>1910</v>
      </c>
      <c r="B310" s="13" t="s">
        <v>755</v>
      </c>
      <c r="C310" s="12" t="s">
        <v>87</v>
      </c>
      <c r="D310" s="12" t="s">
        <v>205</v>
      </c>
      <c r="E310" s="12" t="s">
        <v>703</v>
      </c>
      <c r="F310" s="12" t="s">
        <v>22</v>
      </c>
      <c r="G310" s="12" t="s">
        <v>90</v>
      </c>
      <c r="H310" s="12" t="s">
        <v>756</v>
      </c>
      <c r="I310" s="12">
        <v>503400063478</v>
      </c>
      <c r="J310" s="12" t="s">
        <v>757</v>
      </c>
      <c r="K310" s="12">
        <v>1</v>
      </c>
      <c r="L310" s="12">
        <v>108</v>
      </c>
      <c r="M310" s="12"/>
      <c r="N310" s="13">
        <v>1910</v>
      </c>
      <c r="O310" s="12" t="s">
        <v>93</v>
      </c>
      <c r="P310" s="12"/>
      <c r="Q310" s="12"/>
      <c r="R310" s="12" t="s">
        <v>94</v>
      </c>
      <c r="S310" s="12">
        <v>10</v>
      </c>
      <c r="T310" s="12" t="s">
        <v>357</v>
      </c>
      <c r="U310" s="12" t="s">
        <v>358</v>
      </c>
      <c r="V310" s="12">
        <f>VLOOKUP(Tabla4[[#This Row],[ZONA DEFINITIVO]],Hoja1!$A$1:$D$121,3,0)</f>
        <v>229092</v>
      </c>
      <c r="W310" s="12">
        <f>VLOOKUP(Tabla4[[#This Row],[ZONA DEFINITIVO]],Hoja1!$A$1:$D$121,2,0)</f>
        <v>15195</v>
      </c>
      <c r="X310" s="12">
        <f>VLOOKUP(Tabla4[[#This Row],[ZONA DEFINITIVO]],Hoja1!$A$1:$D$121,4,0)</f>
        <v>83025</v>
      </c>
      <c r="Y310" s="12">
        <f>+IF(Tabla4[[#This Row],[AGRUPACIONES]]=1,SUMIFS(Tabla4[UDS],Tabla4[ZONA DEFINITIVO],Tabla4[[#This Row],[ZONA DEFINITIVO]])," ")</f>
        <v>1</v>
      </c>
      <c r="Z310" s="12">
        <f>+IF(Tabla4[[#This Row],[AGRUPACIONES]]=1,SUMIFS(Tabla4[TOTAL COBERTURA],Tabla4[ZONA DEFINITIVO],Tabla4[[#This Row],[ZONA DEFINITIVO]])," ")</f>
        <v>108</v>
      </c>
      <c r="AA310" s="12"/>
      <c r="AB310" s="38">
        <v>452395800</v>
      </c>
      <c r="AC310" s="37">
        <v>0.02</v>
      </c>
      <c r="AD310" s="38">
        <f t="shared" si="5"/>
        <v>9047916</v>
      </c>
      <c r="AE310" s="12"/>
      <c r="AF310" s="12">
        <f>COUNTIF($A$20:A310,A310)</f>
        <v>1</v>
      </c>
      <c r="AG310" s="38">
        <v>452395800</v>
      </c>
      <c r="AH310" s="38">
        <f>Tabla4[[#This Row],[VALOR CONTRAPARTIDA]]+Tabla4[[#This Row],[TOTAL APORTES ICBF]]</f>
        <v>461443716</v>
      </c>
      <c r="AI310" s="35">
        <f>ROUND(+IF(Tabla4[[#This Row],[AGRUPACIONES]]=1,SUMIFS(Tabla4[TOTAL APORTES ICBF],Tabla4[ZONA DEFINITIVO],Tabla4[[#This Row],[ZONA DEFINITIVO]])," "),0)</f>
        <v>452395800</v>
      </c>
      <c r="AJ310" s="38">
        <f>ROUND(+IF(Tabla4[[#This Row],[AGRUPACIONES]]=1,SUMIFS(Tabla4[VALOR CONTRAPARTIDA],Tabla4[ZONA DEFINITIVO],Tabla4[[#This Row],[ZONA DEFINITIVO]])," "),0)</f>
        <v>9047916</v>
      </c>
      <c r="AK310" s="38">
        <f>Tabla4[[#This Row],[TOTAL APORTES ICBF AGRUPADO]]+Tabla4[[#This Row],[TOTAL CONTRAPARTIDA AGRUPADO]]</f>
        <v>461443716</v>
      </c>
      <c r="AL310" s="23">
        <f>Tabla4[[#This Row],[TOTAL APORTES ICBF AGRUPADO]]/$AL$18</f>
        <v>317.80526870389883</v>
      </c>
      <c r="AM310" s="35">
        <f>VLOOKUP(Tabla4[[#This Row],[SERVICIO 2025]],$J$2:$V$14,5,0)*Tabla4[[#This Row],[TOTAL COBERTURA]]</f>
        <v>9519444</v>
      </c>
      <c r="AN310" s="35">
        <f>VLOOKUP(Tabla4[[#This Row],[SERVICIO 2025]],$J$2:$V$14,6,0)*Tabla4[[#This Row],[TOTAL COBERTURA]]</f>
        <v>8104644</v>
      </c>
      <c r="AO310" s="35">
        <f>VLOOKUP(Tabla4[[#This Row],[SERVICIO 2025]],$J$2:$V$14,8,0)*Tabla4[[#This Row],[TOTAL COBERTURA]]</f>
        <v>0</v>
      </c>
      <c r="AP310" s="35">
        <f>VLOOKUP(Tabla4[[#This Row],[SERVICIO 2025]],$J$2:$V$14,3,0)*Tabla4[[#This Row],[TOTAL COBERTURA]]*8</f>
        <v>434771712</v>
      </c>
      <c r="AQ310" s="35"/>
      <c r="AR310" s="35">
        <f>Tabla4[[#This Row],[VALOR FASE PREPARATORIA DE ALISTAMIENTO]]+Tabla4[[#This Row],[VALOR FASE PREPARATORIA DE CIERRE]]+Tabla4[[#This Row],[DOTACIÓN ÚNICA]]+Tabla4[[#This Row],[VALOR ATENCIÓN]]+Tabla4[[#This Row],[VALOR RACION PREPARADA]]</f>
        <v>452395800</v>
      </c>
      <c r="AS310" s="35">
        <f>+IF(Tabla4[[#This Row],[AGRUPACIONES]]=1,SUMIFS(Tabla4[VALOR TOTAL],Tabla4[ZONA DEFINITIVO],Tabla4[[#This Row],[ZONA DEFINITIVO]])," ")</f>
        <v>452395800</v>
      </c>
      <c r="AT310" s="27">
        <f>(VLOOKUP(Tabla4[[#This Row],[SERVICIO 2025]],$J$2:$V$14,3,0)*Tabla4[[#This Row],[TOTAL COBERTURA]])+Tabla4[[#This Row],[VALOR FASE PREPARATORIA DE ALISTAMIENTO]]+Tabla4[[#This Row],[DOTACIÓN ÚNICA]]</f>
        <v>63865908</v>
      </c>
      <c r="AU310" s="35">
        <f>(VLOOKUP(Tabla4[[#This Row],[SERVICIO 2025]],$J$2:$V$14,3,0)*Tabla4[[#This Row],[TOTAL COBERTURA]])</f>
        <v>54346464</v>
      </c>
      <c r="AV310" s="35">
        <f>(VLOOKUP(Tabla4[[#This Row],[SERVICIO 2025]],$J$2:$V$14,3,0)*Tabla4[[#This Row],[TOTAL COBERTURA]])</f>
        <v>54346464</v>
      </c>
      <c r="AW310" s="35">
        <f>(VLOOKUP(Tabla4[[#This Row],[SERVICIO 2025]],$J$2:$V$14,3,0)*Tabla4[[#This Row],[TOTAL COBERTURA]])</f>
        <v>54346464</v>
      </c>
      <c r="AX310" s="35">
        <f>(VLOOKUP(Tabla4[[#This Row],[SERVICIO 2025]],$J$2:$V$14,3,0)*Tabla4[[#This Row],[TOTAL COBERTURA]])</f>
        <v>54346464</v>
      </c>
      <c r="AY310" s="35">
        <f>(VLOOKUP(Tabla4[[#This Row],[SERVICIO 2025]],$J$2:$V$14,3,0)*Tabla4[[#This Row],[TOTAL COBERTURA]])</f>
        <v>54346464</v>
      </c>
      <c r="AZ310" s="35">
        <f>(VLOOKUP(Tabla4[[#This Row],[SERVICIO 2025]],$J$2:$V$14,3,0)*Tabla4[[#This Row],[TOTAL COBERTURA]])</f>
        <v>54346464</v>
      </c>
      <c r="BA310" s="35">
        <f>(VLOOKUP(Tabla4[[#This Row],[SERVICIO 2025]],$J$2:$V$14,3,0)*Tabla4[[#This Row],[TOTAL COBERTURA]])+Tabla4[[#This Row],[VALOR FASE PREPARATORIA DE CIERRE]]</f>
        <v>62451108</v>
      </c>
      <c r="BB310" s="35">
        <f>SUM(Tabla4[[#This Row],[DESEMBOLSO 1]:[DESEMBOLSO 8]])</f>
        <v>452395800</v>
      </c>
      <c r="BC310" s="35">
        <f>VLOOKUP(Tabla4[[#This Row],[SERVICIO 2025]],$J$2:$V$14,10,0)*Tabla4[[#This Row],[TOTAL COBERTURA]]*$W$3</f>
        <v>0</v>
      </c>
      <c r="BD310" s="47" t="s">
        <v>145</v>
      </c>
      <c r="BE310" s="12" t="b">
        <f>EXACT(Tabla4[[#This Row],[VALOR ATENCIÓN (8 MESES)]],Tabla4[[#This Row],[VALOR TOTAL]])</f>
        <v>1</v>
      </c>
      <c r="BF310" s="23">
        <f>Tabla4[[#This Row],[VALOR ATENCIÓN (8 MESES)]]-Tabla4[[#This Row],[VALOR TOTAL]]</f>
        <v>0</v>
      </c>
      <c r="BG310" s="12" t="b">
        <f>EXACT(Tabla4[[#This Row],[TOTAL DESEMBOLSOS]],Tabla4[[#This Row],[VALOR ATENCIÓN (8 MESES)]])</f>
        <v>1</v>
      </c>
      <c r="BH310" s="29">
        <f>Tabla4[[#This Row],[TOTAL DESEMBOLSOS]]-Tabla4[[#This Row],[VALOR ATENCIÓN (8 MESES)]]</f>
        <v>0</v>
      </c>
      <c r="BI310" t="s">
        <v>98</v>
      </c>
    </row>
    <row r="311" spans="1:62">
      <c r="A311" s="13">
        <v>1913</v>
      </c>
      <c r="B311" s="13" t="s">
        <v>758</v>
      </c>
      <c r="C311" s="12" t="s">
        <v>87</v>
      </c>
      <c r="D311" s="12" t="s">
        <v>673</v>
      </c>
      <c r="E311" s="12" t="s">
        <v>759</v>
      </c>
      <c r="F311" s="12" t="s">
        <v>18</v>
      </c>
      <c r="G311" s="12" t="s">
        <v>90</v>
      </c>
      <c r="H311" s="12" t="s">
        <v>760</v>
      </c>
      <c r="I311" s="12">
        <v>50401136236</v>
      </c>
      <c r="J311" s="12" t="s">
        <v>761</v>
      </c>
      <c r="K311" s="12">
        <v>1</v>
      </c>
      <c r="L311" s="12">
        <v>20</v>
      </c>
      <c r="M311" s="12"/>
      <c r="N311" s="13">
        <v>1913</v>
      </c>
      <c r="O311" s="12" t="s">
        <v>93</v>
      </c>
      <c r="P311" s="12"/>
      <c r="Q311" s="12"/>
      <c r="R311" s="12" t="s">
        <v>94</v>
      </c>
      <c r="S311" s="12">
        <v>10</v>
      </c>
      <c r="T311" s="12" t="s">
        <v>762</v>
      </c>
      <c r="U311" s="12" t="s">
        <v>763</v>
      </c>
      <c r="V311" s="12">
        <f>VLOOKUP(Tabla4[[#This Row],[ZONA DEFINITIVO]],Hoja1!$A$1:$D$121,3,0)</f>
        <v>229093</v>
      </c>
      <c r="W311" s="12">
        <f>VLOOKUP(Tabla4[[#This Row],[ZONA DEFINITIVO]],Hoja1!$A$1:$D$121,2,0)</f>
        <v>15187</v>
      </c>
      <c r="X311" s="12">
        <f>VLOOKUP(Tabla4[[#This Row],[ZONA DEFINITIVO]],Hoja1!$A$1:$D$121,4,0)</f>
        <v>87425</v>
      </c>
      <c r="Y311" s="12">
        <f>+IF(Tabla4[[#This Row],[AGRUPACIONES]]=1,SUMIFS(Tabla4[UDS],Tabla4[ZONA DEFINITIVO],Tabla4[[#This Row],[ZONA DEFINITIVO]])," ")</f>
        <v>23</v>
      </c>
      <c r="Z311" s="12">
        <f>+IF(Tabla4[[#This Row],[AGRUPACIONES]]=1,SUMIFS(Tabla4[TOTAL COBERTURA],Tabla4[ZONA DEFINITIVO],Tabla4[[#This Row],[ZONA DEFINITIVO]])," ")</f>
        <v>667</v>
      </c>
      <c r="AA311" s="12"/>
      <c r="AB311" s="38">
        <v>43603860</v>
      </c>
      <c r="AC311" s="37">
        <v>0.02</v>
      </c>
      <c r="AD311" s="38">
        <f t="shared" si="5"/>
        <v>872077.20000000007</v>
      </c>
      <c r="AE311" s="12"/>
      <c r="AF311" s="12">
        <f>COUNTIF($A$20:A311,A311)</f>
        <v>1</v>
      </c>
      <c r="AG311" s="38">
        <v>43603860</v>
      </c>
      <c r="AH311" s="38">
        <f>Tabla4[[#This Row],[VALOR CONTRAPARTIDA]]+Tabla4[[#This Row],[TOTAL APORTES ICBF]]</f>
        <v>44475937.200000003</v>
      </c>
      <c r="AI311" s="35">
        <f>ROUND(+IF(Tabla4[[#This Row],[AGRUPACIONES]]=1,SUMIFS(Tabla4[TOTAL APORTES ICBF],Tabla4[ZONA DEFINITIVO],Tabla4[[#This Row],[ZONA DEFINITIVO]])," "),0)</f>
        <v>1566737800</v>
      </c>
      <c r="AJ311" s="38">
        <f>ROUND(+IF(Tabla4[[#This Row],[AGRUPACIONES]]=1,SUMIFS(Tabla4[VALOR CONTRAPARTIDA],Tabla4[ZONA DEFINITIVO],Tabla4[[#This Row],[ZONA DEFINITIVO]])," "),0)</f>
        <v>31334756</v>
      </c>
      <c r="AK311" s="38">
        <f>Tabla4[[#This Row],[TOTAL APORTES ICBF AGRUPADO]]+Tabla4[[#This Row],[TOTAL CONTRAPARTIDA AGRUPADO]]</f>
        <v>1598072556</v>
      </c>
      <c r="AL311" s="23">
        <f>Tabla4[[#This Row],[TOTAL APORTES ICBF AGRUPADO]]/$AL$18</f>
        <v>1100.6236740428521</v>
      </c>
      <c r="AM311" s="35">
        <f>VLOOKUP(Tabla4[[#This Row],[SERVICIO 2025]],$J$2:$V$14,5,0)*Tabla4[[#This Row],[TOTAL COBERTURA]]</f>
        <v>987520</v>
      </c>
      <c r="AN311" s="35">
        <f>VLOOKUP(Tabla4[[#This Row],[SERVICIO 2025]],$J$2:$V$14,6,0)*Tabla4[[#This Row],[TOTAL COBERTURA]]</f>
        <v>820580</v>
      </c>
      <c r="AO311" s="35">
        <f>VLOOKUP(Tabla4[[#This Row],[SERVICIO 2025]],$J$2:$V$14,8,0)*Tabla4[[#This Row],[TOTAL COBERTURA]]</f>
        <v>582000</v>
      </c>
      <c r="AP311" s="35">
        <f>VLOOKUP(Tabla4[[#This Row],[SERVICIO 2025]],$J$2:$V$14,3,0)*Tabla4[[#This Row],[TOTAL COBERTURA]]*8</f>
        <v>41213760</v>
      </c>
      <c r="AQ311" s="35"/>
      <c r="AR311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311" s="35">
        <f>+IF(Tabla4[[#This Row],[AGRUPACIONES]]=1,SUMIFS(Tabla4[VALOR TOTAL],Tabla4[ZONA DEFINITIVO],Tabla4[[#This Row],[ZONA DEFINITIVO]])," ")</f>
        <v>1566737800</v>
      </c>
      <c r="AT311" s="27">
        <f>(VLOOKUP(Tabla4[[#This Row],[SERVICIO 2025]],$J$2:$V$14,3,0)*Tabla4[[#This Row],[TOTAL COBERTURA]])+Tabla4[[#This Row],[VALOR FASE PREPARATORIA DE ALISTAMIENTO]]+Tabla4[[#This Row],[DOTACIÓN ÚNICA]]</f>
        <v>6721240</v>
      </c>
      <c r="AU311" s="35">
        <f>(VLOOKUP(Tabla4[[#This Row],[SERVICIO 2025]],$J$2:$V$14,3,0)*Tabla4[[#This Row],[TOTAL COBERTURA]])</f>
        <v>5151720</v>
      </c>
      <c r="AV311" s="35">
        <f>(VLOOKUP(Tabla4[[#This Row],[SERVICIO 2025]],$J$2:$V$14,3,0)*Tabla4[[#This Row],[TOTAL COBERTURA]])</f>
        <v>5151720</v>
      </c>
      <c r="AW311" s="35">
        <f>(VLOOKUP(Tabla4[[#This Row],[SERVICIO 2025]],$J$2:$V$14,3,0)*Tabla4[[#This Row],[TOTAL COBERTURA]])</f>
        <v>5151720</v>
      </c>
      <c r="AX311" s="35">
        <f>(VLOOKUP(Tabla4[[#This Row],[SERVICIO 2025]],$J$2:$V$14,3,0)*Tabla4[[#This Row],[TOTAL COBERTURA]])</f>
        <v>5151720</v>
      </c>
      <c r="AY311" s="35">
        <f>(VLOOKUP(Tabla4[[#This Row],[SERVICIO 2025]],$J$2:$V$14,3,0)*Tabla4[[#This Row],[TOTAL COBERTURA]])</f>
        <v>5151720</v>
      </c>
      <c r="AZ311" s="35">
        <f>(VLOOKUP(Tabla4[[#This Row],[SERVICIO 2025]],$J$2:$V$14,3,0)*Tabla4[[#This Row],[TOTAL COBERTURA]])</f>
        <v>5151720</v>
      </c>
      <c r="BA311" s="35">
        <f>(VLOOKUP(Tabla4[[#This Row],[SERVICIO 2025]],$J$2:$V$14,3,0)*Tabla4[[#This Row],[TOTAL COBERTURA]])+Tabla4[[#This Row],[VALOR FASE PREPARATORIA DE CIERRE]]</f>
        <v>5972300</v>
      </c>
      <c r="BB311" s="35">
        <f>SUM(Tabla4[[#This Row],[DESEMBOLSO 1]:[DESEMBOLSO 8]])</f>
        <v>43603860</v>
      </c>
      <c r="BC311" s="35">
        <f>VLOOKUP(Tabla4[[#This Row],[SERVICIO 2025]],$J$2:$V$14,10,0)*Tabla4[[#This Row],[TOTAL COBERTURA]]*$W$3</f>
        <v>28861280</v>
      </c>
      <c r="BD311" s="47" t="s">
        <v>211</v>
      </c>
      <c r="BE311" s="12" t="b">
        <f>EXACT(Tabla4[[#This Row],[VALOR ATENCIÓN (8 MESES)]],Tabla4[[#This Row],[VALOR TOTAL]])</f>
        <v>1</v>
      </c>
      <c r="BF311" s="23">
        <f>Tabla4[[#This Row],[VALOR ATENCIÓN (8 MESES)]]-Tabla4[[#This Row],[VALOR TOTAL]]</f>
        <v>0</v>
      </c>
      <c r="BG311" s="12" t="b">
        <f>EXACT(Tabla4[[#This Row],[TOTAL DESEMBOLSOS]],Tabla4[[#This Row],[VALOR ATENCIÓN (8 MESES)]])</f>
        <v>1</v>
      </c>
      <c r="BH311" s="29">
        <f>Tabla4[[#This Row],[TOTAL DESEMBOLSOS]]-Tabla4[[#This Row],[VALOR ATENCIÓN (8 MESES)]]</f>
        <v>0</v>
      </c>
      <c r="BI311" t="s">
        <v>98</v>
      </c>
      <c r="BJ311">
        <v>1913</v>
      </c>
    </row>
    <row r="312" spans="1:62">
      <c r="A312" s="13">
        <v>1913</v>
      </c>
      <c r="B312" s="13" t="s">
        <v>758</v>
      </c>
      <c r="C312" s="12" t="s">
        <v>87</v>
      </c>
      <c r="D312" s="12" t="s">
        <v>673</v>
      </c>
      <c r="E312" s="12" t="s">
        <v>759</v>
      </c>
      <c r="F312" s="12" t="s">
        <v>18</v>
      </c>
      <c r="G312" s="12" t="s">
        <v>90</v>
      </c>
      <c r="H312" s="12" t="s">
        <v>567</v>
      </c>
      <c r="I312" s="12">
        <v>50401136248</v>
      </c>
      <c r="J312" s="12" t="s">
        <v>764</v>
      </c>
      <c r="K312" s="12">
        <v>1</v>
      </c>
      <c r="L312" s="12">
        <v>10</v>
      </c>
      <c r="M312" s="12"/>
      <c r="N312" s="13">
        <v>1913</v>
      </c>
      <c r="O312" s="12" t="s">
        <v>93</v>
      </c>
      <c r="P312" s="12"/>
      <c r="Q312" s="12"/>
      <c r="R312" s="12" t="s">
        <v>94</v>
      </c>
      <c r="S312" s="12">
        <v>10</v>
      </c>
      <c r="T312" s="12" t="s">
        <v>762</v>
      </c>
      <c r="U312" s="12" t="s">
        <v>763</v>
      </c>
      <c r="V312" s="12">
        <f>VLOOKUP(Tabla4[[#This Row],[ZONA DEFINITIVO]],Hoja1!$A$1:$D$121,3,0)</f>
        <v>229093</v>
      </c>
      <c r="W312" s="12">
        <f>VLOOKUP(Tabla4[[#This Row],[ZONA DEFINITIVO]],Hoja1!$A$1:$D$121,2,0)</f>
        <v>15187</v>
      </c>
      <c r="X312" s="12">
        <f>VLOOKUP(Tabla4[[#This Row],[ZONA DEFINITIVO]],Hoja1!$A$1:$D$121,4,0)</f>
        <v>87425</v>
      </c>
      <c r="Y312" s="12" t="str">
        <f>+IF(Tabla4[[#This Row],[AGRUPACIONES]]=1,SUMIFS(Tabla4[UDS],Tabla4[ZONA DEFINITIVO],Tabla4[[#This Row],[ZONA DEFINITIVO]])," ")</f>
        <v xml:space="preserve"> </v>
      </c>
      <c r="Z312" s="12" t="str">
        <f>+IF(Tabla4[[#This Row],[AGRUPACIONES]]=1,SUMIFS(Tabla4[TOTAL COBERTURA],Tabla4[ZONA DEFINITIVO],Tabla4[[#This Row],[ZONA DEFINITIVO]])," ")</f>
        <v xml:space="preserve"> </v>
      </c>
      <c r="AA312" s="12"/>
      <c r="AB312" s="38">
        <v>21801930</v>
      </c>
      <c r="AC312" s="37">
        <v>0.02</v>
      </c>
      <c r="AD312" s="38">
        <f t="shared" si="5"/>
        <v>436038.60000000003</v>
      </c>
      <c r="AE312" s="12"/>
      <c r="AF312" s="12">
        <f>COUNTIF($A$20:A312,A312)</f>
        <v>2</v>
      </c>
      <c r="AG312" s="38">
        <v>21801930</v>
      </c>
      <c r="AH312" s="38">
        <f>Tabla4[[#This Row],[VALOR CONTRAPARTIDA]]+Tabla4[[#This Row],[TOTAL APORTES ICBF]]</f>
        <v>22237968.600000001</v>
      </c>
      <c r="AI312" s="35"/>
      <c r="AJ312" s="38"/>
      <c r="AK312" s="38"/>
      <c r="AL312" s="23"/>
      <c r="AM312" s="35">
        <f>VLOOKUP(Tabla4[[#This Row],[SERVICIO 2025]],$J$2:$V$14,5,0)*Tabla4[[#This Row],[TOTAL COBERTURA]]</f>
        <v>493760</v>
      </c>
      <c r="AN312" s="35">
        <f>VLOOKUP(Tabla4[[#This Row],[SERVICIO 2025]],$J$2:$V$14,6,0)*Tabla4[[#This Row],[TOTAL COBERTURA]]</f>
        <v>410290</v>
      </c>
      <c r="AO312" s="35">
        <f>VLOOKUP(Tabla4[[#This Row],[SERVICIO 2025]],$J$2:$V$14,8,0)*Tabla4[[#This Row],[TOTAL COBERTURA]]</f>
        <v>291000</v>
      </c>
      <c r="AP312" s="35">
        <f>VLOOKUP(Tabla4[[#This Row],[SERVICIO 2025]],$J$2:$V$14,3,0)*Tabla4[[#This Row],[TOTAL COBERTURA]]*8</f>
        <v>20606880</v>
      </c>
      <c r="AQ312" s="35"/>
      <c r="AR312" s="35">
        <f>Tabla4[[#This Row],[VALOR FASE PREPARATORIA DE ALISTAMIENTO]]+Tabla4[[#This Row],[VALOR FASE PREPARATORIA DE CIERRE]]+Tabla4[[#This Row],[DOTACIÓN ÚNICA]]+Tabla4[[#This Row],[VALOR ATENCIÓN]]+Tabla4[[#This Row],[VALOR RACION PREPARADA]]</f>
        <v>21801930</v>
      </c>
      <c r="AS312" s="35" t="str">
        <f>+IF(Tabla4[[#This Row],[AGRUPACIONES]]=1,SUMIFS(Tabla4[VALOR TOTAL],Tabla4[ZONA DEFINITIVO],Tabla4[[#This Row],[ZONA DEFINITIVO]])," ")</f>
        <v xml:space="preserve"> </v>
      </c>
      <c r="AT312" s="27">
        <f>(VLOOKUP(Tabla4[[#This Row],[SERVICIO 2025]],$J$2:$V$14,3,0)*Tabla4[[#This Row],[TOTAL COBERTURA]])+Tabla4[[#This Row],[VALOR FASE PREPARATORIA DE ALISTAMIENTO]]+Tabla4[[#This Row],[DOTACIÓN ÚNICA]]</f>
        <v>3360620</v>
      </c>
      <c r="AU312" s="35">
        <f>(VLOOKUP(Tabla4[[#This Row],[SERVICIO 2025]],$J$2:$V$14,3,0)*Tabla4[[#This Row],[TOTAL COBERTURA]])</f>
        <v>2575860</v>
      </c>
      <c r="AV312" s="35">
        <f>(VLOOKUP(Tabla4[[#This Row],[SERVICIO 2025]],$J$2:$V$14,3,0)*Tabla4[[#This Row],[TOTAL COBERTURA]])</f>
        <v>2575860</v>
      </c>
      <c r="AW312" s="35">
        <f>(VLOOKUP(Tabla4[[#This Row],[SERVICIO 2025]],$J$2:$V$14,3,0)*Tabla4[[#This Row],[TOTAL COBERTURA]])</f>
        <v>2575860</v>
      </c>
      <c r="AX312" s="35">
        <f>(VLOOKUP(Tabla4[[#This Row],[SERVICIO 2025]],$J$2:$V$14,3,0)*Tabla4[[#This Row],[TOTAL COBERTURA]])</f>
        <v>2575860</v>
      </c>
      <c r="AY312" s="35">
        <f>(VLOOKUP(Tabla4[[#This Row],[SERVICIO 2025]],$J$2:$V$14,3,0)*Tabla4[[#This Row],[TOTAL COBERTURA]])</f>
        <v>2575860</v>
      </c>
      <c r="AZ312" s="35">
        <f>(VLOOKUP(Tabla4[[#This Row],[SERVICIO 2025]],$J$2:$V$14,3,0)*Tabla4[[#This Row],[TOTAL COBERTURA]])</f>
        <v>2575860</v>
      </c>
      <c r="BA312" s="35">
        <f>(VLOOKUP(Tabla4[[#This Row],[SERVICIO 2025]],$J$2:$V$14,3,0)*Tabla4[[#This Row],[TOTAL COBERTURA]])+Tabla4[[#This Row],[VALOR FASE PREPARATORIA DE CIERRE]]</f>
        <v>2986150</v>
      </c>
      <c r="BB312" s="35">
        <f>SUM(Tabla4[[#This Row],[DESEMBOLSO 1]:[DESEMBOLSO 8]])</f>
        <v>21801930</v>
      </c>
      <c r="BC312" s="35">
        <f>VLOOKUP(Tabla4[[#This Row],[SERVICIO 2025]],$J$2:$V$14,10,0)*Tabla4[[#This Row],[TOTAL COBERTURA]]*$W$3</f>
        <v>14430640</v>
      </c>
      <c r="BD312" s="47" t="s">
        <v>211</v>
      </c>
      <c r="BE312" s="12" t="b">
        <f>EXACT(Tabla4[[#This Row],[VALOR ATENCIÓN (8 MESES)]],Tabla4[[#This Row],[VALOR TOTAL]])</f>
        <v>1</v>
      </c>
      <c r="BF312" s="23">
        <f>Tabla4[[#This Row],[VALOR ATENCIÓN (8 MESES)]]-Tabla4[[#This Row],[VALOR TOTAL]]</f>
        <v>0</v>
      </c>
      <c r="BG312" s="12" t="b">
        <f>EXACT(Tabla4[[#This Row],[TOTAL DESEMBOLSOS]],Tabla4[[#This Row],[VALOR ATENCIÓN (8 MESES)]])</f>
        <v>1</v>
      </c>
      <c r="BH312" s="29">
        <f>Tabla4[[#This Row],[TOTAL DESEMBOLSOS]]-Tabla4[[#This Row],[VALOR ATENCIÓN (8 MESES)]]</f>
        <v>0</v>
      </c>
      <c r="BI312" t="s">
        <v>98</v>
      </c>
      <c r="BJ312">
        <v>1913</v>
      </c>
    </row>
    <row r="313" spans="1:62">
      <c r="A313" s="13">
        <v>1913</v>
      </c>
      <c r="B313" s="13" t="s">
        <v>758</v>
      </c>
      <c r="C313" s="12" t="s">
        <v>87</v>
      </c>
      <c r="D313" s="12" t="s">
        <v>673</v>
      </c>
      <c r="E313" s="12" t="s">
        <v>759</v>
      </c>
      <c r="F313" s="12" t="s">
        <v>18</v>
      </c>
      <c r="G313" s="12" t="s">
        <v>90</v>
      </c>
      <c r="H313" s="12" t="s">
        <v>765</v>
      </c>
      <c r="I313" s="12">
        <v>50401136249</v>
      </c>
      <c r="J313" s="12" t="s">
        <v>766</v>
      </c>
      <c r="K313" s="12">
        <v>1</v>
      </c>
      <c r="L313" s="12">
        <v>28</v>
      </c>
      <c r="M313" s="12"/>
      <c r="N313" s="13">
        <v>1913</v>
      </c>
      <c r="O313" s="12" t="s">
        <v>93</v>
      </c>
      <c r="P313" s="12"/>
      <c r="Q313" s="12"/>
      <c r="R313" s="12" t="s">
        <v>94</v>
      </c>
      <c r="S313" s="12">
        <v>10</v>
      </c>
      <c r="T313" s="12" t="s">
        <v>762</v>
      </c>
      <c r="U313" s="12" t="s">
        <v>763</v>
      </c>
      <c r="V313" s="12">
        <f>VLOOKUP(Tabla4[[#This Row],[ZONA DEFINITIVO]],Hoja1!$A$1:$D$121,3,0)</f>
        <v>229093</v>
      </c>
      <c r="W313" s="12">
        <f>VLOOKUP(Tabla4[[#This Row],[ZONA DEFINITIVO]],Hoja1!$A$1:$D$121,2,0)</f>
        <v>15187</v>
      </c>
      <c r="X313" s="12">
        <f>VLOOKUP(Tabla4[[#This Row],[ZONA DEFINITIVO]],Hoja1!$A$1:$D$121,4,0)</f>
        <v>87425</v>
      </c>
      <c r="Y313" s="12" t="str">
        <f>+IF(Tabla4[[#This Row],[AGRUPACIONES]]=1,SUMIFS(Tabla4[UDS],Tabla4[ZONA DEFINITIVO],Tabla4[[#This Row],[ZONA DEFINITIVO]])," ")</f>
        <v xml:space="preserve"> </v>
      </c>
      <c r="Z313" s="12" t="str">
        <f>+IF(Tabla4[[#This Row],[AGRUPACIONES]]=1,SUMIFS(Tabla4[TOTAL COBERTURA],Tabla4[ZONA DEFINITIVO],Tabla4[[#This Row],[ZONA DEFINITIVO]])," ")</f>
        <v xml:space="preserve"> </v>
      </c>
      <c r="AA313" s="12"/>
      <c r="AB313" s="38">
        <v>61045404</v>
      </c>
      <c r="AC313" s="37">
        <v>0.02</v>
      </c>
      <c r="AD313" s="38">
        <f t="shared" si="5"/>
        <v>1220908.08</v>
      </c>
      <c r="AE313" s="12"/>
      <c r="AF313" s="12">
        <f>COUNTIF($A$20:A313,A313)</f>
        <v>3</v>
      </c>
      <c r="AG313" s="38">
        <v>61045404</v>
      </c>
      <c r="AH313" s="38">
        <f>Tabla4[[#This Row],[VALOR CONTRAPARTIDA]]+Tabla4[[#This Row],[TOTAL APORTES ICBF]]</f>
        <v>62266312.079999998</v>
      </c>
      <c r="AI313" s="35"/>
      <c r="AJ313" s="38"/>
      <c r="AK313" s="38"/>
      <c r="AL313" s="23"/>
      <c r="AM313" s="35">
        <f>VLOOKUP(Tabla4[[#This Row],[SERVICIO 2025]],$J$2:$V$14,5,0)*Tabla4[[#This Row],[TOTAL COBERTURA]]</f>
        <v>1382528</v>
      </c>
      <c r="AN313" s="35">
        <f>VLOOKUP(Tabla4[[#This Row],[SERVICIO 2025]],$J$2:$V$14,6,0)*Tabla4[[#This Row],[TOTAL COBERTURA]]</f>
        <v>1148812</v>
      </c>
      <c r="AO313" s="35">
        <f>VLOOKUP(Tabla4[[#This Row],[SERVICIO 2025]],$J$2:$V$14,8,0)*Tabla4[[#This Row],[TOTAL COBERTURA]]</f>
        <v>814800</v>
      </c>
      <c r="AP313" s="35">
        <f>VLOOKUP(Tabla4[[#This Row],[SERVICIO 2025]],$J$2:$V$14,3,0)*Tabla4[[#This Row],[TOTAL COBERTURA]]*8</f>
        <v>57699264</v>
      </c>
      <c r="AQ313" s="35"/>
      <c r="AR313" s="35">
        <f>Tabla4[[#This Row],[VALOR FASE PREPARATORIA DE ALISTAMIENTO]]+Tabla4[[#This Row],[VALOR FASE PREPARATORIA DE CIERRE]]+Tabla4[[#This Row],[DOTACIÓN ÚNICA]]+Tabla4[[#This Row],[VALOR ATENCIÓN]]+Tabla4[[#This Row],[VALOR RACION PREPARADA]]</f>
        <v>61045404</v>
      </c>
      <c r="AS313" s="35" t="str">
        <f>+IF(Tabla4[[#This Row],[AGRUPACIONES]]=1,SUMIFS(Tabla4[VALOR TOTAL],Tabla4[ZONA DEFINITIVO],Tabla4[[#This Row],[ZONA DEFINITIVO]])," ")</f>
        <v xml:space="preserve"> </v>
      </c>
      <c r="AT313" s="27">
        <f>(VLOOKUP(Tabla4[[#This Row],[SERVICIO 2025]],$J$2:$V$14,3,0)*Tabla4[[#This Row],[TOTAL COBERTURA]])+Tabla4[[#This Row],[VALOR FASE PREPARATORIA DE ALISTAMIENTO]]+Tabla4[[#This Row],[DOTACIÓN ÚNICA]]</f>
        <v>9409736</v>
      </c>
      <c r="AU313" s="35">
        <f>(VLOOKUP(Tabla4[[#This Row],[SERVICIO 2025]],$J$2:$V$14,3,0)*Tabla4[[#This Row],[TOTAL COBERTURA]])</f>
        <v>7212408</v>
      </c>
      <c r="AV313" s="35">
        <f>(VLOOKUP(Tabla4[[#This Row],[SERVICIO 2025]],$J$2:$V$14,3,0)*Tabla4[[#This Row],[TOTAL COBERTURA]])</f>
        <v>7212408</v>
      </c>
      <c r="AW313" s="35">
        <f>(VLOOKUP(Tabla4[[#This Row],[SERVICIO 2025]],$J$2:$V$14,3,0)*Tabla4[[#This Row],[TOTAL COBERTURA]])</f>
        <v>7212408</v>
      </c>
      <c r="AX313" s="35">
        <f>(VLOOKUP(Tabla4[[#This Row],[SERVICIO 2025]],$J$2:$V$14,3,0)*Tabla4[[#This Row],[TOTAL COBERTURA]])</f>
        <v>7212408</v>
      </c>
      <c r="AY313" s="35">
        <f>(VLOOKUP(Tabla4[[#This Row],[SERVICIO 2025]],$J$2:$V$14,3,0)*Tabla4[[#This Row],[TOTAL COBERTURA]])</f>
        <v>7212408</v>
      </c>
      <c r="AZ313" s="35">
        <f>(VLOOKUP(Tabla4[[#This Row],[SERVICIO 2025]],$J$2:$V$14,3,0)*Tabla4[[#This Row],[TOTAL COBERTURA]])</f>
        <v>7212408</v>
      </c>
      <c r="BA313" s="35">
        <f>(VLOOKUP(Tabla4[[#This Row],[SERVICIO 2025]],$J$2:$V$14,3,0)*Tabla4[[#This Row],[TOTAL COBERTURA]])+Tabla4[[#This Row],[VALOR FASE PREPARATORIA DE CIERRE]]</f>
        <v>8361220</v>
      </c>
      <c r="BB313" s="35">
        <f>SUM(Tabla4[[#This Row],[DESEMBOLSO 1]:[DESEMBOLSO 8]])</f>
        <v>61045404</v>
      </c>
      <c r="BC313" s="35">
        <f>VLOOKUP(Tabla4[[#This Row],[SERVICIO 2025]],$J$2:$V$14,10,0)*Tabla4[[#This Row],[TOTAL COBERTURA]]*$W$3</f>
        <v>40405792</v>
      </c>
      <c r="BD313" s="47" t="s">
        <v>211</v>
      </c>
      <c r="BE313" s="12" t="b">
        <f>EXACT(Tabla4[[#This Row],[VALOR ATENCIÓN (8 MESES)]],Tabla4[[#This Row],[VALOR TOTAL]])</f>
        <v>1</v>
      </c>
      <c r="BF313" s="23">
        <f>Tabla4[[#This Row],[VALOR ATENCIÓN (8 MESES)]]-Tabla4[[#This Row],[VALOR TOTAL]]</f>
        <v>0</v>
      </c>
      <c r="BG313" s="12" t="b">
        <f>EXACT(Tabla4[[#This Row],[TOTAL DESEMBOLSOS]],Tabla4[[#This Row],[VALOR ATENCIÓN (8 MESES)]])</f>
        <v>1</v>
      </c>
      <c r="BH313" s="29">
        <f>Tabla4[[#This Row],[TOTAL DESEMBOLSOS]]-Tabla4[[#This Row],[VALOR ATENCIÓN (8 MESES)]]</f>
        <v>0</v>
      </c>
      <c r="BI313" t="s">
        <v>98</v>
      </c>
      <c r="BJ313">
        <v>1913</v>
      </c>
    </row>
    <row r="314" spans="1:62">
      <c r="A314" s="13">
        <v>1913</v>
      </c>
      <c r="B314" s="13" t="s">
        <v>758</v>
      </c>
      <c r="C314" s="12" t="s">
        <v>87</v>
      </c>
      <c r="D314" s="12" t="s">
        <v>673</v>
      </c>
      <c r="E314" s="12" t="s">
        <v>759</v>
      </c>
      <c r="F314" s="12" t="s">
        <v>18</v>
      </c>
      <c r="G314" s="12" t="s">
        <v>90</v>
      </c>
      <c r="H314" s="12" t="s">
        <v>767</v>
      </c>
      <c r="I314" s="12">
        <v>50401136261</v>
      </c>
      <c r="J314" s="12" t="s">
        <v>768</v>
      </c>
      <c r="K314" s="12">
        <v>1</v>
      </c>
      <c r="L314" s="12">
        <v>12</v>
      </c>
      <c r="M314" s="12"/>
      <c r="N314" s="13">
        <v>1913</v>
      </c>
      <c r="O314" s="12" t="s">
        <v>93</v>
      </c>
      <c r="P314" s="12"/>
      <c r="Q314" s="12"/>
      <c r="R314" s="12" t="s">
        <v>94</v>
      </c>
      <c r="S314" s="12">
        <v>10</v>
      </c>
      <c r="T314" s="12" t="s">
        <v>762</v>
      </c>
      <c r="U314" s="12" t="s">
        <v>763</v>
      </c>
      <c r="V314" s="12">
        <f>VLOOKUP(Tabla4[[#This Row],[ZONA DEFINITIVO]],Hoja1!$A$1:$D$121,3,0)</f>
        <v>229093</v>
      </c>
      <c r="W314" s="12">
        <f>VLOOKUP(Tabla4[[#This Row],[ZONA DEFINITIVO]],Hoja1!$A$1:$D$121,2,0)</f>
        <v>15187</v>
      </c>
      <c r="X314" s="12">
        <f>VLOOKUP(Tabla4[[#This Row],[ZONA DEFINITIVO]],Hoja1!$A$1:$D$121,4,0)</f>
        <v>87425</v>
      </c>
      <c r="Y314" s="12" t="str">
        <f>+IF(Tabla4[[#This Row],[AGRUPACIONES]]=1,SUMIFS(Tabla4[UDS],Tabla4[ZONA DEFINITIVO],Tabla4[[#This Row],[ZONA DEFINITIVO]])," ")</f>
        <v xml:space="preserve"> </v>
      </c>
      <c r="Z314" s="12" t="str">
        <f>+IF(Tabla4[[#This Row],[AGRUPACIONES]]=1,SUMIFS(Tabla4[TOTAL COBERTURA],Tabla4[ZONA DEFINITIVO],Tabla4[[#This Row],[ZONA DEFINITIVO]])," ")</f>
        <v xml:space="preserve"> </v>
      </c>
      <c r="AA314" s="12"/>
      <c r="AB314" s="38">
        <v>26162316</v>
      </c>
      <c r="AC314" s="37">
        <v>0.02</v>
      </c>
      <c r="AD314" s="38">
        <f t="shared" si="5"/>
        <v>523246.32</v>
      </c>
      <c r="AE314" s="12"/>
      <c r="AF314" s="12">
        <f>COUNTIF($A$20:A314,A314)</f>
        <v>4</v>
      </c>
      <c r="AG314" s="38">
        <v>26162316</v>
      </c>
      <c r="AH314" s="38">
        <f>Tabla4[[#This Row],[VALOR CONTRAPARTIDA]]+Tabla4[[#This Row],[TOTAL APORTES ICBF]]</f>
        <v>26685562.32</v>
      </c>
      <c r="AI314" s="35"/>
      <c r="AJ314" s="38"/>
      <c r="AK314" s="38"/>
      <c r="AL314" s="23"/>
      <c r="AM314" s="35">
        <f>VLOOKUP(Tabla4[[#This Row],[SERVICIO 2025]],$J$2:$V$14,5,0)*Tabla4[[#This Row],[TOTAL COBERTURA]]</f>
        <v>592512</v>
      </c>
      <c r="AN314" s="35">
        <f>VLOOKUP(Tabla4[[#This Row],[SERVICIO 2025]],$J$2:$V$14,6,0)*Tabla4[[#This Row],[TOTAL COBERTURA]]</f>
        <v>492348</v>
      </c>
      <c r="AO314" s="35">
        <f>VLOOKUP(Tabla4[[#This Row],[SERVICIO 2025]],$J$2:$V$14,8,0)*Tabla4[[#This Row],[TOTAL COBERTURA]]</f>
        <v>349200</v>
      </c>
      <c r="AP314" s="35">
        <f>VLOOKUP(Tabla4[[#This Row],[SERVICIO 2025]],$J$2:$V$14,3,0)*Tabla4[[#This Row],[TOTAL COBERTURA]]*8</f>
        <v>24728256</v>
      </c>
      <c r="AQ314" s="35"/>
      <c r="AR314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314" s="35" t="str">
        <f>+IF(Tabla4[[#This Row],[AGRUPACIONES]]=1,SUMIFS(Tabla4[VALOR TOTAL],Tabla4[ZONA DEFINITIVO],Tabla4[[#This Row],[ZONA DEFINITIVO]])," ")</f>
        <v xml:space="preserve"> </v>
      </c>
      <c r="AT314" s="27">
        <f>(VLOOKUP(Tabla4[[#This Row],[SERVICIO 2025]],$J$2:$V$14,3,0)*Tabla4[[#This Row],[TOTAL COBERTURA]])+Tabla4[[#This Row],[VALOR FASE PREPARATORIA DE ALISTAMIENTO]]+Tabla4[[#This Row],[DOTACIÓN ÚNICA]]</f>
        <v>4032744</v>
      </c>
      <c r="AU314" s="35">
        <f>(VLOOKUP(Tabla4[[#This Row],[SERVICIO 2025]],$J$2:$V$14,3,0)*Tabla4[[#This Row],[TOTAL COBERTURA]])</f>
        <v>3091032</v>
      </c>
      <c r="AV314" s="35">
        <f>(VLOOKUP(Tabla4[[#This Row],[SERVICIO 2025]],$J$2:$V$14,3,0)*Tabla4[[#This Row],[TOTAL COBERTURA]])</f>
        <v>3091032</v>
      </c>
      <c r="AW314" s="35">
        <f>(VLOOKUP(Tabla4[[#This Row],[SERVICIO 2025]],$J$2:$V$14,3,0)*Tabla4[[#This Row],[TOTAL COBERTURA]])</f>
        <v>3091032</v>
      </c>
      <c r="AX314" s="35">
        <f>(VLOOKUP(Tabla4[[#This Row],[SERVICIO 2025]],$J$2:$V$14,3,0)*Tabla4[[#This Row],[TOTAL COBERTURA]])</f>
        <v>3091032</v>
      </c>
      <c r="AY314" s="35">
        <f>(VLOOKUP(Tabla4[[#This Row],[SERVICIO 2025]],$J$2:$V$14,3,0)*Tabla4[[#This Row],[TOTAL COBERTURA]])</f>
        <v>3091032</v>
      </c>
      <c r="AZ314" s="35">
        <f>(VLOOKUP(Tabla4[[#This Row],[SERVICIO 2025]],$J$2:$V$14,3,0)*Tabla4[[#This Row],[TOTAL COBERTURA]])</f>
        <v>3091032</v>
      </c>
      <c r="BA314" s="35">
        <f>(VLOOKUP(Tabla4[[#This Row],[SERVICIO 2025]],$J$2:$V$14,3,0)*Tabla4[[#This Row],[TOTAL COBERTURA]])+Tabla4[[#This Row],[VALOR FASE PREPARATORIA DE CIERRE]]</f>
        <v>3583380</v>
      </c>
      <c r="BB314" s="35">
        <f>SUM(Tabla4[[#This Row],[DESEMBOLSO 1]:[DESEMBOLSO 8]])</f>
        <v>26162316</v>
      </c>
      <c r="BC314" s="35">
        <f>VLOOKUP(Tabla4[[#This Row],[SERVICIO 2025]],$J$2:$V$14,10,0)*Tabla4[[#This Row],[TOTAL COBERTURA]]*$W$3</f>
        <v>17316768</v>
      </c>
      <c r="BD314" s="47" t="s">
        <v>211</v>
      </c>
      <c r="BE314" s="12" t="b">
        <f>EXACT(Tabla4[[#This Row],[VALOR ATENCIÓN (8 MESES)]],Tabla4[[#This Row],[VALOR TOTAL]])</f>
        <v>1</v>
      </c>
      <c r="BF314" s="23">
        <f>Tabla4[[#This Row],[VALOR ATENCIÓN (8 MESES)]]-Tabla4[[#This Row],[VALOR TOTAL]]</f>
        <v>0</v>
      </c>
      <c r="BG314" s="12" t="b">
        <f>EXACT(Tabla4[[#This Row],[TOTAL DESEMBOLSOS]],Tabla4[[#This Row],[VALOR ATENCIÓN (8 MESES)]])</f>
        <v>1</v>
      </c>
      <c r="BH314" s="29">
        <f>Tabla4[[#This Row],[TOTAL DESEMBOLSOS]]-Tabla4[[#This Row],[VALOR ATENCIÓN (8 MESES)]]</f>
        <v>0</v>
      </c>
      <c r="BI314" t="s">
        <v>98</v>
      </c>
      <c r="BJ314">
        <v>1913</v>
      </c>
    </row>
    <row r="315" spans="1:62">
      <c r="A315" s="13">
        <v>1913</v>
      </c>
      <c r="B315" s="13" t="s">
        <v>758</v>
      </c>
      <c r="C315" s="12" t="s">
        <v>87</v>
      </c>
      <c r="D315" s="12" t="s">
        <v>673</v>
      </c>
      <c r="E315" s="12" t="s">
        <v>759</v>
      </c>
      <c r="F315" s="12" t="s">
        <v>18</v>
      </c>
      <c r="G315" s="12" t="s">
        <v>90</v>
      </c>
      <c r="H315" s="12" t="s">
        <v>769</v>
      </c>
      <c r="I315" s="12">
        <v>50401144273</v>
      </c>
      <c r="J315" s="12" t="s">
        <v>770</v>
      </c>
      <c r="K315" s="12">
        <v>1</v>
      </c>
      <c r="L315" s="12">
        <v>4</v>
      </c>
      <c r="M315" s="12"/>
      <c r="N315" s="13">
        <v>1913</v>
      </c>
      <c r="O315" s="12" t="s">
        <v>93</v>
      </c>
      <c r="P315" s="12"/>
      <c r="Q315" s="12"/>
      <c r="R315" s="12" t="s">
        <v>94</v>
      </c>
      <c r="S315" s="12">
        <v>10</v>
      </c>
      <c r="T315" s="12" t="s">
        <v>762</v>
      </c>
      <c r="U315" s="12" t="s">
        <v>763</v>
      </c>
      <c r="V315" s="12">
        <f>VLOOKUP(Tabla4[[#This Row],[ZONA DEFINITIVO]],Hoja1!$A$1:$D$121,3,0)</f>
        <v>229093</v>
      </c>
      <c r="W315" s="12">
        <f>VLOOKUP(Tabla4[[#This Row],[ZONA DEFINITIVO]],Hoja1!$A$1:$D$121,2,0)</f>
        <v>15187</v>
      </c>
      <c r="X315" s="12">
        <f>VLOOKUP(Tabla4[[#This Row],[ZONA DEFINITIVO]],Hoja1!$A$1:$D$121,4,0)</f>
        <v>87425</v>
      </c>
      <c r="Y315" s="12" t="str">
        <f>+IF(Tabla4[[#This Row],[AGRUPACIONES]]=1,SUMIFS(Tabla4[UDS],Tabla4[ZONA DEFINITIVO],Tabla4[[#This Row],[ZONA DEFINITIVO]])," ")</f>
        <v xml:space="preserve"> </v>
      </c>
      <c r="Z315" s="12" t="str">
        <f>+IF(Tabla4[[#This Row],[AGRUPACIONES]]=1,SUMIFS(Tabla4[TOTAL COBERTURA],Tabla4[ZONA DEFINITIVO],Tabla4[[#This Row],[ZONA DEFINITIVO]])," ")</f>
        <v xml:space="preserve"> </v>
      </c>
      <c r="AA315" s="12"/>
      <c r="AB315" s="38">
        <v>8720772</v>
      </c>
      <c r="AC315" s="37">
        <v>0.02</v>
      </c>
      <c r="AD315" s="38">
        <f t="shared" si="5"/>
        <v>174415.44</v>
      </c>
      <c r="AE315" s="12"/>
      <c r="AF315" s="12">
        <f>COUNTIF($A$20:A315,A315)</f>
        <v>5</v>
      </c>
      <c r="AG315" s="38">
        <v>8720772</v>
      </c>
      <c r="AH315" s="38">
        <f>Tabla4[[#This Row],[VALOR CONTRAPARTIDA]]+Tabla4[[#This Row],[TOTAL APORTES ICBF]]</f>
        <v>8895187.4399999995</v>
      </c>
      <c r="AI315" s="35"/>
      <c r="AJ315" s="38"/>
      <c r="AK315" s="38"/>
      <c r="AL315" s="23"/>
      <c r="AM315" s="35">
        <f>VLOOKUP(Tabla4[[#This Row],[SERVICIO 2025]],$J$2:$V$14,5,0)*Tabla4[[#This Row],[TOTAL COBERTURA]]</f>
        <v>197504</v>
      </c>
      <c r="AN315" s="35">
        <f>VLOOKUP(Tabla4[[#This Row],[SERVICIO 2025]],$J$2:$V$14,6,0)*Tabla4[[#This Row],[TOTAL COBERTURA]]</f>
        <v>164116</v>
      </c>
      <c r="AO315" s="35">
        <f>VLOOKUP(Tabla4[[#This Row],[SERVICIO 2025]],$J$2:$V$14,8,0)*Tabla4[[#This Row],[TOTAL COBERTURA]]</f>
        <v>116400</v>
      </c>
      <c r="AP315" s="35">
        <f>VLOOKUP(Tabla4[[#This Row],[SERVICIO 2025]],$J$2:$V$14,3,0)*Tabla4[[#This Row],[TOTAL COBERTURA]]*8</f>
        <v>8242752</v>
      </c>
      <c r="AQ315" s="35"/>
      <c r="AR315" s="35">
        <f>Tabla4[[#This Row],[VALOR FASE PREPARATORIA DE ALISTAMIENTO]]+Tabla4[[#This Row],[VALOR FASE PREPARATORIA DE CIERRE]]+Tabla4[[#This Row],[DOTACIÓN ÚNICA]]+Tabla4[[#This Row],[VALOR ATENCIÓN]]+Tabla4[[#This Row],[VALOR RACION PREPARADA]]</f>
        <v>8720772</v>
      </c>
      <c r="AS315" s="35" t="str">
        <f>+IF(Tabla4[[#This Row],[AGRUPACIONES]]=1,SUMIFS(Tabla4[VALOR TOTAL],Tabla4[ZONA DEFINITIVO],Tabla4[[#This Row],[ZONA DEFINITIVO]])," ")</f>
        <v xml:space="preserve"> </v>
      </c>
      <c r="AT315" s="27">
        <f>(VLOOKUP(Tabla4[[#This Row],[SERVICIO 2025]],$J$2:$V$14,3,0)*Tabla4[[#This Row],[TOTAL COBERTURA]])+Tabla4[[#This Row],[VALOR FASE PREPARATORIA DE ALISTAMIENTO]]+Tabla4[[#This Row],[DOTACIÓN ÚNICA]]</f>
        <v>1344248</v>
      </c>
      <c r="AU315" s="35">
        <f>(VLOOKUP(Tabla4[[#This Row],[SERVICIO 2025]],$J$2:$V$14,3,0)*Tabla4[[#This Row],[TOTAL COBERTURA]])</f>
        <v>1030344</v>
      </c>
      <c r="AV315" s="35">
        <f>(VLOOKUP(Tabla4[[#This Row],[SERVICIO 2025]],$J$2:$V$14,3,0)*Tabla4[[#This Row],[TOTAL COBERTURA]])</f>
        <v>1030344</v>
      </c>
      <c r="AW315" s="35">
        <f>(VLOOKUP(Tabla4[[#This Row],[SERVICIO 2025]],$J$2:$V$14,3,0)*Tabla4[[#This Row],[TOTAL COBERTURA]])</f>
        <v>1030344</v>
      </c>
      <c r="AX315" s="35">
        <f>(VLOOKUP(Tabla4[[#This Row],[SERVICIO 2025]],$J$2:$V$14,3,0)*Tabla4[[#This Row],[TOTAL COBERTURA]])</f>
        <v>1030344</v>
      </c>
      <c r="AY315" s="35">
        <f>(VLOOKUP(Tabla4[[#This Row],[SERVICIO 2025]],$J$2:$V$14,3,0)*Tabla4[[#This Row],[TOTAL COBERTURA]])</f>
        <v>1030344</v>
      </c>
      <c r="AZ315" s="35">
        <f>(VLOOKUP(Tabla4[[#This Row],[SERVICIO 2025]],$J$2:$V$14,3,0)*Tabla4[[#This Row],[TOTAL COBERTURA]])</f>
        <v>1030344</v>
      </c>
      <c r="BA315" s="35">
        <f>(VLOOKUP(Tabla4[[#This Row],[SERVICIO 2025]],$J$2:$V$14,3,0)*Tabla4[[#This Row],[TOTAL COBERTURA]])+Tabla4[[#This Row],[VALOR FASE PREPARATORIA DE CIERRE]]</f>
        <v>1194460</v>
      </c>
      <c r="BB315" s="35">
        <f>SUM(Tabla4[[#This Row],[DESEMBOLSO 1]:[DESEMBOLSO 8]])</f>
        <v>8720772</v>
      </c>
      <c r="BC315" s="35">
        <f>VLOOKUP(Tabla4[[#This Row],[SERVICIO 2025]],$J$2:$V$14,10,0)*Tabla4[[#This Row],[TOTAL COBERTURA]]*$W$3</f>
        <v>5772256</v>
      </c>
      <c r="BD315" s="47" t="s">
        <v>211</v>
      </c>
      <c r="BE315" s="12" t="b">
        <f>EXACT(Tabla4[[#This Row],[VALOR ATENCIÓN (8 MESES)]],Tabla4[[#This Row],[VALOR TOTAL]])</f>
        <v>1</v>
      </c>
      <c r="BF315" s="23">
        <f>Tabla4[[#This Row],[VALOR ATENCIÓN (8 MESES)]]-Tabla4[[#This Row],[VALOR TOTAL]]</f>
        <v>0</v>
      </c>
      <c r="BG315" s="12" t="b">
        <f>EXACT(Tabla4[[#This Row],[TOTAL DESEMBOLSOS]],Tabla4[[#This Row],[VALOR ATENCIÓN (8 MESES)]])</f>
        <v>1</v>
      </c>
      <c r="BH315" s="29">
        <f>Tabla4[[#This Row],[TOTAL DESEMBOLSOS]]-Tabla4[[#This Row],[VALOR ATENCIÓN (8 MESES)]]</f>
        <v>0</v>
      </c>
      <c r="BI315" t="s">
        <v>98</v>
      </c>
      <c r="BJ315">
        <v>1913</v>
      </c>
    </row>
    <row r="316" spans="1:62">
      <c r="A316" s="13">
        <v>1913</v>
      </c>
      <c r="B316" s="13" t="s">
        <v>758</v>
      </c>
      <c r="C316" s="12" t="s">
        <v>87</v>
      </c>
      <c r="D316" s="12" t="s">
        <v>673</v>
      </c>
      <c r="E316" s="12" t="s">
        <v>759</v>
      </c>
      <c r="F316" s="12" t="s">
        <v>18</v>
      </c>
      <c r="G316" s="12" t="s">
        <v>90</v>
      </c>
      <c r="H316" s="12" t="s">
        <v>240</v>
      </c>
      <c r="I316" s="12">
        <v>50401148652</v>
      </c>
      <c r="J316" s="12" t="s">
        <v>771</v>
      </c>
      <c r="K316" s="12">
        <v>1</v>
      </c>
      <c r="L316" s="12">
        <v>9</v>
      </c>
      <c r="M316" s="12"/>
      <c r="N316" s="13">
        <v>1913</v>
      </c>
      <c r="O316" s="12" t="s">
        <v>93</v>
      </c>
      <c r="P316" s="12"/>
      <c r="Q316" s="12"/>
      <c r="R316" s="12" t="s">
        <v>94</v>
      </c>
      <c r="S316" s="12">
        <v>10</v>
      </c>
      <c r="T316" s="12" t="s">
        <v>762</v>
      </c>
      <c r="U316" s="12" t="s">
        <v>763</v>
      </c>
      <c r="V316" s="12">
        <f>VLOOKUP(Tabla4[[#This Row],[ZONA DEFINITIVO]],Hoja1!$A$1:$D$121,3,0)</f>
        <v>229093</v>
      </c>
      <c r="W316" s="12">
        <f>VLOOKUP(Tabla4[[#This Row],[ZONA DEFINITIVO]],Hoja1!$A$1:$D$121,2,0)</f>
        <v>15187</v>
      </c>
      <c r="X316" s="12">
        <f>VLOOKUP(Tabla4[[#This Row],[ZONA DEFINITIVO]],Hoja1!$A$1:$D$121,4,0)</f>
        <v>87425</v>
      </c>
      <c r="Y316" s="12" t="str">
        <f>+IF(Tabla4[[#This Row],[AGRUPACIONES]]=1,SUMIFS(Tabla4[UDS],Tabla4[ZONA DEFINITIVO],Tabla4[[#This Row],[ZONA DEFINITIVO]])," ")</f>
        <v xml:space="preserve"> </v>
      </c>
      <c r="Z316" s="12" t="str">
        <f>+IF(Tabla4[[#This Row],[AGRUPACIONES]]=1,SUMIFS(Tabla4[TOTAL COBERTURA],Tabla4[ZONA DEFINITIVO],Tabla4[[#This Row],[ZONA DEFINITIVO]])," ")</f>
        <v xml:space="preserve"> </v>
      </c>
      <c r="AA316" s="12"/>
      <c r="AB316" s="38">
        <v>19621737</v>
      </c>
      <c r="AC316" s="37">
        <v>0.02</v>
      </c>
      <c r="AD316" s="38">
        <f t="shared" si="5"/>
        <v>392434.74</v>
      </c>
      <c r="AE316" s="12"/>
      <c r="AF316" s="12">
        <f>COUNTIF($A$20:A316,A316)</f>
        <v>6</v>
      </c>
      <c r="AG316" s="38">
        <v>19621737</v>
      </c>
      <c r="AH316" s="38">
        <f>Tabla4[[#This Row],[VALOR CONTRAPARTIDA]]+Tabla4[[#This Row],[TOTAL APORTES ICBF]]</f>
        <v>20014171.739999998</v>
      </c>
      <c r="AI316" s="35"/>
      <c r="AJ316" s="38"/>
      <c r="AK316" s="38"/>
      <c r="AL316" s="23"/>
      <c r="AM316" s="35">
        <f>VLOOKUP(Tabla4[[#This Row],[SERVICIO 2025]],$J$2:$V$14,5,0)*Tabla4[[#This Row],[TOTAL COBERTURA]]</f>
        <v>444384</v>
      </c>
      <c r="AN316" s="35">
        <f>VLOOKUP(Tabla4[[#This Row],[SERVICIO 2025]],$J$2:$V$14,6,0)*Tabla4[[#This Row],[TOTAL COBERTURA]]</f>
        <v>369261</v>
      </c>
      <c r="AO316" s="35">
        <f>VLOOKUP(Tabla4[[#This Row],[SERVICIO 2025]],$J$2:$V$14,8,0)*Tabla4[[#This Row],[TOTAL COBERTURA]]</f>
        <v>261900</v>
      </c>
      <c r="AP316" s="35">
        <f>VLOOKUP(Tabla4[[#This Row],[SERVICIO 2025]],$J$2:$V$14,3,0)*Tabla4[[#This Row],[TOTAL COBERTURA]]*8</f>
        <v>18546192</v>
      </c>
      <c r="AQ316" s="35"/>
      <c r="AR316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316" s="35" t="str">
        <f>+IF(Tabla4[[#This Row],[AGRUPACIONES]]=1,SUMIFS(Tabla4[VALOR TOTAL],Tabla4[ZONA DEFINITIVO],Tabla4[[#This Row],[ZONA DEFINITIVO]])," ")</f>
        <v xml:space="preserve"> </v>
      </c>
      <c r="AT316" s="27">
        <f>(VLOOKUP(Tabla4[[#This Row],[SERVICIO 2025]],$J$2:$V$14,3,0)*Tabla4[[#This Row],[TOTAL COBERTURA]])+Tabla4[[#This Row],[VALOR FASE PREPARATORIA DE ALISTAMIENTO]]+Tabla4[[#This Row],[DOTACIÓN ÚNICA]]</f>
        <v>3024558</v>
      </c>
      <c r="AU316" s="35">
        <f>(VLOOKUP(Tabla4[[#This Row],[SERVICIO 2025]],$J$2:$V$14,3,0)*Tabla4[[#This Row],[TOTAL COBERTURA]])</f>
        <v>2318274</v>
      </c>
      <c r="AV316" s="35">
        <f>(VLOOKUP(Tabla4[[#This Row],[SERVICIO 2025]],$J$2:$V$14,3,0)*Tabla4[[#This Row],[TOTAL COBERTURA]])</f>
        <v>2318274</v>
      </c>
      <c r="AW316" s="35">
        <f>(VLOOKUP(Tabla4[[#This Row],[SERVICIO 2025]],$J$2:$V$14,3,0)*Tabla4[[#This Row],[TOTAL COBERTURA]])</f>
        <v>2318274</v>
      </c>
      <c r="AX316" s="35">
        <f>(VLOOKUP(Tabla4[[#This Row],[SERVICIO 2025]],$J$2:$V$14,3,0)*Tabla4[[#This Row],[TOTAL COBERTURA]])</f>
        <v>2318274</v>
      </c>
      <c r="AY316" s="35">
        <f>(VLOOKUP(Tabla4[[#This Row],[SERVICIO 2025]],$J$2:$V$14,3,0)*Tabla4[[#This Row],[TOTAL COBERTURA]])</f>
        <v>2318274</v>
      </c>
      <c r="AZ316" s="35">
        <f>(VLOOKUP(Tabla4[[#This Row],[SERVICIO 2025]],$J$2:$V$14,3,0)*Tabla4[[#This Row],[TOTAL COBERTURA]])</f>
        <v>2318274</v>
      </c>
      <c r="BA316" s="35">
        <f>(VLOOKUP(Tabla4[[#This Row],[SERVICIO 2025]],$J$2:$V$14,3,0)*Tabla4[[#This Row],[TOTAL COBERTURA]])+Tabla4[[#This Row],[VALOR FASE PREPARATORIA DE CIERRE]]</f>
        <v>2687535</v>
      </c>
      <c r="BB316" s="35">
        <f>SUM(Tabla4[[#This Row],[DESEMBOLSO 1]:[DESEMBOLSO 8]])</f>
        <v>19621737</v>
      </c>
      <c r="BC316" s="35">
        <f>VLOOKUP(Tabla4[[#This Row],[SERVICIO 2025]],$J$2:$V$14,10,0)*Tabla4[[#This Row],[TOTAL COBERTURA]]*$W$3</f>
        <v>12987576</v>
      </c>
      <c r="BD316" s="47" t="s">
        <v>211</v>
      </c>
      <c r="BE316" s="12" t="b">
        <f>EXACT(Tabla4[[#This Row],[VALOR ATENCIÓN (8 MESES)]],Tabla4[[#This Row],[VALOR TOTAL]])</f>
        <v>1</v>
      </c>
      <c r="BF316" s="23">
        <f>Tabla4[[#This Row],[VALOR ATENCIÓN (8 MESES)]]-Tabla4[[#This Row],[VALOR TOTAL]]</f>
        <v>0</v>
      </c>
      <c r="BG316" s="12" t="b">
        <f>EXACT(Tabla4[[#This Row],[TOTAL DESEMBOLSOS]],Tabla4[[#This Row],[VALOR ATENCIÓN (8 MESES)]])</f>
        <v>1</v>
      </c>
      <c r="BH316" s="29">
        <f>Tabla4[[#This Row],[TOTAL DESEMBOLSOS]]-Tabla4[[#This Row],[VALOR ATENCIÓN (8 MESES)]]</f>
        <v>0</v>
      </c>
      <c r="BI316" t="s">
        <v>98</v>
      </c>
      <c r="BJ316">
        <v>1913</v>
      </c>
    </row>
    <row r="317" spans="1:62">
      <c r="A317" s="13">
        <v>1913</v>
      </c>
      <c r="B317" s="13" t="s">
        <v>758</v>
      </c>
      <c r="C317" s="12" t="s">
        <v>87</v>
      </c>
      <c r="D317" s="12" t="s">
        <v>673</v>
      </c>
      <c r="E317" s="12" t="s">
        <v>759</v>
      </c>
      <c r="F317" s="12" t="s">
        <v>18</v>
      </c>
      <c r="G317" s="12" t="s">
        <v>90</v>
      </c>
      <c r="H317" s="12" t="s">
        <v>772</v>
      </c>
      <c r="I317" s="12">
        <v>50401148653</v>
      </c>
      <c r="J317" s="12" t="s">
        <v>773</v>
      </c>
      <c r="K317" s="12">
        <v>1</v>
      </c>
      <c r="L317" s="12">
        <v>12</v>
      </c>
      <c r="M317" s="12"/>
      <c r="N317" s="13">
        <v>1913</v>
      </c>
      <c r="O317" s="12" t="s">
        <v>93</v>
      </c>
      <c r="P317" s="12"/>
      <c r="Q317" s="12"/>
      <c r="R317" s="12" t="s">
        <v>94</v>
      </c>
      <c r="S317" s="12">
        <v>10</v>
      </c>
      <c r="T317" s="12" t="s">
        <v>762</v>
      </c>
      <c r="U317" s="12" t="s">
        <v>763</v>
      </c>
      <c r="V317" s="12">
        <f>VLOOKUP(Tabla4[[#This Row],[ZONA DEFINITIVO]],Hoja1!$A$1:$D$121,3,0)</f>
        <v>229093</v>
      </c>
      <c r="W317" s="12">
        <f>VLOOKUP(Tabla4[[#This Row],[ZONA DEFINITIVO]],Hoja1!$A$1:$D$121,2,0)</f>
        <v>15187</v>
      </c>
      <c r="X317" s="12">
        <f>VLOOKUP(Tabla4[[#This Row],[ZONA DEFINITIVO]],Hoja1!$A$1:$D$121,4,0)</f>
        <v>87425</v>
      </c>
      <c r="Y317" s="12" t="str">
        <f>+IF(Tabla4[[#This Row],[AGRUPACIONES]]=1,SUMIFS(Tabla4[UDS],Tabla4[ZONA DEFINITIVO],Tabla4[[#This Row],[ZONA DEFINITIVO]])," ")</f>
        <v xml:space="preserve"> </v>
      </c>
      <c r="Z317" s="12" t="str">
        <f>+IF(Tabla4[[#This Row],[AGRUPACIONES]]=1,SUMIFS(Tabla4[TOTAL COBERTURA],Tabla4[ZONA DEFINITIVO],Tabla4[[#This Row],[ZONA DEFINITIVO]])," ")</f>
        <v xml:space="preserve"> </v>
      </c>
      <c r="AA317" s="12"/>
      <c r="AB317" s="38">
        <v>26162316</v>
      </c>
      <c r="AC317" s="37">
        <v>0.02</v>
      </c>
      <c r="AD317" s="38">
        <f t="shared" si="5"/>
        <v>523246.32</v>
      </c>
      <c r="AE317" s="12"/>
      <c r="AF317" s="12">
        <f>COUNTIF($A$20:A317,A317)</f>
        <v>7</v>
      </c>
      <c r="AG317" s="38">
        <v>26162316</v>
      </c>
      <c r="AH317" s="38">
        <f>Tabla4[[#This Row],[VALOR CONTRAPARTIDA]]+Tabla4[[#This Row],[TOTAL APORTES ICBF]]</f>
        <v>26685562.32</v>
      </c>
      <c r="AI317" s="35"/>
      <c r="AJ317" s="38"/>
      <c r="AK317" s="38"/>
      <c r="AL317" s="23"/>
      <c r="AM317" s="35">
        <f>VLOOKUP(Tabla4[[#This Row],[SERVICIO 2025]],$J$2:$V$14,5,0)*Tabla4[[#This Row],[TOTAL COBERTURA]]</f>
        <v>592512</v>
      </c>
      <c r="AN317" s="35">
        <f>VLOOKUP(Tabla4[[#This Row],[SERVICIO 2025]],$J$2:$V$14,6,0)*Tabla4[[#This Row],[TOTAL COBERTURA]]</f>
        <v>492348</v>
      </c>
      <c r="AO317" s="35">
        <f>VLOOKUP(Tabla4[[#This Row],[SERVICIO 2025]],$J$2:$V$14,8,0)*Tabla4[[#This Row],[TOTAL COBERTURA]]</f>
        <v>349200</v>
      </c>
      <c r="AP317" s="35">
        <f>VLOOKUP(Tabla4[[#This Row],[SERVICIO 2025]],$J$2:$V$14,3,0)*Tabla4[[#This Row],[TOTAL COBERTURA]]*8</f>
        <v>24728256</v>
      </c>
      <c r="AQ317" s="35"/>
      <c r="AR317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317" s="35" t="str">
        <f>+IF(Tabla4[[#This Row],[AGRUPACIONES]]=1,SUMIFS(Tabla4[VALOR TOTAL],Tabla4[ZONA DEFINITIVO],Tabla4[[#This Row],[ZONA DEFINITIVO]])," ")</f>
        <v xml:space="preserve"> </v>
      </c>
      <c r="AT317" s="27">
        <f>(VLOOKUP(Tabla4[[#This Row],[SERVICIO 2025]],$J$2:$V$14,3,0)*Tabla4[[#This Row],[TOTAL COBERTURA]])+Tabla4[[#This Row],[VALOR FASE PREPARATORIA DE ALISTAMIENTO]]+Tabla4[[#This Row],[DOTACIÓN ÚNICA]]</f>
        <v>4032744</v>
      </c>
      <c r="AU317" s="35">
        <f>(VLOOKUP(Tabla4[[#This Row],[SERVICIO 2025]],$J$2:$V$14,3,0)*Tabla4[[#This Row],[TOTAL COBERTURA]])</f>
        <v>3091032</v>
      </c>
      <c r="AV317" s="35">
        <f>(VLOOKUP(Tabla4[[#This Row],[SERVICIO 2025]],$J$2:$V$14,3,0)*Tabla4[[#This Row],[TOTAL COBERTURA]])</f>
        <v>3091032</v>
      </c>
      <c r="AW317" s="35">
        <f>(VLOOKUP(Tabla4[[#This Row],[SERVICIO 2025]],$J$2:$V$14,3,0)*Tabla4[[#This Row],[TOTAL COBERTURA]])</f>
        <v>3091032</v>
      </c>
      <c r="AX317" s="35">
        <f>(VLOOKUP(Tabla4[[#This Row],[SERVICIO 2025]],$J$2:$V$14,3,0)*Tabla4[[#This Row],[TOTAL COBERTURA]])</f>
        <v>3091032</v>
      </c>
      <c r="AY317" s="35">
        <f>(VLOOKUP(Tabla4[[#This Row],[SERVICIO 2025]],$J$2:$V$14,3,0)*Tabla4[[#This Row],[TOTAL COBERTURA]])</f>
        <v>3091032</v>
      </c>
      <c r="AZ317" s="35">
        <f>(VLOOKUP(Tabla4[[#This Row],[SERVICIO 2025]],$J$2:$V$14,3,0)*Tabla4[[#This Row],[TOTAL COBERTURA]])</f>
        <v>3091032</v>
      </c>
      <c r="BA317" s="35">
        <f>(VLOOKUP(Tabla4[[#This Row],[SERVICIO 2025]],$J$2:$V$14,3,0)*Tabla4[[#This Row],[TOTAL COBERTURA]])+Tabla4[[#This Row],[VALOR FASE PREPARATORIA DE CIERRE]]</f>
        <v>3583380</v>
      </c>
      <c r="BB317" s="35">
        <f>SUM(Tabla4[[#This Row],[DESEMBOLSO 1]:[DESEMBOLSO 8]])</f>
        <v>26162316</v>
      </c>
      <c r="BC317" s="35">
        <f>VLOOKUP(Tabla4[[#This Row],[SERVICIO 2025]],$J$2:$V$14,10,0)*Tabla4[[#This Row],[TOTAL COBERTURA]]*$W$3</f>
        <v>17316768</v>
      </c>
      <c r="BD317" s="47" t="s">
        <v>211</v>
      </c>
      <c r="BE317" s="12" t="b">
        <f>EXACT(Tabla4[[#This Row],[VALOR ATENCIÓN (8 MESES)]],Tabla4[[#This Row],[VALOR TOTAL]])</f>
        <v>1</v>
      </c>
      <c r="BF317" s="23">
        <f>Tabla4[[#This Row],[VALOR ATENCIÓN (8 MESES)]]-Tabla4[[#This Row],[VALOR TOTAL]]</f>
        <v>0</v>
      </c>
      <c r="BG317" s="12" t="b">
        <f>EXACT(Tabla4[[#This Row],[TOTAL DESEMBOLSOS]],Tabla4[[#This Row],[VALOR ATENCIÓN (8 MESES)]])</f>
        <v>1</v>
      </c>
      <c r="BH317" s="29">
        <f>Tabla4[[#This Row],[TOTAL DESEMBOLSOS]]-Tabla4[[#This Row],[VALOR ATENCIÓN (8 MESES)]]</f>
        <v>0</v>
      </c>
      <c r="BI317" t="s">
        <v>98</v>
      </c>
      <c r="BJ317">
        <v>1913</v>
      </c>
    </row>
    <row r="318" spans="1:62">
      <c r="A318" s="13">
        <v>1913</v>
      </c>
      <c r="B318" s="13" t="s">
        <v>758</v>
      </c>
      <c r="C318" s="12" t="s">
        <v>87</v>
      </c>
      <c r="D318" s="12" t="s">
        <v>673</v>
      </c>
      <c r="E318" s="12" t="s">
        <v>759</v>
      </c>
      <c r="F318" s="12" t="s">
        <v>18</v>
      </c>
      <c r="G318" s="12" t="s">
        <v>90</v>
      </c>
      <c r="H318" s="12" t="s">
        <v>774</v>
      </c>
      <c r="I318" s="12">
        <v>50401148883</v>
      </c>
      <c r="J318" s="12" t="s">
        <v>775</v>
      </c>
      <c r="K318" s="12">
        <v>1</v>
      </c>
      <c r="L318" s="12">
        <v>36</v>
      </c>
      <c r="M318" s="12"/>
      <c r="N318" s="13">
        <v>1913</v>
      </c>
      <c r="O318" s="12" t="s">
        <v>93</v>
      </c>
      <c r="P318" s="12"/>
      <c r="Q318" s="12"/>
      <c r="R318" s="12" t="s">
        <v>94</v>
      </c>
      <c r="S318" s="12">
        <v>10</v>
      </c>
      <c r="T318" s="12" t="s">
        <v>762</v>
      </c>
      <c r="U318" s="12" t="s">
        <v>763</v>
      </c>
      <c r="V318" s="12">
        <f>VLOOKUP(Tabla4[[#This Row],[ZONA DEFINITIVO]],Hoja1!$A$1:$D$121,3,0)</f>
        <v>229093</v>
      </c>
      <c r="W318" s="12">
        <f>VLOOKUP(Tabla4[[#This Row],[ZONA DEFINITIVO]],Hoja1!$A$1:$D$121,2,0)</f>
        <v>15187</v>
      </c>
      <c r="X318" s="12">
        <f>VLOOKUP(Tabla4[[#This Row],[ZONA DEFINITIVO]],Hoja1!$A$1:$D$121,4,0)</f>
        <v>87425</v>
      </c>
      <c r="Y318" s="12" t="str">
        <f>+IF(Tabla4[[#This Row],[AGRUPACIONES]]=1,SUMIFS(Tabla4[UDS],Tabla4[ZONA DEFINITIVO],Tabla4[[#This Row],[ZONA DEFINITIVO]])," ")</f>
        <v xml:space="preserve"> </v>
      </c>
      <c r="Z318" s="12" t="str">
        <f>+IF(Tabla4[[#This Row],[AGRUPACIONES]]=1,SUMIFS(Tabla4[TOTAL COBERTURA],Tabla4[ZONA DEFINITIVO],Tabla4[[#This Row],[ZONA DEFINITIVO]])," ")</f>
        <v xml:space="preserve"> </v>
      </c>
      <c r="AA318" s="12"/>
      <c r="AB318" s="38">
        <v>78486948</v>
      </c>
      <c r="AC318" s="37">
        <v>0.02</v>
      </c>
      <c r="AD318" s="38">
        <f t="shared" si="5"/>
        <v>1569738.96</v>
      </c>
      <c r="AE318" s="12"/>
      <c r="AF318" s="12">
        <f>COUNTIF($A$20:A318,A318)</f>
        <v>8</v>
      </c>
      <c r="AG318" s="38">
        <v>78486948</v>
      </c>
      <c r="AH318" s="38">
        <f>Tabla4[[#This Row],[VALOR CONTRAPARTIDA]]+Tabla4[[#This Row],[TOTAL APORTES ICBF]]</f>
        <v>80056686.959999993</v>
      </c>
      <c r="AI318" s="35"/>
      <c r="AJ318" s="38"/>
      <c r="AK318" s="38"/>
      <c r="AL318" s="23"/>
      <c r="AM318" s="35">
        <f>VLOOKUP(Tabla4[[#This Row],[SERVICIO 2025]],$J$2:$V$14,5,0)*Tabla4[[#This Row],[TOTAL COBERTURA]]</f>
        <v>1777536</v>
      </c>
      <c r="AN318" s="35">
        <f>VLOOKUP(Tabla4[[#This Row],[SERVICIO 2025]],$J$2:$V$14,6,0)*Tabla4[[#This Row],[TOTAL COBERTURA]]</f>
        <v>1477044</v>
      </c>
      <c r="AO318" s="35">
        <f>VLOOKUP(Tabla4[[#This Row],[SERVICIO 2025]],$J$2:$V$14,8,0)*Tabla4[[#This Row],[TOTAL COBERTURA]]</f>
        <v>1047600</v>
      </c>
      <c r="AP318" s="35">
        <f>VLOOKUP(Tabla4[[#This Row],[SERVICIO 2025]],$J$2:$V$14,3,0)*Tabla4[[#This Row],[TOTAL COBERTURA]]*8</f>
        <v>74184768</v>
      </c>
      <c r="AQ318" s="35"/>
      <c r="AR318" s="35">
        <f>Tabla4[[#This Row],[VALOR FASE PREPARATORIA DE ALISTAMIENTO]]+Tabla4[[#This Row],[VALOR FASE PREPARATORIA DE CIERRE]]+Tabla4[[#This Row],[DOTACIÓN ÚNICA]]+Tabla4[[#This Row],[VALOR ATENCIÓN]]+Tabla4[[#This Row],[VALOR RACION PREPARADA]]</f>
        <v>78486948</v>
      </c>
      <c r="AS318" s="35" t="str">
        <f>+IF(Tabla4[[#This Row],[AGRUPACIONES]]=1,SUMIFS(Tabla4[VALOR TOTAL],Tabla4[ZONA DEFINITIVO],Tabla4[[#This Row],[ZONA DEFINITIVO]])," ")</f>
        <v xml:space="preserve"> </v>
      </c>
      <c r="AT318" s="27">
        <f>(VLOOKUP(Tabla4[[#This Row],[SERVICIO 2025]],$J$2:$V$14,3,0)*Tabla4[[#This Row],[TOTAL COBERTURA]])+Tabla4[[#This Row],[VALOR FASE PREPARATORIA DE ALISTAMIENTO]]+Tabla4[[#This Row],[DOTACIÓN ÚNICA]]</f>
        <v>12098232</v>
      </c>
      <c r="AU318" s="35">
        <f>(VLOOKUP(Tabla4[[#This Row],[SERVICIO 2025]],$J$2:$V$14,3,0)*Tabla4[[#This Row],[TOTAL COBERTURA]])</f>
        <v>9273096</v>
      </c>
      <c r="AV318" s="35">
        <f>(VLOOKUP(Tabla4[[#This Row],[SERVICIO 2025]],$J$2:$V$14,3,0)*Tabla4[[#This Row],[TOTAL COBERTURA]])</f>
        <v>9273096</v>
      </c>
      <c r="AW318" s="35">
        <f>(VLOOKUP(Tabla4[[#This Row],[SERVICIO 2025]],$J$2:$V$14,3,0)*Tabla4[[#This Row],[TOTAL COBERTURA]])</f>
        <v>9273096</v>
      </c>
      <c r="AX318" s="35">
        <f>(VLOOKUP(Tabla4[[#This Row],[SERVICIO 2025]],$J$2:$V$14,3,0)*Tabla4[[#This Row],[TOTAL COBERTURA]])</f>
        <v>9273096</v>
      </c>
      <c r="AY318" s="35">
        <f>(VLOOKUP(Tabla4[[#This Row],[SERVICIO 2025]],$J$2:$V$14,3,0)*Tabla4[[#This Row],[TOTAL COBERTURA]])</f>
        <v>9273096</v>
      </c>
      <c r="AZ318" s="35">
        <f>(VLOOKUP(Tabla4[[#This Row],[SERVICIO 2025]],$J$2:$V$14,3,0)*Tabla4[[#This Row],[TOTAL COBERTURA]])</f>
        <v>9273096</v>
      </c>
      <c r="BA318" s="35">
        <f>(VLOOKUP(Tabla4[[#This Row],[SERVICIO 2025]],$J$2:$V$14,3,0)*Tabla4[[#This Row],[TOTAL COBERTURA]])+Tabla4[[#This Row],[VALOR FASE PREPARATORIA DE CIERRE]]</f>
        <v>10750140</v>
      </c>
      <c r="BB318" s="35">
        <f>SUM(Tabla4[[#This Row],[DESEMBOLSO 1]:[DESEMBOLSO 8]])</f>
        <v>78486948</v>
      </c>
      <c r="BC318" s="35">
        <f>VLOOKUP(Tabla4[[#This Row],[SERVICIO 2025]],$J$2:$V$14,10,0)*Tabla4[[#This Row],[TOTAL COBERTURA]]*$W$3</f>
        <v>51950304</v>
      </c>
      <c r="BD318" s="47" t="s">
        <v>211</v>
      </c>
      <c r="BE318" s="12" t="b">
        <f>EXACT(Tabla4[[#This Row],[VALOR ATENCIÓN (8 MESES)]],Tabla4[[#This Row],[VALOR TOTAL]])</f>
        <v>1</v>
      </c>
      <c r="BF318" s="23">
        <f>Tabla4[[#This Row],[VALOR ATENCIÓN (8 MESES)]]-Tabla4[[#This Row],[VALOR TOTAL]]</f>
        <v>0</v>
      </c>
      <c r="BG318" s="12" t="b">
        <f>EXACT(Tabla4[[#This Row],[TOTAL DESEMBOLSOS]],Tabla4[[#This Row],[VALOR ATENCIÓN (8 MESES)]])</f>
        <v>1</v>
      </c>
      <c r="BH318" s="29">
        <f>Tabla4[[#This Row],[TOTAL DESEMBOLSOS]]-Tabla4[[#This Row],[VALOR ATENCIÓN (8 MESES)]]</f>
        <v>0</v>
      </c>
      <c r="BI318" t="s">
        <v>98</v>
      </c>
      <c r="BJ318">
        <v>1913</v>
      </c>
    </row>
    <row r="319" spans="1:62">
      <c r="A319" s="13">
        <v>1913</v>
      </c>
      <c r="B319" s="13" t="s">
        <v>758</v>
      </c>
      <c r="C319" s="12" t="s">
        <v>87</v>
      </c>
      <c r="D319" s="12" t="s">
        <v>673</v>
      </c>
      <c r="E319" s="12" t="s">
        <v>759</v>
      </c>
      <c r="F319" s="12" t="s">
        <v>18</v>
      </c>
      <c r="G319" s="12" t="s">
        <v>90</v>
      </c>
      <c r="H319" s="12" t="s">
        <v>776</v>
      </c>
      <c r="I319" s="12">
        <v>50401151171</v>
      </c>
      <c r="J319" s="12" t="s">
        <v>777</v>
      </c>
      <c r="K319" s="12">
        <v>1</v>
      </c>
      <c r="L319" s="12">
        <v>16</v>
      </c>
      <c r="M319" s="12"/>
      <c r="N319" s="13">
        <v>1913</v>
      </c>
      <c r="O319" s="12" t="s">
        <v>93</v>
      </c>
      <c r="P319" s="12"/>
      <c r="Q319" s="12"/>
      <c r="R319" s="12" t="s">
        <v>94</v>
      </c>
      <c r="S319" s="12">
        <v>10</v>
      </c>
      <c r="T319" s="12" t="s">
        <v>762</v>
      </c>
      <c r="U319" s="12" t="s">
        <v>763</v>
      </c>
      <c r="V319" s="12">
        <f>VLOOKUP(Tabla4[[#This Row],[ZONA DEFINITIVO]],Hoja1!$A$1:$D$121,3,0)</f>
        <v>229093</v>
      </c>
      <c r="W319" s="12">
        <f>VLOOKUP(Tabla4[[#This Row],[ZONA DEFINITIVO]],Hoja1!$A$1:$D$121,2,0)</f>
        <v>15187</v>
      </c>
      <c r="X319" s="12">
        <f>VLOOKUP(Tabla4[[#This Row],[ZONA DEFINITIVO]],Hoja1!$A$1:$D$121,4,0)</f>
        <v>87425</v>
      </c>
      <c r="Y319" s="12" t="str">
        <f>+IF(Tabla4[[#This Row],[AGRUPACIONES]]=1,SUMIFS(Tabla4[UDS],Tabla4[ZONA DEFINITIVO],Tabla4[[#This Row],[ZONA DEFINITIVO]])," ")</f>
        <v xml:space="preserve"> </v>
      </c>
      <c r="Z319" s="12" t="str">
        <f>+IF(Tabla4[[#This Row],[AGRUPACIONES]]=1,SUMIFS(Tabla4[TOTAL COBERTURA],Tabla4[ZONA DEFINITIVO],Tabla4[[#This Row],[ZONA DEFINITIVO]])," ")</f>
        <v xml:space="preserve"> </v>
      </c>
      <c r="AA319" s="12"/>
      <c r="AB319" s="38">
        <v>34883088</v>
      </c>
      <c r="AC319" s="37">
        <v>0.02</v>
      </c>
      <c r="AD319" s="38">
        <f t="shared" si="5"/>
        <v>697661.76</v>
      </c>
      <c r="AE319" s="12"/>
      <c r="AF319" s="12">
        <f>COUNTIF($A$20:A319,A319)</f>
        <v>9</v>
      </c>
      <c r="AG319" s="38">
        <v>34883088</v>
      </c>
      <c r="AH319" s="38">
        <f>Tabla4[[#This Row],[VALOR CONTRAPARTIDA]]+Tabla4[[#This Row],[TOTAL APORTES ICBF]]</f>
        <v>35580749.759999998</v>
      </c>
      <c r="AI319" s="35"/>
      <c r="AJ319" s="38"/>
      <c r="AK319" s="38"/>
      <c r="AL319" s="23"/>
      <c r="AM319" s="35">
        <f>VLOOKUP(Tabla4[[#This Row],[SERVICIO 2025]],$J$2:$V$14,5,0)*Tabla4[[#This Row],[TOTAL COBERTURA]]</f>
        <v>790016</v>
      </c>
      <c r="AN319" s="35">
        <f>VLOOKUP(Tabla4[[#This Row],[SERVICIO 2025]],$J$2:$V$14,6,0)*Tabla4[[#This Row],[TOTAL COBERTURA]]</f>
        <v>656464</v>
      </c>
      <c r="AO319" s="35">
        <f>VLOOKUP(Tabla4[[#This Row],[SERVICIO 2025]],$J$2:$V$14,8,0)*Tabla4[[#This Row],[TOTAL COBERTURA]]</f>
        <v>465600</v>
      </c>
      <c r="AP319" s="35">
        <f>VLOOKUP(Tabla4[[#This Row],[SERVICIO 2025]],$J$2:$V$14,3,0)*Tabla4[[#This Row],[TOTAL COBERTURA]]*8</f>
        <v>32971008</v>
      </c>
      <c r="AQ319" s="35"/>
      <c r="AR319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319" s="35" t="str">
        <f>+IF(Tabla4[[#This Row],[AGRUPACIONES]]=1,SUMIFS(Tabla4[VALOR TOTAL],Tabla4[ZONA DEFINITIVO],Tabla4[[#This Row],[ZONA DEFINITIVO]])," ")</f>
        <v xml:space="preserve"> </v>
      </c>
      <c r="AT319" s="27">
        <f>(VLOOKUP(Tabla4[[#This Row],[SERVICIO 2025]],$J$2:$V$14,3,0)*Tabla4[[#This Row],[TOTAL COBERTURA]])+Tabla4[[#This Row],[VALOR FASE PREPARATORIA DE ALISTAMIENTO]]+Tabla4[[#This Row],[DOTACIÓN ÚNICA]]</f>
        <v>5376992</v>
      </c>
      <c r="AU319" s="35">
        <f>(VLOOKUP(Tabla4[[#This Row],[SERVICIO 2025]],$J$2:$V$14,3,0)*Tabla4[[#This Row],[TOTAL COBERTURA]])</f>
        <v>4121376</v>
      </c>
      <c r="AV319" s="35">
        <f>(VLOOKUP(Tabla4[[#This Row],[SERVICIO 2025]],$J$2:$V$14,3,0)*Tabla4[[#This Row],[TOTAL COBERTURA]])</f>
        <v>4121376</v>
      </c>
      <c r="AW319" s="35">
        <f>(VLOOKUP(Tabla4[[#This Row],[SERVICIO 2025]],$J$2:$V$14,3,0)*Tabla4[[#This Row],[TOTAL COBERTURA]])</f>
        <v>4121376</v>
      </c>
      <c r="AX319" s="35">
        <f>(VLOOKUP(Tabla4[[#This Row],[SERVICIO 2025]],$J$2:$V$14,3,0)*Tabla4[[#This Row],[TOTAL COBERTURA]])</f>
        <v>4121376</v>
      </c>
      <c r="AY319" s="35">
        <f>(VLOOKUP(Tabla4[[#This Row],[SERVICIO 2025]],$J$2:$V$14,3,0)*Tabla4[[#This Row],[TOTAL COBERTURA]])</f>
        <v>4121376</v>
      </c>
      <c r="AZ319" s="35">
        <f>(VLOOKUP(Tabla4[[#This Row],[SERVICIO 2025]],$J$2:$V$14,3,0)*Tabla4[[#This Row],[TOTAL COBERTURA]])</f>
        <v>4121376</v>
      </c>
      <c r="BA319" s="35">
        <f>(VLOOKUP(Tabla4[[#This Row],[SERVICIO 2025]],$J$2:$V$14,3,0)*Tabla4[[#This Row],[TOTAL COBERTURA]])+Tabla4[[#This Row],[VALOR FASE PREPARATORIA DE CIERRE]]</f>
        <v>4777840</v>
      </c>
      <c r="BB319" s="35">
        <f>SUM(Tabla4[[#This Row],[DESEMBOLSO 1]:[DESEMBOLSO 8]])</f>
        <v>34883088</v>
      </c>
      <c r="BC319" s="35">
        <f>VLOOKUP(Tabla4[[#This Row],[SERVICIO 2025]],$J$2:$V$14,10,0)*Tabla4[[#This Row],[TOTAL COBERTURA]]*$W$3</f>
        <v>23089024</v>
      </c>
      <c r="BD319" s="47" t="s">
        <v>211</v>
      </c>
      <c r="BE319" s="12" t="b">
        <f>EXACT(Tabla4[[#This Row],[VALOR ATENCIÓN (8 MESES)]],Tabla4[[#This Row],[VALOR TOTAL]])</f>
        <v>1</v>
      </c>
      <c r="BF319" s="23">
        <f>Tabla4[[#This Row],[VALOR ATENCIÓN (8 MESES)]]-Tabla4[[#This Row],[VALOR TOTAL]]</f>
        <v>0</v>
      </c>
      <c r="BG319" s="12" t="b">
        <f>EXACT(Tabla4[[#This Row],[TOTAL DESEMBOLSOS]],Tabla4[[#This Row],[VALOR ATENCIÓN (8 MESES)]])</f>
        <v>1</v>
      </c>
      <c r="BH319" s="29">
        <f>Tabla4[[#This Row],[TOTAL DESEMBOLSOS]]-Tabla4[[#This Row],[VALOR ATENCIÓN (8 MESES)]]</f>
        <v>0</v>
      </c>
      <c r="BI319" t="s">
        <v>98</v>
      </c>
      <c r="BJ319">
        <v>1913</v>
      </c>
    </row>
    <row r="320" spans="1:62">
      <c r="A320" s="13">
        <v>1913</v>
      </c>
      <c r="B320" s="13" t="s">
        <v>758</v>
      </c>
      <c r="C320" s="12" t="s">
        <v>87</v>
      </c>
      <c r="D320" s="12" t="s">
        <v>673</v>
      </c>
      <c r="E320" s="12" t="s">
        <v>759</v>
      </c>
      <c r="F320" s="12" t="s">
        <v>18</v>
      </c>
      <c r="G320" s="12" t="s">
        <v>90</v>
      </c>
      <c r="H320" s="12" t="s">
        <v>778</v>
      </c>
      <c r="I320" s="12">
        <v>50401152033</v>
      </c>
      <c r="J320" s="12" t="s">
        <v>779</v>
      </c>
      <c r="K320" s="12">
        <v>1</v>
      </c>
      <c r="L320" s="12">
        <v>11</v>
      </c>
      <c r="M320" s="12"/>
      <c r="N320" s="13">
        <v>1913</v>
      </c>
      <c r="O320" s="12" t="s">
        <v>93</v>
      </c>
      <c r="P320" s="12"/>
      <c r="Q320" s="12"/>
      <c r="R320" s="12" t="s">
        <v>94</v>
      </c>
      <c r="S320" s="12">
        <v>10</v>
      </c>
      <c r="T320" s="12" t="s">
        <v>762</v>
      </c>
      <c r="U320" s="12" t="s">
        <v>763</v>
      </c>
      <c r="V320" s="12">
        <f>VLOOKUP(Tabla4[[#This Row],[ZONA DEFINITIVO]],Hoja1!$A$1:$D$121,3,0)</f>
        <v>229093</v>
      </c>
      <c r="W320" s="12">
        <f>VLOOKUP(Tabla4[[#This Row],[ZONA DEFINITIVO]],Hoja1!$A$1:$D$121,2,0)</f>
        <v>15187</v>
      </c>
      <c r="X320" s="12">
        <f>VLOOKUP(Tabla4[[#This Row],[ZONA DEFINITIVO]],Hoja1!$A$1:$D$121,4,0)</f>
        <v>87425</v>
      </c>
      <c r="Y320" s="12" t="str">
        <f>+IF(Tabla4[[#This Row],[AGRUPACIONES]]=1,SUMIFS(Tabla4[UDS],Tabla4[ZONA DEFINITIVO],Tabla4[[#This Row],[ZONA DEFINITIVO]])," ")</f>
        <v xml:space="preserve"> </v>
      </c>
      <c r="Z320" s="12" t="str">
        <f>+IF(Tabla4[[#This Row],[AGRUPACIONES]]=1,SUMIFS(Tabla4[TOTAL COBERTURA],Tabla4[ZONA DEFINITIVO],Tabla4[[#This Row],[ZONA DEFINITIVO]])," ")</f>
        <v xml:space="preserve"> </v>
      </c>
      <c r="AA320" s="12"/>
      <c r="AB320" s="38">
        <v>23982123</v>
      </c>
      <c r="AC320" s="37">
        <v>0.02</v>
      </c>
      <c r="AD320" s="38">
        <f t="shared" si="5"/>
        <v>479642.46</v>
      </c>
      <c r="AE320" s="12"/>
      <c r="AF320" s="12">
        <f>COUNTIF($A$20:A320,A320)</f>
        <v>10</v>
      </c>
      <c r="AG320" s="38">
        <v>23982123</v>
      </c>
      <c r="AH320" s="38">
        <f>Tabla4[[#This Row],[VALOR CONTRAPARTIDA]]+Tabla4[[#This Row],[TOTAL APORTES ICBF]]</f>
        <v>24461765.460000001</v>
      </c>
      <c r="AI320" s="35"/>
      <c r="AJ320" s="38"/>
      <c r="AK320" s="38"/>
      <c r="AL320" s="23"/>
      <c r="AM320" s="35">
        <f>VLOOKUP(Tabla4[[#This Row],[SERVICIO 2025]],$J$2:$V$14,5,0)*Tabla4[[#This Row],[TOTAL COBERTURA]]</f>
        <v>543136</v>
      </c>
      <c r="AN320" s="35">
        <f>VLOOKUP(Tabla4[[#This Row],[SERVICIO 2025]],$J$2:$V$14,6,0)*Tabla4[[#This Row],[TOTAL COBERTURA]]</f>
        <v>451319</v>
      </c>
      <c r="AO320" s="35">
        <f>VLOOKUP(Tabla4[[#This Row],[SERVICIO 2025]],$J$2:$V$14,8,0)*Tabla4[[#This Row],[TOTAL COBERTURA]]</f>
        <v>320100</v>
      </c>
      <c r="AP320" s="35">
        <f>VLOOKUP(Tabla4[[#This Row],[SERVICIO 2025]],$J$2:$V$14,3,0)*Tabla4[[#This Row],[TOTAL COBERTURA]]*8</f>
        <v>22667568</v>
      </c>
      <c r="AQ320" s="35"/>
      <c r="AR320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320" s="35" t="str">
        <f>+IF(Tabla4[[#This Row],[AGRUPACIONES]]=1,SUMIFS(Tabla4[VALOR TOTAL],Tabla4[ZONA DEFINITIVO],Tabla4[[#This Row],[ZONA DEFINITIVO]])," ")</f>
        <v xml:space="preserve"> </v>
      </c>
      <c r="AT320" s="27">
        <f>(VLOOKUP(Tabla4[[#This Row],[SERVICIO 2025]],$J$2:$V$14,3,0)*Tabla4[[#This Row],[TOTAL COBERTURA]])+Tabla4[[#This Row],[VALOR FASE PREPARATORIA DE ALISTAMIENTO]]+Tabla4[[#This Row],[DOTACIÓN ÚNICA]]</f>
        <v>3696682</v>
      </c>
      <c r="AU320" s="35">
        <f>(VLOOKUP(Tabla4[[#This Row],[SERVICIO 2025]],$J$2:$V$14,3,0)*Tabla4[[#This Row],[TOTAL COBERTURA]])</f>
        <v>2833446</v>
      </c>
      <c r="AV320" s="35">
        <f>(VLOOKUP(Tabla4[[#This Row],[SERVICIO 2025]],$J$2:$V$14,3,0)*Tabla4[[#This Row],[TOTAL COBERTURA]])</f>
        <v>2833446</v>
      </c>
      <c r="AW320" s="35">
        <f>(VLOOKUP(Tabla4[[#This Row],[SERVICIO 2025]],$J$2:$V$14,3,0)*Tabla4[[#This Row],[TOTAL COBERTURA]])</f>
        <v>2833446</v>
      </c>
      <c r="AX320" s="35">
        <f>(VLOOKUP(Tabla4[[#This Row],[SERVICIO 2025]],$J$2:$V$14,3,0)*Tabla4[[#This Row],[TOTAL COBERTURA]])</f>
        <v>2833446</v>
      </c>
      <c r="AY320" s="35">
        <f>(VLOOKUP(Tabla4[[#This Row],[SERVICIO 2025]],$J$2:$V$14,3,0)*Tabla4[[#This Row],[TOTAL COBERTURA]])</f>
        <v>2833446</v>
      </c>
      <c r="AZ320" s="35">
        <f>(VLOOKUP(Tabla4[[#This Row],[SERVICIO 2025]],$J$2:$V$14,3,0)*Tabla4[[#This Row],[TOTAL COBERTURA]])</f>
        <v>2833446</v>
      </c>
      <c r="BA320" s="35">
        <f>(VLOOKUP(Tabla4[[#This Row],[SERVICIO 2025]],$J$2:$V$14,3,0)*Tabla4[[#This Row],[TOTAL COBERTURA]])+Tabla4[[#This Row],[VALOR FASE PREPARATORIA DE CIERRE]]</f>
        <v>3284765</v>
      </c>
      <c r="BB320" s="35">
        <f>SUM(Tabla4[[#This Row],[DESEMBOLSO 1]:[DESEMBOLSO 8]])</f>
        <v>23982123</v>
      </c>
      <c r="BC320" s="35">
        <f>VLOOKUP(Tabla4[[#This Row],[SERVICIO 2025]],$J$2:$V$14,10,0)*Tabla4[[#This Row],[TOTAL COBERTURA]]*$W$3</f>
        <v>15873704</v>
      </c>
      <c r="BD320" s="47" t="s">
        <v>211</v>
      </c>
      <c r="BE320" s="12" t="b">
        <f>EXACT(Tabla4[[#This Row],[VALOR ATENCIÓN (8 MESES)]],Tabla4[[#This Row],[VALOR TOTAL]])</f>
        <v>1</v>
      </c>
      <c r="BF320" s="23">
        <f>Tabla4[[#This Row],[VALOR ATENCIÓN (8 MESES)]]-Tabla4[[#This Row],[VALOR TOTAL]]</f>
        <v>0</v>
      </c>
      <c r="BG320" s="12" t="b">
        <f>EXACT(Tabla4[[#This Row],[TOTAL DESEMBOLSOS]],Tabla4[[#This Row],[VALOR ATENCIÓN (8 MESES)]])</f>
        <v>1</v>
      </c>
      <c r="BH320" s="29">
        <f>Tabla4[[#This Row],[TOTAL DESEMBOLSOS]]-Tabla4[[#This Row],[VALOR ATENCIÓN (8 MESES)]]</f>
        <v>0</v>
      </c>
      <c r="BI320" t="s">
        <v>98</v>
      </c>
      <c r="BJ320">
        <v>1913</v>
      </c>
    </row>
    <row r="321" spans="1:62">
      <c r="A321" s="13">
        <v>1913</v>
      </c>
      <c r="B321" s="13" t="s">
        <v>758</v>
      </c>
      <c r="C321" s="12" t="s">
        <v>87</v>
      </c>
      <c r="D321" s="12" t="s">
        <v>673</v>
      </c>
      <c r="E321" s="12" t="s">
        <v>759</v>
      </c>
      <c r="F321" s="12" t="s">
        <v>18</v>
      </c>
      <c r="G321" s="12" t="s">
        <v>90</v>
      </c>
      <c r="H321" s="12" t="s">
        <v>780</v>
      </c>
      <c r="I321" s="12">
        <v>50401152034</v>
      </c>
      <c r="J321" s="12" t="s">
        <v>781</v>
      </c>
      <c r="K321" s="12">
        <v>1</v>
      </c>
      <c r="L321" s="12">
        <v>9</v>
      </c>
      <c r="M321" s="12"/>
      <c r="N321" s="13">
        <v>1913</v>
      </c>
      <c r="O321" s="12" t="s">
        <v>93</v>
      </c>
      <c r="P321" s="12"/>
      <c r="Q321" s="12"/>
      <c r="R321" s="12" t="s">
        <v>94</v>
      </c>
      <c r="S321" s="12">
        <v>10</v>
      </c>
      <c r="T321" s="12" t="s">
        <v>762</v>
      </c>
      <c r="U321" s="12" t="s">
        <v>763</v>
      </c>
      <c r="V321" s="12">
        <f>VLOOKUP(Tabla4[[#This Row],[ZONA DEFINITIVO]],Hoja1!$A$1:$D$121,3,0)</f>
        <v>229093</v>
      </c>
      <c r="W321" s="12">
        <f>VLOOKUP(Tabla4[[#This Row],[ZONA DEFINITIVO]],Hoja1!$A$1:$D$121,2,0)</f>
        <v>15187</v>
      </c>
      <c r="X321" s="12">
        <f>VLOOKUP(Tabla4[[#This Row],[ZONA DEFINITIVO]],Hoja1!$A$1:$D$121,4,0)</f>
        <v>87425</v>
      </c>
      <c r="Y321" s="12" t="str">
        <f>+IF(Tabla4[[#This Row],[AGRUPACIONES]]=1,SUMIFS(Tabla4[UDS],Tabla4[ZONA DEFINITIVO],Tabla4[[#This Row],[ZONA DEFINITIVO]])," ")</f>
        <v xml:space="preserve"> </v>
      </c>
      <c r="Z321" s="12" t="str">
        <f>+IF(Tabla4[[#This Row],[AGRUPACIONES]]=1,SUMIFS(Tabla4[TOTAL COBERTURA],Tabla4[ZONA DEFINITIVO],Tabla4[[#This Row],[ZONA DEFINITIVO]])," ")</f>
        <v xml:space="preserve"> </v>
      </c>
      <c r="AA321" s="12"/>
      <c r="AB321" s="38">
        <v>19621737</v>
      </c>
      <c r="AC321" s="37">
        <v>0.02</v>
      </c>
      <c r="AD321" s="38">
        <f t="shared" si="5"/>
        <v>392434.74</v>
      </c>
      <c r="AE321" s="12"/>
      <c r="AF321" s="12">
        <f>COUNTIF($A$20:A321,A321)</f>
        <v>11</v>
      </c>
      <c r="AG321" s="38">
        <v>19621737</v>
      </c>
      <c r="AH321" s="38">
        <f>Tabla4[[#This Row],[VALOR CONTRAPARTIDA]]+Tabla4[[#This Row],[TOTAL APORTES ICBF]]</f>
        <v>20014171.739999998</v>
      </c>
      <c r="AI321" s="35"/>
      <c r="AJ321" s="38"/>
      <c r="AK321" s="38"/>
      <c r="AL321" s="23"/>
      <c r="AM321" s="35">
        <f>VLOOKUP(Tabla4[[#This Row],[SERVICIO 2025]],$J$2:$V$14,5,0)*Tabla4[[#This Row],[TOTAL COBERTURA]]</f>
        <v>444384</v>
      </c>
      <c r="AN321" s="35">
        <f>VLOOKUP(Tabla4[[#This Row],[SERVICIO 2025]],$J$2:$V$14,6,0)*Tabla4[[#This Row],[TOTAL COBERTURA]]</f>
        <v>369261</v>
      </c>
      <c r="AO321" s="35">
        <f>VLOOKUP(Tabla4[[#This Row],[SERVICIO 2025]],$J$2:$V$14,8,0)*Tabla4[[#This Row],[TOTAL COBERTURA]]</f>
        <v>261900</v>
      </c>
      <c r="AP321" s="35">
        <f>VLOOKUP(Tabla4[[#This Row],[SERVICIO 2025]],$J$2:$V$14,3,0)*Tabla4[[#This Row],[TOTAL COBERTURA]]*8</f>
        <v>18546192</v>
      </c>
      <c r="AQ321" s="35"/>
      <c r="AR321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321" s="35" t="str">
        <f>+IF(Tabla4[[#This Row],[AGRUPACIONES]]=1,SUMIFS(Tabla4[VALOR TOTAL],Tabla4[ZONA DEFINITIVO],Tabla4[[#This Row],[ZONA DEFINITIVO]])," ")</f>
        <v xml:space="preserve"> </v>
      </c>
      <c r="AT321" s="27">
        <f>(VLOOKUP(Tabla4[[#This Row],[SERVICIO 2025]],$J$2:$V$14,3,0)*Tabla4[[#This Row],[TOTAL COBERTURA]])+Tabla4[[#This Row],[VALOR FASE PREPARATORIA DE ALISTAMIENTO]]+Tabla4[[#This Row],[DOTACIÓN ÚNICA]]</f>
        <v>3024558</v>
      </c>
      <c r="AU321" s="35">
        <f>(VLOOKUP(Tabla4[[#This Row],[SERVICIO 2025]],$J$2:$V$14,3,0)*Tabla4[[#This Row],[TOTAL COBERTURA]])</f>
        <v>2318274</v>
      </c>
      <c r="AV321" s="35">
        <f>(VLOOKUP(Tabla4[[#This Row],[SERVICIO 2025]],$J$2:$V$14,3,0)*Tabla4[[#This Row],[TOTAL COBERTURA]])</f>
        <v>2318274</v>
      </c>
      <c r="AW321" s="35">
        <f>(VLOOKUP(Tabla4[[#This Row],[SERVICIO 2025]],$J$2:$V$14,3,0)*Tabla4[[#This Row],[TOTAL COBERTURA]])</f>
        <v>2318274</v>
      </c>
      <c r="AX321" s="35">
        <f>(VLOOKUP(Tabla4[[#This Row],[SERVICIO 2025]],$J$2:$V$14,3,0)*Tabla4[[#This Row],[TOTAL COBERTURA]])</f>
        <v>2318274</v>
      </c>
      <c r="AY321" s="35">
        <f>(VLOOKUP(Tabla4[[#This Row],[SERVICIO 2025]],$J$2:$V$14,3,0)*Tabla4[[#This Row],[TOTAL COBERTURA]])</f>
        <v>2318274</v>
      </c>
      <c r="AZ321" s="35">
        <f>(VLOOKUP(Tabla4[[#This Row],[SERVICIO 2025]],$J$2:$V$14,3,0)*Tabla4[[#This Row],[TOTAL COBERTURA]])</f>
        <v>2318274</v>
      </c>
      <c r="BA321" s="35">
        <f>(VLOOKUP(Tabla4[[#This Row],[SERVICIO 2025]],$J$2:$V$14,3,0)*Tabla4[[#This Row],[TOTAL COBERTURA]])+Tabla4[[#This Row],[VALOR FASE PREPARATORIA DE CIERRE]]</f>
        <v>2687535</v>
      </c>
      <c r="BB321" s="35">
        <f>SUM(Tabla4[[#This Row],[DESEMBOLSO 1]:[DESEMBOLSO 8]])</f>
        <v>19621737</v>
      </c>
      <c r="BC321" s="35">
        <f>VLOOKUP(Tabla4[[#This Row],[SERVICIO 2025]],$J$2:$V$14,10,0)*Tabla4[[#This Row],[TOTAL COBERTURA]]*$W$3</f>
        <v>12987576</v>
      </c>
      <c r="BD321" s="47" t="s">
        <v>211</v>
      </c>
      <c r="BE321" s="12" t="b">
        <f>EXACT(Tabla4[[#This Row],[VALOR ATENCIÓN (8 MESES)]],Tabla4[[#This Row],[VALOR TOTAL]])</f>
        <v>1</v>
      </c>
      <c r="BF321" s="23">
        <f>Tabla4[[#This Row],[VALOR ATENCIÓN (8 MESES)]]-Tabla4[[#This Row],[VALOR TOTAL]]</f>
        <v>0</v>
      </c>
      <c r="BG321" s="12" t="b">
        <f>EXACT(Tabla4[[#This Row],[TOTAL DESEMBOLSOS]],Tabla4[[#This Row],[VALOR ATENCIÓN (8 MESES)]])</f>
        <v>1</v>
      </c>
      <c r="BH321" s="29">
        <f>Tabla4[[#This Row],[TOTAL DESEMBOLSOS]]-Tabla4[[#This Row],[VALOR ATENCIÓN (8 MESES)]]</f>
        <v>0</v>
      </c>
      <c r="BI321" t="s">
        <v>98</v>
      </c>
      <c r="BJ321">
        <v>1913</v>
      </c>
    </row>
    <row r="322" spans="1:62">
      <c r="A322" s="13">
        <v>1913</v>
      </c>
      <c r="B322" s="13" t="s">
        <v>758</v>
      </c>
      <c r="C322" s="12" t="s">
        <v>87</v>
      </c>
      <c r="D322" s="12" t="s">
        <v>673</v>
      </c>
      <c r="E322" s="12" t="s">
        <v>759</v>
      </c>
      <c r="F322" s="12" t="s">
        <v>18</v>
      </c>
      <c r="G322" s="12" t="s">
        <v>90</v>
      </c>
      <c r="H322" s="12" t="s">
        <v>782</v>
      </c>
      <c r="I322" s="12">
        <v>50401152035</v>
      </c>
      <c r="J322" s="12" t="s">
        <v>783</v>
      </c>
      <c r="K322" s="12">
        <v>1</v>
      </c>
      <c r="L322" s="12">
        <v>14</v>
      </c>
      <c r="M322" s="12"/>
      <c r="N322" s="13">
        <v>1913</v>
      </c>
      <c r="O322" s="12" t="s">
        <v>93</v>
      </c>
      <c r="P322" s="12"/>
      <c r="Q322" s="12"/>
      <c r="R322" s="12" t="s">
        <v>94</v>
      </c>
      <c r="S322" s="12">
        <v>10</v>
      </c>
      <c r="T322" s="12" t="s">
        <v>762</v>
      </c>
      <c r="U322" s="12" t="s">
        <v>763</v>
      </c>
      <c r="V322" s="12">
        <f>VLOOKUP(Tabla4[[#This Row],[ZONA DEFINITIVO]],Hoja1!$A$1:$D$121,3,0)</f>
        <v>229093</v>
      </c>
      <c r="W322" s="12">
        <f>VLOOKUP(Tabla4[[#This Row],[ZONA DEFINITIVO]],Hoja1!$A$1:$D$121,2,0)</f>
        <v>15187</v>
      </c>
      <c r="X322" s="12">
        <f>VLOOKUP(Tabla4[[#This Row],[ZONA DEFINITIVO]],Hoja1!$A$1:$D$121,4,0)</f>
        <v>87425</v>
      </c>
      <c r="Y322" s="12" t="str">
        <f>+IF(Tabla4[[#This Row],[AGRUPACIONES]]=1,SUMIFS(Tabla4[UDS],Tabla4[ZONA DEFINITIVO],Tabla4[[#This Row],[ZONA DEFINITIVO]])," ")</f>
        <v xml:space="preserve"> </v>
      </c>
      <c r="Z322" s="12" t="str">
        <f>+IF(Tabla4[[#This Row],[AGRUPACIONES]]=1,SUMIFS(Tabla4[TOTAL COBERTURA],Tabla4[ZONA DEFINITIVO],Tabla4[[#This Row],[ZONA DEFINITIVO]])," ")</f>
        <v xml:space="preserve"> </v>
      </c>
      <c r="AA322" s="12"/>
      <c r="AB322" s="38">
        <v>30522702</v>
      </c>
      <c r="AC322" s="37">
        <v>0.02</v>
      </c>
      <c r="AD322" s="38">
        <f t="shared" si="5"/>
        <v>610454.04</v>
      </c>
      <c r="AE322" s="12"/>
      <c r="AF322" s="12">
        <f>COUNTIF($A$20:A322,A322)</f>
        <v>12</v>
      </c>
      <c r="AG322" s="38">
        <v>30522702</v>
      </c>
      <c r="AH322" s="38">
        <f>Tabla4[[#This Row],[VALOR CONTRAPARTIDA]]+Tabla4[[#This Row],[TOTAL APORTES ICBF]]</f>
        <v>31133156.039999999</v>
      </c>
      <c r="AI322" s="35"/>
      <c r="AJ322" s="38"/>
      <c r="AK322" s="38"/>
      <c r="AL322" s="23"/>
      <c r="AM322" s="35">
        <f>VLOOKUP(Tabla4[[#This Row],[SERVICIO 2025]],$J$2:$V$14,5,0)*Tabla4[[#This Row],[TOTAL COBERTURA]]</f>
        <v>691264</v>
      </c>
      <c r="AN322" s="35">
        <f>VLOOKUP(Tabla4[[#This Row],[SERVICIO 2025]],$J$2:$V$14,6,0)*Tabla4[[#This Row],[TOTAL COBERTURA]]</f>
        <v>574406</v>
      </c>
      <c r="AO322" s="35">
        <f>VLOOKUP(Tabla4[[#This Row],[SERVICIO 2025]],$J$2:$V$14,8,0)*Tabla4[[#This Row],[TOTAL COBERTURA]]</f>
        <v>407400</v>
      </c>
      <c r="AP322" s="35">
        <f>VLOOKUP(Tabla4[[#This Row],[SERVICIO 2025]],$J$2:$V$14,3,0)*Tabla4[[#This Row],[TOTAL COBERTURA]]*8</f>
        <v>28849632</v>
      </c>
      <c r="AQ322" s="35"/>
      <c r="AR322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322" s="35" t="str">
        <f>+IF(Tabla4[[#This Row],[AGRUPACIONES]]=1,SUMIFS(Tabla4[VALOR TOTAL],Tabla4[ZONA DEFINITIVO],Tabla4[[#This Row],[ZONA DEFINITIVO]])," ")</f>
        <v xml:space="preserve"> </v>
      </c>
      <c r="AT322" s="27">
        <f>(VLOOKUP(Tabla4[[#This Row],[SERVICIO 2025]],$J$2:$V$14,3,0)*Tabla4[[#This Row],[TOTAL COBERTURA]])+Tabla4[[#This Row],[VALOR FASE PREPARATORIA DE ALISTAMIENTO]]+Tabla4[[#This Row],[DOTACIÓN ÚNICA]]</f>
        <v>4704868</v>
      </c>
      <c r="AU322" s="35">
        <f>(VLOOKUP(Tabla4[[#This Row],[SERVICIO 2025]],$J$2:$V$14,3,0)*Tabla4[[#This Row],[TOTAL COBERTURA]])</f>
        <v>3606204</v>
      </c>
      <c r="AV322" s="35">
        <f>(VLOOKUP(Tabla4[[#This Row],[SERVICIO 2025]],$J$2:$V$14,3,0)*Tabla4[[#This Row],[TOTAL COBERTURA]])</f>
        <v>3606204</v>
      </c>
      <c r="AW322" s="35">
        <f>(VLOOKUP(Tabla4[[#This Row],[SERVICIO 2025]],$J$2:$V$14,3,0)*Tabla4[[#This Row],[TOTAL COBERTURA]])</f>
        <v>3606204</v>
      </c>
      <c r="AX322" s="35">
        <f>(VLOOKUP(Tabla4[[#This Row],[SERVICIO 2025]],$J$2:$V$14,3,0)*Tabla4[[#This Row],[TOTAL COBERTURA]])</f>
        <v>3606204</v>
      </c>
      <c r="AY322" s="35">
        <f>(VLOOKUP(Tabla4[[#This Row],[SERVICIO 2025]],$J$2:$V$14,3,0)*Tabla4[[#This Row],[TOTAL COBERTURA]])</f>
        <v>3606204</v>
      </c>
      <c r="AZ322" s="35">
        <f>(VLOOKUP(Tabla4[[#This Row],[SERVICIO 2025]],$J$2:$V$14,3,0)*Tabla4[[#This Row],[TOTAL COBERTURA]])</f>
        <v>3606204</v>
      </c>
      <c r="BA322" s="35">
        <f>(VLOOKUP(Tabla4[[#This Row],[SERVICIO 2025]],$J$2:$V$14,3,0)*Tabla4[[#This Row],[TOTAL COBERTURA]])+Tabla4[[#This Row],[VALOR FASE PREPARATORIA DE CIERRE]]</f>
        <v>4180610</v>
      </c>
      <c r="BB322" s="35">
        <f>SUM(Tabla4[[#This Row],[DESEMBOLSO 1]:[DESEMBOLSO 8]])</f>
        <v>30522702</v>
      </c>
      <c r="BC322" s="35">
        <f>VLOOKUP(Tabla4[[#This Row],[SERVICIO 2025]],$J$2:$V$14,10,0)*Tabla4[[#This Row],[TOTAL COBERTURA]]*$W$3</f>
        <v>20202896</v>
      </c>
      <c r="BD322" s="47" t="s">
        <v>211</v>
      </c>
      <c r="BE322" s="12" t="b">
        <f>EXACT(Tabla4[[#This Row],[VALOR ATENCIÓN (8 MESES)]],Tabla4[[#This Row],[VALOR TOTAL]])</f>
        <v>1</v>
      </c>
      <c r="BF322" s="23">
        <f>Tabla4[[#This Row],[VALOR ATENCIÓN (8 MESES)]]-Tabla4[[#This Row],[VALOR TOTAL]]</f>
        <v>0</v>
      </c>
      <c r="BG322" s="12" t="b">
        <f>EXACT(Tabla4[[#This Row],[TOTAL DESEMBOLSOS]],Tabla4[[#This Row],[VALOR ATENCIÓN (8 MESES)]])</f>
        <v>1</v>
      </c>
      <c r="BH322" s="29">
        <f>Tabla4[[#This Row],[TOTAL DESEMBOLSOS]]-Tabla4[[#This Row],[VALOR ATENCIÓN (8 MESES)]]</f>
        <v>0</v>
      </c>
      <c r="BI322" t="s">
        <v>98</v>
      </c>
      <c r="BJ322">
        <v>1913</v>
      </c>
    </row>
    <row r="323" spans="1:62">
      <c r="A323" s="13">
        <v>1913</v>
      </c>
      <c r="B323" s="13" t="s">
        <v>758</v>
      </c>
      <c r="C323" s="12" t="s">
        <v>87</v>
      </c>
      <c r="D323" s="12" t="s">
        <v>673</v>
      </c>
      <c r="E323" s="12" t="s">
        <v>759</v>
      </c>
      <c r="F323" s="12" t="s">
        <v>18</v>
      </c>
      <c r="G323" s="12" t="s">
        <v>90</v>
      </c>
      <c r="H323" s="12" t="s">
        <v>615</v>
      </c>
      <c r="I323" s="12">
        <v>50401152143</v>
      </c>
      <c r="J323" s="12" t="s">
        <v>784</v>
      </c>
      <c r="K323" s="12">
        <v>1</v>
      </c>
      <c r="L323" s="12">
        <v>17</v>
      </c>
      <c r="M323" s="12"/>
      <c r="N323" s="13">
        <v>1913</v>
      </c>
      <c r="O323" s="12" t="s">
        <v>93</v>
      </c>
      <c r="P323" s="12"/>
      <c r="Q323" s="12"/>
      <c r="R323" s="12" t="s">
        <v>94</v>
      </c>
      <c r="S323" s="12">
        <v>10</v>
      </c>
      <c r="T323" s="12" t="s">
        <v>762</v>
      </c>
      <c r="U323" s="12" t="s">
        <v>763</v>
      </c>
      <c r="V323" s="12">
        <f>VLOOKUP(Tabla4[[#This Row],[ZONA DEFINITIVO]],Hoja1!$A$1:$D$121,3,0)</f>
        <v>229093</v>
      </c>
      <c r="W323" s="12">
        <f>VLOOKUP(Tabla4[[#This Row],[ZONA DEFINITIVO]],Hoja1!$A$1:$D$121,2,0)</f>
        <v>15187</v>
      </c>
      <c r="X323" s="12">
        <f>VLOOKUP(Tabla4[[#This Row],[ZONA DEFINITIVO]],Hoja1!$A$1:$D$121,4,0)</f>
        <v>87425</v>
      </c>
      <c r="Y323" s="12" t="str">
        <f>+IF(Tabla4[[#This Row],[AGRUPACIONES]]=1,SUMIFS(Tabla4[UDS],Tabla4[ZONA DEFINITIVO],Tabla4[[#This Row],[ZONA DEFINITIVO]])," ")</f>
        <v xml:space="preserve"> </v>
      </c>
      <c r="Z323" s="12" t="str">
        <f>+IF(Tabla4[[#This Row],[AGRUPACIONES]]=1,SUMIFS(Tabla4[TOTAL COBERTURA],Tabla4[ZONA DEFINITIVO],Tabla4[[#This Row],[ZONA DEFINITIVO]])," ")</f>
        <v xml:space="preserve"> </v>
      </c>
      <c r="AA323" s="12"/>
      <c r="AB323" s="38">
        <v>37063281</v>
      </c>
      <c r="AC323" s="37">
        <v>0.02</v>
      </c>
      <c r="AD323" s="38">
        <f t="shared" si="5"/>
        <v>741265.62</v>
      </c>
      <c r="AE323" s="12"/>
      <c r="AF323" s="12">
        <f>COUNTIF($A$20:A323,A323)</f>
        <v>13</v>
      </c>
      <c r="AG323" s="38">
        <v>37063281</v>
      </c>
      <c r="AH323" s="38">
        <f>Tabla4[[#This Row],[VALOR CONTRAPARTIDA]]+Tabla4[[#This Row],[TOTAL APORTES ICBF]]</f>
        <v>37804546.619999997</v>
      </c>
      <c r="AI323" s="35"/>
      <c r="AJ323" s="38"/>
      <c r="AK323" s="38"/>
      <c r="AL323" s="23"/>
      <c r="AM323" s="35">
        <f>VLOOKUP(Tabla4[[#This Row],[SERVICIO 2025]],$J$2:$V$14,5,0)*Tabla4[[#This Row],[TOTAL COBERTURA]]</f>
        <v>839392</v>
      </c>
      <c r="AN323" s="35">
        <f>VLOOKUP(Tabla4[[#This Row],[SERVICIO 2025]],$J$2:$V$14,6,0)*Tabla4[[#This Row],[TOTAL COBERTURA]]</f>
        <v>697493</v>
      </c>
      <c r="AO323" s="35">
        <f>VLOOKUP(Tabla4[[#This Row],[SERVICIO 2025]],$J$2:$V$14,8,0)*Tabla4[[#This Row],[TOTAL COBERTURA]]</f>
        <v>494700</v>
      </c>
      <c r="AP323" s="35">
        <f>VLOOKUP(Tabla4[[#This Row],[SERVICIO 2025]],$J$2:$V$14,3,0)*Tabla4[[#This Row],[TOTAL COBERTURA]]*8</f>
        <v>35031696</v>
      </c>
      <c r="AQ323" s="35"/>
      <c r="AR323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323" s="35" t="str">
        <f>+IF(Tabla4[[#This Row],[AGRUPACIONES]]=1,SUMIFS(Tabla4[VALOR TOTAL],Tabla4[ZONA DEFINITIVO],Tabla4[[#This Row],[ZONA DEFINITIVO]])," ")</f>
        <v xml:space="preserve"> </v>
      </c>
      <c r="AT323" s="27">
        <f>(VLOOKUP(Tabla4[[#This Row],[SERVICIO 2025]],$J$2:$V$14,3,0)*Tabla4[[#This Row],[TOTAL COBERTURA]])+Tabla4[[#This Row],[VALOR FASE PREPARATORIA DE ALISTAMIENTO]]+Tabla4[[#This Row],[DOTACIÓN ÚNICA]]</f>
        <v>5713054</v>
      </c>
      <c r="AU323" s="35">
        <f>(VLOOKUP(Tabla4[[#This Row],[SERVICIO 2025]],$J$2:$V$14,3,0)*Tabla4[[#This Row],[TOTAL COBERTURA]])</f>
        <v>4378962</v>
      </c>
      <c r="AV323" s="35">
        <f>(VLOOKUP(Tabla4[[#This Row],[SERVICIO 2025]],$J$2:$V$14,3,0)*Tabla4[[#This Row],[TOTAL COBERTURA]])</f>
        <v>4378962</v>
      </c>
      <c r="AW323" s="35">
        <f>(VLOOKUP(Tabla4[[#This Row],[SERVICIO 2025]],$J$2:$V$14,3,0)*Tabla4[[#This Row],[TOTAL COBERTURA]])</f>
        <v>4378962</v>
      </c>
      <c r="AX323" s="35">
        <f>(VLOOKUP(Tabla4[[#This Row],[SERVICIO 2025]],$J$2:$V$14,3,0)*Tabla4[[#This Row],[TOTAL COBERTURA]])</f>
        <v>4378962</v>
      </c>
      <c r="AY323" s="35">
        <f>(VLOOKUP(Tabla4[[#This Row],[SERVICIO 2025]],$J$2:$V$14,3,0)*Tabla4[[#This Row],[TOTAL COBERTURA]])</f>
        <v>4378962</v>
      </c>
      <c r="AZ323" s="35">
        <f>(VLOOKUP(Tabla4[[#This Row],[SERVICIO 2025]],$J$2:$V$14,3,0)*Tabla4[[#This Row],[TOTAL COBERTURA]])</f>
        <v>4378962</v>
      </c>
      <c r="BA323" s="35">
        <f>(VLOOKUP(Tabla4[[#This Row],[SERVICIO 2025]],$J$2:$V$14,3,0)*Tabla4[[#This Row],[TOTAL COBERTURA]])+Tabla4[[#This Row],[VALOR FASE PREPARATORIA DE CIERRE]]</f>
        <v>5076455</v>
      </c>
      <c r="BB323" s="35">
        <f>SUM(Tabla4[[#This Row],[DESEMBOLSO 1]:[DESEMBOLSO 8]])</f>
        <v>37063281</v>
      </c>
      <c r="BC323" s="35">
        <f>VLOOKUP(Tabla4[[#This Row],[SERVICIO 2025]],$J$2:$V$14,10,0)*Tabla4[[#This Row],[TOTAL COBERTURA]]*$W$3</f>
        <v>24532088</v>
      </c>
      <c r="BD323" s="47" t="s">
        <v>211</v>
      </c>
      <c r="BE323" s="12" t="b">
        <f>EXACT(Tabla4[[#This Row],[VALOR ATENCIÓN (8 MESES)]],Tabla4[[#This Row],[VALOR TOTAL]])</f>
        <v>1</v>
      </c>
      <c r="BF323" s="23">
        <f>Tabla4[[#This Row],[VALOR ATENCIÓN (8 MESES)]]-Tabla4[[#This Row],[VALOR TOTAL]]</f>
        <v>0</v>
      </c>
      <c r="BG323" s="12" t="b">
        <f>EXACT(Tabla4[[#This Row],[TOTAL DESEMBOLSOS]],Tabla4[[#This Row],[VALOR ATENCIÓN (8 MESES)]])</f>
        <v>1</v>
      </c>
      <c r="BH323" s="29">
        <f>Tabla4[[#This Row],[TOTAL DESEMBOLSOS]]-Tabla4[[#This Row],[VALOR ATENCIÓN (8 MESES)]]</f>
        <v>0</v>
      </c>
      <c r="BI323" t="s">
        <v>98</v>
      </c>
      <c r="BJ323">
        <v>1913</v>
      </c>
    </row>
    <row r="324" spans="1:62">
      <c r="A324" s="13">
        <v>1913</v>
      </c>
      <c r="B324" s="13" t="s">
        <v>758</v>
      </c>
      <c r="C324" s="12" t="s">
        <v>87</v>
      </c>
      <c r="D324" s="12" t="s">
        <v>673</v>
      </c>
      <c r="E324" s="12" t="s">
        <v>759</v>
      </c>
      <c r="F324" s="12" t="s">
        <v>18</v>
      </c>
      <c r="G324" s="12" t="s">
        <v>90</v>
      </c>
      <c r="H324" s="12" t="s">
        <v>785</v>
      </c>
      <c r="I324" s="12">
        <v>50401152444</v>
      </c>
      <c r="J324" s="12" t="s">
        <v>786</v>
      </c>
      <c r="K324" s="12">
        <v>1</v>
      </c>
      <c r="L324" s="12">
        <v>9</v>
      </c>
      <c r="M324" s="12"/>
      <c r="N324" s="13">
        <v>1913</v>
      </c>
      <c r="O324" s="12" t="s">
        <v>93</v>
      </c>
      <c r="P324" s="12"/>
      <c r="Q324" s="12"/>
      <c r="R324" s="12" t="s">
        <v>94</v>
      </c>
      <c r="S324" s="12">
        <v>10</v>
      </c>
      <c r="T324" s="12" t="s">
        <v>762</v>
      </c>
      <c r="U324" s="12" t="s">
        <v>763</v>
      </c>
      <c r="V324" s="12">
        <f>VLOOKUP(Tabla4[[#This Row],[ZONA DEFINITIVO]],Hoja1!$A$1:$D$121,3,0)</f>
        <v>229093</v>
      </c>
      <c r="W324" s="12">
        <f>VLOOKUP(Tabla4[[#This Row],[ZONA DEFINITIVO]],Hoja1!$A$1:$D$121,2,0)</f>
        <v>15187</v>
      </c>
      <c r="X324" s="12">
        <f>VLOOKUP(Tabla4[[#This Row],[ZONA DEFINITIVO]],Hoja1!$A$1:$D$121,4,0)</f>
        <v>87425</v>
      </c>
      <c r="Y324" s="12" t="str">
        <f>+IF(Tabla4[[#This Row],[AGRUPACIONES]]=1,SUMIFS(Tabla4[UDS],Tabla4[ZONA DEFINITIVO],Tabla4[[#This Row],[ZONA DEFINITIVO]])," ")</f>
        <v xml:space="preserve"> </v>
      </c>
      <c r="Z324" s="12" t="str">
        <f>+IF(Tabla4[[#This Row],[AGRUPACIONES]]=1,SUMIFS(Tabla4[TOTAL COBERTURA],Tabla4[ZONA DEFINITIVO],Tabla4[[#This Row],[ZONA DEFINITIVO]])," ")</f>
        <v xml:space="preserve"> </v>
      </c>
      <c r="AA324" s="12"/>
      <c r="AB324" s="38">
        <v>19621737</v>
      </c>
      <c r="AC324" s="37">
        <v>0.02</v>
      </c>
      <c r="AD324" s="38">
        <f t="shared" si="5"/>
        <v>392434.74</v>
      </c>
      <c r="AE324" s="12"/>
      <c r="AF324" s="12">
        <f>COUNTIF($A$20:A324,A324)</f>
        <v>14</v>
      </c>
      <c r="AG324" s="38">
        <v>19621737</v>
      </c>
      <c r="AH324" s="38">
        <f>Tabla4[[#This Row],[VALOR CONTRAPARTIDA]]+Tabla4[[#This Row],[TOTAL APORTES ICBF]]</f>
        <v>20014171.739999998</v>
      </c>
      <c r="AI324" s="35"/>
      <c r="AJ324" s="38"/>
      <c r="AK324" s="38"/>
      <c r="AL324" s="23"/>
      <c r="AM324" s="35">
        <f>VLOOKUP(Tabla4[[#This Row],[SERVICIO 2025]],$J$2:$V$14,5,0)*Tabla4[[#This Row],[TOTAL COBERTURA]]</f>
        <v>444384</v>
      </c>
      <c r="AN324" s="35">
        <f>VLOOKUP(Tabla4[[#This Row],[SERVICIO 2025]],$J$2:$V$14,6,0)*Tabla4[[#This Row],[TOTAL COBERTURA]]</f>
        <v>369261</v>
      </c>
      <c r="AO324" s="35">
        <f>VLOOKUP(Tabla4[[#This Row],[SERVICIO 2025]],$J$2:$V$14,8,0)*Tabla4[[#This Row],[TOTAL COBERTURA]]</f>
        <v>261900</v>
      </c>
      <c r="AP324" s="35">
        <f>VLOOKUP(Tabla4[[#This Row],[SERVICIO 2025]],$J$2:$V$14,3,0)*Tabla4[[#This Row],[TOTAL COBERTURA]]*8</f>
        <v>18546192</v>
      </c>
      <c r="AQ324" s="35"/>
      <c r="AR324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324" s="35" t="str">
        <f>+IF(Tabla4[[#This Row],[AGRUPACIONES]]=1,SUMIFS(Tabla4[VALOR TOTAL],Tabla4[ZONA DEFINITIVO],Tabla4[[#This Row],[ZONA DEFINITIVO]])," ")</f>
        <v xml:space="preserve"> </v>
      </c>
      <c r="AT324" s="27">
        <f>(VLOOKUP(Tabla4[[#This Row],[SERVICIO 2025]],$J$2:$V$14,3,0)*Tabla4[[#This Row],[TOTAL COBERTURA]])+Tabla4[[#This Row],[VALOR FASE PREPARATORIA DE ALISTAMIENTO]]+Tabla4[[#This Row],[DOTACIÓN ÚNICA]]</f>
        <v>3024558</v>
      </c>
      <c r="AU324" s="35">
        <f>(VLOOKUP(Tabla4[[#This Row],[SERVICIO 2025]],$J$2:$V$14,3,0)*Tabla4[[#This Row],[TOTAL COBERTURA]])</f>
        <v>2318274</v>
      </c>
      <c r="AV324" s="35">
        <f>(VLOOKUP(Tabla4[[#This Row],[SERVICIO 2025]],$J$2:$V$14,3,0)*Tabla4[[#This Row],[TOTAL COBERTURA]])</f>
        <v>2318274</v>
      </c>
      <c r="AW324" s="35">
        <f>(VLOOKUP(Tabla4[[#This Row],[SERVICIO 2025]],$J$2:$V$14,3,0)*Tabla4[[#This Row],[TOTAL COBERTURA]])</f>
        <v>2318274</v>
      </c>
      <c r="AX324" s="35">
        <f>(VLOOKUP(Tabla4[[#This Row],[SERVICIO 2025]],$J$2:$V$14,3,0)*Tabla4[[#This Row],[TOTAL COBERTURA]])</f>
        <v>2318274</v>
      </c>
      <c r="AY324" s="35">
        <f>(VLOOKUP(Tabla4[[#This Row],[SERVICIO 2025]],$J$2:$V$14,3,0)*Tabla4[[#This Row],[TOTAL COBERTURA]])</f>
        <v>2318274</v>
      </c>
      <c r="AZ324" s="35">
        <f>(VLOOKUP(Tabla4[[#This Row],[SERVICIO 2025]],$J$2:$V$14,3,0)*Tabla4[[#This Row],[TOTAL COBERTURA]])</f>
        <v>2318274</v>
      </c>
      <c r="BA324" s="35">
        <f>(VLOOKUP(Tabla4[[#This Row],[SERVICIO 2025]],$J$2:$V$14,3,0)*Tabla4[[#This Row],[TOTAL COBERTURA]])+Tabla4[[#This Row],[VALOR FASE PREPARATORIA DE CIERRE]]</f>
        <v>2687535</v>
      </c>
      <c r="BB324" s="35">
        <f>SUM(Tabla4[[#This Row],[DESEMBOLSO 1]:[DESEMBOLSO 8]])</f>
        <v>19621737</v>
      </c>
      <c r="BC324" s="35">
        <f>VLOOKUP(Tabla4[[#This Row],[SERVICIO 2025]],$J$2:$V$14,10,0)*Tabla4[[#This Row],[TOTAL COBERTURA]]*$W$3</f>
        <v>12987576</v>
      </c>
      <c r="BD324" s="47" t="s">
        <v>211</v>
      </c>
      <c r="BE324" s="12" t="b">
        <f>EXACT(Tabla4[[#This Row],[VALOR ATENCIÓN (8 MESES)]],Tabla4[[#This Row],[VALOR TOTAL]])</f>
        <v>1</v>
      </c>
      <c r="BF324" s="23">
        <f>Tabla4[[#This Row],[VALOR ATENCIÓN (8 MESES)]]-Tabla4[[#This Row],[VALOR TOTAL]]</f>
        <v>0</v>
      </c>
      <c r="BG324" s="12" t="b">
        <f>EXACT(Tabla4[[#This Row],[TOTAL DESEMBOLSOS]],Tabla4[[#This Row],[VALOR ATENCIÓN (8 MESES)]])</f>
        <v>1</v>
      </c>
      <c r="BH324" s="29">
        <f>Tabla4[[#This Row],[TOTAL DESEMBOLSOS]]-Tabla4[[#This Row],[VALOR ATENCIÓN (8 MESES)]]</f>
        <v>0</v>
      </c>
      <c r="BI324" t="s">
        <v>98</v>
      </c>
      <c r="BJ324">
        <v>1913</v>
      </c>
    </row>
    <row r="325" spans="1:62">
      <c r="A325" s="13">
        <v>1913</v>
      </c>
      <c r="B325" s="13" t="s">
        <v>758</v>
      </c>
      <c r="C325" s="12" t="s">
        <v>87</v>
      </c>
      <c r="D325" s="12" t="s">
        <v>673</v>
      </c>
      <c r="E325" s="12" t="s">
        <v>759</v>
      </c>
      <c r="F325" s="12" t="s">
        <v>18</v>
      </c>
      <c r="G325" s="12" t="s">
        <v>90</v>
      </c>
      <c r="H325" s="12" t="s">
        <v>787</v>
      </c>
      <c r="I325" s="12">
        <v>50401152445</v>
      </c>
      <c r="J325" s="12" t="s">
        <v>788</v>
      </c>
      <c r="K325" s="12">
        <v>1</v>
      </c>
      <c r="L325" s="12">
        <v>11</v>
      </c>
      <c r="M325" s="12"/>
      <c r="N325" s="13">
        <v>1913</v>
      </c>
      <c r="O325" s="12" t="s">
        <v>93</v>
      </c>
      <c r="P325" s="12"/>
      <c r="Q325" s="12"/>
      <c r="R325" s="12" t="s">
        <v>94</v>
      </c>
      <c r="S325" s="12">
        <v>10</v>
      </c>
      <c r="T325" s="12" t="s">
        <v>762</v>
      </c>
      <c r="U325" s="12" t="s">
        <v>763</v>
      </c>
      <c r="V325" s="12">
        <f>VLOOKUP(Tabla4[[#This Row],[ZONA DEFINITIVO]],Hoja1!$A$1:$D$121,3,0)</f>
        <v>229093</v>
      </c>
      <c r="W325" s="12">
        <f>VLOOKUP(Tabla4[[#This Row],[ZONA DEFINITIVO]],Hoja1!$A$1:$D$121,2,0)</f>
        <v>15187</v>
      </c>
      <c r="X325" s="12">
        <f>VLOOKUP(Tabla4[[#This Row],[ZONA DEFINITIVO]],Hoja1!$A$1:$D$121,4,0)</f>
        <v>87425</v>
      </c>
      <c r="Y325" s="12" t="str">
        <f>+IF(Tabla4[[#This Row],[AGRUPACIONES]]=1,SUMIFS(Tabla4[UDS],Tabla4[ZONA DEFINITIVO],Tabla4[[#This Row],[ZONA DEFINITIVO]])," ")</f>
        <v xml:space="preserve"> </v>
      </c>
      <c r="Z325" s="12" t="str">
        <f>+IF(Tabla4[[#This Row],[AGRUPACIONES]]=1,SUMIFS(Tabla4[TOTAL COBERTURA],Tabla4[ZONA DEFINITIVO],Tabla4[[#This Row],[ZONA DEFINITIVO]])," ")</f>
        <v xml:space="preserve"> </v>
      </c>
      <c r="AA325" s="12"/>
      <c r="AB325" s="38">
        <v>23982123</v>
      </c>
      <c r="AC325" s="37">
        <v>0.02</v>
      </c>
      <c r="AD325" s="38">
        <f t="shared" si="5"/>
        <v>479642.46</v>
      </c>
      <c r="AE325" s="12"/>
      <c r="AF325" s="12">
        <f>COUNTIF($A$20:A325,A325)</f>
        <v>15</v>
      </c>
      <c r="AG325" s="38">
        <v>23982123</v>
      </c>
      <c r="AH325" s="38">
        <f>Tabla4[[#This Row],[VALOR CONTRAPARTIDA]]+Tabla4[[#This Row],[TOTAL APORTES ICBF]]</f>
        <v>24461765.460000001</v>
      </c>
      <c r="AI325" s="35"/>
      <c r="AJ325" s="38"/>
      <c r="AK325" s="38"/>
      <c r="AL325" s="23"/>
      <c r="AM325" s="35">
        <f>VLOOKUP(Tabla4[[#This Row],[SERVICIO 2025]],$J$2:$V$14,5,0)*Tabla4[[#This Row],[TOTAL COBERTURA]]</f>
        <v>543136</v>
      </c>
      <c r="AN325" s="35">
        <f>VLOOKUP(Tabla4[[#This Row],[SERVICIO 2025]],$J$2:$V$14,6,0)*Tabla4[[#This Row],[TOTAL COBERTURA]]</f>
        <v>451319</v>
      </c>
      <c r="AO325" s="35">
        <f>VLOOKUP(Tabla4[[#This Row],[SERVICIO 2025]],$J$2:$V$14,8,0)*Tabla4[[#This Row],[TOTAL COBERTURA]]</f>
        <v>320100</v>
      </c>
      <c r="AP325" s="35">
        <f>VLOOKUP(Tabla4[[#This Row],[SERVICIO 2025]],$J$2:$V$14,3,0)*Tabla4[[#This Row],[TOTAL COBERTURA]]*8</f>
        <v>22667568</v>
      </c>
      <c r="AQ325" s="35"/>
      <c r="AR325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325" s="35" t="str">
        <f>+IF(Tabla4[[#This Row],[AGRUPACIONES]]=1,SUMIFS(Tabla4[VALOR TOTAL],Tabla4[ZONA DEFINITIVO],Tabla4[[#This Row],[ZONA DEFINITIVO]])," ")</f>
        <v xml:space="preserve"> </v>
      </c>
      <c r="AT325" s="27">
        <f>(VLOOKUP(Tabla4[[#This Row],[SERVICIO 2025]],$J$2:$V$14,3,0)*Tabla4[[#This Row],[TOTAL COBERTURA]])+Tabla4[[#This Row],[VALOR FASE PREPARATORIA DE ALISTAMIENTO]]+Tabla4[[#This Row],[DOTACIÓN ÚNICA]]</f>
        <v>3696682</v>
      </c>
      <c r="AU325" s="35">
        <f>(VLOOKUP(Tabla4[[#This Row],[SERVICIO 2025]],$J$2:$V$14,3,0)*Tabla4[[#This Row],[TOTAL COBERTURA]])</f>
        <v>2833446</v>
      </c>
      <c r="AV325" s="35">
        <f>(VLOOKUP(Tabla4[[#This Row],[SERVICIO 2025]],$J$2:$V$14,3,0)*Tabla4[[#This Row],[TOTAL COBERTURA]])</f>
        <v>2833446</v>
      </c>
      <c r="AW325" s="35">
        <f>(VLOOKUP(Tabla4[[#This Row],[SERVICIO 2025]],$J$2:$V$14,3,0)*Tabla4[[#This Row],[TOTAL COBERTURA]])</f>
        <v>2833446</v>
      </c>
      <c r="AX325" s="35">
        <f>(VLOOKUP(Tabla4[[#This Row],[SERVICIO 2025]],$J$2:$V$14,3,0)*Tabla4[[#This Row],[TOTAL COBERTURA]])</f>
        <v>2833446</v>
      </c>
      <c r="AY325" s="35">
        <f>(VLOOKUP(Tabla4[[#This Row],[SERVICIO 2025]],$J$2:$V$14,3,0)*Tabla4[[#This Row],[TOTAL COBERTURA]])</f>
        <v>2833446</v>
      </c>
      <c r="AZ325" s="35">
        <f>(VLOOKUP(Tabla4[[#This Row],[SERVICIO 2025]],$J$2:$V$14,3,0)*Tabla4[[#This Row],[TOTAL COBERTURA]])</f>
        <v>2833446</v>
      </c>
      <c r="BA325" s="35">
        <f>(VLOOKUP(Tabla4[[#This Row],[SERVICIO 2025]],$J$2:$V$14,3,0)*Tabla4[[#This Row],[TOTAL COBERTURA]])+Tabla4[[#This Row],[VALOR FASE PREPARATORIA DE CIERRE]]</f>
        <v>3284765</v>
      </c>
      <c r="BB325" s="35">
        <f>SUM(Tabla4[[#This Row],[DESEMBOLSO 1]:[DESEMBOLSO 8]])</f>
        <v>23982123</v>
      </c>
      <c r="BC325" s="35">
        <f>VLOOKUP(Tabla4[[#This Row],[SERVICIO 2025]],$J$2:$V$14,10,0)*Tabla4[[#This Row],[TOTAL COBERTURA]]*$W$3</f>
        <v>15873704</v>
      </c>
      <c r="BD325" s="47" t="s">
        <v>211</v>
      </c>
      <c r="BE325" s="12" t="b">
        <f>EXACT(Tabla4[[#This Row],[VALOR ATENCIÓN (8 MESES)]],Tabla4[[#This Row],[VALOR TOTAL]])</f>
        <v>1</v>
      </c>
      <c r="BF325" s="23">
        <f>Tabla4[[#This Row],[VALOR ATENCIÓN (8 MESES)]]-Tabla4[[#This Row],[VALOR TOTAL]]</f>
        <v>0</v>
      </c>
      <c r="BG325" s="12" t="b">
        <f>EXACT(Tabla4[[#This Row],[TOTAL DESEMBOLSOS]],Tabla4[[#This Row],[VALOR ATENCIÓN (8 MESES)]])</f>
        <v>1</v>
      </c>
      <c r="BH325" s="29">
        <f>Tabla4[[#This Row],[TOTAL DESEMBOLSOS]]-Tabla4[[#This Row],[VALOR ATENCIÓN (8 MESES)]]</f>
        <v>0</v>
      </c>
      <c r="BI325" t="s">
        <v>98</v>
      </c>
      <c r="BJ325">
        <v>1913</v>
      </c>
    </row>
    <row r="326" spans="1:62">
      <c r="A326" s="13">
        <v>1913</v>
      </c>
      <c r="B326" s="13" t="s">
        <v>758</v>
      </c>
      <c r="C326" s="12" t="s">
        <v>87</v>
      </c>
      <c r="D326" s="12" t="s">
        <v>673</v>
      </c>
      <c r="E326" s="12" t="s">
        <v>759</v>
      </c>
      <c r="F326" s="12" t="s">
        <v>18</v>
      </c>
      <c r="G326" s="12" t="s">
        <v>90</v>
      </c>
      <c r="H326" s="12" t="s">
        <v>789</v>
      </c>
      <c r="I326" s="12">
        <v>50401153124</v>
      </c>
      <c r="J326" s="12" t="s">
        <v>790</v>
      </c>
      <c r="K326" s="12">
        <v>1</v>
      </c>
      <c r="L326" s="12">
        <v>8</v>
      </c>
      <c r="M326" s="12"/>
      <c r="N326" s="13">
        <v>1913</v>
      </c>
      <c r="O326" s="12" t="s">
        <v>93</v>
      </c>
      <c r="P326" s="12"/>
      <c r="Q326" s="12"/>
      <c r="R326" s="12" t="s">
        <v>94</v>
      </c>
      <c r="S326" s="12">
        <v>10</v>
      </c>
      <c r="T326" s="12" t="s">
        <v>762</v>
      </c>
      <c r="U326" s="12" t="s">
        <v>763</v>
      </c>
      <c r="V326" s="12">
        <f>VLOOKUP(Tabla4[[#This Row],[ZONA DEFINITIVO]],Hoja1!$A$1:$D$121,3,0)</f>
        <v>229093</v>
      </c>
      <c r="W326" s="12">
        <f>VLOOKUP(Tabla4[[#This Row],[ZONA DEFINITIVO]],Hoja1!$A$1:$D$121,2,0)</f>
        <v>15187</v>
      </c>
      <c r="X326" s="12">
        <f>VLOOKUP(Tabla4[[#This Row],[ZONA DEFINITIVO]],Hoja1!$A$1:$D$121,4,0)</f>
        <v>87425</v>
      </c>
      <c r="Y326" s="12" t="str">
        <f>+IF(Tabla4[[#This Row],[AGRUPACIONES]]=1,SUMIFS(Tabla4[UDS],Tabla4[ZONA DEFINITIVO],Tabla4[[#This Row],[ZONA DEFINITIVO]])," ")</f>
        <v xml:space="preserve"> </v>
      </c>
      <c r="Z326" s="12" t="str">
        <f>+IF(Tabla4[[#This Row],[AGRUPACIONES]]=1,SUMIFS(Tabla4[TOTAL COBERTURA],Tabla4[ZONA DEFINITIVO],Tabla4[[#This Row],[ZONA DEFINITIVO]])," ")</f>
        <v xml:space="preserve"> </v>
      </c>
      <c r="AA326" s="12"/>
      <c r="AB326" s="38">
        <v>17441544</v>
      </c>
      <c r="AC326" s="37">
        <v>0.02</v>
      </c>
      <c r="AD326" s="38">
        <f t="shared" si="5"/>
        <v>348830.88</v>
      </c>
      <c r="AE326" s="12"/>
      <c r="AF326" s="12">
        <f>COUNTIF($A$20:A326,A326)</f>
        <v>16</v>
      </c>
      <c r="AG326" s="38">
        <v>17441544</v>
      </c>
      <c r="AH326" s="38">
        <f>Tabla4[[#This Row],[VALOR CONTRAPARTIDA]]+Tabla4[[#This Row],[TOTAL APORTES ICBF]]</f>
        <v>17790374.879999999</v>
      </c>
      <c r="AI326" s="35"/>
      <c r="AJ326" s="38"/>
      <c r="AK326" s="38"/>
      <c r="AL326" s="23"/>
      <c r="AM326" s="35">
        <f>VLOOKUP(Tabla4[[#This Row],[SERVICIO 2025]],$J$2:$V$14,5,0)*Tabla4[[#This Row],[TOTAL COBERTURA]]</f>
        <v>395008</v>
      </c>
      <c r="AN326" s="35">
        <f>VLOOKUP(Tabla4[[#This Row],[SERVICIO 2025]],$J$2:$V$14,6,0)*Tabla4[[#This Row],[TOTAL COBERTURA]]</f>
        <v>328232</v>
      </c>
      <c r="AO326" s="35">
        <f>VLOOKUP(Tabla4[[#This Row],[SERVICIO 2025]],$J$2:$V$14,8,0)*Tabla4[[#This Row],[TOTAL COBERTURA]]</f>
        <v>232800</v>
      </c>
      <c r="AP326" s="35">
        <f>VLOOKUP(Tabla4[[#This Row],[SERVICIO 2025]],$J$2:$V$14,3,0)*Tabla4[[#This Row],[TOTAL COBERTURA]]*8</f>
        <v>16485504</v>
      </c>
      <c r="AQ326" s="35"/>
      <c r="AR326" s="35">
        <f>Tabla4[[#This Row],[VALOR FASE PREPARATORIA DE ALISTAMIENTO]]+Tabla4[[#This Row],[VALOR FASE PREPARATORIA DE CIERRE]]+Tabla4[[#This Row],[DOTACIÓN ÚNICA]]+Tabla4[[#This Row],[VALOR ATENCIÓN]]+Tabla4[[#This Row],[VALOR RACION PREPARADA]]</f>
        <v>17441544</v>
      </c>
      <c r="AS326" s="35" t="str">
        <f>+IF(Tabla4[[#This Row],[AGRUPACIONES]]=1,SUMIFS(Tabla4[VALOR TOTAL],Tabla4[ZONA DEFINITIVO],Tabla4[[#This Row],[ZONA DEFINITIVO]])," ")</f>
        <v xml:space="preserve"> </v>
      </c>
      <c r="AT326" s="27">
        <f>(VLOOKUP(Tabla4[[#This Row],[SERVICIO 2025]],$J$2:$V$14,3,0)*Tabla4[[#This Row],[TOTAL COBERTURA]])+Tabla4[[#This Row],[VALOR FASE PREPARATORIA DE ALISTAMIENTO]]+Tabla4[[#This Row],[DOTACIÓN ÚNICA]]</f>
        <v>2688496</v>
      </c>
      <c r="AU326" s="35">
        <f>(VLOOKUP(Tabla4[[#This Row],[SERVICIO 2025]],$J$2:$V$14,3,0)*Tabla4[[#This Row],[TOTAL COBERTURA]])</f>
        <v>2060688</v>
      </c>
      <c r="AV326" s="35">
        <f>(VLOOKUP(Tabla4[[#This Row],[SERVICIO 2025]],$J$2:$V$14,3,0)*Tabla4[[#This Row],[TOTAL COBERTURA]])</f>
        <v>2060688</v>
      </c>
      <c r="AW326" s="35">
        <f>(VLOOKUP(Tabla4[[#This Row],[SERVICIO 2025]],$J$2:$V$14,3,0)*Tabla4[[#This Row],[TOTAL COBERTURA]])</f>
        <v>2060688</v>
      </c>
      <c r="AX326" s="35">
        <f>(VLOOKUP(Tabla4[[#This Row],[SERVICIO 2025]],$J$2:$V$14,3,0)*Tabla4[[#This Row],[TOTAL COBERTURA]])</f>
        <v>2060688</v>
      </c>
      <c r="AY326" s="35">
        <f>(VLOOKUP(Tabla4[[#This Row],[SERVICIO 2025]],$J$2:$V$14,3,0)*Tabla4[[#This Row],[TOTAL COBERTURA]])</f>
        <v>2060688</v>
      </c>
      <c r="AZ326" s="35">
        <f>(VLOOKUP(Tabla4[[#This Row],[SERVICIO 2025]],$J$2:$V$14,3,0)*Tabla4[[#This Row],[TOTAL COBERTURA]])</f>
        <v>2060688</v>
      </c>
      <c r="BA326" s="35">
        <f>(VLOOKUP(Tabla4[[#This Row],[SERVICIO 2025]],$J$2:$V$14,3,0)*Tabla4[[#This Row],[TOTAL COBERTURA]])+Tabla4[[#This Row],[VALOR FASE PREPARATORIA DE CIERRE]]</f>
        <v>2388920</v>
      </c>
      <c r="BB326" s="35">
        <f>SUM(Tabla4[[#This Row],[DESEMBOLSO 1]:[DESEMBOLSO 8]])</f>
        <v>17441544</v>
      </c>
      <c r="BC326" s="35">
        <f>VLOOKUP(Tabla4[[#This Row],[SERVICIO 2025]],$J$2:$V$14,10,0)*Tabla4[[#This Row],[TOTAL COBERTURA]]*$W$3</f>
        <v>11544512</v>
      </c>
      <c r="BD326" s="47" t="s">
        <v>211</v>
      </c>
      <c r="BE326" s="12" t="b">
        <f>EXACT(Tabla4[[#This Row],[VALOR ATENCIÓN (8 MESES)]],Tabla4[[#This Row],[VALOR TOTAL]])</f>
        <v>1</v>
      </c>
      <c r="BF326" s="23">
        <f>Tabla4[[#This Row],[VALOR ATENCIÓN (8 MESES)]]-Tabla4[[#This Row],[VALOR TOTAL]]</f>
        <v>0</v>
      </c>
      <c r="BG326" s="12" t="b">
        <f>EXACT(Tabla4[[#This Row],[TOTAL DESEMBOLSOS]],Tabla4[[#This Row],[VALOR ATENCIÓN (8 MESES)]])</f>
        <v>1</v>
      </c>
      <c r="BH326" s="29">
        <f>Tabla4[[#This Row],[TOTAL DESEMBOLSOS]]-Tabla4[[#This Row],[VALOR ATENCIÓN (8 MESES)]]</f>
        <v>0</v>
      </c>
      <c r="BI326" t="s">
        <v>98</v>
      </c>
      <c r="BJ326">
        <v>1913</v>
      </c>
    </row>
    <row r="327" spans="1:62">
      <c r="A327" s="13">
        <v>1913</v>
      </c>
      <c r="B327" s="13" t="s">
        <v>758</v>
      </c>
      <c r="C327" s="12" t="s">
        <v>87</v>
      </c>
      <c r="D327" s="12" t="s">
        <v>673</v>
      </c>
      <c r="E327" s="12" t="s">
        <v>759</v>
      </c>
      <c r="F327" s="12" t="s">
        <v>18</v>
      </c>
      <c r="G327" s="12" t="s">
        <v>90</v>
      </c>
      <c r="H327" s="12" t="s">
        <v>791</v>
      </c>
      <c r="I327" s="12">
        <v>50401153125</v>
      </c>
      <c r="J327" s="12" t="s">
        <v>792</v>
      </c>
      <c r="K327" s="12">
        <v>1</v>
      </c>
      <c r="L327" s="12">
        <v>15</v>
      </c>
      <c r="M327" s="12"/>
      <c r="N327" s="13">
        <v>1913</v>
      </c>
      <c r="O327" s="12" t="s">
        <v>93</v>
      </c>
      <c r="P327" s="12"/>
      <c r="Q327" s="12"/>
      <c r="R327" s="12" t="s">
        <v>94</v>
      </c>
      <c r="S327" s="12">
        <v>10</v>
      </c>
      <c r="T327" s="12" t="s">
        <v>762</v>
      </c>
      <c r="U327" s="12" t="s">
        <v>763</v>
      </c>
      <c r="V327" s="12">
        <f>VLOOKUP(Tabla4[[#This Row],[ZONA DEFINITIVO]],Hoja1!$A$1:$D$121,3,0)</f>
        <v>229093</v>
      </c>
      <c r="W327" s="12">
        <f>VLOOKUP(Tabla4[[#This Row],[ZONA DEFINITIVO]],Hoja1!$A$1:$D$121,2,0)</f>
        <v>15187</v>
      </c>
      <c r="X327" s="12">
        <f>VLOOKUP(Tabla4[[#This Row],[ZONA DEFINITIVO]],Hoja1!$A$1:$D$121,4,0)</f>
        <v>87425</v>
      </c>
      <c r="Y327" s="12" t="str">
        <f>+IF(Tabla4[[#This Row],[AGRUPACIONES]]=1,SUMIFS(Tabla4[UDS],Tabla4[ZONA DEFINITIVO],Tabla4[[#This Row],[ZONA DEFINITIVO]])," ")</f>
        <v xml:space="preserve"> </v>
      </c>
      <c r="Z327" s="12" t="str">
        <f>+IF(Tabla4[[#This Row],[AGRUPACIONES]]=1,SUMIFS(Tabla4[TOTAL COBERTURA],Tabla4[ZONA DEFINITIVO],Tabla4[[#This Row],[ZONA DEFINITIVO]])," ")</f>
        <v xml:space="preserve"> </v>
      </c>
      <c r="AA327" s="12"/>
      <c r="AB327" s="38">
        <v>32702895</v>
      </c>
      <c r="AC327" s="37">
        <v>0.02</v>
      </c>
      <c r="AD327" s="38">
        <f t="shared" si="5"/>
        <v>654057.9</v>
      </c>
      <c r="AE327" s="12"/>
      <c r="AF327" s="12">
        <f>COUNTIF($A$20:A327,A327)</f>
        <v>17</v>
      </c>
      <c r="AG327" s="38">
        <v>32702895</v>
      </c>
      <c r="AH327" s="38">
        <f>Tabla4[[#This Row],[VALOR CONTRAPARTIDA]]+Tabla4[[#This Row],[TOTAL APORTES ICBF]]</f>
        <v>33356952.899999999</v>
      </c>
      <c r="AI327" s="35"/>
      <c r="AJ327" s="38"/>
      <c r="AK327" s="38"/>
      <c r="AL327" s="23"/>
      <c r="AM327" s="35">
        <f>VLOOKUP(Tabla4[[#This Row],[SERVICIO 2025]],$J$2:$V$14,5,0)*Tabla4[[#This Row],[TOTAL COBERTURA]]</f>
        <v>740640</v>
      </c>
      <c r="AN327" s="35">
        <f>VLOOKUP(Tabla4[[#This Row],[SERVICIO 2025]],$J$2:$V$14,6,0)*Tabla4[[#This Row],[TOTAL COBERTURA]]</f>
        <v>615435</v>
      </c>
      <c r="AO327" s="35">
        <f>VLOOKUP(Tabla4[[#This Row],[SERVICIO 2025]],$J$2:$V$14,8,0)*Tabla4[[#This Row],[TOTAL COBERTURA]]</f>
        <v>436500</v>
      </c>
      <c r="AP327" s="35">
        <f>VLOOKUP(Tabla4[[#This Row],[SERVICIO 2025]],$J$2:$V$14,3,0)*Tabla4[[#This Row],[TOTAL COBERTURA]]*8</f>
        <v>30910320</v>
      </c>
      <c r="AQ327" s="35"/>
      <c r="AR327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327" s="35" t="str">
        <f>+IF(Tabla4[[#This Row],[AGRUPACIONES]]=1,SUMIFS(Tabla4[VALOR TOTAL],Tabla4[ZONA DEFINITIVO],Tabla4[[#This Row],[ZONA DEFINITIVO]])," ")</f>
        <v xml:space="preserve"> </v>
      </c>
      <c r="AT327" s="27">
        <f>(VLOOKUP(Tabla4[[#This Row],[SERVICIO 2025]],$J$2:$V$14,3,0)*Tabla4[[#This Row],[TOTAL COBERTURA]])+Tabla4[[#This Row],[VALOR FASE PREPARATORIA DE ALISTAMIENTO]]+Tabla4[[#This Row],[DOTACIÓN ÚNICA]]</f>
        <v>5040930</v>
      </c>
      <c r="AU327" s="35">
        <f>(VLOOKUP(Tabla4[[#This Row],[SERVICIO 2025]],$J$2:$V$14,3,0)*Tabla4[[#This Row],[TOTAL COBERTURA]])</f>
        <v>3863790</v>
      </c>
      <c r="AV327" s="35">
        <f>(VLOOKUP(Tabla4[[#This Row],[SERVICIO 2025]],$J$2:$V$14,3,0)*Tabla4[[#This Row],[TOTAL COBERTURA]])</f>
        <v>3863790</v>
      </c>
      <c r="AW327" s="35">
        <f>(VLOOKUP(Tabla4[[#This Row],[SERVICIO 2025]],$J$2:$V$14,3,0)*Tabla4[[#This Row],[TOTAL COBERTURA]])</f>
        <v>3863790</v>
      </c>
      <c r="AX327" s="35">
        <f>(VLOOKUP(Tabla4[[#This Row],[SERVICIO 2025]],$J$2:$V$14,3,0)*Tabla4[[#This Row],[TOTAL COBERTURA]])</f>
        <v>3863790</v>
      </c>
      <c r="AY327" s="35">
        <f>(VLOOKUP(Tabla4[[#This Row],[SERVICIO 2025]],$J$2:$V$14,3,0)*Tabla4[[#This Row],[TOTAL COBERTURA]])</f>
        <v>3863790</v>
      </c>
      <c r="AZ327" s="35">
        <f>(VLOOKUP(Tabla4[[#This Row],[SERVICIO 2025]],$J$2:$V$14,3,0)*Tabla4[[#This Row],[TOTAL COBERTURA]])</f>
        <v>3863790</v>
      </c>
      <c r="BA327" s="35">
        <f>(VLOOKUP(Tabla4[[#This Row],[SERVICIO 2025]],$J$2:$V$14,3,0)*Tabla4[[#This Row],[TOTAL COBERTURA]])+Tabla4[[#This Row],[VALOR FASE PREPARATORIA DE CIERRE]]</f>
        <v>4479225</v>
      </c>
      <c r="BB327" s="35">
        <f>SUM(Tabla4[[#This Row],[DESEMBOLSO 1]:[DESEMBOLSO 8]])</f>
        <v>32702895</v>
      </c>
      <c r="BC327" s="35">
        <f>VLOOKUP(Tabla4[[#This Row],[SERVICIO 2025]],$J$2:$V$14,10,0)*Tabla4[[#This Row],[TOTAL COBERTURA]]*$W$3</f>
        <v>21645960</v>
      </c>
      <c r="BD327" s="47" t="s">
        <v>211</v>
      </c>
      <c r="BE327" s="12" t="b">
        <f>EXACT(Tabla4[[#This Row],[VALOR ATENCIÓN (8 MESES)]],Tabla4[[#This Row],[VALOR TOTAL]])</f>
        <v>1</v>
      </c>
      <c r="BF327" s="23">
        <f>Tabla4[[#This Row],[VALOR ATENCIÓN (8 MESES)]]-Tabla4[[#This Row],[VALOR TOTAL]]</f>
        <v>0</v>
      </c>
      <c r="BG327" s="12" t="b">
        <f>EXACT(Tabla4[[#This Row],[TOTAL DESEMBOLSOS]],Tabla4[[#This Row],[VALOR ATENCIÓN (8 MESES)]])</f>
        <v>1</v>
      </c>
      <c r="BH327" s="29">
        <f>Tabla4[[#This Row],[TOTAL DESEMBOLSOS]]-Tabla4[[#This Row],[VALOR ATENCIÓN (8 MESES)]]</f>
        <v>0</v>
      </c>
      <c r="BI327" t="s">
        <v>98</v>
      </c>
      <c r="BJ327">
        <v>1913</v>
      </c>
    </row>
    <row r="328" spans="1:62">
      <c r="A328" s="13">
        <v>1913</v>
      </c>
      <c r="B328" s="13" t="s">
        <v>758</v>
      </c>
      <c r="C328" s="12" t="s">
        <v>87</v>
      </c>
      <c r="D328" s="12" t="s">
        <v>673</v>
      </c>
      <c r="E328" s="12" t="s">
        <v>759</v>
      </c>
      <c r="F328" s="12" t="s">
        <v>18</v>
      </c>
      <c r="G328" s="12" t="s">
        <v>90</v>
      </c>
      <c r="H328" s="12" t="s">
        <v>793</v>
      </c>
      <c r="I328" s="12">
        <v>50401153126</v>
      </c>
      <c r="J328" s="12" t="s">
        <v>794</v>
      </c>
      <c r="K328" s="12">
        <v>1</v>
      </c>
      <c r="L328" s="12">
        <v>8</v>
      </c>
      <c r="M328" s="12"/>
      <c r="N328" s="13">
        <v>1913</v>
      </c>
      <c r="O328" s="12" t="s">
        <v>93</v>
      </c>
      <c r="P328" s="12"/>
      <c r="Q328" s="12"/>
      <c r="R328" s="12" t="s">
        <v>94</v>
      </c>
      <c r="S328" s="12">
        <v>10</v>
      </c>
      <c r="T328" s="12" t="s">
        <v>762</v>
      </c>
      <c r="U328" s="12" t="s">
        <v>763</v>
      </c>
      <c r="V328" s="12">
        <f>VLOOKUP(Tabla4[[#This Row],[ZONA DEFINITIVO]],Hoja1!$A$1:$D$121,3,0)</f>
        <v>229093</v>
      </c>
      <c r="W328" s="12">
        <f>VLOOKUP(Tabla4[[#This Row],[ZONA DEFINITIVO]],Hoja1!$A$1:$D$121,2,0)</f>
        <v>15187</v>
      </c>
      <c r="X328" s="12">
        <f>VLOOKUP(Tabla4[[#This Row],[ZONA DEFINITIVO]],Hoja1!$A$1:$D$121,4,0)</f>
        <v>87425</v>
      </c>
      <c r="Y328" s="12" t="str">
        <f>+IF(Tabla4[[#This Row],[AGRUPACIONES]]=1,SUMIFS(Tabla4[UDS],Tabla4[ZONA DEFINITIVO],Tabla4[[#This Row],[ZONA DEFINITIVO]])," ")</f>
        <v xml:space="preserve"> </v>
      </c>
      <c r="Z328" s="12" t="str">
        <f>+IF(Tabla4[[#This Row],[AGRUPACIONES]]=1,SUMIFS(Tabla4[TOTAL COBERTURA],Tabla4[ZONA DEFINITIVO],Tabla4[[#This Row],[ZONA DEFINITIVO]])," ")</f>
        <v xml:space="preserve"> </v>
      </c>
      <c r="AA328" s="12"/>
      <c r="AB328" s="38">
        <v>17441544</v>
      </c>
      <c r="AC328" s="37">
        <v>0.02</v>
      </c>
      <c r="AD328" s="38">
        <f t="shared" si="5"/>
        <v>348830.88</v>
      </c>
      <c r="AE328" s="12"/>
      <c r="AF328" s="12">
        <f>COUNTIF($A$20:A328,A328)</f>
        <v>18</v>
      </c>
      <c r="AG328" s="38">
        <v>17441544</v>
      </c>
      <c r="AH328" s="38">
        <f>Tabla4[[#This Row],[VALOR CONTRAPARTIDA]]+Tabla4[[#This Row],[TOTAL APORTES ICBF]]</f>
        <v>17790374.879999999</v>
      </c>
      <c r="AI328" s="35"/>
      <c r="AJ328" s="38"/>
      <c r="AK328" s="38"/>
      <c r="AL328" s="23"/>
      <c r="AM328" s="35">
        <f>VLOOKUP(Tabla4[[#This Row],[SERVICIO 2025]],$J$2:$V$14,5,0)*Tabla4[[#This Row],[TOTAL COBERTURA]]</f>
        <v>395008</v>
      </c>
      <c r="AN328" s="35">
        <f>VLOOKUP(Tabla4[[#This Row],[SERVICIO 2025]],$J$2:$V$14,6,0)*Tabla4[[#This Row],[TOTAL COBERTURA]]</f>
        <v>328232</v>
      </c>
      <c r="AO328" s="35">
        <f>VLOOKUP(Tabla4[[#This Row],[SERVICIO 2025]],$J$2:$V$14,8,0)*Tabla4[[#This Row],[TOTAL COBERTURA]]</f>
        <v>232800</v>
      </c>
      <c r="AP328" s="35">
        <f>VLOOKUP(Tabla4[[#This Row],[SERVICIO 2025]],$J$2:$V$14,3,0)*Tabla4[[#This Row],[TOTAL COBERTURA]]*8</f>
        <v>16485504</v>
      </c>
      <c r="AQ328" s="35"/>
      <c r="AR328" s="35">
        <f>Tabla4[[#This Row],[VALOR FASE PREPARATORIA DE ALISTAMIENTO]]+Tabla4[[#This Row],[VALOR FASE PREPARATORIA DE CIERRE]]+Tabla4[[#This Row],[DOTACIÓN ÚNICA]]+Tabla4[[#This Row],[VALOR ATENCIÓN]]+Tabla4[[#This Row],[VALOR RACION PREPARADA]]</f>
        <v>17441544</v>
      </c>
      <c r="AS328" s="35" t="str">
        <f>+IF(Tabla4[[#This Row],[AGRUPACIONES]]=1,SUMIFS(Tabla4[VALOR TOTAL],Tabla4[ZONA DEFINITIVO],Tabla4[[#This Row],[ZONA DEFINITIVO]])," ")</f>
        <v xml:space="preserve"> </v>
      </c>
      <c r="AT328" s="27">
        <f>(VLOOKUP(Tabla4[[#This Row],[SERVICIO 2025]],$J$2:$V$14,3,0)*Tabla4[[#This Row],[TOTAL COBERTURA]])+Tabla4[[#This Row],[VALOR FASE PREPARATORIA DE ALISTAMIENTO]]+Tabla4[[#This Row],[DOTACIÓN ÚNICA]]</f>
        <v>2688496</v>
      </c>
      <c r="AU328" s="35">
        <f>(VLOOKUP(Tabla4[[#This Row],[SERVICIO 2025]],$J$2:$V$14,3,0)*Tabla4[[#This Row],[TOTAL COBERTURA]])</f>
        <v>2060688</v>
      </c>
      <c r="AV328" s="35">
        <f>(VLOOKUP(Tabla4[[#This Row],[SERVICIO 2025]],$J$2:$V$14,3,0)*Tabla4[[#This Row],[TOTAL COBERTURA]])</f>
        <v>2060688</v>
      </c>
      <c r="AW328" s="35">
        <f>(VLOOKUP(Tabla4[[#This Row],[SERVICIO 2025]],$J$2:$V$14,3,0)*Tabla4[[#This Row],[TOTAL COBERTURA]])</f>
        <v>2060688</v>
      </c>
      <c r="AX328" s="35">
        <f>(VLOOKUP(Tabla4[[#This Row],[SERVICIO 2025]],$J$2:$V$14,3,0)*Tabla4[[#This Row],[TOTAL COBERTURA]])</f>
        <v>2060688</v>
      </c>
      <c r="AY328" s="35">
        <f>(VLOOKUP(Tabla4[[#This Row],[SERVICIO 2025]],$J$2:$V$14,3,0)*Tabla4[[#This Row],[TOTAL COBERTURA]])</f>
        <v>2060688</v>
      </c>
      <c r="AZ328" s="35">
        <f>(VLOOKUP(Tabla4[[#This Row],[SERVICIO 2025]],$J$2:$V$14,3,0)*Tabla4[[#This Row],[TOTAL COBERTURA]])</f>
        <v>2060688</v>
      </c>
      <c r="BA328" s="35">
        <f>(VLOOKUP(Tabla4[[#This Row],[SERVICIO 2025]],$J$2:$V$14,3,0)*Tabla4[[#This Row],[TOTAL COBERTURA]])+Tabla4[[#This Row],[VALOR FASE PREPARATORIA DE CIERRE]]</f>
        <v>2388920</v>
      </c>
      <c r="BB328" s="35">
        <f>SUM(Tabla4[[#This Row],[DESEMBOLSO 1]:[DESEMBOLSO 8]])</f>
        <v>17441544</v>
      </c>
      <c r="BC328" s="35">
        <f>VLOOKUP(Tabla4[[#This Row],[SERVICIO 2025]],$J$2:$V$14,10,0)*Tabla4[[#This Row],[TOTAL COBERTURA]]*$W$3</f>
        <v>11544512</v>
      </c>
      <c r="BD328" s="47" t="s">
        <v>211</v>
      </c>
      <c r="BE328" s="12" t="b">
        <f>EXACT(Tabla4[[#This Row],[VALOR ATENCIÓN (8 MESES)]],Tabla4[[#This Row],[VALOR TOTAL]])</f>
        <v>1</v>
      </c>
      <c r="BF328" s="23">
        <f>Tabla4[[#This Row],[VALOR ATENCIÓN (8 MESES)]]-Tabla4[[#This Row],[VALOR TOTAL]]</f>
        <v>0</v>
      </c>
      <c r="BG328" s="12" t="b">
        <f>EXACT(Tabla4[[#This Row],[TOTAL DESEMBOLSOS]],Tabla4[[#This Row],[VALOR ATENCIÓN (8 MESES)]])</f>
        <v>1</v>
      </c>
      <c r="BH328" s="29">
        <f>Tabla4[[#This Row],[TOTAL DESEMBOLSOS]]-Tabla4[[#This Row],[VALOR ATENCIÓN (8 MESES)]]</f>
        <v>0</v>
      </c>
      <c r="BI328" t="s">
        <v>98</v>
      </c>
      <c r="BJ328">
        <v>1913</v>
      </c>
    </row>
    <row r="329" spans="1:62">
      <c r="A329" s="13">
        <v>1913</v>
      </c>
      <c r="B329" s="13" t="s">
        <v>758</v>
      </c>
      <c r="C329" s="12" t="s">
        <v>87</v>
      </c>
      <c r="D329" s="12" t="s">
        <v>673</v>
      </c>
      <c r="E329" s="12" t="s">
        <v>759</v>
      </c>
      <c r="F329" s="12" t="s">
        <v>18</v>
      </c>
      <c r="G329" s="12" t="s">
        <v>90</v>
      </c>
      <c r="H329" s="12" t="s">
        <v>795</v>
      </c>
      <c r="I329" s="12">
        <v>50401153146</v>
      </c>
      <c r="J329" s="12" t="s">
        <v>796</v>
      </c>
      <c r="K329" s="12">
        <v>1</v>
      </c>
      <c r="L329" s="12">
        <v>13</v>
      </c>
      <c r="M329" s="12"/>
      <c r="N329" s="13">
        <v>1913</v>
      </c>
      <c r="O329" s="12" t="s">
        <v>93</v>
      </c>
      <c r="P329" s="12"/>
      <c r="Q329" s="12"/>
      <c r="R329" s="12" t="s">
        <v>94</v>
      </c>
      <c r="S329" s="12">
        <v>10</v>
      </c>
      <c r="T329" s="12" t="s">
        <v>762</v>
      </c>
      <c r="U329" s="12" t="s">
        <v>763</v>
      </c>
      <c r="V329" s="12">
        <f>VLOOKUP(Tabla4[[#This Row],[ZONA DEFINITIVO]],Hoja1!$A$1:$D$121,3,0)</f>
        <v>229093</v>
      </c>
      <c r="W329" s="12">
        <f>VLOOKUP(Tabla4[[#This Row],[ZONA DEFINITIVO]],Hoja1!$A$1:$D$121,2,0)</f>
        <v>15187</v>
      </c>
      <c r="X329" s="12">
        <f>VLOOKUP(Tabla4[[#This Row],[ZONA DEFINITIVO]],Hoja1!$A$1:$D$121,4,0)</f>
        <v>87425</v>
      </c>
      <c r="Y329" s="12" t="str">
        <f>+IF(Tabla4[[#This Row],[AGRUPACIONES]]=1,SUMIFS(Tabla4[UDS],Tabla4[ZONA DEFINITIVO],Tabla4[[#This Row],[ZONA DEFINITIVO]])," ")</f>
        <v xml:space="preserve"> </v>
      </c>
      <c r="Z329" s="12" t="str">
        <f>+IF(Tabla4[[#This Row],[AGRUPACIONES]]=1,SUMIFS(Tabla4[TOTAL COBERTURA],Tabla4[ZONA DEFINITIVO],Tabla4[[#This Row],[ZONA DEFINITIVO]])," ")</f>
        <v xml:space="preserve"> </v>
      </c>
      <c r="AA329" s="12"/>
      <c r="AB329" s="38">
        <v>28342509</v>
      </c>
      <c r="AC329" s="37">
        <v>0.02</v>
      </c>
      <c r="AD329" s="38">
        <f t="shared" si="5"/>
        <v>566850.18000000005</v>
      </c>
      <c r="AE329" s="12"/>
      <c r="AF329" s="12">
        <f>COUNTIF($A$20:A329,A329)</f>
        <v>19</v>
      </c>
      <c r="AG329" s="38">
        <v>28342509</v>
      </c>
      <c r="AH329" s="38">
        <f>Tabla4[[#This Row],[VALOR CONTRAPARTIDA]]+Tabla4[[#This Row],[TOTAL APORTES ICBF]]</f>
        <v>28909359.18</v>
      </c>
      <c r="AI329" s="35"/>
      <c r="AJ329" s="38"/>
      <c r="AK329" s="38"/>
      <c r="AL329" s="23"/>
      <c r="AM329" s="35">
        <f>VLOOKUP(Tabla4[[#This Row],[SERVICIO 2025]],$J$2:$V$14,5,0)*Tabla4[[#This Row],[TOTAL COBERTURA]]</f>
        <v>641888</v>
      </c>
      <c r="AN329" s="35">
        <f>VLOOKUP(Tabla4[[#This Row],[SERVICIO 2025]],$J$2:$V$14,6,0)*Tabla4[[#This Row],[TOTAL COBERTURA]]</f>
        <v>533377</v>
      </c>
      <c r="AO329" s="35">
        <f>VLOOKUP(Tabla4[[#This Row],[SERVICIO 2025]],$J$2:$V$14,8,0)*Tabla4[[#This Row],[TOTAL COBERTURA]]</f>
        <v>378300</v>
      </c>
      <c r="AP329" s="35">
        <f>VLOOKUP(Tabla4[[#This Row],[SERVICIO 2025]],$J$2:$V$14,3,0)*Tabla4[[#This Row],[TOTAL COBERTURA]]*8</f>
        <v>26788944</v>
      </c>
      <c r="AQ329" s="35"/>
      <c r="AR329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329" s="35" t="str">
        <f>+IF(Tabla4[[#This Row],[AGRUPACIONES]]=1,SUMIFS(Tabla4[VALOR TOTAL],Tabla4[ZONA DEFINITIVO],Tabla4[[#This Row],[ZONA DEFINITIVO]])," ")</f>
        <v xml:space="preserve"> </v>
      </c>
      <c r="AT329" s="27">
        <f>(VLOOKUP(Tabla4[[#This Row],[SERVICIO 2025]],$J$2:$V$14,3,0)*Tabla4[[#This Row],[TOTAL COBERTURA]])+Tabla4[[#This Row],[VALOR FASE PREPARATORIA DE ALISTAMIENTO]]+Tabla4[[#This Row],[DOTACIÓN ÚNICA]]</f>
        <v>4368806</v>
      </c>
      <c r="AU329" s="35">
        <f>(VLOOKUP(Tabla4[[#This Row],[SERVICIO 2025]],$J$2:$V$14,3,0)*Tabla4[[#This Row],[TOTAL COBERTURA]])</f>
        <v>3348618</v>
      </c>
      <c r="AV329" s="35">
        <f>(VLOOKUP(Tabla4[[#This Row],[SERVICIO 2025]],$J$2:$V$14,3,0)*Tabla4[[#This Row],[TOTAL COBERTURA]])</f>
        <v>3348618</v>
      </c>
      <c r="AW329" s="35">
        <f>(VLOOKUP(Tabla4[[#This Row],[SERVICIO 2025]],$J$2:$V$14,3,0)*Tabla4[[#This Row],[TOTAL COBERTURA]])</f>
        <v>3348618</v>
      </c>
      <c r="AX329" s="35">
        <f>(VLOOKUP(Tabla4[[#This Row],[SERVICIO 2025]],$J$2:$V$14,3,0)*Tabla4[[#This Row],[TOTAL COBERTURA]])</f>
        <v>3348618</v>
      </c>
      <c r="AY329" s="35">
        <f>(VLOOKUP(Tabla4[[#This Row],[SERVICIO 2025]],$J$2:$V$14,3,0)*Tabla4[[#This Row],[TOTAL COBERTURA]])</f>
        <v>3348618</v>
      </c>
      <c r="AZ329" s="35">
        <f>(VLOOKUP(Tabla4[[#This Row],[SERVICIO 2025]],$J$2:$V$14,3,0)*Tabla4[[#This Row],[TOTAL COBERTURA]])</f>
        <v>3348618</v>
      </c>
      <c r="BA329" s="35">
        <f>(VLOOKUP(Tabla4[[#This Row],[SERVICIO 2025]],$J$2:$V$14,3,0)*Tabla4[[#This Row],[TOTAL COBERTURA]])+Tabla4[[#This Row],[VALOR FASE PREPARATORIA DE CIERRE]]</f>
        <v>3881995</v>
      </c>
      <c r="BB329" s="35">
        <f>SUM(Tabla4[[#This Row],[DESEMBOLSO 1]:[DESEMBOLSO 8]])</f>
        <v>28342509</v>
      </c>
      <c r="BC329" s="35">
        <f>VLOOKUP(Tabla4[[#This Row],[SERVICIO 2025]],$J$2:$V$14,10,0)*Tabla4[[#This Row],[TOTAL COBERTURA]]*$W$3</f>
        <v>18759832</v>
      </c>
      <c r="BD329" s="47" t="s">
        <v>211</v>
      </c>
      <c r="BE329" s="12" t="b">
        <f>EXACT(Tabla4[[#This Row],[VALOR ATENCIÓN (8 MESES)]],Tabla4[[#This Row],[VALOR TOTAL]])</f>
        <v>1</v>
      </c>
      <c r="BF329" s="23">
        <f>Tabla4[[#This Row],[VALOR ATENCIÓN (8 MESES)]]-Tabla4[[#This Row],[VALOR TOTAL]]</f>
        <v>0</v>
      </c>
      <c r="BG329" s="12" t="b">
        <f>EXACT(Tabla4[[#This Row],[TOTAL DESEMBOLSOS]],Tabla4[[#This Row],[VALOR ATENCIÓN (8 MESES)]])</f>
        <v>1</v>
      </c>
      <c r="BH329" s="29">
        <f>Tabla4[[#This Row],[TOTAL DESEMBOLSOS]]-Tabla4[[#This Row],[VALOR ATENCIÓN (8 MESES)]]</f>
        <v>0</v>
      </c>
      <c r="BI329" t="s">
        <v>98</v>
      </c>
      <c r="BJ329">
        <v>1913</v>
      </c>
    </row>
    <row r="330" spans="1:62">
      <c r="A330" s="13">
        <v>1913</v>
      </c>
      <c r="B330" s="13" t="s">
        <v>758</v>
      </c>
      <c r="C330" s="12" t="s">
        <v>87</v>
      </c>
      <c r="D330" s="12" t="s">
        <v>673</v>
      </c>
      <c r="E330" s="12" t="s">
        <v>759</v>
      </c>
      <c r="F330" s="12" t="s">
        <v>19</v>
      </c>
      <c r="G330" s="12" t="s">
        <v>90</v>
      </c>
      <c r="H330" s="12" t="s">
        <v>797</v>
      </c>
      <c r="I330" s="12">
        <v>50401153147</v>
      </c>
      <c r="J330" s="12" t="s">
        <v>798</v>
      </c>
      <c r="K330" s="12">
        <v>1</v>
      </c>
      <c r="L330" s="12">
        <v>262</v>
      </c>
      <c r="M330" s="12"/>
      <c r="N330" s="13">
        <v>1913</v>
      </c>
      <c r="O330" s="12" t="s">
        <v>93</v>
      </c>
      <c r="P330" s="12"/>
      <c r="Q330" s="12"/>
      <c r="R330" s="12" t="s">
        <v>94</v>
      </c>
      <c r="S330" s="12">
        <v>10</v>
      </c>
      <c r="T330" s="12" t="s">
        <v>762</v>
      </c>
      <c r="U330" s="12" t="s">
        <v>763</v>
      </c>
      <c r="V330" s="12">
        <f>VLOOKUP(Tabla4[[#This Row],[ZONA DEFINITIVO]],Hoja1!$A$1:$D$121,3,0)</f>
        <v>229093</v>
      </c>
      <c r="W330" s="12">
        <f>VLOOKUP(Tabla4[[#This Row],[ZONA DEFINITIVO]],Hoja1!$A$1:$D$121,2,0)</f>
        <v>15187</v>
      </c>
      <c r="X330" s="12">
        <f>VLOOKUP(Tabla4[[#This Row],[ZONA DEFINITIVO]],Hoja1!$A$1:$D$121,4,0)</f>
        <v>87425</v>
      </c>
      <c r="Y330" s="12" t="str">
        <f>+IF(Tabla4[[#This Row],[AGRUPACIONES]]=1,SUMIFS(Tabla4[UDS],Tabla4[ZONA DEFINITIVO],Tabla4[[#This Row],[ZONA DEFINITIVO]])," ")</f>
        <v xml:space="preserve"> </v>
      </c>
      <c r="Z330" s="12" t="str">
        <f>+IF(Tabla4[[#This Row],[AGRUPACIONES]]=1,SUMIFS(Tabla4[TOTAL COBERTURA],Tabla4[ZONA DEFINITIVO],Tabla4[[#This Row],[ZONA DEFINITIVO]])," ")</f>
        <v xml:space="preserve"> </v>
      </c>
      <c r="AA330" s="12"/>
      <c r="AB330" s="38">
        <v>589801562</v>
      </c>
      <c r="AC330" s="37">
        <v>0.02</v>
      </c>
      <c r="AD330" s="38">
        <f t="shared" si="5"/>
        <v>11796031.24</v>
      </c>
      <c r="AE330" s="12"/>
      <c r="AF330" s="12">
        <f>COUNTIF($A$20:A330,A330)</f>
        <v>20</v>
      </c>
      <c r="AG330" s="38">
        <v>589801562</v>
      </c>
      <c r="AH330" s="38">
        <f>Tabla4[[#This Row],[VALOR CONTRAPARTIDA]]+Tabla4[[#This Row],[TOTAL APORTES ICBF]]</f>
        <v>601597593.24000001</v>
      </c>
      <c r="AI330" s="35"/>
      <c r="AJ330" s="38"/>
      <c r="AK330" s="38"/>
      <c r="AL330" s="23"/>
      <c r="AM330" s="35">
        <f>VLOOKUP(Tabla4[[#This Row],[SERVICIO 2025]],$J$2:$V$14,5,0)*Tabla4[[#This Row],[TOTAL COBERTURA]]</f>
        <v>13483306</v>
      </c>
      <c r="AN330" s="35">
        <f>VLOOKUP(Tabla4[[#This Row],[SERVICIO 2025]],$J$2:$V$14,6,0)*Tabla4[[#This Row],[TOTAL COBERTURA]]</f>
        <v>11296392</v>
      </c>
      <c r="AO330" s="35">
        <f>VLOOKUP(Tabla4[[#This Row],[SERVICIO 2025]],$J$2:$V$14,8,0)*Tabla4[[#This Row],[TOTAL COBERTURA]]</f>
        <v>7624200</v>
      </c>
      <c r="AP330" s="35">
        <f>VLOOKUP(Tabla4[[#This Row],[SERVICIO 2025]],$J$2:$V$14,3,0)*Tabla4[[#This Row],[TOTAL COBERTURA]]*8</f>
        <v>557397664</v>
      </c>
      <c r="AQ330" s="35"/>
      <c r="AR330" s="35">
        <f>Tabla4[[#This Row],[VALOR FASE PREPARATORIA DE ALISTAMIENTO]]+Tabla4[[#This Row],[VALOR FASE PREPARATORIA DE CIERRE]]+Tabla4[[#This Row],[DOTACIÓN ÚNICA]]+Tabla4[[#This Row],[VALOR ATENCIÓN]]+Tabla4[[#This Row],[VALOR RACION PREPARADA]]</f>
        <v>589801562</v>
      </c>
      <c r="AS330" s="35" t="str">
        <f>+IF(Tabla4[[#This Row],[AGRUPACIONES]]=1,SUMIFS(Tabla4[VALOR TOTAL],Tabla4[ZONA DEFINITIVO],Tabla4[[#This Row],[ZONA DEFINITIVO]])," ")</f>
        <v xml:space="preserve"> </v>
      </c>
      <c r="AT330" s="27">
        <f>(VLOOKUP(Tabla4[[#This Row],[SERVICIO 2025]],$J$2:$V$14,3,0)*Tabla4[[#This Row],[TOTAL COBERTURA]])+Tabla4[[#This Row],[VALOR FASE PREPARATORIA DE ALISTAMIENTO]]+Tabla4[[#This Row],[DOTACIÓN ÚNICA]]</f>
        <v>90782214</v>
      </c>
      <c r="AU330" s="35">
        <f>(VLOOKUP(Tabla4[[#This Row],[SERVICIO 2025]],$J$2:$V$14,3,0)*Tabla4[[#This Row],[TOTAL COBERTURA]])</f>
        <v>69674708</v>
      </c>
      <c r="AV330" s="35">
        <f>(VLOOKUP(Tabla4[[#This Row],[SERVICIO 2025]],$J$2:$V$14,3,0)*Tabla4[[#This Row],[TOTAL COBERTURA]])</f>
        <v>69674708</v>
      </c>
      <c r="AW330" s="35">
        <f>(VLOOKUP(Tabla4[[#This Row],[SERVICIO 2025]],$J$2:$V$14,3,0)*Tabla4[[#This Row],[TOTAL COBERTURA]])</f>
        <v>69674708</v>
      </c>
      <c r="AX330" s="35">
        <f>(VLOOKUP(Tabla4[[#This Row],[SERVICIO 2025]],$J$2:$V$14,3,0)*Tabla4[[#This Row],[TOTAL COBERTURA]])</f>
        <v>69674708</v>
      </c>
      <c r="AY330" s="35">
        <f>(VLOOKUP(Tabla4[[#This Row],[SERVICIO 2025]],$J$2:$V$14,3,0)*Tabla4[[#This Row],[TOTAL COBERTURA]])</f>
        <v>69674708</v>
      </c>
      <c r="AZ330" s="35">
        <f>(VLOOKUP(Tabla4[[#This Row],[SERVICIO 2025]],$J$2:$V$14,3,0)*Tabla4[[#This Row],[TOTAL COBERTURA]])</f>
        <v>69674708</v>
      </c>
      <c r="BA330" s="35">
        <f>(VLOOKUP(Tabla4[[#This Row],[SERVICIO 2025]],$J$2:$V$14,3,0)*Tabla4[[#This Row],[TOTAL COBERTURA]])+Tabla4[[#This Row],[VALOR FASE PREPARATORIA DE CIERRE]]</f>
        <v>80971100</v>
      </c>
      <c r="BB330" s="35">
        <f>SUM(Tabla4[[#This Row],[DESEMBOLSO 1]:[DESEMBOLSO 8]])</f>
        <v>589801562</v>
      </c>
      <c r="BC330" s="35">
        <f>VLOOKUP(Tabla4[[#This Row],[SERVICIO 2025]],$J$2:$V$14,10,0)*Tabla4[[#This Row],[TOTAL COBERTURA]]*$W$3</f>
        <v>378082768</v>
      </c>
      <c r="BD330" s="47" t="s">
        <v>211</v>
      </c>
      <c r="BE330" s="12" t="b">
        <f>EXACT(Tabla4[[#This Row],[VALOR ATENCIÓN (8 MESES)]],Tabla4[[#This Row],[VALOR TOTAL]])</f>
        <v>1</v>
      </c>
      <c r="BF330" s="23">
        <f>Tabla4[[#This Row],[VALOR ATENCIÓN (8 MESES)]]-Tabla4[[#This Row],[VALOR TOTAL]]</f>
        <v>0</v>
      </c>
      <c r="BG330" s="12" t="b">
        <f>EXACT(Tabla4[[#This Row],[TOTAL DESEMBOLSOS]],Tabla4[[#This Row],[VALOR ATENCIÓN (8 MESES)]])</f>
        <v>1</v>
      </c>
      <c r="BH330" s="29">
        <f>Tabla4[[#This Row],[TOTAL DESEMBOLSOS]]-Tabla4[[#This Row],[VALOR ATENCIÓN (8 MESES)]]</f>
        <v>0</v>
      </c>
      <c r="BI330" t="s">
        <v>98</v>
      </c>
      <c r="BJ330">
        <v>1913</v>
      </c>
    </row>
    <row r="331" spans="1:62">
      <c r="A331" s="13">
        <v>1913</v>
      </c>
      <c r="B331" s="13" t="s">
        <v>758</v>
      </c>
      <c r="C331" s="12" t="s">
        <v>87</v>
      </c>
      <c r="D331" s="12" t="s">
        <v>673</v>
      </c>
      <c r="E331" s="12" t="s">
        <v>759</v>
      </c>
      <c r="F331" s="12" t="s">
        <v>13</v>
      </c>
      <c r="G331" s="12" t="s">
        <v>90</v>
      </c>
      <c r="H331" s="12" t="s">
        <v>799</v>
      </c>
      <c r="I331" s="12">
        <v>504000054605</v>
      </c>
      <c r="J331" s="12" t="s">
        <v>800</v>
      </c>
      <c r="K331" s="12">
        <v>1</v>
      </c>
      <c r="L331" s="12">
        <v>69</v>
      </c>
      <c r="M331" s="12"/>
      <c r="N331" s="13">
        <v>1913</v>
      </c>
      <c r="O331" s="12" t="s">
        <v>93</v>
      </c>
      <c r="P331" s="12"/>
      <c r="Q331" s="12"/>
      <c r="R331" s="12" t="s">
        <v>94</v>
      </c>
      <c r="S331" s="12">
        <v>10</v>
      </c>
      <c r="T331" s="12" t="s">
        <v>762</v>
      </c>
      <c r="U331" s="12" t="s">
        <v>763</v>
      </c>
      <c r="V331" s="12">
        <f>VLOOKUP(Tabla4[[#This Row],[ZONA DEFINITIVO]],Hoja1!$A$1:$D$121,3,0)</f>
        <v>229093</v>
      </c>
      <c r="W331" s="12">
        <f>VLOOKUP(Tabla4[[#This Row],[ZONA DEFINITIVO]],Hoja1!$A$1:$D$121,2,0)</f>
        <v>15187</v>
      </c>
      <c r="X331" s="12">
        <f>VLOOKUP(Tabla4[[#This Row],[ZONA DEFINITIVO]],Hoja1!$A$1:$D$121,4,0)</f>
        <v>87425</v>
      </c>
      <c r="Y331" s="12" t="str">
        <f>+IF(Tabla4[[#This Row],[AGRUPACIONES]]=1,SUMIFS(Tabla4[UDS],Tabla4[ZONA DEFINITIVO],Tabla4[[#This Row],[ZONA DEFINITIVO]])," ")</f>
        <v xml:space="preserve"> </v>
      </c>
      <c r="Z331" s="12" t="str">
        <f>+IF(Tabla4[[#This Row],[AGRUPACIONES]]=1,SUMIFS(Tabla4[TOTAL COBERTURA],Tabla4[ZONA DEFINITIVO],Tabla4[[#This Row],[ZONA DEFINITIVO]])," ")</f>
        <v xml:space="preserve"> </v>
      </c>
      <c r="AA331" s="12"/>
      <c r="AB331" s="38">
        <v>204012714</v>
      </c>
      <c r="AC331" s="37">
        <v>0.02</v>
      </c>
      <c r="AD331" s="38">
        <f t="shared" si="5"/>
        <v>4080254.2800000003</v>
      </c>
      <c r="AE331" s="12"/>
      <c r="AF331" s="12">
        <f>COUNTIF($A$20:A331,A331)</f>
        <v>21</v>
      </c>
      <c r="AG331" s="38">
        <v>204012714</v>
      </c>
      <c r="AH331" s="38">
        <f>Tabla4[[#This Row],[VALOR CONTRAPARTIDA]]+Tabla4[[#This Row],[TOTAL APORTES ICBF]]</f>
        <v>208092968.28</v>
      </c>
      <c r="AI331" s="35"/>
      <c r="AJ331" s="38"/>
      <c r="AK331" s="38"/>
      <c r="AL331" s="23"/>
      <c r="AM331" s="35">
        <f>VLOOKUP(Tabla4[[#This Row],[SERVICIO 2025]],$J$2:$V$14,5,0)*Tabla4[[#This Row],[TOTAL COBERTURA]]</f>
        <v>6081867</v>
      </c>
      <c r="AN331" s="35">
        <f>VLOOKUP(Tabla4[[#This Row],[SERVICIO 2025]],$J$2:$V$14,6,0)*Tabla4[[#This Row],[TOTAL COBERTURA]]</f>
        <v>5177967</v>
      </c>
      <c r="AO331" s="35">
        <f>VLOOKUP(Tabla4[[#This Row],[SERVICIO 2025]],$J$2:$V$14,8,0)*Tabla4[[#This Row],[TOTAL COBERTURA]]</f>
        <v>0</v>
      </c>
      <c r="AP331" s="35">
        <f>VLOOKUP(Tabla4[[#This Row],[SERVICIO 2025]],$J$2:$V$14,3,0)*Tabla4[[#This Row],[TOTAL COBERTURA]]*8</f>
        <v>192752880</v>
      </c>
      <c r="AQ331" s="35"/>
      <c r="AR331" s="35">
        <f>Tabla4[[#This Row],[VALOR FASE PREPARATORIA DE ALISTAMIENTO]]+Tabla4[[#This Row],[VALOR FASE PREPARATORIA DE CIERRE]]+Tabla4[[#This Row],[DOTACIÓN ÚNICA]]+Tabla4[[#This Row],[VALOR ATENCIÓN]]+Tabla4[[#This Row],[VALOR RACION PREPARADA]]</f>
        <v>204012714</v>
      </c>
      <c r="AS331" s="35" t="str">
        <f>+IF(Tabla4[[#This Row],[AGRUPACIONES]]=1,SUMIFS(Tabla4[VALOR TOTAL],Tabla4[ZONA DEFINITIVO],Tabla4[[#This Row],[ZONA DEFINITIVO]])," ")</f>
        <v xml:space="preserve"> </v>
      </c>
      <c r="AT331" s="27">
        <f>(VLOOKUP(Tabla4[[#This Row],[SERVICIO 2025]],$J$2:$V$14,3,0)*Tabla4[[#This Row],[TOTAL COBERTURA]])+Tabla4[[#This Row],[VALOR FASE PREPARATORIA DE ALISTAMIENTO]]+Tabla4[[#This Row],[DOTACIÓN ÚNICA]]</f>
        <v>30175977</v>
      </c>
      <c r="AU331" s="35">
        <f>(VLOOKUP(Tabla4[[#This Row],[SERVICIO 2025]],$J$2:$V$14,3,0)*Tabla4[[#This Row],[TOTAL COBERTURA]])</f>
        <v>24094110</v>
      </c>
      <c r="AV331" s="35">
        <f>(VLOOKUP(Tabla4[[#This Row],[SERVICIO 2025]],$J$2:$V$14,3,0)*Tabla4[[#This Row],[TOTAL COBERTURA]])</f>
        <v>24094110</v>
      </c>
      <c r="AW331" s="35">
        <f>(VLOOKUP(Tabla4[[#This Row],[SERVICIO 2025]],$J$2:$V$14,3,0)*Tabla4[[#This Row],[TOTAL COBERTURA]])</f>
        <v>24094110</v>
      </c>
      <c r="AX331" s="35">
        <f>(VLOOKUP(Tabla4[[#This Row],[SERVICIO 2025]],$J$2:$V$14,3,0)*Tabla4[[#This Row],[TOTAL COBERTURA]])</f>
        <v>24094110</v>
      </c>
      <c r="AY331" s="35">
        <f>(VLOOKUP(Tabla4[[#This Row],[SERVICIO 2025]],$J$2:$V$14,3,0)*Tabla4[[#This Row],[TOTAL COBERTURA]])</f>
        <v>24094110</v>
      </c>
      <c r="AZ331" s="35">
        <f>(VLOOKUP(Tabla4[[#This Row],[SERVICIO 2025]],$J$2:$V$14,3,0)*Tabla4[[#This Row],[TOTAL COBERTURA]])</f>
        <v>24094110</v>
      </c>
      <c r="BA331" s="35">
        <f>(VLOOKUP(Tabla4[[#This Row],[SERVICIO 2025]],$J$2:$V$14,3,0)*Tabla4[[#This Row],[TOTAL COBERTURA]])+Tabla4[[#This Row],[VALOR FASE PREPARATORIA DE CIERRE]]</f>
        <v>29272077</v>
      </c>
      <c r="BB331" s="35">
        <f>SUM(Tabla4[[#This Row],[DESEMBOLSO 1]:[DESEMBOLSO 8]])</f>
        <v>204012714</v>
      </c>
      <c r="BC331" s="35">
        <f>VLOOKUP(Tabla4[[#This Row],[SERVICIO 2025]],$J$2:$V$14,10,0)*Tabla4[[#This Row],[TOTAL COBERTURA]]*$W$3</f>
        <v>85017936</v>
      </c>
      <c r="BD331" s="47" t="s">
        <v>211</v>
      </c>
      <c r="BE331" s="12" t="b">
        <f>EXACT(Tabla4[[#This Row],[VALOR ATENCIÓN (8 MESES)]],Tabla4[[#This Row],[VALOR TOTAL]])</f>
        <v>1</v>
      </c>
      <c r="BF331" s="23">
        <f>Tabla4[[#This Row],[VALOR ATENCIÓN (8 MESES)]]-Tabla4[[#This Row],[VALOR TOTAL]]</f>
        <v>0</v>
      </c>
      <c r="BG331" s="12" t="b">
        <f>EXACT(Tabla4[[#This Row],[TOTAL DESEMBOLSOS]],Tabla4[[#This Row],[VALOR ATENCIÓN (8 MESES)]])</f>
        <v>1</v>
      </c>
      <c r="BH331" s="29">
        <f>Tabla4[[#This Row],[TOTAL DESEMBOLSOS]]-Tabla4[[#This Row],[VALOR ATENCIÓN (8 MESES)]]</f>
        <v>0</v>
      </c>
      <c r="BI331" t="s">
        <v>98</v>
      </c>
      <c r="BJ331">
        <v>1913</v>
      </c>
    </row>
    <row r="332" spans="1:62">
      <c r="A332" s="13">
        <v>1913</v>
      </c>
      <c r="B332" s="13" t="s">
        <v>758</v>
      </c>
      <c r="C332" s="12" t="s">
        <v>87</v>
      </c>
      <c r="D332" s="12" t="s">
        <v>673</v>
      </c>
      <c r="E332" s="12" t="s">
        <v>759</v>
      </c>
      <c r="F332" s="12" t="s">
        <v>18</v>
      </c>
      <c r="G332" s="12" t="s">
        <v>90</v>
      </c>
      <c r="H332" s="12" t="s">
        <v>801</v>
      </c>
      <c r="I332" s="12">
        <v>504000070664</v>
      </c>
      <c r="J332" s="12" t="s">
        <v>802</v>
      </c>
      <c r="K332" s="12">
        <v>1</v>
      </c>
      <c r="L332" s="12">
        <v>22</v>
      </c>
      <c r="M332" s="12"/>
      <c r="N332" s="13">
        <v>1913</v>
      </c>
      <c r="O332" s="12" t="s">
        <v>93</v>
      </c>
      <c r="P332" s="12"/>
      <c r="Q332" s="12"/>
      <c r="R332" s="12" t="s">
        <v>94</v>
      </c>
      <c r="S332" s="12">
        <v>10</v>
      </c>
      <c r="T332" s="12" t="s">
        <v>762</v>
      </c>
      <c r="U332" s="12" t="s">
        <v>763</v>
      </c>
      <c r="V332" s="12">
        <f>VLOOKUP(Tabla4[[#This Row],[ZONA DEFINITIVO]],Hoja1!$A$1:$D$121,3,0)</f>
        <v>229093</v>
      </c>
      <c r="W332" s="12">
        <f>VLOOKUP(Tabla4[[#This Row],[ZONA DEFINITIVO]],Hoja1!$A$1:$D$121,2,0)</f>
        <v>15187</v>
      </c>
      <c r="X332" s="12">
        <f>VLOOKUP(Tabla4[[#This Row],[ZONA DEFINITIVO]],Hoja1!$A$1:$D$121,4,0)</f>
        <v>87425</v>
      </c>
      <c r="Y332" s="12" t="str">
        <f>+IF(Tabla4[[#This Row],[AGRUPACIONES]]=1,SUMIFS(Tabla4[UDS],Tabla4[ZONA DEFINITIVO],Tabla4[[#This Row],[ZONA DEFINITIVO]])," ")</f>
        <v xml:space="preserve"> </v>
      </c>
      <c r="Z332" s="12" t="str">
        <f>+IF(Tabla4[[#This Row],[AGRUPACIONES]]=1,SUMIFS(Tabla4[TOTAL COBERTURA],Tabla4[ZONA DEFINITIVO],Tabla4[[#This Row],[ZONA DEFINITIVO]])," ")</f>
        <v xml:space="preserve"> </v>
      </c>
      <c r="AA332" s="12"/>
      <c r="AB332" s="38">
        <v>47964246</v>
      </c>
      <c r="AC332" s="37">
        <v>0.02</v>
      </c>
      <c r="AD332" s="38">
        <f t="shared" si="5"/>
        <v>959284.92</v>
      </c>
      <c r="AE332" s="12"/>
      <c r="AF332" s="12">
        <f>COUNTIF($A$20:A332,A332)</f>
        <v>22</v>
      </c>
      <c r="AG332" s="38">
        <v>47964246</v>
      </c>
      <c r="AH332" s="38">
        <f>Tabla4[[#This Row],[VALOR CONTRAPARTIDA]]+Tabla4[[#This Row],[TOTAL APORTES ICBF]]</f>
        <v>48923530.920000002</v>
      </c>
      <c r="AI332" s="35"/>
      <c r="AJ332" s="38"/>
      <c r="AK332" s="38"/>
      <c r="AL332" s="23"/>
      <c r="AM332" s="35">
        <f>VLOOKUP(Tabla4[[#This Row],[SERVICIO 2025]],$J$2:$V$14,5,0)*Tabla4[[#This Row],[TOTAL COBERTURA]]</f>
        <v>1086272</v>
      </c>
      <c r="AN332" s="35">
        <f>VLOOKUP(Tabla4[[#This Row],[SERVICIO 2025]],$J$2:$V$14,6,0)*Tabla4[[#This Row],[TOTAL COBERTURA]]</f>
        <v>902638</v>
      </c>
      <c r="AO332" s="35">
        <f>VLOOKUP(Tabla4[[#This Row],[SERVICIO 2025]],$J$2:$V$14,8,0)*Tabla4[[#This Row],[TOTAL COBERTURA]]</f>
        <v>640200</v>
      </c>
      <c r="AP332" s="35">
        <f>VLOOKUP(Tabla4[[#This Row],[SERVICIO 2025]],$J$2:$V$14,3,0)*Tabla4[[#This Row],[TOTAL COBERTURA]]*8</f>
        <v>45335136</v>
      </c>
      <c r="AQ332" s="35"/>
      <c r="AR332" s="35">
        <f>Tabla4[[#This Row],[VALOR FASE PREPARATORIA DE ALISTAMIENTO]]+Tabla4[[#This Row],[VALOR FASE PREPARATORIA DE CIERRE]]+Tabla4[[#This Row],[DOTACIÓN ÚNICA]]+Tabla4[[#This Row],[VALOR ATENCIÓN]]+Tabla4[[#This Row],[VALOR RACION PREPARADA]]</f>
        <v>47964246</v>
      </c>
      <c r="AS332" s="35" t="str">
        <f>+IF(Tabla4[[#This Row],[AGRUPACIONES]]=1,SUMIFS(Tabla4[VALOR TOTAL],Tabla4[ZONA DEFINITIVO],Tabla4[[#This Row],[ZONA DEFINITIVO]])," ")</f>
        <v xml:space="preserve"> </v>
      </c>
      <c r="AT332" s="27">
        <f>(VLOOKUP(Tabla4[[#This Row],[SERVICIO 2025]],$J$2:$V$14,3,0)*Tabla4[[#This Row],[TOTAL COBERTURA]])+Tabla4[[#This Row],[VALOR FASE PREPARATORIA DE ALISTAMIENTO]]+Tabla4[[#This Row],[DOTACIÓN ÚNICA]]</f>
        <v>7393364</v>
      </c>
      <c r="AU332" s="35">
        <f>(VLOOKUP(Tabla4[[#This Row],[SERVICIO 2025]],$J$2:$V$14,3,0)*Tabla4[[#This Row],[TOTAL COBERTURA]])</f>
        <v>5666892</v>
      </c>
      <c r="AV332" s="35">
        <f>(VLOOKUP(Tabla4[[#This Row],[SERVICIO 2025]],$J$2:$V$14,3,0)*Tabla4[[#This Row],[TOTAL COBERTURA]])</f>
        <v>5666892</v>
      </c>
      <c r="AW332" s="35">
        <f>(VLOOKUP(Tabla4[[#This Row],[SERVICIO 2025]],$J$2:$V$14,3,0)*Tabla4[[#This Row],[TOTAL COBERTURA]])</f>
        <v>5666892</v>
      </c>
      <c r="AX332" s="35">
        <f>(VLOOKUP(Tabla4[[#This Row],[SERVICIO 2025]],$J$2:$V$14,3,0)*Tabla4[[#This Row],[TOTAL COBERTURA]])</f>
        <v>5666892</v>
      </c>
      <c r="AY332" s="35">
        <f>(VLOOKUP(Tabla4[[#This Row],[SERVICIO 2025]],$J$2:$V$14,3,0)*Tabla4[[#This Row],[TOTAL COBERTURA]])</f>
        <v>5666892</v>
      </c>
      <c r="AZ332" s="35">
        <f>(VLOOKUP(Tabla4[[#This Row],[SERVICIO 2025]],$J$2:$V$14,3,0)*Tabla4[[#This Row],[TOTAL COBERTURA]])</f>
        <v>5666892</v>
      </c>
      <c r="BA332" s="35">
        <f>(VLOOKUP(Tabla4[[#This Row],[SERVICIO 2025]],$J$2:$V$14,3,0)*Tabla4[[#This Row],[TOTAL COBERTURA]])+Tabla4[[#This Row],[VALOR FASE PREPARATORIA DE CIERRE]]</f>
        <v>6569530</v>
      </c>
      <c r="BB332" s="35">
        <f>SUM(Tabla4[[#This Row],[DESEMBOLSO 1]:[DESEMBOLSO 8]])</f>
        <v>47964246</v>
      </c>
      <c r="BC332" s="35">
        <f>VLOOKUP(Tabla4[[#This Row],[SERVICIO 2025]],$J$2:$V$14,10,0)*Tabla4[[#This Row],[TOTAL COBERTURA]]*$W$3</f>
        <v>31747408</v>
      </c>
      <c r="BD332" s="47" t="s">
        <v>211</v>
      </c>
      <c r="BE332" s="12" t="b">
        <f>EXACT(Tabla4[[#This Row],[VALOR ATENCIÓN (8 MESES)]],Tabla4[[#This Row],[VALOR TOTAL]])</f>
        <v>1</v>
      </c>
      <c r="BF332" s="23">
        <f>Tabla4[[#This Row],[VALOR ATENCIÓN (8 MESES)]]-Tabla4[[#This Row],[VALOR TOTAL]]</f>
        <v>0</v>
      </c>
      <c r="BG332" s="12" t="b">
        <f>EXACT(Tabla4[[#This Row],[TOTAL DESEMBOLSOS]],Tabla4[[#This Row],[VALOR ATENCIÓN (8 MESES)]])</f>
        <v>1</v>
      </c>
      <c r="BH332" s="29">
        <f>Tabla4[[#This Row],[TOTAL DESEMBOLSOS]]-Tabla4[[#This Row],[VALOR ATENCIÓN (8 MESES)]]</f>
        <v>0</v>
      </c>
      <c r="BI332" t="s">
        <v>98</v>
      </c>
      <c r="BJ332">
        <v>1913</v>
      </c>
    </row>
    <row r="333" spans="1:62">
      <c r="A333" s="13">
        <v>1913</v>
      </c>
      <c r="B333" s="13" t="s">
        <v>758</v>
      </c>
      <c r="C333" s="12" t="s">
        <v>87</v>
      </c>
      <c r="D333" s="12" t="s">
        <v>673</v>
      </c>
      <c r="E333" s="12" t="s">
        <v>759</v>
      </c>
      <c r="F333" s="12" t="s">
        <v>13</v>
      </c>
      <c r="G333" s="12" t="s">
        <v>90</v>
      </c>
      <c r="H333" s="12" t="s">
        <v>803</v>
      </c>
      <c r="I333" s="12">
        <v>504000124601</v>
      </c>
      <c r="J333" s="12" t="s">
        <v>804</v>
      </c>
      <c r="K333" s="12">
        <v>1</v>
      </c>
      <c r="L333" s="12">
        <v>52</v>
      </c>
      <c r="M333" s="12"/>
      <c r="N333" s="13">
        <v>1913</v>
      </c>
      <c r="O333" s="12" t="s">
        <v>93</v>
      </c>
      <c r="P333" s="12"/>
      <c r="Q333" s="12"/>
      <c r="R333" s="12" t="s">
        <v>94</v>
      </c>
      <c r="S333" s="12">
        <v>10</v>
      </c>
      <c r="T333" s="12" t="s">
        <v>762</v>
      </c>
      <c r="U333" s="12" t="s">
        <v>763</v>
      </c>
      <c r="V333" s="12">
        <f>VLOOKUP(Tabla4[[#This Row],[ZONA DEFINITIVO]],Hoja1!$A$1:$D$121,3,0)</f>
        <v>229093</v>
      </c>
      <c r="W333" s="12">
        <f>VLOOKUP(Tabla4[[#This Row],[ZONA DEFINITIVO]],Hoja1!$A$1:$D$121,2,0)</f>
        <v>15187</v>
      </c>
      <c r="X333" s="12">
        <f>VLOOKUP(Tabla4[[#This Row],[ZONA DEFINITIVO]],Hoja1!$A$1:$D$121,4,0)</f>
        <v>87425</v>
      </c>
      <c r="Y333" s="12" t="str">
        <f>+IF(Tabla4[[#This Row],[AGRUPACIONES]]=1,SUMIFS(Tabla4[UDS],Tabla4[ZONA DEFINITIVO],Tabla4[[#This Row],[ZONA DEFINITIVO]])," ")</f>
        <v xml:space="preserve"> </v>
      </c>
      <c r="Z333" s="12" t="str">
        <f>+IF(Tabla4[[#This Row],[AGRUPACIONES]]=1,SUMIFS(Tabla4[TOTAL COBERTURA],Tabla4[ZONA DEFINITIVO],Tabla4[[#This Row],[ZONA DEFINITIVO]])," ")</f>
        <v xml:space="preserve"> </v>
      </c>
      <c r="AA333" s="12"/>
      <c r="AB333" s="38">
        <v>153748712</v>
      </c>
      <c r="AC333" s="37">
        <v>0.02</v>
      </c>
      <c r="AD333" s="38">
        <f t="shared" si="5"/>
        <v>3074974.24</v>
      </c>
      <c r="AE333" s="12"/>
      <c r="AF333" s="12">
        <f>COUNTIF($A$20:A333,A333)</f>
        <v>23</v>
      </c>
      <c r="AG333" s="38">
        <v>153748712</v>
      </c>
      <c r="AH333" s="38">
        <f>Tabla4[[#This Row],[VALOR CONTRAPARTIDA]]+Tabla4[[#This Row],[TOTAL APORTES ICBF]]</f>
        <v>156823686.24000001</v>
      </c>
      <c r="AI333" s="35"/>
      <c r="AJ333" s="38"/>
      <c r="AK333" s="38"/>
      <c r="AL333" s="23"/>
      <c r="AM333" s="35">
        <f>VLOOKUP(Tabla4[[#This Row],[SERVICIO 2025]],$J$2:$V$14,5,0)*Tabla4[[#This Row],[TOTAL COBERTURA]]</f>
        <v>4583436</v>
      </c>
      <c r="AN333" s="35">
        <f>VLOOKUP(Tabla4[[#This Row],[SERVICIO 2025]],$J$2:$V$14,6,0)*Tabla4[[#This Row],[TOTAL COBERTURA]]</f>
        <v>3902236</v>
      </c>
      <c r="AO333" s="35">
        <f>VLOOKUP(Tabla4[[#This Row],[SERVICIO 2025]],$J$2:$V$14,8,0)*Tabla4[[#This Row],[TOTAL COBERTURA]]</f>
        <v>0</v>
      </c>
      <c r="AP333" s="35">
        <f>VLOOKUP(Tabla4[[#This Row],[SERVICIO 2025]],$J$2:$V$14,3,0)*Tabla4[[#This Row],[TOTAL COBERTURA]]*8</f>
        <v>145263040</v>
      </c>
      <c r="AQ333" s="35"/>
      <c r="AR333" s="35">
        <f>Tabla4[[#This Row],[VALOR FASE PREPARATORIA DE ALISTAMIENTO]]+Tabla4[[#This Row],[VALOR FASE PREPARATORIA DE CIERRE]]+Tabla4[[#This Row],[DOTACIÓN ÚNICA]]+Tabla4[[#This Row],[VALOR ATENCIÓN]]+Tabla4[[#This Row],[VALOR RACION PREPARADA]]</f>
        <v>153748712</v>
      </c>
      <c r="AS333" s="35" t="str">
        <f>+IF(Tabla4[[#This Row],[AGRUPACIONES]]=1,SUMIFS(Tabla4[VALOR TOTAL],Tabla4[ZONA DEFINITIVO],Tabla4[[#This Row],[ZONA DEFINITIVO]])," ")</f>
        <v xml:space="preserve"> </v>
      </c>
      <c r="AT333" s="27">
        <f>(VLOOKUP(Tabla4[[#This Row],[SERVICIO 2025]],$J$2:$V$14,3,0)*Tabla4[[#This Row],[TOTAL COBERTURA]])+Tabla4[[#This Row],[VALOR FASE PREPARATORIA DE ALISTAMIENTO]]+Tabla4[[#This Row],[DOTACIÓN ÚNICA]]</f>
        <v>22741316</v>
      </c>
      <c r="AU333" s="35">
        <f>(VLOOKUP(Tabla4[[#This Row],[SERVICIO 2025]],$J$2:$V$14,3,0)*Tabla4[[#This Row],[TOTAL COBERTURA]])</f>
        <v>18157880</v>
      </c>
      <c r="AV333" s="35">
        <f>(VLOOKUP(Tabla4[[#This Row],[SERVICIO 2025]],$J$2:$V$14,3,0)*Tabla4[[#This Row],[TOTAL COBERTURA]])</f>
        <v>18157880</v>
      </c>
      <c r="AW333" s="35">
        <f>(VLOOKUP(Tabla4[[#This Row],[SERVICIO 2025]],$J$2:$V$14,3,0)*Tabla4[[#This Row],[TOTAL COBERTURA]])</f>
        <v>18157880</v>
      </c>
      <c r="AX333" s="35">
        <f>(VLOOKUP(Tabla4[[#This Row],[SERVICIO 2025]],$J$2:$V$14,3,0)*Tabla4[[#This Row],[TOTAL COBERTURA]])</f>
        <v>18157880</v>
      </c>
      <c r="AY333" s="35">
        <f>(VLOOKUP(Tabla4[[#This Row],[SERVICIO 2025]],$J$2:$V$14,3,0)*Tabla4[[#This Row],[TOTAL COBERTURA]])</f>
        <v>18157880</v>
      </c>
      <c r="AZ333" s="35">
        <f>(VLOOKUP(Tabla4[[#This Row],[SERVICIO 2025]],$J$2:$V$14,3,0)*Tabla4[[#This Row],[TOTAL COBERTURA]])</f>
        <v>18157880</v>
      </c>
      <c r="BA333" s="35">
        <f>(VLOOKUP(Tabla4[[#This Row],[SERVICIO 2025]],$J$2:$V$14,3,0)*Tabla4[[#This Row],[TOTAL COBERTURA]])+Tabla4[[#This Row],[VALOR FASE PREPARATORIA DE CIERRE]]</f>
        <v>22060116</v>
      </c>
      <c r="BB333" s="35">
        <f>SUM(Tabla4[[#This Row],[DESEMBOLSO 1]:[DESEMBOLSO 8]])</f>
        <v>153748712</v>
      </c>
      <c r="BC333" s="35">
        <f>VLOOKUP(Tabla4[[#This Row],[SERVICIO 2025]],$J$2:$V$14,10,0)*Tabla4[[#This Row],[TOTAL COBERTURA]]*$W$3</f>
        <v>64071488</v>
      </c>
      <c r="BD333" s="47" t="s">
        <v>211</v>
      </c>
      <c r="BE333" s="12" t="b">
        <f>EXACT(Tabla4[[#This Row],[VALOR ATENCIÓN (8 MESES)]],Tabla4[[#This Row],[VALOR TOTAL]])</f>
        <v>1</v>
      </c>
      <c r="BF333" s="23">
        <f>Tabla4[[#This Row],[VALOR ATENCIÓN (8 MESES)]]-Tabla4[[#This Row],[VALOR TOTAL]]</f>
        <v>0</v>
      </c>
      <c r="BG333" s="12" t="b">
        <f>EXACT(Tabla4[[#This Row],[TOTAL DESEMBOLSOS]],Tabla4[[#This Row],[VALOR ATENCIÓN (8 MESES)]])</f>
        <v>1</v>
      </c>
      <c r="BH333" s="29">
        <f>Tabla4[[#This Row],[TOTAL DESEMBOLSOS]]-Tabla4[[#This Row],[VALOR ATENCIÓN (8 MESES)]]</f>
        <v>0</v>
      </c>
      <c r="BI333" t="s">
        <v>98</v>
      </c>
      <c r="BJ333">
        <v>1913</v>
      </c>
    </row>
    <row r="334" spans="1:62">
      <c r="A334" s="13">
        <v>1915</v>
      </c>
      <c r="B334" s="13" t="s">
        <v>805</v>
      </c>
      <c r="C334" s="12" t="s">
        <v>87</v>
      </c>
      <c r="D334" s="12" t="s">
        <v>462</v>
      </c>
      <c r="E334" s="12" t="s">
        <v>463</v>
      </c>
      <c r="F334" s="12" t="s">
        <v>19</v>
      </c>
      <c r="G334" s="12" t="s">
        <v>90</v>
      </c>
      <c r="H334" s="12" t="s">
        <v>806</v>
      </c>
      <c r="I334" s="12">
        <v>50451113534</v>
      </c>
      <c r="J334" s="12" t="s">
        <v>807</v>
      </c>
      <c r="K334" s="12">
        <v>1</v>
      </c>
      <c r="L334" s="12">
        <v>100</v>
      </c>
      <c r="M334" s="12"/>
      <c r="N334" s="13">
        <v>1915</v>
      </c>
      <c r="O334" s="12" t="s">
        <v>93</v>
      </c>
      <c r="P334" s="12"/>
      <c r="Q334" s="12"/>
      <c r="R334" s="12" t="s">
        <v>94</v>
      </c>
      <c r="S334" s="12">
        <v>10</v>
      </c>
      <c r="T334" s="12" t="s">
        <v>808</v>
      </c>
      <c r="U334" s="12" t="s">
        <v>809</v>
      </c>
      <c r="V334" s="12">
        <f>VLOOKUP(Tabla4[[#This Row],[ZONA DEFINITIVO]],Hoja1!$A$1:$D$121,3,0)</f>
        <v>229094</v>
      </c>
      <c r="W334" s="12">
        <f>VLOOKUP(Tabla4[[#This Row],[ZONA DEFINITIVO]],Hoja1!$A$1:$D$121,2,0)</f>
        <v>15183</v>
      </c>
      <c r="X334" s="12">
        <f>VLOOKUP(Tabla4[[#This Row],[ZONA DEFINITIVO]],Hoja1!$A$1:$D$121,4,0)</f>
        <v>91525</v>
      </c>
      <c r="Y334" s="12">
        <f>+IF(Tabla4[[#This Row],[AGRUPACIONES]]=1,SUMIFS(Tabla4[UDS],Tabla4[ZONA DEFINITIVO],Tabla4[[#This Row],[ZONA DEFINITIVO]])," ")</f>
        <v>20</v>
      </c>
      <c r="Z334" s="12">
        <f>+IF(Tabla4[[#This Row],[AGRUPACIONES]]=1,SUMIFS(Tabla4[TOTAL COBERTURA],Tabla4[ZONA DEFINITIVO],Tabla4[[#This Row],[ZONA DEFINITIVO]])," ")</f>
        <v>1044</v>
      </c>
      <c r="AA334" s="12"/>
      <c r="AB334" s="38">
        <v>225115100</v>
      </c>
      <c r="AC334" s="37">
        <v>0.02</v>
      </c>
      <c r="AD334" s="38">
        <f t="shared" si="5"/>
        <v>4502302</v>
      </c>
      <c r="AE334" s="12"/>
      <c r="AF334" s="12">
        <f>COUNTIF($A$20:A334,A334)</f>
        <v>1</v>
      </c>
      <c r="AG334" s="38">
        <v>225115100</v>
      </c>
      <c r="AH334" s="38">
        <f>Tabla4[[#This Row],[VALOR CONTRAPARTIDA]]+Tabla4[[#This Row],[TOTAL APORTES ICBF]]</f>
        <v>229617402</v>
      </c>
      <c r="AI334" s="35">
        <f>ROUND(+IF(Tabla4[[#This Row],[AGRUPACIONES]]=1,SUMIFS(Tabla4[TOTAL APORTES ICBF],Tabla4[ZONA DEFINITIVO],Tabla4[[#This Row],[ZONA DEFINITIVO]])," "),0)</f>
        <v>2350201644</v>
      </c>
      <c r="AJ334" s="38">
        <f>ROUND(+IF(Tabla4[[#This Row],[AGRUPACIONES]]=1,SUMIFS(Tabla4[VALOR CONTRAPARTIDA],Tabla4[ZONA DEFINITIVO],Tabla4[[#This Row],[ZONA DEFINITIVO]])," "),0)</f>
        <v>47004033</v>
      </c>
      <c r="AK334" s="38">
        <f>Tabla4[[#This Row],[TOTAL APORTES ICBF AGRUPADO]]+Tabla4[[#This Row],[TOTAL CONTRAPARTIDA AGRUPADO]]</f>
        <v>2397205677</v>
      </c>
      <c r="AL334" s="23">
        <f>Tabla4[[#This Row],[TOTAL APORTES ICBF AGRUPADO]]/$AL$18</f>
        <v>1651.0022086406743</v>
      </c>
      <c r="AM334" s="35">
        <f>VLOOKUP(Tabla4[[#This Row],[SERVICIO 2025]],$J$2:$V$14,5,0)*Tabla4[[#This Row],[TOTAL COBERTURA]]</f>
        <v>5146300</v>
      </c>
      <c r="AN334" s="35">
        <f>VLOOKUP(Tabla4[[#This Row],[SERVICIO 2025]],$J$2:$V$14,6,0)*Tabla4[[#This Row],[TOTAL COBERTURA]]</f>
        <v>4311600</v>
      </c>
      <c r="AO334" s="35">
        <f>VLOOKUP(Tabla4[[#This Row],[SERVICIO 2025]],$J$2:$V$14,8,0)*Tabla4[[#This Row],[TOTAL COBERTURA]]</f>
        <v>2910000</v>
      </c>
      <c r="AP334" s="35">
        <f>VLOOKUP(Tabla4[[#This Row],[SERVICIO 2025]],$J$2:$V$14,3,0)*Tabla4[[#This Row],[TOTAL COBERTURA]]*8</f>
        <v>212747200</v>
      </c>
      <c r="AQ334" s="35"/>
      <c r="AR334" s="35">
        <f>Tabla4[[#This Row],[VALOR FASE PREPARATORIA DE ALISTAMIENTO]]+Tabla4[[#This Row],[VALOR FASE PREPARATORIA DE CIERRE]]+Tabla4[[#This Row],[DOTACIÓN ÚNICA]]+Tabla4[[#This Row],[VALOR ATENCIÓN]]+Tabla4[[#This Row],[VALOR RACION PREPARADA]]</f>
        <v>225115100</v>
      </c>
      <c r="AS334" s="35">
        <f>+IF(Tabla4[[#This Row],[AGRUPACIONES]]=1,SUMIFS(Tabla4[VALOR TOTAL],Tabla4[ZONA DEFINITIVO],Tabla4[[#This Row],[ZONA DEFINITIVO]])," ")</f>
        <v>2350201644</v>
      </c>
      <c r="AT334" s="27">
        <f>(VLOOKUP(Tabla4[[#This Row],[SERVICIO 2025]],$J$2:$V$14,3,0)*Tabla4[[#This Row],[TOTAL COBERTURA]])+Tabla4[[#This Row],[VALOR FASE PREPARATORIA DE ALISTAMIENTO]]+Tabla4[[#This Row],[DOTACIÓN ÚNICA]]</f>
        <v>34649700</v>
      </c>
      <c r="AU334" s="35">
        <f>(VLOOKUP(Tabla4[[#This Row],[SERVICIO 2025]],$J$2:$V$14,3,0)*Tabla4[[#This Row],[TOTAL COBERTURA]])</f>
        <v>26593400</v>
      </c>
      <c r="AV334" s="35">
        <f>(VLOOKUP(Tabla4[[#This Row],[SERVICIO 2025]],$J$2:$V$14,3,0)*Tabla4[[#This Row],[TOTAL COBERTURA]])</f>
        <v>26593400</v>
      </c>
      <c r="AW334" s="35">
        <f>(VLOOKUP(Tabla4[[#This Row],[SERVICIO 2025]],$J$2:$V$14,3,0)*Tabla4[[#This Row],[TOTAL COBERTURA]])</f>
        <v>26593400</v>
      </c>
      <c r="AX334" s="35">
        <f>(VLOOKUP(Tabla4[[#This Row],[SERVICIO 2025]],$J$2:$V$14,3,0)*Tabla4[[#This Row],[TOTAL COBERTURA]])</f>
        <v>26593400</v>
      </c>
      <c r="AY334" s="35">
        <f>(VLOOKUP(Tabla4[[#This Row],[SERVICIO 2025]],$J$2:$V$14,3,0)*Tabla4[[#This Row],[TOTAL COBERTURA]])</f>
        <v>26593400</v>
      </c>
      <c r="AZ334" s="35">
        <f>(VLOOKUP(Tabla4[[#This Row],[SERVICIO 2025]],$J$2:$V$14,3,0)*Tabla4[[#This Row],[TOTAL COBERTURA]])</f>
        <v>26593400</v>
      </c>
      <c r="BA334" s="35">
        <f>(VLOOKUP(Tabla4[[#This Row],[SERVICIO 2025]],$J$2:$V$14,3,0)*Tabla4[[#This Row],[TOTAL COBERTURA]])+Tabla4[[#This Row],[VALOR FASE PREPARATORIA DE CIERRE]]</f>
        <v>30905000</v>
      </c>
      <c r="BB334" s="35">
        <f>SUM(Tabla4[[#This Row],[DESEMBOLSO 1]:[DESEMBOLSO 8]])</f>
        <v>225115100</v>
      </c>
      <c r="BC334" s="35">
        <f>VLOOKUP(Tabla4[[#This Row],[SERVICIO 2025]],$J$2:$V$14,10,0)*Tabla4[[#This Row],[TOTAL COBERTURA]]*7</f>
        <v>126268100</v>
      </c>
      <c r="BD334" s="47" t="s">
        <v>211</v>
      </c>
      <c r="BE334" s="12" t="b">
        <f>EXACT(Tabla4[[#This Row],[VALOR ATENCIÓN (8 MESES)]],Tabla4[[#This Row],[VALOR TOTAL]])</f>
        <v>1</v>
      </c>
      <c r="BF334" s="23">
        <f>Tabla4[[#This Row],[VALOR ATENCIÓN (8 MESES)]]-Tabla4[[#This Row],[VALOR TOTAL]]</f>
        <v>0</v>
      </c>
      <c r="BG334" s="12" t="b">
        <f>EXACT(Tabla4[[#This Row],[TOTAL DESEMBOLSOS]],Tabla4[[#This Row],[VALOR ATENCIÓN (8 MESES)]])</f>
        <v>1</v>
      </c>
      <c r="BH334" s="29">
        <f>Tabla4[[#This Row],[TOTAL DESEMBOLSOS]]-Tabla4[[#This Row],[VALOR ATENCIÓN (8 MESES)]]</f>
        <v>0</v>
      </c>
      <c r="BI334" t="s">
        <v>98</v>
      </c>
    </row>
    <row r="335" spans="1:62">
      <c r="A335" s="13">
        <v>1915</v>
      </c>
      <c r="B335" s="13" t="s">
        <v>805</v>
      </c>
      <c r="C335" s="12" t="s">
        <v>87</v>
      </c>
      <c r="D335" s="12" t="s">
        <v>462</v>
      </c>
      <c r="E335" s="12" t="s">
        <v>463</v>
      </c>
      <c r="F335" s="12" t="s">
        <v>19</v>
      </c>
      <c r="G335" s="12" t="s">
        <v>90</v>
      </c>
      <c r="H335" s="12" t="s">
        <v>810</v>
      </c>
      <c r="I335" s="12">
        <v>50451113548</v>
      </c>
      <c r="J335" s="12" t="s">
        <v>811</v>
      </c>
      <c r="K335" s="12">
        <v>1</v>
      </c>
      <c r="L335" s="12">
        <v>50</v>
      </c>
      <c r="M335" s="12"/>
      <c r="N335" s="13">
        <v>1915</v>
      </c>
      <c r="O335" s="12" t="s">
        <v>93</v>
      </c>
      <c r="P335" s="12"/>
      <c r="Q335" s="12"/>
      <c r="R335" s="12" t="s">
        <v>94</v>
      </c>
      <c r="S335" s="12">
        <v>10</v>
      </c>
      <c r="T335" s="12" t="s">
        <v>808</v>
      </c>
      <c r="U335" s="12" t="s">
        <v>809</v>
      </c>
      <c r="V335" s="12">
        <f>VLOOKUP(Tabla4[[#This Row],[ZONA DEFINITIVO]],Hoja1!$A$1:$D$121,3,0)</f>
        <v>229094</v>
      </c>
      <c r="W335" s="12">
        <f>VLOOKUP(Tabla4[[#This Row],[ZONA DEFINITIVO]],Hoja1!$A$1:$D$121,2,0)</f>
        <v>15183</v>
      </c>
      <c r="X335" s="12">
        <f>VLOOKUP(Tabla4[[#This Row],[ZONA DEFINITIVO]],Hoja1!$A$1:$D$121,4,0)</f>
        <v>91525</v>
      </c>
      <c r="Y335" s="12" t="str">
        <f>+IF(Tabla4[[#This Row],[AGRUPACIONES]]=1,SUMIFS(Tabla4[UDS],Tabla4[ZONA DEFINITIVO],Tabla4[[#This Row],[ZONA DEFINITIVO]])," ")</f>
        <v xml:space="preserve"> </v>
      </c>
      <c r="Z335" s="12" t="str">
        <f>+IF(Tabla4[[#This Row],[AGRUPACIONES]]=1,SUMIFS(Tabla4[TOTAL COBERTURA],Tabla4[ZONA DEFINITIVO],Tabla4[[#This Row],[ZONA DEFINITIVO]])," ")</f>
        <v xml:space="preserve"> </v>
      </c>
      <c r="AA335" s="12"/>
      <c r="AB335" s="38">
        <v>112557550</v>
      </c>
      <c r="AC335" s="37">
        <v>0.02</v>
      </c>
      <c r="AD335" s="38">
        <f t="shared" si="5"/>
        <v>2251151</v>
      </c>
      <c r="AE335" s="12"/>
      <c r="AF335" s="12">
        <f>COUNTIF($A$20:A335,A335)</f>
        <v>2</v>
      </c>
      <c r="AG335" s="38">
        <v>112557550</v>
      </c>
      <c r="AH335" s="38">
        <f>Tabla4[[#This Row],[VALOR CONTRAPARTIDA]]+Tabla4[[#This Row],[TOTAL APORTES ICBF]]</f>
        <v>114808701</v>
      </c>
      <c r="AI335" s="35"/>
      <c r="AJ335" s="38"/>
      <c r="AK335" s="38"/>
      <c r="AL335" s="23"/>
      <c r="AM335" s="35">
        <f>VLOOKUP(Tabla4[[#This Row],[SERVICIO 2025]],$J$2:$V$14,5,0)*Tabla4[[#This Row],[TOTAL COBERTURA]]</f>
        <v>2573150</v>
      </c>
      <c r="AN335" s="35">
        <f>VLOOKUP(Tabla4[[#This Row],[SERVICIO 2025]],$J$2:$V$14,6,0)*Tabla4[[#This Row],[TOTAL COBERTURA]]</f>
        <v>2155800</v>
      </c>
      <c r="AO335" s="35">
        <f>VLOOKUP(Tabla4[[#This Row],[SERVICIO 2025]],$J$2:$V$14,8,0)*Tabla4[[#This Row],[TOTAL COBERTURA]]</f>
        <v>1455000</v>
      </c>
      <c r="AP335" s="35">
        <f>VLOOKUP(Tabla4[[#This Row],[SERVICIO 2025]],$J$2:$V$14,3,0)*Tabla4[[#This Row],[TOTAL COBERTURA]]*8</f>
        <v>106373600</v>
      </c>
      <c r="AQ335" s="35"/>
      <c r="AR335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335" s="35" t="str">
        <f>+IF(Tabla4[[#This Row],[AGRUPACIONES]]=1,SUMIFS(Tabla4[VALOR TOTAL],Tabla4[ZONA DEFINITIVO],Tabla4[[#This Row],[ZONA DEFINITIVO]])," ")</f>
        <v xml:space="preserve"> </v>
      </c>
      <c r="AT335" s="27">
        <f>(VLOOKUP(Tabla4[[#This Row],[SERVICIO 2025]],$J$2:$V$14,3,0)*Tabla4[[#This Row],[TOTAL COBERTURA]])+Tabla4[[#This Row],[VALOR FASE PREPARATORIA DE ALISTAMIENTO]]+Tabla4[[#This Row],[DOTACIÓN ÚNICA]]</f>
        <v>17324850</v>
      </c>
      <c r="AU335" s="35">
        <f>(VLOOKUP(Tabla4[[#This Row],[SERVICIO 2025]],$J$2:$V$14,3,0)*Tabla4[[#This Row],[TOTAL COBERTURA]])</f>
        <v>13296700</v>
      </c>
      <c r="AV335" s="35">
        <f>(VLOOKUP(Tabla4[[#This Row],[SERVICIO 2025]],$J$2:$V$14,3,0)*Tabla4[[#This Row],[TOTAL COBERTURA]])</f>
        <v>13296700</v>
      </c>
      <c r="AW335" s="35">
        <f>(VLOOKUP(Tabla4[[#This Row],[SERVICIO 2025]],$J$2:$V$14,3,0)*Tabla4[[#This Row],[TOTAL COBERTURA]])</f>
        <v>13296700</v>
      </c>
      <c r="AX335" s="35">
        <f>(VLOOKUP(Tabla4[[#This Row],[SERVICIO 2025]],$J$2:$V$14,3,0)*Tabla4[[#This Row],[TOTAL COBERTURA]])</f>
        <v>13296700</v>
      </c>
      <c r="AY335" s="35">
        <f>(VLOOKUP(Tabla4[[#This Row],[SERVICIO 2025]],$J$2:$V$14,3,0)*Tabla4[[#This Row],[TOTAL COBERTURA]])</f>
        <v>13296700</v>
      </c>
      <c r="AZ335" s="35">
        <f>(VLOOKUP(Tabla4[[#This Row],[SERVICIO 2025]],$J$2:$V$14,3,0)*Tabla4[[#This Row],[TOTAL COBERTURA]])</f>
        <v>13296700</v>
      </c>
      <c r="BA335" s="35">
        <f>(VLOOKUP(Tabla4[[#This Row],[SERVICIO 2025]],$J$2:$V$14,3,0)*Tabla4[[#This Row],[TOTAL COBERTURA]])+Tabla4[[#This Row],[VALOR FASE PREPARATORIA DE CIERRE]]</f>
        <v>15452500</v>
      </c>
      <c r="BB335" s="35">
        <f>SUM(Tabla4[[#This Row],[DESEMBOLSO 1]:[DESEMBOLSO 8]])</f>
        <v>112557550</v>
      </c>
      <c r="BC335" s="35">
        <f>VLOOKUP(Tabla4[[#This Row],[SERVICIO 2025]],$J$2:$V$14,10,0)*Tabla4[[#This Row],[TOTAL COBERTURA]]*7</f>
        <v>63134050</v>
      </c>
      <c r="BD335" s="47" t="s">
        <v>211</v>
      </c>
      <c r="BE335" s="12" t="b">
        <f>EXACT(Tabla4[[#This Row],[VALOR ATENCIÓN (8 MESES)]],Tabla4[[#This Row],[VALOR TOTAL]])</f>
        <v>1</v>
      </c>
      <c r="BF335" s="23">
        <f>Tabla4[[#This Row],[VALOR ATENCIÓN (8 MESES)]]-Tabla4[[#This Row],[VALOR TOTAL]]</f>
        <v>0</v>
      </c>
      <c r="BG335" s="12" t="b">
        <f>EXACT(Tabla4[[#This Row],[TOTAL DESEMBOLSOS]],Tabla4[[#This Row],[VALOR ATENCIÓN (8 MESES)]])</f>
        <v>1</v>
      </c>
      <c r="BH335" s="29">
        <f>Tabla4[[#This Row],[TOTAL DESEMBOLSOS]]-Tabla4[[#This Row],[VALOR ATENCIÓN (8 MESES)]]</f>
        <v>0</v>
      </c>
      <c r="BI335" t="s">
        <v>98</v>
      </c>
    </row>
    <row r="336" spans="1:62">
      <c r="A336" s="13">
        <v>1915</v>
      </c>
      <c r="B336" s="13" t="s">
        <v>805</v>
      </c>
      <c r="C336" s="12" t="s">
        <v>87</v>
      </c>
      <c r="D336" s="12" t="s">
        <v>462</v>
      </c>
      <c r="E336" s="12" t="s">
        <v>463</v>
      </c>
      <c r="F336" s="12" t="s">
        <v>19</v>
      </c>
      <c r="G336" s="12" t="s">
        <v>90</v>
      </c>
      <c r="H336" s="12" t="s">
        <v>812</v>
      </c>
      <c r="I336" s="12">
        <v>50451119149</v>
      </c>
      <c r="J336" s="12" t="s">
        <v>813</v>
      </c>
      <c r="K336" s="12">
        <v>1</v>
      </c>
      <c r="L336" s="12">
        <v>52</v>
      </c>
      <c r="M336" s="12"/>
      <c r="N336" s="13">
        <v>1915</v>
      </c>
      <c r="O336" s="12" t="s">
        <v>93</v>
      </c>
      <c r="P336" s="12"/>
      <c r="Q336" s="12"/>
      <c r="R336" s="12" t="s">
        <v>94</v>
      </c>
      <c r="S336" s="12">
        <v>10</v>
      </c>
      <c r="T336" s="12" t="s">
        <v>808</v>
      </c>
      <c r="U336" s="12" t="s">
        <v>809</v>
      </c>
      <c r="V336" s="12">
        <f>VLOOKUP(Tabla4[[#This Row],[ZONA DEFINITIVO]],Hoja1!$A$1:$D$121,3,0)</f>
        <v>229094</v>
      </c>
      <c r="W336" s="12">
        <f>VLOOKUP(Tabla4[[#This Row],[ZONA DEFINITIVO]],Hoja1!$A$1:$D$121,2,0)</f>
        <v>15183</v>
      </c>
      <c r="X336" s="12">
        <f>VLOOKUP(Tabla4[[#This Row],[ZONA DEFINITIVO]],Hoja1!$A$1:$D$121,4,0)</f>
        <v>91525</v>
      </c>
      <c r="Y336" s="12" t="str">
        <f>+IF(Tabla4[[#This Row],[AGRUPACIONES]]=1,SUMIFS(Tabla4[UDS],Tabla4[ZONA DEFINITIVO],Tabla4[[#This Row],[ZONA DEFINITIVO]])," ")</f>
        <v xml:space="preserve"> </v>
      </c>
      <c r="Z336" s="12" t="str">
        <f>+IF(Tabla4[[#This Row],[AGRUPACIONES]]=1,SUMIFS(Tabla4[TOTAL COBERTURA],Tabla4[ZONA DEFINITIVO],Tabla4[[#This Row],[ZONA DEFINITIVO]])," ")</f>
        <v xml:space="preserve"> </v>
      </c>
      <c r="AA336" s="12"/>
      <c r="AB336" s="38">
        <v>117059852</v>
      </c>
      <c r="AC336" s="37">
        <v>0.02</v>
      </c>
      <c r="AD336" s="38">
        <f t="shared" si="5"/>
        <v>2341197.04</v>
      </c>
      <c r="AE336" s="12"/>
      <c r="AF336" s="12">
        <f>COUNTIF($A$20:A336,A336)</f>
        <v>3</v>
      </c>
      <c r="AG336" s="38">
        <v>117059852</v>
      </c>
      <c r="AH336" s="38">
        <f>Tabla4[[#This Row],[VALOR CONTRAPARTIDA]]+Tabla4[[#This Row],[TOTAL APORTES ICBF]]</f>
        <v>119401049.04000001</v>
      </c>
      <c r="AI336" s="35"/>
      <c r="AJ336" s="38"/>
      <c r="AK336" s="38"/>
      <c r="AL336" s="23"/>
      <c r="AM336" s="35">
        <f>VLOOKUP(Tabla4[[#This Row],[SERVICIO 2025]],$J$2:$V$14,5,0)*Tabla4[[#This Row],[TOTAL COBERTURA]]</f>
        <v>2676076</v>
      </c>
      <c r="AN336" s="35">
        <f>VLOOKUP(Tabla4[[#This Row],[SERVICIO 2025]],$J$2:$V$14,6,0)*Tabla4[[#This Row],[TOTAL COBERTURA]]</f>
        <v>2242032</v>
      </c>
      <c r="AO336" s="35">
        <f>VLOOKUP(Tabla4[[#This Row],[SERVICIO 2025]],$J$2:$V$14,8,0)*Tabla4[[#This Row],[TOTAL COBERTURA]]</f>
        <v>1513200</v>
      </c>
      <c r="AP336" s="35">
        <f>VLOOKUP(Tabla4[[#This Row],[SERVICIO 2025]],$J$2:$V$14,3,0)*Tabla4[[#This Row],[TOTAL COBERTURA]]*8</f>
        <v>110628544</v>
      </c>
      <c r="AQ336" s="35"/>
      <c r="AR336" s="35">
        <f>Tabla4[[#This Row],[VALOR FASE PREPARATORIA DE ALISTAMIENTO]]+Tabla4[[#This Row],[VALOR FASE PREPARATORIA DE CIERRE]]+Tabla4[[#This Row],[DOTACIÓN ÚNICA]]+Tabla4[[#This Row],[VALOR ATENCIÓN]]+Tabla4[[#This Row],[VALOR RACION PREPARADA]]</f>
        <v>117059852</v>
      </c>
      <c r="AS336" s="35" t="str">
        <f>+IF(Tabla4[[#This Row],[AGRUPACIONES]]=1,SUMIFS(Tabla4[VALOR TOTAL],Tabla4[ZONA DEFINITIVO],Tabla4[[#This Row],[ZONA DEFINITIVO]])," ")</f>
        <v xml:space="preserve"> </v>
      </c>
      <c r="AT336" s="27">
        <f>(VLOOKUP(Tabla4[[#This Row],[SERVICIO 2025]],$J$2:$V$14,3,0)*Tabla4[[#This Row],[TOTAL COBERTURA]])+Tabla4[[#This Row],[VALOR FASE PREPARATORIA DE ALISTAMIENTO]]+Tabla4[[#This Row],[DOTACIÓN ÚNICA]]</f>
        <v>18017844</v>
      </c>
      <c r="AU336" s="35">
        <f>(VLOOKUP(Tabla4[[#This Row],[SERVICIO 2025]],$J$2:$V$14,3,0)*Tabla4[[#This Row],[TOTAL COBERTURA]])</f>
        <v>13828568</v>
      </c>
      <c r="AV336" s="35">
        <f>(VLOOKUP(Tabla4[[#This Row],[SERVICIO 2025]],$J$2:$V$14,3,0)*Tabla4[[#This Row],[TOTAL COBERTURA]])</f>
        <v>13828568</v>
      </c>
      <c r="AW336" s="35">
        <f>(VLOOKUP(Tabla4[[#This Row],[SERVICIO 2025]],$J$2:$V$14,3,0)*Tabla4[[#This Row],[TOTAL COBERTURA]])</f>
        <v>13828568</v>
      </c>
      <c r="AX336" s="35">
        <f>(VLOOKUP(Tabla4[[#This Row],[SERVICIO 2025]],$J$2:$V$14,3,0)*Tabla4[[#This Row],[TOTAL COBERTURA]])</f>
        <v>13828568</v>
      </c>
      <c r="AY336" s="35">
        <f>(VLOOKUP(Tabla4[[#This Row],[SERVICIO 2025]],$J$2:$V$14,3,0)*Tabla4[[#This Row],[TOTAL COBERTURA]])</f>
        <v>13828568</v>
      </c>
      <c r="AZ336" s="35">
        <f>(VLOOKUP(Tabla4[[#This Row],[SERVICIO 2025]],$J$2:$V$14,3,0)*Tabla4[[#This Row],[TOTAL COBERTURA]])</f>
        <v>13828568</v>
      </c>
      <c r="BA336" s="35">
        <f>(VLOOKUP(Tabla4[[#This Row],[SERVICIO 2025]],$J$2:$V$14,3,0)*Tabla4[[#This Row],[TOTAL COBERTURA]])+Tabla4[[#This Row],[VALOR FASE PREPARATORIA DE CIERRE]]</f>
        <v>16070600</v>
      </c>
      <c r="BB336" s="35">
        <f>SUM(Tabla4[[#This Row],[DESEMBOLSO 1]:[DESEMBOLSO 8]])</f>
        <v>117059852</v>
      </c>
      <c r="BC336" s="35">
        <f>VLOOKUP(Tabla4[[#This Row],[SERVICIO 2025]],$J$2:$V$14,10,0)*Tabla4[[#This Row],[TOTAL COBERTURA]]*7</f>
        <v>65659412</v>
      </c>
      <c r="BD336" s="47" t="s">
        <v>211</v>
      </c>
      <c r="BE336" s="12" t="b">
        <f>EXACT(Tabla4[[#This Row],[VALOR ATENCIÓN (8 MESES)]],Tabla4[[#This Row],[VALOR TOTAL]])</f>
        <v>1</v>
      </c>
      <c r="BF336" s="23">
        <f>Tabla4[[#This Row],[VALOR ATENCIÓN (8 MESES)]]-Tabla4[[#This Row],[VALOR TOTAL]]</f>
        <v>0</v>
      </c>
      <c r="BG336" s="12" t="b">
        <f>EXACT(Tabla4[[#This Row],[TOTAL DESEMBOLSOS]],Tabla4[[#This Row],[VALOR ATENCIÓN (8 MESES)]])</f>
        <v>1</v>
      </c>
      <c r="BH336" s="29">
        <f>Tabla4[[#This Row],[TOTAL DESEMBOLSOS]]-Tabla4[[#This Row],[VALOR ATENCIÓN (8 MESES)]]</f>
        <v>0</v>
      </c>
      <c r="BI336" t="s">
        <v>98</v>
      </c>
    </row>
    <row r="337" spans="1:61">
      <c r="A337" s="13">
        <v>1915</v>
      </c>
      <c r="B337" s="13" t="s">
        <v>805</v>
      </c>
      <c r="C337" s="12" t="s">
        <v>87</v>
      </c>
      <c r="D337" s="12" t="s">
        <v>462</v>
      </c>
      <c r="E337" s="12" t="s">
        <v>463</v>
      </c>
      <c r="F337" s="12" t="s">
        <v>19</v>
      </c>
      <c r="G337" s="12" t="s">
        <v>90</v>
      </c>
      <c r="H337" s="12" t="s">
        <v>814</v>
      </c>
      <c r="I337" s="12">
        <v>50451119150</v>
      </c>
      <c r="J337" s="12" t="s">
        <v>815</v>
      </c>
      <c r="K337" s="12">
        <v>1</v>
      </c>
      <c r="L337" s="12">
        <v>39</v>
      </c>
      <c r="M337" s="12"/>
      <c r="N337" s="13">
        <v>1915</v>
      </c>
      <c r="O337" s="12" t="s">
        <v>93</v>
      </c>
      <c r="P337" s="12"/>
      <c r="Q337" s="12"/>
      <c r="R337" s="12" t="s">
        <v>94</v>
      </c>
      <c r="S337" s="12">
        <v>10</v>
      </c>
      <c r="T337" s="12" t="s">
        <v>808</v>
      </c>
      <c r="U337" s="12" t="s">
        <v>809</v>
      </c>
      <c r="V337" s="12">
        <f>VLOOKUP(Tabla4[[#This Row],[ZONA DEFINITIVO]],Hoja1!$A$1:$D$121,3,0)</f>
        <v>229094</v>
      </c>
      <c r="W337" s="12">
        <f>VLOOKUP(Tabla4[[#This Row],[ZONA DEFINITIVO]],Hoja1!$A$1:$D$121,2,0)</f>
        <v>15183</v>
      </c>
      <c r="X337" s="12">
        <f>VLOOKUP(Tabla4[[#This Row],[ZONA DEFINITIVO]],Hoja1!$A$1:$D$121,4,0)</f>
        <v>91525</v>
      </c>
      <c r="Y337" s="12" t="str">
        <f>+IF(Tabla4[[#This Row],[AGRUPACIONES]]=1,SUMIFS(Tabla4[UDS],Tabla4[ZONA DEFINITIVO],Tabla4[[#This Row],[ZONA DEFINITIVO]])," ")</f>
        <v xml:space="preserve"> </v>
      </c>
      <c r="Z337" s="12" t="str">
        <f>+IF(Tabla4[[#This Row],[AGRUPACIONES]]=1,SUMIFS(Tabla4[TOTAL COBERTURA],Tabla4[ZONA DEFINITIVO],Tabla4[[#This Row],[ZONA DEFINITIVO]])," ")</f>
        <v xml:space="preserve"> </v>
      </c>
      <c r="AA337" s="12"/>
      <c r="AB337" s="38">
        <v>87794889</v>
      </c>
      <c r="AC337" s="37">
        <v>0.02</v>
      </c>
      <c r="AD337" s="38">
        <f t="shared" si="5"/>
        <v>1755897.78</v>
      </c>
      <c r="AE337" s="12"/>
      <c r="AF337" s="12">
        <f>COUNTIF($A$20:A337,A337)</f>
        <v>4</v>
      </c>
      <c r="AG337" s="38">
        <v>87794889</v>
      </c>
      <c r="AH337" s="38">
        <f>Tabla4[[#This Row],[VALOR CONTRAPARTIDA]]+Tabla4[[#This Row],[TOTAL APORTES ICBF]]</f>
        <v>89550786.780000001</v>
      </c>
      <c r="AI337" s="35"/>
      <c r="AJ337" s="38"/>
      <c r="AK337" s="38"/>
      <c r="AL337" s="23"/>
      <c r="AM337" s="35">
        <f>VLOOKUP(Tabla4[[#This Row],[SERVICIO 2025]],$J$2:$V$14,5,0)*Tabla4[[#This Row],[TOTAL COBERTURA]]</f>
        <v>2007057</v>
      </c>
      <c r="AN337" s="35">
        <f>VLOOKUP(Tabla4[[#This Row],[SERVICIO 2025]],$J$2:$V$14,6,0)*Tabla4[[#This Row],[TOTAL COBERTURA]]</f>
        <v>1681524</v>
      </c>
      <c r="AO337" s="35">
        <f>VLOOKUP(Tabla4[[#This Row],[SERVICIO 2025]],$J$2:$V$14,8,0)*Tabla4[[#This Row],[TOTAL COBERTURA]]</f>
        <v>1134900</v>
      </c>
      <c r="AP337" s="35">
        <f>VLOOKUP(Tabla4[[#This Row],[SERVICIO 2025]],$J$2:$V$14,3,0)*Tabla4[[#This Row],[TOTAL COBERTURA]]*8</f>
        <v>82971408</v>
      </c>
      <c r="AQ337" s="35"/>
      <c r="AR337" s="35">
        <f>Tabla4[[#This Row],[VALOR FASE PREPARATORIA DE ALISTAMIENTO]]+Tabla4[[#This Row],[VALOR FASE PREPARATORIA DE CIERRE]]+Tabla4[[#This Row],[DOTACIÓN ÚNICA]]+Tabla4[[#This Row],[VALOR ATENCIÓN]]+Tabla4[[#This Row],[VALOR RACION PREPARADA]]</f>
        <v>87794889</v>
      </c>
      <c r="AS337" s="35" t="str">
        <f>+IF(Tabla4[[#This Row],[AGRUPACIONES]]=1,SUMIFS(Tabla4[VALOR TOTAL],Tabla4[ZONA DEFINITIVO],Tabla4[[#This Row],[ZONA DEFINITIVO]])," ")</f>
        <v xml:space="preserve"> </v>
      </c>
      <c r="AT337" s="27">
        <f>(VLOOKUP(Tabla4[[#This Row],[SERVICIO 2025]],$J$2:$V$14,3,0)*Tabla4[[#This Row],[TOTAL COBERTURA]])+Tabla4[[#This Row],[VALOR FASE PREPARATORIA DE ALISTAMIENTO]]+Tabla4[[#This Row],[DOTACIÓN ÚNICA]]</f>
        <v>13513383</v>
      </c>
      <c r="AU337" s="35">
        <f>(VLOOKUP(Tabla4[[#This Row],[SERVICIO 2025]],$J$2:$V$14,3,0)*Tabla4[[#This Row],[TOTAL COBERTURA]])</f>
        <v>10371426</v>
      </c>
      <c r="AV337" s="35">
        <f>(VLOOKUP(Tabla4[[#This Row],[SERVICIO 2025]],$J$2:$V$14,3,0)*Tabla4[[#This Row],[TOTAL COBERTURA]])</f>
        <v>10371426</v>
      </c>
      <c r="AW337" s="35">
        <f>(VLOOKUP(Tabla4[[#This Row],[SERVICIO 2025]],$J$2:$V$14,3,0)*Tabla4[[#This Row],[TOTAL COBERTURA]])</f>
        <v>10371426</v>
      </c>
      <c r="AX337" s="35">
        <f>(VLOOKUP(Tabla4[[#This Row],[SERVICIO 2025]],$J$2:$V$14,3,0)*Tabla4[[#This Row],[TOTAL COBERTURA]])</f>
        <v>10371426</v>
      </c>
      <c r="AY337" s="35">
        <f>(VLOOKUP(Tabla4[[#This Row],[SERVICIO 2025]],$J$2:$V$14,3,0)*Tabla4[[#This Row],[TOTAL COBERTURA]])</f>
        <v>10371426</v>
      </c>
      <c r="AZ337" s="35">
        <f>(VLOOKUP(Tabla4[[#This Row],[SERVICIO 2025]],$J$2:$V$14,3,0)*Tabla4[[#This Row],[TOTAL COBERTURA]])</f>
        <v>10371426</v>
      </c>
      <c r="BA337" s="35">
        <f>(VLOOKUP(Tabla4[[#This Row],[SERVICIO 2025]],$J$2:$V$14,3,0)*Tabla4[[#This Row],[TOTAL COBERTURA]])+Tabla4[[#This Row],[VALOR FASE PREPARATORIA DE CIERRE]]</f>
        <v>12052950</v>
      </c>
      <c r="BB337" s="35">
        <f>SUM(Tabla4[[#This Row],[DESEMBOLSO 1]:[DESEMBOLSO 8]])</f>
        <v>87794889</v>
      </c>
      <c r="BC337" s="35">
        <f>VLOOKUP(Tabla4[[#This Row],[SERVICIO 2025]],$J$2:$V$14,10,0)*Tabla4[[#This Row],[TOTAL COBERTURA]]*7</f>
        <v>49244559</v>
      </c>
      <c r="BD337" s="47" t="s">
        <v>211</v>
      </c>
      <c r="BE337" s="12" t="b">
        <f>EXACT(Tabla4[[#This Row],[VALOR ATENCIÓN (8 MESES)]],Tabla4[[#This Row],[VALOR TOTAL]])</f>
        <v>1</v>
      </c>
      <c r="BF337" s="23">
        <f>Tabla4[[#This Row],[VALOR ATENCIÓN (8 MESES)]]-Tabla4[[#This Row],[VALOR TOTAL]]</f>
        <v>0</v>
      </c>
      <c r="BG337" s="12" t="b">
        <f>EXACT(Tabla4[[#This Row],[TOTAL DESEMBOLSOS]],Tabla4[[#This Row],[VALOR ATENCIÓN (8 MESES)]])</f>
        <v>1</v>
      </c>
      <c r="BH337" s="29">
        <f>Tabla4[[#This Row],[TOTAL DESEMBOLSOS]]-Tabla4[[#This Row],[VALOR ATENCIÓN (8 MESES)]]</f>
        <v>0</v>
      </c>
      <c r="BI337" t="s">
        <v>98</v>
      </c>
    </row>
    <row r="338" spans="1:61">
      <c r="A338" s="13">
        <v>1915</v>
      </c>
      <c r="B338" s="13" t="s">
        <v>805</v>
      </c>
      <c r="C338" s="12" t="s">
        <v>87</v>
      </c>
      <c r="D338" s="12" t="s">
        <v>462</v>
      </c>
      <c r="E338" s="12" t="s">
        <v>463</v>
      </c>
      <c r="F338" s="12" t="s">
        <v>19</v>
      </c>
      <c r="G338" s="12" t="s">
        <v>90</v>
      </c>
      <c r="H338" s="12" t="s">
        <v>738</v>
      </c>
      <c r="I338" s="12">
        <v>50451119188</v>
      </c>
      <c r="J338" s="12" t="s">
        <v>816</v>
      </c>
      <c r="K338" s="12">
        <v>1</v>
      </c>
      <c r="L338" s="12">
        <v>52</v>
      </c>
      <c r="M338" s="12"/>
      <c r="N338" s="13">
        <v>1915</v>
      </c>
      <c r="O338" s="12" t="s">
        <v>93</v>
      </c>
      <c r="P338" s="12"/>
      <c r="Q338" s="12"/>
      <c r="R338" s="12" t="s">
        <v>94</v>
      </c>
      <c r="S338" s="12">
        <v>10</v>
      </c>
      <c r="T338" s="12" t="s">
        <v>808</v>
      </c>
      <c r="U338" s="12" t="s">
        <v>809</v>
      </c>
      <c r="V338" s="12">
        <f>VLOOKUP(Tabla4[[#This Row],[ZONA DEFINITIVO]],Hoja1!$A$1:$D$121,3,0)</f>
        <v>229094</v>
      </c>
      <c r="W338" s="12">
        <f>VLOOKUP(Tabla4[[#This Row],[ZONA DEFINITIVO]],Hoja1!$A$1:$D$121,2,0)</f>
        <v>15183</v>
      </c>
      <c r="X338" s="12">
        <f>VLOOKUP(Tabla4[[#This Row],[ZONA DEFINITIVO]],Hoja1!$A$1:$D$121,4,0)</f>
        <v>91525</v>
      </c>
      <c r="Y338" s="12" t="str">
        <f>+IF(Tabla4[[#This Row],[AGRUPACIONES]]=1,SUMIFS(Tabla4[UDS],Tabla4[ZONA DEFINITIVO],Tabla4[[#This Row],[ZONA DEFINITIVO]])," ")</f>
        <v xml:space="preserve"> </v>
      </c>
      <c r="Z338" s="12" t="str">
        <f>+IF(Tabla4[[#This Row],[AGRUPACIONES]]=1,SUMIFS(Tabla4[TOTAL COBERTURA],Tabla4[ZONA DEFINITIVO],Tabla4[[#This Row],[ZONA DEFINITIVO]])," ")</f>
        <v xml:space="preserve"> </v>
      </c>
      <c r="AA338" s="12"/>
      <c r="AB338" s="38">
        <v>117059852</v>
      </c>
      <c r="AC338" s="37">
        <v>0.02</v>
      </c>
      <c r="AD338" s="38">
        <f t="shared" si="5"/>
        <v>2341197.04</v>
      </c>
      <c r="AE338" s="12"/>
      <c r="AF338" s="12">
        <f>COUNTIF($A$20:A338,A338)</f>
        <v>5</v>
      </c>
      <c r="AG338" s="38">
        <v>117059852</v>
      </c>
      <c r="AH338" s="38">
        <f>Tabla4[[#This Row],[VALOR CONTRAPARTIDA]]+Tabla4[[#This Row],[TOTAL APORTES ICBF]]</f>
        <v>119401049.04000001</v>
      </c>
      <c r="AI338" s="35"/>
      <c r="AJ338" s="38"/>
      <c r="AK338" s="38"/>
      <c r="AL338" s="23"/>
      <c r="AM338" s="35">
        <f>VLOOKUP(Tabla4[[#This Row],[SERVICIO 2025]],$J$2:$V$14,5,0)*Tabla4[[#This Row],[TOTAL COBERTURA]]</f>
        <v>2676076</v>
      </c>
      <c r="AN338" s="35">
        <f>VLOOKUP(Tabla4[[#This Row],[SERVICIO 2025]],$J$2:$V$14,6,0)*Tabla4[[#This Row],[TOTAL COBERTURA]]</f>
        <v>2242032</v>
      </c>
      <c r="AO338" s="35">
        <f>VLOOKUP(Tabla4[[#This Row],[SERVICIO 2025]],$J$2:$V$14,8,0)*Tabla4[[#This Row],[TOTAL COBERTURA]]</f>
        <v>1513200</v>
      </c>
      <c r="AP338" s="35">
        <f>VLOOKUP(Tabla4[[#This Row],[SERVICIO 2025]],$J$2:$V$14,3,0)*Tabla4[[#This Row],[TOTAL COBERTURA]]*8</f>
        <v>110628544</v>
      </c>
      <c r="AQ338" s="35"/>
      <c r="AR338" s="35">
        <f>Tabla4[[#This Row],[VALOR FASE PREPARATORIA DE ALISTAMIENTO]]+Tabla4[[#This Row],[VALOR FASE PREPARATORIA DE CIERRE]]+Tabla4[[#This Row],[DOTACIÓN ÚNICA]]+Tabla4[[#This Row],[VALOR ATENCIÓN]]+Tabla4[[#This Row],[VALOR RACION PREPARADA]]</f>
        <v>117059852</v>
      </c>
      <c r="AS338" s="35" t="str">
        <f>+IF(Tabla4[[#This Row],[AGRUPACIONES]]=1,SUMIFS(Tabla4[VALOR TOTAL],Tabla4[ZONA DEFINITIVO],Tabla4[[#This Row],[ZONA DEFINITIVO]])," ")</f>
        <v xml:space="preserve"> </v>
      </c>
      <c r="AT338" s="27">
        <f>(VLOOKUP(Tabla4[[#This Row],[SERVICIO 2025]],$J$2:$V$14,3,0)*Tabla4[[#This Row],[TOTAL COBERTURA]])+Tabla4[[#This Row],[VALOR FASE PREPARATORIA DE ALISTAMIENTO]]+Tabla4[[#This Row],[DOTACIÓN ÚNICA]]</f>
        <v>18017844</v>
      </c>
      <c r="AU338" s="35">
        <f>(VLOOKUP(Tabla4[[#This Row],[SERVICIO 2025]],$J$2:$V$14,3,0)*Tabla4[[#This Row],[TOTAL COBERTURA]])</f>
        <v>13828568</v>
      </c>
      <c r="AV338" s="35">
        <f>(VLOOKUP(Tabla4[[#This Row],[SERVICIO 2025]],$J$2:$V$14,3,0)*Tabla4[[#This Row],[TOTAL COBERTURA]])</f>
        <v>13828568</v>
      </c>
      <c r="AW338" s="35">
        <f>(VLOOKUP(Tabla4[[#This Row],[SERVICIO 2025]],$J$2:$V$14,3,0)*Tabla4[[#This Row],[TOTAL COBERTURA]])</f>
        <v>13828568</v>
      </c>
      <c r="AX338" s="35">
        <f>(VLOOKUP(Tabla4[[#This Row],[SERVICIO 2025]],$J$2:$V$14,3,0)*Tabla4[[#This Row],[TOTAL COBERTURA]])</f>
        <v>13828568</v>
      </c>
      <c r="AY338" s="35">
        <f>(VLOOKUP(Tabla4[[#This Row],[SERVICIO 2025]],$J$2:$V$14,3,0)*Tabla4[[#This Row],[TOTAL COBERTURA]])</f>
        <v>13828568</v>
      </c>
      <c r="AZ338" s="35">
        <f>(VLOOKUP(Tabla4[[#This Row],[SERVICIO 2025]],$J$2:$V$14,3,0)*Tabla4[[#This Row],[TOTAL COBERTURA]])</f>
        <v>13828568</v>
      </c>
      <c r="BA338" s="35">
        <f>(VLOOKUP(Tabla4[[#This Row],[SERVICIO 2025]],$J$2:$V$14,3,0)*Tabla4[[#This Row],[TOTAL COBERTURA]])+Tabla4[[#This Row],[VALOR FASE PREPARATORIA DE CIERRE]]</f>
        <v>16070600</v>
      </c>
      <c r="BB338" s="35">
        <f>SUM(Tabla4[[#This Row],[DESEMBOLSO 1]:[DESEMBOLSO 8]])</f>
        <v>117059852</v>
      </c>
      <c r="BC338" s="35">
        <f>VLOOKUP(Tabla4[[#This Row],[SERVICIO 2025]],$J$2:$V$14,10,0)*Tabla4[[#This Row],[TOTAL COBERTURA]]*7</f>
        <v>65659412</v>
      </c>
      <c r="BD338" s="47" t="s">
        <v>211</v>
      </c>
      <c r="BE338" s="12" t="b">
        <f>EXACT(Tabla4[[#This Row],[VALOR ATENCIÓN (8 MESES)]],Tabla4[[#This Row],[VALOR TOTAL]])</f>
        <v>1</v>
      </c>
      <c r="BF338" s="23">
        <f>Tabla4[[#This Row],[VALOR ATENCIÓN (8 MESES)]]-Tabla4[[#This Row],[VALOR TOTAL]]</f>
        <v>0</v>
      </c>
      <c r="BG338" s="12" t="b">
        <f>EXACT(Tabla4[[#This Row],[TOTAL DESEMBOLSOS]],Tabla4[[#This Row],[VALOR ATENCIÓN (8 MESES)]])</f>
        <v>1</v>
      </c>
      <c r="BH338" s="29">
        <f>Tabla4[[#This Row],[TOTAL DESEMBOLSOS]]-Tabla4[[#This Row],[VALOR ATENCIÓN (8 MESES)]]</f>
        <v>0</v>
      </c>
      <c r="BI338" t="s">
        <v>98</v>
      </c>
    </row>
    <row r="339" spans="1:61">
      <c r="A339" s="13">
        <v>1915</v>
      </c>
      <c r="B339" s="13" t="s">
        <v>805</v>
      </c>
      <c r="C339" s="12" t="s">
        <v>87</v>
      </c>
      <c r="D339" s="12" t="s">
        <v>462</v>
      </c>
      <c r="E339" s="12" t="s">
        <v>463</v>
      </c>
      <c r="F339" s="12" t="s">
        <v>19</v>
      </c>
      <c r="G339" s="12" t="s">
        <v>90</v>
      </c>
      <c r="H339" s="12" t="s">
        <v>817</v>
      </c>
      <c r="I339" s="12">
        <v>50451119190</v>
      </c>
      <c r="J339" s="12" t="s">
        <v>818</v>
      </c>
      <c r="K339" s="12">
        <v>1</v>
      </c>
      <c r="L339" s="12">
        <v>69</v>
      </c>
      <c r="M339" s="12"/>
      <c r="N339" s="13">
        <v>1915</v>
      </c>
      <c r="O339" s="12" t="s">
        <v>93</v>
      </c>
      <c r="P339" s="12"/>
      <c r="Q339" s="12"/>
      <c r="R339" s="12" t="s">
        <v>94</v>
      </c>
      <c r="S339" s="12">
        <v>10</v>
      </c>
      <c r="T339" s="12" t="s">
        <v>808</v>
      </c>
      <c r="U339" s="12" t="s">
        <v>809</v>
      </c>
      <c r="V339" s="12">
        <f>VLOOKUP(Tabla4[[#This Row],[ZONA DEFINITIVO]],Hoja1!$A$1:$D$121,3,0)</f>
        <v>229094</v>
      </c>
      <c r="W339" s="12">
        <f>VLOOKUP(Tabla4[[#This Row],[ZONA DEFINITIVO]],Hoja1!$A$1:$D$121,2,0)</f>
        <v>15183</v>
      </c>
      <c r="X339" s="12">
        <f>VLOOKUP(Tabla4[[#This Row],[ZONA DEFINITIVO]],Hoja1!$A$1:$D$121,4,0)</f>
        <v>91525</v>
      </c>
      <c r="Y339" s="12" t="str">
        <f>+IF(Tabla4[[#This Row],[AGRUPACIONES]]=1,SUMIFS(Tabla4[UDS],Tabla4[ZONA DEFINITIVO],Tabla4[[#This Row],[ZONA DEFINITIVO]])," ")</f>
        <v xml:space="preserve"> </v>
      </c>
      <c r="Z339" s="12" t="str">
        <f>+IF(Tabla4[[#This Row],[AGRUPACIONES]]=1,SUMIFS(Tabla4[TOTAL COBERTURA],Tabla4[ZONA DEFINITIVO],Tabla4[[#This Row],[ZONA DEFINITIVO]])," ")</f>
        <v xml:space="preserve"> </v>
      </c>
      <c r="AA339" s="12"/>
      <c r="AB339" s="38">
        <v>155329419</v>
      </c>
      <c r="AC339" s="37">
        <v>0.02</v>
      </c>
      <c r="AD339" s="38">
        <f t="shared" si="5"/>
        <v>3106588.38</v>
      </c>
      <c r="AE339" s="12"/>
      <c r="AF339" s="12">
        <f>COUNTIF($A$20:A339,A339)</f>
        <v>6</v>
      </c>
      <c r="AG339" s="38">
        <v>155329419</v>
      </c>
      <c r="AH339" s="38">
        <f>Tabla4[[#This Row],[VALOR CONTRAPARTIDA]]+Tabla4[[#This Row],[TOTAL APORTES ICBF]]</f>
        <v>158436007.38</v>
      </c>
      <c r="AI339" s="35"/>
      <c r="AJ339" s="38"/>
      <c r="AK339" s="38"/>
      <c r="AL339" s="23"/>
      <c r="AM339" s="35">
        <f>VLOOKUP(Tabla4[[#This Row],[SERVICIO 2025]],$J$2:$V$14,5,0)*Tabla4[[#This Row],[TOTAL COBERTURA]]</f>
        <v>3550947</v>
      </c>
      <c r="AN339" s="35">
        <f>VLOOKUP(Tabla4[[#This Row],[SERVICIO 2025]],$J$2:$V$14,6,0)*Tabla4[[#This Row],[TOTAL COBERTURA]]</f>
        <v>2975004</v>
      </c>
      <c r="AO339" s="35">
        <f>VLOOKUP(Tabla4[[#This Row],[SERVICIO 2025]],$J$2:$V$14,8,0)*Tabla4[[#This Row],[TOTAL COBERTURA]]</f>
        <v>2007900</v>
      </c>
      <c r="AP339" s="35">
        <f>VLOOKUP(Tabla4[[#This Row],[SERVICIO 2025]],$J$2:$V$14,3,0)*Tabla4[[#This Row],[TOTAL COBERTURA]]*8</f>
        <v>146795568</v>
      </c>
      <c r="AQ339" s="35"/>
      <c r="AR339" s="35">
        <f>Tabla4[[#This Row],[VALOR FASE PREPARATORIA DE ALISTAMIENTO]]+Tabla4[[#This Row],[VALOR FASE PREPARATORIA DE CIERRE]]+Tabla4[[#This Row],[DOTACIÓN ÚNICA]]+Tabla4[[#This Row],[VALOR ATENCIÓN]]+Tabla4[[#This Row],[VALOR RACION PREPARADA]]</f>
        <v>155329419</v>
      </c>
      <c r="AS339" s="35" t="str">
        <f>+IF(Tabla4[[#This Row],[AGRUPACIONES]]=1,SUMIFS(Tabla4[VALOR TOTAL],Tabla4[ZONA DEFINITIVO],Tabla4[[#This Row],[ZONA DEFINITIVO]])," ")</f>
        <v xml:space="preserve"> </v>
      </c>
      <c r="AT339" s="27">
        <f>(VLOOKUP(Tabla4[[#This Row],[SERVICIO 2025]],$J$2:$V$14,3,0)*Tabla4[[#This Row],[TOTAL COBERTURA]])+Tabla4[[#This Row],[VALOR FASE PREPARATORIA DE ALISTAMIENTO]]+Tabla4[[#This Row],[DOTACIÓN ÚNICA]]</f>
        <v>23908293</v>
      </c>
      <c r="AU339" s="35">
        <f>(VLOOKUP(Tabla4[[#This Row],[SERVICIO 2025]],$J$2:$V$14,3,0)*Tabla4[[#This Row],[TOTAL COBERTURA]])</f>
        <v>18349446</v>
      </c>
      <c r="AV339" s="35">
        <f>(VLOOKUP(Tabla4[[#This Row],[SERVICIO 2025]],$J$2:$V$14,3,0)*Tabla4[[#This Row],[TOTAL COBERTURA]])</f>
        <v>18349446</v>
      </c>
      <c r="AW339" s="35">
        <f>(VLOOKUP(Tabla4[[#This Row],[SERVICIO 2025]],$J$2:$V$14,3,0)*Tabla4[[#This Row],[TOTAL COBERTURA]])</f>
        <v>18349446</v>
      </c>
      <c r="AX339" s="35">
        <f>(VLOOKUP(Tabla4[[#This Row],[SERVICIO 2025]],$J$2:$V$14,3,0)*Tabla4[[#This Row],[TOTAL COBERTURA]])</f>
        <v>18349446</v>
      </c>
      <c r="AY339" s="35">
        <f>(VLOOKUP(Tabla4[[#This Row],[SERVICIO 2025]],$J$2:$V$14,3,0)*Tabla4[[#This Row],[TOTAL COBERTURA]])</f>
        <v>18349446</v>
      </c>
      <c r="AZ339" s="35">
        <f>(VLOOKUP(Tabla4[[#This Row],[SERVICIO 2025]],$J$2:$V$14,3,0)*Tabla4[[#This Row],[TOTAL COBERTURA]])</f>
        <v>18349446</v>
      </c>
      <c r="BA339" s="35">
        <f>(VLOOKUP(Tabla4[[#This Row],[SERVICIO 2025]],$J$2:$V$14,3,0)*Tabla4[[#This Row],[TOTAL COBERTURA]])+Tabla4[[#This Row],[VALOR FASE PREPARATORIA DE CIERRE]]</f>
        <v>21324450</v>
      </c>
      <c r="BB339" s="35">
        <f>SUM(Tabla4[[#This Row],[DESEMBOLSO 1]:[DESEMBOLSO 8]])</f>
        <v>155329419</v>
      </c>
      <c r="BC339" s="35">
        <f>VLOOKUP(Tabla4[[#This Row],[SERVICIO 2025]],$J$2:$V$14,10,0)*Tabla4[[#This Row],[TOTAL COBERTURA]]*7</f>
        <v>87124989</v>
      </c>
      <c r="BD339" s="47" t="s">
        <v>211</v>
      </c>
      <c r="BE339" s="12" t="b">
        <f>EXACT(Tabla4[[#This Row],[VALOR ATENCIÓN (8 MESES)]],Tabla4[[#This Row],[VALOR TOTAL]])</f>
        <v>1</v>
      </c>
      <c r="BF339" s="23">
        <f>Tabla4[[#This Row],[VALOR ATENCIÓN (8 MESES)]]-Tabla4[[#This Row],[VALOR TOTAL]]</f>
        <v>0</v>
      </c>
      <c r="BG339" s="12" t="b">
        <f>EXACT(Tabla4[[#This Row],[TOTAL DESEMBOLSOS]],Tabla4[[#This Row],[VALOR ATENCIÓN (8 MESES)]])</f>
        <v>1</v>
      </c>
      <c r="BH339" s="29">
        <f>Tabla4[[#This Row],[TOTAL DESEMBOLSOS]]-Tabla4[[#This Row],[VALOR ATENCIÓN (8 MESES)]]</f>
        <v>0</v>
      </c>
      <c r="BI339" t="s">
        <v>98</v>
      </c>
    </row>
    <row r="340" spans="1:61">
      <c r="A340" s="13">
        <v>1915</v>
      </c>
      <c r="B340" s="13" t="s">
        <v>805</v>
      </c>
      <c r="C340" s="12" t="s">
        <v>87</v>
      </c>
      <c r="D340" s="12" t="s">
        <v>462</v>
      </c>
      <c r="E340" s="12" t="s">
        <v>463</v>
      </c>
      <c r="F340" s="12" t="s">
        <v>19</v>
      </c>
      <c r="G340" s="12" t="s">
        <v>90</v>
      </c>
      <c r="H340" s="12" t="s">
        <v>819</v>
      </c>
      <c r="I340" s="12">
        <v>50451119194</v>
      </c>
      <c r="J340" s="12" t="s">
        <v>820</v>
      </c>
      <c r="K340" s="12">
        <v>1</v>
      </c>
      <c r="L340" s="12">
        <v>117</v>
      </c>
      <c r="M340" s="12"/>
      <c r="N340" s="13">
        <v>1915</v>
      </c>
      <c r="O340" s="12" t="s">
        <v>93</v>
      </c>
      <c r="P340" s="12"/>
      <c r="Q340" s="12"/>
      <c r="R340" s="12" t="s">
        <v>94</v>
      </c>
      <c r="S340" s="12">
        <v>10</v>
      </c>
      <c r="T340" s="12" t="s">
        <v>808</v>
      </c>
      <c r="U340" s="12" t="s">
        <v>809</v>
      </c>
      <c r="V340" s="12">
        <f>VLOOKUP(Tabla4[[#This Row],[ZONA DEFINITIVO]],Hoja1!$A$1:$D$121,3,0)</f>
        <v>229094</v>
      </c>
      <c r="W340" s="12">
        <f>VLOOKUP(Tabla4[[#This Row],[ZONA DEFINITIVO]],Hoja1!$A$1:$D$121,2,0)</f>
        <v>15183</v>
      </c>
      <c r="X340" s="12">
        <f>VLOOKUP(Tabla4[[#This Row],[ZONA DEFINITIVO]],Hoja1!$A$1:$D$121,4,0)</f>
        <v>91525</v>
      </c>
      <c r="Y340" s="12" t="str">
        <f>+IF(Tabla4[[#This Row],[AGRUPACIONES]]=1,SUMIFS(Tabla4[UDS],Tabla4[ZONA DEFINITIVO],Tabla4[[#This Row],[ZONA DEFINITIVO]])," ")</f>
        <v xml:space="preserve"> </v>
      </c>
      <c r="Z340" s="12" t="str">
        <f>+IF(Tabla4[[#This Row],[AGRUPACIONES]]=1,SUMIFS(Tabla4[TOTAL COBERTURA],Tabla4[ZONA DEFINITIVO],Tabla4[[#This Row],[ZONA DEFINITIVO]])," ")</f>
        <v xml:space="preserve"> </v>
      </c>
      <c r="AA340" s="12"/>
      <c r="AB340" s="38">
        <v>263384667</v>
      </c>
      <c r="AC340" s="37">
        <v>0.02</v>
      </c>
      <c r="AD340" s="38">
        <f t="shared" ref="AD340:AD403" si="6">AB340*AC340</f>
        <v>5267693.34</v>
      </c>
      <c r="AE340" s="12"/>
      <c r="AF340" s="12">
        <f>COUNTIF($A$20:A340,A340)</f>
        <v>7</v>
      </c>
      <c r="AG340" s="38">
        <v>263384667</v>
      </c>
      <c r="AH340" s="38">
        <f>Tabla4[[#This Row],[VALOR CONTRAPARTIDA]]+Tabla4[[#This Row],[TOTAL APORTES ICBF]]</f>
        <v>268652360.33999997</v>
      </c>
      <c r="AI340" s="35"/>
      <c r="AJ340" s="38"/>
      <c r="AK340" s="38"/>
      <c r="AL340" s="23"/>
      <c r="AM340" s="35">
        <f>VLOOKUP(Tabla4[[#This Row],[SERVICIO 2025]],$J$2:$V$14,5,0)*Tabla4[[#This Row],[TOTAL COBERTURA]]</f>
        <v>6021171</v>
      </c>
      <c r="AN340" s="35">
        <f>VLOOKUP(Tabla4[[#This Row],[SERVICIO 2025]],$J$2:$V$14,6,0)*Tabla4[[#This Row],[TOTAL COBERTURA]]</f>
        <v>5044572</v>
      </c>
      <c r="AO340" s="35">
        <f>VLOOKUP(Tabla4[[#This Row],[SERVICIO 2025]],$J$2:$V$14,8,0)*Tabla4[[#This Row],[TOTAL COBERTURA]]</f>
        <v>3404700</v>
      </c>
      <c r="AP340" s="35">
        <f>VLOOKUP(Tabla4[[#This Row],[SERVICIO 2025]],$J$2:$V$14,3,0)*Tabla4[[#This Row],[TOTAL COBERTURA]]*8</f>
        <v>248914224</v>
      </c>
      <c r="AQ340" s="35"/>
      <c r="AR340" s="35">
        <f>Tabla4[[#This Row],[VALOR FASE PREPARATORIA DE ALISTAMIENTO]]+Tabla4[[#This Row],[VALOR FASE PREPARATORIA DE CIERRE]]+Tabla4[[#This Row],[DOTACIÓN ÚNICA]]+Tabla4[[#This Row],[VALOR ATENCIÓN]]+Tabla4[[#This Row],[VALOR RACION PREPARADA]]</f>
        <v>263384667</v>
      </c>
      <c r="AS340" s="35" t="str">
        <f>+IF(Tabla4[[#This Row],[AGRUPACIONES]]=1,SUMIFS(Tabla4[VALOR TOTAL],Tabla4[ZONA DEFINITIVO],Tabla4[[#This Row],[ZONA DEFINITIVO]])," ")</f>
        <v xml:space="preserve"> </v>
      </c>
      <c r="AT340" s="27">
        <f>(VLOOKUP(Tabla4[[#This Row],[SERVICIO 2025]],$J$2:$V$14,3,0)*Tabla4[[#This Row],[TOTAL COBERTURA]])+Tabla4[[#This Row],[VALOR FASE PREPARATORIA DE ALISTAMIENTO]]+Tabla4[[#This Row],[DOTACIÓN ÚNICA]]</f>
        <v>40540149</v>
      </c>
      <c r="AU340" s="35">
        <f>(VLOOKUP(Tabla4[[#This Row],[SERVICIO 2025]],$J$2:$V$14,3,0)*Tabla4[[#This Row],[TOTAL COBERTURA]])</f>
        <v>31114278</v>
      </c>
      <c r="AV340" s="35">
        <f>(VLOOKUP(Tabla4[[#This Row],[SERVICIO 2025]],$J$2:$V$14,3,0)*Tabla4[[#This Row],[TOTAL COBERTURA]])</f>
        <v>31114278</v>
      </c>
      <c r="AW340" s="35">
        <f>(VLOOKUP(Tabla4[[#This Row],[SERVICIO 2025]],$J$2:$V$14,3,0)*Tabla4[[#This Row],[TOTAL COBERTURA]])</f>
        <v>31114278</v>
      </c>
      <c r="AX340" s="35">
        <f>(VLOOKUP(Tabla4[[#This Row],[SERVICIO 2025]],$J$2:$V$14,3,0)*Tabla4[[#This Row],[TOTAL COBERTURA]])</f>
        <v>31114278</v>
      </c>
      <c r="AY340" s="35">
        <f>(VLOOKUP(Tabla4[[#This Row],[SERVICIO 2025]],$J$2:$V$14,3,0)*Tabla4[[#This Row],[TOTAL COBERTURA]])</f>
        <v>31114278</v>
      </c>
      <c r="AZ340" s="35">
        <f>(VLOOKUP(Tabla4[[#This Row],[SERVICIO 2025]],$J$2:$V$14,3,0)*Tabla4[[#This Row],[TOTAL COBERTURA]])</f>
        <v>31114278</v>
      </c>
      <c r="BA340" s="35">
        <f>(VLOOKUP(Tabla4[[#This Row],[SERVICIO 2025]],$J$2:$V$14,3,0)*Tabla4[[#This Row],[TOTAL COBERTURA]])+Tabla4[[#This Row],[VALOR FASE PREPARATORIA DE CIERRE]]</f>
        <v>36158850</v>
      </c>
      <c r="BB340" s="35">
        <f>SUM(Tabla4[[#This Row],[DESEMBOLSO 1]:[DESEMBOLSO 8]])</f>
        <v>263384667</v>
      </c>
      <c r="BC340" s="35">
        <f>VLOOKUP(Tabla4[[#This Row],[SERVICIO 2025]],$J$2:$V$14,10,0)*Tabla4[[#This Row],[TOTAL COBERTURA]]*7</f>
        <v>147733677</v>
      </c>
      <c r="BD340" s="47" t="s">
        <v>211</v>
      </c>
      <c r="BE340" s="12" t="b">
        <f>EXACT(Tabla4[[#This Row],[VALOR ATENCIÓN (8 MESES)]],Tabla4[[#This Row],[VALOR TOTAL]])</f>
        <v>1</v>
      </c>
      <c r="BF340" s="23">
        <f>Tabla4[[#This Row],[VALOR ATENCIÓN (8 MESES)]]-Tabla4[[#This Row],[VALOR TOTAL]]</f>
        <v>0</v>
      </c>
      <c r="BG340" s="12" t="b">
        <f>EXACT(Tabla4[[#This Row],[TOTAL DESEMBOLSOS]],Tabla4[[#This Row],[VALOR ATENCIÓN (8 MESES)]])</f>
        <v>1</v>
      </c>
      <c r="BH340" s="29">
        <f>Tabla4[[#This Row],[TOTAL DESEMBOLSOS]]-Tabla4[[#This Row],[VALOR ATENCIÓN (8 MESES)]]</f>
        <v>0</v>
      </c>
      <c r="BI340" t="s">
        <v>98</v>
      </c>
    </row>
    <row r="341" spans="1:61">
      <c r="A341" s="13">
        <v>1915</v>
      </c>
      <c r="B341" s="13" t="s">
        <v>805</v>
      </c>
      <c r="C341" s="12" t="s">
        <v>87</v>
      </c>
      <c r="D341" s="12" t="s">
        <v>462</v>
      </c>
      <c r="E341" s="12" t="s">
        <v>463</v>
      </c>
      <c r="F341" s="12" t="s">
        <v>19</v>
      </c>
      <c r="G341" s="12" t="s">
        <v>90</v>
      </c>
      <c r="H341" s="12" t="s">
        <v>821</v>
      </c>
      <c r="I341" s="12">
        <v>50451135231</v>
      </c>
      <c r="J341" s="12" t="s">
        <v>822</v>
      </c>
      <c r="K341" s="12">
        <v>1</v>
      </c>
      <c r="L341" s="12">
        <v>36</v>
      </c>
      <c r="M341" s="12"/>
      <c r="N341" s="13">
        <v>1915</v>
      </c>
      <c r="O341" s="12" t="s">
        <v>93</v>
      </c>
      <c r="P341" s="12"/>
      <c r="Q341" s="12"/>
      <c r="R341" s="12" t="s">
        <v>94</v>
      </c>
      <c r="S341" s="12">
        <v>10</v>
      </c>
      <c r="T341" s="12" t="s">
        <v>808</v>
      </c>
      <c r="U341" s="12" t="s">
        <v>809</v>
      </c>
      <c r="V341" s="12">
        <f>VLOOKUP(Tabla4[[#This Row],[ZONA DEFINITIVO]],Hoja1!$A$1:$D$121,3,0)</f>
        <v>229094</v>
      </c>
      <c r="W341" s="12">
        <f>VLOOKUP(Tabla4[[#This Row],[ZONA DEFINITIVO]],Hoja1!$A$1:$D$121,2,0)</f>
        <v>15183</v>
      </c>
      <c r="X341" s="12">
        <f>VLOOKUP(Tabla4[[#This Row],[ZONA DEFINITIVO]],Hoja1!$A$1:$D$121,4,0)</f>
        <v>91525</v>
      </c>
      <c r="Y341" s="12" t="str">
        <f>+IF(Tabla4[[#This Row],[AGRUPACIONES]]=1,SUMIFS(Tabla4[UDS],Tabla4[ZONA DEFINITIVO],Tabla4[[#This Row],[ZONA DEFINITIVO]])," ")</f>
        <v xml:space="preserve"> </v>
      </c>
      <c r="Z341" s="12" t="str">
        <f>+IF(Tabla4[[#This Row],[AGRUPACIONES]]=1,SUMIFS(Tabla4[TOTAL COBERTURA],Tabla4[ZONA DEFINITIVO],Tabla4[[#This Row],[ZONA DEFINITIVO]])," ")</f>
        <v xml:space="preserve"> </v>
      </c>
      <c r="AA341" s="12"/>
      <c r="AB341" s="38">
        <v>81041436</v>
      </c>
      <c r="AC341" s="37">
        <v>0.02</v>
      </c>
      <c r="AD341" s="38">
        <f t="shared" si="6"/>
        <v>1620828.72</v>
      </c>
      <c r="AE341" s="12"/>
      <c r="AF341" s="12">
        <f>COUNTIF($A$20:A341,A341)</f>
        <v>8</v>
      </c>
      <c r="AG341" s="38">
        <v>81041436</v>
      </c>
      <c r="AH341" s="38">
        <f>Tabla4[[#This Row],[VALOR CONTRAPARTIDA]]+Tabla4[[#This Row],[TOTAL APORTES ICBF]]</f>
        <v>82662264.719999999</v>
      </c>
      <c r="AI341" s="35"/>
      <c r="AJ341" s="38"/>
      <c r="AK341" s="38"/>
      <c r="AL341" s="23"/>
      <c r="AM341" s="35">
        <f>VLOOKUP(Tabla4[[#This Row],[SERVICIO 2025]],$J$2:$V$14,5,0)*Tabla4[[#This Row],[TOTAL COBERTURA]]</f>
        <v>1852668</v>
      </c>
      <c r="AN341" s="35">
        <f>VLOOKUP(Tabla4[[#This Row],[SERVICIO 2025]],$J$2:$V$14,6,0)*Tabla4[[#This Row],[TOTAL COBERTURA]]</f>
        <v>1552176</v>
      </c>
      <c r="AO341" s="35">
        <f>VLOOKUP(Tabla4[[#This Row],[SERVICIO 2025]],$J$2:$V$14,8,0)*Tabla4[[#This Row],[TOTAL COBERTURA]]</f>
        <v>1047600</v>
      </c>
      <c r="AP341" s="35">
        <f>VLOOKUP(Tabla4[[#This Row],[SERVICIO 2025]],$J$2:$V$14,3,0)*Tabla4[[#This Row],[TOTAL COBERTURA]]*8</f>
        <v>76588992</v>
      </c>
      <c r="AQ341" s="35"/>
      <c r="AR341" s="35">
        <f>Tabla4[[#This Row],[VALOR FASE PREPARATORIA DE ALISTAMIENTO]]+Tabla4[[#This Row],[VALOR FASE PREPARATORIA DE CIERRE]]+Tabla4[[#This Row],[DOTACIÓN ÚNICA]]+Tabla4[[#This Row],[VALOR ATENCIÓN]]+Tabla4[[#This Row],[VALOR RACION PREPARADA]]</f>
        <v>81041436</v>
      </c>
      <c r="AS341" s="35" t="str">
        <f>+IF(Tabla4[[#This Row],[AGRUPACIONES]]=1,SUMIFS(Tabla4[VALOR TOTAL],Tabla4[ZONA DEFINITIVO],Tabla4[[#This Row],[ZONA DEFINITIVO]])," ")</f>
        <v xml:space="preserve"> </v>
      </c>
      <c r="AT341" s="27">
        <f>(VLOOKUP(Tabla4[[#This Row],[SERVICIO 2025]],$J$2:$V$14,3,0)*Tabla4[[#This Row],[TOTAL COBERTURA]])+Tabla4[[#This Row],[VALOR FASE PREPARATORIA DE ALISTAMIENTO]]+Tabla4[[#This Row],[DOTACIÓN ÚNICA]]</f>
        <v>12473892</v>
      </c>
      <c r="AU341" s="35">
        <f>(VLOOKUP(Tabla4[[#This Row],[SERVICIO 2025]],$J$2:$V$14,3,0)*Tabla4[[#This Row],[TOTAL COBERTURA]])</f>
        <v>9573624</v>
      </c>
      <c r="AV341" s="35">
        <f>(VLOOKUP(Tabla4[[#This Row],[SERVICIO 2025]],$J$2:$V$14,3,0)*Tabla4[[#This Row],[TOTAL COBERTURA]])</f>
        <v>9573624</v>
      </c>
      <c r="AW341" s="35">
        <f>(VLOOKUP(Tabla4[[#This Row],[SERVICIO 2025]],$J$2:$V$14,3,0)*Tabla4[[#This Row],[TOTAL COBERTURA]])</f>
        <v>9573624</v>
      </c>
      <c r="AX341" s="35">
        <f>(VLOOKUP(Tabla4[[#This Row],[SERVICIO 2025]],$J$2:$V$14,3,0)*Tabla4[[#This Row],[TOTAL COBERTURA]])</f>
        <v>9573624</v>
      </c>
      <c r="AY341" s="35">
        <f>(VLOOKUP(Tabla4[[#This Row],[SERVICIO 2025]],$J$2:$V$14,3,0)*Tabla4[[#This Row],[TOTAL COBERTURA]])</f>
        <v>9573624</v>
      </c>
      <c r="AZ341" s="35">
        <f>(VLOOKUP(Tabla4[[#This Row],[SERVICIO 2025]],$J$2:$V$14,3,0)*Tabla4[[#This Row],[TOTAL COBERTURA]])</f>
        <v>9573624</v>
      </c>
      <c r="BA341" s="35">
        <f>(VLOOKUP(Tabla4[[#This Row],[SERVICIO 2025]],$J$2:$V$14,3,0)*Tabla4[[#This Row],[TOTAL COBERTURA]])+Tabla4[[#This Row],[VALOR FASE PREPARATORIA DE CIERRE]]</f>
        <v>11125800</v>
      </c>
      <c r="BB341" s="35">
        <f>SUM(Tabla4[[#This Row],[DESEMBOLSO 1]:[DESEMBOLSO 8]])</f>
        <v>81041436</v>
      </c>
      <c r="BC341" s="35">
        <f>VLOOKUP(Tabla4[[#This Row],[SERVICIO 2025]],$J$2:$V$14,10,0)*Tabla4[[#This Row],[TOTAL COBERTURA]]*7</f>
        <v>45456516</v>
      </c>
      <c r="BD341" s="47" t="s">
        <v>211</v>
      </c>
      <c r="BE341" s="12" t="b">
        <f>EXACT(Tabla4[[#This Row],[VALOR ATENCIÓN (8 MESES)]],Tabla4[[#This Row],[VALOR TOTAL]])</f>
        <v>1</v>
      </c>
      <c r="BF341" s="23">
        <f>Tabla4[[#This Row],[VALOR ATENCIÓN (8 MESES)]]-Tabla4[[#This Row],[VALOR TOTAL]]</f>
        <v>0</v>
      </c>
      <c r="BG341" s="12" t="b">
        <f>EXACT(Tabla4[[#This Row],[TOTAL DESEMBOLSOS]],Tabla4[[#This Row],[VALOR ATENCIÓN (8 MESES)]])</f>
        <v>1</v>
      </c>
      <c r="BH341" s="29">
        <f>Tabla4[[#This Row],[TOTAL DESEMBOLSOS]]-Tabla4[[#This Row],[VALOR ATENCIÓN (8 MESES)]]</f>
        <v>0</v>
      </c>
      <c r="BI341" t="s">
        <v>98</v>
      </c>
    </row>
    <row r="342" spans="1:61">
      <c r="A342" s="13">
        <v>1915</v>
      </c>
      <c r="B342" s="13" t="s">
        <v>805</v>
      </c>
      <c r="C342" s="12" t="s">
        <v>87</v>
      </c>
      <c r="D342" s="12" t="s">
        <v>462</v>
      </c>
      <c r="E342" s="12" t="s">
        <v>463</v>
      </c>
      <c r="F342" s="12" t="s">
        <v>19</v>
      </c>
      <c r="G342" s="12" t="s">
        <v>90</v>
      </c>
      <c r="H342" s="12" t="s">
        <v>823</v>
      </c>
      <c r="I342" s="12">
        <v>50451135393</v>
      </c>
      <c r="J342" s="12" t="s">
        <v>824</v>
      </c>
      <c r="K342" s="12">
        <v>1</v>
      </c>
      <c r="L342" s="12">
        <v>40</v>
      </c>
      <c r="M342" s="12"/>
      <c r="N342" s="13">
        <v>1915</v>
      </c>
      <c r="O342" s="12" t="s">
        <v>93</v>
      </c>
      <c r="P342" s="12"/>
      <c r="Q342" s="12"/>
      <c r="R342" s="12" t="s">
        <v>94</v>
      </c>
      <c r="S342" s="12">
        <v>10</v>
      </c>
      <c r="T342" s="12" t="s">
        <v>808</v>
      </c>
      <c r="U342" s="12" t="s">
        <v>809</v>
      </c>
      <c r="V342" s="12">
        <f>VLOOKUP(Tabla4[[#This Row],[ZONA DEFINITIVO]],Hoja1!$A$1:$D$121,3,0)</f>
        <v>229094</v>
      </c>
      <c r="W342" s="12">
        <f>VLOOKUP(Tabla4[[#This Row],[ZONA DEFINITIVO]],Hoja1!$A$1:$D$121,2,0)</f>
        <v>15183</v>
      </c>
      <c r="X342" s="12">
        <f>VLOOKUP(Tabla4[[#This Row],[ZONA DEFINITIVO]],Hoja1!$A$1:$D$121,4,0)</f>
        <v>91525</v>
      </c>
      <c r="Y342" s="12" t="str">
        <f>+IF(Tabla4[[#This Row],[AGRUPACIONES]]=1,SUMIFS(Tabla4[UDS],Tabla4[ZONA DEFINITIVO],Tabla4[[#This Row],[ZONA DEFINITIVO]])," ")</f>
        <v xml:space="preserve"> </v>
      </c>
      <c r="Z342" s="12" t="str">
        <f>+IF(Tabla4[[#This Row],[AGRUPACIONES]]=1,SUMIFS(Tabla4[TOTAL COBERTURA],Tabla4[ZONA DEFINITIVO],Tabla4[[#This Row],[ZONA DEFINITIVO]])," ")</f>
        <v xml:space="preserve"> </v>
      </c>
      <c r="AA342" s="12"/>
      <c r="AB342" s="38">
        <v>90046040</v>
      </c>
      <c r="AC342" s="37">
        <v>0.02</v>
      </c>
      <c r="AD342" s="38">
        <f t="shared" si="6"/>
        <v>1800920.8</v>
      </c>
      <c r="AE342" s="12"/>
      <c r="AF342" s="12">
        <f>COUNTIF($A$20:A342,A342)</f>
        <v>9</v>
      </c>
      <c r="AG342" s="38">
        <v>90046040</v>
      </c>
      <c r="AH342" s="38">
        <f>Tabla4[[#This Row],[VALOR CONTRAPARTIDA]]+Tabla4[[#This Row],[TOTAL APORTES ICBF]]</f>
        <v>91846960.799999997</v>
      </c>
      <c r="AI342" s="35"/>
      <c r="AJ342" s="38"/>
      <c r="AK342" s="38"/>
      <c r="AL342" s="23"/>
      <c r="AM342" s="35">
        <f>VLOOKUP(Tabla4[[#This Row],[SERVICIO 2025]],$J$2:$V$14,5,0)*Tabla4[[#This Row],[TOTAL COBERTURA]]</f>
        <v>2058520</v>
      </c>
      <c r="AN342" s="35">
        <f>VLOOKUP(Tabla4[[#This Row],[SERVICIO 2025]],$J$2:$V$14,6,0)*Tabla4[[#This Row],[TOTAL COBERTURA]]</f>
        <v>1724640</v>
      </c>
      <c r="AO342" s="35">
        <f>VLOOKUP(Tabla4[[#This Row],[SERVICIO 2025]],$J$2:$V$14,8,0)*Tabla4[[#This Row],[TOTAL COBERTURA]]</f>
        <v>1164000</v>
      </c>
      <c r="AP342" s="35">
        <f>VLOOKUP(Tabla4[[#This Row],[SERVICIO 2025]],$J$2:$V$14,3,0)*Tabla4[[#This Row],[TOTAL COBERTURA]]*8</f>
        <v>85098880</v>
      </c>
      <c r="AQ342" s="35"/>
      <c r="AR342" s="35">
        <f>Tabla4[[#This Row],[VALOR FASE PREPARATORIA DE ALISTAMIENTO]]+Tabla4[[#This Row],[VALOR FASE PREPARATORIA DE CIERRE]]+Tabla4[[#This Row],[DOTACIÓN ÚNICA]]+Tabla4[[#This Row],[VALOR ATENCIÓN]]+Tabla4[[#This Row],[VALOR RACION PREPARADA]]</f>
        <v>90046040</v>
      </c>
      <c r="AS342" s="35" t="str">
        <f>+IF(Tabla4[[#This Row],[AGRUPACIONES]]=1,SUMIFS(Tabla4[VALOR TOTAL],Tabla4[ZONA DEFINITIVO],Tabla4[[#This Row],[ZONA DEFINITIVO]])," ")</f>
        <v xml:space="preserve"> </v>
      </c>
      <c r="AT342" s="27">
        <f>(VLOOKUP(Tabla4[[#This Row],[SERVICIO 2025]],$J$2:$V$14,3,0)*Tabla4[[#This Row],[TOTAL COBERTURA]])+Tabla4[[#This Row],[VALOR FASE PREPARATORIA DE ALISTAMIENTO]]+Tabla4[[#This Row],[DOTACIÓN ÚNICA]]</f>
        <v>13859880</v>
      </c>
      <c r="AU342" s="35">
        <f>(VLOOKUP(Tabla4[[#This Row],[SERVICIO 2025]],$J$2:$V$14,3,0)*Tabla4[[#This Row],[TOTAL COBERTURA]])</f>
        <v>10637360</v>
      </c>
      <c r="AV342" s="35">
        <f>(VLOOKUP(Tabla4[[#This Row],[SERVICIO 2025]],$J$2:$V$14,3,0)*Tabla4[[#This Row],[TOTAL COBERTURA]])</f>
        <v>10637360</v>
      </c>
      <c r="AW342" s="35">
        <f>(VLOOKUP(Tabla4[[#This Row],[SERVICIO 2025]],$J$2:$V$14,3,0)*Tabla4[[#This Row],[TOTAL COBERTURA]])</f>
        <v>10637360</v>
      </c>
      <c r="AX342" s="35">
        <f>(VLOOKUP(Tabla4[[#This Row],[SERVICIO 2025]],$J$2:$V$14,3,0)*Tabla4[[#This Row],[TOTAL COBERTURA]])</f>
        <v>10637360</v>
      </c>
      <c r="AY342" s="35">
        <f>(VLOOKUP(Tabla4[[#This Row],[SERVICIO 2025]],$J$2:$V$14,3,0)*Tabla4[[#This Row],[TOTAL COBERTURA]])</f>
        <v>10637360</v>
      </c>
      <c r="AZ342" s="35">
        <f>(VLOOKUP(Tabla4[[#This Row],[SERVICIO 2025]],$J$2:$V$14,3,0)*Tabla4[[#This Row],[TOTAL COBERTURA]])</f>
        <v>10637360</v>
      </c>
      <c r="BA342" s="35">
        <f>(VLOOKUP(Tabla4[[#This Row],[SERVICIO 2025]],$J$2:$V$14,3,0)*Tabla4[[#This Row],[TOTAL COBERTURA]])+Tabla4[[#This Row],[VALOR FASE PREPARATORIA DE CIERRE]]</f>
        <v>12362000</v>
      </c>
      <c r="BB342" s="35">
        <f>SUM(Tabla4[[#This Row],[DESEMBOLSO 1]:[DESEMBOLSO 8]])</f>
        <v>90046040</v>
      </c>
      <c r="BC342" s="35">
        <f>VLOOKUP(Tabla4[[#This Row],[SERVICIO 2025]],$J$2:$V$14,10,0)*Tabla4[[#This Row],[TOTAL COBERTURA]]*7</f>
        <v>50507240</v>
      </c>
      <c r="BD342" s="47" t="s">
        <v>211</v>
      </c>
      <c r="BE342" s="12" t="b">
        <f>EXACT(Tabla4[[#This Row],[VALOR ATENCIÓN (8 MESES)]],Tabla4[[#This Row],[VALOR TOTAL]])</f>
        <v>1</v>
      </c>
      <c r="BF342" s="23">
        <f>Tabla4[[#This Row],[VALOR ATENCIÓN (8 MESES)]]-Tabla4[[#This Row],[VALOR TOTAL]]</f>
        <v>0</v>
      </c>
      <c r="BG342" s="12" t="b">
        <f>EXACT(Tabla4[[#This Row],[TOTAL DESEMBOLSOS]],Tabla4[[#This Row],[VALOR ATENCIÓN (8 MESES)]])</f>
        <v>1</v>
      </c>
      <c r="BH342" s="29">
        <f>Tabla4[[#This Row],[TOTAL DESEMBOLSOS]]-Tabla4[[#This Row],[VALOR ATENCIÓN (8 MESES)]]</f>
        <v>0</v>
      </c>
      <c r="BI342" t="s">
        <v>98</v>
      </c>
    </row>
    <row r="343" spans="1:61">
      <c r="A343" s="13">
        <v>1915</v>
      </c>
      <c r="B343" s="13" t="s">
        <v>805</v>
      </c>
      <c r="C343" s="12" t="s">
        <v>87</v>
      </c>
      <c r="D343" s="12" t="s">
        <v>462</v>
      </c>
      <c r="E343" s="12" t="s">
        <v>463</v>
      </c>
      <c r="F343" s="12" t="s">
        <v>19</v>
      </c>
      <c r="G343" s="12" t="s">
        <v>90</v>
      </c>
      <c r="H343" s="12" t="s">
        <v>825</v>
      </c>
      <c r="I343" s="12">
        <v>50451135554</v>
      </c>
      <c r="J343" s="12" t="s">
        <v>826</v>
      </c>
      <c r="K343" s="12">
        <v>1</v>
      </c>
      <c r="L343" s="12">
        <v>83</v>
      </c>
      <c r="M343" s="12"/>
      <c r="N343" s="13">
        <v>1915</v>
      </c>
      <c r="O343" s="12" t="s">
        <v>93</v>
      </c>
      <c r="P343" s="12"/>
      <c r="Q343" s="12"/>
      <c r="R343" s="12" t="s">
        <v>94</v>
      </c>
      <c r="S343" s="12">
        <v>10</v>
      </c>
      <c r="T343" s="12" t="s">
        <v>808</v>
      </c>
      <c r="U343" s="12" t="s">
        <v>809</v>
      </c>
      <c r="V343" s="12">
        <f>VLOOKUP(Tabla4[[#This Row],[ZONA DEFINITIVO]],Hoja1!$A$1:$D$121,3,0)</f>
        <v>229094</v>
      </c>
      <c r="W343" s="12">
        <f>VLOOKUP(Tabla4[[#This Row],[ZONA DEFINITIVO]],Hoja1!$A$1:$D$121,2,0)</f>
        <v>15183</v>
      </c>
      <c r="X343" s="12">
        <f>VLOOKUP(Tabla4[[#This Row],[ZONA DEFINITIVO]],Hoja1!$A$1:$D$121,4,0)</f>
        <v>91525</v>
      </c>
      <c r="Y343" s="12" t="str">
        <f>+IF(Tabla4[[#This Row],[AGRUPACIONES]]=1,SUMIFS(Tabla4[UDS],Tabla4[ZONA DEFINITIVO],Tabla4[[#This Row],[ZONA DEFINITIVO]])," ")</f>
        <v xml:space="preserve"> </v>
      </c>
      <c r="Z343" s="12" t="str">
        <f>+IF(Tabla4[[#This Row],[AGRUPACIONES]]=1,SUMIFS(Tabla4[TOTAL COBERTURA],Tabla4[ZONA DEFINITIVO],Tabla4[[#This Row],[ZONA DEFINITIVO]])," ")</f>
        <v xml:space="preserve"> </v>
      </c>
      <c r="AA343" s="12"/>
      <c r="AB343" s="38">
        <v>186845533</v>
      </c>
      <c r="AC343" s="37">
        <v>0.02</v>
      </c>
      <c r="AD343" s="38">
        <f t="shared" si="6"/>
        <v>3736910.66</v>
      </c>
      <c r="AE343" s="12"/>
      <c r="AF343" s="12">
        <f>COUNTIF($A$20:A343,A343)</f>
        <v>10</v>
      </c>
      <c r="AG343" s="38">
        <v>186845533</v>
      </c>
      <c r="AH343" s="38">
        <f>Tabla4[[#This Row],[VALOR CONTRAPARTIDA]]+Tabla4[[#This Row],[TOTAL APORTES ICBF]]</f>
        <v>190582443.66</v>
      </c>
      <c r="AI343" s="35"/>
      <c r="AJ343" s="38"/>
      <c r="AK343" s="38"/>
      <c r="AL343" s="23"/>
      <c r="AM343" s="35">
        <f>VLOOKUP(Tabla4[[#This Row],[SERVICIO 2025]],$J$2:$V$14,5,0)*Tabla4[[#This Row],[TOTAL COBERTURA]]</f>
        <v>4271429</v>
      </c>
      <c r="AN343" s="35">
        <f>VLOOKUP(Tabla4[[#This Row],[SERVICIO 2025]],$J$2:$V$14,6,0)*Tabla4[[#This Row],[TOTAL COBERTURA]]</f>
        <v>3578628</v>
      </c>
      <c r="AO343" s="35">
        <f>VLOOKUP(Tabla4[[#This Row],[SERVICIO 2025]],$J$2:$V$14,8,0)*Tabla4[[#This Row],[TOTAL COBERTURA]]</f>
        <v>2415300</v>
      </c>
      <c r="AP343" s="35">
        <f>VLOOKUP(Tabla4[[#This Row],[SERVICIO 2025]],$J$2:$V$14,3,0)*Tabla4[[#This Row],[TOTAL COBERTURA]]*8</f>
        <v>176580176</v>
      </c>
      <c r="AQ343" s="35"/>
      <c r="AR343" s="35">
        <f>Tabla4[[#This Row],[VALOR FASE PREPARATORIA DE ALISTAMIENTO]]+Tabla4[[#This Row],[VALOR FASE PREPARATORIA DE CIERRE]]+Tabla4[[#This Row],[DOTACIÓN ÚNICA]]+Tabla4[[#This Row],[VALOR ATENCIÓN]]+Tabla4[[#This Row],[VALOR RACION PREPARADA]]</f>
        <v>186845533</v>
      </c>
      <c r="AS343" s="35" t="str">
        <f>+IF(Tabla4[[#This Row],[AGRUPACIONES]]=1,SUMIFS(Tabla4[VALOR TOTAL],Tabla4[ZONA DEFINITIVO],Tabla4[[#This Row],[ZONA DEFINITIVO]])," ")</f>
        <v xml:space="preserve"> </v>
      </c>
      <c r="AT343" s="27">
        <f>(VLOOKUP(Tabla4[[#This Row],[SERVICIO 2025]],$J$2:$V$14,3,0)*Tabla4[[#This Row],[TOTAL COBERTURA]])+Tabla4[[#This Row],[VALOR FASE PREPARATORIA DE ALISTAMIENTO]]+Tabla4[[#This Row],[DOTACIÓN ÚNICA]]</f>
        <v>28759251</v>
      </c>
      <c r="AU343" s="35">
        <f>(VLOOKUP(Tabla4[[#This Row],[SERVICIO 2025]],$J$2:$V$14,3,0)*Tabla4[[#This Row],[TOTAL COBERTURA]])</f>
        <v>22072522</v>
      </c>
      <c r="AV343" s="35">
        <f>(VLOOKUP(Tabla4[[#This Row],[SERVICIO 2025]],$J$2:$V$14,3,0)*Tabla4[[#This Row],[TOTAL COBERTURA]])</f>
        <v>22072522</v>
      </c>
      <c r="AW343" s="35">
        <f>(VLOOKUP(Tabla4[[#This Row],[SERVICIO 2025]],$J$2:$V$14,3,0)*Tabla4[[#This Row],[TOTAL COBERTURA]])</f>
        <v>22072522</v>
      </c>
      <c r="AX343" s="35">
        <f>(VLOOKUP(Tabla4[[#This Row],[SERVICIO 2025]],$J$2:$V$14,3,0)*Tabla4[[#This Row],[TOTAL COBERTURA]])</f>
        <v>22072522</v>
      </c>
      <c r="AY343" s="35">
        <f>(VLOOKUP(Tabla4[[#This Row],[SERVICIO 2025]],$J$2:$V$14,3,0)*Tabla4[[#This Row],[TOTAL COBERTURA]])</f>
        <v>22072522</v>
      </c>
      <c r="AZ343" s="35">
        <f>(VLOOKUP(Tabla4[[#This Row],[SERVICIO 2025]],$J$2:$V$14,3,0)*Tabla4[[#This Row],[TOTAL COBERTURA]])</f>
        <v>22072522</v>
      </c>
      <c r="BA343" s="35">
        <f>(VLOOKUP(Tabla4[[#This Row],[SERVICIO 2025]],$J$2:$V$14,3,0)*Tabla4[[#This Row],[TOTAL COBERTURA]])+Tabla4[[#This Row],[VALOR FASE PREPARATORIA DE CIERRE]]</f>
        <v>25651150</v>
      </c>
      <c r="BB343" s="35">
        <f>SUM(Tabla4[[#This Row],[DESEMBOLSO 1]:[DESEMBOLSO 8]])</f>
        <v>186845533</v>
      </c>
      <c r="BC343" s="35">
        <f>VLOOKUP(Tabla4[[#This Row],[SERVICIO 2025]],$J$2:$V$14,10,0)*Tabla4[[#This Row],[TOTAL COBERTURA]]*7</f>
        <v>104802523</v>
      </c>
      <c r="BD343" s="47" t="s">
        <v>211</v>
      </c>
      <c r="BE343" s="12" t="b">
        <f>EXACT(Tabla4[[#This Row],[VALOR ATENCIÓN (8 MESES)]],Tabla4[[#This Row],[VALOR TOTAL]])</f>
        <v>1</v>
      </c>
      <c r="BF343" s="23">
        <f>Tabla4[[#This Row],[VALOR ATENCIÓN (8 MESES)]]-Tabla4[[#This Row],[VALOR TOTAL]]</f>
        <v>0</v>
      </c>
      <c r="BG343" s="12" t="b">
        <f>EXACT(Tabla4[[#This Row],[TOTAL DESEMBOLSOS]],Tabla4[[#This Row],[VALOR ATENCIÓN (8 MESES)]])</f>
        <v>1</v>
      </c>
      <c r="BH343" s="29">
        <f>Tabla4[[#This Row],[TOTAL DESEMBOLSOS]]-Tabla4[[#This Row],[VALOR ATENCIÓN (8 MESES)]]</f>
        <v>0</v>
      </c>
      <c r="BI343" t="s">
        <v>98</v>
      </c>
    </row>
    <row r="344" spans="1:61">
      <c r="A344" s="13">
        <v>1915</v>
      </c>
      <c r="B344" s="13" t="s">
        <v>805</v>
      </c>
      <c r="C344" s="12" t="s">
        <v>87</v>
      </c>
      <c r="D344" s="12" t="s">
        <v>462</v>
      </c>
      <c r="E344" s="12" t="s">
        <v>463</v>
      </c>
      <c r="F344" s="12" t="s">
        <v>19</v>
      </c>
      <c r="G344" s="12" t="s">
        <v>90</v>
      </c>
      <c r="H344" s="12" t="s">
        <v>827</v>
      </c>
      <c r="I344" s="12">
        <v>50451135558</v>
      </c>
      <c r="J344" s="12" t="s">
        <v>828</v>
      </c>
      <c r="K344" s="12">
        <v>1</v>
      </c>
      <c r="L344" s="12">
        <v>100</v>
      </c>
      <c r="M344" s="12"/>
      <c r="N344" s="13">
        <v>1915</v>
      </c>
      <c r="O344" s="12" t="s">
        <v>93</v>
      </c>
      <c r="P344" s="12"/>
      <c r="Q344" s="12"/>
      <c r="R344" s="12" t="s">
        <v>94</v>
      </c>
      <c r="S344" s="12">
        <v>10</v>
      </c>
      <c r="T344" s="12" t="s">
        <v>808</v>
      </c>
      <c r="U344" s="12" t="s">
        <v>809</v>
      </c>
      <c r="V344" s="12">
        <f>VLOOKUP(Tabla4[[#This Row],[ZONA DEFINITIVO]],Hoja1!$A$1:$D$121,3,0)</f>
        <v>229094</v>
      </c>
      <c r="W344" s="12">
        <f>VLOOKUP(Tabla4[[#This Row],[ZONA DEFINITIVO]],Hoja1!$A$1:$D$121,2,0)</f>
        <v>15183</v>
      </c>
      <c r="X344" s="12">
        <f>VLOOKUP(Tabla4[[#This Row],[ZONA DEFINITIVO]],Hoja1!$A$1:$D$121,4,0)</f>
        <v>91525</v>
      </c>
      <c r="Y344" s="12" t="str">
        <f>+IF(Tabla4[[#This Row],[AGRUPACIONES]]=1,SUMIFS(Tabla4[UDS],Tabla4[ZONA DEFINITIVO],Tabla4[[#This Row],[ZONA DEFINITIVO]])," ")</f>
        <v xml:space="preserve"> </v>
      </c>
      <c r="Z344" s="12" t="str">
        <f>+IF(Tabla4[[#This Row],[AGRUPACIONES]]=1,SUMIFS(Tabla4[TOTAL COBERTURA],Tabla4[ZONA DEFINITIVO],Tabla4[[#This Row],[ZONA DEFINITIVO]])," ")</f>
        <v xml:space="preserve"> </v>
      </c>
      <c r="AA344" s="12"/>
      <c r="AB344" s="38">
        <v>225115100</v>
      </c>
      <c r="AC344" s="37">
        <v>0.02</v>
      </c>
      <c r="AD344" s="38">
        <f t="shared" si="6"/>
        <v>4502302</v>
      </c>
      <c r="AE344" s="12"/>
      <c r="AF344" s="12">
        <f>COUNTIF($A$20:A344,A344)</f>
        <v>11</v>
      </c>
      <c r="AG344" s="38">
        <v>225115100</v>
      </c>
      <c r="AH344" s="38">
        <f>Tabla4[[#This Row],[VALOR CONTRAPARTIDA]]+Tabla4[[#This Row],[TOTAL APORTES ICBF]]</f>
        <v>229617402</v>
      </c>
      <c r="AI344" s="35"/>
      <c r="AJ344" s="38"/>
      <c r="AK344" s="38"/>
      <c r="AL344" s="23"/>
      <c r="AM344" s="35">
        <f>VLOOKUP(Tabla4[[#This Row],[SERVICIO 2025]],$J$2:$V$14,5,0)*Tabla4[[#This Row],[TOTAL COBERTURA]]</f>
        <v>5146300</v>
      </c>
      <c r="AN344" s="35">
        <f>VLOOKUP(Tabla4[[#This Row],[SERVICIO 2025]],$J$2:$V$14,6,0)*Tabla4[[#This Row],[TOTAL COBERTURA]]</f>
        <v>4311600</v>
      </c>
      <c r="AO344" s="35">
        <f>VLOOKUP(Tabla4[[#This Row],[SERVICIO 2025]],$J$2:$V$14,8,0)*Tabla4[[#This Row],[TOTAL COBERTURA]]</f>
        <v>2910000</v>
      </c>
      <c r="AP344" s="35">
        <f>VLOOKUP(Tabla4[[#This Row],[SERVICIO 2025]],$J$2:$V$14,3,0)*Tabla4[[#This Row],[TOTAL COBERTURA]]*8</f>
        <v>212747200</v>
      </c>
      <c r="AQ344" s="35"/>
      <c r="AR344" s="35">
        <f>Tabla4[[#This Row],[VALOR FASE PREPARATORIA DE ALISTAMIENTO]]+Tabla4[[#This Row],[VALOR FASE PREPARATORIA DE CIERRE]]+Tabla4[[#This Row],[DOTACIÓN ÚNICA]]+Tabla4[[#This Row],[VALOR ATENCIÓN]]+Tabla4[[#This Row],[VALOR RACION PREPARADA]]</f>
        <v>225115100</v>
      </c>
      <c r="AS344" s="35" t="str">
        <f>+IF(Tabla4[[#This Row],[AGRUPACIONES]]=1,SUMIFS(Tabla4[VALOR TOTAL],Tabla4[ZONA DEFINITIVO],Tabla4[[#This Row],[ZONA DEFINITIVO]])," ")</f>
        <v xml:space="preserve"> </v>
      </c>
      <c r="AT344" s="27">
        <f>(VLOOKUP(Tabla4[[#This Row],[SERVICIO 2025]],$J$2:$V$14,3,0)*Tabla4[[#This Row],[TOTAL COBERTURA]])+Tabla4[[#This Row],[VALOR FASE PREPARATORIA DE ALISTAMIENTO]]+Tabla4[[#This Row],[DOTACIÓN ÚNICA]]</f>
        <v>34649700</v>
      </c>
      <c r="AU344" s="35">
        <f>(VLOOKUP(Tabla4[[#This Row],[SERVICIO 2025]],$J$2:$V$14,3,0)*Tabla4[[#This Row],[TOTAL COBERTURA]])</f>
        <v>26593400</v>
      </c>
      <c r="AV344" s="35">
        <f>(VLOOKUP(Tabla4[[#This Row],[SERVICIO 2025]],$J$2:$V$14,3,0)*Tabla4[[#This Row],[TOTAL COBERTURA]])</f>
        <v>26593400</v>
      </c>
      <c r="AW344" s="35">
        <f>(VLOOKUP(Tabla4[[#This Row],[SERVICIO 2025]],$J$2:$V$14,3,0)*Tabla4[[#This Row],[TOTAL COBERTURA]])</f>
        <v>26593400</v>
      </c>
      <c r="AX344" s="35">
        <f>(VLOOKUP(Tabla4[[#This Row],[SERVICIO 2025]],$J$2:$V$14,3,0)*Tabla4[[#This Row],[TOTAL COBERTURA]])</f>
        <v>26593400</v>
      </c>
      <c r="AY344" s="35">
        <f>(VLOOKUP(Tabla4[[#This Row],[SERVICIO 2025]],$J$2:$V$14,3,0)*Tabla4[[#This Row],[TOTAL COBERTURA]])</f>
        <v>26593400</v>
      </c>
      <c r="AZ344" s="35">
        <f>(VLOOKUP(Tabla4[[#This Row],[SERVICIO 2025]],$J$2:$V$14,3,0)*Tabla4[[#This Row],[TOTAL COBERTURA]])</f>
        <v>26593400</v>
      </c>
      <c r="BA344" s="35">
        <f>(VLOOKUP(Tabla4[[#This Row],[SERVICIO 2025]],$J$2:$V$14,3,0)*Tabla4[[#This Row],[TOTAL COBERTURA]])+Tabla4[[#This Row],[VALOR FASE PREPARATORIA DE CIERRE]]</f>
        <v>30905000</v>
      </c>
      <c r="BB344" s="35">
        <f>SUM(Tabla4[[#This Row],[DESEMBOLSO 1]:[DESEMBOLSO 8]])</f>
        <v>225115100</v>
      </c>
      <c r="BC344" s="35">
        <f>VLOOKUP(Tabla4[[#This Row],[SERVICIO 2025]],$J$2:$V$14,10,0)*Tabla4[[#This Row],[TOTAL COBERTURA]]*7</f>
        <v>126268100</v>
      </c>
      <c r="BD344" s="47" t="s">
        <v>211</v>
      </c>
      <c r="BE344" s="12" t="b">
        <f>EXACT(Tabla4[[#This Row],[VALOR ATENCIÓN (8 MESES)]],Tabla4[[#This Row],[VALOR TOTAL]])</f>
        <v>1</v>
      </c>
      <c r="BF344" s="23">
        <f>Tabla4[[#This Row],[VALOR ATENCIÓN (8 MESES)]]-Tabla4[[#This Row],[VALOR TOTAL]]</f>
        <v>0</v>
      </c>
      <c r="BG344" s="12" t="b">
        <f>EXACT(Tabla4[[#This Row],[TOTAL DESEMBOLSOS]],Tabla4[[#This Row],[VALOR ATENCIÓN (8 MESES)]])</f>
        <v>1</v>
      </c>
      <c r="BH344" s="29">
        <f>Tabla4[[#This Row],[TOTAL DESEMBOLSOS]]-Tabla4[[#This Row],[VALOR ATENCIÓN (8 MESES)]]</f>
        <v>0</v>
      </c>
      <c r="BI344" t="s">
        <v>98</v>
      </c>
    </row>
    <row r="345" spans="1:61">
      <c r="A345" s="13">
        <v>1915</v>
      </c>
      <c r="B345" s="13" t="s">
        <v>805</v>
      </c>
      <c r="C345" s="12" t="s">
        <v>87</v>
      </c>
      <c r="D345" s="12" t="s">
        <v>462</v>
      </c>
      <c r="E345" s="12" t="s">
        <v>463</v>
      </c>
      <c r="F345" s="12" t="s">
        <v>19</v>
      </c>
      <c r="G345" s="12" t="s">
        <v>90</v>
      </c>
      <c r="H345" s="12" t="s">
        <v>829</v>
      </c>
      <c r="I345" s="12">
        <v>50451135860</v>
      </c>
      <c r="J345" s="12" t="s">
        <v>830</v>
      </c>
      <c r="K345" s="12">
        <v>1</v>
      </c>
      <c r="L345" s="12">
        <v>17</v>
      </c>
      <c r="M345" s="12"/>
      <c r="N345" s="13">
        <v>1915</v>
      </c>
      <c r="O345" s="12" t="s">
        <v>93</v>
      </c>
      <c r="P345" s="12"/>
      <c r="Q345" s="12"/>
      <c r="R345" s="12" t="s">
        <v>94</v>
      </c>
      <c r="S345" s="12">
        <v>10</v>
      </c>
      <c r="T345" s="12" t="s">
        <v>808</v>
      </c>
      <c r="U345" s="12" t="s">
        <v>809</v>
      </c>
      <c r="V345" s="12">
        <f>VLOOKUP(Tabla4[[#This Row],[ZONA DEFINITIVO]],Hoja1!$A$1:$D$121,3,0)</f>
        <v>229094</v>
      </c>
      <c r="W345" s="12">
        <f>VLOOKUP(Tabla4[[#This Row],[ZONA DEFINITIVO]],Hoja1!$A$1:$D$121,2,0)</f>
        <v>15183</v>
      </c>
      <c r="X345" s="12">
        <f>VLOOKUP(Tabla4[[#This Row],[ZONA DEFINITIVO]],Hoja1!$A$1:$D$121,4,0)</f>
        <v>91525</v>
      </c>
      <c r="Y345" s="12" t="str">
        <f>+IF(Tabla4[[#This Row],[AGRUPACIONES]]=1,SUMIFS(Tabla4[UDS],Tabla4[ZONA DEFINITIVO],Tabla4[[#This Row],[ZONA DEFINITIVO]])," ")</f>
        <v xml:space="preserve"> </v>
      </c>
      <c r="Z345" s="12" t="str">
        <f>+IF(Tabla4[[#This Row],[AGRUPACIONES]]=1,SUMIFS(Tabla4[TOTAL COBERTURA],Tabla4[ZONA DEFINITIVO],Tabla4[[#This Row],[ZONA DEFINITIVO]])," ")</f>
        <v xml:space="preserve"> </v>
      </c>
      <c r="AA345" s="12"/>
      <c r="AB345" s="38">
        <v>38269567</v>
      </c>
      <c r="AC345" s="37">
        <v>0.02</v>
      </c>
      <c r="AD345" s="38">
        <f t="shared" si="6"/>
        <v>765391.34</v>
      </c>
      <c r="AE345" s="12"/>
      <c r="AF345" s="12">
        <f>COUNTIF($A$20:A345,A345)</f>
        <v>12</v>
      </c>
      <c r="AG345" s="38">
        <v>38269567</v>
      </c>
      <c r="AH345" s="38">
        <f>Tabla4[[#This Row],[VALOR CONTRAPARTIDA]]+Tabla4[[#This Row],[TOTAL APORTES ICBF]]</f>
        <v>39034958.340000004</v>
      </c>
      <c r="AI345" s="35"/>
      <c r="AJ345" s="38"/>
      <c r="AK345" s="38"/>
      <c r="AL345" s="23"/>
      <c r="AM345" s="35">
        <f>VLOOKUP(Tabla4[[#This Row],[SERVICIO 2025]],$J$2:$V$14,5,0)*Tabla4[[#This Row],[TOTAL COBERTURA]]</f>
        <v>874871</v>
      </c>
      <c r="AN345" s="35">
        <f>VLOOKUP(Tabla4[[#This Row],[SERVICIO 2025]],$J$2:$V$14,6,0)*Tabla4[[#This Row],[TOTAL COBERTURA]]</f>
        <v>732972</v>
      </c>
      <c r="AO345" s="35">
        <f>VLOOKUP(Tabla4[[#This Row],[SERVICIO 2025]],$J$2:$V$14,8,0)*Tabla4[[#This Row],[TOTAL COBERTURA]]</f>
        <v>494700</v>
      </c>
      <c r="AP345" s="35">
        <f>VLOOKUP(Tabla4[[#This Row],[SERVICIO 2025]],$J$2:$V$14,3,0)*Tabla4[[#This Row],[TOTAL COBERTURA]]*8</f>
        <v>36167024</v>
      </c>
      <c r="AQ345" s="35"/>
      <c r="AR345" s="35">
        <f>Tabla4[[#This Row],[VALOR FASE PREPARATORIA DE ALISTAMIENTO]]+Tabla4[[#This Row],[VALOR FASE PREPARATORIA DE CIERRE]]+Tabla4[[#This Row],[DOTACIÓN ÚNICA]]+Tabla4[[#This Row],[VALOR ATENCIÓN]]+Tabla4[[#This Row],[VALOR RACION PREPARADA]]</f>
        <v>38269567</v>
      </c>
      <c r="AS345" s="35" t="str">
        <f>+IF(Tabla4[[#This Row],[AGRUPACIONES]]=1,SUMIFS(Tabla4[VALOR TOTAL],Tabla4[ZONA DEFINITIVO],Tabla4[[#This Row],[ZONA DEFINITIVO]])," ")</f>
        <v xml:space="preserve"> </v>
      </c>
      <c r="AT345" s="27">
        <f>(VLOOKUP(Tabla4[[#This Row],[SERVICIO 2025]],$J$2:$V$14,3,0)*Tabla4[[#This Row],[TOTAL COBERTURA]])+Tabla4[[#This Row],[VALOR FASE PREPARATORIA DE ALISTAMIENTO]]+Tabla4[[#This Row],[DOTACIÓN ÚNICA]]</f>
        <v>5890449</v>
      </c>
      <c r="AU345" s="35">
        <f>(VLOOKUP(Tabla4[[#This Row],[SERVICIO 2025]],$J$2:$V$14,3,0)*Tabla4[[#This Row],[TOTAL COBERTURA]])</f>
        <v>4520878</v>
      </c>
      <c r="AV345" s="35">
        <f>(VLOOKUP(Tabla4[[#This Row],[SERVICIO 2025]],$J$2:$V$14,3,0)*Tabla4[[#This Row],[TOTAL COBERTURA]])</f>
        <v>4520878</v>
      </c>
      <c r="AW345" s="35">
        <f>(VLOOKUP(Tabla4[[#This Row],[SERVICIO 2025]],$J$2:$V$14,3,0)*Tabla4[[#This Row],[TOTAL COBERTURA]])</f>
        <v>4520878</v>
      </c>
      <c r="AX345" s="35">
        <f>(VLOOKUP(Tabla4[[#This Row],[SERVICIO 2025]],$J$2:$V$14,3,0)*Tabla4[[#This Row],[TOTAL COBERTURA]])</f>
        <v>4520878</v>
      </c>
      <c r="AY345" s="35">
        <f>(VLOOKUP(Tabla4[[#This Row],[SERVICIO 2025]],$J$2:$V$14,3,0)*Tabla4[[#This Row],[TOTAL COBERTURA]])</f>
        <v>4520878</v>
      </c>
      <c r="AZ345" s="35">
        <f>(VLOOKUP(Tabla4[[#This Row],[SERVICIO 2025]],$J$2:$V$14,3,0)*Tabla4[[#This Row],[TOTAL COBERTURA]])</f>
        <v>4520878</v>
      </c>
      <c r="BA345" s="35">
        <f>(VLOOKUP(Tabla4[[#This Row],[SERVICIO 2025]],$J$2:$V$14,3,0)*Tabla4[[#This Row],[TOTAL COBERTURA]])+Tabla4[[#This Row],[VALOR FASE PREPARATORIA DE CIERRE]]</f>
        <v>5253850</v>
      </c>
      <c r="BB345" s="35">
        <f>SUM(Tabla4[[#This Row],[DESEMBOLSO 1]:[DESEMBOLSO 8]])</f>
        <v>38269567</v>
      </c>
      <c r="BC345" s="35">
        <f>VLOOKUP(Tabla4[[#This Row],[SERVICIO 2025]],$J$2:$V$14,10,0)*Tabla4[[#This Row],[TOTAL COBERTURA]]*7</f>
        <v>21465577</v>
      </c>
      <c r="BD345" s="47" t="s">
        <v>211</v>
      </c>
      <c r="BE345" s="12" t="b">
        <f>EXACT(Tabla4[[#This Row],[VALOR ATENCIÓN (8 MESES)]],Tabla4[[#This Row],[VALOR TOTAL]])</f>
        <v>1</v>
      </c>
      <c r="BF345" s="23">
        <f>Tabla4[[#This Row],[VALOR ATENCIÓN (8 MESES)]]-Tabla4[[#This Row],[VALOR TOTAL]]</f>
        <v>0</v>
      </c>
      <c r="BG345" s="12" t="b">
        <f>EXACT(Tabla4[[#This Row],[TOTAL DESEMBOLSOS]],Tabla4[[#This Row],[VALOR ATENCIÓN (8 MESES)]])</f>
        <v>1</v>
      </c>
      <c r="BH345" s="29">
        <f>Tabla4[[#This Row],[TOTAL DESEMBOLSOS]]-Tabla4[[#This Row],[VALOR ATENCIÓN (8 MESES)]]</f>
        <v>0</v>
      </c>
      <c r="BI345" t="s">
        <v>98</v>
      </c>
    </row>
    <row r="346" spans="1:61">
      <c r="A346" s="13">
        <v>1915</v>
      </c>
      <c r="B346" s="13" t="s">
        <v>805</v>
      </c>
      <c r="C346" s="12" t="s">
        <v>87</v>
      </c>
      <c r="D346" s="12" t="s">
        <v>462</v>
      </c>
      <c r="E346" s="12" t="s">
        <v>463</v>
      </c>
      <c r="F346" s="12" t="s">
        <v>19</v>
      </c>
      <c r="G346" s="12" t="s">
        <v>90</v>
      </c>
      <c r="H346" s="12" t="s">
        <v>831</v>
      </c>
      <c r="I346" s="12">
        <v>50451135891</v>
      </c>
      <c r="J346" s="12" t="s">
        <v>832</v>
      </c>
      <c r="K346" s="12">
        <v>1</v>
      </c>
      <c r="L346" s="12">
        <v>16</v>
      </c>
      <c r="M346" s="12"/>
      <c r="N346" s="13">
        <v>1915</v>
      </c>
      <c r="O346" s="12" t="s">
        <v>93</v>
      </c>
      <c r="P346" s="12"/>
      <c r="Q346" s="12"/>
      <c r="R346" s="12" t="s">
        <v>94</v>
      </c>
      <c r="S346" s="12">
        <v>10</v>
      </c>
      <c r="T346" s="12" t="s">
        <v>808</v>
      </c>
      <c r="U346" s="12" t="s">
        <v>809</v>
      </c>
      <c r="V346" s="12">
        <f>VLOOKUP(Tabla4[[#This Row],[ZONA DEFINITIVO]],Hoja1!$A$1:$D$121,3,0)</f>
        <v>229094</v>
      </c>
      <c r="W346" s="12">
        <f>VLOOKUP(Tabla4[[#This Row],[ZONA DEFINITIVO]],Hoja1!$A$1:$D$121,2,0)</f>
        <v>15183</v>
      </c>
      <c r="X346" s="12">
        <f>VLOOKUP(Tabla4[[#This Row],[ZONA DEFINITIVO]],Hoja1!$A$1:$D$121,4,0)</f>
        <v>91525</v>
      </c>
      <c r="Y346" s="12" t="str">
        <f>+IF(Tabla4[[#This Row],[AGRUPACIONES]]=1,SUMIFS(Tabla4[UDS],Tabla4[ZONA DEFINITIVO],Tabla4[[#This Row],[ZONA DEFINITIVO]])," ")</f>
        <v xml:space="preserve"> </v>
      </c>
      <c r="Z346" s="12" t="str">
        <f>+IF(Tabla4[[#This Row],[AGRUPACIONES]]=1,SUMIFS(Tabla4[TOTAL COBERTURA],Tabla4[ZONA DEFINITIVO],Tabla4[[#This Row],[ZONA DEFINITIVO]])," ")</f>
        <v xml:space="preserve"> </v>
      </c>
      <c r="AA346" s="12"/>
      <c r="AB346" s="38">
        <v>36018416</v>
      </c>
      <c r="AC346" s="37">
        <v>0.02</v>
      </c>
      <c r="AD346" s="38">
        <f t="shared" si="6"/>
        <v>720368.32000000007</v>
      </c>
      <c r="AE346" s="12"/>
      <c r="AF346" s="12">
        <f>COUNTIF($A$20:A346,A346)</f>
        <v>13</v>
      </c>
      <c r="AG346" s="38">
        <v>36018416</v>
      </c>
      <c r="AH346" s="38">
        <f>Tabla4[[#This Row],[VALOR CONTRAPARTIDA]]+Tabla4[[#This Row],[TOTAL APORTES ICBF]]</f>
        <v>36738784.32</v>
      </c>
      <c r="AI346" s="35"/>
      <c r="AJ346" s="38"/>
      <c r="AK346" s="38"/>
      <c r="AL346" s="23"/>
      <c r="AM346" s="35">
        <f>VLOOKUP(Tabla4[[#This Row],[SERVICIO 2025]],$J$2:$V$14,5,0)*Tabla4[[#This Row],[TOTAL COBERTURA]]</f>
        <v>823408</v>
      </c>
      <c r="AN346" s="35">
        <f>VLOOKUP(Tabla4[[#This Row],[SERVICIO 2025]],$J$2:$V$14,6,0)*Tabla4[[#This Row],[TOTAL COBERTURA]]</f>
        <v>689856</v>
      </c>
      <c r="AO346" s="35">
        <f>VLOOKUP(Tabla4[[#This Row],[SERVICIO 2025]],$J$2:$V$14,8,0)*Tabla4[[#This Row],[TOTAL COBERTURA]]</f>
        <v>465600</v>
      </c>
      <c r="AP346" s="35">
        <f>VLOOKUP(Tabla4[[#This Row],[SERVICIO 2025]],$J$2:$V$14,3,0)*Tabla4[[#This Row],[TOTAL COBERTURA]]*8</f>
        <v>34039552</v>
      </c>
      <c r="AQ346" s="35"/>
      <c r="AR346" s="35">
        <f>Tabla4[[#This Row],[VALOR FASE PREPARATORIA DE ALISTAMIENTO]]+Tabla4[[#This Row],[VALOR FASE PREPARATORIA DE CIERRE]]+Tabla4[[#This Row],[DOTACIÓN ÚNICA]]+Tabla4[[#This Row],[VALOR ATENCIÓN]]+Tabla4[[#This Row],[VALOR RACION PREPARADA]]</f>
        <v>36018416</v>
      </c>
      <c r="AS346" s="35" t="str">
        <f>+IF(Tabla4[[#This Row],[AGRUPACIONES]]=1,SUMIFS(Tabla4[VALOR TOTAL],Tabla4[ZONA DEFINITIVO],Tabla4[[#This Row],[ZONA DEFINITIVO]])," ")</f>
        <v xml:space="preserve"> </v>
      </c>
      <c r="AT346" s="27">
        <f>(VLOOKUP(Tabla4[[#This Row],[SERVICIO 2025]],$J$2:$V$14,3,0)*Tabla4[[#This Row],[TOTAL COBERTURA]])+Tabla4[[#This Row],[VALOR FASE PREPARATORIA DE ALISTAMIENTO]]+Tabla4[[#This Row],[DOTACIÓN ÚNICA]]</f>
        <v>5543952</v>
      </c>
      <c r="AU346" s="35">
        <f>(VLOOKUP(Tabla4[[#This Row],[SERVICIO 2025]],$J$2:$V$14,3,0)*Tabla4[[#This Row],[TOTAL COBERTURA]])</f>
        <v>4254944</v>
      </c>
      <c r="AV346" s="35">
        <f>(VLOOKUP(Tabla4[[#This Row],[SERVICIO 2025]],$J$2:$V$14,3,0)*Tabla4[[#This Row],[TOTAL COBERTURA]])</f>
        <v>4254944</v>
      </c>
      <c r="AW346" s="35">
        <f>(VLOOKUP(Tabla4[[#This Row],[SERVICIO 2025]],$J$2:$V$14,3,0)*Tabla4[[#This Row],[TOTAL COBERTURA]])</f>
        <v>4254944</v>
      </c>
      <c r="AX346" s="35">
        <f>(VLOOKUP(Tabla4[[#This Row],[SERVICIO 2025]],$J$2:$V$14,3,0)*Tabla4[[#This Row],[TOTAL COBERTURA]])</f>
        <v>4254944</v>
      </c>
      <c r="AY346" s="35">
        <f>(VLOOKUP(Tabla4[[#This Row],[SERVICIO 2025]],$J$2:$V$14,3,0)*Tabla4[[#This Row],[TOTAL COBERTURA]])</f>
        <v>4254944</v>
      </c>
      <c r="AZ346" s="35">
        <f>(VLOOKUP(Tabla4[[#This Row],[SERVICIO 2025]],$J$2:$V$14,3,0)*Tabla4[[#This Row],[TOTAL COBERTURA]])</f>
        <v>4254944</v>
      </c>
      <c r="BA346" s="35">
        <f>(VLOOKUP(Tabla4[[#This Row],[SERVICIO 2025]],$J$2:$V$14,3,0)*Tabla4[[#This Row],[TOTAL COBERTURA]])+Tabla4[[#This Row],[VALOR FASE PREPARATORIA DE CIERRE]]</f>
        <v>4944800</v>
      </c>
      <c r="BB346" s="35">
        <f>SUM(Tabla4[[#This Row],[DESEMBOLSO 1]:[DESEMBOLSO 8]])</f>
        <v>36018416</v>
      </c>
      <c r="BC346" s="35">
        <f>VLOOKUP(Tabla4[[#This Row],[SERVICIO 2025]],$J$2:$V$14,10,0)*Tabla4[[#This Row],[TOTAL COBERTURA]]*7</f>
        <v>20202896</v>
      </c>
      <c r="BD346" s="47" t="s">
        <v>211</v>
      </c>
      <c r="BE346" s="12" t="b">
        <f>EXACT(Tabla4[[#This Row],[VALOR ATENCIÓN (8 MESES)]],Tabla4[[#This Row],[VALOR TOTAL]])</f>
        <v>1</v>
      </c>
      <c r="BF346" s="23">
        <f>Tabla4[[#This Row],[VALOR ATENCIÓN (8 MESES)]]-Tabla4[[#This Row],[VALOR TOTAL]]</f>
        <v>0</v>
      </c>
      <c r="BG346" s="12" t="b">
        <f>EXACT(Tabla4[[#This Row],[TOTAL DESEMBOLSOS]],Tabla4[[#This Row],[VALOR ATENCIÓN (8 MESES)]])</f>
        <v>1</v>
      </c>
      <c r="BH346" s="29">
        <f>Tabla4[[#This Row],[TOTAL DESEMBOLSOS]]-Tabla4[[#This Row],[VALOR ATENCIÓN (8 MESES)]]</f>
        <v>0</v>
      </c>
      <c r="BI346" t="s">
        <v>98</v>
      </c>
    </row>
    <row r="347" spans="1:61">
      <c r="A347" s="13">
        <v>1915</v>
      </c>
      <c r="B347" s="13" t="s">
        <v>805</v>
      </c>
      <c r="C347" s="12" t="s">
        <v>87</v>
      </c>
      <c r="D347" s="12" t="s">
        <v>462</v>
      </c>
      <c r="E347" s="12" t="s">
        <v>463</v>
      </c>
      <c r="F347" s="12" t="s">
        <v>19</v>
      </c>
      <c r="G347" s="12" t="s">
        <v>90</v>
      </c>
      <c r="H347" s="12" t="s">
        <v>833</v>
      </c>
      <c r="I347" s="12">
        <v>50451135894</v>
      </c>
      <c r="J347" s="12" t="s">
        <v>834</v>
      </c>
      <c r="K347" s="12">
        <v>1</v>
      </c>
      <c r="L347" s="12">
        <v>34</v>
      </c>
      <c r="M347" s="12"/>
      <c r="N347" s="13">
        <v>1915</v>
      </c>
      <c r="O347" s="12" t="s">
        <v>93</v>
      </c>
      <c r="P347" s="12"/>
      <c r="Q347" s="12"/>
      <c r="R347" s="12" t="s">
        <v>94</v>
      </c>
      <c r="S347" s="12">
        <v>10</v>
      </c>
      <c r="T347" s="12" t="s">
        <v>808</v>
      </c>
      <c r="U347" s="12" t="s">
        <v>809</v>
      </c>
      <c r="V347" s="12">
        <f>VLOOKUP(Tabla4[[#This Row],[ZONA DEFINITIVO]],Hoja1!$A$1:$D$121,3,0)</f>
        <v>229094</v>
      </c>
      <c r="W347" s="12">
        <f>VLOOKUP(Tabla4[[#This Row],[ZONA DEFINITIVO]],Hoja1!$A$1:$D$121,2,0)</f>
        <v>15183</v>
      </c>
      <c r="X347" s="12">
        <f>VLOOKUP(Tabla4[[#This Row],[ZONA DEFINITIVO]],Hoja1!$A$1:$D$121,4,0)</f>
        <v>91525</v>
      </c>
      <c r="Y347" s="12" t="str">
        <f>+IF(Tabla4[[#This Row],[AGRUPACIONES]]=1,SUMIFS(Tabla4[UDS],Tabla4[ZONA DEFINITIVO],Tabla4[[#This Row],[ZONA DEFINITIVO]])," ")</f>
        <v xml:space="preserve"> </v>
      </c>
      <c r="Z347" s="12" t="str">
        <f>+IF(Tabla4[[#This Row],[AGRUPACIONES]]=1,SUMIFS(Tabla4[TOTAL COBERTURA],Tabla4[ZONA DEFINITIVO],Tabla4[[#This Row],[ZONA DEFINITIVO]])," ")</f>
        <v xml:space="preserve"> </v>
      </c>
      <c r="AA347" s="12"/>
      <c r="AB347" s="38">
        <v>76539134</v>
      </c>
      <c r="AC347" s="37">
        <v>0.02</v>
      </c>
      <c r="AD347" s="38">
        <f t="shared" si="6"/>
        <v>1530782.68</v>
      </c>
      <c r="AE347" s="12"/>
      <c r="AF347" s="12">
        <f>COUNTIF($A$20:A347,A347)</f>
        <v>14</v>
      </c>
      <c r="AG347" s="38">
        <v>76539134</v>
      </c>
      <c r="AH347" s="38">
        <f>Tabla4[[#This Row],[VALOR CONTRAPARTIDA]]+Tabla4[[#This Row],[TOTAL APORTES ICBF]]</f>
        <v>78069916.680000007</v>
      </c>
      <c r="AI347" s="35"/>
      <c r="AJ347" s="38"/>
      <c r="AK347" s="38"/>
      <c r="AL347" s="23"/>
      <c r="AM347" s="35">
        <f>VLOOKUP(Tabla4[[#This Row],[SERVICIO 2025]],$J$2:$V$14,5,0)*Tabla4[[#This Row],[TOTAL COBERTURA]]</f>
        <v>1749742</v>
      </c>
      <c r="AN347" s="35">
        <f>VLOOKUP(Tabla4[[#This Row],[SERVICIO 2025]],$J$2:$V$14,6,0)*Tabla4[[#This Row],[TOTAL COBERTURA]]</f>
        <v>1465944</v>
      </c>
      <c r="AO347" s="35">
        <f>VLOOKUP(Tabla4[[#This Row],[SERVICIO 2025]],$J$2:$V$14,8,0)*Tabla4[[#This Row],[TOTAL COBERTURA]]</f>
        <v>989400</v>
      </c>
      <c r="AP347" s="35">
        <f>VLOOKUP(Tabla4[[#This Row],[SERVICIO 2025]],$J$2:$V$14,3,0)*Tabla4[[#This Row],[TOTAL COBERTURA]]*8</f>
        <v>72334048</v>
      </c>
      <c r="AQ347" s="35"/>
      <c r="AR347" s="35">
        <f>Tabla4[[#This Row],[VALOR FASE PREPARATORIA DE ALISTAMIENTO]]+Tabla4[[#This Row],[VALOR FASE PREPARATORIA DE CIERRE]]+Tabla4[[#This Row],[DOTACIÓN ÚNICA]]+Tabla4[[#This Row],[VALOR ATENCIÓN]]+Tabla4[[#This Row],[VALOR RACION PREPARADA]]</f>
        <v>76539134</v>
      </c>
      <c r="AS347" s="35" t="str">
        <f>+IF(Tabla4[[#This Row],[AGRUPACIONES]]=1,SUMIFS(Tabla4[VALOR TOTAL],Tabla4[ZONA DEFINITIVO],Tabla4[[#This Row],[ZONA DEFINITIVO]])," ")</f>
        <v xml:space="preserve"> </v>
      </c>
      <c r="AT347" s="27">
        <f>(VLOOKUP(Tabla4[[#This Row],[SERVICIO 2025]],$J$2:$V$14,3,0)*Tabla4[[#This Row],[TOTAL COBERTURA]])+Tabla4[[#This Row],[VALOR FASE PREPARATORIA DE ALISTAMIENTO]]+Tabla4[[#This Row],[DOTACIÓN ÚNICA]]</f>
        <v>11780898</v>
      </c>
      <c r="AU347" s="35">
        <f>(VLOOKUP(Tabla4[[#This Row],[SERVICIO 2025]],$J$2:$V$14,3,0)*Tabla4[[#This Row],[TOTAL COBERTURA]])</f>
        <v>9041756</v>
      </c>
      <c r="AV347" s="35">
        <f>(VLOOKUP(Tabla4[[#This Row],[SERVICIO 2025]],$J$2:$V$14,3,0)*Tabla4[[#This Row],[TOTAL COBERTURA]])</f>
        <v>9041756</v>
      </c>
      <c r="AW347" s="35">
        <f>(VLOOKUP(Tabla4[[#This Row],[SERVICIO 2025]],$J$2:$V$14,3,0)*Tabla4[[#This Row],[TOTAL COBERTURA]])</f>
        <v>9041756</v>
      </c>
      <c r="AX347" s="35">
        <f>(VLOOKUP(Tabla4[[#This Row],[SERVICIO 2025]],$J$2:$V$14,3,0)*Tabla4[[#This Row],[TOTAL COBERTURA]])</f>
        <v>9041756</v>
      </c>
      <c r="AY347" s="35">
        <f>(VLOOKUP(Tabla4[[#This Row],[SERVICIO 2025]],$J$2:$V$14,3,0)*Tabla4[[#This Row],[TOTAL COBERTURA]])</f>
        <v>9041756</v>
      </c>
      <c r="AZ347" s="35">
        <f>(VLOOKUP(Tabla4[[#This Row],[SERVICIO 2025]],$J$2:$V$14,3,0)*Tabla4[[#This Row],[TOTAL COBERTURA]])</f>
        <v>9041756</v>
      </c>
      <c r="BA347" s="35">
        <f>(VLOOKUP(Tabla4[[#This Row],[SERVICIO 2025]],$J$2:$V$14,3,0)*Tabla4[[#This Row],[TOTAL COBERTURA]])+Tabla4[[#This Row],[VALOR FASE PREPARATORIA DE CIERRE]]</f>
        <v>10507700</v>
      </c>
      <c r="BB347" s="35">
        <f>SUM(Tabla4[[#This Row],[DESEMBOLSO 1]:[DESEMBOLSO 8]])</f>
        <v>76539134</v>
      </c>
      <c r="BC347" s="35">
        <f>VLOOKUP(Tabla4[[#This Row],[SERVICIO 2025]],$J$2:$V$14,10,0)*Tabla4[[#This Row],[TOTAL COBERTURA]]*7</f>
        <v>42931154</v>
      </c>
      <c r="BD347" s="47" t="s">
        <v>211</v>
      </c>
      <c r="BE347" s="12" t="b">
        <f>EXACT(Tabla4[[#This Row],[VALOR ATENCIÓN (8 MESES)]],Tabla4[[#This Row],[VALOR TOTAL]])</f>
        <v>1</v>
      </c>
      <c r="BF347" s="23">
        <f>Tabla4[[#This Row],[VALOR ATENCIÓN (8 MESES)]]-Tabla4[[#This Row],[VALOR TOTAL]]</f>
        <v>0</v>
      </c>
      <c r="BG347" s="12" t="b">
        <f>EXACT(Tabla4[[#This Row],[TOTAL DESEMBOLSOS]],Tabla4[[#This Row],[VALOR ATENCIÓN (8 MESES)]])</f>
        <v>1</v>
      </c>
      <c r="BH347" s="29">
        <f>Tabla4[[#This Row],[TOTAL DESEMBOLSOS]]-Tabla4[[#This Row],[VALOR ATENCIÓN (8 MESES)]]</f>
        <v>0</v>
      </c>
      <c r="BI347" t="s">
        <v>98</v>
      </c>
    </row>
    <row r="348" spans="1:61">
      <c r="A348" s="13">
        <v>1915</v>
      </c>
      <c r="B348" s="13" t="s">
        <v>805</v>
      </c>
      <c r="C348" s="12" t="s">
        <v>87</v>
      </c>
      <c r="D348" s="12" t="s">
        <v>462</v>
      </c>
      <c r="E348" s="12" t="s">
        <v>463</v>
      </c>
      <c r="F348" s="12" t="s">
        <v>19</v>
      </c>
      <c r="G348" s="12" t="s">
        <v>90</v>
      </c>
      <c r="H348" s="12" t="s">
        <v>835</v>
      </c>
      <c r="I348" s="12">
        <v>50451135897</v>
      </c>
      <c r="J348" s="12" t="s">
        <v>836</v>
      </c>
      <c r="K348" s="12">
        <v>1</v>
      </c>
      <c r="L348" s="12">
        <v>51</v>
      </c>
      <c r="M348" s="12"/>
      <c r="N348" s="13">
        <v>1915</v>
      </c>
      <c r="O348" s="12" t="s">
        <v>93</v>
      </c>
      <c r="P348" s="12"/>
      <c r="Q348" s="12"/>
      <c r="R348" s="12" t="s">
        <v>94</v>
      </c>
      <c r="S348" s="12">
        <v>10</v>
      </c>
      <c r="T348" s="12" t="s">
        <v>808</v>
      </c>
      <c r="U348" s="12" t="s">
        <v>809</v>
      </c>
      <c r="V348" s="12">
        <f>VLOOKUP(Tabla4[[#This Row],[ZONA DEFINITIVO]],Hoja1!$A$1:$D$121,3,0)</f>
        <v>229094</v>
      </c>
      <c r="W348" s="12">
        <f>VLOOKUP(Tabla4[[#This Row],[ZONA DEFINITIVO]],Hoja1!$A$1:$D$121,2,0)</f>
        <v>15183</v>
      </c>
      <c r="X348" s="12">
        <f>VLOOKUP(Tabla4[[#This Row],[ZONA DEFINITIVO]],Hoja1!$A$1:$D$121,4,0)</f>
        <v>91525</v>
      </c>
      <c r="Y348" s="12" t="str">
        <f>+IF(Tabla4[[#This Row],[AGRUPACIONES]]=1,SUMIFS(Tabla4[UDS],Tabla4[ZONA DEFINITIVO],Tabla4[[#This Row],[ZONA DEFINITIVO]])," ")</f>
        <v xml:space="preserve"> </v>
      </c>
      <c r="Z348" s="12" t="str">
        <f>+IF(Tabla4[[#This Row],[AGRUPACIONES]]=1,SUMIFS(Tabla4[TOTAL COBERTURA],Tabla4[ZONA DEFINITIVO],Tabla4[[#This Row],[ZONA DEFINITIVO]])," ")</f>
        <v xml:space="preserve"> </v>
      </c>
      <c r="AA348" s="12"/>
      <c r="AB348" s="38">
        <v>114808701</v>
      </c>
      <c r="AC348" s="37">
        <v>0.02</v>
      </c>
      <c r="AD348" s="38">
        <f t="shared" si="6"/>
        <v>2296174.02</v>
      </c>
      <c r="AE348" s="12"/>
      <c r="AF348" s="12">
        <f>COUNTIF($A$20:A348,A348)</f>
        <v>15</v>
      </c>
      <c r="AG348" s="38">
        <v>114808701</v>
      </c>
      <c r="AH348" s="38">
        <f>Tabla4[[#This Row],[VALOR CONTRAPARTIDA]]+Tabla4[[#This Row],[TOTAL APORTES ICBF]]</f>
        <v>117104875.02</v>
      </c>
      <c r="AI348" s="35"/>
      <c r="AJ348" s="38"/>
      <c r="AK348" s="38"/>
      <c r="AL348" s="23"/>
      <c r="AM348" s="35">
        <f>VLOOKUP(Tabla4[[#This Row],[SERVICIO 2025]],$J$2:$V$14,5,0)*Tabla4[[#This Row],[TOTAL COBERTURA]]</f>
        <v>2624613</v>
      </c>
      <c r="AN348" s="35">
        <f>VLOOKUP(Tabla4[[#This Row],[SERVICIO 2025]],$J$2:$V$14,6,0)*Tabla4[[#This Row],[TOTAL COBERTURA]]</f>
        <v>2198916</v>
      </c>
      <c r="AO348" s="35">
        <f>VLOOKUP(Tabla4[[#This Row],[SERVICIO 2025]],$J$2:$V$14,8,0)*Tabla4[[#This Row],[TOTAL COBERTURA]]</f>
        <v>1484100</v>
      </c>
      <c r="AP348" s="35">
        <f>VLOOKUP(Tabla4[[#This Row],[SERVICIO 2025]],$J$2:$V$14,3,0)*Tabla4[[#This Row],[TOTAL COBERTURA]]*8</f>
        <v>108501072</v>
      </c>
      <c r="AQ348" s="35"/>
      <c r="AR348" s="35">
        <f>Tabla4[[#This Row],[VALOR FASE PREPARATORIA DE ALISTAMIENTO]]+Tabla4[[#This Row],[VALOR FASE PREPARATORIA DE CIERRE]]+Tabla4[[#This Row],[DOTACIÓN ÚNICA]]+Tabla4[[#This Row],[VALOR ATENCIÓN]]+Tabla4[[#This Row],[VALOR RACION PREPARADA]]</f>
        <v>114808701</v>
      </c>
      <c r="AS348" s="35" t="str">
        <f>+IF(Tabla4[[#This Row],[AGRUPACIONES]]=1,SUMIFS(Tabla4[VALOR TOTAL],Tabla4[ZONA DEFINITIVO],Tabla4[[#This Row],[ZONA DEFINITIVO]])," ")</f>
        <v xml:space="preserve"> </v>
      </c>
      <c r="AT348" s="27">
        <f>(VLOOKUP(Tabla4[[#This Row],[SERVICIO 2025]],$J$2:$V$14,3,0)*Tabla4[[#This Row],[TOTAL COBERTURA]])+Tabla4[[#This Row],[VALOR FASE PREPARATORIA DE ALISTAMIENTO]]+Tabla4[[#This Row],[DOTACIÓN ÚNICA]]</f>
        <v>17671347</v>
      </c>
      <c r="AU348" s="35">
        <f>(VLOOKUP(Tabla4[[#This Row],[SERVICIO 2025]],$J$2:$V$14,3,0)*Tabla4[[#This Row],[TOTAL COBERTURA]])</f>
        <v>13562634</v>
      </c>
      <c r="AV348" s="35">
        <f>(VLOOKUP(Tabla4[[#This Row],[SERVICIO 2025]],$J$2:$V$14,3,0)*Tabla4[[#This Row],[TOTAL COBERTURA]])</f>
        <v>13562634</v>
      </c>
      <c r="AW348" s="35">
        <f>(VLOOKUP(Tabla4[[#This Row],[SERVICIO 2025]],$J$2:$V$14,3,0)*Tabla4[[#This Row],[TOTAL COBERTURA]])</f>
        <v>13562634</v>
      </c>
      <c r="AX348" s="35">
        <f>(VLOOKUP(Tabla4[[#This Row],[SERVICIO 2025]],$J$2:$V$14,3,0)*Tabla4[[#This Row],[TOTAL COBERTURA]])</f>
        <v>13562634</v>
      </c>
      <c r="AY348" s="35">
        <f>(VLOOKUP(Tabla4[[#This Row],[SERVICIO 2025]],$J$2:$V$14,3,0)*Tabla4[[#This Row],[TOTAL COBERTURA]])</f>
        <v>13562634</v>
      </c>
      <c r="AZ348" s="35">
        <f>(VLOOKUP(Tabla4[[#This Row],[SERVICIO 2025]],$J$2:$V$14,3,0)*Tabla4[[#This Row],[TOTAL COBERTURA]])</f>
        <v>13562634</v>
      </c>
      <c r="BA348" s="35">
        <f>(VLOOKUP(Tabla4[[#This Row],[SERVICIO 2025]],$J$2:$V$14,3,0)*Tabla4[[#This Row],[TOTAL COBERTURA]])+Tabla4[[#This Row],[VALOR FASE PREPARATORIA DE CIERRE]]</f>
        <v>15761550</v>
      </c>
      <c r="BB348" s="35">
        <f>SUM(Tabla4[[#This Row],[DESEMBOLSO 1]:[DESEMBOLSO 8]])</f>
        <v>114808701</v>
      </c>
      <c r="BC348" s="35">
        <f>VLOOKUP(Tabla4[[#This Row],[SERVICIO 2025]],$J$2:$V$14,10,0)*Tabla4[[#This Row],[TOTAL COBERTURA]]*7</f>
        <v>64396731</v>
      </c>
      <c r="BD348" s="47" t="s">
        <v>211</v>
      </c>
      <c r="BE348" s="12" t="b">
        <f>EXACT(Tabla4[[#This Row],[VALOR ATENCIÓN (8 MESES)]],Tabla4[[#This Row],[VALOR TOTAL]])</f>
        <v>1</v>
      </c>
      <c r="BF348" s="23">
        <f>Tabla4[[#This Row],[VALOR ATENCIÓN (8 MESES)]]-Tabla4[[#This Row],[VALOR TOTAL]]</f>
        <v>0</v>
      </c>
      <c r="BG348" s="12" t="b">
        <f>EXACT(Tabla4[[#This Row],[TOTAL DESEMBOLSOS]],Tabla4[[#This Row],[VALOR ATENCIÓN (8 MESES)]])</f>
        <v>1</v>
      </c>
      <c r="BH348" s="29">
        <f>Tabla4[[#This Row],[TOTAL DESEMBOLSOS]]-Tabla4[[#This Row],[VALOR ATENCIÓN (8 MESES)]]</f>
        <v>0</v>
      </c>
      <c r="BI348" t="s">
        <v>98</v>
      </c>
    </row>
    <row r="349" spans="1:61">
      <c r="A349" s="13">
        <v>1915</v>
      </c>
      <c r="B349" s="13" t="s">
        <v>805</v>
      </c>
      <c r="C349" s="12" t="s">
        <v>87</v>
      </c>
      <c r="D349" s="12" t="s">
        <v>462</v>
      </c>
      <c r="E349" s="12" t="s">
        <v>463</v>
      </c>
      <c r="F349" s="12" t="s">
        <v>19</v>
      </c>
      <c r="G349" s="12" t="s">
        <v>90</v>
      </c>
      <c r="H349" s="12" t="s">
        <v>837</v>
      </c>
      <c r="I349" s="12">
        <v>50451136651</v>
      </c>
      <c r="J349" s="12" t="s">
        <v>838</v>
      </c>
      <c r="K349" s="12">
        <v>1</v>
      </c>
      <c r="L349" s="12">
        <v>37</v>
      </c>
      <c r="M349" s="12"/>
      <c r="N349" s="13">
        <v>1915</v>
      </c>
      <c r="O349" s="12" t="s">
        <v>93</v>
      </c>
      <c r="P349" s="12"/>
      <c r="Q349" s="12"/>
      <c r="R349" s="12" t="s">
        <v>94</v>
      </c>
      <c r="S349" s="12">
        <v>10</v>
      </c>
      <c r="T349" s="12" t="s">
        <v>808</v>
      </c>
      <c r="U349" s="12" t="s">
        <v>809</v>
      </c>
      <c r="V349" s="12">
        <f>VLOOKUP(Tabla4[[#This Row],[ZONA DEFINITIVO]],Hoja1!$A$1:$D$121,3,0)</f>
        <v>229094</v>
      </c>
      <c r="W349" s="12">
        <f>VLOOKUP(Tabla4[[#This Row],[ZONA DEFINITIVO]],Hoja1!$A$1:$D$121,2,0)</f>
        <v>15183</v>
      </c>
      <c r="X349" s="12">
        <f>VLOOKUP(Tabla4[[#This Row],[ZONA DEFINITIVO]],Hoja1!$A$1:$D$121,4,0)</f>
        <v>91525</v>
      </c>
      <c r="Y349" s="12" t="str">
        <f>+IF(Tabla4[[#This Row],[AGRUPACIONES]]=1,SUMIFS(Tabla4[UDS],Tabla4[ZONA DEFINITIVO],Tabla4[[#This Row],[ZONA DEFINITIVO]])," ")</f>
        <v xml:space="preserve"> </v>
      </c>
      <c r="Z349" s="12" t="str">
        <f>+IF(Tabla4[[#This Row],[AGRUPACIONES]]=1,SUMIFS(Tabla4[TOTAL COBERTURA],Tabla4[ZONA DEFINITIVO],Tabla4[[#This Row],[ZONA DEFINITIVO]])," ")</f>
        <v xml:space="preserve"> </v>
      </c>
      <c r="AA349" s="12"/>
      <c r="AB349" s="38">
        <v>83292587</v>
      </c>
      <c r="AC349" s="37">
        <v>0.02</v>
      </c>
      <c r="AD349" s="38">
        <f t="shared" si="6"/>
        <v>1665851.74</v>
      </c>
      <c r="AE349" s="12"/>
      <c r="AF349" s="12">
        <f>COUNTIF($A$20:A349,A349)</f>
        <v>16</v>
      </c>
      <c r="AG349" s="38">
        <v>83292587</v>
      </c>
      <c r="AH349" s="38">
        <f>Tabla4[[#This Row],[VALOR CONTRAPARTIDA]]+Tabla4[[#This Row],[TOTAL APORTES ICBF]]</f>
        <v>84958438.739999995</v>
      </c>
      <c r="AI349" s="35"/>
      <c r="AJ349" s="38"/>
      <c r="AK349" s="38"/>
      <c r="AL349" s="23"/>
      <c r="AM349" s="35">
        <f>VLOOKUP(Tabla4[[#This Row],[SERVICIO 2025]],$J$2:$V$14,5,0)*Tabla4[[#This Row],[TOTAL COBERTURA]]</f>
        <v>1904131</v>
      </c>
      <c r="AN349" s="35">
        <f>VLOOKUP(Tabla4[[#This Row],[SERVICIO 2025]],$J$2:$V$14,6,0)*Tabla4[[#This Row],[TOTAL COBERTURA]]</f>
        <v>1595292</v>
      </c>
      <c r="AO349" s="35">
        <f>VLOOKUP(Tabla4[[#This Row],[SERVICIO 2025]],$J$2:$V$14,8,0)*Tabla4[[#This Row],[TOTAL COBERTURA]]</f>
        <v>1076700</v>
      </c>
      <c r="AP349" s="35">
        <f>VLOOKUP(Tabla4[[#This Row],[SERVICIO 2025]],$J$2:$V$14,3,0)*Tabla4[[#This Row],[TOTAL COBERTURA]]*8</f>
        <v>78716464</v>
      </c>
      <c r="AQ349" s="35"/>
      <c r="AR349" s="35">
        <f>Tabla4[[#This Row],[VALOR FASE PREPARATORIA DE ALISTAMIENTO]]+Tabla4[[#This Row],[VALOR FASE PREPARATORIA DE CIERRE]]+Tabla4[[#This Row],[DOTACIÓN ÚNICA]]+Tabla4[[#This Row],[VALOR ATENCIÓN]]+Tabla4[[#This Row],[VALOR RACION PREPARADA]]</f>
        <v>83292587</v>
      </c>
      <c r="AS349" s="35" t="str">
        <f>+IF(Tabla4[[#This Row],[AGRUPACIONES]]=1,SUMIFS(Tabla4[VALOR TOTAL],Tabla4[ZONA DEFINITIVO],Tabla4[[#This Row],[ZONA DEFINITIVO]])," ")</f>
        <v xml:space="preserve"> </v>
      </c>
      <c r="AT349" s="27">
        <f>(VLOOKUP(Tabla4[[#This Row],[SERVICIO 2025]],$J$2:$V$14,3,0)*Tabla4[[#This Row],[TOTAL COBERTURA]])+Tabla4[[#This Row],[VALOR FASE PREPARATORIA DE ALISTAMIENTO]]+Tabla4[[#This Row],[DOTACIÓN ÚNICA]]</f>
        <v>12820389</v>
      </c>
      <c r="AU349" s="35">
        <f>(VLOOKUP(Tabla4[[#This Row],[SERVICIO 2025]],$J$2:$V$14,3,0)*Tabla4[[#This Row],[TOTAL COBERTURA]])</f>
        <v>9839558</v>
      </c>
      <c r="AV349" s="35">
        <f>(VLOOKUP(Tabla4[[#This Row],[SERVICIO 2025]],$J$2:$V$14,3,0)*Tabla4[[#This Row],[TOTAL COBERTURA]])</f>
        <v>9839558</v>
      </c>
      <c r="AW349" s="35">
        <f>(VLOOKUP(Tabla4[[#This Row],[SERVICIO 2025]],$J$2:$V$14,3,0)*Tabla4[[#This Row],[TOTAL COBERTURA]])</f>
        <v>9839558</v>
      </c>
      <c r="AX349" s="35">
        <f>(VLOOKUP(Tabla4[[#This Row],[SERVICIO 2025]],$J$2:$V$14,3,0)*Tabla4[[#This Row],[TOTAL COBERTURA]])</f>
        <v>9839558</v>
      </c>
      <c r="AY349" s="35">
        <f>(VLOOKUP(Tabla4[[#This Row],[SERVICIO 2025]],$J$2:$V$14,3,0)*Tabla4[[#This Row],[TOTAL COBERTURA]])</f>
        <v>9839558</v>
      </c>
      <c r="AZ349" s="35">
        <f>(VLOOKUP(Tabla4[[#This Row],[SERVICIO 2025]],$J$2:$V$14,3,0)*Tabla4[[#This Row],[TOTAL COBERTURA]])</f>
        <v>9839558</v>
      </c>
      <c r="BA349" s="35">
        <f>(VLOOKUP(Tabla4[[#This Row],[SERVICIO 2025]],$J$2:$V$14,3,0)*Tabla4[[#This Row],[TOTAL COBERTURA]])+Tabla4[[#This Row],[VALOR FASE PREPARATORIA DE CIERRE]]</f>
        <v>11434850</v>
      </c>
      <c r="BB349" s="35">
        <f>SUM(Tabla4[[#This Row],[DESEMBOLSO 1]:[DESEMBOLSO 8]])</f>
        <v>83292587</v>
      </c>
      <c r="BC349" s="35">
        <f>VLOOKUP(Tabla4[[#This Row],[SERVICIO 2025]],$J$2:$V$14,10,0)*Tabla4[[#This Row],[TOTAL COBERTURA]]*7</f>
        <v>46719197</v>
      </c>
      <c r="BD349" s="47" t="s">
        <v>211</v>
      </c>
      <c r="BE349" s="12" t="b">
        <f>EXACT(Tabla4[[#This Row],[VALOR ATENCIÓN (8 MESES)]],Tabla4[[#This Row],[VALOR TOTAL]])</f>
        <v>1</v>
      </c>
      <c r="BF349" s="23">
        <f>Tabla4[[#This Row],[VALOR ATENCIÓN (8 MESES)]]-Tabla4[[#This Row],[VALOR TOTAL]]</f>
        <v>0</v>
      </c>
      <c r="BG349" s="12" t="b">
        <f>EXACT(Tabla4[[#This Row],[TOTAL DESEMBOLSOS]],Tabla4[[#This Row],[VALOR ATENCIÓN (8 MESES)]])</f>
        <v>1</v>
      </c>
      <c r="BH349" s="29">
        <f>Tabla4[[#This Row],[TOTAL DESEMBOLSOS]]-Tabla4[[#This Row],[VALOR ATENCIÓN (8 MESES)]]</f>
        <v>0</v>
      </c>
      <c r="BI349" t="s">
        <v>98</v>
      </c>
    </row>
    <row r="350" spans="1:61">
      <c r="A350" s="13">
        <v>1915</v>
      </c>
      <c r="B350" s="13" t="s">
        <v>805</v>
      </c>
      <c r="C350" s="12" t="s">
        <v>87</v>
      </c>
      <c r="D350" s="12" t="s">
        <v>462</v>
      </c>
      <c r="E350" s="12" t="s">
        <v>463</v>
      </c>
      <c r="F350" s="12" t="s">
        <v>19</v>
      </c>
      <c r="G350" s="12" t="s">
        <v>90</v>
      </c>
      <c r="H350" s="12" t="s">
        <v>839</v>
      </c>
      <c r="I350" s="12">
        <v>50451140536</v>
      </c>
      <c r="J350" s="12" t="s">
        <v>840</v>
      </c>
      <c r="K350" s="12">
        <v>1</v>
      </c>
      <c r="L350" s="12">
        <v>16</v>
      </c>
      <c r="M350" s="12"/>
      <c r="N350" s="13">
        <v>1915</v>
      </c>
      <c r="O350" s="12" t="s">
        <v>93</v>
      </c>
      <c r="P350" s="12"/>
      <c r="Q350" s="12"/>
      <c r="R350" s="12" t="s">
        <v>94</v>
      </c>
      <c r="S350" s="12">
        <v>10</v>
      </c>
      <c r="T350" s="12" t="s">
        <v>808</v>
      </c>
      <c r="U350" s="12" t="s">
        <v>809</v>
      </c>
      <c r="V350" s="12">
        <f>VLOOKUP(Tabla4[[#This Row],[ZONA DEFINITIVO]],Hoja1!$A$1:$D$121,3,0)</f>
        <v>229094</v>
      </c>
      <c r="W350" s="12">
        <f>VLOOKUP(Tabla4[[#This Row],[ZONA DEFINITIVO]],Hoja1!$A$1:$D$121,2,0)</f>
        <v>15183</v>
      </c>
      <c r="X350" s="12">
        <f>VLOOKUP(Tabla4[[#This Row],[ZONA DEFINITIVO]],Hoja1!$A$1:$D$121,4,0)</f>
        <v>91525</v>
      </c>
      <c r="Y350" s="12" t="str">
        <f>+IF(Tabla4[[#This Row],[AGRUPACIONES]]=1,SUMIFS(Tabla4[UDS],Tabla4[ZONA DEFINITIVO],Tabla4[[#This Row],[ZONA DEFINITIVO]])," ")</f>
        <v xml:space="preserve"> </v>
      </c>
      <c r="Z350" s="12" t="str">
        <f>+IF(Tabla4[[#This Row],[AGRUPACIONES]]=1,SUMIFS(Tabla4[TOTAL COBERTURA],Tabla4[ZONA DEFINITIVO],Tabla4[[#This Row],[ZONA DEFINITIVO]])," ")</f>
        <v xml:space="preserve"> </v>
      </c>
      <c r="AA350" s="12"/>
      <c r="AB350" s="38">
        <v>36018416</v>
      </c>
      <c r="AC350" s="37">
        <v>0.02</v>
      </c>
      <c r="AD350" s="38">
        <f t="shared" si="6"/>
        <v>720368.32000000007</v>
      </c>
      <c r="AE350" s="12"/>
      <c r="AF350" s="12">
        <f>COUNTIF($A$20:A350,A350)</f>
        <v>17</v>
      </c>
      <c r="AG350" s="38">
        <v>36018416</v>
      </c>
      <c r="AH350" s="38">
        <f>Tabla4[[#This Row],[VALOR CONTRAPARTIDA]]+Tabla4[[#This Row],[TOTAL APORTES ICBF]]</f>
        <v>36738784.32</v>
      </c>
      <c r="AI350" s="35"/>
      <c r="AJ350" s="38"/>
      <c r="AK350" s="38"/>
      <c r="AL350" s="23"/>
      <c r="AM350" s="35">
        <f>VLOOKUP(Tabla4[[#This Row],[SERVICIO 2025]],$J$2:$V$14,5,0)*Tabla4[[#This Row],[TOTAL COBERTURA]]</f>
        <v>823408</v>
      </c>
      <c r="AN350" s="35">
        <f>VLOOKUP(Tabla4[[#This Row],[SERVICIO 2025]],$J$2:$V$14,6,0)*Tabla4[[#This Row],[TOTAL COBERTURA]]</f>
        <v>689856</v>
      </c>
      <c r="AO350" s="35">
        <f>VLOOKUP(Tabla4[[#This Row],[SERVICIO 2025]],$J$2:$V$14,8,0)*Tabla4[[#This Row],[TOTAL COBERTURA]]</f>
        <v>465600</v>
      </c>
      <c r="AP350" s="35">
        <f>VLOOKUP(Tabla4[[#This Row],[SERVICIO 2025]],$J$2:$V$14,3,0)*Tabla4[[#This Row],[TOTAL COBERTURA]]*8</f>
        <v>34039552</v>
      </c>
      <c r="AQ350" s="35"/>
      <c r="AR350" s="35">
        <f>Tabla4[[#This Row],[VALOR FASE PREPARATORIA DE ALISTAMIENTO]]+Tabla4[[#This Row],[VALOR FASE PREPARATORIA DE CIERRE]]+Tabla4[[#This Row],[DOTACIÓN ÚNICA]]+Tabla4[[#This Row],[VALOR ATENCIÓN]]+Tabla4[[#This Row],[VALOR RACION PREPARADA]]</f>
        <v>36018416</v>
      </c>
      <c r="AS350" s="35" t="str">
        <f>+IF(Tabla4[[#This Row],[AGRUPACIONES]]=1,SUMIFS(Tabla4[VALOR TOTAL],Tabla4[ZONA DEFINITIVO],Tabla4[[#This Row],[ZONA DEFINITIVO]])," ")</f>
        <v xml:space="preserve"> </v>
      </c>
      <c r="AT350" s="27">
        <f>(VLOOKUP(Tabla4[[#This Row],[SERVICIO 2025]],$J$2:$V$14,3,0)*Tabla4[[#This Row],[TOTAL COBERTURA]])+Tabla4[[#This Row],[VALOR FASE PREPARATORIA DE ALISTAMIENTO]]+Tabla4[[#This Row],[DOTACIÓN ÚNICA]]</f>
        <v>5543952</v>
      </c>
      <c r="AU350" s="35">
        <f>(VLOOKUP(Tabla4[[#This Row],[SERVICIO 2025]],$J$2:$V$14,3,0)*Tabla4[[#This Row],[TOTAL COBERTURA]])</f>
        <v>4254944</v>
      </c>
      <c r="AV350" s="35">
        <f>(VLOOKUP(Tabla4[[#This Row],[SERVICIO 2025]],$J$2:$V$14,3,0)*Tabla4[[#This Row],[TOTAL COBERTURA]])</f>
        <v>4254944</v>
      </c>
      <c r="AW350" s="35">
        <f>(VLOOKUP(Tabla4[[#This Row],[SERVICIO 2025]],$J$2:$V$14,3,0)*Tabla4[[#This Row],[TOTAL COBERTURA]])</f>
        <v>4254944</v>
      </c>
      <c r="AX350" s="35">
        <f>(VLOOKUP(Tabla4[[#This Row],[SERVICIO 2025]],$J$2:$V$14,3,0)*Tabla4[[#This Row],[TOTAL COBERTURA]])</f>
        <v>4254944</v>
      </c>
      <c r="AY350" s="35">
        <f>(VLOOKUP(Tabla4[[#This Row],[SERVICIO 2025]],$J$2:$V$14,3,0)*Tabla4[[#This Row],[TOTAL COBERTURA]])</f>
        <v>4254944</v>
      </c>
      <c r="AZ350" s="35">
        <f>(VLOOKUP(Tabla4[[#This Row],[SERVICIO 2025]],$J$2:$V$14,3,0)*Tabla4[[#This Row],[TOTAL COBERTURA]])</f>
        <v>4254944</v>
      </c>
      <c r="BA350" s="35">
        <f>(VLOOKUP(Tabla4[[#This Row],[SERVICIO 2025]],$J$2:$V$14,3,0)*Tabla4[[#This Row],[TOTAL COBERTURA]])+Tabla4[[#This Row],[VALOR FASE PREPARATORIA DE CIERRE]]</f>
        <v>4944800</v>
      </c>
      <c r="BB350" s="35">
        <f>SUM(Tabla4[[#This Row],[DESEMBOLSO 1]:[DESEMBOLSO 8]])</f>
        <v>36018416</v>
      </c>
      <c r="BC350" s="35">
        <f>VLOOKUP(Tabla4[[#This Row],[SERVICIO 2025]],$J$2:$V$14,10,0)*Tabla4[[#This Row],[TOTAL COBERTURA]]*7</f>
        <v>20202896</v>
      </c>
      <c r="BD350" s="47" t="s">
        <v>211</v>
      </c>
      <c r="BE350" s="12" t="b">
        <f>EXACT(Tabla4[[#This Row],[VALOR ATENCIÓN (8 MESES)]],Tabla4[[#This Row],[VALOR TOTAL]])</f>
        <v>1</v>
      </c>
      <c r="BF350" s="23">
        <f>Tabla4[[#This Row],[VALOR ATENCIÓN (8 MESES)]]-Tabla4[[#This Row],[VALOR TOTAL]]</f>
        <v>0</v>
      </c>
      <c r="BG350" s="12" t="b">
        <f>EXACT(Tabla4[[#This Row],[TOTAL DESEMBOLSOS]],Tabla4[[#This Row],[VALOR ATENCIÓN (8 MESES)]])</f>
        <v>1</v>
      </c>
      <c r="BH350" s="29">
        <f>Tabla4[[#This Row],[TOTAL DESEMBOLSOS]]-Tabla4[[#This Row],[VALOR ATENCIÓN (8 MESES)]]</f>
        <v>0</v>
      </c>
      <c r="BI350" t="s">
        <v>98</v>
      </c>
    </row>
    <row r="351" spans="1:61">
      <c r="A351" s="13">
        <v>1915</v>
      </c>
      <c r="B351" s="13" t="s">
        <v>805</v>
      </c>
      <c r="C351" s="12" t="s">
        <v>87</v>
      </c>
      <c r="D351" s="12" t="s">
        <v>462</v>
      </c>
      <c r="E351" s="12" t="s">
        <v>463</v>
      </c>
      <c r="F351" s="12" t="s">
        <v>19</v>
      </c>
      <c r="G351" s="12" t="s">
        <v>90</v>
      </c>
      <c r="H351" s="12" t="s">
        <v>841</v>
      </c>
      <c r="I351" s="12">
        <v>504500104130</v>
      </c>
      <c r="J351" s="12" t="s">
        <v>842</v>
      </c>
      <c r="K351" s="12">
        <v>1</v>
      </c>
      <c r="L351" s="12">
        <v>35</v>
      </c>
      <c r="M351" s="12"/>
      <c r="N351" s="13">
        <v>1915</v>
      </c>
      <c r="O351" s="12" t="s">
        <v>93</v>
      </c>
      <c r="P351" s="12"/>
      <c r="Q351" s="12"/>
      <c r="R351" s="12" t="s">
        <v>94</v>
      </c>
      <c r="S351" s="12">
        <v>10</v>
      </c>
      <c r="T351" s="12" t="s">
        <v>808</v>
      </c>
      <c r="U351" s="12" t="s">
        <v>809</v>
      </c>
      <c r="V351" s="12">
        <f>VLOOKUP(Tabla4[[#This Row],[ZONA DEFINITIVO]],Hoja1!$A$1:$D$121,3,0)</f>
        <v>229094</v>
      </c>
      <c r="W351" s="12">
        <f>VLOOKUP(Tabla4[[#This Row],[ZONA DEFINITIVO]],Hoja1!$A$1:$D$121,2,0)</f>
        <v>15183</v>
      </c>
      <c r="X351" s="12">
        <f>VLOOKUP(Tabla4[[#This Row],[ZONA DEFINITIVO]],Hoja1!$A$1:$D$121,4,0)</f>
        <v>91525</v>
      </c>
      <c r="Y351" s="12" t="str">
        <f>+IF(Tabla4[[#This Row],[AGRUPACIONES]]=1,SUMIFS(Tabla4[UDS],Tabla4[ZONA DEFINITIVO],Tabla4[[#This Row],[ZONA DEFINITIVO]])," ")</f>
        <v xml:space="preserve"> </v>
      </c>
      <c r="Z351" s="12" t="str">
        <f>+IF(Tabla4[[#This Row],[AGRUPACIONES]]=1,SUMIFS(Tabla4[TOTAL COBERTURA],Tabla4[ZONA DEFINITIVO],Tabla4[[#This Row],[ZONA DEFINITIVO]])," ")</f>
        <v xml:space="preserve"> </v>
      </c>
      <c r="AA351" s="12"/>
      <c r="AB351" s="38">
        <v>78790285</v>
      </c>
      <c r="AC351" s="37">
        <v>0.02</v>
      </c>
      <c r="AD351" s="38">
        <f t="shared" si="6"/>
        <v>1575805.7</v>
      </c>
      <c r="AE351" s="12"/>
      <c r="AF351" s="12">
        <f>COUNTIF($A$20:A351,A351)</f>
        <v>18</v>
      </c>
      <c r="AG351" s="38">
        <v>78790285</v>
      </c>
      <c r="AH351" s="38">
        <f>Tabla4[[#This Row],[VALOR CONTRAPARTIDA]]+Tabla4[[#This Row],[TOTAL APORTES ICBF]]</f>
        <v>80366090.700000003</v>
      </c>
      <c r="AI351" s="35"/>
      <c r="AJ351" s="38"/>
      <c r="AK351" s="38"/>
      <c r="AL351" s="23"/>
      <c r="AM351" s="35">
        <f>VLOOKUP(Tabla4[[#This Row],[SERVICIO 2025]],$J$2:$V$14,5,0)*Tabla4[[#This Row],[TOTAL COBERTURA]]</f>
        <v>1801205</v>
      </c>
      <c r="AN351" s="35">
        <f>VLOOKUP(Tabla4[[#This Row],[SERVICIO 2025]],$J$2:$V$14,6,0)*Tabla4[[#This Row],[TOTAL COBERTURA]]</f>
        <v>1509060</v>
      </c>
      <c r="AO351" s="35">
        <f>VLOOKUP(Tabla4[[#This Row],[SERVICIO 2025]],$J$2:$V$14,8,0)*Tabla4[[#This Row],[TOTAL COBERTURA]]</f>
        <v>1018500</v>
      </c>
      <c r="AP351" s="35">
        <f>VLOOKUP(Tabla4[[#This Row],[SERVICIO 2025]],$J$2:$V$14,3,0)*Tabla4[[#This Row],[TOTAL COBERTURA]]*8</f>
        <v>74461520</v>
      </c>
      <c r="AQ351" s="35"/>
      <c r="AR351" s="35">
        <f>Tabla4[[#This Row],[VALOR FASE PREPARATORIA DE ALISTAMIENTO]]+Tabla4[[#This Row],[VALOR FASE PREPARATORIA DE CIERRE]]+Tabla4[[#This Row],[DOTACIÓN ÚNICA]]+Tabla4[[#This Row],[VALOR ATENCIÓN]]+Tabla4[[#This Row],[VALOR RACION PREPARADA]]</f>
        <v>78790285</v>
      </c>
      <c r="AS351" s="35" t="str">
        <f>+IF(Tabla4[[#This Row],[AGRUPACIONES]]=1,SUMIFS(Tabla4[VALOR TOTAL],Tabla4[ZONA DEFINITIVO],Tabla4[[#This Row],[ZONA DEFINITIVO]])," ")</f>
        <v xml:space="preserve"> </v>
      </c>
      <c r="AT351" s="27">
        <f>(VLOOKUP(Tabla4[[#This Row],[SERVICIO 2025]],$J$2:$V$14,3,0)*Tabla4[[#This Row],[TOTAL COBERTURA]])+Tabla4[[#This Row],[VALOR FASE PREPARATORIA DE ALISTAMIENTO]]+Tabla4[[#This Row],[DOTACIÓN ÚNICA]]</f>
        <v>12127395</v>
      </c>
      <c r="AU351" s="35">
        <f>(VLOOKUP(Tabla4[[#This Row],[SERVICIO 2025]],$J$2:$V$14,3,0)*Tabla4[[#This Row],[TOTAL COBERTURA]])</f>
        <v>9307690</v>
      </c>
      <c r="AV351" s="35">
        <f>(VLOOKUP(Tabla4[[#This Row],[SERVICIO 2025]],$J$2:$V$14,3,0)*Tabla4[[#This Row],[TOTAL COBERTURA]])</f>
        <v>9307690</v>
      </c>
      <c r="AW351" s="35">
        <f>(VLOOKUP(Tabla4[[#This Row],[SERVICIO 2025]],$J$2:$V$14,3,0)*Tabla4[[#This Row],[TOTAL COBERTURA]])</f>
        <v>9307690</v>
      </c>
      <c r="AX351" s="35">
        <f>(VLOOKUP(Tabla4[[#This Row],[SERVICIO 2025]],$J$2:$V$14,3,0)*Tabla4[[#This Row],[TOTAL COBERTURA]])</f>
        <v>9307690</v>
      </c>
      <c r="AY351" s="35">
        <f>(VLOOKUP(Tabla4[[#This Row],[SERVICIO 2025]],$J$2:$V$14,3,0)*Tabla4[[#This Row],[TOTAL COBERTURA]])</f>
        <v>9307690</v>
      </c>
      <c r="AZ351" s="35">
        <f>(VLOOKUP(Tabla4[[#This Row],[SERVICIO 2025]],$J$2:$V$14,3,0)*Tabla4[[#This Row],[TOTAL COBERTURA]])</f>
        <v>9307690</v>
      </c>
      <c r="BA351" s="35">
        <f>(VLOOKUP(Tabla4[[#This Row],[SERVICIO 2025]],$J$2:$V$14,3,0)*Tabla4[[#This Row],[TOTAL COBERTURA]])+Tabla4[[#This Row],[VALOR FASE PREPARATORIA DE CIERRE]]</f>
        <v>10816750</v>
      </c>
      <c r="BB351" s="35">
        <f>SUM(Tabla4[[#This Row],[DESEMBOLSO 1]:[DESEMBOLSO 8]])</f>
        <v>78790285</v>
      </c>
      <c r="BC351" s="35">
        <f>VLOOKUP(Tabla4[[#This Row],[SERVICIO 2025]],$J$2:$V$14,10,0)*Tabla4[[#This Row],[TOTAL COBERTURA]]*7</f>
        <v>44193835</v>
      </c>
      <c r="BD351" s="47" t="s">
        <v>211</v>
      </c>
      <c r="BE351" s="12" t="b">
        <f>EXACT(Tabla4[[#This Row],[VALOR ATENCIÓN (8 MESES)]],Tabla4[[#This Row],[VALOR TOTAL]])</f>
        <v>1</v>
      </c>
      <c r="BF351" s="23">
        <f>Tabla4[[#This Row],[VALOR ATENCIÓN (8 MESES)]]-Tabla4[[#This Row],[VALOR TOTAL]]</f>
        <v>0</v>
      </c>
      <c r="BG351" s="12" t="b">
        <f>EXACT(Tabla4[[#This Row],[TOTAL DESEMBOLSOS]],Tabla4[[#This Row],[VALOR ATENCIÓN (8 MESES)]])</f>
        <v>1</v>
      </c>
      <c r="BH351" s="29">
        <f>Tabla4[[#This Row],[TOTAL DESEMBOLSOS]]-Tabla4[[#This Row],[VALOR ATENCIÓN (8 MESES)]]</f>
        <v>0</v>
      </c>
      <c r="BI351" t="s">
        <v>98</v>
      </c>
    </row>
    <row r="352" spans="1:61">
      <c r="A352" s="13">
        <v>1915</v>
      </c>
      <c r="B352" s="13" t="s">
        <v>805</v>
      </c>
      <c r="C352" s="12" t="s">
        <v>87</v>
      </c>
      <c r="D352" s="12" t="s">
        <v>462</v>
      </c>
      <c r="E352" s="12" t="s">
        <v>463</v>
      </c>
      <c r="F352" s="12" t="s">
        <v>19</v>
      </c>
      <c r="G352" s="12" t="s">
        <v>90</v>
      </c>
      <c r="H352" s="12" t="s">
        <v>843</v>
      </c>
      <c r="I352" s="12">
        <v>504500115642</v>
      </c>
      <c r="J352" s="12" t="s">
        <v>844</v>
      </c>
      <c r="K352" s="12">
        <v>1</v>
      </c>
      <c r="L352" s="12">
        <v>50</v>
      </c>
      <c r="M352" s="12"/>
      <c r="N352" s="13">
        <v>1915</v>
      </c>
      <c r="O352" s="12" t="s">
        <v>93</v>
      </c>
      <c r="P352" s="12"/>
      <c r="Q352" s="12"/>
      <c r="R352" s="12" t="s">
        <v>94</v>
      </c>
      <c r="S352" s="12">
        <v>10</v>
      </c>
      <c r="T352" s="12" t="s">
        <v>808</v>
      </c>
      <c r="U352" s="12" t="s">
        <v>809</v>
      </c>
      <c r="V352" s="12">
        <f>VLOOKUP(Tabla4[[#This Row],[ZONA DEFINITIVO]],Hoja1!$A$1:$D$121,3,0)</f>
        <v>229094</v>
      </c>
      <c r="W352" s="12">
        <f>VLOOKUP(Tabla4[[#This Row],[ZONA DEFINITIVO]],Hoja1!$A$1:$D$121,2,0)</f>
        <v>15183</v>
      </c>
      <c r="X352" s="12">
        <f>VLOOKUP(Tabla4[[#This Row],[ZONA DEFINITIVO]],Hoja1!$A$1:$D$121,4,0)</f>
        <v>91525</v>
      </c>
      <c r="Y352" s="12" t="str">
        <f>+IF(Tabla4[[#This Row],[AGRUPACIONES]]=1,SUMIFS(Tabla4[UDS],Tabla4[ZONA DEFINITIVO],Tabla4[[#This Row],[ZONA DEFINITIVO]])," ")</f>
        <v xml:space="preserve"> </v>
      </c>
      <c r="Z352" s="12" t="str">
        <f>+IF(Tabla4[[#This Row],[AGRUPACIONES]]=1,SUMIFS(Tabla4[TOTAL COBERTURA],Tabla4[ZONA DEFINITIVO],Tabla4[[#This Row],[ZONA DEFINITIVO]])," ")</f>
        <v xml:space="preserve"> </v>
      </c>
      <c r="AA352" s="12"/>
      <c r="AB352" s="38">
        <v>112557550</v>
      </c>
      <c r="AC352" s="37">
        <v>0.02</v>
      </c>
      <c r="AD352" s="38">
        <f t="shared" si="6"/>
        <v>2251151</v>
      </c>
      <c r="AE352" s="12"/>
      <c r="AF352" s="12">
        <f>COUNTIF($A$20:A352,A352)</f>
        <v>19</v>
      </c>
      <c r="AG352" s="38">
        <v>112557550</v>
      </c>
      <c r="AH352" s="38">
        <f>Tabla4[[#This Row],[VALOR CONTRAPARTIDA]]+Tabla4[[#This Row],[TOTAL APORTES ICBF]]</f>
        <v>114808701</v>
      </c>
      <c r="AI352" s="35"/>
      <c r="AJ352" s="38"/>
      <c r="AK352" s="38"/>
      <c r="AL352" s="23"/>
      <c r="AM352" s="35">
        <f>VLOOKUP(Tabla4[[#This Row],[SERVICIO 2025]],$J$2:$V$14,5,0)*Tabla4[[#This Row],[TOTAL COBERTURA]]</f>
        <v>2573150</v>
      </c>
      <c r="AN352" s="35">
        <f>VLOOKUP(Tabla4[[#This Row],[SERVICIO 2025]],$J$2:$V$14,6,0)*Tabla4[[#This Row],[TOTAL COBERTURA]]</f>
        <v>2155800</v>
      </c>
      <c r="AO352" s="35">
        <f>VLOOKUP(Tabla4[[#This Row],[SERVICIO 2025]],$J$2:$V$14,8,0)*Tabla4[[#This Row],[TOTAL COBERTURA]]</f>
        <v>1455000</v>
      </c>
      <c r="AP352" s="35">
        <f>VLOOKUP(Tabla4[[#This Row],[SERVICIO 2025]],$J$2:$V$14,3,0)*Tabla4[[#This Row],[TOTAL COBERTURA]]*8</f>
        <v>106373600</v>
      </c>
      <c r="AQ352" s="35"/>
      <c r="AR352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352" s="35" t="str">
        <f>+IF(Tabla4[[#This Row],[AGRUPACIONES]]=1,SUMIFS(Tabla4[VALOR TOTAL],Tabla4[ZONA DEFINITIVO],Tabla4[[#This Row],[ZONA DEFINITIVO]])," ")</f>
        <v xml:space="preserve"> </v>
      </c>
      <c r="AT352" s="27">
        <f>(VLOOKUP(Tabla4[[#This Row],[SERVICIO 2025]],$J$2:$V$14,3,0)*Tabla4[[#This Row],[TOTAL COBERTURA]])+Tabla4[[#This Row],[VALOR FASE PREPARATORIA DE ALISTAMIENTO]]+Tabla4[[#This Row],[DOTACIÓN ÚNICA]]</f>
        <v>17324850</v>
      </c>
      <c r="AU352" s="35">
        <f>(VLOOKUP(Tabla4[[#This Row],[SERVICIO 2025]],$J$2:$V$14,3,0)*Tabla4[[#This Row],[TOTAL COBERTURA]])</f>
        <v>13296700</v>
      </c>
      <c r="AV352" s="35">
        <f>(VLOOKUP(Tabla4[[#This Row],[SERVICIO 2025]],$J$2:$V$14,3,0)*Tabla4[[#This Row],[TOTAL COBERTURA]])</f>
        <v>13296700</v>
      </c>
      <c r="AW352" s="35">
        <f>(VLOOKUP(Tabla4[[#This Row],[SERVICIO 2025]],$J$2:$V$14,3,0)*Tabla4[[#This Row],[TOTAL COBERTURA]])</f>
        <v>13296700</v>
      </c>
      <c r="AX352" s="35">
        <f>(VLOOKUP(Tabla4[[#This Row],[SERVICIO 2025]],$J$2:$V$14,3,0)*Tabla4[[#This Row],[TOTAL COBERTURA]])</f>
        <v>13296700</v>
      </c>
      <c r="AY352" s="35">
        <f>(VLOOKUP(Tabla4[[#This Row],[SERVICIO 2025]],$J$2:$V$14,3,0)*Tabla4[[#This Row],[TOTAL COBERTURA]])</f>
        <v>13296700</v>
      </c>
      <c r="AZ352" s="35">
        <f>(VLOOKUP(Tabla4[[#This Row],[SERVICIO 2025]],$J$2:$V$14,3,0)*Tabla4[[#This Row],[TOTAL COBERTURA]])</f>
        <v>13296700</v>
      </c>
      <c r="BA352" s="35">
        <f>(VLOOKUP(Tabla4[[#This Row],[SERVICIO 2025]],$J$2:$V$14,3,0)*Tabla4[[#This Row],[TOTAL COBERTURA]])+Tabla4[[#This Row],[VALOR FASE PREPARATORIA DE CIERRE]]</f>
        <v>15452500</v>
      </c>
      <c r="BB352" s="35">
        <f>SUM(Tabla4[[#This Row],[DESEMBOLSO 1]:[DESEMBOLSO 8]])</f>
        <v>112557550</v>
      </c>
      <c r="BC352" s="35">
        <f>VLOOKUP(Tabla4[[#This Row],[SERVICIO 2025]],$J$2:$V$14,10,0)*Tabla4[[#This Row],[TOTAL COBERTURA]]*7</f>
        <v>63134050</v>
      </c>
      <c r="BD352" s="47" t="s">
        <v>211</v>
      </c>
      <c r="BE352" s="12" t="b">
        <f>EXACT(Tabla4[[#This Row],[VALOR ATENCIÓN (8 MESES)]],Tabla4[[#This Row],[VALOR TOTAL]])</f>
        <v>1</v>
      </c>
      <c r="BF352" s="23">
        <f>Tabla4[[#This Row],[VALOR ATENCIÓN (8 MESES)]]-Tabla4[[#This Row],[VALOR TOTAL]]</f>
        <v>0</v>
      </c>
      <c r="BG352" s="12" t="b">
        <f>EXACT(Tabla4[[#This Row],[TOTAL DESEMBOLSOS]],Tabla4[[#This Row],[VALOR ATENCIÓN (8 MESES)]])</f>
        <v>1</v>
      </c>
      <c r="BH352" s="29">
        <f>Tabla4[[#This Row],[TOTAL DESEMBOLSOS]]-Tabla4[[#This Row],[VALOR ATENCIÓN (8 MESES)]]</f>
        <v>0</v>
      </c>
      <c r="BI352" t="s">
        <v>98</v>
      </c>
    </row>
    <row r="353" spans="1:62">
      <c r="A353" s="13">
        <v>1915</v>
      </c>
      <c r="B353" s="13" t="s">
        <v>805</v>
      </c>
      <c r="C353" s="12" t="s">
        <v>87</v>
      </c>
      <c r="D353" s="12" t="s">
        <v>462</v>
      </c>
      <c r="E353" s="12" t="s">
        <v>463</v>
      </c>
      <c r="F353" s="12" t="s">
        <v>19</v>
      </c>
      <c r="G353" s="12" t="s">
        <v>90</v>
      </c>
      <c r="H353" s="12" t="s">
        <v>845</v>
      </c>
      <c r="I353" s="12">
        <v>504500115647</v>
      </c>
      <c r="J353" s="12" t="s">
        <v>846</v>
      </c>
      <c r="K353" s="12">
        <v>1</v>
      </c>
      <c r="L353" s="12">
        <v>50</v>
      </c>
      <c r="M353" s="12"/>
      <c r="N353" s="13">
        <v>1915</v>
      </c>
      <c r="O353" s="12" t="s">
        <v>93</v>
      </c>
      <c r="P353" s="12"/>
      <c r="Q353" s="12"/>
      <c r="R353" s="12" t="s">
        <v>94</v>
      </c>
      <c r="S353" s="12">
        <v>10</v>
      </c>
      <c r="T353" s="12" t="s">
        <v>808</v>
      </c>
      <c r="U353" s="12" t="s">
        <v>809</v>
      </c>
      <c r="V353" s="12">
        <f>VLOOKUP(Tabla4[[#This Row],[ZONA DEFINITIVO]],Hoja1!$A$1:$D$121,3,0)</f>
        <v>229094</v>
      </c>
      <c r="W353" s="12">
        <f>VLOOKUP(Tabla4[[#This Row],[ZONA DEFINITIVO]],Hoja1!$A$1:$D$121,2,0)</f>
        <v>15183</v>
      </c>
      <c r="X353" s="12">
        <f>VLOOKUP(Tabla4[[#This Row],[ZONA DEFINITIVO]],Hoja1!$A$1:$D$121,4,0)</f>
        <v>91525</v>
      </c>
      <c r="Y353" s="12" t="str">
        <f>+IF(Tabla4[[#This Row],[AGRUPACIONES]]=1,SUMIFS(Tabla4[UDS],Tabla4[ZONA DEFINITIVO],Tabla4[[#This Row],[ZONA DEFINITIVO]])," ")</f>
        <v xml:space="preserve"> </v>
      </c>
      <c r="Z353" s="12" t="str">
        <f>+IF(Tabla4[[#This Row],[AGRUPACIONES]]=1,SUMIFS(Tabla4[TOTAL COBERTURA],Tabla4[ZONA DEFINITIVO],Tabla4[[#This Row],[ZONA DEFINITIVO]])," ")</f>
        <v xml:space="preserve"> </v>
      </c>
      <c r="AA353" s="12"/>
      <c r="AB353" s="38">
        <v>112557550</v>
      </c>
      <c r="AC353" s="37">
        <v>0.02</v>
      </c>
      <c r="AD353" s="38">
        <f t="shared" si="6"/>
        <v>2251151</v>
      </c>
      <c r="AE353" s="12"/>
      <c r="AF353" s="12">
        <f>COUNTIF($A$20:A353,A353)</f>
        <v>20</v>
      </c>
      <c r="AG353" s="38">
        <v>112557550</v>
      </c>
      <c r="AH353" s="38">
        <f>Tabla4[[#This Row],[VALOR CONTRAPARTIDA]]+Tabla4[[#This Row],[TOTAL APORTES ICBF]]</f>
        <v>114808701</v>
      </c>
      <c r="AI353" s="35"/>
      <c r="AJ353" s="38"/>
      <c r="AK353" s="38"/>
      <c r="AL353" s="23"/>
      <c r="AM353" s="35">
        <f>VLOOKUP(Tabla4[[#This Row],[SERVICIO 2025]],$J$2:$V$14,5,0)*Tabla4[[#This Row],[TOTAL COBERTURA]]</f>
        <v>2573150</v>
      </c>
      <c r="AN353" s="35">
        <f>VLOOKUP(Tabla4[[#This Row],[SERVICIO 2025]],$J$2:$V$14,6,0)*Tabla4[[#This Row],[TOTAL COBERTURA]]</f>
        <v>2155800</v>
      </c>
      <c r="AO353" s="35">
        <f>VLOOKUP(Tabla4[[#This Row],[SERVICIO 2025]],$J$2:$V$14,8,0)*Tabla4[[#This Row],[TOTAL COBERTURA]]</f>
        <v>1455000</v>
      </c>
      <c r="AP353" s="35">
        <f>VLOOKUP(Tabla4[[#This Row],[SERVICIO 2025]],$J$2:$V$14,3,0)*Tabla4[[#This Row],[TOTAL COBERTURA]]*8</f>
        <v>106373600</v>
      </c>
      <c r="AQ353" s="35"/>
      <c r="AR353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353" s="35" t="str">
        <f>+IF(Tabla4[[#This Row],[AGRUPACIONES]]=1,SUMIFS(Tabla4[VALOR TOTAL],Tabla4[ZONA DEFINITIVO],Tabla4[[#This Row],[ZONA DEFINITIVO]])," ")</f>
        <v xml:space="preserve"> </v>
      </c>
      <c r="AT353" s="27">
        <f>(VLOOKUP(Tabla4[[#This Row],[SERVICIO 2025]],$J$2:$V$14,3,0)*Tabla4[[#This Row],[TOTAL COBERTURA]])+Tabla4[[#This Row],[VALOR FASE PREPARATORIA DE ALISTAMIENTO]]+Tabla4[[#This Row],[DOTACIÓN ÚNICA]]</f>
        <v>17324850</v>
      </c>
      <c r="AU353" s="35">
        <f>(VLOOKUP(Tabla4[[#This Row],[SERVICIO 2025]],$J$2:$V$14,3,0)*Tabla4[[#This Row],[TOTAL COBERTURA]])</f>
        <v>13296700</v>
      </c>
      <c r="AV353" s="35">
        <f>(VLOOKUP(Tabla4[[#This Row],[SERVICIO 2025]],$J$2:$V$14,3,0)*Tabla4[[#This Row],[TOTAL COBERTURA]])</f>
        <v>13296700</v>
      </c>
      <c r="AW353" s="35">
        <f>(VLOOKUP(Tabla4[[#This Row],[SERVICIO 2025]],$J$2:$V$14,3,0)*Tabla4[[#This Row],[TOTAL COBERTURA]])</f>
        <v>13296700</v>
      </c>
      <c r="AX353" s="35">
        <f>(VLOOKUP(Tabla4[[#This Row],[SERVICIO 2025]],$J$2:$V$14,3,0)*Tabla4[[#This Row],[TOTAL COBERTURA]])</f>
        <v>13296700</v>
      </c>
      <c r="AY353" s="35">
        <f>(VLOOKUP(Tabla4[[#This Row],[SERVICIO 2025]],$J$2:$V$14,3,0)*Tabla4[[#This Row],[TOTAL COBERTURA]])</f>
        <v>13296700</v>
      </c>
      <c r="AZ353" s="35">
        <f>(VLOOKUP(Tabla4[[#This Row],[SERVICIO 2025]],$J$2:$V$14,3,0)*Tabla4[[#This Row],[TOTAL COBERTURA]])</f>
        <v>13296700</v>
      </c>
      <c r="BA353" s="35">
        <f>(VLOOKUP(Tabla4[[#This Row],[SERVICIO 2025]],$J$2:$V$14,3,0)*Tabla4[[#This Row],[TOTAL COBERTURA]])+Tabla4[[#This Row],[VALOR FASE PREPARATORIA DE CIERRE]]</f>
        <v>15452500</v>
      </c>
      <c r="BB353" s="35">
        <f>SUM(Tabla4[[#This Row],[DESEMBOLSO 1]:[DESEMBOLSO 8]])</f>
        <v>112557550</v>
      </c>
      <c r="BC353" s="35">
        <f>VLOOKUP(Tabla4[[#This Row],[SERVICIO 2025]],$J$2:$V$14,10,0)*Tabla4[[#This Row],[TOTAL COBERTURA]]*7</f>
        <v>63134050</v>
      </c>
      <c r="BD353" s="47" t="s">
        <v>211</v>
      </c>
      <c r="BE353" s="12" t="b">
        <f>EXACT(Tabla4[[#This Row],[VALOR ATENCIÓN (8 MESES)]],Tabla4[[#This Row],[VALOR TOTAL]])</f>
        <v>1</v>
      </c>
      <c r="BF353" s="23">
        <f>Tabla4[[#This Row],[VALOR ATENCIÓN (8 MESES)]]-Tabla4[[#This Row],[VALOR TOTAL]]</f>
        <v>0</v>
      </c>
      <c r="BG353" s="12" t="b">
        <f>EXACT(Tabla4[[#This Row],[TOTAL DESEMBOLSOS]],Tabla4[[#This Row],[VALOR ATENCIÓN (8 MESES)]])</f>
        <v>1</v>
      </c>
      <c r="BH353" s="29">
        <f>Tabla4[[#This Row],[TOTAL DESEMBOLSOS]]-Tabla4[[#This Row],[VALOR ATENCIÓN (8 MESES)]]</f>
        <v>0</v>
      </c>
      <c r="BI353" t="s">
        <v>98</v>
      </c>
    </row>
    <row r="354" spans="1:62">
      <c r="A354" s="13">
        <v>1916</v>
      </c>
      <c r="B354" s="13" t="s">
        <v>847</v>
      </c>
      <c r="C354" s="12" t="s">
        <v>87</v>
      </c>
      <c r="D354" s="12" t="s">
        <v>462</v>
      </c>
      <c r="E354" s="12" t="s">
        <v>848</v>
      </c>
      <c r="F354" s="12" t="s">
        <v>13</v>
      </c>
      <c r="G354" s="12" t="s">
        <v>90</v>
      </c>
      <c r="H354" s="12" t="s">
        <v>849</v>
      </c>
      <c r="I354" s="12">
        <v>50511121808</v>
      </c>
      <c r="J354" s="12" t="s">
        <v>850</v>
      </c>
      <c r="K354" s="12">
        <v>1</v>
      </c>
      <c r="L354" s="12">
        <v>191</v>
      </c>
      <c r="M354" s="12"/>
      <c r="N354" s="13">
        <v>1916</v>
      </c>
      <c r="O354" s="12" t="s">
        <v>93</v>
      </c>
      <c r="P354" s="12"/>
      <c r="Q354" s="12"/>
      <c r="R354" s="12" t="s">
        <v>94</v>
      </c>
      <c r="S354" s="12">
        <v>10</v>
      </c>
      <c r="T354" s="12" t="s">
        <v>808</v>
      </c>
      <c r="U354" s="12" t="s">
        <v>809</v>
      </c>
      <c r="V354" s="12">
        <f>VLOOKUP(Tabla4[[#This Row],[ZONA DEFINITIVO]],Hoja1!$A$1:$D$121,3,0)</f>
        <v>229095</v>
      </c>
      <c r="W354" s="12">
        <f>VLOOKUP(Tabla4[[#This Row],[ZONA DEFINITIVO]],Hoja1!$A$1:$D$121,2,0)</f>
        <v>15199</v>
      </c>
      <c r="X354" s="12">
        <f>VLOOKUP(Tabla4[[#This Row],[ZONA DEFINITIVO]],Hoja1!$A$1:$D$121,4,0)</f>
        <v>83425</v>
      </c>
      <c r="Y354" s="12">
        <f>+IF(Tabla4[[#This Row],[AGRUPACIONES]]=1,SUMIFS(Tabla4[UDS],Tabla4[ZONA DEFINITIVO],Tabla4[[#This Row],[ZONA DEFINITIVO]])," ")</f>
        <v>5</v>
      </c>
      <c r="Z354" s="12">
        <f>+IF(Tabla4[[#This Row],[AGRUPACIONES]]=1,SUMIFS(Tabla4[TOTAL COBERTURA],Tabla4[ZONA DEFINITIVO],Tabla4[[#This Row],[ZONA DEFINITIVO]])," ")</f>
        <v>526</v>
      </c>
      <c r="AA354" s="12"/>
      <c r="AB354" s="38">
        <v>564730846</v>
      </c>
      <c r="AC354" s="37">
        <v>0.02</v>
      </c>
      <c r="AD354" s="38">
        <f t="shared" si="6"/>
        <v>11294616.92</v>
      </c>
      <c r="AE354" s="12"/>
      <c r="AF354" s="12">
        <f>COUNTIF($A$20:A354,A354)</f>
        <v>1</v>
      </c>
      <c r="AG354" s="38">
        <v>564730846</v>
      </c>
      <c r="AH354" s="38">
        <f>Tabla4[[#This Row],[VALOR CONTRAPARTIDA]]+Tabla4[[#This Row],[TOTAL APORTES ICBF]]</f>
        <v>576025462.91999996</v>
      </c>
      <c r="AI354" s="35">
        <f>ROUND(+IF(Tabla4[[#This Row],[AGRUPACIONES]]=1,SUMIFS(Tabla4[TOTAL APORTES ICBF],Tabla4[ZONA DEFINITIVO],Tabla4[[#This Row],[ZONA DEFINITIVO]])," "),0)</f>
        <v>1498782956</v>
      </c>
      <c r="AJ354" s="38">
        <f>ROUND(+IF(Tabla4[[#This Row],[AGRUPACIONES]]=1,SUMIFS(Tabla4[VALOR CONTRAPARTIDA],Tabla4[ZONA DEFINITIVO],Tabla4[[#This Row],[ZONA DEFINITIVO]])," "),0)</f>
        <v>29975659</v>
      </c>
      <c r="AK354" s="38">
        <f>Tabla4[[#This Row],[TOTAL APORTES ICBF AGRUPADO]]+Tabla4[[#This Row],[TOTAL CONTRAPARTIDA AGRUPADO]]</f>
        <v>1528758615</v>
      </c>
      <c r="AL354" s="23">
        <f>Tabla4[[#This Row],[TOTAL APORTES ICBF AGRUPADO]]/$AL$18</f>
        <v>1052.885813839129</v>
      </c>
      <c r="AM354" s="35">
        <f>VLOOKUP(Tabla4[[#This Row],[SERVICIO 2025]],$J$2:$V$14,5,0)*Tabla4[[#This Row],[TOTAL COBERTURA]]</f>
        <v>16835313</v>
      </c>
      <c r="AN354" s="35">
        <f>VLOOKUP(Tabla4[[#This Row],[SERVICIO 2025]],$J$2:$V$14,6,0)*Tabla4[[#This Row],[TOTAL COBERTURA]]</f>
        <v>14333213</v>
      </c>
      <c r="AO354" s="35">
        <f>VLOOKUP(Tabla4[[#This Row],[SERVICIO 2025]],$J$2:$V$14,8,0)*Tabla4[[#This Row],[TOTAL COBERTURA]]</f>
        <v>0</v>
      </c>
      <c r="AP354" s="35">
        <f>VLOOKUP(Tabla4[[#This Row],[SERVICIO 2025]],$J$2:$V$14,3,0)*Tabla4[[#This Row],[TOTAL COBERTURA]]*8</f>
        <v>533562320</v>
      </c>
      <c r="AQ354" s="35"/>
      <c r="AR354" s="35">
        <f>Tabla4[[#This Row],[VALOR FASE PREPARATORIA DE ALISTAMIENTO]]+Tabla4[[#This Row],[VALOR FASE PREPARATORIA DE CIERRE]]+Tabla4[[#This Row],[DOTACIÓN ÚNICA]]+Tabla4[[#This Row],[VALOR ATENCIÓN]]+Tabla4[[#This Row],[VALOR RACION PREPARADA]]</f>
        <v>564730846</v>
      </c>
      <c r="AS354" s="35">
        <f>+IF(Tabla4[[#This Row],[AGRUPACIONES]]=1,SUMIFS(Tabla4[VALOR TOTAL],Tabla4[ZONA DEFINITIVO],Tabla4[[#This Row],[ZONA DEFINITIVO]])," ")</f>
        <v>1498782956</v>
      </c>
      <c r="AT354" s="27">
        <f>(VLOOKUP(Tabla4[[#This Row],[SERVICIO 2025]],$J$2:$V$14,3,0)*Tabla4[[#This Row],[TOTAL COBERTURA]])+Tabla4[[#This Row],[VALOR FASE PREPARATORIA DE ALISTAMIENTO]]+Tabla4[[#This Row],[DOTACIÓN ÚNICA]]</f>
        <v>83530603</v>
      </c>
      <c r="AU354" s="35">
        <f>(VLOOKUP(Tabla4[[#This Row],[SERVICIO 2025]],$J$2:$V$14,3,0)*Tabla4[[#This Row],[TOTAL COBERTURA]])</f>
        <v>66695290</v>
      </c>
      <c r="AV354" s="35">
        <f>(VLOOKUP(Tabla4[[#This Row],[SERVICIO 2025]],$J$2:$V$14,3,0)*Tabla4[[#This Row],[TOTAL COBERTURA]])</f>
        <v>66695290</v>
      </c>
      <c r="AW354" s="35">
        <f>(VLOOKUP(Tabla4[[#This Row],[SERVICIO 2025]],$J$2:$V$14,3,0)*Tabla4[[#This Row],[TOTAL COBERTURA]])</f>
        <v>66695290</v>
      </c>
      <c r="AX354" s="35">
        <f>(VLOOKUP(Tabla4[[#This Row],[SERVICIO 2025]],$J$2:$V$14,3,0)*Tabla4[[#This Row],[TOTAL COBERTURA]])</f>
        <v>66695290</v>
      </c>
      <c r="AY354" s="35">
        <f>(VLOOKUP(Tabla4[[#This Row],[SERVICIO 2025]],$J$2:$V$14,3,0)*Tabla4[[#This Row],[TOTAL COBERTURA]])</f>
        <v>66695290</v>
      </c>
      <c r="AZ354" s="35">
        <f>(VLOOKUP(Tabla4[[#This Row],[SERVICIO 2025]],$J$2:$V$14,3,0)*Tabla4[[#This Row],[TOTAL COBERTURA]])</f>
        <v>66695290</v>
      </c>
      <c r="BA354" s="35">
        <f>(VLOOKUP(Tabla4[[#This Row],[SERVICIO 2025]],$J$2:$V$14,3,0)*Tabla4[[#This Row],[TOTAL COBERTURA]])+Tabla4[[#This Row],[VALOR FASE PREPARATORIA DE CIERRE]]</f>
        <v>81028503</v>
      </c>
      <c r="BB354" s="35">
        <f>SUM(Tabla4[[#This Row],[DESEMBOLSO 1]:[DESEMBOLSO 8]])</f>
        <v>564730846</v>
      </c>
      <c r="BC354" s="35">
        <f>VLOOKUP(Tabla4[[#This Row],[SERVICIO 2025]],$J$2:$V$14,10,0)*Tabla4[[#This Row],[TOTAL COBERTURA]]*$W$3</f>
        <v>235339504</v>
      </c>
      <c r="BD354" s="47" t="s">
        <v>211</v>
      </c>
      <c r="BE354" s="12" t="b">
        <f>EXACT(Tabla4[[#This Row],[VALOR ATENCIÓN (8 MESES)]],Tabla4[[#This Row],[VALOR TOTAL]])</f>
        <v>1</v>
      </c>
      <c r="BF354" s="23">
        <f>Tabla4[[#This Row],[VALOR ATENCIÓN (8 MESES)]]-Tabla4[[#This Row],[VALOR TOTAL]]</f>
        <v>0</v>
      </c>
      <c r="BG354" s="12" t="b">
        <f>EXACT(Tabla4[[#This Row],[TOTAL DESEMBOLSOS]],Tabla4[[#This Row],[VALOR ATENCIÓN (8 MESES)]])</f>
        <v>1</v>
      </c>
      <c r="BH354" s="29">
        <f>Tabla4[[#This Row],[TOTAL DESEMBOLSOS]]-Tabla4[[#This Row],[VALOR ATENCIÓN (8 MESES)]]</f>
        <v>0</v>
      </c>
      <c r="BI354" t="s">
        <v>98</v>
      </c>
      <c r="BJ354">
        <v>1916</v>
      </c>
    </row>
    <row r="355" spans="1:62">
      <c r="A355" s="13">
        <v>1916</v>
      </c>
      <c r="B355" s="13" t="s">
        <v>847</v>
      </c>
      <c r="C355" s="12" t="s">
        <v>87</v>
      </c>
      <c r="D355" s="12" t="s">
        <v>462</v>
      </c>
      <c r="E355" s="12" t="s">
        <v>848</v>
      </c>
      <c r="F355" s="12" t="s">
        <v>13</v>
      </c>
      <c r="G355" s="12" t="s">
        <v>90</v>
      </c>
      <c r="H355" s="12" t="s">
        <v>851</v>
      </c>
      <c r="I355" s="12">
        <v>50511127060</v>
      </c>
      <c r="J355" s="12" t="s">
        <v>852</v>
      </c>
      <c r="K355" s="12">
        <v>1</v>
      </c>
      <c r="L355" s="12">
        <v>60</v>
      </c>
      <c r="M355" s="12"/>
      <c r="N355" s="13">
        <v>1916</v>
      </c>
      <c r="O355" s="12" t="s">
        <v>93</v>
      </c>
      <c r="P355" s="12"/>
      <c r="Q355" s="12"/>
      <c r="R355" s="12" t="s">
        <v>94</v>
      </c>
      <c r="S355" s="12">
        <v>10</v>
      </c>
      <c r="T355" s="12" t="s">
        <v>808</v>
      </c>
      <c r="U355" s="12" t="s">
        <v>809</v>
      </c>
      <c r="V355" s="12">
        <f>VLOOKUP(Tabla4[[#This Row],[ZONA DEFINITIVO]],Hoja1!$A$1:$D$121,3,0)</f>
        <v>229095</v>
      </c>
      <c r="W355" s="12">
        <f>VLOOKUP(Tabla4[[#This Row],[ZONA DEFINITIVO]],Hoja1!$A$1:$D$121,2,0)</f>
        <v>15199</v>
      </c>
      <c r="X355" s="12">
        <f>VLOOKUP(Tabla4[[#This Row],[ZONA DEFINITIVO]],Hoja1!$A$1:$D$121,4,0)</f>
        <v>83425</v>
      </c>
      <c r="Y355" s="12" t="str">
        <f>+IF(Tabla4[[#This Row],[AGRUPACIONES]]=1,SUMIFS(Tabla4[UDS],Tabla4[ZONA DEFINITIVO],Tabla4[[#This Row],[ZONA DEFINITIVO]])," ")</f>
        <v xml:space="preserve"> </v>
      </c>
      <c r="Z355" s="12" t="str">
        <f>+IF(Tabla4[[#This Row],[AGRUPACIONES]]=1,SUMIFS(Tabla4[TOTAL COBERTURA],Tabla4[ZONA DEFINITIVO],Tabla4[[#This Row],[ZONA DEFINITIVO]])," ")</f>
        <v xml:space="preserve"> </v>
      </c>
      <c r="AA355" s="12"/>
      <c r="AB355" s="38">
        <v>177402360</v>
      </c>
      <c r="AC355" s="37">
        <v>0.02</v>
      </c>
      <c r="AD355" s="38">
        <f t="shared" si="6"/>
        <v>3548047.2</v>
      </c>
      <c r="AE355" s="12"/>
      <c r="AF355" s="12">
        <f>COUNTIF($A$20:A355,A355)</f>
        <v>2</v>
      </c>
      <c r="AG355" s="38">
        <v>177402360</v>
      </c>
      <c r="AH355" s="38">
        <f>Tabla4[[#This Row],[VALOR CONTRAPARTIDA]]+Tabla4[[#This Row],[TOTAL APORTES ICBF]]</f>
        <v>180950407.19999999</v>
      </c>
      <c r="AI355" s="35"/>
      <c r="AJ355" s="38"/>
      <c r="AK355" s="38"/>
      <c r="AL355" s="23"/>
      <c r="AM355" s="35">
        <f>VLOOKUP(Tabla4[[#This Row],[SERVICIO 2025]],$J$2:$V$14,5,0)*Tabla4[[#This Row],[TOTAL COBERTURA]]</f>
        <v>5288580</v>
      </c>
      <c r="AN355" s="35">
        <f>VLOOKUP(Tabla4[[#This Row],[SERVICIO 2025]],$J$2:$V$14,6,0)*Tabla4[[#This Row],[TOTAL COBERTURA]]</f>
        <v>4502580</v>
      </c>
      <c r="AO355" s="35">
        <f>VLOOKUP(Tabla4[[#This Row],[SERVICIO 2025]],$J$2:$V$14,8,0)*Tabla4[[#This Row],[TOTAL COBERTURA]]</f>
        <v>0</v>
      </c>
      <c r="AP355" s="35">
        <f>VLOOKUP(Tabla4[[#This Row],[SERVICIO 2025]],$J$2:$V$14,3,0)*Tabla4[[#This Row],[TOTAL COBERTURA]]*8</f>
        <v>167611200</v>
      </c>
      <c r="AQ355" s="35"/>
      <c r="AR355" s="35">
        <f>Tabla4[[#This Row],[VALOR FASE PREPARATORIA DE ALISTAMIENTO]]+Tabla4[[#This Row],[VALOR FASE PREPARATORIA DE CIERRE]]+Tabla4[[#This Row],[DOTACIÓN ÚNICA]]+Tabla4[[#This Row],[VALOR ATENCIÓN]]+Tabla4[[#This Row],[VALOR RACION PREPARADA]]</f>
        <v>177402360</v>
      </c>
      <c r="AS355" s="35" t="str">
        <f>+IF(Tabla4[[#This Row],[AGRUPACIONES]]=1,SUMIFS(Tabla4[VALOR TOTAL],Tabla4[ZONA DEFINITIVO],Tabla4[[#This Row],[ZONA DEFINITIVO]])," ")</f>
        <v xml:space="preserve"> </v>
      </c>
      <c r="AT355" s="27">
        <f>(VLOOKUP(Tabla4[[#This Row],[SERVICIO 2025]],$J$2:$V$14,3,0)*Tabla4[[#This Row],[TOTAL COBERTURA]])+Tabla4[[#This Row],[VALOR FASE PREPARATORIA DE ALISTAMIENTO]]+Tabla4[[#This Row],[DOTACIÓN ÚNICA]]</f>
        <v>26239980</v>
      </c>
      <c r="AU355" s="35">
        <f>(VLOOKUP(Tabla4[[#This Row],[SERVICIO 2025]],$J$2:$V$14,3,0)*Tabla4[[#This Row],[TOTAL COBERTURA]])</f>
        <v>20951400</v>
      </c>
      <c r="AV355" s="35">
        <f>(VLOOKUP(Tabla4[[#This Row],[SERVICIO 2025]],$J$2:$V$14,3,0)*Tabla4[[#This Row],[TOTAL COBERTURA]])</f>
        <v>20951400</v>
      </c>
      <c r="AW355" s="35">
        <f>(VLOOKUP(Tabla4[[#This Row],[SERVICIO 2025]],$J$2:$V$14,3,0)*Tabla4[[#This Row],[TOTAL COBERTURA]])</f>
        <v>20951400</v>
      </c>
      <c r="AX355" s="35">
        <f>(VLOOKUP(Tabla4[[#This Row],[SERVICIO 2025]],$J$2:$V$14,3,0)*Tabla4[[#This Row],[TOTAL COBERTURA]])</f>
        <v>20951400</v>
      </c>
      <c r="AY355" s="35">
        <f>(VLOOKUP(Tabla4[[#This Row],[SERVICIO 2025]],$J$2:$V$14,3,0)*Tabla4[[#This Row],[TOTAL COBERTURA]])</f>
        <v>20951400</v>
      </c>
      <c r="AZ355" s="35">
        <f>(VLOOKUP(Tabla4[[#This Row],[SERVICIO 2025]],$J$2:$V$14,3,0)*Tabla4[[#This Row],[TOTAL COBERTURA]])</f>
        <v>20951400</v>
      </c>
      <c r="BA355" s="35">
        <f>(VLOOKUP(Tabla4[[#This Row],[SERVICIO 2025]],$J$2:$V$14,3,0)*Tabla4[[#This Row],[TOTAL COBERTURA]])+Tabla4[[#This Row],[VALOR FASE PREPARATORIA DE CIERRE]]</f>
        <v>25453980</v>
      </c>
      <c r="BB355" s="35">
        <f>SUM(Tabla4[[#This Row],[DESEMBOLSO 1]:[DESEMBOLSO 8]])</f>
        <v>177402360</v>
      </c>
      <c r="BC355" s="35">
        <f>VLOOKUP(Tabla4[[#This Row],[SERVICIO 2025]],$J$2:$V$14,10,0)*Tabla4[[#This Row],[TOTAL COBERTURA]]*$W$3</f>
        <v>73928640</v>
      </c>
      <c r="BD355" s="47" t="s">
        <v>211</v>
      </c>
      <c r="BE355" s="12" t="b">
        <f>EXACT(Tabla4[[#This Row],[VALOR ATENCIÓN (8 MESES)]],Tabla4[[#This Row],[VALOR TOTAL]])</f>
        <v>1</v>
      </c>
      <c r="BF355" s="23">
        <f>Tabla4[[#This Row],[VALOR ATENCIÓN (8 MESES)]]-Tabla4[[#This Row],[VALOR TOTAL]]</f>
        <v>0</v>
      </c>
      <c r="BG355" s="12" t="b">
        <f>EXACT(Tabla4[[#This Row],[TOTAL DESEMBOLSOS]],Tabla4[[#This Row],[VALOR ATENCIÓN (8 MESES)]])</f>
        <v>1</v>
      </c>
      <c r="BH355" s="29">
        <f>Tabla4[[#This Row],[TOTAL DESEMBOLSOS]]-Tabla4[[#This Row],[VALOR ATENCIÓN (8 MESES)]]</f>
        <v>0</v>
      </c>
      <c r="BI355" t="s">
        <v>98</v>
      </c>
      <c r="BJ355">
        <v>1916</v>
      </c>
    </row>
    <row r="356" spans="1:62">
      <c r="A356" s="13">
        <v>1916</v>
      </c>
      <c r="B356" s="13" t="s">
        <v>847</v>
      </c>
      <c r="C356" s="12" t="s">
        <v>87</v>
      </c>
      <c r="D356" s="12" t="s">
        <v>462</v>
      </c>
      <c r="E356" s="12" t="s">
        <v>848</v>
      </c>
      <c r="F356" s="12" t="s">
        <v>19</v>
      </c>
      <c r="G356" s="12" t="s">
        <v>90</v>
      </c>
      <c r="H356" s="12" t="s">
        <v>853</v>
      </c>
      <c r="I356" s="12">
        <v>50511150324</v>
      </c>
      <c r="J356" s="12" t="s">
        <v>854</v>
      </c>
      <c r="K356" s="12">
        <v>1</v>
      </c>
      <c r="L356" s="12">
        <v>50</v>
      </c>
      <c r="M356" s="12"/>
      <c r="N356" s="13">
        <v>1916</v>
      </c>
      <c r="O356" s="12" t="s">
        <v>93</v>
      </c>
      <c r="P356" s="12"/>
      <c r="Q356" s="12"/>
      <c r="R356" s="12" t="s">
        <v>94</v>
      </c>
      <c r="S356" s="12">
        <v>10</v>
      </c>
      <c r="T356" s="12" t="s">
        <v>808</v>
      </c>
      <c r="U356" s="12" t="s">
        <v>809</v>
      </c>
      <c r="V356" s="12">
        <f>VLOOKUP(Tabla4[[#This Row],[ZONA DEFINITIVO]],Hoja1!$A$1:$D$121,3,0)</f>
        <v>229095</v>
      </c>
      <c r="W356" s="12">
        <f>VLOOKUP(Tabla4[[#This Row],[ZONA DEFINITIVO]],Hoja1!$A$1:$D$121,2,0)</f>
        <v>15199</v>
      </c>
      <c r="X356" s="12">
        <f>VLOOKUP(Tabla4[[#This Row],[ZONA DEFINITIVO]],Hoja1!$A$1:$D$121,4,0)</f>
        <v>83425</v>
      </c>
      <c r="Y356" s="12" t="str">
        <f>+IF(Tabla4[[#This Row],[AGRUPACIONES]]=1,SUMIFS(Tabla4[UDS],Tabla4[ZONA DEFINITIVO],Tabla4[[#This Row],[ZONA DEFINITIVO]])," ")</f>
        <v xml:space="preserve"> </v>
      </c>
      <c r="Z356" s="12" t="str">
        <f>+IF(Tabla4[[#This Row],[AGRUPACIONES]]=1,SUMIFS(Tabla4[TOTAL COBERTURA],Tabla4[ZONA DEFINITIVO],Tabla4[[#This Row],[ZONA DEFINITIVO]])," ")</f>
        <v xml:space="preserve"> </v>
      </c>
      <c r="AA356" s="12"/>
      <c r="AB356" s="38">
        <v>112557550</v>
      </c>
      <c r="AC356" s="37">
        <v>0.02</v>
      </c>
      <c r="AD356" s="38">
        <f t="shared" si="6"/>
        <v>2251151</v>
      </c>
      <c r="AE356" s="12"/>
      <c r="AF356" s="12">
        <f>COUNTIF($A$20:A356,A356)</f>
        <v>3</v>
      </c>
      <c r="AG356" s="38">
        <v>112557550</v>
      </c>
      <c r="AH356" s="38">
        <f>Tabla4[[#This Row],[VALOR CONTRAPARTIDA]]+Tabla4[[#This Row],[TOTAL APORTES ICBF]]</f>
        <v>114808701</v>
      </c>
      <c r="AI356" s="35"/>
      <c r="AJ356" s="38"/>
      <c r="AK356" s="38"/>
      <c r="AL356" s="23"/>
      <c r="AM356" s="35">
        <f>VLOOKUP(Tabla4[[#This Row],[SERVICIO 2025]],$J$2:$V$14,5,0)*Tabla4[[#This Row],[TOTAL COBERTURA]]</f>
        <v>2573150</v>
      </c>
      <c r="AN356" s="35">
        <f>VLOOKUP(Tabla4[[#This Row],[SERVICIO 2025]],$J$2:$V$14,6,0)*Tabla4[[#This Row],[TOTAL COBERTURA]]</f>
        <v>2155800</v>
      </c>
      <c r="AO356" s="35">
        <f>VLOOKUP(Tabla4[[#This Row],[SERVICIO 2025]],$J$2:$V$14,8,0)*Tabla4[[#This Row],[TOTAL COBERTURA]]</f>
        <v>1455000</v>
      </c>
      <c r="AP356" s="35">
        <f>VLOOKUP(Tabla4[[#This Row],[SERVICIO 2025]],$J$2:$V$14,3,0)*Tabla4[[#This Row],[TOTAL COBERTURA]]*8</f>
        <v>106373600</v>
      </c>
      <c r="AQ356" s="35"/>
      <c r="AR356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356" s="35" t="str">
        <f>+IF(Tabla4[[#This Row],[AGRUPACIONES]]=1,SUMIFS(Tabla4[VALOR TOTAL],Tabla4[ZONA DEFINITIVO],Tabla4[[#This Row],[ZONA DEFINITIVO]])," ")</f>
        <v xml:space="preserve"> </v>
      </c>
      <c r="AT356" s="27">
        <f>(VLOOKUP(Tabla4[[#This Row],[SERVICIO 2025]],$J$2:$V$14,3,0)*Tabla4[[#This Row],[TOTAL COBERTURA]])+Tabla4[[#This Row],[VALOR FASE PREPARATORIA DE ALISTAMIENTO]]+Tabla4[[#This Row],[DOTACIÓN ÚNICA]]</f>
        <v>17324850</v>
      </c>
      <c r="AU356" s="35">
        <f>(VLOOKUP(Tabla4[[#This Row],[SERVICIO 2025]],$J$2:$V$14,3,0)*Tabla4[[#This Row],[TOTAL COBERTURA]])</f>
        <v>13296700</v>
      </c>
      <c r="AV356" s="35">
        <f>(VLOOKUP(Tabla4[[#This Row],[SERVICIO 2025]],$J$2:$V$14,3,0)*Tabla4[[#This Row],[TOTAL COBERTURA]])</f>
        <v>13296700</v>
      </c>
      <c r="AW356" s="35">
        <f>(VLOOKUP(Tabla4[[#This Row],[SERVICIO 2025]],$J$2:$V$14,3,0)*Tabla4[[#This Row],[TOTAL COBERTURA]])</f>
        <v>13296700</v>
      </c>
      <c r="AX356" s="35">
        <f>(VLOOKUP(Tabla4[[#This Row],[SERVICIO 2025]],$J$2:$V$14,3,0)*Tabla4[[#This Row],[TOTAL COBERTURA]])</f>
        <v>13296700</v>
      </c>
      <c r="AY356" s="35">
        <f>(VLOOKUP(Tabla4[[#This Row],[SERVICIO 2025]],$J$2:$V$14,3,0)*Tabla4[[#This Row],[TOTAL COBERTURA]])</f>
        <v>13296700</v>
      </c>
      <c r="AZ356" s="35">
        <f>(VLOOKUP(Tabla4[[#This Row],[SERVICIO 2025]],$J$2:$V$14,3,0)*Tabla4[[#This Row],[TOTAL COBERTURA]])</f>
        <v>13296700</v>
      </c>
      <c r="BA356" s="35">
        <f>(VLOOKUP(Tabla4[[#This Row],[SERVICIO 2025]],$J$2:$V$14,3,0)*Tabla4[[#This Row],[TOTAL COBERTURA]])+Tabla4[[#This Row],[VALOR FASE PREPARATORIA DE CIERRE]]</f>
        <v>15452500</v>
      </c>
      <c r="BB356" s="35">
        <f>SUM(Tabla4[[#This Row],[DESEMBOLSO 1]:[DESEMBOLSO 8]])</f>
        <v>112557550</v>
      </c>
      <c r="BC356" s="35">
        <f>VLOOKUP(Tabla4[[#This Row],[SERVICIO 2025]],$J$2:$V$14,10,0)*Tabla4[[#This Row],[TOTAL COBERTURA]]*$W$3</f>
        <v>72153200</v>
      </c>
      <c r="BD356" s="47" t="s">
        <v>211</v>
      </c>
      <c r="BE356" s="12" t="b">
        <f>EXACT(Tabla4[[#This Row],[VALOR ATENCIÓN (8 MESES)]],Tabla4[[#This Row],[VALOR TOTAL]])</f>
        <v>1</v>
      </c>
      <c r="BF356" s="23">
        <f>Tabla4[[#This Row],[VALOR ATENCIÓN (8 MESES)]]-Tabla4[[#This Row],[VALOR TOTAL]]</f>
        <v>0</v>
      </c>
      <c r="BG356" s="12" t="b">
        <f>EXACT(Tabla4[[#This Row],[TOTAL DESEMBOLSOS]],Tabla4[[#This Row],[VALOR ATENCIÓN (8 MESES)]])</f>
        <v>1</v>
      </c>
      <c r="BH356" s="29">
        <f>Tabla4[[#This Row],[TOTAL DESEMBOLSOS]]-Tabla4[[#This Row],[VALOR ATENCIÓN (8 MESES)]]</f>
        <v>0</v>
      </c>
      <c r="BI356" t="s">
        <v>98</v>
      </c>
      <c r="BJ356">
        <v>1916</v>
      </c>
    </row>
    <row r="357" spans="1:62">
      <c r="A357" s="13">
        <v>1916</v>
      </c>
      <c r="B357" s="13" t="s">
        <v>847</v>
      </c>
      <c r="C357" s="12" t="s">
        <v>87</v>
      </c>
      <c r="D357" s="12" t="s">
        <v>462</v>
      </c>
      <c r="E357" s="12" t="s">
        <v>848</v>
      </c>
      <c r="F357" s="12" t="s">
        <v>19</v>
      </c>
      <c r="G357" s="12" t="s">
        <v>90</v>
      </c>
      <c r="H357" s="12" t="s">
        <v>855</v>
      </c>
      <c r="I357" s="12">
        <v>50511152982</v>
      </c>
      <c r="J357" s="12" t="s">
        <v>856</v>
      </c>
      <c r="K357" s="12">
        <v>1</v>
      </c>
      <c r="L357" s="12">
        <v>30</v>
      </c>
      <c r="M357" s="12"/>
      <c r="N357" s="13">
        <v>1916</v>
      </c>
      <c r="O357" s="12" t="s">
        <v>93</v>
      </c>
      <c r="P357" s="12"/>
      <c r="Q357" s="12"/>
      <c r="R357" s="12" t="s">
        <v>94</v>
      </c>
      <c r="S357" s="12">
        <v>10</v>
      </c>
      <c r="T357" s="12" t="s">
        <v>808</v>
      </c>
      <c r="U357" s="12" t="s">
        <v>809</v>
      </c>
      <c r="V357" s="12">
        <f>VLOOKUP(Tabla4[[#This Row],[ZONA DEFINITIVO]],Hoja1!$A$1:$D$121,3,0)</f>
        <v>229095</v>
      </c>
      <c r="W357" s="12">
        <f>VLOOKUP(Tabla4[[#This Row],[ZONA DEFINITIVO]],Hoja1!$A$1:$D$121,2,0)</f>
        <v>15199</v>
      </c>
      <c r="X357" s="12">
        <f>VLOOKUP(Tabla4[[#This Row],[ZONA DEFINITIVO]],Hoja1!$A$1:$D$121,4,0)</f>
        <v>83425</v>
      </c>
      <c r="Y357" s="12" t="str">
        <f>+IF(Tabla4[[#This Row],[AGRUPACIONES]]=1,SUMIFS(Tabla4[UDS],Tabla4[ZONA DEFINITIVO],Tabla4[[#This Row],[ZONA DEFINITIVO]])," ")</f>
        <v xml:space="preserve"> </v>
      </c>
      <c r="Z357" s="12" t="str">
        <f>+IF(Tabla4[[#This Row],[AGRUPACIONES]]=1,SUMIFS(Tabla4[TOTAL COBERTURA],Tabla4[ZONA DEFINITIVO],Tabla4[[#This Row],[ZONA DEFINITIVO]])," ")</f>
        <v xml:space="preserve"> </v>
      </c>
      <c r="AA357" s="12"/>
      <c r="AB357" s="38">
        <v>67534530</v>
      </c>
      <c r="AC357" s="37">
        <v>0.02</v>
      </c>
      <c r="AD357" s="38">
        <f t="shared" si="6"/>
        <v>1350690.6</v>
      </c>
      <c r="AE357" s="12"/>
      <c r="AF357" s="12">
        <f>COUNTIF($A$20:A357,A357)</f>
        <v>4</v>
      </c>
      <c r="AG357" s="38">
        <v>67534530</v>
      </c>
      <c r="AH357" s="38">
        <f>Tabla4[[#This Row],[VALOR CONTRAPARTIDA]]+Tabla4[[#This Row],[TOTAL APORTES ICBF]]</f>
        <v>68885220.599999994</v>
      </c>
      <c r="AI357" s="35"/>
      <c r="AJ357" s="38"/>
      <c r="AK357" s="38"/>
      <c r="AL357" s="23"/>
      <c r="AM357" s="35">
        <f>VLOOKUP(Tabla4[[#This Row],[SERVICIO 2025]],$J$2:$V$14,5,0)*Tabla4[[#This Row],[TOTAL COBERTURA]]</f>
        <v>1543890</v>
      </c>
      <c r="AN357" s="35">
        <f>VLOOKUP(Tabla4[[#This Row],[SERVICIO 2025]],$J$2:$V$14,6,0)*Tabla4[[#This Row],[TOTAL COBERTURA]]</f>
        <v>1293480</v>
      </c>
      <c r="AO357" s="35">
        <f>VLOOKUP(Tabla4[[#This Row],[SERVICIO 2025]],$J$2:$V$14,8,0)*Tabla4[[#This Row],[TOTAL COBERTURA]]</f>
        <v>873000</v>
      </c>
      <c r="AP357" s="35">
        <f>VLOOKUP(Tabla4[[#This Row],[SERVICIO 2025]],$J$2:$V$14,3,0)*Tabla4[[#This Row],[TOTAL COBERTURA]]*8</f>
        <v>63824160</v>
      </c>
      <c r="AQ357" s="35"/>
      <c r="AR357" s="35">
        <f>Tabla4[[#This Row],[VALOR FASE PREPARATORIA DE ALISTAMIENTO]]+Tabla4[[#This Row],[VALOR FASE PREPARATORIA DE CIERRE]]+Tabla4[[#This Row],[DOTACIÓN ÚNICA]]+Tabla4[[#This Row],[VALOR ATENCIÓN]]+Tabla4[[#This Row],[VALOR RACION PREPARADA]]</f>
        <v>67534530</v>
      </c>
      <c r="AS357" s="35" t="str">
        <f>+IF(Tabla4[[#This Row],[AGRUPACIONES]]=1,SUMIFS(Tabla4[VALOR TOTAL],Tabla4[ZONA DEFINITIVO],Tabla4[[#This Row],[ZONA DEFINITIVO]])," ")</f>
        <v xml:space="preserve"> </v>
      </c>
      <c r="AT357" s="27">
        <f>(VLOOKUP(Tabla4[[#This Row],[SERVICIO 2025]],$J$2:$V$14,3,0)*Tabla4[[#This Row],[TOTAL COBERTURA]])+Tabla4[[#This Row],[VALOR FASE PREPARATORIA DE ALISTAMIENTO]]+Tabla4[[#This Row],[DOTACIÓN ÚNICA]]</f>
        <v>10394910</v>
      </c>
      <c r="AU357" s="35">
        <f>(VLOOKUP(Tabla4[[#This Row],[SERVICIO 2025]],$J$2:$V$14,3,0)*Tabla4[[#This Row],[TOTAL COBERTURA]])</f>
        <v>7978020</v>
      </c>
      <c r="AV357" s="35">
        <f>(VLOOKUP(Tabla4[[#This Row],[SERVICIO 2025]],$J$2:$V$14,3,0)*Tabla4[[#This Row],[TOTAL COBERTURA]])</f>
        <v>7978020</v>
      </c>
      <c r="AW357" s="35">
        <f>(VLOOKUP(Tabla4[[#This Row],[SERVICIO 2025]],$J$2:$V$14,3,0)*Tabla4[[#This Row],[TOTAL COBERTURA]])</f>
        <v>7978020</v>
      </c>
      <c r="AX357" s="35">
        <f>(VLOOKUP(Tabla4[[#This Row],[SERVICIO 2025]],$J$2:$V$14,3,0)*Tabla4[[#This Row],[TOTAL COBERTURA]])</f>
        <v>7978020</v>
      </c>
      <c r="AY357" s="35">
        <f>(VLOOKUP(Tabla4[[#This Row],[SERVICIO 2025]],$J$2:$V$14,3,0)*Tabla4[[#This Row],[TOTAL COBERTURA]])</f>
        <v>7978020</v>
      </c>
      <c r="AZ357" s="35">
        <f>(VLOOKUP(Tabla4[[#This Row],[SERVICIO 2025]],$J$2:$V$14,3,0)*Tabla4[[#This Row],[TOTAL COBERTURA]])</f>
        <v>7978020</v>
      </c>
      <c r="BA357" s="35">
        <f>(VLOOKUP(Tabla4[[#This Row],[SERVICIO 2025]],$J$2:$V$14,3,0)*Tabla4[[#This Row],[TOTAL COBERTURA]])+Tabla4[[#This Row],[VALOR FASE PREPARATORIA DE CIERRE]]</f>
        <v>9271500</v>
      </c>
      <c r="BB357" s="35">
        <f>SUM(Tabla4[[#This Row],[DESEMBOLSO 1]:[DESEMBOLSO 8]])</f>
        <v>67534530</v>
      </c>
      <c r="BC357" s="35">
        <f>VLOOKUP(Tabla4[[#This Row],[SERVICIO 2025]],$J$2:$V$14,10,0)*Tabla4[[#This Row],[TOTAL COBERTURA]]*$W$3</f>
        <v>43291920</v>
      </c>
      <c r="BD357" s="47" t="s">
        <v>211</v>
      </c>
      <c r="BE357" s="12" t="b">
        <f>EXACT(Tabla4[[#This Row],[VALOR ATENCIÓN (8 MESES)]],Tabla4[[#This Row],[VALOR TOTAL]])</f>
        <v>1</v>
      </c>
      <c r="BF357" s="23">
        <f>Tabla4[[#This Row],[VALOR ATENCIÓN (8 MESES)]]-Tabla4[[#This Row],[VALOR TOTAL]]</f>
        <v>0</v>
      </c>
      <c r="BG357" s="12" t="b">
        <f>EXACT(Tabla4[[#This Row],[TOTAL DESEMBOLSOS]],Tabla4[[#This Row],[VALOR ATENCIÓN (8 MESES)]])</f>
        <v>1</v>
      </c>
      <c r="BH357" s="29">
        <f>Tabla4[[#This Row],[TOTAL DESEMBOLSOS]]-Tabla4[[#This Row],[VALOR ATENCIÓN (8 MESES)]]</f>
        <v>0</v>
      </c>
      <c r="BI357" t="s">
        <v>98</v>
      </c>
      <c r="BJ357">
        <v>1916</v>
      </c>
    </row>
    <row r="358" spans="1:62">
      <c r="A358" s="13">
        <v>1916</v>
      </c>
      <c r="B358" s="13" t="s">
        <v>847</v>
      </c>
      <c r="C358" s="12" t="s">
        <v>87</v>
      </c>
      <c r="D358" s="12" t="s">
        <v>462</v>
      </c>
      <c r="E358" s="12" t="s">
        <v>848</v>
      </c>
      <c r="F358" s="12" t="s">
        <v>13</v>
      </c>
      <c r="G358" s="12" t="s">
        <v>90</v>
      </c>
      <c r="H358" s="12" t="s">
        <v>857</v>
      </c>
      <c r="I358" s="12">
        <v>505100103039</v>
      </c>
      <c r="J358" s="12" t="s">
        <v>858</v>
      </c>
      <c r="K358" s="12">
        <v>1</v>
      </c>
      <c r="L358" s="12">
        <v>195</v>
      </c>
      <c r="M358" s="12"/>
      <c r="N358" s="13">
        <v>1916</v>
      </c>
      <c r="O358" s="12" t="s">
        <v>93</v>
      </c>
      <c r="P358" s="12"/>
      <c r="Q358" s="12"/>
      <c r="R358" s="12" t="s">
        <v>94</v>
      </c>
      <c r="S358" s="12">
        <v>10</v>
      </c>
      <c r="T358" s="12" t="s">
        <v>808</v>
      </c>
      <c r="U358" s="12" t="s">
        <v>809</v>
      </c>
      <c r="V358" s="12">
        <f>VLOOKUP(Tabla4[[#This Row],[ZONA DEFINITIVO]],Hoja1!$A$1:$D$121,3,0)</f>
        <v>229095</v>
      </c>
      <c r="W358" s="12">
        <f>VLOOKUP(Tabla4[[#This Row],[ZONA DEFINITIVO]],Hoja1!$A$1:$D$121,2,0)</f>
        <v>15199</v>
      </c>
      <c r="X358" s="12">
        <f>VLOOKUP(Tabla4[[#This Row],[ZONA DEFINITIVO]],Hoja1!$A$1:$D$121,4,0)</f>
        <v>83425</v>
      </c>
      <c r="Y358" s="12" t="str">
        <f>+IF(Tabla4[[#This Row],[AGRUPACIONES]]=1,SUMIFS(Tabla4[UDS],Tabla4[ZONA DEFINITIVO],Tabla4[[#This Row],[ZONA DEFINITIVO]])," ")</f>
        <v xml:space="preserve"> </v>
      </c>
      <c r="Z358" s="12" t="str">
        <f>+IF(Tabla4[[#This Row],[AGRUPACIONES]]=1,SUMIFS(Tabla4[TOTAL COBERTURA],Tabla4[ZONA DEFINITIVO],Tabla4[[#This Row],[ZONA DEFINITIVO]])," ")</f>
        <v xml:space="preserve"> </v>
      </c>
      <c r="AA358" s="12"/>
      <c r="AB358" s="38">
        <v>576557670</v>
      </c>
      <c r="AC358" s="37">
        <v>0.02</v>
      </c>
      <c r="AD358" s="38">
        <f t="shared" si="6"/>
        <v>11531153.4</v>
      </c>
      <c r="AE358" s="12"/>
      <c r="AF358" s="12">
        <f>COUNTIF($A$20:A358,A358)</f>
        <v>5</v>
      </c>
      <c r="AG358" s="38">
        <v>576557670</v>
      </c>
      <c r="AH358" s="38">
        <f>Tabla4[[#This Row],[VALOR CONTRAPARTIDA]]+Tabla4[[#This Row],[TOTAL APORTES ICBF]]</f>
        <v>588088823.39999998</v>
      </c>
      <c r="AI358" s="35"/>
      <c r="AJ358" s="38"/>
      <c r="AK358" s="38"/>
      <c r="AL358" s="23"/>
      <c r="AM358" s="35">
        <f>VLOOKUP(Tabla4[[#This Row],[SERVICIO 2025]],$J$2:$V$14,5,0)*Tabla4[[#This Row],[TOTAL COBERTURA]]</f>
        <v>17187885</v>
      </c>
      <c r="AN358" s="35">
        <f>VLOOKUP(Tabla4[[#This Row],[SERVICIO 2025]],$J$2:$V$14,6,0)*Tabla4[[#This Row],[TOTAL COBERTURA]]</f>
        <v>14633385</v>
      </c>
      <c r="AO358" s="35">
        <f>VLOOKUP(Tabla4[[#This Row],[SERVICIO 2025]],$J$2:$V$14,8,0)*Tabla4[[#This Row],[TOTAL COBERTURA]]</f>
        <v>0</v>
      </c>
      <c r="AP358" s="35">
        <f>VLOOKUP(Tabla4[[#This Row],[SERVICIO 2025]],$J$2:$V$14,3,0)*Tabla4[[#This Row],[TOTAL COBERTURA]]*8</f>
        <v>544736400</v>
      </c>
      <c r="AQ358" s="35"/>
      <c r="AR358" s="35">
        <f>Tabla4[[#This Row],[VALOR FASE PREPARATORIA DE ALISTAMIENTO]]+Tabla4[[#This Row],[VALOR FASE PREPARATORIA DE CIERRE]]+Tabla4[[#This Row],[DOTACIÓN ÚNICA]]+Tabla4[[#This Row],[VALOR ATENCIÓN]]+Tabla4[[#This Row],[VALOR RACION PREPARADA]]</f>
        <v>576557670</v>
      </c>
      <c r="AS358" s="35" t="str">
        <f>+IF(Tabla4[[#This Row],[AGRUPACIONES]]=1,SUMIFS(Tabla4[VALOR TOTAL],Tabla4[ZONA DEFINITIVO],Tabla4[[#This Row],[ZONA DEFINITIVO]])," ")</f>
        <v xml:space="preserve"> </v>
      </c>
      <c r="AT358" s="27">
        <f>(VLOOKUP(Tabla4[[#This Row],[SERVICIO 2025]],$J$2:$V$14,3,0)*Tabla4[[#This Row],[TOTAL COBERTURA]])+Tabla4[[#This Row],[VALOR FASE PREPARATORIA DE ALISTAMIENTO]]+Tabla4[[#This Row],[DOTACIÓN ÚNICA]]</f>
        <v>85279935</v>
      </c>
      <c r="AU358" s="35">
        <f>(VLOOKUP(Tabla4[[#This Row],[SERVICIO 2025]],$J$2:$V$14,3,0)*Tabla4[[#This Row],[TOTAL COBERTURA]])</f>
        <v>68092050</v>
      </c>
      <c r="AV358" s="35">
        <f>(VLOOKUP(Tabla4[[#This Row],[SERVICIO 2025]],$J$2:$V$14,3,0)*Tabla4[[#This Row],[TOTAL COBERTURA]])</f>
        <v>68092050</v>
      </c>
      <c r="AW358" s="35">
        <f>(VLOOKUP(Tabla4[[#This Row],[SERVICIO 2025]],$J$2:$V$14,3,0)*Tabla4[[#This Row],[TOTAL COBERTURA]])</f>
        <v>68092050</v>
      </c>
      <c r="AX358" s="35">
        <f>(VLOOKUP(Tabla4[[#This Row],[SERVICIO 2025]],$J$2:$V$14,3,0)*Tabla4[[#This Row],[TOTAL COBERTURA]])</f>
        <v>68092050</v>
      </c>
      <c r="AY358" s="35">
        <f>(VLOOKUP(Tabla4[[#This Row],[SERVICIO 2025]],$J$2:$V$14,3,0)*Tabla4[[#This Row],[TOTAL COBERTURA]])</f>
        <v>68092050</v>
      </c>
      <c r="AZ358" s="35">
        <f>(VLOOKUP(Tabla4[[#This Row],[SERVICIO 2025]],$J$2:$V$14,3,0)*Tabla4[[#This Row],[TOTAL COBERTURA]])</f>
        <v>68092050</v>
      </c>
      <c r="BA358" s="35">
        <f>(VLOOKUP(Tabla4[[#This Row],[SERVICIO 2025]],$J$2:$V$14,3,0)*Tabla4[[#This Row],[TOTAL COBERTURA]])+Tabla4[[#This Row],[VALOR FASE PREPARATORIA DE CIERRE]]</f>
        <v>82725435</v>
      </c>
      <c r="BB358" s="35">
        <f>SUM(Tabla4[[#This Row],[DESEMBOLSO 1]:[DESEMBOLSO 8]])</f>
        <v>576557670</v>
      </c>
      <c r="BC358" s="35">
        <f>VLOOKUP(Tabla4[[#This Row],[SERVICIO 2025]],$J$2:$V$14,10,0)*Tabla4[[#This Row],[TOTAL COBERTURA]]*$W$3</f>
        <v>240268080</v>
      </c>
      <c r="BD358" s="47" t="s">
        <v>211</v>
      </c>
      <c r="BE358" s="12" t="b">
        <f>EXACT(Tabla4[[#This Row],[VALOR ATENCIÓN (8 MESES)]],Tabla4[[#This Row],[VALOR TOTAL]])</f>
        <v>1</v>
      </c>
      <c r="BF358" s="23">
        <f>Tabla4[[#This Row],[VALOR ATENCIÓN (8 MESES)]]-Tabla4[[#This Row],[VALOR TOTAL]]</f>
        <v>0</v>
      </c>
      <c r="BG358" s="12" t="b">
        <f>EXACT(Tabla4[[#This Row],[TOTAL DESEMBOLSOS]],Tabla4[[#This Row],[VALOR ATENCIÓN (8 MESES)]])</f>
        <v>1</v>
      </c>
      <c r="BH358" s="29">
        <f>Tabla4[[#This Row],[TOTAL DESEMBOLSOS]]-Tabla4[[#This Row],[VALOR ATENCIÓN (8 MESES)]]</f>
        <v>0</v>
      </c>
      <c r="BI358" t="s">
        <v>98</v>
      </c>
      <c r="BJ358">
        <v>1916</v>
      </c>
    </row>
    <row r="359" spans="1:62">
      <c r="A359" s="13">
        <v>1917</v>
      </c>
      <c r="B359" s="13" t="s">
        <v>859</v>
      </c>
      <c r="C359" s="12" t="s">
        <v>87</v>
      </c>
      <c r="D359" s="12" t="s">
        <v>462</v>
      </c>
      <c r="E359" s="12" t="s">
        <v>848</v>
      </c>
      <c r="F359" s="12" t="s">
        <v>18</v>
      </c>
      <c r="G359" s="12" t="s">
        <v>90</v>
      </c>
      <c r="H359" s="12" t="s">
        <v>860</v>
      </c>
      <c r="I359" s="12">
        <v>50511114619</v>
      </c>
      <c r="J359" s="12" t="s">
        <v>861</v>
      </c>
      <c r="K359" s="12">
        <v>1</v>
      </c>
      <c r="L359" s="12">
        <v>31</v>
      </c>
      <c r="M359" s="12"/>
      <c r="N359" s="13">
        <v>1917</v>
      </c>
      <c r="O359" s="12" t="s">
        <v>93</v>
      </c>
      <c r="P359" s="12"/>
      <c r="Q359" s="12"/>
      <c r="R359" s="12" t="s">
        <v>94</v>
      </c>
      <c r="S359" s="12">
        <v>10</v>
      </c>
      <c r="T359" s="12" t="s">
        <v>862</v>
      </c>
      <c r="U359" s="12" t="s">
        <v>863</v>
      </c>
      <c r="V359" s="12">
        <f>VLOOKUP(Tabla4[[#This Row],[ZONA DEFINITIVO]],Hoja1!$A$1:$D$121,3,0)</f>
        <v>229096</v>
      </c>
      <c r="W359" s="12">
        <f>VLOOKUP(Tabla4[[#This Row],[ZONA DEFINITIVO]],Hoja1!$A$1:$D$121,2,0)</f>
        <v>15355</v>
      </c>
      <c r="X359" s="12">
        <f>VLOOKUP(Tabla4[[#This Row],[ZONA DEFINITIVO]],Hoja1!$A$1:$D$121,4,0)</f>
        <v>87725</v>
      </c>
      <c r="Y359" s="12">
        <f>+IF(Tabla4[[#This Row],[AGRUPACIONES]]=1,SUMIFS(Tabla4[UDS],Tabla4[ZONA DEFINITIVO],Tabla4[[#This Row],[ZONA DEFINITIVO]])," ")</f>
        <v>31</v>
      </c>
      <c r="Z359" s="12">
        <f>+IF(Tabla4[[#This Row],[AGRUPACIONES]]=1,SUMIFS(Tabla4[TOTAL COBERTURA],Tabla4[ZONA DEFINITIVO],Tabla4[[#This Row],[ZONA DEFINITIVO]])," ")</f>
        <v>1067</v>
      </c>
      <c r="AA359" s="12"/>
      <c r="AB359" s="38">
        <v>67585983</v>
      </c>
      <c r="AC359" s="37">
        <v>0.02</v>
      </c>
      <c r="AD359" s="38">
        <f t="shared" si="6"/>
        <v>1351719.66</v>
      </c>
      <c r="AE359" s="12"/>
      <c r="AF359" s="12">
        <f>COUNTIF($A$20:A359,A359)</f>
        <v>1</v>
      </c>
      <c r="AG359" s="38">
        <v>67585983</v>
      </c>
      <c r="AH359" s="38">
        <f>Tabla4[[#This Row],[VALOR CONTRAPARTIDA]]+Tabla4[[#This Row],[TOTAL APORTES ICBF]]</f>
        <v>68937702.659999996</v>
      </c>
      <c r="AI359" s="35">
        <f>ROUND(+IF(Tabla4[[#This Row],[AGRUPACIONES]]=1,SUMIFS(Tabla4[TOTAL APORTES ICBF],Tabla4[ZONA DEFINITIVO],Tabla4[[#This Row],[ZONA DEFINITIVO]])," "),0)</f>
        <v>2403140718</v>
      </c>
      <c r="AJ359" s="38">
        <f>ROUND(+IF(Tabla4[[#This Row],[AGRUPACIONES]]=1,SUMIFS(Tabla4[VALOR CONTRAPARTIDA],Tabla4[ZONA DEFINITIVO],Tabla4[[#This Row],[ZONA DEFINITIVO]])," "),0)</f>
        <v>48062814</v>
      </c>
      <c r="AK359" s="38">
        <f>Tabla4[[#This Row],[TOTAL APORTES ICBF AGRUPADO]]+Tabla4[[#This Row],[TOTAL CONTRAPARTIDA AGRUPADO]]</f>
        <v>2451203532</v>
      </c>
      <c r="AL359" s="23">
        <f>Tabla4[[#This Row],[TOTAL APORTES ICBF AGRUPADO]]/$AL$18</f>
        <v>1688.1915827186513</v>
      </c>
      <c r="AM359" s="35">
        <f>VLOOKUP(Tabla4[[#This Row],[SERVICIO 2025]],$J$2:$V$14,5,0)*Tabla4[[#This Row],[TOTAL COBERTURA]]</f>
        <v>1530656</v>
      </c>
      <c r="AN359" s="35">
        <f>VLOOKUP(Tabla4[[#This Row],[SERVICIO 2025]],$J$2:$V$14,6,0)*Tabla4[[#This Row],[TOTAL COBERTURA]]</f>
        <v>1271899</v>
      </c>
      <c r="AO359" s="35">
        <f>VLOOKUP(Tabla4[[#This Row],[SERVICIO 2025]],$J$2:$V$14,8,0)*Tabla4[[#This Row],[TOTAL COBERTURA]]</f>
        <v>902100</v>
      </c>
      <c r="AP359" s="35">
        <f>VLOOKUP(Tabla4[[#This Row],[SERVICIO 2025]],$J$2:$V$14,3,0)*Tabla4[[#This Row],[TOTAL COBERTURA]]*8</f>
        <v>63881328</v>
      </c>
      <c r="AQ359" s="35"/>
      <c r="AR359" s="35">
        <f>Tabla4[[#This Row],[VALOR FASE PREPARATORIA DE ALISTAMIENTO]]+Tabla4[[#This Row],[VALOR FASE PREPARATORIA DE CIERRE]]+Tabla4[[#This Row],[DOTACIÓN ÚNICA]]+Tabla4[[#This Row],[VALOR ATENCIÓN]]+Tabla4[[#This Row],[VALOR RACION PREPARADA]]</f>
        <v>67585983</v>
      </c>
      <c r="AS359" s="35">
        <f>+IF(Tabla4[[#This Row],[AGRUPACIONES]]=1,SUMIFS(Tabla4[VALOR TOTAL],Tabla4[ZONA DEFINITIVO],Tabla4[[#This Row],[ZONA DEFINITIVO]])," ")</f>
        <v>2403140718</v>
      </c>
      <c r="AT359" s="27">
        <f>(VLOOKUP(Tabla4[[#This Row],[SERVICIO 2025]],$J$2:$V$14,3,0)*Tabla4[[#This Row],[TOTAL COBERTURA]])+Tabla4[[#This Row],[VALOR FASE PREPARATORIA DE ALISTAMIENTO]]+Tabla4[[#This Row],[DOTACIÓN ÚNICA]]</f>
        <v>10417922</v>
      </c>
      <c r="AU359" s="35">
        <f>(VLOOKUP(Tabla4[[#This Row],[SERVICIO 2025]],$J$2:$V$14,3,0)*Tabla4[[#This Row],[TOTAL COBERTURA]])</f>
        <v>7985166</v>
      </c>
      <c r="AV359" s="35">
        <f>(VLOOKUP(Tabla4[[#This Row],[SERVICIO 2025]],$J$2:$V$14,3,0)*Tabla4[[#This Row],[TOTAL COBERTURA]])</f>
        <v>7985166</v>
      </c>
      <c r="AW359" s="35">
        <f>(VLOOKUP(Tabla4[[#This Row],[SERVICIO 2025]],$J$2:$V$14,3,0)*Tabla4[[#This Row],[TOTAL COBERTURA]])</f>
        <v>7985166</v>
      </c>
      <c r="AX359" s="35">
        <f>(VLOOKUP(Tabla4[[#This Row],[SERVICIO 2025]],$J$2:$V$14,3,0)*Tabla4[[#This Row],[TOTAL COBERTURA]])</f>
        <v>7985166</v>
      </c>
      <c r="AY359" s="35">
        <f>(VLOOKUP(Tabla4[[#This Row],[SERVICIO 2025]],$J$2:$V$14,3,0)*Tabla4[[#This Row],[TOTAL COBERTURA]])</f>
        <v>7985166</v>
      </c>
      <c r="AZ359" s="35">
        <f>(VLOOKUP(Tabla4[[#This Row],[SERVICIO 2025]],$J$2:$V$14,3,0)*Tabla4[[#This Row],[TOTAL COBERTURA]])</f>
        <v>7985166</v>
      </c>
      <c r="BA359" s="35">
        <f>(VLOOKUP(Tabla4[[#This Row],[SERVICIO 2025]],$J$2:$V$14,3,0)*Tabla4[[#This Row],[TOTAL COBERTURA]])+Tabla4[[#This Row],[VALOR FASE PREPARATORIA DE CIERRE]]</f>
        <v>9257065</v>
      </c>
      <c r="BB359" s="35">
        <f>SUM(Tabla4[[#This Row],[DESEMBOLSO 1]:[DESEMBOLSO 8]])</f>
        <v>67585983</v>
      </c>
      <c r="BC359" s="35">
        <f>VLOOKUP(Tabla4[[#This Row],[SERVICIO 2025]],$J$2:$V$14,10,0)*Tabla4[[#This Row],[TOTAL COBERTURA]]*$W$3</f>
        <v>44734984</v>
      </c>
      <c r="BD359" s="47" t="s">
        <v>211</v>
      </c>
      <c r="BE359" s="12" t="b">
        <f>EXACT(Tabla4[[#This Row],[VALOR ATENCIÓN (8 MESES)]],Tabla4[[#This Row],[VALOR TOTAL]])</f>
        <v>1</v>
      </c>
      <c r="BF359" s="23">
        <f>Tabla4[[#This Row],[VALOR ATENCIÓN (8 MESES)]]-Tabla4[[#This Row],[VALOR TOTAL]]</f>
        <v>0</v>
      </c>
      <c r="BG359" s="12" t="b">
        <f>EXACT(Tabla4[[#This Row],[TOTAL DESEMBOLSOS]],Tabla4[[#This Row],[VALOR ATENCIÓN (8 MESES)]])</f>
        <v>1</v>
      </c>
      <c r="BH359" s="29">
        <f>Tabla4[[#This Row],[TOTAL DESEMBOLSOS]]-Tabla4[[#This Row],[VALOR ATENCIÓN (8 MESES)]]</f>
        <v>0</v>
      </c>
      <c r="BI359" t="s">
        <v>98</v>
      </c>
      <c r="BJ359">
        <v>1917</v>
      </c>
    </row>
    <row r="360" spans="1:62">
      <c r="A360" s="13">
        <v>1917</v>
      </c>
      <c r="B360" s="13" t="s">
        <v>859</v>
      </c>
      <c r="C360" s="12" t="s">
        <v>87</v>
      </c>
      <c r="D360" s="12" t="s">
        <v>462</v>
      </c>
      <c r="E360" s="12" t="s">
        <v>848</v>
      </c>
      <c r="F360" s="12" t="s">
        <v>18</v>
      </c>
      <c r="G360" s="12" t="s">
        <v>90</v>
      </c>
      <c r="H360" s="12" t="s">
        <v>864</v>
      </c>
      <c r="I360" s="12">
        <v>50511114668</v>
      </c>
      <c r="J360" s="12" t="s">
        <v>865</v>
      </c>
      <c r="K360" s="12">
        <v>1</v>
      </c>
      <c r="L360" s="12">
        <v>19</v>
      </c>
      <c r="M360" s="12"/>
      <c r="N360" s="13">
        <v>1917</v>
      </c>
      <c r="O360" s="12" t="s">
        <v>93</v>
      </c>
      <c r="P360" s="12"/>
      <c r="Q360" s="12"/>
      <c r="R360" s="12" t="s">
        <v>94</v>
      </c>
      <c r="S360" s="12">
        <v>10</v>
      </c>
      <c r="T360" s="12" t="s">
        <v>862</v>
      </c>
      <c r="U360" s="12" t="s">
        <v>863</v>
      </c>
      <c r="V360" s="12">
        <f>VLOOKUP(Tabla4[[#This Row],[ZONA DEFINITIVO]],Hoja1!$A$1:$D$121,3,0)</f>
        <v>229096</v>
      </c>
      <c r="W360" s="12">
        <f>VLOOKUP(Tabla4[[#This Row],[ZONA DEFINITIVO]],Hoja1!$A$1:$D$121,2,0)</f>
        <v>15355</v>
      </c>
      <c r="X360" s="12">
        <f>VLOOKUP(Tabla4[[#This Row],[ZONA DEFINITIVO]],Hoja1!$A$1:$D$121,4,0)</f>
        <v>87725</v>
      </c>
      <c r="Y360" s="12" t="str">
        <f>+IF(Tabla4[[#This Row],[AGRUPACIONES]]=1,SUMIFS(Tabla4[UDS],Tabla4[ZONA DEFINITIVO],Tabla4[[#This Row],[ZONA DEFINITIVO]])," ")</f>
        <v xml:space="preserve"> </v>
      </c>
      <c r="Z360" s="12" t="str">
        <f>+IF(Tabla4[[#This Row],[AGRUPACIONES]]=1,SUMIFS(Tabla4[TOTAL COBERTURA],Tabla4[ZONA DEFINITIVO],Tabla4[[#This Row],[ZONA DEFINITIVO]])," ")</f>
        <v xml:space="preserve"> </v>
      </c>
      <c r="AA360" s="12"/>
      <c r="AB360" s="38">
        <v>41423667</v>
      </c>
      <c r="AC360" s="37">
        <v>0.02</v>
      </c>
      <c r="AD360" s="38">
        <f t="shared" si="6"/>
        <v>828473.34</v>
      </c>
      <c r="AE360" s="12"/>
      <c r="AF360" s="12">
        <f>COUNTIF($A$20:A360,A360)</f>
        <v>2</v>
      </c>
      <c r="AG360" s="38">
        <v>41423667</v>
      </c>
      <c r="AH360" s="38">
        <f>Tabla4[[#This Row],[VALOR CONTRAPARTIDA]]+Tabla4[[#This Row],[TOTAL APORTES ICBF]]</f>
        <v>42252140.340000004</v>
      </c>
      <c r="AI360" s="35"/>
      <c r="AJ360" s="38"/>
      <c r="AK360" s="38"/>
      <c r="AL360" s="23"/>
      <c r="AM360" s="35">
        <f>VLOOKUP(Tabla4[[#This Row],[SERVICIO 2025]],$J$2:$V$14,5,0)*Tabla4[[#This Row],[TOTAL COBERTURA]]</f>
        <v>938144</v>
      </c>
      <c r="AN360" s="35">
        <f>VLOOKUP(Tabla4[[#This Row],[SERVICIO 2025]],$J$2:$V$14,6,0)*Tabla4[[#This Row],[TOTAL COBERTURA]]</f>
        <v>779551</v>
      </c>
      <c r="AO360" s="35">
        <f>VLOOKUP(Tabla4[[#This Row],[SERVICIO 2025]],$J$2:$V$14,8,0)*Tabla4[[#This Row],[TOTAL COBERTURA]]</f>
        <v>552900</v>
      </c>
      <c r="AP360" s="35">
        <f>VLOOKUP(Tabla4[[#This Row],[SERVICIO 2025]],$J$2:$V$14,3,0)*Tabla4[[#This Row],[TOTAL COBERTURA]]*8</f>
        <v>39153072</v>
      </c>
      <c r="AQ360" s="35"/>
      <c r="AR360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360" s="35" t="str">
        <f>+IF(Tabla4[[#This Row],[AGRUPACIONES]]=1,SUMIFS(Tabla4[VALOR TOTAL],Tabla4[ZONA DEFINITIVO],Tabla4[[#This Row],[ZONA DEFINITIVO]])," ")</f>
        <v xml:space="preserve"> </v>
      </c>
      <c r="AT360" s="27">
        <f>(VLOOKUP(Tabla4[[#This Row],[SERVICIO 2025]],$J$2:$V$14,3,0)*Tabla4[[#This Row],[TOTAL COBERTURA]])+Tabla4[[#This Row],[VALOR FASE PREPARATORIA DE ALISTAMIENTO]]+Tabla4[[#This Row],[DOTACIÓN ÚNICA]]</f>
        <v>6385178</v>
      </c>
      <c r="AU360" s="35">
        <f>(VLOOKUP(Tabla4[[#This Row],[SERVICIO 2025]],$J$2:$V$14,3,0)*Tabla4[[#This Row],[TOTAL COBERTURA]])</f>
        <v>4894134</v>
      </c>
      <c r="AV360" s="35">
        <f>(VLOOKUP(Tabla4[[#This Row],[SERVICIO 2025]],$J$2:$V$14,3,0)*Tabla4[[#This Row],[TOTAL COBERTURA]])</f>
        <v>4894134</v>
      </c>
      <c r="AW360" s="35">
        <f>(VLOOKUP(Tabla4[[#This Row],[SERVICIO 2025]],$J$2:$V$14,3,0)*Tabla4[[#This Row],[TOTAL COBERTURA]])</f>
        <v>4894134</v>
      </c>
      <c r="AX360" s="35">
        <f>(VLOOKUP(Tabla4[[#This Row],[SERVICIO 2025]],$J$2:$V$14,3,0)*Tabla4[[#This Row],[TOTAL COBERTURA]])</f>
        <v>4894134</v>
      </c>
      <c r="AY360" s="35">
        <f>(VLOOKUP(Tabla4[[#This Row],[SERVICIO 2025]],$J$2:$V$14,3,0)*Tabla4[[#This Row],[TOTAL COBERTURA]])</f>
        <v>4894134</v>
      </c>
      <c r="AZ360" s="35">
        <f>(VLOOKUP(Tabla4[[#This Row],[SERVICIO 2025]],$J$2:$V$14,3,0)*Tabla4[[#This Row],[TOTAL COBERTURA]])</f>
        <v>4894134</v>
      </c>
      <c r="BA360" s="35">
        <f>(VLOOKUP(Tabla4[[#This Row],[SERVICIO 2025]],$J$2:$V$14,3,0)*Tabla4[[#This Row],[TOTAL COBERTURA]])+Tabla4[[#This Row],[VALOR FASE PREPARATORIA DE CIERRE]]</f>
        <v>5673685</v>
      </c>
      <c r="BB360" s="35">
        <f>SUM(Tabla4[[#This Row],[DESEMBOLSO 1]:[DESEMBOLSO 8]])</f>
        <v>41423667</v>
      </c>
      <c r="BC360" s="35">
        <f>VLOOKUP(Tabla4[[#This Row],[SERVICIO 2025]],$J$2:$V$14,10,0)*Tabla4[[#This Row],[TOTAL COBERTURA]]*$W$3</f>
        <v>27418216</v>
      </c>
      <c r="BD360" s="47" t="s">
        <v>211</v>
      </c>
      <c r="BE360" s="12" t="b">
        <f>EXACT(Tabla4[[#This Row],[VALOR ATENCIÓN (8 MESES)]],Tabla4[[#This Row],[VALOR TOTAL]])</f>
        <v>1</v>
      </c>
      <c r="BF360" s="23">
        <f>Tabla4[[#This Row],[VALOR ATENCIÓN (8 MESES)]]-Tabla4[[#This Row],[VALOR TOTAL]]</f>
        <v>0</v>
      </c>
      <c r="BG360" s="12" t="b">
        <f>EXACT(Tabla4[[#This Row],[TOTAL DESEMBOLSOS]],Tabla4[[#This Row],[VALOR ATENCIÓN (8 MESES)]])</f>
        <v>1</v>
      </c>
      <c r="BH360" s="29">
        <f>Tabla4[[#This Row],[TOTAL DESEMBOLSOS]]-Tabla4[[#This Row],[VALOR ATENCIÓN (8 MESES)]]</f>
        <v>0</v>
      </c>
      <c r="BI360" t="s">
        <v>98</v>
      </c>
      <c r="BJ360">
        <v>1917</v>
      </c>
    </row>
    <row r="361" spans="1:62">
      <c r="A361" s="13">
        <v>1917</v>
      </c>
      <c r="B361" s="13" t="s">
        <v>859</v>
      </c>
      <c r="C361" s="12" t="s">
        <v>87</v>
      </c>
      <c r="D361" s="12" t="s">
        <v>462</v>
      </c>
      <c r="E361" s="12" t="s">
        <v>848</v>
      </c>
      <c r="F361" s="12" t="s">
        <v>18</v>
      </c>
      <c r="G361" s="12" t="s">
        <v>90</v>
      </c>
      <c r="H361" s="12" t="s">
        <v>866</v>
      </c>
      <c r="I361" s="12">
        <v>50511114669</v>
      </c>
      <c r="J361" s="12" t="s">
        <v>867</v>
      </c>
      <c r="K361" s="12">
        <v>1</v>
      </c>
      <c r="L361" s="12">
        <v>24</v>
      </c>
      <c r="M361" s="12"/>
      <c r="N361" s="13">
        <v>1917</v>
      </c>
      <c r="O361" s="12" t="s">
        <v>93</v>
      </c>
      <c r="P361" s="12"/>
      <c r="Q361" s="12"/>
      <c r="R361" s="12" t="s">
        <v>94</v>
      </c>
      <c r="S361" s="12">
        <v>10</v>
      </c>
      <c r="T361" s="12" t="s">
        <v>862</v>
      </c>
      <c r="U361" s="12" t="s">
        <v>863</v>
      </c>
      <c r="V361" s="12">
        <f>VLOOKUP(Tabla4[[#This Row],[ZONA DEFINITIVO]],Hoja1!$A$1:$D$121,3,0)</f>
        <v>229096</v>
      </c>
      <c r="W361" s="12">
        <f>VLOOKUP(Tabla4[[#This Row],[ZONA DEFINITIVO]],Hoja1!$A$1:$D$121,2,0)</f>
        <v>15355</v>
      </c>
      <c r="X361" s="12">
        <f>VLOOKUP(Tabla4[[#This Row],[ZONA DEFINITIVO]],Hoja1!$A$1:$D$121,4,0)</f>
        <v>87725</v>
      </c>
      <c r="Y361" s="12" t="str">
        <f>+IF(Tabla4[[#This Row],[AGRUPACIONES]]=1,SUMIFS(Tabla4[UDS],Tabla4[ZONA DEFINITIVO],Tabla4[[#This Row],[ZONA DEFINITIVO]])," ")</f>
        <v xml:space="preserve"> </v>
      </c>
      <c r="Z361" s="12" t="str">
        <f>+IF(Tabla4[[#This Row],[AGRUPACIONES]]=1,SUMIFS(Tabla4[TOTAL COBERTURA],Tabla4[ZONA DEFINITIVO],Tabla4[[#This Row],[ZONA DEFINITIVO]])," ")</f>
        <v xml:space="preserve"> </v>
      </c>
      <c r="AA361" s="12"/>
      <c r="AB361" s="38">
        <v>52324632</v>
      </c>
      <c r="AC361" s="37">
        <v>0.02</v>
      </c>
      <c r="AD361" s="38">
        <f t="shared" si="6"/>
        <v>1046492.64</v>
      </c>
      <c r="AE361" s="12"/>
      <c r="AF361" s="12">
        <f>COUNTIF($A$20:A361,A361)</f>
        <v>3</v>
      </c>
      <c r="AG361" s="38">
        <v>52324632</v>
      </c>
      <c r="AH361" s="38">
        <f>Tabla4[[#This Row],[VALOR CONTRAPARTIDA]]+Tabla4[[#This Row],[TOTAL APORTES ICBF]]</f>
        <v>53371124.640000001</v>
      </c>
      <c r="AI361" s="35"/>
      <c r="AJ361" s="38"/>
      <c r="AK361" s="38"/>
      <c r="AL361" s="23"/>
      <c r="AM361" s="35">
        <f>VLOOKUP(Tabla4[[#This Row],[SERVICIO 2025]],$J$2:$V$14,5,0)*Tabla4[[#This Row],[TOTAL COBERTURA]]</f>
        <v>1185024</v>
      </c>
      <c r="AN361" s="35">
        <f>VLOOKUP(Tabla4[[#This Row],[SERVICIO 2025]],$J$2:$V$14,6,0)*Tabla4[[#This Row],[TOTAL COBERTURA]]</f>
        <v>984696</v>
      </c>
      <c r="AO361" s="35">
        <f>VLOOKUP(Tabla4[[#This Row],[SERVICIO 2025]],$J$2:$V$14,8,0)*Tabla4[[#This Row],[TOTAL COBERTURA]]</f>
        <v>698400</v>
      </c>
      <c r="AP361" s="35">
        <f>VLOOKUP(Tabla4[[#This Row],[SERVICIO 2025]],$J$2:$V$14,3,0)*Tabla4[[#This Row],[TOTAL COBERTURA]]*8</f>
        <v>49456512</v>
      </c>
      <c r="AQ361" s="35"/>
      <c r="AR361" s="35">
        <f>Tabla4[[#This Row],[VALOR FASE PREPARATORIA DE ALISTAMIENTO]]+Tabla4[[#This Row],[VALOR FASE PREPARATORIA DE CIERRE]]+Tabla4[[#This Row],[DOTACIÓN ÚNICA]]+Tabla4[[#This Row],[VALOR ATENCIÓN]]+Tabla4[[#This Row],[VALOR RACION PREPARADA]]</f>
        <v>52324632</v>
      </c>
      <c r="AS361" s="35" t="str">
        <f>+IF(Tabla4[[#This Row],[AGRUPACIONES]]=1,SUMIFS(Tabla4[VALOR TOTAL],Tabla4[ZONA DEFINITIVO],Tabla4[[#This Row],[ZONA DEFINITIVO]])," ")</f>
        <v xml:space="preserve"> </v>
      </c>
      <c r="AT361" s="27">
        <f>(VLOOKUP(Tabla4[[#This Row],[SERVICIO 2025]],$J$2:$V$14,3,0)*Tabla4[[#This Row],[TOTAL COBERTURA]])+Tabla4[[#This Row],[VALOR FASE PREPARATORIA DE ALISTAMIENTO]]+Tabla4[[#This Row],[DOTACIÓN ÚNICA]]</f>
        <v>8065488</v>
      </c>
      <c r="AU361" s="35">
        <f>(VLOOKUP(Tabla4[[#This Row],[SERVICIO 2025]],$J$2:$V$14,3,0)*Tabla4[[#This Row],[TOTAL COBERTURA]])</f>
        <v>6182064</v>
      </c>
      <c r="AV361" s="35">
        <f>(VLOOKUP(Tabla4[[#This Row],[SERVICIO 2025]],$J$2:$V$14,3,0)*Tabla4[[#This Row],[TOTAL COBERTURA]])</f>
        <v>6182064</v>
      </c>
      <c r="AW361" s="35">
        <f>(VLOOKUP(Tabla4[[#This Row],[SERVICIO 2025]],$J$2:$V$14,3,0)*Tabla4[[#This Row],[TOTAL COBERTURA]])</f>
        <v>6182064</v>
      </c>
      <c r="AX361" s="35">
        <f>(VLOOKUP(Tabla4[[#This Row],[SERVICIO 2025]],$J$2:$V$14,3,0)*Tabla4[[#This Row],[TOTAL COBERTURA]])</f>
        <v>6182064</v>
      </c>
      <c r="AY361" s="35">
        <f>(VLOOKUP(Tabla4[[#This Row],[SERVICIO 2025]],$J$2:$V$14,3,0)*Tabla4[[#This Row],[TOTAL COBERTURA]])</f>
        <v>6182064</v>
      </c>
      <c r="AZ361" s="35">
        <f>(VLOOKUP(Tabla4[[#This Row],[SERVICIO 2025]],$J$2:$V$14,3,0)*Tabla4[[#This Row],[TOTAL COBERTURA]])</f>
        <v>6182064</v>
      </c>
      <c r="BA361" s="35">
        <f>(VLOOKUP(Tabla4[[#This Row],[SERVICIO 2025]],$J$2:$V$14,3,0)*Tabla4[[#This Row],[TOTAL COBERTURA]])+Tabla4[[#This Row],[VALOR FASE PREPARATORIA DE CIERRE]]</f>
        <v>7166760</v>
      </c>
      <c r="BB361" s="35">
        <f>SUM(Tabla4[[#This Row],[DESEMBOLSO 1]:[DESEMBOLSO 8]])</f>
        <v>52324632</v>
      </c>
      <c r="BC361" s="35">
        <f>VLOOKUP(Tabla4[[#This Row],[SERVICIO 2025]],$J$2:$V$14,10,0)*Tabla4[[#This Row],[TOTAL COBERTURA]]*$W$3</f>
        <v>34633536</v>
      </c>
      <c r="BD361" s="47" t="s">
        <v>211</v>
      </c>
      <c r="BE361" s="12" t="b">
        <f>EXACT(Tabla4[[#This Row],[VALOR ATENCIÓN (8 MESES)]],Tabla4[[#This Row],[VALOR TOTAL]])</f>
        <v>1</v>
      </c>
      <c r="BF361" s="23">
        <f>Tabla4[[#This Row],[VALOR ATENCIÓN (8 MESES)]]-Tabla4[[#This Row],[VALOR TOTAL]]</f>
        <v>0</v>
      </c>
      <c r="BG361" s="12" t="b">
        <f>EXACT(Tabla4[[#This Row],[TOTAL DESEMBOLSOS]],Tabla4[[#This Row],[VALOR ATENCIÓN (8 MESES)]])</f>
        <v>1</v>
      </c>
      <c r="BH361" s="29">
        <f>Tabla4[[#This Row],[TOTAL DESEMBOLSOS]]-Tabla4[[#This Row],[VALOR ATENCIÓN (8 MESES)]]</f>
        <v>0</v>
      </c>
      <c r="BI361" t="s">
        <v>98</v>
      </c>
      <c r="BJ361">
        <v>1917</v>
      </c>
    </row>
    <row r="362" spans="1:62">
      <c r="A362" s="13">
        <v>1917</v>
      </c>
      <c r="B362" s="13" t="s">
        <v>859</v>
      </c>
      <c r="C362" s="12" t="s">
        <v>87</v>
      </c>
      <c r="D362" s="12" t="s">
        <v>462</v>
      </c>
      <c r="E362" s="12" t="s">
        <v>848</v>
      </c>
      <c r="F362" s="12" t="s">
        <v>18</v>
      </c>
      <c r="G362" s="12" t="s">
        <v>90</v>
      </c>
      <c r="H362" s="12" t="s">
        <v>868</v>
      </c>
      <c r="I362" s="12">
        <v>50511114672</v>
      </c>
      <c r="J362" s="12" t="s">
        <v>869</v>
      </c>
      <c r="K362" s="12">
        <v>1</v>
      </c>
      <c r="L362" s="12">
        <v>19</v>
      </c>
      <c r="M362" s="12"/>
      <c r="N362" s="13">
        <v>1917</v>
      </c>
      <c r="O362" s="12" t="s">
        <v>93</v>
      </c>
      <c r="P362" s="12"/>
      <c r="Q362" s="12"/>
      <c r="R362" s="12" t="s">
        <v>94</v>
      </c>
      <c r="S362" s="12">
        <v>10</v>
      </c>
      <c r="T362" s="12" t="s">
        <v>862</v>
      </c>
      <c r="U362" s="12" t="s">
        <v>863</v>
      </c>
      <c r="V362" s="12">
        <f>VLOOKUP(Tabla4[[#This Row],[ZONA DEFINITIVO]],Hoja1!$A$1:$D$121,3,0)</f>
        <v>229096</v>
      </c>
      <c r="W362" s="12">
        <f>VLOOKUP(Tabla4[[#This Row],[ZONA DEFINITIVO]],Hoja1!$A$1:$D$121,2,0)</f>
        <v>15355</v>
      </c>
      <c r="X362" s="12">
        <f>VLOOKUP(Tabla4[[#This Row],[ZONA DEFINITIVO]],Hoja1!$A$1:$D$121,4,0)</f>
        <v>87725</v>
      </c>
      <c r="Y362" s="12" t="str">
        <f>+IF(Tabla4[[#This Row],[AGRUPACIONES]]=1,SUMIFS(Tabla4[UDS],Tabla4[ZONA DEFINITIVO],Tabla4[[#This Row],[ZONA DEFINITIVO]])," ")</f>
        <v xml:space="preserve"> </v>
      </c>
      <c r="Z362" s="12" t="str">
        <f>+IF(Tabla4[[#This Row],[AGRUPACIONES]]=1,SUMIFS(Tabla4[TOTAL COBERTURA],Tabla4[ZONA DEFINITIVO],Tabla4[[#This Row],[ZONA DEFINITIVO]])," ")</f>
        <v xml:space="preserve"> </v>
      </c>
      <c r="AA362" s="12"/>
      <c r="AB362" s="38">
        <v>41423667</v>
      </c>
      <c r="AC362" s="37">
        <v>0.02</v>
      </c>
      <c r="AD362" s="38">
        <f t="shared" si="6"/>
        <v>828473.34</v>
      </c>
      <c r="AE362" s="12"/>
      <c r="AF362" s="12">
        <f>COUNTIF($A$20:A362,A362)</f>
        <v>4</v>
      </c>
      <c r="AG362" s="38">
        <v>41423667</v>
      </c>
      <c r="AH362" s="38">
        <f>Tabla4[[#This Row],[VALOR CONTRAPARTIDA]]+Tabla4[[#This Row],[TOTAL APORTES ICBF]]</f>
        <v>42252140.340000004</v>
      </c>
      <c r="AI362" s="35"/>
      <c r="AJ362" s="38"/>
      <c r="AK362" s="38"/>
      <c r="AL362" s="23"/>
      <c r="AM362" s="35">
        <f>VLOOKUP(Tabla4[[#This Row],[SERVICIO 2025]],$J$2:$V$14,5,0)*Tabla4[[#This Row],[TOTAL COBERTURA]]</f>
        <v>938144</v>
      </c>
      <c r="AN362" s="35">
        <f>VLOOKUP(Tabla4[[#This Row],[SERVICIO 2025]],$J$2:$V$14,6,0)*Tabla4[[#This Row],[TOTAL COBERTURA]]</f>
        <v>779551</v>
      </c>
      <c r="AO362" s="35">
        <f>VLOOKUP(Tabla4[[#This Row],[SERVICIO 2025]],$J$2:$V$14,8,0)*Tabla4[[#This Row],[TOTAL COBERTURA]]</f>
        <v>552900</v>
      </c>
      <c r="AP362" s="35">
        <f>VLOOKUP(Tabla4[[#This Row],[SERVICIO 2025]],$J$2:$V$14,3,0)*Tabla4[[#This Row],[TOTAL COBERTURA]]*8</f>
        <v>39153072</v>
      </c>
      <c r="AQ362" s="35"/>
      <c r="AR362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362" s="35" t="str">
        <f>+IF(Tabla4[[#This Row],[AGRUPACIONES]]=1,SUMIFS(Tabla4[VALOR TOTAL],Tabla4[ZONA DEFINITIVO],Tabla4[[#This Row],[ZONA DEFINITIVO]])," ")</f>
        <v xml:space="preserve"> </v>
      </c>
      <c r="AT362" s="27">
        <f>(VLOOKUP(Tabla4[[#This Row],[SERVICIO 2025]],$J$2:$V$14,3,0)*Tabla4[[#This Row],[TOTAL COBERTURA]])+Tabla4[[#This Row],[VALOR FASE PREPARATORIA DE ALISTAMIENTO]]+Tabla4[[#This Row],[DOTACIÓN ÚNICA]]</f>
        <v>6385178</v>
      </c>
      <c r="AU362" s="35">
        <f>(VLOOKUP(Tabla4[[#This Row],[SERVICIO 2025]],$J$2:$V$14,3,0)*Tabla4[[#This Row],[TOTAL COBERTURA]])</f>
        <v>4894134</v>
      </c>
      <c r="AV362" s="35">
        <f>(VLOOKUP(Tabla4[[#This Row],[SERVICIO 2025]],$J$2:$V$14,3,0)*Tabla4[[#This Row],[TOTAL COBERTURA]])</f>
        <v>4894134</v>
      </c>
      <c r="AW362" s="35">
        <f>(VLOOKUP(Tabla4[[#This Row],[SERVICIO 2025]],$J$2:$V$14,3,0)*Tabla4[[#This Row],[TOTAL COBERTURA]])</f>
        <v>4894134</v>
      </c>
      <c r="AX362" s="35">
        <f>(VLOOKUP(Tabla4[[#This Row],[SERVICIO 2025]],$J$2:$V$14,3,0)*Tabla4[[#This Row],[TOTAL COBERTURA]])</f>
        <v>4894134</v>
      </c>
      <c r="AY362" s="35">
        <f>(VLOOKUP(Tabla4[[#This Row],[SERVICIO 2025]],$J$2:$V$14,3,0)*Tabla4[[#This Row],[TOTAL COBERTURA]])</f>
        <v>4894134</v>
      </c>
      <c r="AZ362" s="35">
        <f>(VLOOKUP(Tabla4[[#This Row],[SERVICIO 2025]],$J$2:$V$14,3,0)*Tabla4[[#This Row],[TOTAL COBERTURA]])</f>
        <v>4894134</v>
      </c>
      <c r="BA362" s="35">
        <f>(VLOOKUP(Tabla4[[#This Row],[SERVICIO 2025]],$J$2:$V$14,3,0)*Tabla4[[#This Row],[TOTAL COBERTURA]])+Tabla4[[#This Row],[VALOR FASE PREPARATORIA DE CIERRE]]</f>
        <v>5673685</v>
      </c>
      <c r="BB362" s="35">
        <f>SUM(Tabla4[[#This Row],[DESEMBOLSO 1]:[DESEMBOLSO 8]])</f>
        <v>41423667</v>
      </c>
      <c r="BC362" s="35">
        <f>VLOOKUP(Tabla4[[#This Row],[SERVICIO 2025]],$J$2:$V$14,10,0)*Tabla4[[#This Row],[TOTAL COBERTURA]]*$W$3</f>
        <v>27418216</v>
      </c>
      <c r="BD362" s="47" t="s">
        <v>211</v>
      </c>
      <c r="BE362" s="12" t="b">
        <f>EXACT(Tabla4[[#This Row],[VALOR ATENCIÓN (8 MESES)]],Tabla4[[#This Row],[VALOR TOTAL]])</f>
        <v>1</v>
      </c>
      <c r="BF362" s="23">
        <f>Tabla4[[#This Row],[VALOR ATENCIÓN (8 MESES)]]-Tabla4[[#This Row],[VALOR TOTAL]]</f>
        <v>0</v>
      </c>
      <c r="BG362" s="12" t="b">
        <f>EXACT(Tabla4[[#This Row],[TOTAL DESEMBOLSOS]],Tabla4[[#This Row],[VALOR ATENCIÓN (8 MESES)]])</f>
        <v>1</v>
      </c>
      <c r="BH362" s="29">
        <f>Tabla4[[#This Row],[TOTAL DESEMBOLSOS]]-Tabla4[[#This Row],[VALOR ATENCIÓN (8 MESES)]]</f>
        <v>0</v>
      </c>
      <c r="BI362" t="s">
        <v>98</v>
      </c>
      <c r="BJ362">
        <v>1917</v>
      </c>
    </row>
    <row r="363" spans="1:62">
      <c r="A363" s="13">
        <v>1917</v>
      </c>
      <c r="B363" s="13" t="s">
        <v>859</v>
      </c>
      <c r="C363" s="12" t="s">
        <v>87</v>
      </c>
      <c r="D363" s="12" t="s">
        <v>462</v>
      </c>
      <c r="E363" s="12" t="s">
        <v>848</v>
      </c>
      <c r="F363" s="12" t="s">
        <v>18</v>
      </c>
      <c r="G363" s="12" t="s">
        <v>90</v>
      </c>
      <c r="H363" s="12" t="s">
        <v>870</v>
      </c>
      <c r="I363" s="12">
        <v>50511114751</v>
      </c>
      <c r="J363" s="12" t="s">
        <v>871</v>
      </c>
      <c r="K363" s="12">
        <v>1</v>
      </c>
      <c r="L363" s="12">
        <v>30</v>
      </c>
      <c r="M363" s="12"/>
      <c r="N363" s="13">
        <v>1917</v>
      </c>
      <c r="O363" s="12" t="s">
        <v>93</v>
      </c>
      <c r="P363" s="12"/>
      <c r="Q363" s="12"/>
      <c r="R363" s="12" t="s">
        <v>94</v>
      </c>
      <c r="S363" s="12">
        <v>10</v>
      </c>
      <c r="T363" s="12" t="s">
        <v>862</v>
      </c>
      <c r="U363" s="12" t="s">
        <v>863</v>
      </c>
      <c r="V363" s="12">
        <f>VLOOKUP(Tabla4[[#This Row],[ZONA DEFINITIVO]],Hoja1!$A$1:$D$121,3,0)</f>
        <v>229096</v>
      </c>
      <c r="W363" s="12">
        <f>VLOOKUP(Tabla4[[#This Row],[ZONA DEFINITIVO]],Hoja1!$A$1:$D$121,2,0)</f>
        <v>15355</v>
      </c>
      <c r="X363" s="12">
        <f>VLOOKUP(Tabla4[[#This Row],[ZONA DEFINITIVO]],Hoja1!$A$1:$D$121,4,0)</f>
        <v>87725</v>
      </c>
      <c r="Y363" s="12" t="str">
        <f>+IF(Tabla4[[#This Row],[AGRUPACIONES]]=1,SUMIFS(Tabla4[UDS],Tabla4[ZONA DEFINITIVO],Tabla4[[#This Row],[ZONA DEFINITIVO]])," ")</f>
        <v xml:space="preserve"> </v>
      </c>
      <c r="Z363" s="12" t="str">
        <f>+IF(Tabla4[[#This Row],[AGRUPACIONES]]=1,SUMIFS(Tabla4[TOTAL COBERTURA],Tabla4[ZONA DEFINITIVO],Tabla4[[#This Row],[ZONA DEFINITIVO]])," ")</f>
        <v xml:space="preserve"> </v>
      </c>
      <c r="AA363" s="12"/>
      <c r="AB363" s="38">
        <v>65405790</v>
      </c>
      <c r="AC363" s="37">
        <v>0.02</v>
      </c>
      <c r="AD363" s="38">
        <f t="shared" si="6"/>
        <v>1308115.8</v>
      </c>
      <c r="AE363" s="12"/>
      <c r="AF363" s="12">
        <f>COUNTIF($A$20:A363,A363)</f>
        <v>5</v>
      </c>
      <c r="AG363" s="38">
        <v>65405790</v>
      </c>
      <c r="AH363" s="38">
        <f>Tabla4[[#This Row],[VALOR CONTRAPARTIDA]]+Tabla4[[#This Row],[TOTAL APORTES ICBF]]</f>
        <v>66713905.799999997</v>
      </c>
      <c r="AI363" s="35"/>
      <c r="AJ363" s="38"/>
      <c r="AK363" s="38"/>
      <c r="AL363" s="23"/>
      <c r="AM363" s="35">
        <f>VLOOKUP(Tabla4[[#This Row],[SERVICIO 2025]],$J$2:$V$14,5,0)*Tabla4[[#This Row],[TOTAL COBERTURA]]</f>
        <v>1481280</v>
      </c>
      <c r="AN363" s="35">
        <f>VLOOKUP(Tabla4[[#This Row],[SERVICIO 2025]],$J$2:$V$14,6,0)*Tabla4[[#This Row],[TOTAL COBERTURA]]</f>
        <v>1230870</v>
      </c>
      <c r="AO363" s="35">
        <f>VLOOKUP(Tabla4[[#This Row],[SERVICIO 2025]],$J$2:$V$14,8,0)*Tabla4[[#This Row],[TOTAL COBERTURA]]</f>
        <v>873000</v>
      </c>
      <c r="AP363" s="35">
        <f>VLOOKUP(Tabla4[[#This Row],[SERVICIO 2025]],$J$2:$V$14,3,0)*Tabla4[[#This Row],[TOTAL COBERTURA]]*8</f>
        <v>61820640</v>
      </c>
      <c r="AQ363" s="35"/>
      <c r="AR363" s="35">
        <f>Tabla4[[#This Row],[VALOR FASE PREPARATORIA DE ALISTAMIENTO]]+Tabla4[[#This Row],[VALOR FASE PREPARATORIA DE CIERRE]]+Tabla4[[#This Row],[DOTACIÓN ÚNICA]]+Tabla4[[#This Row],[VALOR ATENCIÓN]]+Tabla4[[#This Row],[VALOR RACION PREPARADA]]</f>
        <v>65405790</v>
      </c>
      <c r="AS363" s="35" t="str">
        <f>+IF(Tabla4[[#This Row],[AGRUPACIONES]]=1,SUMIFS(Tabla4[VALOR TOTAL],Tabla4[ZONA DEFINITIVO],Tabla4[[#This Row],[ZONA DEFINITIVO]])," ")</f>
        <v xml:space="preserve"> </v>
      </c>
      <c r="AT363" s="27">
        <f>(VLOOKUP(Tabla4[[#This Row],[SERVICIO 2025]],$J$2:$V$14,3,0)*Tabla4[[#This Row],[TOTAL COBERTURA]])+Tabla4[[#This Row],[VALOR FASE PREPARATORIA DE ALISTAMIENTO]]+Tabla4[[#This Row],[DOTACIÓN ÚNICA]]</f>
        <v>10081860</v>
      </c>
      <c r="AU363" s="35">
        <f>(VLOOKUP(Tabla4[[#This Row],[SERVICIO 2025]],$J$2:$V$14,3,0)*Tabla4[[#This Row],[TOTAL COBERTURA]])</f>
        <v>7727580</v>
      </c>
      <c r="AV363" s="35">
        <f>(VLOOKUP(Tabla4[[#This Row],[SERVICIO 2025]],$J$2:$V$14,3,0)*Tabla4[[#This Row],[TOTAL COBERTURA]])</f>
        <v>7727580</v>
      </c>
      <c r="AW363" s="35">
        <f>(VLOOKUP(Tabla4[[#This Row],[SERVICIO 2025]],$J$2:$V$14,3,0)*Tabla4[[#This Row],[TOTAL COBERTURA]])</f>
        <v>7727580</v>
      </c>
      <c r="AX363" s="35">
        <f>(VLOOKUP(Tabla4[[#This Row],[SERVICIO 2025]],$J$2:$V$14,3,0)*Tabla4[[#This Row],[TOTAL COBERTURA]])</f>
        <v>7727580</v>
      </c>
      <c r="AY363" s="35">
        <f>(VLOOKUP(Tabla4[[#This Row],[SERVICIO 2025]],$J$2:$V$14,3,0)*Tabla4[[#This Row],[TOTAL COBERTURA]])</f>
        <v>7727580</v>
      </c>
      <c r="AZ363" s="35">
        <f>(VLOOKUP(Tabla4[[#This Row],[SERVICIO 2025]],$J$2:$V$14,3,0)*Tabla4[[#This Row],[TOTAL COBERTURA]])</f>
        <v>7727580</v>
      </c>
      <c r="BA363" s="35">
        <f>(VLOOKUP(Tabla4[[#This Row],[SERVICIO 2025]],$J$2:$V$14,3,0)*Tabla4[[#This Row],[TOTAL COBERTURA]])+Tabla4[[#This Row],[VALOR FASE PREPARATORIA DE CIERRE]]</f>
        <v>8958450</v>
      </c>
      <c r="BB363" s="35">
        <f>SUM(Tabla4[[#This Row],[DESEMBOLSO 1]:[DESEMBOLSO 8]])</f>
        <v>65405790</v>
      </c>
      <c r="BC363" s="35">
        <f>VLOOKUP(Tabla4[[#This Row],[SERVICIO 2025]],$J$2:$V$14,10,0)*Tabla4[[#This Row],[TOTAL COBERTURA]]*$W$3</f>
        <v>43291920</v>
      </c>
      <c r="BD363" s="47" t="s">
        <v>211</v>
      </c>
      <c r="BE363" s="12" t="b">
        <f>EXACT(Tabla4[[#This Row],[VALOR ATENCIÓN (8 MESES)]],Tabla4[[#This Row],[VALOR TOTAL]])</f>
        <v>1</v>
      </c>
      <c r="BF363" s="23">
        <f>Tabla4[[#This Row],[VALOR ATENCIÓN (8 MESES)]]-Tabla4[[#This Row],[VALOR TOTAL]]</f>
        <v>0</v>
      </c>
      <c r="BG363" s="12" t="b">
        <f>EXACT(Tabla4[[#This Row],[TOTAL DESEMBOLSOS]],Tabla4[[#This Row],[VALOR ATENCIÓN (8 MESES)]])</f>
        <v>1</v>
      </c>
      <c r="BH363" s="29">
        <f>Tabla4[[#This Row],[TOTAL DESEMBOLSOS]]-Tabla4[[#This Row],[VALOR ATENCIÓN (8 MESES)]]</f>
        <v>0</v>
      </c>
      <c r="BI363" t="s">
        <v>98</v>
      </c>
      <c r="BJ363">
        <v>1917</v>
      </c>
    </row>
    <row r="364" spans="1:62">
      <c r="A364" s="13">
        <v>1917</v>
      </c>
      <c r="B364" s="13" t="s">
        <v>859</v>
      </c>
      <c r="C364" s="12" t="s">
        <v>87</v>
      </c>
      <c r="D364" s="12" t="s">
        <v>462</v>
      </c>
      <c r="E364" s="12" t="s">
        <v>848</v>
      </c>
      <c r="F364" s="12" t="s">
        <v>18</v>
      </c>
      <c r="G364" s="12" t="s">
        <v>90</v>
      </c>
      <c r="H364" s="12" t="s">
        <v>709</v>
      </c>
      <c r="I364" s="12">
        <v>50511114753</v>
      </c>
      <c r="J364" s="12" t="s">
        <v>872</v>
      </c>
      <c r="K364" s="12">
        <v>1</v>
      </c>
      <c r="L364" s="12">
        <v>50</v>
      </c>
      <c r="M364" s="12"/>
      <c r="N364" s="13">
        <v>1917</v>
      </c>
      <c r="O364" s="12" t="s">
        <v>93</v>
      </c>
      <c r="P364" s="12"/>
      <c r="Q364" s="12"/>
      <c r="R364" s="12" t="s">
        <v>94</v>
      </c>
      <c r="S364" s="12">
        <v>10</v>
      </c>
      <c r="T364" s="12" t="s">
        <v>862</v>
      </c>
      <c r="U364" s="12" t="s">
        <v>863</v>
      </c>
      <c r="V364" s="12">
        <f>VLOOKUP(Tabla4[[#This Row],[ZONA DEFINITIVO]],Hoja1!$A$1:$D$121,3,0)</f>
        <v>229096</v>
      </c>
      <c r="W364" s="12">
        <f>VLOOKUP(Tabla4[[#This Row],[ZONA DEFINITIVO]],Hoja1!$A$1:$D$121,2,0)</f>
        <v>15355</v>
      </c>
      <c r="X364" s="12">
        <f>VLOOKUP(Tabla4[[#This Row],[ZONA DEFINITIVO]],Hoja1!$A$1:$D$121,4,0)</f>
        <v>87725</v>
      </c>
      <c r="Y364" s="12" t="str">
        <f>+IF(Tabla4[[#This Row],[AGRUPACIONES]]=1,SUMIFS(Tabla4[UDS],Tabla4[ZONA DEFINITIVO],Tabla4[[#This Row],[ZONA DEFINITIVO]])," ")</f>
        <v xml:space="preserve"> </v>
      </c>
      <c r="Z364" s="12" t="str">
        <f>+IF(Tabla4[[#This Row],[AGRUPACIONES]]=1,SUMIFS(Tabla4[TOTAL COBERTURA],Tabla4[ZONA DEFINITIVO],Tabla4[[#This Row],[ZONA DEFINITIVO]])," ")</f>
        <v xml:space="preserve"> </v>
      </c>
      <c r="AA364" s="12"/>
      <c r="AB364" s="38">
        <v>109009650</v>
      </c>
      <c r="AC364" s="37">
        <v>0.02</v>
      </c>
      <c r="AD364" s="38">
        <f t="shared" si="6"/>
        <v>2180193</v>
      </c>
      <c r="AE364" s="12"/>
      <c r="AF364" s="12">
        <f>COUNTIF($A$20:A364,A364)</f>
        <v>6</v>
      </c>
      <c r="AG364" s="38">
        <v>109009650</v>
      </c>
      <c r="AH364" s="38">
        <f>Tabla4[[#This Row],[VALOR CONTRAPARTIDA]]+Tabla4[[#This Row],[TOTAL APORTES ICBF]]</f>
        <v>111189843</v>
      </c>
      <c r="AI364" s="35"/>
      <c r="AJ364" s="38"/>
      <c r="AK364" s="38"/>
      <c r="AL364" s="23"/>
      <c r="AM364" s="35">
        <f>VLOOKUP(Tabla4[[#This Row],[SERVICIO 2025]],$J$2:$V$14,5,0)*Tabla4[[#This Row],[TOTAL COBERTURA]]</f>
        <v>2468800</v>
      </c>
      <c r="AN364" s="35">
        <f>VLOOKUP(Tabla4[[#This Row],[SERVICIO 2025]],$J$2:$V$14,6,0)*Tabla4[[#This Row],[TOTAL COBERTURA]]</f>
        <v>2051450</v>
      </c>
      <c r="AO364" s="35">
        <f>VLOOKUP(Tabla4[[#This Row],[SERVICIO 2025]],$J$2:$V$14,8,0)*Tabla4[[#This Row],[TOTAL COBERTURA]]</f>
        <v>1455000</v>
      </c>
      <c r="AP364" s="35">
        <f>VLOOKUP(Tabla4[[#This Row],[SERVICIO 2025]],$J$2:$V$14,3,0)*Tabla4[[#This Row],[TOTAL COBERTURA]]*8</f>
        <v>103034400</v>
      </c>
      <c r="AQ364" s="35"/>
      <c r="AR364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364" s="35" t="str">
        <f>+IF(Tabla4[[#This Row],[AGRUPACIONES]]=1,SUMIFS(Tabla4[VALOR TOTAL],Tabla4[ZONA DEFINITIVO],Tabla4[[#This Row],[ZONA DEFINITIVO]])," ")</f>
        <v xml:space="preserve"> </v>
      </c>
      <c r="AT364" s="27">
        <f>(VLOOKUP(Tabla4[[#This Row],[SERVICIO 2025]],$J$2:$V$14,3,0)*Tabla4[[#This Row],[TOTAL COBERTURA]])+Tabla4[[#This Row],[VALOR FASE PREPARATORIA DE ALISTAMIENTO]]+Tabla4[[#This Row],[DOTACIÓN ÚNICA]]</f>
        <v>16803100</v>
      </c>
      <c r="AU364" s="35">
        <f>(VLOOKUP(Tabla4[[#This Row],[SERVICIO 2025]],$J$2:$V$14,3,0)*Tabla4[[#This Row],[TOTAL COBERTURA]])</f>
        <v>12879300</v>
      </c>
      <c r="AV364" s="35">
        <f>(VLOOKUP(Tabla4[[#This Row],[SERVICIO 2025]],$J$2:$V$14,3,0)*Tabla4[[#This Row],[TOTAL COBERTURA]])</f>
        <v>12879300</v>
      </c>
      <c r="AW364" s="35">
        <f>(VLOOKUP(Tabla4[[#This Row],[SERVICIO 2025]],$J$2:$V$14,3,0)*Tabla4[[#This Row],[TOTAL COBERTURA]])</f>
        <v>12879300</v>
      </c>
      <c r="AX364" s="35">
        <f>(VLOOKUP(Tabla4[[#This Row],[SERVICIO 2025]],$J$2:$V$14,3,0)*Tabla4[[#This Row],[TOTAL COBERTURA]])</f>
        <v>12879300</v>
      </c>
      <c r="AY364" s="35">
        <f>(VLOOKUP(Tabla4[[#This Row],[SERVICIO 2025]],$J$2:$V$14,3,0)*Tabla4[[#This Row],[TOTAL COBERTURA]])</f>
        <v>12879300</v>
      </c>
      <c r="AZ364" s="35">
        <f>(VLOOKUP(Tabla4[[#This Row],[SERVICIO 2025]],$J$2:$V$14,3,0)*Tabla4[[#This Row],[TOTAL COBERTURA]])</f>
        <v>12879300</v>
      </c>
      <c r="BA364" s="35">
        <f>(VLOOKUP(Tabla4[[#This Row],[SERVICIO 2025]],$J$2:$V$14,3,0)*Tabla4[[#This Row],[TOTAL COBERTURA]])+Tabla4[[#This Row],[VALOR FASE PREPARATORIA DE CIERRE]]</f>
        <v>14930750</v>
      </c>
      <c r="BB364" s="35">
        <f>SUM(Tabla4[[#This Row],[DESEMBOLSO 1]:[DESEMBOLSO 8]])</f>
        <v>109009650</v>
      </c>
      <c r="BC364" s="35">
        <f>VLOOKUP(Tabla4[[#This Row],[SERVICIO 2025]],$J$2:$V$14,10,0)*Tabla4[[#This Row],[TOTAL COBERTURA]]*$W$3</f>
        <v>72153200</v>
      </c>
      <c r="BD364" s="47" t="s">
        <v>211</v>
      </c>
      <c r="BE364" s="12" t="b">
        <f>EXACT(Tabla4[[#This Row],[VALOR ATENCIÓN (8 MESES)]],Tabla4[[#This Row],[VALOR TOTAL]])</f>
        <v>1</v>
      </c>
      <c r="BF364" s="23">
        <f>Tabla4[[#This Row],[VALOR ATENCIÓN (8 MESES)]]-Tabla4[[#This Row],[VALOR TOTAL]]</f>
        <v>0</v>
      </c>
      <c r="BG364" s="12" t="b">
        <f>EXACT(Tabla4[[#This Row],[TOTAL DESEMBOLSOS]],Tabla4[[#This Row],[VALOR ATENCIÓN (8 MESES)]])</f>
        <v>1</v>
      </c>
      <c r="BH364" s="29">
        <f>Tabla4[[#This Row],[TOTAL DESEMBOLSOS]]-Tabla4[[#This Row],[VALOR ATENCIÓN (8 MESES)]]</f>
        <v>0</v>
      </c>
      <c r="BI364" t="s">
        <v>98</v>
      </c>
      <c r="BJ364">
        <v>1917</v>
      </c>
    </row>
    <row r="365" spans="1:62">
      <c r="A365" s="13">
        <v>1917</v>
      </c>
      <c r="B365" s="13" t="s">
        <v>859</v>
      </c>
      <c r="C365" s="12" t="s">
        <v>87</v>
      </c>
      <c r="D365" s="12" t="s">
        <v>462</v>
      </c>
      <c r="E365" s="12" t="s">
        <v>848</v>
      </c>
      <c r="F365" s="12" t="s">
        <v>18</v>
      </c>
      <c r="G365" s="12" t="s">
        <v>90</v>
      </c>
      <c r="H365" s="12" t="s">
        <v>873</v>
      </c>
      <c r="I365" s="12">
        <v>50511114759</v>
      </c>
      <c r="J365" s="12" t="s">
        <v>874</v>
      </c>
      <c r="K365" s="12">
        <v>1</v>
      </c>
      <c r="L365" s="12">
        <v>17</v>
      </c>
      <c r="M365" s="12"/>
      <c r="N365" s="13">
        <v>1917</v>
      </c>
      <c r="O365" s="12" t="s">
        <v>93</v>
      </c>
      <c r="P365" s="12"/>
      <c r="Q365" s="12"/>
      <c r="R365" s="12" t="s">
        <v>94</v>
      </c>
      <c r="S365" s="12">
        <v>10</v>
      </c>
      <c r="T365" s="12" t="s">
        <v>862</v>
      </c>
      <c r="U365" s="12" t="s">
        <v>863</v>
      </c>
      <c r="V365" s="12">
        <f>VLOOKUP(Tabla4[[#This Row],[ZONA DEFINITIVO]],Hoja1!$A$1:$D$121,3,0)</f>
        <v>229096</v>
      </c>
      <c r="W365" s="12">
        <f>VLOOKUP(Tabla4[[#This Row],[ZONA DEFINITIVO]],Hoja1!$A$1:$D$121,2,0)</f>
        <v>15355</v>
      </c>
      <c r="X365" s="12">
        <f>VLOOKUP(Tabla4[[#This Row],[ZONA DEFINITIVO]],Hoja1!$A$1:$D$121,4,0)</f>
        <v>87725</v>
      </c>
      <c r="Y365" s="12" t="str">
        <f>+IF(Tabla4[[#This Row],[AGRUPACIONES]]=1,SUMIFS(Tabla4[UDS],Tabla4[ZONA DEFINITIVO],Tabla4[[#This Row],[ZONA DEFINITIVO]])," ")</f>
        <v xml:space="preserve"> </v>
      </c>
      <c r="Z365" s="12" t="str">
        <f>+IF(Tabla4[[#This Row],[AGRUPACIONES]]=1,SUMIFS(Tabla4[TOTAL COBERTURA],Tabla4[ZONA DEFINITIVO],Tabla4[[#This Row],[ZONA DEFINITIVO]])," ")</f>
        <v xml:space="preserve"> </v>
      </c>
      <c r="AA365" s="12"/>
      <c r="AB365" s="38">
        <v>37063281</v>
      </c>
      <c r="AC365" s="37">
        <v>0.02</v>
      </c>
      <c r="AD365" s="38">
        <f t="shared" si="6"/>
        <v>741265.62</v>
      </c>
      <c r="AE365" s="12"/>
      <c r="AF365" s="12">
        <f>COUNTIF($A$20:A365,A365)</f>
        <v>7</v>
      </c>
      <c r="AG365" s="38">
        <v>37063281</v>
      </c>
      <c r="AH365" s="38">
        <f>Tabla4[[#This Row],[VALOR CONTRAPARTIDA]]+Tabla4[[#This Row],[TOTAL APORTES ICBF]]</f>
        <v>37804546.619999997</v>
      </c>
      <c r="AI365" s="35"/>
      <c r="AJ365" s="38"/>
      <c r="AK365" s="38"/>
      <c r="AL365" s="23"/>
      <c r="AM365" s="35">
        <f>VLOOKUP(Tabla4[[#This Row],[SERVICIO 2025]],$J$2:$V$14,5,0)*Tabla4[[#This Row],[TOTAL COBERTURA]]</f>
        <v>839392</v>
      </c>
      <c r="AN365" s="35">
        <f>VLOOKUP(Tabla4[[#This Row],[SERVICIO 2025]],$J$2:$V$14,6,0)*Tabla4[[#This Row],[TOTAL COBERTURA]]</f>
        <v>697493</v>
      </c>
      <c r="AO365" s="35">
        <f>VLOOKUP(Tabla4[[#This Row],[SERVICIO 2025]],$J$2:$V$14,8,0)*Tabla4[[#This Row],[TOTAL COBERTURA]]</f>
        <v>494700</v>
      </c>
      <c r="AP365" s="35">
        <f>VLOOKUP(Tabla4[[#This Row],[SERVICIO 2025]],$J$2:$V$14,3,0)*Tabla4[[#This Row],[TOTAL COBERTURA]]*8</f>
        <v>35031696</v>
      </c>
      <c r="AQ365" s="35"/>
      <c r="AR365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365" s="35" t="str">
        <f>+IF(Tabla4[[#This Row],[AGRUPACIONES]]=1,SUMIFS(Tabla4[VALOR TOTAL],Tabla4[ZONA DEFINITIVO],Tabla4[[#This Row],[ZONA DEFINITIVO]])," ")</f>
        <v xml:space="preserve"> </v>
      </c>
      <c r="AT365" s="27">
        <f>(VLOOKUP(Tabla4[[#This Row],[SERVICIO 2025]],$J$2:$V$14,3,0)*Tabla4[[#This Row],[TOTAL COBERTURA]])+Tabla4[[#This Row],[VALOR FASE PREPARATORIA DE ALISTAMIENTO]]+Tabla4[[#This Row],[DOTACIÓN ÚNICA]]</f>
        <v>5713054</v>
      </c>
      <c r="AU365" s="35">
        <f>(VLOOKUP(Tabla4[[#This Row],[SERVICIO 2025]],$J$2:$V$14,3,0)*Tabla4[[#This Row],[TOTAL COBERTURA]])</f>
        <v>4378962</v>
      </c>
      <c r="AV365" s="35">
        <f>(VLOOKUP(Tabla4[[#This Row],[SERVICIO 2025]],$J$2:$V$14,3,0)*Tabla4[[#This Row],[TOTAL COBERTURA]])</f>
        <v>4378962</v>
      </c>
      <c r="AW365" s="35">
        <f>(VLOOKUP(Tabla4[[#This Row],[SERVICIO 2025]],$J$2:$V$14,3,0)*Tabla4[[#This Row],[TOTAL COBERTURA]])</f>
        <v>4378962</v>
      </c>
      <c r="AX365" s="35">
        <f>(VLOOKUP(Tabla4[[#This Row],[SERVICIO 2025]],$J$2:$V$14,3,0)*Tabla4[[#This Row],[TOTAL COBERTURA]])</f>
        <v>4378962</v>
      </c>
      <c r="AY365" s="35">
        <f>(VLOOKUP(Tabla4[[#This Row],[SERVICIO 2025]],$J$2:$V$14,3,0)*Tabla4[[#This Row],[TOTAL COBERTURA]])</f>
        <v>4378962</v>
      </c>
      <c r="AZ365" s="35">
        <f>(VLOOKUP(Tabla4[[#This Row],[SERVICIO 2025]],$J$2:$V$14,3,0)*Tabla4[[#This Row],[TOTAL COBERTURA]])</f>
        <v>4378962</v>
      </c>
      <c r="BA365" s="35">
        <f>(VLOOKUP(Tabla4[[#This Row],[SERVICIO 2025]],$J$2:$V$14,3,0)*Tabla4[[#This Row],[TOTAL COBERTURA]])+Tabla4[[#This Row],[VALOR FASE PREPARATORIA DE CIERRE]]</f>
        <v>5076455</v>
      </c>
      <c r="BB365" s="35">
        <f>SUM(Tabla4[[#This Row],[DESEMBOLSO 1]:[DESEMBOLSO 8]])</f>
        <v>37063281</v>
      </c>
      <c r="BC365" s="35">
        <f>VLOOKUP(Tabla4[[#This Row],[SERVICIO 2025]],$J$2:$V$14,10,0)*Tabla4[[#This Row],[TOTAL COBERTURA]]*$W$3</f>
        <v>24532088</v>
      </c>
      <c r="BD365" s="47" t="s">
        <v>211</v>
      </c>
      <c r="BE365" s="12" t="b">
        <f>EXACT(Tabla4[[#This Row],[VALOR ATENCIÓN (8 MESES)]],Tabla4[[#This Row],[VALOR TOTAL]])</f>
        <v>1</v>
      </c>
      <c r="BF365" s="23">
        <f>Tabla4[[#This Row],[VALOR ATENCIÓN (8 MESES)]]-Tabla4[[#This Row],[VALOR TOTAL]]</f>
        <v>0</v>
      </c>
      <c r="BG365" s="12" t="b">
        <f>EXACT(Tabla4[[#This Row],[TOTAL DESEMBOLSOS]],Tabla4[[#This Row],[VALOR ATENCIÓN (8 MESES)]])</f>
        <v>1</v>
      </c>
      <c r="BH365" s="29">
        <f>Tabla4[[#This Row],[TOTAL DESEMBOLSOS]]-Tabla4[[#This Row],[VALOR ATENCIÓN (8 MESES)]]</f>
        <v>0</v>
      </c>
      <c r="BI365" t="s">
        <v>98</v>
      </c>
      <c r="BJ365">
        <v>1917</v>
      </c>
    </row>
    <row r="366" spans="1:62">
      <c r="A366" s="13">
        <v>1917</v>
      </c>
      <c r="B366" s="13" t="s">
        <v>859</v>
      </c>
      <c r="C366" s="12" t="s">
        <v>87</v>
      </c>
      <c r="D366" s="12" t="s">
        <v>462</v>
      </c>
      <c r="E366" s="12" t="s">
        <v>848</v>
      </c>
      <c r="F366" s="12" t="s">
        <v>18</v>
      </c>
      <c r="G366" s="12" t="s">
        <v>90</v>
      </c>
      <c r="H366" s="12" t="s">
        <v>875</v>
      </c>
      <c r="I366" s="12">
        <v>50511136213</v>
      </c>
      <c r="J366" s="12" t="s">
        <v>876</v>
      </c>
      <c r="K366" s="12">
        <v>1</v>
      </c>
      <c r="L366" s="12">
        <v>50</v>
      </c>
      <c r="M366" s="12"/>
      <c r="N366" s="13">
        <v>1917</v>
      </c>
      <c r="O366" s="12" t="s">
        <v>93</v>
      </c>
      <c r="P366" s="12"/>
      <c r="Q366" s="12"/>
      <c r="R366" s="12" t="s">
        <v>94</v>
      </c>
      <c r="S366" s="12">
        <v>10</v>
      </c>
      <c r="T366" s="12" t="s">
        <v>862</v>
      </c>
      <c r="U366" s="12" t="s">
        <v>863</v>
      </c>
      <c r="V366" s="12">
        <f>VLOOKUP(Tabla4[[#This Row],[ZONA DEFINITIVO]],Hoja1!$A$1:$D$121,3,0)</f>
        <v>229096</v>
      </c>
      <c r="W366" s="12">
        <f>VLOOKUP(Tabla4[[#This Row],[ZONA DEFINITIVO]],Hoja1!$A$1:$D$121,2,0)</f>
        <v>15355</v>
      </c>
      <c r="X366" s="12">
        <f>VLOOKUP(Tabla4[[#This Row],[ZONA DEFINITIVO]],Hoja1!$A$1:$D$121,4,0)</f>
        <v>87725</v>
      </c>
      <c r="Y366" s="12" t="str">
        <f>+IF(Tabla4[[#This Row],[AGRUPACIONES]]=1,SUMIFS(Tabla4[UDS],Tabla4[ZONA DEFINITIVO],Tabla4[[#This Row],[ZONA DEFINITIVO]])," ")</f>
        <v xml:space="preserve"> </v>
      </c>
      <c r="Z366" s="12" t="str">
        <f>+IF(Tabla4[[#This Row],[AGRUPACIONES]]=1,SUMIFS(Tabla4[TOTAL COBERTURA],Tabla4[ZONA DEFINITIVO],Tabla4[[#This Row],[ZONA DEFINITIVO]])," ")</f>
        <v xml:space="preserve"> </v>
      </c>
      <c r="AA366" s="12"/>
      <c r="AB366" s="38">
        <v>109009650</v>
      </c>
      <c r="AC366" s="37">
        <v>0.02</v>
      </c>
      <c r="AD366" s="38">
        <f t="shared" si="6"/>
        <v>2180193</v>
      </c>
      <c r="AE366" s="12"/>
      <c r="AF366" s="12">
        <f>COUNTIF($A$20:A366,A366)</f>
        <v>8</v>
      </c>
      <c r="AG366" s="38">
        <v>109009650</v>
      </c>
      <c r="AH366" s="38">
        <f>Tabla4[[#This Row],[VALOR CONTRAPARTIDA]]+Tabla4[[#This Row],[TOTAL APORTES ICBF]]</f>
        <v>111189843</v>
      </c>
      <c r="AI366" s="35"/>
      <c r="AJ366" s="38"/>
      <c r="AK366" s="38"/>
      <c r="AL366" s="23"/>
      <c r="AM366" s="35">
        <f>VLOOKUP(Tabla4[[#This Row],[SERVICIO 2025]],$J$2:$V$14,5,0)*Tabla4[[#This Row],[TOTAL COBERTURA]]</f>
        <v>2468800</v>
      </c>
      <c r="AN366" s="35">
        <f>VLOOKUP(Tabla4[[#This Row],[SERVICIO 2025]],$J$2:$V$14,6,0)*Tabla4[[#This Row],[TOTAL COBERTURA]]</f>
        <v>2051450</v>
      </c>
      <c r="AO366" s="35">
        <f>VLOOKUP(Tabla4[[#This Row],[SERVICIO 2025]],$J$2:$V$14,8,0)*Tabla4[[#This Row],[TOTAL COBERTURA]]</f>
        <v>1455000</v>
      </c>
      <c r="AP366" s="35">
        <f>VLOOKUP(Tabla4[[#This Row],[SERVICIO 2025]],$J$2:$V$14,3,0)*Tabla4[[#This Row],[TOTAL COBERTURA]]*8</f>
        <v>103034400</v>
      </c>
      <c r="AQ366" s="35"/>
      <c r="AR366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366" s="35" t="str">
        <f>+IF(Tabla4[[#This Row],[AGRUPACIONES]]=1,SUMIFS(Tabla4[VALOR TOTAL],Tabla4[ZONA DEFINITIVO],Tabla4[[#This Row],[ZONA DEFINITIVO]])," ")</f>
        <v xml:space="preserve"> </v>
      </c>
      <c r="AT366" s="27">
        <f>(VLOOKUP(Tabla4[[#This Row],[SERVICIO 2025]],$J$2:$V$14,3,0)*Tabla4[[#This Row],[TOTAL COBERTURA]])+Tabla4[[#This Row],[VALOR FASE PREPARATORIA DE ALISTAMIENTO]]+Tabla4[[#This Row],[DOTACIÓN ÚNICA]]</f>
        <v>16803100</v>
      </c>
      <c r="AU366" s="35">
        <f>(VLOOKUP(Tabla4[[#This Row],[SERVICIO 2025]],$J$2:$V$14,3,0)*Tabla4[[#This Row],[TOTAL COBERTURA]])</f>
        <v>12879300</v>
      </c>
      <c r="AV366" s="35">
        <f>(VLOOKUP(Tabla4[[#This Row],[SERVICIO 2025]],$J$2:$V$14,3,0)*Tabla4[[#This Row],[TOTAL COBERTURA]])</f>
        <v>12879300</v>
      </c>
      <c r="AW366" s="35">
        <f>(VLOOKUP(Tabla4[[#This Row],[SERVICIO 2025]],$J$2:$V$14,3,0)*Tabla4[[#This Row],[TOTAL COBERTURA]])</f>
        <v>12879300</v>
      </c>
      <c r="AX366" s="35">
        <f>(VLOOKUP(Tabla4[[#This Row],[SERVICIO 2025]],$J$2:$V$14,3,0)*Tabla4[[#This Row],[TOTAL COBERTURA]])</f>
        <v>12879300</v>
      </c>
      <c r="AY366" s="35">
        <f>(VLOOKUP(Tabla4[[#This Row],[SERVICIO 2025]],$J$2:$V$14,3,0)*Tabla4[[#This Row],[TOTAL COBERTURA]])</f>
        <v>12879300</v>
      </c>
      <c r="AZ366" s="35">
        <f>(VLOOKUP(Tabla4[[#This Row],[SERVICIO 2025]],$J$2:$V$14,3,0)*Tabla4[[#This Row],[TOTAL COBERTURA]])</f>
        <v>12879300</v>
      </c>
      <c r="BA366" s="35">
        <f>(VLOOKUP(Tabla4[[#This Row],[SERVICIO 2025]],$J$2:$V$14,3,0)*Tabla4[[#This Row],[TOTAL COBERTURA]])+Tabla4[[#This Row],[VALOR FASE PREPARATORIA DE CIERRE]]</f>
        <v>14930750</v>
      </c>
      <c r="BB366" s="35">
        <f>SUM(Tabla4[[#This Row],[DESEMBOLSO 1]:[DESEMBOLSO 8]])</f>
        <v>109009650</v>
      </c>
      <c r="BC366" s="35">
        <f>VLOOKUP(Tabla4[[#This Row],[SERVICIO 2025]],$J$2:$V$14,10,0)*Tabla4[[#This Row],[TOTAL COBERTURA]]*$W$3</f>
        <v>72153200</v>
      </c>
      <c r="BD366" s="47" t="s">
        <v>211</v>
      </c>
      <c r="BE366" s="12" t="b">
        <f>EXACT(Tabla4[[#This Row],[VALOR ATENCIÓN (8 MESES)]],Tabla4[[#This Row],[VALOR TOTAL]])</f>
        <v>1</v>
      </c>
      <c r="BF366" s="23">
        <f>Tabla4[[#This Row],[VALOR ATENCIÓN (8 MESES)]]-Tabla4[[#This Row],[VALOR TOTAL]]</f>
        <v>0</v>
      </c>
      <c r="BG366" s="12" t="b">
        <f>EXACT(Tabla4[[#This Row],[TOTAL DESEMBOLSOS]],Tabla4[[#This Row],[VALOR ATENCIÓN (8 MESES)]])</f>
        <v>1</v>
      </c>
      <c r="BH366" s="29">
        <f>Tabla4[[#This Row],[TOTAL DESEMBOLSOS]]-Tabla4[[#This Row],[VALOR ATENCIÓN (8 MESES)]]</f>
        <v>0</v>
      </c>
      <c r="BI366" t="s">
        <v>98</v>
      </c>
      <c r="BJ366">
        <v>1917</v>
      </c>
    </row>
    <row r="367" spans="1:62">
      <c r="A367" s="13">
        <v>1917</v>
      </c>
      <c r="B367" s="13" t="s">
        <v>859</v>
      </c>
      <c r="C367" s="12" t="s">
        <v>87</v>
      </c>
      <c r="D367" s="12" t="s">
        <v>462</v>
      </c>
      <c r="E367" s="12" t="s">
        <v>848</v>
      </c>
      <c r="F367" s="12" t="s">
        <v>18</v>
      </c>
      <c r="G367" s="12" t="s">
        <v>90</v>
      </c>
      <c r="H367" s="12" t="s">
        <v>877</v>
      </c>
      <c r="I367" s="12">
        <v>50511136215</v>
      </c>
      <c r="J367" s="12" t="s">
        <v>878</v>
      </c>
      <c r="K367" s="12">
        <v>1</v>
      </c>
      <c r="L367" s="12">
        <v>30</v>
      </c>
      <c r="M367" s="12"/>
      <c r="N367" s="13">
        <v>1917</v>
      </c>
      <c r="O367" s="12" t="s">
        <v>93</v>
      </c>
      <c r="P367" s="12"/>
      <c r="Q367" s="12"/>
      <c r="R367" s="12" t="s">
        <v>94</v>
      </c>
      <c r="S367" s="12">
        <v>10</v>
      </c>
      <c r="T367" s="12" t="s">
        <v>862</v>
      </c>
      <c r="U367" s="12" t="s">
        <v>863</v>
      </c>
      <c r="V367" s="12">
        <f>VLOOKUP(Tabla4[[#This Row],[ZONA DEFINITIVO]],Hoja1!$A$1:$D$121,3,0)</f>
        <v>229096</v>
      </c>
      <c r="W367" s="12">
        <f>VLOOKUP(Tabla4[[#This Row],[ZONA DEFINITIVO]],Hoja1!$A$1:$D$121,2,0)</f>
        <v>15355</v>
      </c>
      <c r="X367" s="12">
        <f>VLOOKUP(Tabla4[[#This Row],[ZONA DEFINITIVO]],Hoja1!$A$1:$D$121,4,0)</f>
        <v>87725</v>
      </c>
      <c r="Y367" s="12" t="str">
        <f>+IF(Tabla4[[#This Row],[AGRUPACIONES]]=1,SUMIFS(Tabla4[UDS],Tabla4[ZONA DEFINITIVO],Tabla4[[#This Row],[ZONA DEFINITIVO]])," ")</f>
        <v xml:space="preserve"> </v>
      </c>
      <c r="Z367" s="12" t="str">
        <f>+IF(Tabla4[[#This Row],[AGRUPACIONES]]=1,SUMIFS(Tabla4[TOTAL COBERTURA],Tabla4[ZONA DEFINITIVO],Tabla4[[#This Row],[ZONA DEFINITIVO]])," ")</f>
        <v xml:space="preserve"> </v>
      </c>
      <c r="AA367" s="12"/>
      <c r="AB367" s="38">
        <v>65405790</v>
      </c>
      <c r="AC367" s="37">
        <v>0.02</v>
      </c>
      <c r="AD367" s="38">
        <f t="shared" si="6"/>
        <v>1308115.8</v>
      </c>
      <c r="AE367" s="12"/>
      <c r="AF367" s="12">
        <f>COUNTIF($A$20:A367,A367)</f>
        <v>9</v>
      </c>
      <c r="AG367" s="38">
        <v>65405790</v>
      </c>
      <c r="AH367" s="38">
        <f>Tabla4[[#This Row],[VALOR CONTRAPARTIDA]]+Tabla4[[#This Row],[TOTAL APORTES ICBF]]</f>
        <v>66713905.799999997</v>
      </c>
      <c r="AI367" s="35"/>
      <c r="AJ367" s="38"/>
      <c r="AK367" s="38"/>
      <c r="AL367" s="23"/>
      <c r="AM367" s="35">
        <f>VLOOKUP(Tabla4[[#This Row],[SERVICIO 2025]],$J$2:$V$14,5,0)*Tabla4[[#This Row],[TOTAL COBERTURA]]</f>
        <v>1481280</v>
      </c>
      <c r="AN367" s="35">
        <f>VLOOKUP(Tabla4[[#This Row],[SERVICIO 2025]],$J$2:$V$14,6,0)*Tabla4[[#This Row],[TOTAL COBERTURA]]</f>
        <v>1230870</v>
      </c>
      <c r="AO367" s="35">
        <f>VLOOKUP(Tabla4[[#This Row],[SERVICIO 2025]],$J$2:$V$14,8,0)*Tabla4[[#This Row],[TOTAL COBERTURA]]</f>
        <v>873000</v>
      </c>
      <c r="AP367" s="35">
        <f>VLOOKUP(Tabla4[[#This Row],[SERVICIO 2025]],$J$2:$V$14,3,0)*Tabla4[[#This Row],[TOTAL COBERTURA]]*8</f>
        <v>61820640</v>
      </c>
      <c r="AQ367" s="35"/>
      <c r="AR367" s="35">
        <f>Tabla4[[#This Row],[VALOR FASE PREPARATORIA DE ALISTAMIENTO]]+Tabla4[[#This Row],[VALOR FASE PREPARATORIA DE CIERRE]]+Tabla4[[#This Row],[DOTACIÓN ÚNICA]]+Tabla4[[#This Row],[VALOR ATENCIÓN]]+Tabla4[[#This Row],[VALOR RACION PREPARADA]]</f>
        <v>65405790</v>
      </c>
      <c r="AS367" s="35" t="str">
        <f>+IF(Tabla4[[#This Row],[AGRUPACIONES]]=1,SUMIFS(Tabla4[VALOR TOTAL],Tabla4[ZONA DEFINITIVO],Tabla4[[#This Row],[ZONA DEFINITIVO]])," ")</f>
        <v xml:space="preserve"> </v>
      </c>
      <c r="AT367" s="27">
        <f>(VLOOKUP(Tabla4[[#This Row],[SERVICIO 2025]],$J$2:$V$14,3,0)*Tabla4[[#This Row],[TOTAL COBERTURA]])+Tabla4[[#This Row],[VALOR FASE PREPARATORIA DE ALISTAMIENTO]]+Tabla4[[#This Row],[DOTACIÓN ÚNICA]]</f>
        <v>10081860</v>
      </c>
      <c r="AU367" s="35">
        <f>(VLOOKUP(Tabla4[[#This Row],[SERVICIO 2025]],$J$2:$V$14,3,0)*Tabla4[[#This Row],[TOTAL COBERTURA]])</f>
        <v>7727580</v>
      </c>
      <c r="AV367" s="35">
        <f>(VLOOKUP(Tabla4[[#This Row],[SERVICIO 2025]],$J$2:$V$14,3,0)*Tabla4[[#This Row],[TOTAL COBERTURA]])</f>
        <v>7727580</v>
      </c>
      <c r="AW367" s="35">
        <f>(VLOOKUP(Tabla4[[#This Row],[SERVICIO 2025]],$J$2:$V$14,3,0)*Tabla4[[#This Row],[TOTAL COBERTURA]])</f>
        <v>7727580</v>
      </c>
      <c r="AX367" s="35">
        <f>(VLOOKUP(Tabla4[[#This Row],[SERVICIO 2025]],$J$2:$V$14,3,0)*Tabla4[[#This Row],[TOTAL COBERTURA]])</f>
        <v>7727580</v>
      </c>
      <c r="AY367" s="35">
        <f>(VLOOKUP(Tabla4[[#This Row],[SERVICIO 2025]],$J$2:$V$14,3,0)*Tabla4[[#This Row],[TOTAL COBERTURA]])</f>
        <v>7727580</v>
      </c>
      <c r="AZ367" s="35">
        <f>(VLOOKUP(Tabla4[[#This Row],[SERVICIO 2025]],$J$2:$V$14,3,0)*Tabla4[[#This Row],[TOTAL COBERTURA]])</f>
        <v>7727580</v>
      </c>
      <c r="BA367" s="35">
        <f>(VLOOKUP(Tabla4[[#This Row],[SERVICIO 2025]],$J$2:$V$14,3,0)*Tabla4[[#This Row],[TOTAL COBERTURA]])+Tabla4[[#This Row],[VALOR FASE PREPARATORIA DE CIERRE]]</f>
        <v>8958450</v>
      </c>
      <c r="BB367" s="35">
        <f>SUM(Tabla4[[#This Row],[DESEMBOLSO 1]:[DESEMBOLSO 8]])</f>
        <v>65405790</v>
      </c>
      <c r="BC367" s="35">
        <f>VLOOKUP(Tabla4[[#This Row],[SERVICIO 2025]],$J$2:$V$14,10,0)*Tabla4[[#This Row],[TOTAL COBERTURA]]*$W$3</f>
        <v>43291920</v>
      </c>
      <c r="BD367" s="47" t="s">
        <v>211</v>
      </c>
      <c r="BE367" s="12" t="b">
        <f>EXACT(Tabla4[[#This Row],[VALOR ATENCIÓN (8 MESES)]],Tabla4[[#This Row],[VALOR TOTAL]])</f>
        <v>1</v>
      </c>
      <c r="BF367" s="23">
        <f>Tabla4[[#This Row],[VALOR ATENCIÓN (8 MESES)]]-Tabla4[[#This Row],[VALOR TOTAL]]</f>
        <v>0</v>
      </c>
      <c r="BG367" s="12" t="b">
        <f>EXACT(Tabla4[[#This Row],[TOTAL DESEMBOLSOS]],Tabla4[[#This Row],[VALOR ATENCIÓN (8 MESES)]])</f>
        <v>1</v>
      </c>
      <c r="BH367" s="29">
        <f>Tabla4[[#This Row],[TOTAL DESEMBOLSOS]]-Tabla4[[#This Row],[VALOR ATENCIÓN (8 MESES)]]</f>
        <v>0</v>
      </c>
      <c r="BI367" t="s">
        <v>98</v>
      </c>
      <c r="BJ367">
        <v>1917</v>
      </c>
    </row>
    <row r="368" spans="1:62">
      <c r="A368" s="13">
        <v>1917</v>
      </c>
      <c r="B368" s="13" t="s">
        <v>859</v>
      </c>
      <c r="C368" s="12" t="s">
        <v>87</v>
      </c>
      <c r="D368" s="12" t="s">
        <v>462</v>
      </c>
      <c r="E368" s="12" t="s">
        <v>848</v>
      </c>
      <c r="F368" s="12" t="s">
        <v>18</v>
      </c>
      <c r="G368" s="12" t="s">
        <v>90</v>
      </c>
      <c r="H368" s="12" t="s">
        <v>879</v>
      </c>
      <c r="I368" s="12">
        <v>50511136221</v>
      </c>
      <c r="J368" s="12" t="s">
        <v>880</v>
      </c>
      <c r="K368" s="12">
        <v>1</v>
      </c>
      <c r="L368" s="12">
        <v>30</v>
      </c>
      <c r="M368" s="12"/>
      <c r="N368" s="13">
        <v>1917</v>
      </c>
      <c r="O368" s="12" t="s">
        <v>93</v>
      </c>
      <c r="P368" s="12"/>
      <c r="Q368" s="12"/>
      <c r="R368" s="12" t="s">
        <v>94</v>
      </c>
      <c r="S368" s="12">
        <v>10</v>
      </c>
      <c r="T368" s="12" t="s">
        <v>862</v>
      </c>
      <c r="U368" s="12" t="s">
        <v>863</v>
      </c>
      <c r="V368" s="12">
        <f>VLOOKUP(Tabla4[[#This Row],[ZONA DEFINITIVO]],Hoja1!$A$1:$D$121,3,0)</f>
        <v>229096</v>
      </c>
      <c r="W368" s="12">
        <f>VLOOKUP(Tabla4[[#This Row],[ZONA DEFINITIVO]],Hoja1!$A$1:$D$121,2,0)</f>
        <v>15355</v>
      </c>
      <c r="X368" s="12">
        <f>VLOOKUP(Tabla4[[#This Row],[ZONA DEFINITIVO]],Hoja1!$A$1:$D$121,4,0)</f>
        <v>87725</v>
      </c>
      <c r="Y368" s="12" t="str">
        <f>+IF(Tabla4[[#This Row],[AGRUPACIONES]]=1,SUMIFS(Tabla4[UDS],Tabla4[ZONA DEFINITIVO],Tabla4[[#This Row],[ZONA DEFINITIVO]])," ")</f>
        <v xml:space="preserve"> </v>
      </c>
      <c r="Z368" s="12" t="str">
        <f>+IF(Tabla4[[#This Row],[AGRUPACIONES]]=1,SUMIFS(Tabla4[TOTAL COBERTURA],Tabla4[ZONA DEFINITIVO],Tabla4[[#This Row],[ZONA DEFINITIVO]])," ")</f>
        <v xml:space="preserve"> </v>
      </c>
      <c r="AA368" s="12"/>
      <c r="AB368" s="38">
        <v>65405790</v>
      </c>
      <c r="AC368" s="37">
        <v>0.02</v>
      </c>
      <c r="AD368" s="38">
        <f t="shared" si="6"/>
        <v>1308115.8</v>
      </c>
      <c r="AE368" s="12"/>
      <c r="AF368" s="12">
        <f>COUNTIF($A$20:A368,A368)</f>
        <v>10</v>
      </c>
      <c r="AG368" s="38">
        <v>65405790</v>
      </c>
      <c r="AH368" s="38">
        <f>Tabla4[[#This Row],[VALOR CONTRAPARTIDA]]+Tabla4[[#This Row],[TOTAL APORTES ICBF]]</f>
        <v>66713905.799999997</v>
      </c>
      <c r="AI368" s="35"/>
      <c r="AJ368" s="38"/>
      <c r="AK368" s="38"/>
      <c r="AL368" s="23"/>
      <c r="AM368" s="35">
        <f>VLOOKUP(Tabla4[[#This Row],[SERVICIO 2025]],$J$2:$V$14,5,0)*Tabla4[[#This Row],[TOTAL COBERTURA]]</f>
        <v>1481280</v>
      </c>
      <c r="AN368" s="35">
        <f>VLOOKUP(Tabla4[[#This Row],[SERVICIO 2025]],$J$2:$V$14,6,0)*Tabla4[[#This Row],[TOTAL COBERTURA]]</f>
        <v>1230870</v>
      </c>
      <c r="AO368" s="35">
        <f>VLOOKUP(Tabla4[[#This Row],[SERVICIO 2025]],$J$2:$V$14,8,0)*Tabla4[[#This Row],[TOTAL COBERTURA]]</f>
        <v>873000</v>
      </c>
      <c r="AP368" s="35">
        <f>VLOOKUP(Tabla4[[#This Row],[SERVICIO 2025]],$J$2:$V$14,3,0)*Tabla4[[#This Row],[TOTAL COBERTURA]]*8</f>
        <v>61820640</v>
      </c>
      <c r="AQ368" s="35"/>
      <c r="AR368" s="35">
        <f>Tabla4[[#This Row],[VALOR FASE PREPARATORIA DE ALISTAMIENTO]]+Tabla4[[#This Row],[VALOR FASE PREPARATORIA DE CIERRE]]+Tabla4[[#This Row],[DOTACIÓN ÚNICA]]+Tabla4[[#This Row],[VALOR ATENCIÓN]]+Tabla4[[#This Row],[VALOR RACION PREPARADA]]</f>
        <v>65405790</v>
      </c>
      <c r="AS368" s="35" t="str">
        <f>+IF(Tabla4[[#This Row],[AGRUPACIONES]]=1,SUMIFS(Tabla4[VALOR TOTAL],Tabla4[ZONA DEFINITIVO],Tabla4[[#This Row],[ZONA DEFINITIVO]])," ")</f>
        <v xml:space="preserve"> </v>
      </c>
      <c r="AT368" s="27">
        <f>(VLOOKUP(Tabla4[[#This Row],[SERVICIO 2025]],$J$2:$V$14,3,0)*Tabla4[[#This Row],[TOTAL COBERTURA]])+Tabla4[[#This Row],[VALOR FASE PREPARATORIA DE ALISTAMIENTO]]+Tabla4[[#This Row],[DOTACIÓN ÚNICA]]</f>
        <v>10081860</v>
      </c>
      <c r="AU368" s="35">
        <f>(VLOOKUP(Tabla4[[#This Row],[SERVICIO 2025]],$J$2:$V$14,3,0)*Tabla4[[#This Row],[TOTAL COBERTURA]])</f>
        <v>7727580</v>
      </c>
      <c r="AV368" s="35">
        <f>(VLOOKUP(Tabla4[[#This Row],[SERVICIO 2025]],$J$2:$V$14,3,0)*Tabla4[[#This Row],[TOTAL COBERTURA]])</f>
        <v>7727580</v>
      </c>
      <c r="AW368" s="35">
        <f>(VLOOKUP(Tabla4[[#This Row],[SERVICIO 2025]],$J$2:$V$14,3,0)*Tabla4[[#This Row],[TOTAL COBERTURA]])</f>
        <v>7727580</v>
      </c>
      <c r="AX368" s="35">
        <f>(VLOOKUP(Tabla4[[#This Row],[SERVICIO 2025]],$J$2:$V$14,3,0)*Tabla4[[#This Row],[TOTAL COBERTURA]])</f>
        <v>7727580</v>
      </c>
      <c r="AY368" s="35">
        <f>(VLOOKUP(Tabla4[[#This Row],[SERVICIO 2025]],$J$2:$V$14,3,0)*Tabla4[[#This Row],[TOTAL COBERTURA]])</f>
        <v>7727580</v>
      </c>
      <c r="AZ368" s="35">
        <f>(VLOOKUP(Tabla4[[#This Row],[SERVICIO 2025]],$J$2:$V$14,3,0)*Tabla4[[#This Row],[TOTAL COBERTURA]])</f>
        <v>7727580</v>
      </c>
      <c r="BA368" s="35">
        <f>(VLOOKUP(Tabla4[[#This Row],[SERVICIO 2025]],$J$2:$V$14,3,0)*Tabla4[[#This Row],[TOTAL COBERTURA]])+Tabla4[[#This Row],[VALOR FASE PREPARATORIA DE CIERRE]]</f>
        <v>8958450</v>
      </c>
      <c r="BB368" s="35">
        <f>SUM(Tabla4[[#This Row],[DESEMBOLSO 1]:[DESEMBOLSO 8]])</f>
        <v>65405790</v>
      </c>
      <c r="BC368" s="35">
        <f>VLOOKUP(Tabla4[[#This Row],[SERVICIO 2025]],$J$2:$V$14,10,0)*Tabla4[[#This Row],[TOTAL COBERTURA]]*$W$3</f>
        <v>43291920</v>
      </c>
      <c r="BD368" s="47" t="s">
        <v>211</v>
      </c>
      <c r="BE368" s="12" t="b">
        <f>EXACT(Tabla4[[#This Row],[VALOR ATENCIÓN (8 MESES)]],Tabla4[[#This Row],[VALOR TOTAL]])</f>
        <v>1</v>
      </c>
      <c r="BF368" s="23">
        <f>Tabla4[[#This Row],[VALOR ATENCIÓN (8 MESES)]]-Tabla4[[#This Row],[VALOR TOTAL]]</f>
        <v>0</v>
      </c>
      <c r="BG368" s="12" t="b">
        <f>EXACT(Tabla4[[#This Row],[TOTAL DESEMBOLSOS]],Tabla4[[#This Row],[VALOR ATENCIÓN (8 MESES)]])</f>
        <v>1</v>
      </c>
      <c r="BH368" s="29">
        <f>Tabla4[[#This Row],[TOTAL DESEMBOLSOS]]-Tabla4[[#This Row],[VALOR ATENCIÓN (8 MESES)]]</f>
        <v>0</v>
      </c>
      <c r="BI368" t="s">
        <v>98</v>
      </c>
      <c r="BJ368">
        <v>1917</v>
      </c>
    </row>
    <row r="369" spans="1:62">
      <c r="A369" s="13">
        <v>1917</v>
      </c>
      <c r="B369" s="13" t="s">
        <v>859</v>
      </c>
      <c r="C369" s="12" t="s">
        <v>87</v>
      </c>
      <c r="D369" s="12" t="s">
        <v>462</v>
      </c>
      <c r="E369" s="12" t="s">
        <v>848</v>
      </c>
      <c r="F369" s="12" t="s">
        <v>18</v>
      </c>
      <c r="G369" s="12" t="s">
        <v>90</v>
      </c>
      <c r="H369" s="12" t="s">
        <v>881</v>
      </c>
      <c r="I369" s="12">
        <v>50511136385</v>
      </c>
      <c r="J369" s="12" t="s">
        <v>882</v>
      </c>
      <c r="K369" s="12">
        <v>1</v>
      </c>
      <c r="L369" s="12">
        <v>20</v>
      </c>
      <c r="M369" s="12"/>
      <c r="N369" s="13">
        <v>1917</v>
      </c>
      <c r="O369" s="12" t="s">
        <v>93</v>
      </c>
      <c r="P369" s="12"/>
      <c r="Q369" s="12"/>
      <c r="R369" s="12" t="s">
        <v>94</v>
      </c>
      <c r="S369" s="12">
        <v>10</v>
      </c>
      <c r="T369" s="12" t="s">
        <v>862</v>
      </c>
      <c r="U369" s="12" t="s">
        <v>863</v>
      </c>
      <c r="V369" s="12">
        <f>VLOOKUP(Tabla4[[#This Row],[ZONA DEFINITIVO]],Hoja1!$A$1:$D$121,3,0)</f>
        <v>229096</v>
      </c>
      <c r="W369" s="12">
        <f>VLOOKUP(Tabla4[[#This Row],[ZONA DEFINITIVO]],Hoja1!$A$1:$D$121,2,0)</f>
        <v>15355</v>
      </c>
      <c r="X369" s="12">
        <f>VLOOKUP(Tabla4[[#This Row],[ZONA DEFINITIVO]],Hoja1!$A$1:$D$121,4,0)</f>
        <v>87725</v>
      </c>
      <c r="Y369" s="12" t="str">
        <f>+IF(Tabla4[[#This Row],[AGRUPACIONES]]=1,SUMIFS(Tabla4[UDS],Tabla4[ZONA DEFINITIVO],Tabla4[[#This Row],[ZONA DEFINITIVO]])," ")</f>
        <v xml:space="preserve"> </v>
      </c>
      <c r="Z369" s="12" t="str">
        <f>+IF(Tabla4[[#This Row],[AGRUPACIONES]]=1,SUMIFS(Tabla4[TOTAL COBERTURA],Tabla4[ZONA DEFINITIVO],Tabla4[[#This Row],[ZONA DEFINITIVO]])," ")</f>
        <v xml:space="preserve"> </v>
      </c>
      <c r="AA369" s="12"/>
      <c r="AB369" s="38">
        <v>43603860</v>
      </c>
      <c r="AC369" s="37">
        <v>0.02</v>
      </c>
      <c r="AD369" s="38">
        <f t="shared" si="6"/>
        <v>872077.20000000007</v>
      </c>
      <c r="AE369" s="12"/>
      <c r="AF369" s="12">
        <f>COUNTIF($A$20:A369,A369)</f>
        <v>11</v>
      </c>
      <c r="AG369" s="38">
        <v>43603860</v>
      </c>
      <c r="AH369" s="38">
        <f>Tabla4[[#This Row],[VALOR CONTRAPARTIDA]]+Tabla4[[#This Row],[TOTAL APORTES ICBF]]</f>
        <v>44475937.200000003</v>
      </c>
      <c r="AI369" s="35"/>
      <c r="AJ369" s="38"/>
      <c r="AK369" s="38"/>
      <c r="AL369" s="23"/>
      <c r="AM369" s="35">
        <f>VLOOKUP(Tabla4[[#This Row],[SERVICIO 2025]],$J$2:$V$14,5,0)*Tabla4[[#This Row],[TOTAL COBERTURA]]</f>
        <v>987520</v>
      </c>
      <c r="AN369" s="35">
        <f>VLOOKUP(Tabla4[[#This Row],[SERVICIO 2025]],$J$2:$V$14,6,0)*Tabla4[[#This Row],[TOTAL COBERTURA]]</f>
        <v>820580</v>
      </c>
      <c r="AO369" s="35">
        <f>VLOOKUP(Tabla4[[#This Row],[SERVICIO 2025]],$J$2:$V$14,8,0)*Tabla4[[#This Row],[TOTAL COBERTURA]]</f>
        <v>582000</v>
      </c>
      <c r="AP369" s="35">
        <f>VLOOKUP(Tabla4[[#This Row],[SERVICIO 2025]],$J$2:$V$14,3,0)*Tabla4[[#This Row],[TOTAL COBERTURA]]*8</f>
        <v>41213760</v>
      </c>
      <c r="AQ369" s="35"/>
      <c r="AR369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369" s="35" t="str">
        <f>+IF(Tabla4[[#This Row],[AGRUPACIONES]]=1,SUMIFS(Tabla4[VALOR TOTAL],Tabla4[ZONA DEFINITIVO],Tabla4[[#This Row],[ZONA DEFINITIVO]])," ")</f>
        <v xml:space="preserve"> </v>
      </c>
      <c r="AT369" s="27">
        <f>(VLOOKUP(Tabla4[[#This Row],[SERVICIO 2025]],$J$2:$V$14,3,0)*Tabla4[[#This Row],[TOTAL COBERTURA]])+Tabla4[[#This Row],[VALOR FASE PREPARATORIA DE ALISTAMIENTO]]+Tabla4[[#This Row],[DOTACIÓN ÚNICA]]</f>
        <v>6721240</v>
      </c>
      <c r="AU369" s="35">
        <f>(VLOOKUP(Tabla4[[#This Row],[SERVICIO 2025]],$J$2:$V$14,3,0)*Tabla4[[#This Row],[TOTAL COBERTURA]])</f>
        <v>5151720</v>
      </c>
      <c r="AV369" s="35">
        <f>(VLOOKUP(Tabla4[[#This Row],[SERVICIO 2025]],$J$2:$V$14,3,0)*Tabla4[[#This Row],[TOTAL COBERTURA]])</f>
        <v>5151720</v>
      </c>
      <c r="AW369" s="35">
        <f>(VLOOKUP(Tabla4[[#This Row],[SERVICIO 2025]],$J$2:$V$14,3,0)*Tabla4[[#This Row],[TOTAL COBERTURA]])</f>
        <v>5151720</v>
      </c>
      <c r="AX369" s="35">
        <f>(VLOOKUP(Tabla4[[#This Row],[SERVICIO 2025]],$J$2:$V$14,3,0)*Tabla4[[#This Row],[TOTAL COBERTURA]])</f>
        <v>5151720</v>
      </c>
      <c r="AY369" s="35">
        <f>(VLOOKUP(Tabla4[[#This Row],[SERVICIO 2025]],$J$2:$V$14,3,0)*Tabla4[[#This Row],[TOTAL COBERTURA]])</f>
        <v>5151720</v>
      </c>
      <c r="AZ369" s="35">
        <f>(VLOOKUP(Tabla4[[#This Row],[SERVICIO 2025]],$J$2:$V$14,3,0)*Tabla4[[#This Row],[TOTAL COBERTURA]])</f>
        <v>5151720</v>
      </c>
      <c r="BA369" s="35">
        <f>(VLOOKUP(Tabla4[[#This Row],[SERVICIO 2025]],$J$2:$V$14,3,0)*Tabla4[[#This Row],[TOTAL COBERTURA]])+Tabla4[[#This Row],[VALOR FASE PREPARATORIA DE CIERRE]]</f>
        <v>5972300</v>
      </c>
      <c r="BB369" s="35">
        <f>SUM(Tabla4[[#This Row],[DESEMBOLSO 1]:[DESEMBOLSO 8]])</f>
        <v>43603860</v>
      </c>
      <c r="BC369" s="35">
        <f>VLOOKUP(Tabla4[[#This Row],[SERVICIO 2025]],$J$2:$V$14,10,0)*Tabla4[[#This Row],[TOTAL COBERTURA]]*$W$3</f>
        <v>28861280</v>
      </c>
      <c r="BD369" s="47" t="s">
        <v>211</v>
      </c>
      <c r="BE369" s="12" t="b">
        <f>EXACT(Tabla4[[#This Row],[VALOR ATENCIÓN (8 MESES)]],Tabla4[[#This Row],[VALOR TOTAL]])</f>
        <v>1</v>
      </c>
      <c r="BF369" s="23">
        <f>Tabla4[[#This Row],[VALOR ATENCIÓN (8 MESES)]]-Tabla4[[#This Row],[VALOR TOTAL]]</f>
        <v>0</v>
      </c>
      <c r="BG369" s="12" t="b">
        <f>EXACT(Tabla4[[#This Row],[TOTAL DESEMBOLSOS]],Tabla4[[#This Row],[VALOR ATENCIÓN (8 MESES)]])</f>
        <v>1</v>
      </c>
      <c r="BH369" s="29">
        <f>Tabla4[[#This Row],[TOTAL DESEMBOLSOS]]-Tabla4[[#This Row],[VALOR ATENCIÓN (8 MESES)]]</f>
        <v>0</v>
      </c>
      <c r="BI369" t="s">
        <v>98</v>
      </c>
      <c r="BJ369">
        <v>1917</v>
      </c>
    </row>
    <row r="370" spans="1:62">
      <c r="A370" s="13">
        <v>1917</v>
      </c>
      <c r="B370" s="13" t="s">
        <v>859</v>
      </c>
      <c r="C370" s="12" t="s">
        <v>87</v>
      </c>
      <c r="D370" s="12" t="s">
        <v>462</v>
      </c>
      <c r="E370" s="12" t="s">
        <v>848</v>
      </c>
      <c r="F370" s="12" t="s">
        <v>18</v>
      </c>
      <c r="G370" s="12" t="s">
        <v>90</v>
      </c>
      <c r="H370" s="12" t="s">
        <v>883</v>
      </c>
      <c r="I370" s="12">
        <v>50511136567</v>
      </c>
      <c r="J370" s="12" t="s">
        <v>884</v>
      </c>
      <c r="K370" s="12">
        <v>1</v>
      </c>
      <c r="L370" s="12">
        <v>50</v>
      </c>
      <c r="M370" s="12"/>
      <c r="N370" s="13">
        <v>1917</v>
      </c>
      <c r="O370" s="12" t="s">
        <v>93</v>
      </c>
      <c r="P370" s="12"/>
      <c r="Q370" s="12"/>
      <c r="R370" s="12" t="s">
        <v>94</v>
      </c>
      <c r="S370" s="12">
        <v>10</v>
      </c>
      <c r="T370" s="12" t="s">
        <v>862</v>
      </c>
      <c r="U370" s="12" t="s">
        <v>863</v>
      </c>
      <c r="V370" s="12">
        <f>VLOOKUP(Tabla4[[#This Row],[ZONA DEFINITIVO]],Hoja1!$A$1:$D$121,3,0)</f>
        <v>229096</v>
      </c>
      <c r="W370" s="12">
        <f>VLOOKUP(Tabla4[[#This Row],[ZONA DEFINITIVO]],Hoja1!$A$1:$D$121,2,0)</f>
        <v>15355</v>
      </c>
      <c r="X370" s="12">
        <f>VLOOKUP(Tabla4[[#This Row],[ZONA DEFINITIVO]],Hoja1!$A$1:$D$121,4,0)</f>
        <v>87725</v>
      </c>
      <c r="Y370" s="12" t="str">
        <f>+IF(Tabla4[[#This Row],[AGRUPACIONES]]=1,SUMIFS(Tabla4[UDS],Tabla4[ZONA DEFINITIVO],Tabla4[[#This Row],[ZONA DEFINITIVO]])," ")</f>
        <v xml:space="preserve"> </v>
      </c>
      <c r="Z370" s="12" t="str">
        <f>+IF(Tabla4[[#This Row],[AGRUPACIONES]]=1,SUMIFS(Tabla4[TOTAL COBERTURA],Tabla4[ZONA DEFINITIVO],Tabla4[[#This Row],[ZONA DEFINITIVO]])," ")</f>
        <v xml:space="preserve"> </v>
      </c>
      <c r="AA370" s="12"/>
      <c r="AB370" s="38">
        <v>109009650</v>
      </c>
      <c r="AC370" s="37">
        <v>0.02</v>
      </c>
      <c r="AD370" s="38">
        <f t="shared" si="6"/>
        <v>2180193</v>
      </c>
      <c r="AE370" s="12"/>
      <c r="AF370" s="12">
        <f>COUNTIF($A$20:A370,A370)</f>
        <v>12</v>
      </c>
      <c r="AG370" s="38">
        <v>109009650</v>
      </c>
      <c r="AH370" s="38">
        <f>Tabla4[[#This Row],[VALOR CONTRAPARTIDA]]+Tabla4[[#This Row],[TOTAL APORTES ICBF]]</f>
        <v>111189843</v>
      </c>
      <c r="AI370" s="35"/>
      <c r="AJ370" s="38"/>
      <c r="AK370" s="38"/>
      <c r="AL370" s="23"/>
      <c r="AM370" s="35">
        <f>VLOOKUP(Tabla4[[#This Row],[SERVICIO 2025]],$J$2:$V$14,5,0)*Tabla4[[#This Row],[TOTAL COBERTURA]]</f>
        <v>2468800</v>
      </c>
      <c r="AN370" s="35">
        <f>VLOOKUP(Tabla4[[#This Row],[SERVICIO 2025]],$J$2:$V$14,6,0)*Tabla4[[#This Row],[TOTAL COBERTURA]]</f>
        <v>2051450</v>
      </c>
      <c r="AO370" s="35">
        <f>VLOOKUP(Tabla4[[#This Row],[SERVICIO 2025]],$J$2:$V$14,8,0)*Tabla4[[#This Row],[TOTAL COBERTURA]]</f>
        <v>1455000</v>
      </c>
      <c r="AP370" s="35">
        <f>VLOOKUP(Tabla4[[#This Row],[SERVICIO 2025]],$J$2:$V$14,3,0)*Tabla4[[#This Row],[TOTAL COBERTURA]]*8</f>
        <v>103034400</v>
      </c>
      <c r="AQ370" s="35"/>
      <c r="AR370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370" s="35" t="str">
        <f>+IF(Tabla4[[#This Row],[AGRUPACIONES]]=1,SUMIFS(Tabla4[VALOR TOTAL],Tabla4[ZONA DEFINITIVO],Tabla4[[#This Row],[ZONA DEFINITIVO]])," ")</f>
        <v xml:space="preserve"> </v>
      </c>
      <c r="AT370" s="27">
        <f>(VLOOKUP(Tabla4[[#This Row],[SERVICIO 2025]],$J$2:$V$14,3,0)*Tabla4[[#This Row],[TOTAL COBERTURA]])+Tabla4[[#This Row],[VALOR FASE PREPARATORIA DE ALISTAMIENTO]]+Tabla4[[#This Row],[DOTACIÓN ÚNICA]]</f>
        <v>16803100</v>
      </c>
      <c r="AU370" s="35">
        <f>(VLOOKUP(Tabla4[[#This Row],[SERVICIO 2025]],$J$2:$V$14,3,0)*Tabla4[[#This Row],[TOTAL COBERTURA]])</f>
        <v>12879300</v>
      </c>
      <c r="AV370" s="35">
        <f>(VLOOKUP(Tabla4[[#This Row],[SERVICIO 2025]],$J$2:$V$14,3,0)*Tabla4[[#This Row],[TOTAL COBERTURA]])</f>
        <v>12879300</v>
      </c>
      <c r="AW370" s="35">
        <f>(VLOOKUP(Tabla4[[#This Row],[SERVICIO 2025]],$J$2:$V$14,3,0)*Tabla4[[#This Row],[TOTAL COBERTURA]])</f>
        <v>12879300</v>
      </c>
      <c r="AX370" s="35">
        <f>(VLOOKUP(Tabla4[[#This Row],[SERVICIO 2025]],$J$2:$V$14,3,0)*Tabla4[[#This Row],[TOTAL COBERTURA]])</f>
        <v>12879300</v>
      </c>
      <c r="AY370" s="35">
        <f>(VLOOKUP(Tabla4[[#This Row],[SERVICIO 2025]],$J$2:$V$14,3,0)*Tabla4[[#This Row],[TOTAL COBERTURA]])</f>
        <v>12879300</v>
      </c>
      <c r="AZ370" s="35">
        <f>(VLOOKUP(Tabla4[[#This Row],[SERVICIO 2025]],$J$2:$V$14,3,0)*Tabla4[[#This Row],[TOTAL COBERTURA]])</f>
        <v>12879300</v>
      </c>
      <c r="BA370" s="35">
        <f>(VLOOKUP(Tabla4[[#This Row],[SERVICIO 2025]],$J$2:$V$14,3,0)*Tabla4[[#This Row],[TOTAL COBERTURA]])+Tabla4[[#This Row],[VALOR FASE PREPARATORIA DE CIERRE]]</f>
        <v>14930750</v>
      </c>
      <c r="BB370" s="35">
        <f>SUM(Tabla4[[#This Row],[DESEMBOLSO 1]:[DESEMBOLSO 8]])</f>
        <v>109009650</v>
      </c>
      <c r="BC370" s="35">
        <f>VLOOKUP(Tabla4[[#This Row],[SERVICIO 2025]],$J$2:$V$14,10,0)*Tabla4[[#This Row],[TOTAL COBERTURA]]*$W$3</f>
        <v>72153200</v>
      </c>
      <c r="BD370" s="47" t="s">
        <v>211</v>
      </c>
      <c r="BE370" s="12" t="b">
        <f>EXACT(Tabla4[[#This Row],[VALOR ATENCIÓN (8 MESES)]],Tabla4[[#This Row],[VALOR TOTAL]])</f>
        <v>1</v>
      </c>
      <c r="BF370" s="23">
        <f>Tabla4[[#This Row],[VALOR ATENCIÓN (8 MESES)]]-Tabla4[[#This Row],[VALOR TOTAL]]</f>
        <v>0</v>
      </c>
      <c r="BG370" s="12" t="b">
        <f>EXACT(Tabla4[[#This Row],[TOTAL DESEMBOLSOS]],Tabla4[[#This Row],[VALOR ATENCIÓN (8 MESES)]])</f>
        <v>1</v>
      </c>
      <c r="BH370" s="29">
        <f>Tabla4[[#This Row],[TOTAL DESEMBOLSOS]]-Tabla4[[#This Row],[VALOR ATENCIÓN (8 MESES)]]</f>
        <v>0</v>
      </c>
      <c r="BI370" t="s">
        <v>98</v>
      </c>
      <c r="BJ370">
        <v>1917</v>
      </c>
    </row>
    <row r="371" spans="1:62">
      <c r="A371" s="13">
        <v>1917</v>
      </c>
      <c r="B371" s="13" t="s">
        <v>859</v>
      </c>
      <c r="C371" s="12" t="s">
        <v>87</v>
      </c>
      <c r="D371" s="12" t="s">
        <v>462</v>
      </c>
      <c r="E371" s="12" t="s">
        <v>848</v>
      </c>
      <c r="F371" s="12" t="s">
        <v>18</v>
      </c>
      <c r="G371" s="12" t="s">
        <v>90</v>
      </c>
      <c r="H371" s="12" t="s">
        <v>885</v>
      </c>
      <c r="I371" s="12">
        <v>50511136578</v>
      </c>
      <c r="J371" s="12" t="s">
        <v>886</v>
      </c>
      <c r="K371" s="12">
        <v>1</v>
      </c>
      <c r="L371" s="12">
        <v>50</v>
      </c>
      <c r="M371" s="12"/>
      <c r="N371" s="13">
        <v>1917</v>
      </c>
      <c r="O371" s="12" t="s">
        <v>93</v>
      </c>
      <c r="P371" s="12"/>
      <c r="Q371" s="12"/>
      <c r="R371" s="12" t="s">
        <v>94</v>
      </c>
      <c r="S371" s="12">
        <v>10</v>
      </c>
      <c r="T371" s="12" t="s">
        <v>862</v>
      </c>
      <c r="U371" s="12" t="s">
        <v>863</v>
      </c>
      <c r="V371" s="12">
        <f>VLOOKUP(Tabla4[[#This Row],[ZONA DEFINITIVO]],Hoja1!$A$1:$D$121,3,0)</f>
        <v>229096</v>
      </c>
      <c r="W371" s="12">
        <f>VLOOKUP(Tabla4[[#This Row],[ZONA DEFINITIVO]],Hoja1!$A$1:$D$121,2,0)</f>
        <v>15355</v>
      </c>
      <c r="X371" s="12">
        <f>VLOOKUP(Tabla4[[#This Row],[ZONA DEFINITIVO]],Hoja1!$A$1:$D$121,4,0)</f>
        <v>87725</v>
      </c>
      <c r="Y371" s="12" t="str">
        <f>+IF(Tabla4[[#This Row],[AGRUPACIONES]]=1,SUMIFS(Tabla4[UDS],Tabla4[ZONA DEFINITIVO],Tabla4[[#This Row],[ZONA DEFINITIVO]])," ")</f>
        <v xml:space="preserve"> </v>
      </c>
      <c r="Z371" s="12" t="str">
        <f>+IF(Tabla4[[#This Row],[AGRUPACIONES]]=1,SUMIFS(Tabla4[TOTAL COBERTURA],Tabla4[ZONA DEFINITIVO],Tabla4[[#This Row],[ZONA DEFINITIVO]])," ")</f>
        <v xml:space="preserve"> </v>
      </c>
      <c r="AA371" s="12"/>
      <c r="AB371" s="38">
        <v>109009650</v>
      </c>
      <c r="AC371" s="37">
        <v>0.02</v>
      </c>
      <c r="AD371" s="38">
        <f t="shared" si="6"/>
        <v>2180193</v>
      </c>
      <c r="AE371" s="12"/>
      <c r="AF371" s="12">
        <f>COUNTIF($A$20:A371,A371)</f>
        <v>13</v>
      </c>
      <c r="AG371" s="38">
        <v>109009650</v>
      </c>
      <c r="AH371" s="38">
        <f>Tabla4[[#This Row],[VALOR CONTRAPARTIDA]]+Tabla4[[#This Row],[TOTAL APORTES ICBF]]</f>
        <v>111189843</v>
      </c>
      <c r="AI371" s="35"/>
      <c r="AJ371" s="38"/>
      <c r="AK371" s="38"/>
      <c r="AL371" s="23"/>
      <c r="AM371" s="35">
        <f>VLOOKUP(Tabla4[[#This Row],[SERVICIO 2025]],$J$2:$V$14,5,0)*Tabla4[[#This Row],[TOTAL COBERTURA]]</f>
        <v>2468800</v>
      </c>
      <c r="AN371" s="35">
        <f>VLOOKUP(Tabla4[[#This Row],[SERVICIO 2025]],$J$2:$V$14,6,0)*Tabla4[[#This Row],[TOTAL COBERTURA]]</f>
        <v>2051450</v>
      </c>
      <c r="AO371" s="35">
        <f>VLOOKUP(Tabla4[[#This Row],[SERVICIO 2025]],$J$2:$V$14,8,0)*Tabla4[[#This Row],[TOTAL COBERTURA]]</f>
        <v>1455000</v>
      </c>
      <c r="AP371" s="35">
        <f>VLOOKUP(Tabla4[[#This Row],[SERVICIO 2025]],$J$2:$V$14,3,0)*Tabla4[[#This Row],[TOTAL COBERTURA]]*8</f>
        <v>103034400</v>
      </c>
      <c r="AQ371" s="35"/>
      <c r="AR371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371" s="35" t="str">
        <f>+IF(Tabla4[[#This Row],[AGRUPACIONES]]=1,SUMIFS(Tabla4[VALOR TOTAL],Tabla4[ZONA DEFINITIVO],Tabla4[[#This Row],[ZONA DEFINITIVO]])," ")</f>
        <v xml:space="preserve"> </v>
      </c>
      <c r="AT371" s="27">
        <f>(VLOOKUP(Tabla4[[#This Row],[SERVICIO 2025]],$J$2:$V$14,3,0)*Tabla4[[#This Row],[TOTAL COBERTURA]])+Tabla4[[#This Row],[VALOR FASE PREPARATORIA DE ALISTAMIENTO]]+Tabla4[[#This Row],[DOTACIÓN ÚNICA]]</f>
        <v>16803100</v>
      </c>
      <c r="AU371" s="35">
        <f>(VLOOKUP(Tabla4[[#This Row],[SERVICIO 2025]],$J$2:$V$14,3,0)*Tabla4[[#This Row],[TOTAL COBERTURA]])</f>
        <v>12879300</v>
      </c>
      <c r="AV371" s="35">
        <f>(VLOOKUP(Tabla4[[#This Row],[SERVICIO 2025]],$J$2:$V$14,3,0)*Tabla4[[#This Row],[TOTAL COBERTURA]])</f>
        <v>12879300</v>
      </c>
      <c r="AW371" s="35">
        <f>(VLOOKUP(Tabla4[[#This Row],[SERVICIO 2025]],$J$2:$V$14,3,0)*Tabla4[[#This Row],[TOTAL COBERTURA]])</f>
        <v>12879300</v>
      </c>
      <c r="AX371" s="35">
        <f>(VLOOKUP(Tabla4[[#This Row],[SERVICIO 2025]],$J$2:$V$14,3,0)*Tabla4[[#This Row],[TOTAL COBERTURA]])</f>
        <v>12879300</v>
      </c>
      <c r="AY371" s="35">
        <f>(VLOOKUP(Tabla4[[#This Row],[SERVICIO 2025]],$J$2:$V$14,3,0)*Tabla4[[#This Row],[TOTAL COBERTURA]])</f>
        <v>12879300</v>
      </c>
      <c r="AZ371" s="35">
        <f>(VLOOKUP(Tabla4[[#This Row],[SERVICIO 2025]],$J$2:$V$14,3,0)*Tabla4[[#This Row],[TOTAL COBERTURA]])</f>
        <v>12879300</v>
      </c>
      <c r="BA371" s="35">
        <f>(VLOOKUP(Tabla4[[#This Row],[SERVICIO 2025]],$J$2:$V$14,3,0)*Tabla4[[#This Row],[TOTAL COBERTURA]])+Tabla4[[#This Row],[VALOR FASE PREPARATORIA DE CIERRE]]</f>
        <v>14930750</v>
      </c>
      <c r="BB371" s="35">
        <f>SUM(Tabla4[[#This Row],[DESEMBOLSO 1]:[DESEMBOLSO 8]])</f>
        <v>109009650</v>
      </c>
      <c r="BC371" s="35">
        <f>VLOOKUP(Tabla4[[#This Row],[SERVICIO 2025]],$J$2:$V$14,10,0)*Tabla4[[#This Row],[TOTAL COBERTURA]]*$W$3</f>
        <v>72153200</v>
      </c>
      <c r="BD371" s="47" t="s">
        <v>211</v>
      </c>
      <c r="BE371" s="12" t="b">
        <f>EXACT(Tabla4[[#This Row],[VALOR ATENCIÓN (8 MESES)]],Tabla4[[#This Row],[VALOR TOTAL]])</f>
        <v>1</v>
      </c>
      <c r="BF371" s="23">
        <f>Tabla4[[#This Row],[VALOR ATENCIÓN (8 MESES)]]-Tabla4[[#This Row],[VALOR TOTAL]]</f>
        <v>0</v>
      </c>
      <c r="BG371" s="12" t="b">
        <f>EXACT(Tabla4[[#This Row],[TOTAL DESEMBOLSOS]],Tabla4[[#This Row],[VALOR ATENCIÓN (8 MESES)]])</f>
        <v>1</v>
      </c>
      <c r="BH371" s="29">
        <f>Tabla4[[#This Row],[TOTAL DESEMBOLSOS]]-Tabla4[[#This Row],[VALOR ATENCIÓN (8 MESES)]]</f>
        <v>0</v>
      </c>
      <c r="BI371" t="s">
        <v>98</v>
      </c>
      <c r="BJ371">
        <v>1917</v>
      </c>
    </row>
    <row r="372" spans="1:62">
      <c r="A372" s="13">
        <v>1917</v>
      </c>
      <c r="B372" s="13" t="s">
        <v>859</v>
      </c>
      <c r="C372" s="12" t="s">
        <v>87</v>
      </c>
      <c r="D372" s="12" t="s">
        <v>462</v>
      </c>
      <c r="E372" s="12" t="s">
        <v>848</v>
      </c>
      <c r="F372" s="12" t="s">
        <v>18</v>
      </c>
      <c r="G372" s="12" t="s">
        <v>90</v>
      </c>
      <c r="H372" s="12" t="s">
        <v>887</v>
      </c>
      <c r="I372" s="12">
        <v>50511136765</v>
      </c>
      <c r="J372" s="12" t="s">
        <v>888</v>
      </c>
      <c r="K372" s="12">
        <v>1</v>
      </c>
      <c r="L372" s="12">
        <v>30</v>
      </c>
      <c r="M372" s="12"/>
      <c r="N372" s="13">
        <v>1917</v>
      </c>
      <c r="O372" s="12" t="s">
        <v>93</v>
      </c>
      <c r="P372" s="12"/>
      <c r="Q372" s="12"/>
      <c r="R372" s="12" t="s">
        <v>94</v>
      </c>
      <c r="S372" s="12">
        <v>10</v>
      </c>
      <c r="T372" s="12" t="s">
        <v>862</v>
      </c>
      <c r="U372" s="12" t="s">
        <v>863</v>
      </c>
      <c r="V372" s="12">
        <f>VLOOKUP(Tabla4[[#This Row],[ZONA DEFINITIVO]],Hoja1!$A$1:$D$121,3,0)</f>
        <v>229096</v>
      </c>
      <c r="W372" s="12">
        <f>VLOOKUP(Tabla4[[#This Row],[ZONA DEFINITIVO]],Hoja1!$A$1:$D$121,2,0)</f>
        <v>15355</v>
      </c>
      <c r="X372" s="12">
        <f>VLOOKUP(Tabla4[[#This Row],[ZONA DEFINITIVO]],Hoja1!$A$1:$D$121,4,0)</f>
        <v>87725</v>
      </c>
      <c r="Y372" s="12" t="str">
        <f>+IF(Tabla4[[#This Row],[AGRUPACIONES]]=1,SUMIFS(Tabla4[UDS],Tabla4[ZONA DEFINITIVO],Tabla4[[#This Row],[ZONA DEFINITIVO]])," ")</f>
        <v xml:space="preserve"> </v>
      </c>
      <c r="Z372" s="12" t="str">
        <f>+IF(Tabla4[[#This Row],[AGRUPACIONES]]=1,SUMIFS(Tabla4[TOTAL COBERTURA],Tabla4[ZONA DEFINITIVO],Tabla4[[#This Row],[ZONA DEFINITIVO]])," ")</f>
        <v xml:space="preserve"> </v>
      </c>
      <c r="AA372" s="12"/>
      <c r="AB372" s="38">
        <v>65405790</v>
      </c>
      <c r="AC372" s="37">
        <v>0.02</v>
      </c>
      <c r="AD372" s="38">
        <f t="shared" si="6"/>
        <v>1308115.8</v>
      </c>
      <c r="AE372" s="12"/>
      <c r="AF372" s="12">
        <f>COUNTIF($A$20:A372,A372)</f>
        <v>14</v>
      </c>
      <c r="AG372" s="38">
        <v>65405790</v>
      </c>
      <c r="AH372" s="38">
        <f>Tabla4[[#This Row],[VALOR CONTRAPARTIDA]]+Tabla4[[#This Row],[TOTAL APORTES ICBF]]</f>
        <v>66713905.799999997</v>
      </c>
      <c r="AI372" s="35"/>
      <c r="AJ372" s="38"/>
      <c r="AK372" s="38"/>
      <c r="AL372" s="23"/>
      <c r="AM372" s="35">
        <f>VLOOKUP(Tabla4[[#This Row],[SERVICIO 2025]],$J$2:$V$14,5,0)*Tabla4[[#This Row],[TOTAL COBERTURA]]</f>
        <v>1481280</v>
      </c>
      <c r="AN372" s="35">
        <f>VLOOKUP(Tabla4[[#This Row],[SERVICIO 2025]],$J$2:$V$14,6,0)*Tabla4[[#This Row],[TOTAL COBERTURA]]</f>
        <v>1230870</v>
      </c>
      <c r="AO372" s="35">
        <f>VLOOKUP(Tabla4[[#This Row],[SERVICIO 2025]],$J$2:$V$14,8,0)*Tabla4[[#This Row],[TOTAL COBERTURA]]</f>
        <v>873000</v>
      </c>
      <c r="AP372" s="35">
        <f>VLOOKUP(Tabla4[[#This Row],[SERVICIO 2025]],$J$2:$V$14,3,0)*Tabla4[[#This Row],[TOTAL COBERTURA]]*8</f>
        <v>61820640</v>
      </c>
      <c r="AQ372" s="35"/>
      <c r="AR372" s="35">
        <f>Tabla4[[#This Row],[VALOR FASE PREPARATORIA DE ALISTAMIENTO]]+Tabla4[[#This Row],[VALOR FASE PREPARATORIA DE CIERRE]]+Tabla4[[#This Row],[DOTACIÓN ÚNICA]]+Tabla4[[#This Row],[VALOR ATENCIÓN]]+Tabla4[[#This Row],[VALOR RACION PREPARADA]]</f>
        <v>65405790</v>
      </c>
      <c r="AS372" s="35" t="str">
        <f>+IF(Tabla4[[#This Row],[AGRUPACIONES]]=1,SUMIFS(Tabla4[VALOR TOTAL],Tabla4[ZONA DEFINITIVO],Tabla4[[#This Row],[ZONA DEFINITIVO]])," ")</f>
        <v xml:space="preserve"> </v>
      </c>
      <c r="AT372" s="27">
        <f>(VLOOKUP(Tabla4[[#This Row],[SERVICIO 2025]],$J$2:$V$14,3,0)*Tabla4[[#This Row],[TOTAL COBERTURA]])+Tabla4[[#This Row],[VALOR FASE PREPARATORIA DE ALISTAMIENTO]]+Tabla4[[#This Row],[DOTACIÓN ÚNICA]]</f>
        <v>10081860</v>
      </c>
      <c r="AU372" s="35">
        <f>(VLOOKUP(Tabla4[[#This Row],[SERVICIO 2025]],$J$2:$V$14,3,0)*Tabla4[[#This Row],[TOTAL COBERTURA]])</f>
        <v>7727580</v>
      </c>
      <c r="AV372" s="35">
        <f>(VLOOKUP(Tabla4[[#This Row],[SERVICIO 2025]],$J$2:$V$14,3,0)*Tabla4[[#This Row],[TOTAL COBERTURA]])</f>
        <v>7727580</v>
      </c>
      <c r="AW372" s="35">
        <f>(VLOOKUP(Tabla4[[#This Row],[SERVICIO 2025]],$J$2:$V$14,3,0)*Tabla4[[#This Row],[TOTAL COBERTURA]])</f>
        <v>7727580</v>
      </c>
      <c r="AX372" s="35">
        <f>(VLOOKUP(Tabla4[[#This Row],[SERVICIO 2025]],$J$2:$V$14,3,0)*Tabla4[[#This Row],[TOTAL COBERTURA]])</f>
        <v>7727580</v>
      </c>
      <c r="AY372" s="35">
        <f>(VLOOKUP(Tabla4[[#This Row],[SERVICIO 2025]],$J$2:$V$14,3,0)*Tabla4[[#This Row],[TOTAL COBERTURA]])</f>
        <v>7727580</v>
      </c>
      <c r="AZ372" s="35">
        <f>(VLOOKUP(Tabla4[[#This Row],[SERVICIO 2025]],$J$2:$V$14,3,0)*Tabla4[[#This Row],[TOTAL COBERTURA]])</f>
        <v>7727580</v>
      </c>
      <c r="BA372" s="35">
        <f>(VLOOKUP(Tabla4[[#This Row],[SERVICIO 2025]],$J$2:$V$14,3,0)*Tabla4[[#This Row],[TOTAL COBERTURA]])+Tabla4[[#This Row],[VALOR FASE PREPARATORIA DE CIERRE]]</f>
        <v>8958450</v>
      </c>
      <c r="BB372" s="35">
        <f>SUM(Tabla4[[#This Row],[DESEMBOLSO 1]:[DESEMBOLSO 8]])</f>
        <v>65405790</v>
      </c>
      <c r="BC372" s="35">
        <f>VLOOKUP(Tabla4[[#This Row],[SERVICIO 2025]],$J$2:$V$14,10,0)*Tabla4[[#This Row],[TOTAL COBERTURA]]*$W$3</f>
        <v>43291920</v>
      </c>
      <c r="BD372" s="47" t="s">
        <v>211</v>
      </c>
      <c r="BE372" s="12" t="b">
        <f>EXACT(Tabla4[[#This Row],[VALOR ATENCIÓN (8 MESES)]],Tabla4[[#This Row],[VALOR TOTAL]])</f>
        <v>1</v>
      </c>
      <c r="BF372" s="23">
        <f>Tabla4[[#This Row],[VALOR ATENCIÓN (8 MESES)]]-Tabla4[[#This Row],[VALOR TOTAL]]</f>
        <v>0</v>
      </c>
      <c r="BG372" s="12" t="b">
        <f>EXACT(Tabla4[[#This Row],[TOTAL DESEMBOLSOS]],Tabla4[[#This Row],[VALOR ATENCIÓN (8 MESES)]])</f>
        <v>1</v>
      </c>
      <c r="BH372" s="29">
        <f>Tabla4[[#This Row],[TOTAL DESEMBOLSOS]]-Tabla4[[#This Row],[VALOR ATENCIÓN (8 MESES)]]</f>
        <v>0</v>
      </c>
      <c r="BI372" t="s">
        <v>98</v>
      </c>
      <c r="BJ372">
        <v>1917</v>
      </c>
    </row>
    <row r="373" spans="1:62">
      <c r="A373" s="13">
        <v>1917</v>
      </c>
      <c r="B373" s="13" t="s">
        <v>859</v>
      </c>
      <c r="C373" s="12" t="s">
        <v>87</v>
      </c>
      <c r="D373" s="12" t="s">
        <v>462</v>
      </c>
      <c r="E373" s="12" t="s">
        <v>848</v>
      </c>
      <c r="F373" s="12" t="s">
        <v>18</v>
      </c>
      <c r="G373" s="12" t="s">
        <v>90</v>
      </c>
      <c r="H373" s="12" t="s">
        <v>889</v>
      </c>
      <c r="I373" s="12">
        <v>50511143706</v>
      </c>
      <c r="J373" s="12" t="s">
        <v>890</v>
      </c>
      <c r="K373" s="12">
        <v>1</v>
      </c>
      <c r="L373" s="12">
        <v>23</v>
      </c>
      <c r="M373" s="12"/>
      <c r="N373" s="13">
        <v>1917</v>
      </c>
      <c r="O373" s="12" t="s">
        <v>93</v>
      </c>
      <c r="P373" s="12"/>
      <c r="Q373" s="12"/>
      <c r="R373" s="12" t="s">
        <v>94</v>
      </c>
      <c r="S373" s="12">
        <v>10</v>
      </c>
      <c r="T373" s="12" t="s">
        <v>862</v>
      </c>
      <c r="U373" s="12" t="s">
        <v>863</v>
      </c>
      <c r="V373" s="12">
        <f>VLOOKUP(Tabla4[[#This Row],[ZONA DEFINITIVO]],Hoja1!$A$1:$D$121,3,0)</f>
        <v>229096</v>
      </c>
      <c r="W373" s="12">
        <f>VLOOKUP(Tabla4[[#This Row],[ZONA DEFINITIVO]],Hoja1!$A$1:$D$121,2,0)</f>
        <v>15355</v>
      </c>
      <c r="X373" s="12">
        <f>VLOOKUP(Tabla4[[#This Row],[ZONA DEFINITIVO]],Hoja1!$A$1:$D$121,4,0)</f>
        <v>87725</v>
      </c>
      <c r="Y373" s="12" t="str">
        <f>+IF(Tabla4[[#This Row],[AGRUPACIONES]]=1,SUMIFS(Tabla4[UDS],Tabla4[ZONA DEFINITIVO],Tabla4[[#This Row],[ZONA DEFINITIVO]])," ")</f>
        <v xml:space="preserve"> </v>
      </c>
      <c r="Z373" s="12" t="str">
        <f>+IF(Tabla4[[#This Row],[AGRUPACIONES]]=1,SUMIFS(Tabla4[TOTAL COBERTURA],Tabla4[ZONA DEFINITIVO],Tabla4[[#This Row],[ZONA DEFINITIVO]])," ")</f>
        <v xml:space="preserve"> </v>
      </c>
      <c r="AA373" s="12"/>
      <c r="AB373" s="38">
        <v>50144439</v>
      </c>
      <c r="AC373" s="37">
        <v>0.02</v>
      </c>
      <c r="AD373" s="38">
        <f t="shared" si="6"/>
        <v>1002888.78</v>
      </c>
      <c r="AE373" s="12"/>
      <c r="AF373" s="12">
        <f>COUNTIF($A$20:A373,A373)</f>
        <v>15</v>
      </c>
      <c r="AG373" s="38">
        <v>50144439</v>
      </c>
      <c r="AH373" s="38">
        <f>Tabla4[[#This Row],[VALOR CONTRAPARTIDA]]+Tabla4[[#This Row],[TOTAL APORTES ICBF]]</f>
        <v>51147327.780000001</v>
      </c>
      <c r="AI373" s="35"/>
      <c r="AJ373" s="38"/>
      <c r="AK373" s="38"/>
      <c r="AL373" s="23"/>
      <c r="AM373" s="35">
        <f>VLOOKUP(Tabla4[[#This Row],[SERVICIO 2025]],$J$2:$V$14,5,0)*Tabla4[[#This Row],[TOTAL COBERTURA]]</f>
        <v>1135648</v>
      </c>
      <c r="AN373" s="35">
        <f>VLOOKUP(Tabla4[[#This Row],[SERVICIO 2025]],$J$2:$V$14,6,0)*Tabla4[[#This Row],[TOTAL COBERTURA]]</f>
        <v>943667</v>
      </c>
      <c r="AO373" s="35">
        <f>VLOOKUP(Tabla4[[#This Row],[SERVICIO 2025]],$J$2:$V$14,8,0)*Tabla4[[#This Row],[TOTAL COBERTURA]]</f>
        <v>669300</v>
      </c>
      <c r="AP373" s="35">
        <f>VLOOKUP(Tabla4[[#This Row],[SERVICIO 2025]],$J$2:$V$14,3,0)*Tabla4[[#This Row],[TOTAL COBERTURA]]*8</f>
        <v>47395824</v>
      </c>
      <c r="AQ373" s="35"/>
      <c r="AR373" s="35">
        <f>Tabla4[[#This Row],[VALOR FASE PREPARATORIA DE ALISTAMIENTO]]+Tabla4[[#This Row],[VALOR FASE PREPARATORIA DE CIERRE]]+Tabla4[[#This Row],[DOTACIÓN ÚNICA]]+Tabla4[[#This Row],[VALOR ATENCIÓN]]+Tabla4[[#This Row],[VALOR RACION PREPARADA]]</f>
        <v>50144439</v>
      </c>
      <c r="AS373" s="35" t="str">
        <f>+IF(Tabla4[[#This Row],[AGRUPACIONES]]=1,SUMIFS(Tabla4[VALOR TOTAL],Tabla4[ZONA DEFINITIVO],Tabla4[[#This Row],[ZONA DEFINITIVO]])," ")</f>
        <v xml:space="preserve"> </v>
      </c>
      <c r="AT373" s="27">
        <f>(VLOOKUP(Tabla4[[#This Row],[SERVICIO 2025]],$J$2:$V$14,3,0)*Tabla4[[#This Row],[TOTAL COBERTURA]])+Tabla4[[#This Row],[VALOR FASE PREPARATORIA DE ALISTAMIENTO]]+Tabla4[[#This Row],[DOTACIÓN ÚNICA]]</f>
        <v>7729426</v>
      </c>
      <c r="AU373" s="35">
        <f>(VLOOKUP(Tabla4[[#This Row],[SERVICIO 2025]],$J$2:$V$14,3,0)*Tabla4[[#This Row],[TOTAL COBERTURA]])</f>
        <v>5924478</v>
      </c>
      <c r="AV373" s="35">
        <f>(VLOOKUP(Tabla4[[#This Row],[SERVICIO 2025]],$J$2:$V$14,3,0)*Tabla4[[#This Row],[TOTAL COBERTURA]])</f>
        <v>5924478</v>
      </c>
      <c r="AW373" s="35">
        <f>(VLOOKUP(Tabla4[[#This Row],[SERVICIO 2025]],$J$2:$V$14,3,0)*Tabla4[[#This Row],[TOTAL COBERTURA]])</f>
        <v>5924478</v>
      </c>
      <c r="AX373" s="35">
        <f>(VLOOKUP(Tabla4[[#This Row],[SERVICIO 2025]],$J$2:$V$14,3,0)*Tabla4[[#This Row],[TOTAL COBERTURA]])</f>
        <v>5924478</v>
      </c>
      <c r="AY373" s="35">
        <f>(VLOOKUP(Tabla4[[#This Row],[SERVICIO 2025]],$J$2:$V$14,3,0)*Tabla4[[#This Row],[TOTAL COBERTURA]])</f>
        <v>5924478</v>
      </c>
      <c r="AZ373" s="35">
        <f>(VLOOKUP(Tabla4[[#This Row],[SERVICIO 2025]],$J$2:$V$14,3,0)*Tabla4[[#This Row],[TOTAL COBERTURA]])</f>
        <v>5924478</v>
      </c>
      <c r="BA373" s="35">
        <f>(VLOOKUP(Tabla4[[#This Row],[SERVICIO 2025]],$J$2:$V$14,3,0)*Tabla4[[#This Row],[TOTAL COBERTURA]])+Tabla4[[#This Row],[VALOR FASE PREPARATORIA DE CIERRE]]</f>
        <v>6868145</v>
      </c>
      <c r="BB373" s="35">
        <f>SUM(Tabla4[[#This Row],[DESEMBOLSO 1]:[DESEMBOLSO 8]])</f>
        <v>50144439</v>
      </c>
      <c r="BC373" s="35">
        <f>VLOOKUP(Tabla4[[#This Row],[SERVICIO 2025]],$J$2:$V$14,10,0)*Tabla4[[#This Row],[TOTAL COBERTURA]]*$W$3</f>
        <v>33190472</v>
      </c>
      <c r="BD373" s="47" t="s">
        <v>211</v>
      </c>
      <c r="BE373" s="12" t="b">
        <f>EXACT(Tabla4[[#This Row],[VALOR ATENCIÓN (8 MESES)]],Tabla4[[#This Row],[VALOR TOTAL]])</f>
        <v>1</v>
      </c>
      <c r="BF373" s="23">
        <f>Tabla4[[#This Row],[VALOR ATENCIÓN (8 MESES)]]-Tabla4[[#This Row],[VALOR TOTAL]]</f>
        <v>0</v>
      </c>
      <c r="BG373" s="12" t="b">
        <f>EXACT(Tabla4[[#This Row],[TOTAL DESEMBOLSOS]],Tabla4[[#This Row],[VALOR ATENCIÓN (8 MESES)]])</f>
        <v>1</v>
      </c>
      <c r="BH373" s="29">
        <f>Tabla4[[#This Row],[TOTAL DESEMBOLSOS]]-Tabla4[[#This Row],[VALOR ATENCIÓN (8 MESES)]]</f>
        <v>0</v>
      </c>
      <c r="BI373" t="s">
        <v>98</v>
      </c>
      <c r="BJ373">
        <v>1917</v>
      </c>
    </row>
    <row r="374" spans="1:62">
      <c r="A374" s="13">
        <v>1917</v>
      </c>
      <c r="B374" s="13" t="s">
        <v>859</v>
      </c>
      <c r="C374" s="12" t="s">
        <v>87</v>
      </c>
      <c r="D374" s="12" t="s">
        <v>462</v>
      </c>
      <c r="E374" s="12" t="s">
        <v>848</v>
      </c>
      <c r="F374" s="12" t="s">
        <v>18</v>
      </c>
      <c r="G374" s="12" t="s">
        <v>90</v>
      </c>
      <c r="H374" s="12" t="s">
        <v>891</v>
      </c>
      <c r="I374" s="12">
        <v>50511144594</v>
      </c>
      <c r="J374" s="12" t="s">
        <v>892</v>
      </c>
      <c r="K374" s="12">
        <v>1</v>
      </c>
      <c r="L374" s="12">
        <v>50</v>
      </c>
      <c r="M374" s="12"/>
      <c r="N374" s="13">
        <v>1917</v>
      </c>
      <c r="O374" s="12" t="s">
        <v>93</v>
      </c>
      <c r="P374" s="12"/>
      <c r="Q374" s="12"/>
      <c r="R374" s="12" t="s">
        <v>94</v>
      </c>
      <c r="S374" s="12">
        <v>10</v>
      </c>
      <c r="T374" s="12" t="s">
        <v>862</v>
      </c>
      <c r="U374" s="12" t="s">
        <v>863</v>
      </c>
      <c r="V374" s="12">
        <f>VLOOKUP(Tabla4[[#This Row],[ZONA DEFINITIVO]],Hoja1!$A$1:$D$121,3,0)</f>
        <v>229096</v>
      </c>
      <c r="W374" s="12">
        <f>VLOOKUP(Tabla4[[#This Row],[ZONA DEFINITIVO]],Hoja1!$A$1:$D$121,2,0)</f>
        <v>15355</v>
      </c>
      <c r="X374" s="12">
        <f>VLOOKUP(Tabla4[[#This Row],[ZONA DEFINITIVO]],Hoja1!$A$1:$D$121,4,0)</f>
        <v>87725</v>
      </c>
      <c r="Y374" s="12" t="str">
        <f>+IF(Tabla4[[#This Row],[AGRUPACIONES]]=1,SUMIFS(Tabla4[UDS],Tabla4[ZONA DEFINITIVO],Tabla4[[#This Row],[ZONA DEFINITIVO]])," ")</f>
        <v xml:space="preserve"> </v>
      </c>
      <c r="Z374" s="12" t="str">
        <f>+IF(Tabla4[[#This Row],[AGRUPACIONES]]=1,SUMIFS(Tabla4[TOTAL COBERTURA],Tabla4[ZONA DEFINITIVO],Tabla4[[#This Row],[ZONA DEFINITIVO]])," ")</f>
        <v xml:space="preserve"> </v>
      </c>
      <c r="AA374" s="12"/>
      <c r="AB374" s="38">
        <v>109009650</v>
      </c>
      <c r="AC374" s="37">
        <v>0.02</v>
      </c>
      <c r="AD374" s="38">
        <f t="shared" si="6"/>
        <v>2180193</v>
      </c>
      <c r="AE374" s="12"/>
      <c r="AF374" s="12">
        <f>COUNTIF($A$20:A374,A374)</f>
        <v>16</v>
      </c>
      <c r="AG374" s="38">
        <v>109009650</v>
      </c>
      <c r="AH374" s="38">
        <f>Tabla4[[#This Row],[VALOR CONTRAPARTIDA]]+Tabla4[[#This Row],[TOTAL APORTES ICBF]]</f>
        <v>111189843</v>
      </c>
      <c r="AI374" s="35"/>
      <c r="AJ374" s="38"/>
      <c r="AK374" s="38"/>
      <c r="AL374" s="23"/>
      <c r="AM374" s="35">
        <f>VLOOKUP(Tabla4[[#This Row],[SERVICIO 2025]],$J$2:$V$14,5,0)*Tabla4[[#This Row],[TOTAL COBERTURA]]</f>
        <v>2468800</v>
      </c>
      <c r="AN374" s="35">
        <f>VLOOKUP(Tabla4[[#This Row],[SERVICIO 2025]],$J$2:$V$14,6,0)*Tabla4[[#This Row],[TOTAL COBERTURA]]</f>
        <v>2051450</v>
      </c>
      <c r="AO374" s="35">
        <f>VLOOKUP(Tabla4[[#This Row],[SERVICIO 2025]],$J$2:$V$14,8,0)*Tabla4[[#This Row],[TOTAL COBERTURA]]</f>
        <v>1455000</v>
      </c>
      <c r="AP374" s="35">
        <f>VLOOKUP(Tabla4[[#This Row],[SERVICIO 2025]],$J$2:$V$14,3,0)*Tabla4[[#This Row],[TOTAL COBERTURA]]*8</f>
        <v>103034400</v>
      </c>
      <c r="AQ374" s="35"/>
      <c r="AR374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374" s="35" t="str">
        <f>+IF(Tabla4[[#This Row],[AGRUPACIONES]]=1,SUMIFS(Tabla4[VALOR TOTAL],Tabla4[ZONA DEFINITIVO],Tabla4[[#This Row],[ZONA DEFINITIVO]])," ")</f>
        <v xml:space="preserve"> </v>
      </c>
      <c r="AT374" s="27">
        <f>(VLOOKUP(Tabla4[[#This Row],[SERVICIO 2025]],$J$2:$V$14,3,0)*Tabla4[[#This Row],[TOTAL COBERTURA]])+Tabla4[[#This Row],[VALOR FASE PREPARATORIA DE ALISTAMIENTO]]+Tabla4[[#This Row],[DOTACIÓN ÚNICA]]</f>
        <v>16803100</v>
      </c>
      <c r="AU374" s="35">
        <f>(VLOOKUP(Tabla4[[#This Row],[SERVICIO 2025]],$J$2:$V$14,3,0)*Tabla4[[#This Row],[TOTAL COBERTURA]])</f>
        <v>12879300</v>
      </c>
      <c r="AV374" s="35">
        <f>(VLOOKUP(Tabla4[[#This Row],[SERVICIO 2025]],$J$2:$V$14,3,0)*Tabla4[[#This Row],[TOTAL COBERTURA]])</f>
        <v>12879300</v>
      </c>
      <c r="AW374" s="35">
        <f>(VLOOKUP(Tabla4[[#This Row],[SERVICIO 2025]],$J$2:$V$14,3,0)*Tabla4[[#This Row],[TOTAL COBERTURA]])</f>
        <v>12879300</v>
      </c>
      <c r="AX374" s="35">
        <f>(VLOOKUP(Tabla4[[#This Row],[SERVICIO 2025]],$J$2:$V$14,3,0)*Tabla4[[#This Row],[TOTAL COBERTURA]])</f>
        <v>12879300</v>
      </c>
      <c r="AY374" s="35">
        <f>(VLOOKUP(Tabla4[[#This Row],[SERVICIO 2025]],$J$2:$V$14,3,0)*Tabla4[[#This Row],[TOTAL COBERTURA]])</f>
        <v>12879300</v>
      </c>
      <c r="AZ374" s="35">
        <f>(VLOOKUP(Tabla4[[#This Row],[SERVICIO 2025]],$J$2:$V$14,3,0)*Tabla4[[#This Row],[TOTAL COBERTURA]])</f>
        <v>12879300</v>
      </c>
      <c r="BA374" s="35">
        <f>(VLOOKUP(Tabla4[[#This Row],[SERVICIO 2025]],$J$2:$V$14,3,0)*Tabla4[[#This Row],[TOTAL COBERTURA]])+Tabla4[[#This Row],[VALOR FASE PREPARATORIA DE CIERRE]]</f>
        <v>14930750</v>
      </c>
      <c r="BB374" s="35">
        <f>SUM(Tabla4[[#This Row],[DESEMBOLSO 1]:[DESEMBOLSO 8]])</f>
        <v>109009650</v>
      </c>
      <c r="BC374" s="35">
        <f>VLOOKUP(Tabla4[[#This Row],[SERVICIO 2025]],$J$2:$V$14,10,0)*Tabla4[[#This Row],[TOTAL COBERTURA]]*$W$3</f>
        <v>72153200</v>
      </c>
      <c r="BD374" s="47" t="s">
        <v>211</v>
      </c>
      <c r="BE374" s="12" t="b">
        <f>EXACT(Tabla4[[#This Row],[VALOR ATENCIÓN (8 MESES)]],Tabla4[[#This Row],[VALOR TOTAL]])</f>
        <v>1</v>
      </c>
      <c r="BF374" s="23">
        <f>Tabla4[[#This Row],[VALOR ATENCIÓN (8 MESES)]]-Tabla4[[#This Row],[VALOR TOTAL]]</f>
        <v>0</v>
      </c>
      <c r="BG374" s="12" t="b">
        <f>EXACT(Tabla4[[#This Row],[TOTAL DESEMBOLSOS]],Tabla4[[#This Row],[VALOR ATENCIÓN (8 MESES)]])</f>
        <v>1</v>
      </c>
      <c r="BH374" s="29">
        <f>Tabla4[[#This Row],[TOTAL DESEMBOLSOS]]-Tabla4[[#This Row],[VALOR ATENCIÓN (8 MESES)]]</f>
        <v>0</v>
      </c>
      <c r="BI374" t="s">
        <v>98</v>
      </c>
      <c r="BJ374">
        <v>1917</v>
      </c>
    </row>
    <row r="375" spans="1:62">
      <c r="A375" s="13">
        <v>1917</v>
      </c>
      <c r="B375" s="13" t="s">
        <v>859</v>
      </c>
      <c r="C375" s="12" t="s">
        <v>87</v>
      </c>
      <c r="D375" s="12" t="s">
        <v>462</v>
      </c>
      <c r="E375" s="12" t="s">
        <v>848</v>
      </c>
      <c r="F375" s="12" t="s">
        <v>18</v>
      </c>
      <c r="G375" s="12" t="s">
        <v>90</v>
      </c>
      <c r="H375" s="12" t="s">
        <v>893</v>
      </c>
      <c r="I375" s="12">
        <v>50511148806</v>
      </c>
      <c r="J375" s="12" t="s">
        <v>894</v>
      </c>
      <c r="K375" s="12">
        <v>1</v>
      </c>
      <c r="L375" s="12">
        <v>50</v>
      </c>
      <c r="M375" s="12"/>
      <c r="N375" s="13">
        <v>1917</v>
      </c>
      <c r="O375" s="12" t="s">
        <v>93</v>
      </c>
      <c r="P375" s="12"/>
      <c r="Q375" s="12"/>
      <c r="R375" s="12" t="s">
        <v>94</v>
      </c>
      <c r="S375" s="12">
        <v>10</v>
      </c>
      <c r="T375" s="12" t="s">
        <v>862</v>
      </c>
      <c r="U375" s="12" t="s">
        <v>863</v>
      </c>
      <c r="V375" s="12">
        <f>VLOOKUP(Tabla4[[#This Row],[ZONA DEFINITIVO]],Hoja1!$A$1:$D$121,3,0)</f>
        <v>229096</v>
      </c>
      <c r="W375" s="12">
        <f>VLOOKUP(Tabla4[[#This Row],[ZONA DEFINITIVO]],Hoja1!$A$1:$D$121,2,0)</f>
        <v>15355</v>
      </c>
      <c r="X375" s="12">
        <f>VLOOKUP(Tabla4[[#This Row],[ZONA DEFINITIVO]],Hoja1!$A$1:$D$121,4,0)</f>
        <v>87725</v>
      </c>
      <c r="Y375" s="12" t="str">
        <f>+IF(Tabla4[[#This Row],[AGRUPACIONES]]=1,SUMIFS(Tabla4[UDS],Tabla4[ZONA DEFINITIVO],Tabla4[[#This Row],[ZONA DEFINITIVO]])," ")</f>
        <v xml:space="preserve"> </v>
      </c>
      <c r="Z375" s="12" t="str">
        <f>+IF(Tabla4[[#This Row],[AGRUPACIONES]]=1,SUMIFS(Tabla4[TOTAL COBERTURA],Tabla4[ZONA DEFINITIVO],Tabla4[[#This Row],[ZONA DEFINITIVO]])," ")</f>
        <v xml:space="preserve"> </v>
      </c>
      <c r="AA375" s="12"/>
      <c r="AB375" s="38">
        <v>109009650</v>
      </c>
      <c r="AC375" s="37">
        <v>0.02</v>
      </c>
      <c r="AD375" s="38">
        <f t="shared" si="6"/>
        <v>2180193</v>
      </c>
      <c r="AE375" s="12"/>
      <c r="AF375" s="12">
        <f>COUNTIF($A$20:A375,A375)</f>
        <v>17</v>
      </c>
      <c r="AG375" s="38">
        <v>109009650</v>
      </c>
      <c r="AH375" s="38">
        <f>Tabla4[[#This Row],[VALOR CONTRAPARTIDA]]+Tabla4[[#This Row],[TOTAL APORTES ICBF]]</f>
        <v>111189843</v>
      </c>
      <c r="AI375" s="35"/>
      <c r="AJ375" s="38"/>
      <c r="AK375" s="38"/>
      <c r="AL375" s="23"/>
      <c r="AM375" s="35">
        <f>VLOOKUP(Tabla4[[#This Row],[SERVICIO 2025]],$J$2:$V$14,5,0)*Tabla4[[#This Row],[TOTAL COBERTURA]]</f>
        <v>2468800</v>
      </c>
      <c r="AN375" s="35">
        <f>VLOOKUP(Tabla4[[#This Row],[SERVICIO 2025]],$J$2:$V$14,6,0)*Tabla4[[#This Row],[TOTAL COBERTURA]]</f>
        <v>2051450</v>
      </c>
      <c r="AO375" s="35">
        <f>VLOOKUP(Tabla4[[#This Row],[SERVICIO 2025]],$J$2:$V$14,8,0)*Tabla4[[#This Row],[TOTAL COBERTURA]]</f>
        <v>1455000</v>
      </c>
      <c r="AP375" s="35">
        <f>VLOOKUP(Tabla4[[#This Row],[SERVICIO 2025]],$J$2:$V$14,3,0)*Tabla4[[#This Row],[TOTAL COBERTURA]]*8</f>
        <v>103034400</v>
      </c>
      <c r="AQ375" s="35"/>
      <c r="AR375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375" s="35" t="str">
        <f>+IF(Tabla4[[#This Row],[AGRUPACIONES]]=1,SUMIFS(Tabla4[VALOR TOTAL],Tabla4[ZONA DEFINITIVO],Tabla4[[#This Row],[ZONA DEFINITIVO]])," ")</f>
        <v xml:space="preserve"> </v>
      </c>
      <c r="AT375" s="27">
        <f>(VLOOKUP(Tabla4[[#This Row],[SERVICIO 2025]],$J$2:$V$14,3,0)*Tabla4[[#This Row],[TOTAL COBERTURA]])+Tabla4[[#This Row],[VALOR FASE PREPARATORIA DE ALISTAMIENTO]]+Tabla4[[#This Row],[DOTACIÓN ÚNICA]]</f>
        <v>16803100</v>
      </c>
      <c r="AU375" s="35">
        <f>(VLOOKUP(Tabla4[[#This Row],[SERVICIO 2025]],$J$2:$V$14,3,0)*Tabla4[[#This Row],[TOTAL COBERTURA]])</f>
        <v>12879300</v>
      </c>
      <c r="AV375" s="35">
        <f>(VLOOKUP(Tabla4[[#This Row],[SERVICIO 2025]],$J$2:$V$14,3,0)*Tabla4[[#This Row],[TOTAL COBERTURA]])</f>
        <v>12879300</v>
      </c>
      <c r="AW375" s="35">
        <f>(VLOOKUP(Tabla4[[#This Row],[SERVICIO 2025]],$J$2:$V$14,3,0)*Tabla4[[#This Row],[TOTAL COBERTURA]])</f>
        <v>12879300</v>
      </c>
      <c r="AX375" s="35">
        <f>(VLOOKUP(Tabla4[[#This Row],[SERVICIO 2025]],$J$2:$V$14,3,0)*Tabla4[[#This Row],[TOTAL COBERTURA]])</f>
        <v>12879300</v>
      </c>
      <c r="AY375" s="35">
        <f>(VLOOKUP(Tabla4[[#This Row],[SERVICIO 2025]],$J$2:$V$14,3,0)*Tabla4[[#This Row],[TOTAL COBERTURA]])</f>
        <v>12879300</v>
      </c>
      <c r="AZ375" s="35">
        <f>(VLOOKUP(Tabla4[[#This Row],[SERVICIO 2025]],$J$2:$V$14,3,0)*Tabla4[[#This Row],[TOTAL COBERTURA]])</f>
        <v>12879300</v>
      </c>
      <c r="BA375" s="35">
        <f>(VLOOKUP(Tabla4[[#This Row],[SERVICIO 2025]],$J$2:$V$14,3,0)*Tabla4[[#This Row],[TOTAL COBERTURA]])+Tabla4[[#This Row],[VALOR FASE PREPARATORIA DE CIERRE]]</f>
        <v>14930750</v>
      </c>
      <c r="BB375" s="35">
        <f>SUM(Tabla4[[#This Row],[DESEMBOLSO 1]:[DESEMBOLSO 8]])</f>
        <v>109009650</v>
      </c>
      <c r="BC375" s="35">
        <f>VLOOKUP(Tabla4[[#This Row],[SERVICIO 2025]],$J$2:$V$14,10,0)*Tabla4[[#This Row],[TOTAL COBERTURA]]*$W$3</f>
        <v>72153200</v>
      </c>
      <c r="BD375" s="47" t="s">
        <v>211</v>
      </c>
      <c r="BE375" s="12" t="b">
        <f>EXACT(Tabla4[[#This Row],[VALOR ATENCIÓN (8 MESES)]],Tabla4[[#This Row],[VALOR TOTAL]])</f>
        <v>1</v>
      </c>
      <c r="BF375" s="23">
        <f>Tabla4[[#This Row],[VALOR ATENCIÓN (8 MESES)]]-Tabla4[[#This Row],[VALOR TOTAL]]</f>
        <v>0</v>
      </c>
      <c r="BG375" s="12" t="b">
        <f>EXACT(Tabla4[[#This Row],[TOTAL DESEMBOLSOS]],Tabla4[[#This Row],[VALOR ATENCIÓN (8 MESES)]])</f>
        <v>1</v>
      </c>
      <c r="BH375" s="29">
        <f>Tabla4[[#This Row],[TOTAL DESEMBOLSOS]]-Tabla4[[#This Row],[VALOR ATENCIÓN (8 MESES)]]</f>
        <v>0</v>
      </c>
      <c r="BI375" t="s">
        <v>98</v>
      </c>
      <c r="BJ375">
        <v>1917</v>
      </c>
    </row>
    <row r="376" spans="1:62">
      <c r="A376" s="13">
        <v>1917</v>
      </c>
      <c r="B376" s="13" t="s">
        <v>859</v>
      </c>
      <c r="C376" s="12" t="s">
        <v>87</v>
      </c>
      <c r="D376" s="12" t="s">
        <v>462</v>
      </c>
      <c r="E376" s="12" t="s">
        <v>848</v>
      </c>
      <c r="F376" s="12" t="s">
        <v>18</v>
      </c>
      <c r="G376" s="12" t="s">
        <v>90</v>
      </c>
      <c r="H376" s="12" t="s">
        <v>895</v>
      </c>
      <c r="I376" s="12">
        <v>50511150325</v>
      </c>
      <c r="J376" s="12" t="s">
        <v>896</v>
      </c>
      <c r="K376" s="12">
        <v>1</v>
      </c>
      <c r="L376" s="12">
        <v>50</v>
      </c>
      <c r="M376" s="12"/>
      <c r="N376" s="13">
        <v>1917</v>
      </c>
      <c r="O376" s="12" t="s">
        <v>93</v>
      </c>
      <c r="P376" s="12"/>
      <c r="Q376" s="12"/>
      <c r="R376" s="12" t="s">
        <v>94</v>
      </c>
      <c r="S376" s="12">
        <v>10</v>
      </c>
      <c r="T376" s="12" t="s">
        <v>862</v>
      </c>
      <c r="U376" s="12" t="s">
        <v>863</v>
      </c>
      <c r="V376" s="12">
        <f>VLOOKUP(Tabla4[[#This Row],[ZONA DEFINITIVO]],Hoja1!$A$1:$D$121,3,0)</f>
        <v>229096</v>
      </c>
      <c r="W376" s="12">
        <f>VLOOKUP(Tabla4[[#This Row],[ZONA DEFINITIVO]],Hoja1!$A$1:$D$121,2,0)</f>
        <v>15355</v>
      </c>
      <c r="X376" s="12">
        <f>VLOOKUP(Tabla4[[#This Row],[ZONA DEFINITIVO]],Hoja1!$A$1:$D$121,4,0)</f>
        <v>87725</v>
      </c>
      <c r="Y376" s="12" t="str">
        <f>+IF(Tabla4[[#This Row],[AGRUPACIONES]]=1,SUMIFS(Tabla4[UDS],Tabla4[ZONA DEFINITIVO],Tabla4[[#This Row],[ZONA DEFINITIVO]])," ")</f>
        <v xml:space="preserve"> </v>
      </c>
      <c r="Z376" s="12" t="str">
        <f>+IF(Tabla4[[#This Row],[AGRUPACIONES]]=1,SUMIFS(Tabla4[TOTAL COBERTURA],Tabla4[ZONA DEFINITIVO],Tabla4[[#This Row],[ZONA DEFINITIVO]])," ")</f>
        <v xml:space="preserve"> </v>
      </c>
      <c r="AA376" s="12"/>
      <c r="AB376" s="38">
        <v>109009650</v>
      </c>
      <c r="AC376" s="37">
        <v>0.02</v>
      </c>
      <c r="AD376" s="38">
        <f t="shared" si="6"/>
        <v>2180193</v>
      </c>
      <c r="AE376" s="12"/>
      <c r="AF376" s="12">
        <f>COUNTIF($A$20:A376,A376)</f>
        <v>18</v>
      </c>
      <c r="AG376" s="38">
        <v>109009650</v>
      </c>
      <c r="AH376" s="38">
        <f>Tabla4[[#This Row],[VALOR CONTRAPARTIDA]]+Tabla4[[#This Row],[TOTAL APORTES ICBF]]</f>
        <v>111189843</v>
      </c>
      <c r="AI376" s="35"/>
      <c r="AJ376" s="38"/>
      <c r="AK376" s="38"/>
      <c r="AL376" s="23"/>
      <c r="AM376" s="35">
        <f>VLOOKUP(Tabla4[[#This Row],[SERVICIO 2025]],$J$2:$V$14,5,0)*Tabla4[[#This Row],[TOTAL COBERTURA]]</f>
        <v>2468800</v>
      </c>
      <c r="AN376" s="35">
        <f>VLOOKUP(Tabla4[[#This Row],[SERVICIO 2025]],$J$2:$V$14,6,0)*Tabla4[[#This Row],[TOTAL COBERTURA]]</f>
        <v>2051450</v>
      </c>
      <c r="AO376" s="35">
        <f>VLOOKUP(Tabla4[[#This Row],[SERVICIO 2025]],$J$2:$V$14,8,0)*Tabla4[[#This Row],[TOTAL COBERTURA]]</f>
        <v>1455000</v>
      </c>
      <c r="AP376" s="35">
        <f>VLOOKUP(Tabla4[[#This Row],[SERVICIO 2025]],$J$2:$V$14,3,0)*Tabla4[[#This Row],[TOTAL COBERTURA]]*8</f>
        <v>103034400</v>
      </c>
      <c r="AQ376" s="35"/>
      <c r="AR376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376" s="35" t="str">
        <f>+IF(Tabla4[[#This Row],[AGRUPACIONES]]=1,SUMIFS(Tabla4[VALOR TOTAL],Tabla4[ZONA DEFINITIVO],Tabla4[[#This Row],[ZONA DEFINITIVO]])," ")</f>
        <v xml:space="preserve"> </v>
      </c>
      <c r="AT376" s="27">
        <f>(VLOOKUP(Tabla4[[#This Row],[SERVICIO 2025]],$J$2:$V$14,3,0)*Tabla4[[#This Row],[TOTAL COBERTURA]])+Tabla4[[#This Row],[VALOR FASE PREPARATORIA DE ALISTAMIENTO]]+Tabla4[[#This Row],[DOTACIÓN ÚNICA]]</f>
        <v>16803100</v>
      </c>
      <c r="AU376" s="35">
        <f>(VLOOKUP(Tabla4[[#This Row],[SERVICIO 2025]],$J$2:$V$14,3,0)*Tabla4[[#This Row],[TOTAL COBERTURA]])</f>
        <v>12879300</v>
      </c>
      <c r="AV376" s="35">
        <f>(VLOOKUP(Tabla4[[#This Row],[SERVICIO 2025]],$J$2:$V$14,3,0)*Tabla4[[#This Row],[TOTAL COBERTURA]])</f>
        <v>12879300</v>
      </c>
      <c r="AW376" s="35">
        <f>(VLOOKUP(Tabla4[[#This Row],[SERVICIO 2025]],$J$2:$V$14,3,0)*Tabla4[[#This Row],[TOTAL COBERTURA]])</f>
        <v>12879300</v>
      </c>
      <c r="AX376" s="35">
        <f>(VLOOKUP(Tabla4[[#This Row],[SERVICIO 2025]],$J$2:$V$14,3,0)*Tabla4[[#This Row],[TOTAL COBERTURA]])</f>
        <v>12879300</v>
      </c>
      <c r="AY376" s="35">
        <f>(VLOOKUP(Tabla4[[#This Row],[SERVICIO 2025]],$J$2:$V$14,3,0)*Tabla4[[#This Row],[TOTAL COBERTURA]])</f>
        <v>12879300</v>
      </c>
      <c r="AZ376" s="35">
        <f>(VLOOKUP(Tabla4[[#This Row],[SERVICIO 2025]],$J$2:$V$14,3,0)*Tabla4[[#This Row],[TOTAL COBERTURA]])</f>
        <v>12879300</v>
      </c>
      <c r="BA376" s="35">
        <f>(VLOOKUP(Tabla4[[#This Row],[SERVICIO 2025]],$J$2:$V$14,3,0)*Tabla4[[#This Row],[TOTAL COBERTURA]])+Tabla4[[#This Row],[VALOR FASE PREPARATORIA DE CIERRE]]</f>
        <v>14930750</v>
      </c>
      <c r="BB376" s="35">
        <f>SUM(Tabla4[[#This Row],[DESEMBOLSO 1]:[DESEMBOLSO 8]])</f>
        <v>109009650</v>
      </c>
      <c r="BC376" s="35">
        <f>VLOOKUP(Tabla4[[#This Row],[SERVICIO 2025]],$J$2:$V$14,10,0)*Tabla4[[#This Row],[TOTAL COBERTURA]]*$W$3</f>
        <v>72153200</v>
      </c>
      <c r="BD376" s="47" t="s">
        <v>211</v>
      </c>
      <c r="BE376" s="12" t="b">
        <f>EXACT(Tabla4[[#This Row],[VALOR ATENCIÓN (8 MESES)]],Tabla4[[#This Row],[VALOR TOTAL]])</f>
        <v>1</v>
      </c>
      <c r="BF376" s="23">
        <f>Tabla4[[#This Row],[VALOR ATENCIÓN (8 MESES)]]-Tabla4[[#This Row],[VALOR TOTAL]]</f>
        <v>0</v>
      </c>
      <c r="BG376" s="12" t="b">
        <f>EXACT(Tabla4[[#This Row],[TOTAL DESEMBOLSOS]],Tabla4[[#This Row],[VALOR ATENCIÓN (8 MESES)]])</f>
        <v>1</v>
      </c>
      <c r="BH376" s="29">
        <f>Tabla4[[#This Row],[TOTAL DESEMBOLSOS]]-Tabla4[[#This Row],[VALOR ATENCIÓN (8 MESES)]]</f>
        <v>0</v>
      </c>
      <c r="BI376" t="s">
        <v>98</v>
      </c>
      <c r="BJ376">
        <v>1917</v>
      </c>
    </row>
    <row r="377" spans="1:62">
      <c r="A377" s="13">
        <v>1917</v>
      </c>
      <c r="B377" s="13" t="s">
        <v>859</v>
      </c>
      <c r="C377" s="12" t="s">
        <v>87</v>
      </c>
      <c r="D377" s="12" t="s">
        <v>462</v>
      </c>
      <c r="E377" s="12" t="s">
        <v>848</v>
      </c>
      <c r="F377" s="12" t="s">
        <v>18</v>
      </c>
      <c r="G377" s="12" t="s">
        <v>90</v>
      </c>
      <c r="H377" s="12" t="s">
        <v>897</v>
      </c>
      <c r="I377" s="12">
        <v>50511150326</v>
      </c>
      <c r="J377" s="12" t="s">
        <v>898</v>
      </c>
      <c r="K377" s="12">
        <v>1</v>
      </c>
      <c r="L377" s="12">
        <v>50</v>
      </c>
      <c r="M377" s="12"/>
      <c r="N377" s="13">
        <v>1917</v>
      </c>
      <c r="O377" s="12" t="s">
        <v>93</v>
      </c>
      <c r="P377" s="12"/>
      <c r="Q377" s="12"/>
      <c r="R377" s="12" t="s">
        <v>94</v>
      </c>
      <c r="S377" s="12">
        <v>10</v>
      </c>
      <c r="T377" s="12" t="s">
        <v>862</v>
      </c>
      <c r="U377" s="12" t="s">
        <v>863</v>
      </c>
      <c r="V377" s="12">
        <f>VLOOKUP(Tabla4[[#This Row],[ZONA DEFINITIVO]],Hoja1!$A$1:$D$121,3,0)</f>
        <v>229096</v>
      </c>
      <c r="W377" s="12">
        <f>VLOOKUP(Tabla4[[#This Row],[ZONA DEFINITIVO]],Hoja1!$A$1:$D$121,2,0)</f>
        <v>15355</v>
      </c>
      <c r="X377" s="12">
        <f>VLOOKUP(Tabla4[[#This Row],[ZONA DEFINITIVO]],Hoja1!$A$1:$D$121,4,0)</f>
        <v>87725</v>
      </c>
      <c r="Y377" s="12" t="str">
        <f>+IF(Tabla4[[#This Row],[AGRUPACIONES]]=1,SUMIFS(Tabla4[UDS],Tabla4[ZONA DEFINITIVO],Tabla4[[#This Row],[ZONA DEFINITIVO]])," ")</f>
        <v xml:space="preserve"> </v>
      </c>
      <c r="Z377" s="12" t="str">
        <f>+IF(Tabla4[[#This Row],[AGRUPACIONES]]=1,SUMIFS(Tabla4[TOTAL COBERTURA],Tabla4[ZONA DEFINITIVO],Tabla4[[#This Row],[ZONA DEFINITIVO]])," ")</f>
        <v xml:space="preserve"> </v>
      </c>
      <c r="AA377" s="12"/>
      <c r="AB377" s="38">
        <v>109009650</v>
      </c>
      <c r="AC377" s="37">
        <v>0.02</v>
      </c>
      <c r="AD377" s="38">
        <f t="shared" si="6"/>
        <v>2180193</v>
      </c>
      <c r="AE377" s="12"/>
      <c r="AF377" s="12">
        <f>COUNTIF($A$20:A377,A377)</f>
        <v>19</v>
      </c>
      <c r="AG377" s="38">
        <v>109009650</v>
      </c>
      <c r="AH377" s="38">
        <f>Tabla4[[#This Row],[VALOR CONTRAPARTIDA]]+Tabla4[[#This Row],[TOTAL APORTES ICBF]]</f>
        <v>111189843</v>
      </c>
      <c r="AI377" s="35"/>
      <c r="AJ377" s="38"/>
      <c r="AK377" s="38"/>
      <c r="AL377" s="23"/>
      <c r="AM377" s="35">
        <f>VLOOKUP(Tabla4[[#This Row],[SERVICIO 2025]],$J$2:$V$14,5,0)*Tabla4[[#This Row],[TOTAL COBERTURA]]</f>
        <v>2468800</v>
      </c>
      <c r="AN377" s="35">
        <f>VLOOKUP(Tabla4[[#This Row],[SERVICIO 2025]],$J$2:$V$14,6,0)*Tabla4[[#This Row],[TOTAL COBERTURA]]</f>
        <v>2051450</v>
      </c>
      <c r="AO377" s="35">
        <f>VLOOKUP(Tabla4[[#This Row],[SERVICIO 2025]],$J$2:$V$14,8,0)*Tabla4[[#This Row],[TOTAL COBERTURA]]</f>
        <v>1455000</v>
      </c>
      <c r="AP377" s="35">
        <f>VLOOKUP(Tabla4[[#This Row],[SERVICIO 2025]],$J$2:$V$14,3,0)*Tabla4[[#This Row],[TOTAL COBERTURA]]*8</f>
        <v>103034400</v>
      </c>
      <c r="AQ377" s="35"/>
      <c r="AR377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377" s="35" t="str">
        <f>+IF(Tabla4[[#This Row],[AGRUPACIONES]]=1,SUMIFS(Tabla4[VALOR TOTAL],Tabla4[ZONA DEFINITIVO],Tabla4[[#This Row],[ZONA DEFINITIVO]])," ")</f>
        <v xml:space="preserve"> </v>
      </c>
      <c r="AT377" s="27">
        <f>(VLOOKUP(Tabla4[[#This Row],[SERVICIO 2025]],$J$2:$V$14,3,0)*Tabla4[[#This Row],[TOTAL COBERTURA]])+Tabla4[[#This Row],[VALOR FASE PREPARATORIA DE ALISTAMIENTO]]+Tabla4[[#This Row],[DOTACIÓN ÚNICA]]</f>
        <v>16803100</v>
      </c>
      <c r="AU377" s="35">
        <f>(VLOOKUP(Tabla4[[#This Row],[SERVICIO 2025]],$J$2:$V$14,3,0)*Tabla4[[#This Row],[TOTAL COBERTURA]])</f>
        <v>12879300</v>
      </c>
      <c r="AV377" s="35">
        <f>(VLOOKUP(Tabla4[[#This Row],[SERVICIO 2025]],$J$2:$V$14,3,0)*Tabla4[[#This Row],[TOTAL COBERTURA]])</f>
        <v>12879300</v>
      </c>
      <c r="AW377" s="35">
        <f>(VLOOKUP(Tabla4[[#This Row],[SERVICIO 2025]],$J$2:$V$14,3,0)*Tabla4[[#This Row],[TOTAL COBERTURA]])</f>
        <v>12879300</v>
      </c>
      <c r="AX377" s="35">
        <f>(VLOOKUP(Tabla4[[#This Row],[SERVICIO 2025]],$J$2:$V$14,3,0)*Tabla4[[#This Row],[TOTAL COBERTURA]])</f>
        <v>12879300</v>
      </c>
      <c r="AY377" s="35">
        <f>(VLOOKUP(Tabla4[[#This Row],[SERVICIO 2025]],$J$2:$V$14,3,0)*Tabla4[[#This Row],[TOTAL COBERTURA]])</f>
        <v>12879300</v>
      </c>
      <c r="AZ377" s="35">
        <f>(VLOOKUP(Tabla4[[#This Row],[SERVICIO 2025]],$J$2:$V$14,3,0)*Tabla4[[#This Row],[TOTAL COBERTURA]])</f>
        <v>12879300</v>
      </c>
      <c r="BA377" s="35">
        <f>(VLOOKUP(Tabla4[[#This Row],[SERVICIO 2025]],$J$2:$V$14,3,0)*Tabla4[[#This Row],[TOTAL COBERTURA]])+Tabla4[[#This Row],[VALOR FASE PREPARATORIA DE CIERRE]]</f>
        <v>14930750</v>
      </c>
      <c r="BB377" s="35">
        <f>SUM(Tabla4[[#This Row],[DESEMBOLSO 1]:[DESEMBOLSO 8]])</f>
        <v>109009650</v>
      </c>
      <c r="BC377" s="35">
        <f>VLOOKUP(Tabla4[[#This Row],[SERVICIO 2025]],$J$2:$V$14,10,0)*Tabla4[[#This Row],[TOTAL COBERTURA]]*$W$3</f>
        <v>72153200</v>
      </c>
      <c r="BD377" s="47" t="s">
        <v>211</v>
      </c>
      <c r="BE377" s="12" t="b">
        <f>EXACT(Tabla4[[#This Row],[VALOR ATENCIÓN (8 MESES)]],Tabla4[[#This Row],[VALOR TOTAL]])</f>
        <v>1</v>
      </c>
      <c r="BF377" s="23">
        <f>Tabla4[[#This Row],[VALOR ATENCIÓN (8 MESES)]]-Tabla4[[#This Row],[VALOR TOTAL]]</f>
        <v>0</v>
      </c>
      <c r="BG377" s="12" t="b">
        <f>EXACT(Tabla4[[#This Row],[TOTAL DESEMBOLSOS]],Tabla4[[#This Row],[VALOR ATENCIÓN (8 MESES)]])</f>
        <v>1</v>
      </c>
      <c r="BH377" s="29">
        <f>Tabla4[[#This Row],[TOTAL DESEMBOLSOS]]-Tabla4[[#This Row],[VALOR ATENCIÓN (8 MESES)]]</f>
        <v>0</v>
      </c>
      <c r="BI377" t="s">
        <v>98</v>
      </c>
      <c r="BJ377">
        <v>1917</v>
      </c>
    </row>
    <row r="378" spans="1:62">
      <c r="A378" s="13">
        <v>1917</v>
      </c>
      <c r="B378" s="13" t="s">
        <v>859</v>
      </c>
      <c r="C378" s="12" t="s">
        <v>87</v>
      </c>
      <c r="D378" s="12" t="s">
        <v>462</v>
      </c>
      <c r="E378" s="12" t="s">
        <v>848</v>
      </c>
      <c r="F378" s="12" t="s">
        <v>18</v>
      </c>
      <c r="G378" s="12" t="s">
        <v>90</v>
      </c>
      <c r="H378" s="12" t="s">
        <v>899</v>
      </c>
      <c r="I378" s="12">
        <v>50511150327</v>
      </c>
      <c r="J378" s="12" t="s">
        <v>900</v>
      </c>
      <c r="K378" s="12">
        <v>1</v>
      </c>
      <c r="L378" s="12">
        <v>26</v>
      </c>
      <c r="M378" s="12"/>
      <c r="N378" s="13">
        <v>1917</v>
      </c>
      <c r="O378" s="12" t="s">
        <v>93</v>
      </c>
      <c r="P378" s="12"/>
      <c r="Q378" s="12"/>
      <c r="R378" s="12" t="s">
        <v>94</v>
      </c>
      <c r="S378" s="12">
        <v>10</v>
      </c>
      <c r="T378" s="12" t="s">
        <v>862</v>
      </c>
      <c r="U378" s="12" t="s">
        <v>863</v>
      </c>
      <c r="V378" s="12">
        <f>VLOOKUP(Tabla4[[#This Row],[ZONA DEFINITIVO]],Hoja1!$A$1:$D$121,3,0)</f>
        <v>229096</v>
      </c>
      <c r="W378" s="12">
        <f>VLOOKUP(Tabla4[[#This Row],[ZONA DEFINITIVO]],Hoja1!$A$1:$D$121,2,0)</f>
        <v>15355</v>
      </c>
      <c r="X378" s="12">
        <f>VLOOKUP(Tabla4[[#This Row],[ZONA DEFINITIVO]],Hoja1!$A$1:$D$121,4,0)</f>
        <v>87725</v>
      </c>
      <c r="Y378" s="12" t="str">
        <f>+IF(Tabla4[[#This Row],[AGRUPACIONES]]=1,SUMIFS(Tabla4[UDS],Tabla4[ZONA DEFINITIVO],Tabla4[[#This Row],[ZONA DEFINITIVO]])," ")</f>
        <v xml:space="preserve"> </v>
      </c>
      <c r="Z378" s="12" t="str">
        <f>+IF(Tabla4[[#This Row],[AGRUPACIONES]]=1,SUMIFS(Tabla4[TOTAL COBERTURA],Tabla4[ZONA DEFINITIVO],Tabla4[[#This Row],[ZONA DEFINITIVO]])," ")</f>
        <v xml:space="preserve"> </v>
      </c>
      <c r="AA378" s="12"/>
      <c r="AB378" s="38">
        <v>56685018</v>
      </c>
      <c r="AC378" s="37">
        <v>0.02</v>
      </c>
      <c r="AD378" s="38">
        <f t="shared" si="6"/>
        <v>1133700.3600000001</v>
      </c>
      <c r="AE378" s="12"/>
      <c r="AF378" s="12">
        <f>COUNTIF($A$20:A378,A378)</f>
        <v>20</v>
      </c>
      <c r="AG378" s="38">
        <v>56685018</v>
      </c>
      <c r="AH378" s="38">
        <f>Tabla4[[#This Row],[VALOR CONTRAPARTIDA]]+Tabla4[[#This Row],[TOTAL APORTES ICBF]]</f>
        <v>57818718.359999999</v>
      </c>
      <c r="AI378" s="35"/>
      <c r="AJ378" s="38"/>
      <c r="AK378" s="38"/>
      <c r="AL378" s="23"/>
      <c r="AM378" s="35">
        <f>VLOOKUP(Tabla4[[#This Row],[SERVICIO 2025]],$J$2:$V$14,5,0)*Tabla4[[#This Row],[TOTAL COBERTURA]]</f>
        <v>1283776</v>
      </c>
      <c r="AN378" s="35">
        <f>VLOOKUP(Tabla4[[#This Row],[SERVICIO 2025]],$J$2:$V$14,6,0)*Tabla4[[#This Row],[TOTAL COBERTURA]]</f>
        <v>1066754</v>
      </c>
      <c r="AO378" s="35">
        <f>VLOOKUP(Tabla4[[#This Row],[SERVICIO 2025]],$J$2:$V$14,8,0)*Tabla4[[#This Row],[TOTAL COBERTURA]]</f>
        <v>756600</v>
      </c>
      <c r="AP378" s="35">
        <f>VLOOKUP(Tabla4[[#This Row],[SERVICIO 2025]],$J$2:$V$14,3,0)*Tabla4[[#This Row],[TOTAL COBERTURA]]*8</f>
        <v>53577888</v>
      </c>
      <c r="AQ378" s="35"/>
      <c r="AR378" s="35">
        <f>Tabla4[[#This Row],[VALOR FASE PREPARATORIA DE ALISTAMIENTO]]+Tabla4[[#This Row],[VALOR FASE PREPARATORIA DE CIERRE]]+Tabla4[[#This Row],[DOTACIÓN ÚNICA]]+Tabla4[[#This Row],[VALOR ATENCIÓN]]+Tabla4[[#This Row],[VALOR RACION PREPARADA]]</f>
        <v>56685018</v>
      </c>
      <c r="AS378" s="35" t="str">
        <f>+IF(Tabla4[[#This Row],[AGRUPACIONES]]=1,SUMIFS(Tabla4[VALOR TOTAL],Tabla4[ZONA DEFINITIVO],Tabla4[[#This Row],[ZONA DEFINITIVO]])," ")</f>
        <v xml:space="preserve"> </v>
      </c>
      <c r="AT378" s="27">
        <f>(VLOOKUP(Tabla4[[#This Row],[SERVICIO 2025]],$J$2:$V$14,3,0)*Tabla4[[#This Row],[TOTAL COBERTURA]])+Tabla4[[#This Row],[VALOR FASE PREPARATORIA DE ALISTAMIENTO]]+Tabla4[[#This Row],[DOTACIÓN ÚNICA]]</f>
        <v>8737612</v>
      </c>
      <c r="AU378" s="35">
        <f>(VLOOKUP(Tabla4[[#This Row],[SERVICIO 2025]],$J$2:$V$14,3,0)*Tabla4[[#This Row],[TOTAL COBERTURA]])</f>
        <v>6697236</v>
      </c>
      <c r="AV378" s="35">
        <f>(VLOOKUP(Tabla4[[#This Row],[SERVICIO 2025]],$J$2:$V$14,3,0)*Tabla4[[#This Row],[TOTAL COBERTURA]])</f>
        <v>6697236</v>
      </c>
      <c r="AW378" s="35">
        <f>(VLOOKUP(Tabla4[[#This Row],[SERVICIO 2025]],$J$2:$V$14,3,0)*Tabla4[[#This Row],[TOTAL COBERTURA]])</f>
        <v>6697236</v>
      </c>
      <c r="AX378" s="35">
        <f>(VLOOKUP(Tabla4[[#This Row],[SERVICIO 2025]],$J$2:$V$14,3,0)*Tabla4[[#This Row],[TOTAL COBERTURA]])</f>
        <v>6697236</v>
      </c>
      <c r="AY378" s="35">
        <f>(VLOOKUP(Tabla4[[#This Row],[SERVICIO 2025]],$J$2:$V$14,3,0)*Tabla4[[#This Row],[TOTAL COBERTURA]])</f>
        <v>6697236</v>
      </c>
      <c r="AZ378" s="35">
        <f>(VLOOKUP(Tabla4[[#This Row],[SERVICIO 2025]],$J$2:$V$14,3,0)*Tabla4[[#This Row],[TOTAL COBERTURA]])</f>
        <v>6697236</v>
      </c>
      <c r="BA378" s="35">
        <f>(VLOOKUP(Tabla4[[#This Row],[SERVICIO 2025]],$J$2:$V$14,3,0)*Tabla4[[#This Row],[TOTAL COBERTURA]])+Tabla4[[#This Row],[VALOR FASE PREPARATORIA DE CIERRE]]</f>
        <v>7763990</v>
      </c>
      <c r="BB378" s="35">
        <f>SUM(Tabla4[[#This Row],[DESEMBOLSO 1]:[DESEMBOLSO 8]])</f>
        <v>56685018</v>
      </c>
      <c r="BC378" s="35">
        <f>VLOOKUP(Tabla4[[#This Row],[SERVICIO 2025]],$J$2:$V$14,10,0)*Tabla4[[#This Row],[TOTAL COBERTURA]]*$W$3</f>
        <v>37519664</v>
      </c>
      <c r="BD378" s="47" t="s">
        <v>211</v>
      </c>
      <c r="BE378" s="12" t="b">
        <f>EXACT(Tabla4[[#This Row],[VALOR ATENCIÓN (8 MESES)]],Tabla4[[#This Row],[VALOR TOTAL]])</f>
        <v>1</v>
      </c>
      <c r="BF378" s="23">
        <f>Tabla4[[#This Row],[VALOR ATENCIÓN (8 MESES)]]-Tabla4[[#This Row],[VALOR TOTAL]]</f>
        <v>0</v>
      </c>
      <c r="BG378" s="12" t="b">
        <f>EXACT(Tabla4[[#This Row],[TOTAL DESEMBOLSOS]],Tabla4[[#This Row],[VALOR ATENCIÓN (8 MESES)]])</f>
        <v>1</v>
      </c>
      <c r="BH378" s="29">
        <f>Tabla4[[#This Row],[TOTAL DESEMBOLSOS]]-Tabla4[[#This Row],[VALOR ATENCIÓN (8 MESES)]]</f>
        <v>0</v>
      </c>
      <c r="BI378" t="s">
        <v>98</v>
      </c>
      <c r="BJ378">
        <v>1917</v>
      </c>
    </row>
    <row r="379" spans="1:62">
      <c r="A379" s="13">
        <v>1917</v>
      </c>
      <c r="B379" s="13" t="s">
        <v>859</v>
      </c>
      <c r="C379" s="12" t="s">
        <v>87</v>
      </c>
      <c r="D379" s="12" t="s">
        <v>462</v>
      </c>
      <c r="E379" s="12" t="s">
        <v>848</v>
      </c>
      <c r="F379" s="12" t="s">
        <v>18</v>
      </c>
      <c r="G379" s="12" t="s">
        <v>90</v>
      </c>
      <c r="H379" s="12" t="s">
        <v>901</v>
      </c>
      <c r="I379" s="12">
        <v>50511150328</v>
      </c>
      <c r="J379" s="12" t="s">
        <v>902</v>
      </c>
      <c r="K379" s="12">
        <v>1</v>
      </c>
      <c r="L379" s="12">
        <v>27</v>
      </c>
      <c r="M379" s="12"/>
      <c r="N379" s="13">
        <v>1917</v>
      </c>
      <c r="O379" s="12" t="s">
        <v>93</v>
      </c>
      <c r="P379" s="12"/>
      <c r="Q379" s="12"/>
      <c r="R379" s="12" t="s">
        <v>94</v>
      </c>
      <c r="S379" s="12">
        <v>10</v>
      </c>
      <c r="T379" s="12" t="s">
        <v>862</v>
      </c>
      <c r="U379" s="12" t="s">
        <v>863</v>
      </c>
      <c r="V379" s="12">
        <f>VLOOKUP(Tabla4[[#This Row],[ZONA DEFINITIVO]],Hoja1!$A$1:$D$121,3,0)</f>
        <v>229096</v>
      </c>
      <c r="W379" s="12">
        <f>VLOOKUP(Tabla4[[#This Row],[ZONA DEFINITIVO]],Hoja1!$A$1:$D$121,2,0)</f>
        <v>15355</v>
      </c>
      <c r="X379" s="12">
        <f>VLOOKUP(Tabla4[[#This Row],[ZONA DEFINITIVO]],Hoja1!$A$1:$D$121,4,0)</f>
        <v>87725</v>
      </c>
      <c r="Y379" s="12" t="str">
        <f>+IF(Tabla4[[#This Row],[AGRUPACIONES]]=1,SUMIFS(Tabla4[UDS],Tabla4[ZONA DEFINITIVO],Tabla4[[#This Row],[ZONA DEFINITIVO]])," ")</f>
        <v xml:space="preserve"> </v>
      </c>
      <c r="Z379" s="12" t="str">
        <f>+IF(Tabla4[[#This Row],[AGRUPACIONES]]=1,SUMIFS(Tabla4[TOTAL COBERTURA],Tabla4[ZONA DEFINITIVO],Tabla4[[#This Row],[ZONA DEFINITIVO]])," ")</f>
        <v xml:space="preserve"> </v>
      </c>
      <c r="AA379" s="12"/>
      <c r="AB379" s="38">
        <v>58865211</v>
      </c>
      <c r="AC379" s="37">
        <v>0.02</v>
      </c>
      <c r="AD379" s="38">
        <f t="shared" si="6"/>
        <v>1177304.22</v>
      </c>
      <c r="AE379" s="12"/>
      <c r="AF379" s="12">
        <f>COUNTIF($A$20:A379,A379)</f>
        <v>21</v>
      </c>
      <c r="AG379" s="38">
        <v>58865211</v>
      </c>
      <c r="AH379" s="38">
        <f>Tabla4[[#This Row],[VALOR CONTRAPARTIDA]]+Tabla4[[#This Row],[TOTAL APORTES ICBF]]</f>
        <v>60042515.219999999</v>
      </c>
      <c r="AI379" s="35"/>
      <c r="AJ379" s="38"/>
      <c r="AK379" s="38"/>
      <c r="AL379" s="23"/>
      <c r="AM379" s="35">
        <f>VLOOKUP(Tabla4[[#This Row],[SERVICIO 2025]],$J$2:$V$14,5,0)*Tabla4[[#This Row],[TOTAL COBERTURA]]</f>
        <v>1333152</v>
      </c>
      <c r="AN379" s="35">
        <f>VLOOKUP(Tabla4[[#This Row],[SERVICIO 2025]],$J$2:$V$14,6,0)*Tabla4[[#This Row],[TOTAL COBERTURA]]</f>
        <v>1107783</v>
      </c>
      <c r="AO379" s="35">
        <f>VLOOKUP(Tabla4[[#This Row],[SERVICIO 2025]],$J$2:$V$14,8,0)*Tabla4[[#This Row],[TOTAL COBERTURA]]</f>
        <v>785700</v>
      </c>
      <c r="AP379" s="35">
        <f>VLOOKUP(Tabla4[[#This Row],[SERVICIO 2025]],$J$2:$V$14,3,0)*Tabla4[[#This Row],[TOTAL COBERTURA]]*8</f>
        <v>55638576</v>
      </c>
      <c r="AQ379" s="35"/>
      <c r="AR379" s="35">
        <f>Tabla4[[#This Row],[VALOR FASE PREPARATORIA DE ALISTAMIENTO]]+Tabla4[[#This Row],[VALOR FASE PREPARATORIA DE CIERRE]]+Tabla4[[#This Row],[DOTACIÓN ÚNICA]]+Tabla4[[#This Row],[VALOR ATENCIÓN]]+Tabla4[[#This Row],[VALOR RACION PREPARADA]]</f>
        <v>58865211</v>
      </c>
      <c r="AS379" s="35" t="str">
        <f>+IF(Tabla4[[#This Row],[AGRUPACIONES]]=1,SUMIFS(Tabla4[VALOR TOTAL],Tabla4[ZONA DEFINITIVO],Tabla4[[#This Row],[ZONA DEFINITIVO]])," ")</f>
        <v xml:space="preserve"> </v>
      </c>
      <c r="AT379" s="27">
        <f>(VLOOKUP(Tabla4[[#This Row],[SERVICIO 2025]],$J$2:$V$14,3,0)*Tabla4[[#This Row],[TOTAL COBERTURA]])+Tabla4[[#This Row],[VALOR FASE PREPARATORIA DE ALISTAMIENTO]]+Tabla4[[#This Row],[DOTACIÓN ÚNICA]]</f>
        <v>9073674</v>
      </c>
      <c r="AU379" s="35">
        <f>(VLOOKUP(Tabla4[[#This Row],[SERVICIO 2025]],$J$2:$V$14,3,0)*Tabla4[[#This Row],[TOTAL COBERTURA]])</f>
        <v>6954822</v>
      </c>
      <c r="AV379" s="35">
        <f>(VLOOKUP(Tabla4[[#This Row],[SERVICIO 2025]],$J$2:$V$14,3,0)*Tabla4[[#This Row],[TOTAL COBERTURA]])</f>
        <v>6954822</v>
      </c>
      <c r="AW379" s="35">
        <f>(VLOOKUP(Tabla4[[#This Row],[SERVICIO 2025]],$J$2:$V$14,3,0)*Tabla4[[#This Row],[TOTAL COBERTURA]])</f>
        <v>6954822</v>
      </c>
      <c r="AX379" s="35">
        <f>(VLOOKUP(Tabla4[[#This Row],[SERVICIO 2025]],$J$2:$V$14,3,0)*Tabla4[[#This Row],[TOTAL COBERTURA]])</f>
        <v>6954822</v>
      </c>
      <c r="AY379" s="35">
        <f>(VLOOKUP(Tabla4[[#This Row],[SERVICIO 2025]],$J$2:$V$14,3,0)*Tabla4[[#This Row],[TOTAL COBERTURA]])</f>
        <v>6954822</v>
      </c>
      <c r="AZ379" s="35">
        <f>(VLOOKUP(Tabla4[[#This Row],[SERVICIO 2025]],$J$2:$V$14,3,0)*Tabla4[[#This Row],[TOTAL COBERTURA]])</f>
        <v>6954822</v>
      </c>
      <c r="BA379" s="35">
        <f>(VLOOKUP(Tabla4[[#This Row],[SERVICIO 2025]],$J$2:$V$14,3,0)*Tabla4[[#This Row],[TOTAL COBERTURA]])+Tabla4[[#This Row],[VALOR FASE PREPARATORIA DE CIERRE]]</f>
        <v>8062605</v>
      </c>
      <c r="BB379" s="35">
        <f>SUM(Tabla4[[#This Row],[DESEMBOLSO 1]:[DESEMBOLSO 8]])</f>
        <v>58865211</v>
      </c>
      <c r="BC379" s="35">
        <f>VLOOKUP(Tabla4[[#This Row],[SERVICIO 2025]],$J$2:$V$14,10,0)*Tabla4[[#This Row],[TOTAL COBERTURA]]*$W$3</f>
        <v>38962728</v>
      </c>
      <c r="BD379" s="47" t="s">
        <v>211</v>
      </c>
      <c r="BE379" s="12" t="b">
        <f>EXACT(Tabla4[[#This Row],[VALOR ATENCIÓN (8 MESES)]],Tabla4[[#This Row],[VALOR TOTAL]])</f>
        <v>1</v>
      </c>
      <c r="BF379" s="23">
        <f>Tabla4[[#This Row],[VALOR ATENCIÓN (8 MESES)]]-Tabla4[[#This Row],[VALOR TOTAL]]</f>
        <v>0</v>
      </c>
      <c r="BG379" s="12" t="b">
        <f>EXACT(Tabla4[[#This Row],[TOTAL DESEMBOLSOS]],Tabla4[[#This Row],[VALOR ATENCIÓN (8 MESES)]])</f>
        <v>1</v>
      </c>
      <c r="BH379" s="29">
        <f>Tabla4[[#This Row],[TOTAL DESEMBOLSOS]]-Tabla4[[#This Row],[VALOR ATENCIÓN (8 MESES)]]</f>
        <v>0</v>
      </c>
      <c r="BI379" t="s">
        <v>98</v>
      </c>
      <c r="BJ379">
        <v>1917</v>
      </c>
    </row>
    <row r="380" spans="1:62">
      <c r="A380" s="13">
        <v>1917</v>
      </c>
      <c r="B380" s="13" t="s">
        <v>859</v>
      </c>
      <c r="C380" s="12" t="s">
        <v>87</v>
      </c>
      <c r="D380" s="12" t="s">
        <v>462</v>
      </c>
      <c r="E380" s="12" t="s">
        <v>848</v>
      </c>
      <c r="F380" s="12" t="s">
        <v>18</v>
      </c>
      <c r="G380" s="12" t="s">
        <v>90</v>
      </c>
      <c r="H380" s="12" t="s">
        <v>903</v>
      </c>
      <c r="I380" s="12">
        <v>50511150329</v>
      </c>
      <c r="J380" s="12" t="s">
        <v>904</v>
      </c>
      <c r="K380" s="12">
        <v>1</v>
      </c>
      <c r="L380" s="12">
        <v>50</v>
      </c>
      <c r="M380" s="12"/>
      <c r="N380" s="13">
        <v>1917</v>
      </c>
      <c r="O380" s="12" t="s">
        <v>93</v>
      </c>
      <c r="P380" s="12"/>
      <c r="Q380" s="12"/>
      <c r="R380" s="12" t="s">
        <v>94</v>
      </c>
      <c r="S380" s="12">
        <v>10</v>
      </c>
      <c r="T380" s="12" t="s">
        <v>862</v>
      </c>
      <c r="U380" s="12" t="s">
        <v>863</v>
      </c>
      <c r="V380" s="12">
        <f>VLOOKUP(Tabla4[[#This Row],[ZONA DEFINITIVO]],Hoja1!$A$1:$D$121,3,0)</f>
        <v>229096</v>
      </c>
      <c r="W380" s="12">
        <f>VLOOKUP(Tabla4[[#This Row],[ZONA DEFINITIVO]],Hoja1!$A$1:$D$121,2,0)</f>
        <v>15355</v>
      </c>
      <c r="X380" s="12">
        <f>VLOOKUP(Tabla4[[#This Row],[ZONA DEFINITIVO]],Hoja1!$A$1:$D$121,4,0)</f>
        <v>87725</v>
      </c>
      <c r="Y380" s="12" t="str">
        <f>+IF(Tabla4[[#This Row],[AGRUPACIONES]]=1,SUMIFS(Tabla4[UDS],Tabla4[ZONA DEFINITIVO],Tabla4[[#This Row],[ZONA DEFINITIVO]])," ")</f>
        <v xml:space="preserve"> </v>
      </c>
      <c r="Z380" s="12" t="str">
        <f>+IF(Tabla4[[#This Row],[AGRUPACIONES]]=1,SUMIFS(Tabla4[TOTAL COBERTURA],Tabla4[ZONA DEFINITIVO],Tabla4[[#This Row],[ZONA DEFINITIVO]])," ")</f>
        <v xml:space="preserve"> </v>
      </c>
      <c r="AA380" s="12"/>
      <c r="AB380" s="38">
        <v>109009650</v>
      </c>
      <c r="AC380" s="37">
        <v>0.02</v>
      </c>
      <c r="AD380" s="38">
        <f t="shared" si="6"/>
        <v>2180193</v>
      </c>
      <c r="AE380" s="12"/>
      <c r="AF380" s="12">
        <f>COUNTIF($A$20:A380,A380)</f>
        <v>22</v>
      </c>
      <c r="AG380" s="38">
        <v>109009650</v>
      </c>
      <c r="AH380" s="38">
        <f>Tabla4[[#This Row],[VALOR CONTRAPARTIDA]]+Tabla4[[#This Row],[TOTAL APORTES ICBF]]</f>
        <v>111189843</v>
      </c>
      <c r="AI380" s="35"/>
      <c r="AJ380" s="38"/>
      <c r="AK380" s="38"/>
      <c r="AL380" s="23"/>
      <c r="AM380" s="35">
        <f>VLOOKUP(Tabla4[[#This Row],[SERVICIO 2025]],$J$2:$V$14,5,0)*Tabla4[[#This Row],[TOTAL COBERTURA]]</f>
        <v>2468800</v>
      </c>
      <c r="AN380" s="35">
        <f>VLOOKUP(Tabla4[[#This Row],[SERVICIO 2025]],$J$2:$V$14,6,0)*Tabla4[[#This Row],[TOTAL COBERTURA]]</f>
        <v>2051450</v>
      </c>
      <c r="AO380" s="35">
        <f>VLOOKUP(Tabla4[[#This Row],[SERVICIO 2025]],$J$2:$V$14,8,0)*Tabla4[[#This Row],[TOTAL COBERTURA]]</f>
        <v>1455000</v>
      </c>
      <c r="AP380" s="35">
        <f>VLOOKUP(Tabla4[[#This Row],[SERVICIO 2025]],$J$2:$V$14,3,0)*Tabla4[[#This Row],[TOTAL COBERTURA]]*8</f>
        <v>103034400</v>
      </c>
      <c r="AQ380" s="35"/>
      <c r="AR380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380" s="35" t="str">
        <f>+IF(Tabla4[[#This Row],[AGRUPACIONES]]=1,SUMIFS(Tabla4[VALOR TOTAL],Tabla4[ZONA DEFINITIVO],Tabla4[[#This Row],[ZONA DEFINITIVO]])," ")</f>
        <v xml:space="preserve"> </v>
      </c>
      <c r="AT380" s="27">
        <f>(VLOOKUP(Tabla4[[#This Row],[SERVICIO 2025]],$J$2:$V$14,3,0)*Tabla4[[#This Row],[TOTAL COBERTURA]])+Tabla4[[#This Row],[VALOR FASE PREPARATORIA DE ALISTAMIENTO]]+Tabla4[[#This Row],[DOTACIÓN ÚNICA]]</f>
        <v>16803100</v>
      </c>
      <c r="AU380" s="35">
        <f>(VLOOKUP(Tabla4[[#This Row],[SERVICIO 2025]],$J$2:$V$14,3,0)*Tabla4[[#This Row],[TOTAL COBERTURA]])</f>
        <v>12879300</v>
      </c>
      <c r="AV380" s="35">
        <f>(VLOOKUP(Tabla4[[#This Row],[SERVICIO 2025]],$J$2:$V$14,3,0)*Tabla4[[#This Row],[TOTAL COBERTURA]])</f>
        <v>12879300</v>
      </c>
      <c r="AW380" s="35">
        <f>(VLOOKUP(Tabla4[[#This Row],[SERVICIO 2025]],$J$2:$V$14,3,0)*Tabla4[[#This Row],[TOTAL COBERTURA]])</f>
        <v>12879300</v>
      </c>
      <c r="AX380" s="35">
        <f>(VLOOKUP(Tabla4[[#This Row],[SERVICIO 2025]],$J$2:$V$14,3,0)*Tabla4[[#This Row],[TOTAL COBERTURA]])</f>
        <v>12879300</v>
      </c>
      <c r="AY380" s="35">
        <f>(VLOOKUP(Tabla4[[#This Row],[SERVICIO 2025]],$J$2:$V$14,3,0)*Tabla4[[#This Row],[TOTAL COBERTURA]])</f>
        <v>12879300</v>
      </c>
      <c r="AZ380" s="35">
        <f>(VLOOKUP(Tabla4[[#This Row],[SERVICIO 2025]],$J$2:$V$14,3,0)*Tabla4[[#This Row],[TOTAL COBERTURA]])</f>
        <v>12879300</v>
      </c>
      <c r="BA380" s="35">
        <f>(VLOOKUP(Tabla4[[#This Row],[SERVICIO 2025]],$J$2:$V$14,3,0)*Tabla4[[#This Row],[TOTAL COBERTURA]])+Tabla4[[#This Row],[VALOR FASE PREPARATORIA DE CIERRE]]</f>
        <v>14930750</v>
      </c>
      <c r="BB380" s="35">
        <f>SUM(Tabla4[[#This Row],[DESEMBOLSO 1]:[DESEMBOLSO 8]])</f>
        <v>109009650</v>
      </c>
      <c r="BC380" s="35">
        <f>VLOOKUP(Tabla4[[#This Row],[SERVICIO 2025]],$J$2:$V$14,10,0)*Tabla4[[#This Row],[TOTAL COBERTURA]]*$W$3</f>
        <v>72153200</v>
      </c>
      <c r="BD380" s="47" t="s">
        <v>211</v>
      </c>
      <c r="BE380" s="12" t="b">
        <f>EXACT(Tabla4[[#This Row],[VALOR ATENCIÓN (8 MESES)]],Tabla4[[#This Row],[VALOR TOTAL]])</f>
        <v>1</v>
      </c>
      <c r="BF380" s="23">
        <f>Tabla4[[#This Row],[VALOR ATENCIÓN (8 MESES)]]-Tabla4[[#This Row],[VALOR TOTAL]]</f>
        <v>0</v>
      </c>
      <c r="BG380" s="12" t="b">
        <f>EXACT(Tabla4[[#This Row],[TOTAL DESEMBOLSOS]],Tabla4[[#This Row],[VALOR ATENCIÓN (8 MESES)]])</f>
        <v>1</v>
      </c>
      <c r="BH380" s="29">
        <f>Tabla4[[#This Row],[TOTAL DESEMBOLSOS]]-Tabla4[[#This Row],[VALOR ATENCIÓN (8 MESES)]]</f>
        <v>0</v>
      </c>
      <c r="BI380" t="s">
        <v>98</v>
      </c>
      <c r="BJ380">
        <v>1917</v>
      </c>
    </row>
    <row r="381" spans="1:62">
      <c r="A381" s="13">
        <v>1917</v>
      </c>
      <c r="B381" s="13" t="s">
        <v>859</v>
      </c>
      <c r="C381" s="12" t="s">
        <v>87</v>
      </c>
      <c r="D381" s="12" t="s">
        <v>462</v>
      </c>
      <c r="E381" s="12" t="s">
        <v>848</v>
      </c>
      <c r="F381" s="12" t="s">
        <v>18</v>
      </c>
      <c r="G381" s="12" t="s">
        <v>90</v>
      </c>
      <c r="H381" s="12" t="s">
        <v>905</v>
      </c>
      <c r="I381" s="12">
        <v>50511150331</v>
      </c>
      <c r="J381" s="12" t="s">
        <v>906</v>
      </c>
      <c r="K381" s="12">
        <v>1</v>
      </c>
      <c r="L381" s="12">
        <v>50</v>
      </c>
      <c r="M381" s="12"/>
      <c r="N381" s="13">
        <v>1917</v>
      </c>
      <c r="O381" s="12" t="s">
        <v>93</v>
      </c>
      <c r="P381" s="12"/>
      <c r="Q381" s="12"/>
      <c r="R381" s="12" t="s">
        <v>94</v>
      </c>
      <c r="S381" s="12">
        <v>10</v>
      </c>
      <c r="T381" s="12" t="s">
        <v>862</v>
      </c>
      <c r="U381" s="12" t="s">
        <v>863</v>
      </c>
      <c r="V381" s="12">
        <f>VLOOKUP(Tabla4[[#This Row],[ZONA DEFINITIVO]],Hoja1!$A$1:$D$121,3,0)</f>
        <v>229096</v>
      </c>
      <c r="W381" s="12">
        <f>VLOOKUP(Tabla4[[#This Row],[ZONA DEFINITIVO]],Hoja1!$A$1:$D$121,2,0)</f>
        <v>15355</v>
      </c>
      <c r="X381" s="12">
        <f>VLOOKUP(Tabla4[[#This Row],[ZONA DEFINITIVO]],Hoja1!$A$1:$D$121,4,0)</f>
        <v>87725</v>
      </c>
      <c r="Y381" s="12" t="str">
        <f>+IF(Tabla4[[#This Row],[AGRUPACIONES]]=1,SUMIFS(Tabla4[UDS],Tabla4[ZONA DEFINITIVO],Tabla4[[#This Row],[ZONA DEFINITIVO]])," ")</f>
        <v xml:space="preserve"> </v>
      </c>
      <c r="Z381" s="12" t="str">
        <f>+IF(Tabla4[[#This Row],[AGRUPACIONES]]=1,SUMIFS(Tabla4[TOTAL COBERTURA],Tabla4[ZONA DEFINITIVO],Tabla4[[#This Row],[ZONA DEFINITIVO]])," ")</f>
        <v xml:space="preserve"> </v>
      </c>
      <c r="AA381" s="12"/>
      <c r="AB381" s="38">
        <v>109009650</v>
      </c>
      <c r="AC381" s="37">
        <v>0.02</v>
      </c>
      <c r="AD381" s="38">
        <f t="shared" si="6"/>
        <v>2180193</v>
      </c>
      <c r="AE381" s="12"/>
      <c r="AF381" s="12">
        <f>COUNTIF($A$20:A381,A381)</f>
        <v>23</v>
      </c>
      <c r="AG381" s="38">
        <v>109009650</v>
      </c>
      <c r="AH381" s="38">
        <f>Tabla4[[#This Row],[VALOR CONTRAPARTIDA]]+Tabla4[[#This Row],[TOTAL APORTES ICBF]]</f>
        <v>111189843</v>
      </c>
      <c r="AI381" s="35"/>
      <c r="AJ381" s="38"/>
      <c r="AK381" s="38"/>
      <c r="AL381" s="23"/>
      <c r="AM381" s="35">
        <f>VLOOKUP(Tabla4[[#This Row],[SERVICIO 2025]],$J$2:$V$14,5,0)*Tabla4[[#This Row],[TOTAL COBERTURA]]</f>
        <v>2468800</v>
      </c>
      <c r="AN381" s="35">
        <f>VLOOKUP(Tabla4[[#This Row],[SERVICIO 2025]],$J$2:$V$14,6,0)*Tabla4[[#This Row],[TOTAL COBERTURA]]</f>
        <v>2051450</v>
      </c>
      <c r="AO381" s="35">
        <f>VLOOKUP(Tabla4[[#This Row],[SERVICIO 2025]],$J$2:$V$14,8,0)*Tabla4[[#This Row],[TOTAL COBERTURA]]</f>
        <v>1455000</v>
      </c>
      <c r="AP381" s="35">
        <f>VLOOKUP(Tabla4[[#This Row],[SERVICIO 2025]],$J$2:$V$14,3,0)*Tabla4[[#This Row],[TOTAL COBERTURA]]*8</f>
        <v>103034400</v>
      </c>
      <c r="AQ381" s="35"/>
      <c r="AR381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381" s="35" t="str">
        <f>+IF(Tabla4[[#This Row],[AGRUPACIONES]]=1,SUMIFS(Tabla4[VALOR TOTAL],Tabla4[ZONA DEFINITIVO],Tabla4[[#This Row],[ZONA DEFINITIVO]])," ")</f>
        <v xml:space="preserve"> </v>
      </c>
      <c r="AT381" s="27">
        <f>(VLOOKUP(Tabla4[[#This Row],[SERVICIO 2025]],$J$2:$V$14,3,0)*Tabla4[[#This Row],[TOTAL COBERTURA]])+Tabla4[[#This Row],[VALOR FASE PREPARATORIA DE ALISTAMIENTO]]+Tabla4[[#This Row],[DOTACIÓN ÚNICA]]</f>
        <v>16803100</v>
      </c>
      <c r="AU381" s="35">
        <f>(VLOOKUP(Tabla4[[#This Row],[SERVICIO 2025]],$J$2:$V$14,3,0)*Tabla4[[#This Row],[TOTAL COBERTURA]])</f>
        <v>12879300</v>
      </c>
      <c r="AV381" s="35">
        <f>(VLOOKUP(Tabla4[[#This Row],[SERVICIO 2025]],$J$2:$V$14,3,0)*Tabla4[[#This Row],[TOTAL COBERTURA]])</f>
        <v>12879300</v>
      </c>
      <c r="AW381" s="35">
        <f>(VLOOKUP(Tabla4[[#This Row],[SERVICIO 2025]],$J$2:$V$14,3,0)*Tabla4[[#This Row],[TOTAL COBERTURA]])</f>
        <v>12879300</v>
      </c>
      <c r="AX381" s="35">
        <f>(VLOOKUP(Tabla4[[#This Row],[SERVICIO 2025]],$J$2:$V$14,3,0)*Tabla4[[#This Row],[TOTAL COBERTURA]])</f>
        <v>12879300</v>
      </c>
      <c r="AY381" s="35">
        <f>(VLOOKUP(Tabla4[[#This Row],[SERVICIO 2025]],$J$2:$V$14,3,0)*Tabla4[[#This Row],[TOTAL COBERTURA]])</f>
        <v>12879300</v>
      </c>
      <c r="AZ381" s="35">
        <f>(VLOOKUP(Tabla4[[#This Row],[SERVICIO 2025]],$J$2:$V$14,3,0)*Tabla4[[#This Row],[TOTAL COBERTURA]])</f>
        <v>12879300</v>
      </c>
      <c r="BA381" s="35">
        <f>(VLOOKUP(Tabla4[[#This Row],[SERVICIO 2025]],$J$2:$V$14,3,0)*Tabla4[[#This Row],[TOTAL COBERTURA]])+Tabla4[[#This Row],[VALOR FASE PREPARATORIA DE CIERRE]]</f>
        <v>14930750</v>
      </c>
      <c r="BB381" s="35">
        <f>SUM(Tabla4[[#This Row],[DESEMBOLSO 1]:[DESEMBOLSO 8]])</f>
        <v>109009650</v>
      </c>
      <c r="BC381" s="35">
        <f>VLOOKUP(Tabla4[[#This Row],[SERVICIO 2025]],$J$2:$V$14,10,0)*Tabla4[[#This Row],[TOTAL COBERTURA]]*$W$3</f>
        <v>72153200</v>
      </c>
      <c r="BD381" s="47" t="s">
        <v>211</v>
      </c>
      <c r="BE381" s="12" t="b">
        <f>EXACT(Tabla4[[#This Row],[VALOR ATENCIÓN (8 MESES)]],Tabla4[[#This Row],[VALOR TOTAL]])</f>
        <v>1</v>
      </c>
      <c r="BF381" s="23">
        <f>Tabla4[[#This Row],[VALOR ATENCIÓN (8 MESES)]]-Tabla4[[#This Row],[VALOR TOTAL]]</f>
        <v>0</v>
      </c>
      <c r="BG381" s="12" t="b">
        <f>EXACT(Tabla4[[#This Row],[TOTAL DESEMBOLSOS]],Tabla4[[#This Row],[VALOR ATENCIÓN (8 MESES)]])</f>
        <v>1</v>
      </c>
      <c r="BH381" s="29">
        <f>Tabla4[[#This Row],[TOTAL DESEMBOLSOS]]-Tabla4[[#This Row],[VALOR ATENCIÓN (8 MESES)]]</f>
        <v>0</v>
      </c>
      <c r="BI381" t="s">
        <v>98</v>
      </c>
      <c r="BJ381">
        <v>1917</v>
      </c>
    </row>
    <row r="382" spans="1:62">
      <c r="A382" s="13">
        <v>1917</v>
      </c>
      <c r="B382" s="13" t="s">
        <v>859</v>
      </c>
      <c r="C382" s="12" t="s">
        <v>87</v>
      </c>
      <c r="D382" s="12" t="s">
        <v>462</v>
      </c>
      <c r="E382" s="12" t="s">
        <v>848</v>
      </c>
      <c r="F382" s="12" t="s">
        <v>18</v>
      </c>
      <c r="G382" s="12" t="s">
        <v>90</v>
      </c>
      <c r="H382" s="12" t="s">
        <v>907</v>
      </c>
      <c r="I382" s="12">
        <v>50511150332</v>
      </c>
      <c r="J382" s="12" t="s">
        <v>908</v>
      </c>
      <c r="K382" s="12">
        <v>1</v>
      </c>
      <c r="L382" s="12">
        <v>16</v>
      </c>
      <c r="M382" s="12"/>
      <c r="N382" s="13">
        <v>1917</v>
      </c>
      <c r="O382" s="12" t="s">
        <v>93</v>
      </c>
      <c r="P382" s="12"/>
      <c r="Q382" s="12"/>
      <c r="R382" s="12" t="s">
        <v>94</v>
      </c>
      <c r="S382" s="12">
        <v>10</v>
      </c>
      <c r="T382" s="12" t="s">
        <v>862</v>
      </c>
      <c r="U382" s="12" t="s">
        <v>863</v>
      </c>
      <c r="V382" s="12">
        <f>VLOOKUP(Tabla4[[#This Row],[ZONA DEFINITIVO]],Hoja1!$A$1:$D$121,3,0)</f>
        <v>229096</v>
      </c>
      <c r="W382" s="12">
        <f>VLOOKUP(Tabla4[[#This Row],[ZONA DEFINITIVO]],Hoja1!$A$1:$D$121,2,0)</f>
        <v>15355</v>
      </c>
      <c r="X382" s="12">
        <f>VLOOKUP(Tabla4[[#This Row],[ZONA DEFINITIVO]],Hoja1!$A$1:$D$121,4,0)</f>
        <v>87725</v>
      </c>
      <c r="Y382" s="12" t="str">
        <f>+IF(Tabla4[[#This Row],[AGRUPACIONES]]=1,SUMIFS(Tabla4[UDS],Tabla4[ZONA DEFINITIVO],Tabla4[[#This Row],[ZONA DEFINITIVO]])," ")</f>
        <v xml:space="preserve"> </v>
      </c>
      <c r="Z382" s="12" t="str">
        <f>+IF(Tabla4[[#This Row],[AGRUPACIONES]]=1,SUMIFS(Tabla4[TOTAL COBERTURA],Tabla4[ZONA DEFINITIVO],Tabla4[[#This Row],[ZONA DEFINITIVO]])," ")</f>
        <v xml:space="preserve"> </v>
      </c>
      <c r="AA382" s="12"/>
      <c r="AB382" s="38">
        <v>34883088</v>
      </c>
      <c r="AC382" s="37">
        <v>0.02</v>
      </c>
      <c r="AD382" s="38">
        <f t="shared" si="6"/>
        <v>697661.76</v>
      </c>
      <c r="AE382" s="12"/>
      <c r="AF382" s="12">
        <f>COUNTIF($A$20:A382,A382)</f>
        <v>24</v>
      </c>
      <c r="AG382" s="38">
        <v>34883088</v>
      </c>
      <c r="AH382" s="38">
        <f>Tabla4[[#This Row],[VALOR CONTRAPARTIDA]]+Tabla4[[#This Row],[TOTAL APORTES ICBF]]</f>
        <v>35580749.759999998</v>
      </c>
      <c r="AI382" s="35"/>
      <c r="AJ382" s="38"/>
      <c r="AK382" s="38"/>
      <c r="AL382" s="23"/>
      <c r="AM382" s="35">
        <f>VLOOKUP(Tabla4[[#This Row],[SERVICIO 2025]],$J$2:$V$14,5,0)*Tabla4[[#This Row],[TOTAL COBERTURA]]</f>
        <v>790016</v>
      </c>
      <c r="AN382" s="35">
        <f>VLOOKUP(Tabla4[[#This Row],[SERVICIO 2025]],$J$2:$V$14,6,0)*Tabla4[[#This Row],[TOTAL COBERTURA]]</f>
        <v>656464</v>
      </c>
      <c r="AO382" s="35">
        <f>VLOOKUP(Tabla4[[#This Row],[SERVICIO 2025]],$J$2:$V$14,8,0)*Tabla4[[#This Row],[TOTAL COBERTURA]]</f>
        <v>465600</v>
      </c>
      <c r="AP382" s="35">
        <f>VLOOKUP(Tabla4[[#This Row],[SERVICIO 2025]],$J$2:$V$14,3,0)*Tabla4[[#This Row],[TOTAL COBERTURA]]*8</f>
        <v>32971008</v>
      </c>
      <c r="AQ382" s="35"/>
      <c r="AR382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382" s="35" t="str">
        <f>+IF(Tabla4[[#This Row],[AGRUPACIONES]]=1,SUMIFS(Tabla4[VALOR TOTAL],Tabla4[ZONA DEFINITIVO],Tabla4[[#This Row],[ZONA DEFINITIVO]])," ")</f>
        <v xml:space="preserve"> </v>
      </c>
      <c r="AT382" s="27">
        <f>(VLOOKUP(Tabla4[[#This Row],[SERVICIO 2025]],$J$2:$V$14,3,0)*Tabla4[[#This Row],[TOTAL COBERTURA]])+Tabla4[[#This Row],[VALOR FASE PREPARATORIA DE ALISTAMIENTO]]+Tabla4[[#This Row],[DOTACIÓN ÚNICA]]</f>
        <v>5376992</v>
      </c>
      <c r="AU382" s="35">
        <f>(VLOOKUP(Tabla4[[#This Row],[SERVICIO 2025]],$J$2:$V$14,3,0)*Tabla4[[#This Row],[TOTAL COBERTURA]])</f>
        <v>4121376</v>
      </c>
      <c r="AV382" s="35">
        <f>(VLOOKUP(Tabla4[[#This Row],[SERVICIO 2025]],$J$2:$V$14,3,0)*Tabla4[[#This Row],[TOTAL COBERTURA]])</f>
        <v>4121376</v>
      </c>
      <c r="AW382" s="35">
        <f>(VLOOKUP(Tabla4[[#This Row],[SERVICIO 2025]],$J$2:$V$14,3,0)*Tabla4[[#This Row],[TOTAL COBERTURA]])</f>
        <v>4121376</v>
      </c>
      <c r="AX382" s="35">
        <f>(VLOOKUP(Tabla4[[#This Row],[SERVICIO 2025]],$J$2:$V$14,3,0)*Tabla4[[#This Row],[TOTAL COBERTURA]])</f>
        <v>4121376</v>
      </c>
      <c r="AY382" s="35">
        <f>(VLOOKUP(Tabla4[[#This Row],[SERVICIO 2025]],$J$2:$V$14,3,0)*Tabla4[[#This Row],[TOTAL COBERTURA]])</f>
        <v>4121376</v>
      </c>
      <c r="AZ382" s="35">
        <f>(VLOOKUP(Tabla4[[#This Row],[SERVICIO 2025]],$J$2:$V$14,3,0)*Tabla4[[#This Row],[TOTAL COBERTURA]])</f>
        <v>4121376</v>
      </c>
      <c r="BA382" s="35">
        <f>(VLOOKUP(Tabla4[[#This Row],[SERVICIO 2025]],$J$2:$V$14,3,0)*Tabla4[[#This Row],[TOTAL COBERTURA]])+Tabla4[[#This Row],[VALOR FASE PREPARATORIA DE CIERRE]]</f>
        <v>4777840</v>
      </c>
      <c r="BB382" s="35">
        <f>SUM(Tabla4[[#This Row],[DESEMBOLSO 1]:[DESEMBOLSO 8]])</f>
        <v>34883088</v>
      </c>
      <c r="BC382" s="35">
        <f>VLOOKUP(Tabla4[[#This Row],[SERVICIO 2025]],$J$2:$V$14,10,0)*Tabla4[[#This Row],[TOTAL COBERTURA]]*$W$3</f>
        <v>23089024</v>
      </c>
      <c r="BD382" s="47" t="s">
        <v>211</v>
      </c>
      <c r="BE382" s="12" t="b">
        <f>EXACT(Tabla4[[#This Row],[VALOR ATENCIÓN (8 MESES)]],Tabla4[[#This Row],[VALOR TOTAL]])</f>
        <v>1</v>
      </c>
      <c r="BF382" s="23">
        <f>Tabla4[[#This Row],[VALOR ATENCIÓN (8 MESES)]]-Tabla4[[#This Row],[VALOR TOTAL]]</f>
        <v>0</v>
      </c>
      <c r="BG382" s="12" t="b">
        <f>EXACT(Tabla4[[#This Row],[TOTAL DESEMBOLSOS]],Tabla4[[#This Row],[VALOR ATENCIÓN (8 MESES)]])</f>
        <v>1</v>
      </c>
      <c r="BH382" s="29">
        <f>Tabla4[[#This Row],[TOTAL DESEMBOLSOS]]-Tabla4[[#This Row],[VALOR ATENCIÓN (8 MESES)]]</f>
        <v>0</v>
      </c>
      <c r="BI382" t="s">
        <v>98</v>
      </c>
      <c r="BJ382">
        <v>1917</v>
      </c>
    </row>
    <row r="383" spans="1:62">
      <c r="A383" s="13">
        <v>1917</v>
      </c>
      <c r="B383" s="13" t="s">
        <v>859</v>
      </c>
      <c r="C383" s="12" t="s">
        <v>87</v>
      </c>
      <c r="D383" s="12" t="s">
        <v>462</v>
      </c>
      <c r="E383" s="12" t="s">
        <v>848</v>
      </c>
      <c r="F383" s="12" t="s">
        <v>18</v>
      </c>
      <c r="G383" s="12" t="s">
        <v>90</v>
      </c>
      <c r="H383" s="12" t="s">
        <v>909</v>
      </c>
      <c r="I383" s="12">
        <v>50511150333</v>
      </c>
      <c r="J383" s="12" t="s">
        <v>910</v>
      </c>
      <c r="K383" s="12">
        <v>1</v>
      </c>
      <c r="L383" s="12">
        <v>17</v>
      </c>
      <c r="M383" s="12"/>
      <c r="N383" s="13">
        <v>1917</v>
      </c>
      <c r="O383" s="12" t="s">
        <v>93</v>
      </c>
      <c r="P383" s="12"/>
      <c r="Q383" s="12"/>
      <c r="R383" s="12" t="s">
        <v>94</v>
      </c>
      <c r="S383" s="12">
        <v>10</v>
      </c>
      <c r="T383" s="12" t="s">
        <v>862</v>
      </c>
      <c r="U383" s="12" t="s">
        <v>863</v>
      </c>
      <c r="V383" s="12">
        <f>VLOOKUP(Tabla4[[#This Row],[ZONA DEFINITIVO]],Hoja1!$A$1:$D$121,3,0)</f>
        <v>229096</v>
      </c>
      <c r="W383" s="12">
        <f>VLOOKUP(Tabla4[[#This Row],[ZONA DEFINITIVO]],Hoja1!$A$1:$D$121,2,0)</f>
        <v>15355</v>
      </c>
      <c r="X383" s="12">
        <f>VLOOKUP(Tabla4[[#This Row],[ZONA DEFINITIVO]],Hoja1!$A$1:$D$121,4,0)</f>
        <v>87725</v>
      </c>
      <c r="Y383" s="12" t="str">
        <f>+IF(Tabla4[[#This Row],[AGRUPACIONES]]=1,SUMIFS(Tabla4[UDS],Tabla4[ZONA DEFINITIVO],Tabla4[[#This Row],[ZONA DEFINITIVO]])," ")</f>
        <v xml:space="preserve"> </v>
      </c>
      <c r="Z383" s="12" t="str">
        <f>+IF(Tabla4[[#This Row],[AGRUPACIONES]]=1,SUMIFS(Tabla4[TOTAL COBERTURA],Tabla4[ZONA DEFINITIVO],Tabla4[[#This Row],[ZONA DEFINITIVO]])," ")</f>
        <v xml:space="preserve"> </v>
      </c>
      <c r="AA383" s="12"/>
      <c r="AB383" s="38">
        <v>37063281</v>
      </c>
      <c r="AC383" s="37">
        <v>0.02</v>
      </c>
      <c r="AD383" s="38">
        <f t="shared" si="6"/>
        <v>741265.62</v>
      </c>
      <c r="AE383" s="12"/>
      <c r="AF383" s="12">
        <f>COUNTIF($A$20:A383,A383)</f>
        <v>25</v>
      </c>
      <c r="AG383" s="38">
        <v>37063281</v>
      </c>
      <c r="AH383" s="38">
        <f>Tabla4[[#This Row],[VALOR CONTRAPARTIDA]]+Tabla4[[#This Row],[TOTAL APORTES ICBF]]</f>
        <v>37804546.619999997</v>
      </c>
      <c r="AI383" s="35"/>
      <c r="AJ383" s="38"/>
      <c r="AK383" s="38"/>
      <c r="AL383" s="23"/>
      <c r="AM383" s="35">
        <f>VLOOKUP(Tabla4[[#This Row],[SERVICIO 2025]],$J$2:$V$14,5,0)*Tabla4[[#This Row],[TOTAL COBERTURA]]</f>
        <v>839392</v>
      </c>
      <c r="AN383" s="35">
        <f>VLOOKUP(Tabla4[[#This Row],[SERVICIO 2025]],$J$2:$V$14,6,0)*Tabla4[[#This Row],[TOTAL COBERTURA]]</f>
        <v>697493</v>
      </c>
      <c r="AO383" s="35">
        <f>VLOOKUP(Tabla4[[#This Row],[SERVICIO 2025]],$J$2:$V$14,8,0)*Tabla4[[#This Row],[TOTAL COBERTURA]]</f>
        <v>494700</v>
      </c>
      <c r="AP383" s="35">
        <f>VLOOKUP(Tabla4[[#This Row],[SERVICIO 2025]],$J$2:$V$14,3,0)*Tabla4[[#This Row],[TOTAL COBERTURA]]*8</f>
        <v>35031696</v>
      </c>
      <c r="AQ383" s="35"/>
      <c r="AR383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383" s="35" t="str">
        <f>+IF(Tabla4[[#This Row],[AGRUPACIONES]]=1,SUMIFS(Tabla4[VALOR TOTAL],Tabla4[ZONA DEFINITIVO],Tabla4[[#This Row],[ZONA DEFINITIVO]])," ")</f>
        <v xml:space="preserve"> </v>
      </c>
      <c r="AT383" s="27">
        <f>(VLOOKUP(Tabla4[[#This Row],[SERVICIO 2025]],$J$2:$V$14,3,0)*Tabla4[[#This Row],[TOTAL COBERTURA]])+Tabla4[[#This Row],[VALOR FASE PREPARATORIA DE ALISTAMIENTO]]+Tabla4[[#This Row],[DOTACIÓN ÚNICA]]</f>
        <v>5713054</v>
      </c>
      <c r="AU383" s="35">
        <f>(VLOOKUP(Tabla4[[#This Row],[SERVICIO 2025]],$J$2:$V$14,3,0)*Tabla4[[#This Row],[TOTAL COBERTURA]])</f>
        <v>4378962</v>
      </c>
      <c r="AV383" s="35">
        <f>(VLOOKUP(Tabla4[[#This Row],[SERVICIO 2025]],$J$2:$V$14,3,0)*Tabla4[[#This Row],[TOTAL COBERTURA]])</f>
        <v>4378962</v>
      </c>
      <c r="AW383" s="35">
        <f>(VLOOKUP(Tabla4[[#This Row],[SERVICIO 2025]],$J$2:$V$14,3,0)*Tabla4[[#This Row],[TOTAL COBERTURA]])</f>
        <v>4378962</v>
      </c>
      <c r="AX383" s="35">
        <f>(VLOOKUP(Tabla4[[#This Row],[SERVICIO 2025]],$J$2:$V$14,3,0)*Tabla4[[#This Row],[TOTAL COBERTURA]])</f>
        <v>4378962</v>
      </c>
      <c r="AY383" s="35">
        <f>(VLOOKUP(Tabla4[[#This Row],[SERVICIO 2025]],$J$2:$V$14,3,0)*Tabla4[[#This Row],[TOTAL COBERTURA]])</f>
        <v>4378962</v>
      </c>
      <c r="AZ383" s="35">
        <f>(VLOOKUP(Tabla4[[#This Row],[SERVICIO 2025]],$J$2:$V$14,3,0)*Tabla4[[#This Row],[TOTAL COBERTURA]])</f>
        <v>4378962</v>
      </c>
      <c r="BA383" s="35">
        <f>(VLOOKUP(Tabla4[[#This Row],[SERVICIO 2025]],$J$2:$V$14,3,0)*Tabla4[[#This Row],[TOTAL COBERTURA]])+Tabla4[[#This Row],[VALOR FASE PREPARATORIA DE CIERRE]]</f>
        <v>5076455</v>
      </c>
      <c r="BB383" s="35">
        <f>SUM(Tabla4[[#This Row],[DESEMBOLSO 1]:[DESEMBOLSO 8]])</f>
        <v>37063281</v>
      </c>
      <c r="BC383" s="35">
        <f>VLOOKUP(Tabla4[[#This Row],[SERVICIO 2025]],$J$2:$V$14,10,0)*Tabla4[[#This Row],[TOTAL COBERTURA]]*$W$3</f>
        <v>24532088</v>
      </c>
      <c r="BD383" s="47" t="s">
        <v>211</v>
      </c>
      <c r="BE383" s="12" t="b">
        <f>EXACT(Tabla4[[#This Row],[VALOR ATENCIÓN (8 MESES)]],Tabla4[[#This Row],[VALOR TOTAL]])</f>
        <v>1</v>
      </c>
      <c r="BF383" s="23">
        <f>Tabla4[[#This Row],[VALOR ATENCIÓN (8 MESES)]]-Tabla4[[#This Row],[VALOR TOTAL]]</f>
        <v>0</v>
      </c>
      <c r="BG383" s="12" t="b">
        <f>EXACT(Tabla4[[#This Row],[TOTAL DESEMBOLSOS]],Tabla4[[#This Row],[VALOR ATENCIÓN (8 MESES)]])</f>
        <v>1</v>
      </c>
      <c r="BH383" s="29">
        <f>Tabla4[[#This Row],[TOTAL DESEMBOLSOS]]-Tabla4[[#This Row],[VALOR ATENCIÓN (8 MESES)]]</f>
        <v>0</v>
      </c>
      <c r="BI383" t="s">
        <v>98</v>
      </c>
      <c r="BJ383">
        <v>1917</v>
      </c>
    </row>
    <row r="384" spans="1:62">
      <c r="A384" s="13">
        <v>1917</v>
      </c>
      <c r="B384" s="13" t="s">
        <v>859</v>
      </c>
      <c r="C384" s="12" t="s">
        <v>87</v>
      </c>
      <c r="D384" s="12" t="s">
        <v>462</v>
      </c>
      <c r="E384" s="12" t="s">
        <v>848</v>
      </c>
      <c r="F384" s="12" t="s">
        <v>18</v>
      </c>
      <c r="G384" s="12" t="s">
        <v>90</v>
      </c>
      <c r="H384" s="12" t="s">
        <v>911</v>
      </c>
      <c r="I384" s="12">
        <v>50511150335</v>
      </c>
      <c r="J384" s="12" t="s">
        <v>912</v>
      </c>
      <c r="K384" s="12">
        <v>1</v>
      </c>
      <c r="L384" s="12">
        <v>20</v>
      </c>
      <c r="M384" s="12"/>
      <c r="N384" s="13">
        <v>1917</v>
      </c>
      <c r="O384" s="12" t="s">
        <v>93</v>
      </c>
      <c r="P384" s="12"/>
      <c r="Q384" s="12"/>
      <c r="R384" s="12" t="s">
        <v>94</v>
      </c>
      <c r="S384" s="12">
        <v>10</v>
      </c>
      <c r="T384" s="12" t="s">
        <v>862</v>
      </c>
      <c r="U384" s="12" t="s">
        <v>863</v>
      </c>
      <c r="V384" s="12">
        <f>VLOOKUP(Tabla4[[#This Row],[ZONA DEFINITIVO]],Hoja1!$A$1:$D$121,3,0)</f>
        <v>229096</v>
      </c>
      <c r="W384" s="12">
        <f>VLOOKUP(Tabla4[[#This Row],[ZONA DEFINITIVO]],Hoja1!$A$1:$D$121,2,0)</f>
        <v>15355</v>
      </c>
      <c r="X384" s="12">
        <f>VLOOKUP(Tabla4[[#This Row],[ZONA DEFINITIVO]],Hoja1!$A$1:$D$121,4,0)</f>
        <v>87725</v>
      </c>
      <c r="Y384" s="12" t="str">
        <f>+IF(Tabla4[[#This Row],[AGRUPACIONES]]=1,SUMIFS(Tabla4[UDS],Tabla4[ZONA DEFINITIVO],Tabla4[[#This Row],[ZONA DEFINITIVO]])," ")</f>
        <v xml:space="preserve"> </v>
      </c>
      <c r="Z384" s="12" t="str">
        <f>+IF(Tabla4[[#This Row],[AGRUPACIONES]]=1,SUMIFS(Tabla4[TOTAL COBERTURA],Tabla4[ZONA DEFINITIVO],Tabla4[[#This Row],[ZONA DEFINITIVO]])," ")</f>
        <v xml:space="preserve"> </v>
      </c>
      <c r="AA384" s="12"/>
      <c r="AB384" s="38">
        <v>43603860</v>
      </c>
      <c r="AC384" s="37">
        <v>0.02</v>
      </c>
      <c r="AD384" s="38">
        <f t="shared" si="6"/>
        <v>872077.20000000007</v>
      </c>
      <c r="AE384" s="12"/>
      <c r="AF384" s="12">
        <f>COUNTIF($A$20:A384,A384)</f>
        <v>26</v>
      </c>
      <c r="AG384" s="38">
        <v>43603860</v>
      </c>
      <c r="AH384" s="38">
        <f>Tabla4[[#This Row],[VALOR CONTRAPARTIDA]]+Tabla4[[#This Row],[TOTAL APORTES ICBF]]</f>
        <v>44475937.200000003</v>
      </c>
      <c r="AI384" s="35"/>
      <c r="AJ384" s="38"/>
      <c r="AK384" s="38"/>
      <c r="AL384" s="23"/>
      <c r="AM384" s="35">
        <f>VLOOKUP(Tabla4[[#This Row],[SERVICIO 2025]],$J$2:$V$14,5,0)*Tabla4[[#This Row],[TOTAL COBERTURA]]</f>
        <v>987520</v>
      </c>
      <c r="AN384" s="35">
        <f>VLOOKUP(Tabla4[[#This Row],[SERVICIO 2025]],$J$2:$V$14,6,0)*Tabla4[[#This Row],[TOTAL COBERTURA]]</f>
        <v>820580</v>
      </c>
      <c r="AO384" s="35">
        <f>VLOOKUP(Tabla4[[#This Row],[SERVICIO 2025]],$J$2:$V$14,8,0)*Tabla4[[#This Row],[TOTAL COBERTURA]]</f>
        <v>582000</v>
      </c>
      <c r="AP384" s="35">
        <f>VLOOKUP(Tabla4[[#This Row],[SERVICIO 2025]],$J$2:$V$14,3,0)*Tabla4[[#This Row],[TOTAL COBERTURA]]*8</f>
        <v>41213760</v>
      </c>
      <c r="AQ384" s="35"/>
      <c r="AR384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384" s="35" t="str">
        <f>+IF(Tabla4[[#This Row],[AGRUPACIONES]]=1,SUMIFS(Tabla4[VALOR TOTAL],Tabla4[ZONA DEFINITIVO],Tabla4[[#This Row],[ZONA DEFINITIVO]])," ")</f>
        <v xml:space="preserve"> </v>
      </c>
      <c r="AT384" s="27">
        <f>(VLOOKUP(Tabla4[[#This Row],[SERVICIO 2025]],$J$2:$V$14,3,0)*Tabla4[[#This Row],[TOTAL COBERTURA]])+Tabla4[[#This Row],[VALOR FASE PREPARATORIA DE ALISTAMIENTO]]+Tabla4[[#This Row],[DOTACIÓN ÚNICA]]</f>
        <v>6721240</v>
      </c>
      <c r="AU384" s="35">
        <f>(VLOOKUP(Tabla4[[#This Row],[SERVICIO 2025]],$J$2:$V$14,3,0)*Tabla4[[#This Row],[TOTAL COBERTURA]])</f>
        <v>5151720</v>
      </c>
      <c r="AV384" s="35">
        <f>(VLOOKUP(Tabla4[[#This Row],[SERVICIO 2025]],$J$2:$V$14,3,0)*Tabla4[[#This Row],[TOTAL COBERTURA]])</f>
        <v>5151720</v>
      </c>
      <c r="AW384" s="35">
        <f>(VLOOKUP(Tabla4[[#This Row],[SERVICIO 2025]],$J$2:$V$14,3,0)*Tabla4[[#This Row],[TOTAL COBERTURA]])</f>
        <v>5151720</v>
      </c>
      <c r="AX384" s="35">
        <f>(VLOOKUP(Tabla4[[#This Row],[SERVICIO 2025]],$J$2:$V$14,3,0)*Tabla4[[#This Row],[TOTAL COBERTURA]])</f>
        <v>5151720</v>
      </c>
      <c r="AY384" s="35">
        <f>(VLOOKUP(Tabla4[[#This Row],[SERVICIO 2025]],$J$2:$V$14,3,0)*Tabla4[[#This Row],[TOTAL COBERTURA]])</f>
        <v>5151720</v>
      </c>
      <c r="AZ384" s="35">
        <f>(VLOOKUP(Tabla4[[#This Row],[SERVICIO 2025]],$J$2:$V$14,3,0)*Tabla4[[#This Row],[TOTAL COBERTURA]])</f>
        <v>5151720</v>
      </c>
      <c r="BA384" s="35">
        <f>(VLOOKUP(Tabla4[[#This Row],[SERVICIO 2025]],$J$2:$V$14,3,0)*Tabla4[[#This Row],[TOTAL COBERTURA]])+Tabla4[[#This Row],[VALOR FASE PREPARATORIA DE CIERRE]]</f>
        <v>5972300</v>
      </c>
      <c r="BB384" s="35">
        <f>SUM(Tabla4[[#This Row],[DESEMBOLSO 1]:[DESEMBOLSO 8]])</f>
        <v>43603860</v>
      </c>
      <c r="BC384" s="35">
        <f>VLOOKUP(Tabla4[[#This Row],[SERVICIO 2025]],$J$2:$V$14,10,0)*Tabla4[[#This Row],[TOTAL COBERTURA]]*$W$3</f>
        <v>28861280</v>
      </c>
      <c r="BD384" s="47" t="s">
        <v>211</v>
      </c>
      <c r="BE384" s="12" t="b">
        <f>EXACT(Tabla4[[#This Row],[VALOR ATENCIÓN (8 MESES)]],Tabla4[[#This Row],[VALOR TOTAL]])</f>
        <v>1</v>
      </c>
      <c r="BF384" s="23">
        <f>Tabla4[[#This Row],[VALOR ATENCIÓN (8 MESES)]]-Tabla4[[#This Row],[VALOR TOTAL]]</f>
        <v>0</v>
      </c>
      <c r="BG384" s="12" t="b">
        <f>EXACT(Tabla4[[#This Row],[TOTAL DESEMBOLSOS]],Tabla4[[#This Row],[VALOR ATENCIÓN (8 MESES)]])</f>
        <v>1</v>
      </c>
      <c r="BH384" s="29">
        <f>Tabla4[[#This Row],[TOTAL DESEMBOLSOS]]-Tabla4[[#This Row],[VALOR ATENCIÓN (8 MESES)]]</f>
        <v>0</v>
      </c>
      <c r="BI384" t="s">
        <v>98</v>
      </c>
      <c r="BJ384">
        <v>1917</v>
      </c>
    </row>
    <row r="385" spans="1:62">
      <c r="A385" s="13">
        <v>1917</v>
      </c>
      <c r="B385" s="13" t="s">
        <v>859</v>
      </c>
      <c r="C385" s="12" t="s">
        <v>87</v>
      </c>
      <c r="D385" s="12" t="s">
        <v>462</v>
      </c>
      <c r="E385" s="12" t="s">
        <v>848</v>
      </c>
      <c r="F385" s="12" t="s">
        <v>18</v>
      </c>
      <c r="G385" s="12" t="s">
        <v>90</v>
      </c>
      <c r="H385" s="12" t="s">
        <v>913</v>
      </c>
      <c r="I385" s="12">
        <v>50511150336</v>
      </c>
      <c r="J385" s="12" t="s">
        <v>914</v>
      </c>
      <c r="K385" s="12">
        <v>1</v>
      </c>
      <c r="L385" s="12">
        <v>30</v>
      </c>
      <c r="M385" s="12"/>
      <c r="N385" s="13">
        <v>1917</v>
      </c>
      <c r="O385" s="12" t="s">
        <v>93</v>
      </c>
      <c r="P385" s="12"/>
      <c r="Q385" s="12"/>
      <c r="R385" s="12" t="s">
        <v>94</v>
      </c>
      <c r="S385" s="12">
        <v>10</v>
      </c>
      <c r="T385" s="12" t="s">
        <v>862</v>
      </c>
      <c r="U385" s="12" t="s">
        <v>863</v>
      </c>
      <c r="V385" s="12">
        <f>VLOOKUP(Tabla4[[#This Row],[ZONA DEFINITIVO]],Hoja1!$A$1:$D$121,3,0)</f>
        <v>229096</v>
      </c>
      <c r="W385" s="12">
        <f>VLOOKUP(Tabla4[[#This Row],[ZONA DEFINITIVO]],Hoja1!$A$1:$D$121,2,0)</f>
        <v>15355</v>
      </c>
      <c r="X385" s="12">
        <f>VLOOKUP(Tabla4[[#This Row],[ZONA DEFINITIVO]],Hoja1!$A$1:$D$121,4,0)</f>
        <v>87725</v>
      </c>
      <c r="Y385" s="12" t="str">
        <f>+IF(Tabla4[[#This Row],[AGRUPACIONES]]=1,SUMIFS(Tabla4[UDS],Tabla4[ZONA DEFINITIVO],Tabla4[[#This Row],[ZONA DEFINITIVO]])," ")</f>
        <v xml:space="preserve"> </v>
      </c>
      <c r="Z385" s="12" t="str">
        <f>+IF(Tabla4[[#This Row],[AGRUPACIONES]]=1,SUMIFS(Tabla4[TOTAL COBERTURA],Tabla4[ZONA DEFINITIVO],Tabla4[[#This Row],[ZONA DEFINITIVO]])," ")</f>
        <v xml:space="preserve"> </v>
      </c>
      <c r="AA385" s="12"/>
      <c r="AB385" s="38">
        <v>65405790</v>
      </c>
      <c r="AC385" s="37">
        <v>0.02</v>
      </c>
      <c r="AD385" s="38">
        <f t="shared" si="6"/>
        <v>1308115.8</v>
      </c>
      <c r="AE385" s="12"/>
      <c r="AF385" s="12">
        <f>COUNTIF($A$20:A385,A385)</f>
        <v>27</v>
      </c>
      <c r="AG385" s="38">
        <v>65405790</v>
      </c>
      <c r="AH385" s="38">
        <f>Tabla4[[#This Row],[VALOR CONTRAPARTIDA]]+Tabla4[[#This Row],[TOTAL APORTES ICBF]]</f>
        <v>66713905.799999997</v>
      </c>
      <c r="AI385" s="35"/>
      <c r="AJ385" s="38"/>
      <c r="AK385" s="38"/>
      <c r="AL385" s="23"/>
      <c r="AM385" s="35">
        <f>VLOOKUP(Tabla4[[#This Row],[SERVICIO 2025]],$J$2:$V$14,5,0)*Tabla4[[#This Row],[TOTAL COBERTURA]]</f>
        <v>1481280</v>
      </c>
      <c r="AN385" s="35">
        <f>VLOOKUP(Tabla4[[#This Row],[SERVICIO 2025]],$J$2:$V$14,6,0)*Tabla4[[#This Row],[TOTAL COBERTURA]]</f>
        <v>1230870</v>
      </c>
      <c r="AO385" s="35">
        <f>VLOOKUP(Tabla4[[#This Row],[SERVICIO 2025]],$J$2:$V$14,8,0)*Tabla4[[#This Row],[TOTAL COBERTURA]]</f>
        <v>873000</v>
      </c>
      <c r="AP385" s="35">
        <f>VLOOKUP(Tabla4[[#This Row],[SERVICIO 2025]],$J$2:$V$14,3,0)*Tabla4[[#This Row],[TOTAL COBERTURA]]*8</f>
        <v>61820640</v>
      </c>
      <c r="AQ385" s="35"/>
      <c r="AR385" s="35">
        <f>Tabla4[[#This Row],[VALOR FASE PREPARATORIA DE ALISTAMIENTO]]+Tabla4[[#This Row],[VALOR FASE PREPARATORIA DE CIERRE]]+Tabla4[[#This Row],[DOTACIÓN ÚNICA]]+Tabla4[[#This Row],[VALOR ATENCIÓN]]+Tabla4[[#This Row],[VALOR RACION PREPARADA]]</f>
        <v>65405790</v>
      </c>
      <c r="AS385" s="35" t="str">
        <f>+IF(Tabla4[[#This Row],[AGRUPACIONES]]=1,SUMIFS(Tabla4[VALOR TOTAL],Tabla4[ZONA DEFINITIVO],Tabla4[[#This Row],[ZONA DEFINITIVO]])," ")</f>
        <v xml:space="preserve"> </v>
      </c>
      <c r="AT385" s="27">
        <f>(VLOOKUP(Tabla4[[#This Row],[SERVICIO 2025]],$J$2:$V$14,3,0)*Tabla4[[#This Row],[TOTAL COBERTURA]])+Tabla4[[#This Row],[VALOR FASE PREPARATORIA DE ALISTAMIENTO]]+Tabla4[[#This Row],[DOTACIÓN ÚNICA]]</f>
        <v>10081860</v>
      </c>
      <c r="AU385" s="35">
        <f>(VLOOKUP(Tabla4[[#This Row],[SERVICIO 2025]],$J$2:$V$14,3,0)*Tabla4[[#This Row],[TOTAL COBERTURA]])</f>
        <v>7727580</v>
      </c>
      <c r="AV385" s="35">
        <f>(VLOOKUP(Tabla4[[#This Row],[SERVICIO 2025]],$J$2:$V$14,3,0)*Tabla4[[#This Row],[TOTAL COBERTURA]])</f>
        <v>7727580</v>
      </c>
      <c r="AW385" s="35">
        <f>(VLOOKUP(Tabla4[[#This Row],[SERVICIO 2025]],$J$2:$V$14,3,0)*Tabla4[[#This Row],[TOTAL COBERTURA]])</f>
        <v>7727580</v>
      </c>
      <c r="AX385" s="35">
        <f>(VLOOKUP(Tabla4[[#This Row],[SERVICIO 2025]],$J$2:$V$14,3,0)*Tabla4[[#This Row],[TOTAL COBERTURA]])</f>
        <v>7727580</v>
      </c>
      <c r="AY385" s="35">
        <f>(VLOOKUP(Tabla4[[#This Row],[SERVICIO 2025]],$J$2:$V$14,3,0)*Tabla4[[#This Row],[TOTAL COBERTURA]])</f>
        <v>7727580</v>
      </c>
      <c r="AZ385" s="35">
        <f>(VLOOKUP(Tabla4[[#This Row],[SERVICIO 2025]],$J$2:$V$14,3,0)*Tabla4[[#This Row],[TOTAL COBERTURA]])</f>
        <v>7727580</v>
      </c>
      <c r="BA385" s="35">
        <f>(VLOOKUP(Tabla4[[#This Row],[SERVICIO 2025]],$J$2:$V$14,3,0)*Tabla4[[#This Row],[TOTAL COBERTURA]])+Tabla4[[#This Row],[VALOR FASE PREPARATORIA DE CIERRE]]</f>
        <v>8958450</v>
      </c>
      <c r="BB385" s="35">
        <f>SUM(Tabla4[[#This Row],[DESEMBOLSO 1]:[DESEMBOLSO 8]])</f>
        <v>65405790</v>
      </c>
      <c r="BC385" s="35">
        <f>VLOOKUP(Tabla4[[#This Row],[SERVICIO 2025]],$J$2:$V$14,10,0)*Tabla4[[#This Row],[TOTAL COBERTURA]]*$W$3</f>
        <v>43291920</v>
      </c>
      <c r="BD385" s="47" t="s">
        <v>211</v>
      </c>
      <c r="BE385" s="12" t="b">
        <f>EXACT(Tabla4[[#This Row],[VALOR ATENCIÓN (8 MESES)]],Tabla4[[#This Row],[VALOR TOTAL]])</f>
        <v>1</v>
      </c>
      <c r="BF385" s="23">
        <f>Tabla4[[#This Row],[VALOR ATENCIÓN (8 MESES)]]-Tabla4[[#This Row],[VALOR TOTAL]]</f>
        <v>0</v>
      </c>
      <c r="BG385" s="12" t="b">
        <f>EXACT(Tabla4[[#This Row],[TOTAL DESEMBOLSOS]],Tabla4[[#This Row],[VALOR ATENCIÓN (8 MESES)]])</f>
        <v>1</v>
      </c>
      <c r="BH385" s="29">
        <f>Tabla4[[#This Row],[TOTAL DESEMBOLSOS]]-Tabla4[[#This Row],[VALOR ATENCIÓN (8 MESES)]]</f>
        <v>0</v>
      </c>
      <c r="BI385" t="s">
        <v>98</v>
      </c>
      <c r="BJ385">
        <v>1917</v>
      </c>
    </row>
    <row r="386" spans="1:62">
      <c r="A386" s="13">
        <v>1917</v>
      </c>
      <c r="B386" s="13" t="s">
        <v>859</v>
      </c>
      <c r="C386" s="12" t="s">
        <v>87</v>
      </c>
      <c r="D386" s="12" t="s">
        <v>462</v>
      </c>
      <c r="E386" s="12" t="s">
        <v>848</v>
      </c>
      <c r="F386" s="12" t="s">
        <v>18</v>
      </c>
      <c r="G386" s="12" t="s">
        <v>90</v>
      </c>
      <c r="H386" s="12" t="s">
        <v>915</v>
      </c>
      <c r="I386" s="12">
        <v>50511152983</v>
      </c>
      <c r="J386" s="12" t="s">
        <v>916</v>
      </c>
      <c r="K386" s="12">
        <v>1</v>
      </c>
      <c r="L386" s="12">
        <v>19</v>
      </c>
      <c r="M386" s="12"/>
      <c r="N386" s="13">
        <v>1917</v>
      </c>
      <c r="O386" s="12" t="s">
        <v>93</v>
      </c>
      <c r="P386" s="12"/>
      <c r="Q386" s="12"/>
      <c r="R386" s="12" t="s">
        <v>94</v>
      </c>
      <c r="S386" s="12">
        <v>10</v>
      </c>
      <c r="T386" s="12" t="s">
        <v>862</v>
      </c>
      <c r="U386" s="12" t="s">
        <v>863</v>
      </c>
      <c r="V386" s="12">
        <f>VLOOKUP(Tabla4[[#This Row],[ZONA DEFINITIVO]],Hoja1!$A$1:$D$121,3,0)</f>
        <v>229096</v>
      </c>
      <c r="W386" s="12">
        <f>VLOOKUP(Tabla4[[#This Row],[ZONA DEFINITIVO]],Hoja1!$A$1:$D$121,2,0)</f>
        <v>15355</v>
      </c>
      <c r="X386" s="12">
        <f>VLOOKUP(Tabla4[[#This Row],[ZONA DEFINITIVO]],Hoja1!$A$1:$D$121,4,0)</f>
        <v>87725</v>
      </c>
      <c r="Y386" s="12" t="str">
        <f>+IF(Tabla4[[#This Row],[AGRUPACIONES]]=1,SUMIFS(Tabla4[UDS],Tabla4[ZONA DEFINITIVO],Tabla4[[#This Row],[ZONA DEFINITIVO]])," ")</f>
        <v xml:space="preserve"> </v>
      </c>
      <c r="Z386" s="12" t="str">
        <f>+IF(Tabla4[[#This Row],[AGRUPACIONES]]=1,SUMIFS(Tabla4[TOTAL COBERTURA],Tabla4[ZONA DEFINITIVO],Tabla4[[#This Row],[ZONA DEFINITIVO]])," ")</f>
        <v xml:space="preserve"> </v>
      </c>
      <c r="AA386" s="12"/>
      <c r="AB386" s="38">
        <v>41423667</v>
      </c>
      <c r="AC386" s="37">
        <v>0.02</v>
      </c>
      <c r="AD386" s="38">
        <f t="shared" si="6"/>
        <v>828473.34</v>
      </c>
      <c r="AE386" s="12"/>
      <c r="AF386" s="12">
        <f>COUNTIF($A$20:A386,A386)</f>
        <v>28</v>
      </c>
      <c r="AG386" s="38">
        <v>41423667</v>
      </c>
      <c r="AH386" s="38">
        <f>Tabla4[[#This Row],[VALOR CONTRAPARTIDA]]+Tabla4[[#This Row],[TOTAL APORTES ICBF]]</f>
        <v>42252140.340000004</v>
      </c>
      <c r="AI386" s="35"/>
      <c r="AJ386" s="38"/>
      <c r="AK386" s="38"/>
      <c r="AL386" s="23"/>
      <c r="AM386" s="35">
        <f>VLOOKUP(Tabla4[[#This Row],[SERVICIO 2025]],$J$2:$V$14,5,0)*Tabla4[[#This Row],[TOTAL COBERTURA]]</f>
        <v>938144</v>
      </c>
      <c r="AN386" s="35">
        <f>VLOOKUP(Tabla4[[#This Row],[SERVICIO 2025]],$J$2:$V$14,6,0)*Tabla4[[#This Row],[TOTAL COBERTURA]]</f>
        <v>779551</v>
      </c>
      <c r="AO386" s="35">
        <f>VLOOKUP(Tabla4[[#This Row],[SERVICIO 2025]],$J$2:$V$14,8,0)*Tabla4[[#This Row],[TOTAL COBERTURA]]</f>
        <v>552900</v>
      </c>
      <c r="AP386" s="35">
        <f>VLOOKUP(Tabla4[[#This Row],[SERVICIO 2025]],$J$2:$V$14,3,0)*Tabla4[[#This Row],[TOTAL COBERTURA]]*8</f>
        <v>39153072</v>
      </c>
      <c r="AQ386" s="35"/>
      <c r="AR386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386" s="35" t="str">
        <f>+IF(Tabla4[[#This Row],[AGRUPACIONES]]=1,SUMIFS(Tabla4[VALOR TOTAL],Tabla4[ZONA DEFINITIVO],Tabla4[[#This Row],[ZONA DEFINITIVO]])," ")</f>
        <v xml:space="preserve"> </v>
      </c>
      <c r="AT386" s="27">
        <f>(VLOOKUP(Tabla4[[#This Row],[SERVICIO 2025]],$J$2:$V$14,3,0)*Tabla4[[#This Row],[TOTAL COBERTURA]])+Tabla4[[#This Row],[VALOR FASE PREPARATORIA DE ALISTAMIENTO]]+Tabla4[[#This Row],[DOTACIÓN ÚNICA]]</f>
        <v>6385178</v>
      </c>
      <c r="AU386" s="35">
        <f>(VLOOKUP(Tabla4[[#This Row],[SERVICIO 2025]],$J$2:$V$14,3,0)*Tabla4[[#This Row],[TOTAL COBERTURA]])</f>
        <v>4894134</v>
      </c>
      <c r="AV386" s="35">
        <f>(VLOOKUP(Tabla4[[#This Row],[SERVICIO 2025]],$J$2:$V$14,3,0)*Tabla4[[#This Row],[TOTAL COBERTURA]])</f>
        <v>4894134</v>
      </c>
      <c r="AW386" s="35">
        <f>(VLOOKUP(Tabla4[[#This Row],[SERVICIO 2025]],$J$2:$V$14,3,0)*Tabla4[[#This Row],[TOTAL COBERTURA]])</f>
        <v>4894134</v>
      </c>
      <c r="AX386" s="35">
        <f>(VLOOKUP(Tabla4[[#This Row],[SERVICIO 2025]],$J$2:$V$14,3,0)*Tabla4[[#This Row],[TOTAL COBERTURA]])</f>
        <v>4894134</v>
      </c>
      <c r="AY386" s="35">
        <f>(VLOOKUP(Tabla4[[#This Row],[SERVICIO 2025]],$J$2:$V$14,3,0)*Tabla4[[#This Row],[TOTAL COBERTURA]])</f>
        <v>4894134</v>
      </c>
      <c r="AZ386" s="35">
        <f>(VLOOKUP(Tabla4[[#This Row],[SERVICIO 2025]],$J$2:$V$14,3,0)*Tabla4[[#This Row],[TOTAL COBERTURA]])</f>
        <v>4894134</v>
      </c>
      <c r="BA386" s="35">
        <f>(VLOOKUP(Tabla4[[#This Row],[SERVICIO 2025]],$J$2:$V$14,3,0)*Tabla4[[#This Row],[TOTAL COBERTURA]])+Tabla4[[#This Row],[VALOR FASE PREPARATORIA DE CIERRE]]</f>
        <v>5673685</v>
      </c>
      <c r="BB386" s="35">
        <f>SUM(Tabla4[[#This Row],[DESEMBOLSO 1]:[DESEMBOLSO 8]])</f>
        <v>41423667</v>
      </c>
      <c r="BC386" s="35">
        <f>VLOOKUP(Tabla4[[#This Row],[SERVICIO 2025]],$J$2:$V$14,10,0)*Tabla4[[#This Row],[TOTAL COBERTURA]]*$W$3</f>
        <v>27418216</v>
      </c>
      <c r="BD386" s="47" t="s">
        <v>211</v>
      </c>
      <c r="BE386" s="12" t="b">
        <f>EXACT(Tabla4[[#This Row],[VALOR ATENCIÓN (8 MESES)]],Tabla4[[#This Row],[VALOR TOTAL]])</f>
        <v>1</v>
      </c>
      <c r="BF386" s="23">
        <f>Tabla4[[#This Row],[VALOR ATENCIÓN (8 MESES)]]-Tabla4[[#This Row],[VALOR TOTAL]]</f>
        <v>0</v>
      </c>
      <c r="BG386" s="12" t="b">
        <f>EXACT(Tabla4[[#This Row],[TOTAL DESEMBOLSOS]],Tabla4[[#This Row],[VALOR ATENCIÓN (8 MESES)]])</f>
        <v>1</v>
      </c>
      <c r="BH386" s="29">
        <f>Tabla4[[#This Row],[TOTAL DESEMBOLSOS]]-Tabla4[[#This Row],[VALOR ATENCIÓN (8 MESES)]]</f>
        <v>0</v>
      </c>
      <c r="BI386" t="s">
        <v>98</v>
      </c>
      <c r="BJ386">
        <v>1917</v>
      </c>
    </row>
    <row r="387" spans="1:62">
      <c r="A387" s="13">
        <v>1917</v>
      </c>
      <c r="B387" s="13" t="s">
        <v>859</v>
      </c>
      <c r="C387" s="12" t="s">
        <v>87</v>
      </c>
      <c r="D387" s="12" t="s">
        <v>462</v>
      </c>
      <c r="E387" s="12" t="s">
        <v>848</v>
      </c>
      <c r="F387" s="12" t="s">
        <v>23</v>
      </c>
      <c r="G387" s="12" t="s">
        <v>90</v>
      </c>
      <c r="H387" s="12" t="s">
        <v>917</v>
      </c>
      <c r="I387" s="12">
        <v>505100071727</v>
      </c>
      <c r="J387" s="12" t="s">
        <v>918</v>
      </c>
      <c r="K387" s="12">
        <v>1</v>
      </c>
      <c r="L387" s="12">
        <v>99</v>
      </c>
      <c r="M387" s="12"/>
      <c r="N387" s="13">
        <v>1917</v>
      </c>
      <c r="O387" s="12" t="s">
        <v>93</v>
      </c>
      <c r="P387" s="12"/>
      <c r="Q387" s="12"/>
      <c r="R387" s="12" t="s">
        <v>94</v>
      </c>
      <c r="S387" s="12">
        <v>10</v>
      </c>
      <c r="T387" s="12" t="s">
        <v>862</v>
      </c>
      <c r="U387" s="12" t="s">
        <v>863</v>
      </c>
      <c r="V387" s="12">
        <f>VLOOKUP(Tabla4[[#This Row],[ZONA DEFINITIVO]],Hoja1!$A$1:$D$121,3,0)</f>
        <v>229096</v>
      </c>
      <c r="W387" s="12">
        <f>VLOOKUP(Tabla4[[#This Row],[ZONA DEFINITIVO]],Hoja1!$A$1:$D$121,2,0)</f>
        <v>15355</v>
      </c>
      <c r="X387" s="12">
        <f>VLOOKUP(Tabla4[[#This Row],[ZONA DEFINITIVO]],Hoja1!$A$1:$D$121,4,0)</f>
        <v>87725</v>
      </c>
      <c r="Y387" s="12" t="str">
        <f>+IF(Tabla4[[#This Row],[AGRUPACIONES]]=1,SUMIFS(Tabla4[UDS],Tabla4[ZONA DEFINITIVO],Tabla4[[#This Row],[ZONA DEFINITIVO]])," ")</f>
        <v xml:space="preserve"> </v>
      </c>
      <c r="Z387" s="12" t="str">
        <f>+IF(Tabla4[[#This Row],[AGRUPACIONES]]=1,SUMIFS(Tabla4[TOTAL COBERTURA],Tabla4[ZONA DEFINITIVO],Tabla4[[#This Row],[ZONA DEFINITIVO]])," ")</f>
        <v xml:space="preserve"> </v>
      </c>
      <c r="AA387" s="12"/>
      <c r="AB387" s="38">
        <v>292713894</v>
      </c>
      <c r="AC387" s="37">
        <v>0.02</v>
      </c>
      <c r="AD387" s="38">
        <f t="shared" si="6"/>
        <v>5854277.8799999999</v>
      </c>
      <c r="AE387" s="12"/>
      <c r="AF387" s="12">
        <f>COUNTIF($A$20:A387,A387)</f>
        <v>29</v>
      </c>
      <c r="AG387" s="38">
        <v>292713894</v>
      </c>
      <c r="AH387" s="38">
        <f>Tabla4[[#This Row],[VALOR CONTRAPARTIDA]]+Tabla4[[#This Row],[TOTAL APORTES ICBF]]</f>
        <v>298568171.88</v>
      </c>
      <c r="AI387" s="35"/>
      <c r="AJ387" s="38"/>
      <c r="AK387" s="38"/>
      <c r="AL387" s="23"/>
      <c r="AM387" s="35">
        <f>VLOOKUP(Tabla4[[#This Row],[SERVICIO 2025]],$J$2:$V$14,5,0)*Tabla4[[#This Row],[TOTAL COBERTURA]]</f>
        <v>8726157</v>
      </c>
      <c r="AN387" s="35">
        <f>VLOOKUP(Tabla4[[#This Row],[SERVICIO 2025]],$J$2:$V$14,6,0)*Tabla4[[#This Row],[TOTAL COBERTURA]]</f>
        <v>7429257</v>
      </c>
      <c r="AO387" s="35">
        <f>VLOOKUP(Tabla4[[#This Row],[SERVICIO 2025]],$J$2:$V$14,8,0)*Tabla4[[#This Row],[TOTAL COBERTURA]]</f>
        <v>0</v>
      </c>
      <c r="AP387" s="35">
        <f>VLOOKUP(Tabla4[[#This Row],[SERVICIO 2025]],$J$2:$V$14,3,0)*Tabla4[[#This Row],[TOTAL COBERTURA]]*8</f>
        <v>276558480</v>
      </c>
      <c r="AQ387" s="35"/>
      <c r="AR387" s="35">
        <f>Tabla4[[#This Row],[VALOR FASE PREPARATORIA DE ALISTAMIENTO]]+Tabla4[[#This Row],[VALOR FASE PREPARATORIA DE CIERRE]]+Tabla4[[#This Row],[DOTACIÓN ÚNICA]]+Tabla4[[#This Row],[VALOR ATENCIÓN]]+Tabla4[[#This Row],[VALOR RACION PREPARADA]]</f>
        <v>292713894</v>
      </c>
      <c r="AS387" s="35" t="str">
        <f>+IF(Tabla4[[#This Row],[AGRUPACIONES]]=1,SUMIFS(Tabla4[VALOR TOTAL],Tabla4[ZONA DEFINITIVO],Tabla4[[#This Row],[ZONA DEFINITIVO]])," ")</f>
        <v xml:space="preserve"> </v>
      </c>
      <c r="AT387" s="27">
        <f>(VLOOKUP(Tabla4[[#This Row],[SERVICIO 2025]],$J$2:$V$14,3,0)*Tabla4[[#This Row],[TOTAL COBERTURA]])+Tabla4[[#This Row],[VALOR FASE PREPARATORIA DE ALISTAMIENTO]]+Tabla4[[#This Row],[DOTACIÓN ÚNICA]]</f>
        <v>43295967</v>
      </c>
      <c r="AU387" s="35">
        <f>(VLOOKUP(Tabla4[[#This Row],[SERVICIO 2025]],$J$2:$V$14,3,0)*Tabla4[[#This Row],[TOTAL COBERTURA]])</f>
        <v>34569810</v>
      </c>
      <c r="AV387" s="35">
        <f>(VLOOKUP(Tabla4[[#This Row],[SERVICIO 2025]],$J$2:$V$14,3,0)*Tabla4[[#This Row],[TOTAL COBERTURA]])</f>
        <v>34569810</v>
      </c>
      <c r="AW387" s="35">
        <f>(VLOOKUP(Tabla4[[#This Row],[SERVICIO 2025]],$J$2:$V$14,3,0)*Tabla4[[#This Row],[TOTAL COBERTURA]])</f>
        <v>34569810</v>
      </c>
      <c r="AX387" s="35">
        <f>(VLOOKUP(Tabla4[[#This Row],[SERVICIO 2025]],$J$2:$V$14,3,0)*Tabla4[[#This Row],[TOTAL COBERTURA]])</f>
        <v>34569810</v>
      </c>
      <c r="AY387" s="35">
        <f>(VLOOKUP(Tabla4[[#This Row],[SERVICIO 2025]],$J$2:$V$14,3,0)*Tabla4[[#This Row],[TOTAL COBERTURA]])</f>
        <v>34569810</v>
      </c>
      <c r="AZ387" s="35">
        <f>(VLOOKUP(Tabla4[[#This Row],[SERVICIO 2025]],$J$2:$V$14,3,0)*Tabla4[[#This Row],[TOTAL COBERTURA]])</f>
        <v>34569810</v>
      </c>
      <c r="BA387" s="35">
        <f>(VLOOKUP(Tabla4[[#This Row],[SERVICIO 2025]],$J$2:$V$14,3,0)*Tabla4[[#This Row],[TOTAL COBERTURA]])+Tabla4[[#This Row],[VALOR FASE PREPARATORIA DE CIERRE]]</f>
        <v>41999067</v>
      </c>
      <c r="BB387" s="35">
        <f>SUM(Tabla4[[#This Row],[DESEMBOLSO 1]:[DESEMBOLSO 8]])</f>
        <v>292713894</v>
      </c>
      <c r="BC387" s="35">
        <f>VLOOKUP(Tabla4[[#This Row],[SERVICIO 2025]],$J$2:$V$14,10,0)*Tabla4[[#This Row],[TOTAL COBERTURA]]*$W$3</f>
        <v>121982256</v>
      </c>
      <c r="BD387" s="47" t="s">
        <v>211</v>
      </c>
      <c r="BE387" s="12" t="b">
        <f>EXACT(Tabla4[[#This Row],[VALOR ATENCIÓN (8 MESES)]],Tabla4[[#This Row],[VALOR TOTAL]])</f>
        <v>1</v>
      </c>
      <c r="BF387" s="23">
        <f>Tabla4[[#This Row],[VALOR ATENCIÓN (8 MESES)]]-Tabla4[[#This Row],[VALOR TOTAL]]</f>
        <v>0</v>
      </c>
      <c r="BG387" s="12" t="b">
        <f>EXACT(Tabla4[[#This Row],[TOTAL DESEMBOLSOS]],Tabla4[[#This Row],[VALOR ATENCIÓN (8 MESES)]])</f>
        <v>1</v>
      </c>
      <c r="BH387" s="29">
        <f>Tabla4[[#This Row],[TOTAL DESEMBOLSOS]]-Tabla4[[#This Row],[VALOR ATENCIÓN (8 MESES)]]</f>
        <v>0</v>
      </c>
      <c r="BI387" t="s">
        <v>98</v>
      </c>
      <c r="BJ387">
        <v>1917</v>
      </c>
    </row>
    <row r="388" spans="1:62">
      <c r="A388" s="13">
        <v>1917</v>
      </c>
      <c r="B388" s="13" t="s">
        <v>859</v>
      </c>
      <c r="C388" s="12" t="s">
        <v>87</v>
      </c>
      <c r="D388" s="12" t="s">
        <v>462</v>
      </c>
      <c r="E388" s="12" t="s">
        <v>848</v>
      </c>
      <c r="F388" s="12" t="s">
        <v>18</v>
      </c>
      <c r="G388" s="12" t="s">
        <v>90</v>
      </c>
      <c r="H388" s="12" t="s">
        <v>919</v>
      </c>
      <c r="I388" s="12">
        <v>505100103041</v>
      </c>
      <c r="J388" s="12" t="s">
        <v>920</v>
      </c>
      <c r="K388" s="12">
        <v>1</v>
      </c>
      <c r="L388" s="12">
        <v>20</v>
      </c>
      <c r="M388" s="12"/>
      <c r="N388" s="13">
        <v>1917</v>
      </c>
      <c r="O388" s="12" t="s">
        <v>93</v>
      </c>
      <c r="P388" s="12"/>
      <c r="Q388" s="12"/>
      <c r="R388" s="12" t="s">
        <v>94</v>
      </c>
      <c r="S388" s="12">
        <v>10</v>
      </c>
      <c r="T388" s="12" t="s">
        <v>862</v>
      </c>
      <c r="U388" s="12" t="s">
        <v>863</v>
      </c>
      <c r="V388" s="12">
        <f>VLOOKUP(Tabla4[[#This Row],[ZONA DEFINITIVO]],Hoja1!$A$1:$D$121,3,0)</f>
        <v>229096</v>
      </c>
      <c r="W388" s="12">
        <f>VLOOKUP(Tabla4[[#This Row],[ZONA DEFINITIVO]],Hoja1!$A$1:$D$121,2,0)</f>
        <v>15355</v>
      </c>
      <c r="X388" s="12">
        <f>VLOOKUP(Tabla4[[#This Row],[ZONA DEFINITIVO]],Hoja1!$A$1:$D$121,4,0)</f>
        <v>87725</v>
      </c>
      <c r="Y388" s="12" t="str">
        <f>+IF(Tabla4[[#This Row],[AGRUPACIONES]]=1,SUMIFS(Tabla4[UDS],Tabla4[ZONA DEFINITIVO],Tabla4[[#This Row],[ZONA DEFINITIVO]])," ")</f>
        <v xml:space="preserve"> </v>
      </c>
      <c r="Z388" s="12" t="str">
        <f>+IF(Tabla4[[#This Row],[AGRUPACIONES]]=1,SUMIFS(Tabla4[TOTAL COBERTURA],Tabla4[ZONA DEFINITIVO],Tabla4[[#This Row],[ZONA DEFINITIVO]])," ")</f>
        <v xml:space="preserve"> </v>
      </c>
      <c r="AA388" s="12"/>
      <c r="AB388" s="38">
        <v>43603860</v>
      </c>
      <c r="AC388" s="37">
        <v>0.02</v>
      </c>
      <c r="AD388" s="38">
        <f t="shared" si="6"/>
        <v>872077.20000000007</v>
      </c>
      <c r="AE388" s="12"/>
      <c r="AF388" s="12">
        <f>COUNTIF($A$20:A388,A388)</f>
        <v>30</v>
      </c>
      <c r="AG388" s="38">
        <v>43603860</v>
      </c>
      <c r="AH388" s="38">
        <f>Tabla4[[#This Row],[VALOR CONTRAPARTIDA]]+Tabla4[[#This Row],[TOTAL APORTES ICBF]]</f>
        <v>44475937.200000003</v>
      </c>
      <c r="AI388" s="35"/>
      <c r="AJ388" s="38"/>
      <c r="AK388" s="38"/>
      <c r="AL388" s="23"/>
      <c r="AM388" s="35">
        <f>VLOOKUP(Tabla4[[#This Row],[SERVICIO 2025]],$J$2:$V$14,5,0)*Tabla4[[#This Row],[TOTAL COBERTURA]]</f>
        <v>987520</v>
      </c>
      <c r="AN388" s="35">
        <f>VLOOKUP(Tabla4[[#This Row],[SERVICIO 2025]],$J$2:$V$14,6,0)*Tabla4[[#This Row],[TOTAL COBERTURA]]</f>
        <v>820580</v>
      </c>
      <c r="AO388" s="35">
        <f>VLOOKUP(Tabla4[[#This Row],[SERVICIO 2025]],$J$2:$V$14,8,0)*Tabla4[[#This Row],[TOTAL COBERTURA]]</f>
        <v>582000</v>
      </c>
      <c r="AP388" s="35">
        <f>VLOOKUP(Tabla4[[#This Row],[SERVICIO 2025]],$J$2:$V$14,3,0)*Tabla4[[#This Row],[TOTAL COBERTURA]]*8</f>
        <v>41213760</v>
      </c>
      <c r="AQ388" s="35"/>
      <c r="AR388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388" s="35" t="str">
        <f>+IF(Tabla4[[#This Row],[AGRUPACIONES]]=1,SUMIFS(Tabla4[VALOR TOTAL],Tabla4[ZONA DEFINITIVO],Tabla4[[#This Row],[ZONA DEFINITIVO]])," ")</f>
        <v xml:space="preserve"> </v>
      </c>
      <c r="AT388" s="27">
        <f>(VLOOKUP(Tabla4[[#This Row],[SERVICIO 2025]],$J$2:$V$14,3,0)*Tabla4[[#This Row],[TOTAL COBERTURA]])+Tabla4[[#This Row],[VALOR FASE PREPARATORIA DE ALISTAMIENTO]]+Tabla4[[#This Row],[DOTACIÓN ÚNICA]]</f>
        <v>6721240</v>
      </c>
      <c r="AU388" s="35">
        <f>(VLOOKUP(Tabla4[[#This Row],[SERVICIO 2025]],$J$2:$V$14,3,0)*Tabla4[[#This Row],[TOTAL COBERTURA]])</f>
        <v>5151720</v>
      </c>
      <c r="AV388" s="35">
        <f>(VLOOKUP(Tabla4[[#This Row],[SERVICIO 2025]],$J$2:$V$14,3,0)*Tabla4[[#This Row],[TOTAL COBERTURA]])</f>
        <v>5151720</v>
      </c>
      <c r="AW388" s="35">
        <f>(VLOOKUP(Tabla4[[#This Row],[SERVICIO 2025]],$J$2:$V$14,3,0)*Tabla4[[#This Row],[TOTAL COBERTURA]])</f>
        <v>5151720</v>
      </c>
      <c r="AX388" s="35">
        <f>(VLOOKUP(Tabla4[[#This Row],[SERVICIO 2025]],$J$2:$V$14,3,0)*Tabla4[[#This Row],[TOTAL COBERTURA]])</f>
        <v>5151720</v>
      </c>
      <c r="AY388" s="35">
        <f>(VLOOKUP(Tabla4[[#This Row],[SERVICIO 2025]],$J$2:$V$14,3,0)*Tabla4[[#This Row],[TOTAL COBERTURA]])</f>
        <v>5151720</v>
      </c>
      <c r="AZ388" s="35">
        <f>(VLOOKUP(Tabla4[[#This Row],[SERVICIO 2025]],$J$2:$V$14,3,0)*Tabla4[[#This Row],[TOTAL COBERTURA]])</f>
        <v>5151720</v>
      </c>
      <c r="BA388" s="35">
        <f>(VLOOKUP(Tabla4[[#This Row],[SERVICIO 2025]],$J$2:$V$14,3,0)*Tabla4[[#This Row],[TOTAL COBERTURA]])+Tabla4[[#This Row],[VALOR FASE PREPARATORIA DE CIERRE]]</f>
        <v>5972300</v>
      </c>
      <c r="BB388" s="35">
        <f>SUM(Tabla4[[#This Row],[DESEMBOLSO 1]:[DESEMBOLSO 8]])</f>
        <v>43603860</v>
      </c>
      <c r="BC388" s="35">
        <f>VLOOKUP(Tabla4[[#This Row],[SERVICIO 2025]],$J$2:$V$14,10,0)*Tabla4[[#This Row],[TOTAL COBERTURA]]*$W$3</f>
        <v>28861280</v>
      </c>
      <c r="BD388" s="47" t="s">
        <v>211</v>
      </c>
      <c r="BE388" s="12" t="b">
        <f>EXACT(Tabla4[[#This Row],[VALOR ATENCIÓN (8 MESES)]],Tabla4[[#This Row],[VALOR TOTAL]])</f>
        <v>1</v>
      </c>
      <c r="BF388" s="23">
        <f>Tabla4[[#This Row],[VALOR ATENCIÓN (8 MESES)]]-Tabla4[[#This Row],[VALOR TOTAL]]</f>
        <v>0</v>
      </c>
      <c r="BG388" s="12" t="b">
        <f>EXACT(Tabla4[[#This Row],[TOTAL DESEMBOLSOS]],Tabla4[[#This Row],[VALOR ATENCIÓN (8 MESES)]])</f>
        <v>1</v>
      </c>
      <c r="BH388" s="29">
        <f>Tabla4[[#This Row],[TOTAL DESEMBOLSOS]]-Tabla4[[#This Row],[VALOR ATENCIÓN (8 MESES)]]</f>
        <v>0</v>
      </c>
      <c r="BI388" t="s">
        <v>98</v>
      </c>
      <c r="BJ388">
        <v>1917</v>
      </c>
    </row>
    <row r="389" spans="1:62">
      <c r="A389" s="13">
        <v>1917</v>
      </c>
      <c r="B389" s="13" t="s">
        <v>859</v>
      </c>
      <c r="C389" s="12" t="s">
        <v>87</v>
      </c>
      <c r="D389" s="12" t="s">
        <v>462</v>
      </c>
      <c r="E389" s="12" t="s">
        <v>848</v>
      </c>
      <c r="F389" s="12" t="s">
        <v>18</v>
      </c>
      <c r="G389" s="12" t="s">
        <v>90</v>
      </c>
      <c r="H389" s="12" t="s">
        <v>921</v>
      </c>
      <c r="I389" s="12">
        <v>505100103044</v>
      </c>
      <c r="J389" s="12" t="s">
        <v>922</v>
      </c>
      <c r="K389" s="12">
        <v>1</v>
      </c>
      <c r="L389" s="12">
        <v>20</v>
      </c>
      <c r="M389" s="12"/>
      <c r="N389" s="13">
        <v>1917</v>
      </c>
      <c r="O389" s="12" t="s">
        <v>93</v>
      </c>
      <c r="P389" s="12"/>
      <c r="Q389" s="12"/>
      <c r="R389" s="12" t="s">
        <v>94</v>
      </c>
      <c r="S389" s="12">
        <v>10</v>
      </c>
      <c r="T389" s="12" t="s">
        <v>862</v>
      </c>
      <c r="U389" s="12" t="s">
        <v>863</v>
      </c>
      <c r="V389" s="12">
        <f>VLOOKUP(Tabla4[[#This Row],[ZONA DEFINITIVO]],Hoja1!$A$1:$D$121,3,0)</f>
        <v>229096</v>
      </c>
      <c r="W389" s="12">
        <f>VLOOKUP(Tabla4[[#This Row],[ZONA DEFINITIVO]],Hoja1!$A$1:$D$121,2,0)</f>
        <v>15355</v>
      </c>
      <c r="X389" s="12">
        <f>VLOOKUP(Tabla4[[#This Row],[ZONA DEFINITIVO]],Hoja1!$A$1:$D$121,4,0)</f>
        <v>87725</v>
      </c>
      <c r="Y389" s="12" t="str">
        <f>+IF(Tabla4[[#This Row],[AGRUPACIONES]]=1,SUMIFS(Tabla4[UDS],Tabla4[ZONA DEFINITIVO],Tabla4[[#This Row],[ZONA DEFINITIVO]])," ")</f>
        <v xml:space="preserve"> </v>
      </c>
      <c r="Z389" s="12" t="str">
        <f>+IF(Tabla4[[#This Row],[AGRUPACIONES]]=1,SUMIFS(Tabla4[TOTAL COBERTURA],Tabla4[ZONA DEFINITIVO],Tabla4[[#This Row],[ZONA DEFINITIVO]])," ")</f>
        <v xml:space="preserve"> </v>
      </c>
      <c r="AA389" s="12"/>
      <c r="AB389" s="38">
        <v>43603860</v>
      </c>
      <c r="AC389" s="37">
        <v>0.02</v>
      </c>
      <c r="AD389" s="38">
        <f t="shared" si="6"/>
        <v>872077.20000000007</v>
      </c>
      <c r="AE389" s="12"/>
      <c r="AF389" s="12">
        <f>COUNTIF($A$20:A389,A389)</f>
        <v>31</v>
      </c>
      <c r="AG389" s="38">
        <v>43603860</v>
      </c>
      <c r="AH389" s="38">
        <f>Tabla4[[#This Row],[VALOR CONTRAPARTIDA]]+Tabla4[[#This Row],[TOTAL APORTES ICBF]]</f>
        <v>44475937.200000003</v>
      </c>
      <c r="AI389" s="35"/>
      <c r="AJ389" s="38"/>
      <c r="AK389" s="38"/>
      <c r="AL389" s="23"/>
      <c r="AM389" s="35">
        <f>VLOOKUP(Tabla4[[#This Row],[SERVICIO 2025]],$J$2:$V$14,5,0)*Tabla4[[#This Row],[TOTAL COBERTURA]]</f>
        <v>987520</v>
      </c>
      <c r="AN389" s="35">
        <f>VLOOKUP(Tabla4[[#This Row],[SERVICIO 2025]],$J$2:$V$14,6,0)*Tabla4[[#This Row],[TOTAL COBERTURA]]</f>
        <v>820580</v>
      </c>
      <c r="AO389" s="35">
        <f>VLOOKUP(Tabla4[[#This Row],[SERVICIO 2025]],$J$2:$V$14,8,0)*Tabla4[[#This Row],[TOTAL COBERTURA]]</f>
        <v>582000</v>
      </c>
      <c r="AP389" s="35">
        <f>VLOOKUP(Tabla4[[#This Row],[SERVICIO 2025]],$J$2:$V$14,3,0)*Tabla4[[#This Row],[TOTAL COBERTURA]]*8</f>
        <v>41213760</v>
      </c>
      <c r="AQ389" s="35"/>
      <c r="AR389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389" s="35" t="str">
        <f>+IF(Tabla4[[#This Row],[AGRUPACIONES]]=1,SUMIFS(Tabla4[VALOR TOTAL],Tabla4[ZONA DEFINITIVO],Tabla4[[#This Row],[ZONA DEFINITIVO]])," ")</f>
        <v xml:space="preserve"> </v>
      </c>
      <c r="AT389" s="27">
        <f>(VLOOKUP(Tabla4[[#This Row],[SERVICIO 2025]],$J$2:$V$14,3,0)*Tabla4[[#This Row],[TOTAL COBERTURA]])+Tabla4[[#This Row],[VALOR FASE PREPARATORIA DE ALISTAMIENTO]]+Tabla4[[#This Row],[DOTACIÓN ÚNICA]]</f>
        <v>6721240</v>
      </c>
      <c r="AU389" s="35">
        <f>(VLOOKUP(Tabla4[[#This Row],[SERVICIO 2025]],$J$2:$V$14,3,0)*Tabla4[[#This Row],[TOTAL COBERTURA]])</f>
        <v>5151720</v>
      </c>
      <c r="AV389" s="35">
        <f>(VLOOKUP(Tabla4[[#This Row],[SERVICIO 2025]],$J$2:$V$14,3,0)*Tabla4[[#This Row],[TOTAL COBERTURA]])</f>
        <v>5151720</v>
      </c>
      <c r="AW389" s="35">
        <f>(VLOOKUP(Tabla4[[#This Row],[SERVICIO 2025]],$J$2:$V$14,3,0)*Tabla4[[#This Row],[TOTAL COBERTURA]])</f>
        <v>5151720</v>
      </c>
      <c r="AX389" s="35">
        <f>(VLOOKUP(Tabla4[[#This Row],[SERVICIO 2025]],$J$2:$V$14,3,0)*Tabla4[[#This Row],[TOTAL COBERTURA]])</f>
        <v>5151720</v>
      </c>
      <c r="AY389" s="35">
        <f>(VLOOKUP(Tabla4[[#This Row],[SERVICIO 2025]],$J$2:$V$14,3,0)*Tabla4[[#This Row],[TOTAL COBERTURA]])</f>
        <v>5151720</v>
      </c>
      <c r="AZ389" s="35">
        <f>(VLOOKUP(Tabla4[[#This Row],[SERVICIO 2025]],$J$2:$V$14,3,0)*Tabla4[[#This Row],[TOTAL COBERTURA]])</f>
        <v>5151720</v>
      </c>
      <c r="BA389" s="35">
        <f>(VLOOKUP(Tabla4[[#This Row],[SERVICIO 2025]],$J$2:$V$14,3,0)*Tabla4[[#This Row],[TOTAL COBERTURA]])+Tabla4[[#This Row],[VALOR FASE PREPARATORIA DE CIERRE]]</f>
        <v>5972300</v>
      </c>
      <c r="BB389" s="35">
        <f>SUM(Tabla4[[#This Row],[DESEMBOLSO 1]:[DESEMBOLSO 8]])</f>
        <v>43603860</v>
      </c>
      <c r="BC389" s="35">
        <f>VLOOKUP(Tabla4[[#This Row],[SERVICIO 2025]],$J$2:$V$14,10,0)*Tabla4[[#This Row],[TOTAL COBERTURA]]*$W$3</f>
        <v>28861280</v>
      </c>
      <c r="BD389" s="47" t="s">
        <v>211</v>
      </c>
      <c r="BE389" s="12" t="b">
        <f>EXACT(Tabla4[[#This Row],[VALOR ATENCIÓN (8 MESES)]],Tabla4[[#This Row],[VALOR TOTAL]])</f>
        <v>1</v>
      </c>
      <c r="BF389" s="23">
        <f>Tabla4[[#This Row],[VALOR ATENCIÓN (8 MESES)]]-Tabla4[[#This Row],[VALOR TOTAL]]</f>
        <v>0</v>
      </c>
      <c r="BG389" s="12" t="b">
        <f>EXACT(Tabla4[[#This Row],[TOTAL DESEMBOLSOS]],Tabla4[[#This Row],[VALOR ATENCIÓN (8 MESES)]])</f>
        <v>1</v>
      </c>
      <c r="BH389" s="29">
        <f>Tabla4[[#This Row],[TOTAL DESEMBOLSOS]]-Tabla4[[#This Row],[VALOR ATENCIÓN (8 MESES)]]</f>
        <v>0</v>
      </c>
      <c r="BI389" t="s">
        <v>98</v>
      </c>
      <c r="BJ389">
        <v>1917</v>
      </c>
    </row>
    <row r="390" spans="1:62">
      <c r="A390" s="13">
        <v>1919</v>
      </c>
      <c r="B390" s="13" t="s">
        <v>923</v>
      </c>
      <c r="C390" s="12" t="s">
        <v>87</v>
      </c>
      <c r="D390" s="12" t="s">
        <v>651</v>
      </c>
      <c r="E390" s="12" t="s">
        <v>924</v>
      </c>
      <c r="F390" s="12" t="s">
        <v>21</v>
      </c>
      <c r="G390" s="12" t="s">
        <v>90</v>
      </c>
      <c r="H390" s="12" t="s">
        <v>925</v>
      </c>
      <c r="I390" s="12">
        <v>50591136265</v>
      </c>
      <c r="J390" s="12" t="s">
        <v>926</v>
      </c>
      <c r="K390" s="12">
        <v>1</v>
      </c>
      <c r="L390" s="12">
        <v>23</v>
      </c>
      <c r="M390" s="12"/>
      <c r="N390" s="13">
        <v>1919</v>
      </c>
      <c r="O390" s="12" t="s">
        <v>93</v>
      </c>
      <c r="P390" s="12"/>
      <c r="Q390" s="12"/>
      <c r="R390" s="12" t="s">
        <v>94</v>
      </c>
      <c r="S390" s="12">
        <v>10</v>
      </c>
      <c r="T390" s="12" t="s">
        <v>927</v>
      </c>
      <c r="U390" s="12" t="s">
        <v>928</v>
      </c>
      <c r="V390" s="12">
        <f>VLOOKUP(Tabla4[[#This Row],[ZONA DEFINITIVO]],Hoja1!$A$1:$D$121,3,0)</f>
        <v>229097</v>
      </c>
      <c r="W390" s="12">
        <f>VLOOKUP(Tabla4[[#This Row],[ZONA DEFINITIVO]],Hoja1!$A$1:$D$121,2,0)</f>
        <v>15190</v>
      </c>
      <c r="X390" s="12">
        <f>VLOOKUP(Tabla4[[#This Row],[ZONA DEFINITIVO]],Hoja1!$A$1:$D$121,4,0)</f>
        <v>82525</v>
      </c>
      <c r="Y390" s="12">
        <f>+IF(Tabla4[[#This Row],[AGRUPACIONES]]=1,SUMIFS(Tabla4[UDS],Tabla4[ZONA DEFINITIVO],Tabla4[[#This Row],[ZONA DEFINITIVO]])," ")</f>
        <v>10</v>
      </c>
      <c r="Z390" s="12">
        <f>+IF(Tabla4[[#This Row],[AGRUPACIONES]]=1,SUMIFS(Tabla4[TOTAL COBERTURA],Tabla4[ZONA DEFINITIVO],Tabla4[[#This Row],[ZONA DEFINITIVO]])," ")</f>
        <v>186</v>
      </c>
      <c r="AA390" s="12"/>
      <c r="AB390" s="38">
        <v>34944015</v>
      </c>
      <c r="AC390" s="37">
        <v>0.02</v>
      </c>
      <c r="AD390" s="38">
        <f t="shared" si="6"/>
        <v>698880.3</v>
      </c>
      <c r="AE390" s="12"/>
      <c r="AF390" s="12">
        <f>COUNTIF($A$20:A390,A390)</f>
        <v>1</v>
      </c>
      <c r="AG390" s="38">
        <v>34944015</v>
      </c>
      <c r="AH390" s="38">
        <f>Tabla4[[#This Row],[VALOR CONTRAPARTIDA]]+Tabla4[[#This Row],[TOTAL APORTES ICBF]]</f>
        <v>35642895.299999997</v>
      </c>
      <c r="AI390" s="35">
        <f>ROUND(+IF(Tabla4[[#This Row],[AGRUPACIONES]]=1,SUMIFS(Tabla4[TOTAL APORTES ICBF],Tabla4[ZONA DEFINITIVO],Tabla4[[#This Row],[ZONA DEFINITIVO]])," "),0)</f>
        <v>282590730</v>
      </c>
      <c r="AJ390" s="38">
        <f>ROUND(+IF(Tabla4[[#This Row],[AGRUPACIONES]]=1,SUMIFS(Tabla4[VALOR CONTRAPARTIDA],Tabla4[ZONA DEFINITIVO],Tabla4[[#This Row],[ZONA DEFINITIVO]])," "),0)</f>
        <v>5651815</v>
      </c>
      <c r="AK390" s="38">
        <f>Tabla4[[#This Row],[TOTAL APORTES ICBF AGRUPADO]]+Tabla4[[#This Row],[TOTAL CONTRAPARTIDA AGRUPADO]]</f>
        <v>288242545</v>
      </c>
      <c r="AL390" s="23">
        <f>Tabla4[[#This Row],[TOTAL APORTES ICBF AGRUPADO]]/$AL$18</f>
        <v>198.51825079030559</v>
      </c>
      <c r="AM390" s="35">
        <f>VLOOKUP(Tabla4[[#This Row],[SERVICIO 2025]],$J$2:$V$14,5,0)*Tabla4[[#This Row],[TOTAL COBERTURA]]</f>
        <v>1075112</v>
      </c>
      <c r="AN390" s="35">
        <f>VLOOKUP(Tabla4[[#This Row],[SERVICIO 2025]],$J$2:$V$14,6,0)*Tabla4[[#This Row],[TOTAL COBERTURA]]</f>
        <v>870343</v>
      </c>
      <c r="AO390" s="35">
        <f>VLOOKUP(Tabla4[[#This Row],[SERVICIO 2025]],$J$2:$V$14,8,0)*Tabla4[[#This Row],[TOTAL COBERTURA]]</f>
        <v>0</v>
      </c>
      <c r="AP390" s="35">
        <f>VLOOKUP(Tabla4[[#This Row],[SERVICIO 2025]],$J$2:$V$14,3,0)*Tabla4[[#This Row],[TOTAL COBERTURA]]*8</f>
        <v>32998560</v>
      </c>
      <c r="AQ390" s="35"/>
      <c r="AR390" s="35">
        <f>Tabla4[[#This Row],[VALOR FASE PREPARATORIA DE ALISTAMIENTO]]+Tabla4[[#This Row],[VALOR FASE PREPARATORIA DE CIERRE]]+Tabla4[[#This Row],[DOTACIÓN ÚNICA]]+Tabla4[[#This Row],[VALOR ATENCIÓN]]+Tabla4[[#This Row],[VALOR RACION PREPARADA]]</f>
        <v>34944015</v>
      </c>
      <c r="AS390" s="35">
        <f>+IF(Tabla4[[#This Row],[AGRUPACIONES]]=1,SUMIFS(Tabla4[VALOR TOTAL],Tabla4[ZONA DEFINITIVO],Tabla4[[#This Row],[ZONA DEFINITIVO]])," ")</f>
        <v>282590730</v>
      </c>
      <c r="AT390" s="27">
        <f>(VLOOKUP(Tabla4[[#This Row],[SERVICIO 2025]],$J$2:$V$14,3,0)*Tabla4[[#This Row],[TOTAL COBERTURA]])+Tabla4[[#This Row],[VALOR FASE PREPARATORIA DE ALISTAMIENTO]]+Tabla4[[#This Row],[DOTACIÓN ÚNICA]]</f>
        <v>5199932</v>
      </c>
      <c r="AU390" s="35">
        <f>(VLOOKUP(Tabla4[[#This Row],[SERVICIO 2025]],$J$2:$V$14,3,0)*Tabla4[[#This Row],[TOTAL COBERTURA]])</f>
        <v>4124820</v>
      </c>
      <c r="AV390" s="35">
        <f>(VLOOKUP(Tabla4[[#This Row],[SERVICIO 2025]],$J$2:$V$14,3,0)*Tabla4[[#This Row],[TOTAL COBERTURA]])</f>
        <v>4124820</v>
      </c>
      <c r="AW390" s="35">
        <f>(VLOOKUP(Tabla4[[#This Row],[SERVICIO 2025]],$J$2:$V$14,3,0)*Tabla4[[#This Row],[TOTAL COBERTURA]])</f>
        <v>4124820</v>
      </c>
      <c r="AX390" s="35">
        <f>(VLOOKUP(Tabla4[[#This Row],[SERVICIO 2025]],$J$2:$V$14,3,0)*Tabla4[[#This Row],[TOTAL COBERTURA]])</f>
        <v>4124820</v>
      </c>
      <c r="AY390" s="35">
        <f>(VLOOKUP(Tabla4[[#This Row],[SERVICIO 2025]],$J$2:$V$14,3,0)*Tabla4[[#This Row],[TOTAL COBERTURA]])</f>
        <v>4124820</v>
      </c>
      <c r="AZ390" s="35">
        <f>(VLOOKUP(Tabla4[[#This Row],[SERVICIO 2025]],$J$2:$V$14,3,0)*Tabla4[[#This Row],[TOTAL COBERTURA]])</f>
        <v>4124820</v>
      </c>
      <c r="BA390" s="35">
        <f>(VLOOKUP(Tabla4[[#This Row],[SERVICIO 2025]],$J$2:$V$14,3,0)*Tabla4[[#This Row],[TOTAL COBERTURA]])+Tabla4[[#This Row],[VALOR FASE PREPARATORIA DE CIERRE]]</f>
        <v>4995163</v>
      </c>
      <c r="BB390" s="35">
        <f>SUM(Tabla4[[#This Row],[DESEMBOLSO 1]:[DESEMBOLSO 8]])</f>
        <v>34944015</v>
      </c>
      <c r="BC390" s="35">
        <f>VLOOKUP(Tabla4[[#This Row],[SERVICIO 2025]],$J$2:$V$14,10,0)*Tabla4[[#This Row],[TOTAL COBERTURA]]*$W$3</f>
        <v>34651064</v>
      </c>
      <c r="BD390" s="47" t="s">
        <v>211</v>
      </c>
      <c r="BE390" s="12" t="b">
        <f>EXACT(Tabla4[[#This Row],[VALOR ATENCIÓN (8 MESES)]],Tabla4[[#This Row],[VALOR TOTAL]])</f>
        <v>1</v>
      </c>
      <c r="BF390" s="23">
        <f>Tabla4[[#This Row],[VALOR ATENCIÓN (8 MESES)]]-Tabla4[[#This Row],[VALOR TOTAL]]</f>
        <v>0</v>
      </c>
      <c r="BG390" s="12" t="b">
        <f>EXACT(Tabla4[[#This Row],[TOTAL DESEMBOLSOS]],Tabla4[[#This Row],[VALOR ATENCIÓN (8 MESES)]])</f>
        <v>1</v>
      </c>
      <c r="BH390" s="29">
        <f>Tabla4[[#This Row],[TOTAL DESEMBOLSOS]]-Tabla4[[#This Row],[VALOR ATENCIÓN (8 MESES)]]</f>
        <v>0</v>
      </c>
      <c r="BI390" t="s">
        <v>98</v>
      </c>
      <c r="BJ390">
        <v>1919</v>
      </c>
    </row>
    <row r="391" spans="1:62">
      <c r="A391" s="13">
        <v>1919</v>
      </c>
      <c r="B391" s="13" t="s">
        <v>923</v>
      </c>
      <c r="C391" s="12" t="s">
        <v>87</v>
      </c>
      <c r="D391" s="12" t="s">
        <v>651</v>
      </c>
      <c r="E391" s="12" t="s">
        <v>924</v>
      </c>
      <c r="F391" s="12" t="s">
        <v>21</v>
      </c>
      <c r="G391" s="12" t="s">
        <v>90</v>
      </c>
      <c r="H391" s="12" t="s">
        <v>929</v>
      </c>
      <c r="I391" s="12">
        <v>50591152085</v>
      </c>
      <c r="J391" s="12" t="s">
        <v>930</v>
      </c>
      <c r="K391" s="12">
        <v>1</v>
      </c>
      <c r="L391" s="12">
        <v>10</v>
      </c>
      <c r="M391" s="12"/>
      <c r="N391" s="13">
        <v>1919</v>
      </c>
      <c r="O391" s="12" t="s">
        <v>93</v>
      </c>
      <c r="P391" s="12"/>
      <c r="Q391" s="12"/>
      <c r="R391" s="12" t="s">
        <v>94</v>
      </c>
      <c r="S391" s="12">
        <v>10</v>
      </c>
      <c r="T391" s="12" t="s">
        <v>927</v>
      </c>
      <c r="U391" s="12" t="s">
        <v>928</v>
      </c>
      <c r="V391" s="12">
        <f>VLOOKUP(Tabla4[[#This Row],[ZONA DEFINITIVO]],Hoja1!$A$1:$D$121,3,0)</f>
        <v>229097</v>
      </c>
      <c r="W391" s="12">
        <f>VLOOKUP(Tabla4[[#This Row],[ZONA DEFINITIVO]],Hoja1!$A$1:$D$121,2,0)</f>
        <v>15190</v>
      </c>
      <c r="X391" s="12">
        <f>VLOOKUP(Tabla4[[#This Row],[ZONA DEFINITIVO]],Hoja1!$A$1:$D$121,4,0)</f>
        <v>82525</v>
      </c>
      <c r="Y391" s="12" t="str">
        <f>+IF(Tabla4[[#This Row],[AGRUPACIONES]]=1,SUMIFS(Tabla4[UDS],Tabla4[ZONA DEFINITIVO],Tabla4[[#This Row],[ZONA DEFINITIVO]])," ")</f>
        <v xml:space="preserve"> </v>
      </c>
      <c r="Z391" s="12" t="str">
        <f>+IF(Tabla4[[#This Row],[AGRUPACIONES]]=1,SUMIFS(Tabla4[TOTAL COBERTURA],Tabla4[ZONA DEFINITIVO],Tabla4[[#This Row],[ZONA DEFINITIVO]])," ")</f>
        <v xml:space="preserve"> </v>
      </c>
      <c r="AA391" s="12"/>
      <c r="AB391" s="38">
        <v>15193050</v>
      </c>
      <c r="AC391" s="37">
        <v>0.02</v>
      </c>
      <c r="AD391" s="38">
        <f t="shared" si="6"/>
        <v>303861</v>
      </c>
      <c r="AE391" s="12"/>
      <c r="AF391" s="12">
        <f>COUNTIF($A$20:A391,A391)</f>
        <v>2</v>
      </c>
      <c r="AG391" s="38">
        <v>15193050</v>
      </c>
      <c r="AH391" s="38">
        <f>Tabla4[[#This Row],[VALOR CONTRAPARTIDA]]+Tabla4[[#This Row],[TOTAL APORTES ICBF]]</f>
        <v>15496911</v>
      </c>
      <c r="AI391" s="35"/>
      <c r="AJ391" s="38"/>
      <c r="AK391" s="38"/>
      <c r="AL391" s="23"/>
      <c r="AM391" s="35">
        <f>VLOOKUP(Tabla4[[#This Row],[SERVICIO 2025]],$J$2:$V$14,5,0)*Tabla4[[#This Row],[TOTAL COBERTURA]]</f>
        <v>467440</v>
      </c>
      <c r="AN391" s="35">
        <f>VLOOKUP(Tabla4[[#This Row],[SERVICIO 2025]],$J$2:$V$14,6,0)*Tabla4[[#This Row],[TOTAL COBERTURA]]</f>
        <v>378410</v>
      </c>
      <c r="AO391" s="35">
        <f>VLOOKUP(Tabla4[[#This Row],[SERVICIO 2025]],$J$2:$V$14,8,0)*Tabla4[[#This Row],[TOTAL COBERTURA]]</f>
        <v>0</v>
      </c>
      <c r="AP391" s="35">
        <f>VLOOKUP(Tabla4[[#This Row],[SERVICIO 2025]],$J$2:$V$14,3,0)*Tabla4[[#This Row],[TOTAL COBERTURA]]*8</f>
        <v>14347200</v>
      </c>
      <c r="AQ391" s="35"/>
      <c r="AR391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391" s="35" t="str">
        <f>+IF(Tabla4[[#This Row],[AGRUPACIONES]]=1,SUMIFS(Tabla4[VALOR TOTAL],Tabla4[ZONA DEFINITIVO],Tabla4[[#This Row],[ZONA DEFINITIVO]])," ")</f>
        <v xml:space="preserve"> </v>
      </c>
      <c r="AT391" s="27">
        <f>(VLOOKUP(Tabla4[[#This Row],[SERVICIO 2025]],$J$2:$V$14,3,0)*Tabla4[[#This Row],[TOTAL COBERTURA]])+Tabla4[[#This Row],[VALOR FASE PREPARATORIA DE ALISTAMIENTO]]+Tabla4[[#This Row],[DOTACIÓN ÚNICA]]</f>
        <v>2260840</v>
      </c>
      <c r="AU391" s="35">
        <f>(VLOOKUP(Tabla4[[#This Row],[SERVICIO 2025]],$J$2:$V$14,3,0)*Tabla4[[#This Row],[TOTAL COBERTURA]])</f>
        <v>1793400</v>
      </c>
      <c r="AV391" s="35">
        <f>(VLOOKUP(Tabla4[[#This Row],[SERVICIO 2025]],$J$2:$V$14,3,0)*Tabla4[[#This Row],[TOTAL COBERTURA]])</f>
        <v>1793400</v>
      </c>
      <c r="AW391" s="35">
        <f>(VLOOKUP(Tabla4[[#This Row],[SERVICIO 2025]],$J$2:$V$14,3,0)*Tabla4[[#This Row],[TOTAL COBERTURA]])</f>
        <v>1793400</v>
      </c>
      <c r="AX391" s="35">
        <f>(VLOOKUP(Tabla4[[#This Row],[SERVICIO 2025]],$J$2:$V$14,3,0)*Tabla4[[#This Row],[TOTAL COBERTURA]])</f>
        <v>1793400</v>
      </c>
      <c r="AY391" s="35">
        <f>(VLOOKUP(Tabla4[[#This Row],[SERVICIO 2025]],$J$2:$V$14,3,0)*Tabla4[[#This Row],[TOTAL COBERTURA]])</f>
        <v>1793400</v>
      </c>
      <c r="AZ391" s="35">
        <f>(VLOOKUP(Tabla4[[#This Row],[SERVICIO 2025]],$J$2:$V$14,3,0)*Tabla4[[#This Row],[TOTAL COBERTURA]])</f>
        <v>1793400</v>
      </c>
      <c r="BA391" s="35">
        <f>(VLOOKUP(Tabla4[[#This Row],[SERVICIO 2025]],$J$2:$V$14,3,0)*Tabla4[[#This Row],[TOTAL COBERTURA]])+Tabla4[[#This Row],[VALOR FASE PREPARATORIA DE CIERRE]]</f>
        <v>2171810</v>
      </c>
      <c r="BB391" s="35">
        <f>SUM(Tabla4[[#This Row],[DESEMBOLSO 1]:[DESEMBOLSO 8]])</f>
        <v>15193050</v>
      </c>
      <c r="BC391" s="35">
        <f>VLOOKUP(Tabla4[[#This Row],[SERVICIO 2025]],$J$2:$V$14,10,0)*Tabla4[[#This Row],[TOTAL COBERTURA]]*$W$3</f>
        <v>15065680</v>
      </c>
      <c r="BD391" s="47" t="s">
        <v>211</v>
      </c>
      <c r="BE391" s="12" t="b">
        <f>EXACT(Tabla4[[#This Row],[VALOR ATENCIÓN (8 MESES)]],Tabla4[[#This Row],[VALOR TOTAL]])</f>
        <v>1</v>
      </c>
      <c r="BF391" s="23">
        <f>Tabla4[[#This Row],[VALOR ATENCIÓN (8 MESES)]]-Tabla4[[#This Row],[VALOR TOTAL]]</f>
        <v>0</v>
      </c>
      <c r="BG391" s="12" t="b">
        <f>EXACT(Tabla4[[#This Row],[TOTAL DESEMBOLSOS]],Tabla4[[#This Row],[VALOR ATENCIÓN (8 MESES)]])</f>
        <v>1</v>
      </c>
      <c r="BH391" s="29">
        <f>Tabla4[[#This Row],[TOTAL DESEMBOLSOS]]-Tabla4[[#This Row],[VALOR ATENCIÓN (8 MESES)]]</f>
        <v>0</v>
      </c>
      <c r="BI391" t="s">
        <v>98</v>
      </c>
      <c r="BJ391">
        <v>1919</v>
      </c>
    </row>
    <row r="392" spans="1:62">
      <c r="A392" s="13">
        <v>1919</v>
      </c>
      <c r="B392" s="13" t="s">
        <v>923</v>
      </c>
      <c r="C392" s="12" t="s">
        <v>87</v>
      </c>
      <c r="D392" s="12" t="s">
        <v>651</v>
      </c>
      <c r="E392" s="12" t="s">
        <v>924</v>
      </c>
      <c r="F392" s="12" t="s">
        <v>21</v>
      </c>
      <c r="G392" s="12" t="s">
        <v>90</v>
      </c>
      <c r="H392" s="12" t="s">
        <v>931</v>
      </c>
      <c r="I392" s="12">
        <v>505900099526</v>
      </c>
      <c r="J392" s="12" t="s">
        <v>932</v>
      </c>
      <c r="K392" s="12">
        <v>1</v>
      </c>
      <c r="L392" s="12">
        <v>63</v>
      </c>
      <c r="M392" s="12"/>
      <c r="N392" s="13">
        <v>1919</v>
      </c>
      <c r="O392" s="12" t="s">
        <v>93</v>
      </c>
      <c r="P392" s="12"/>
      <c r="Q392" s="12"/>
      <c r="R392" s="12" t="s">
        <v>94</v>
      </c>
      <c r="S392" s="12">
        <v>10</v>
      </c>
      <c r="T392" s="12" t="s">
        <v>927</v>
      </c>
      <c r="U392" s="12" t="s">
        <v>928</v>
      </c>
      <c r="V392" s="12">
        <f>VLOOKUP(Tabla4[[#This Row],[ZONA DEFINITIVO]],Hoja1!$A$1:$D$121,3,0)</f>
        <v>229097</v>
      </c>
      <c r="W392" s="12">
        <f>VLOOKUP(Tabla4[[#This Row],[ZONA DEFINITIVO]],Hoja1!$A$1:$D$121,2,0)</f>
        <v>15190</v>
      </c>
      <c r="X392" s="12">
        <f>VLOOKUP(Tabla4[[#This Row],[ZONA DEFINITIVO]],Hoja1!$A$1:$D$121,4,0)</f>
        <v>82525</v>
      </c>
      <c r="Y392" s="12" t="str">
        <f>+IF(Tabla4[[#This Row],[AGRUPACIONES]]=1,SUMIFS(Tabla4[UDS],Tabla4[ZONA DEFINITIVO],Tabla4[[#This Row],[ZONA DEFINITIVO]])," ")</f>
        <v xml:space="preserve"> </v>
      </c>
      <c r="Z392" s="12" t="str">
        <f>+IF(Tabla4[[#This Row],[AGRUPACIONES]]=1,SUMIFS(Tabla4[TOTAL COBERTURA],Tabla4[ZONA DEFINITIVO],Tabla4[[#This Row],[ZONA DEFINITIVO]])," ")</f>
        <v xml:space="preserve"> </v>
      </c>
      <c r="AA392" s="12"/>
      <c r="AB392" s="38">
        <v>95716215</v>
      </c>
      <c r="AC392" s="37">
        <v>0.02</v>
      </c>
      <c r="AD392" s="38">
        <f t="shared" si="6"/>
        <v>1914324.3</v>
      </c>
      <c r="AE392" s="12"/>
      <c r="AF392" s="12">
        <f>COUNTIF($A$20:A392,A392)</f>
        <v>3</v>
      </c>
      <c r="AG392" s="38">
        <v>95716215</v>
      </c>
      <c r="AH392" s="38">
        <f>Tabla4[[#This Row],[VALOR CONTRAPARTIDA]]+Tabla4[[#This Row],[TOTAL APORTES ICBF]]</f>
        <v>97630539.299999997</v>
      </c>
      <c r="AI392" s="35"/>
      <c r="AJ392" s="38"/>
      <c r="AK392" s="38"/>
      <c r="AL392" s="23"/>
      <c r="AM392" s="35">
        <f>VLOOKUP(Tabla4[[#This Row],[SERVICIO 2025]],$J$2:$V$14,5,0)*Tabla4[[#This Row],[TOTAL COBERTURA]]</f>
        <v>2944872</v>
      </c>
      <c r="AN392" s="35">
        <f>VLOOKUP(Tabla4[[#This Row],[SERVICIO 2025]],$J$2:$V$14,6,0)*Tabla4[[#This Row],[TOTAL COBERTURA]]</f>
        <v>2383983</v>
      </c>
      <c r="AO392" s="35">
        <f>VLOOKUP(Tabla4[[#This Row],[SERVICIO 2025]],$J$2:$V$14,8,0)*Tabla4[[#This Row],[TOTAL COBERTURA]]</f>
        <v>0</v>
      </c>
      <c r="AP392" s="35">
        <f>VLOOKUP(Tabla4[[#This Row],[SERVICIO 2025]],$J$2:$V$14,3,0)*Tabla4[[#This Row],[TOTAL COBERTURA]]*8</f>
        <v>90387360</v>
      </c>
      <c r="AQ392" s="35"/>
      <c r="AR392" s="35">
        <f>Tabla4[[#This Row],[VALOR FASE PREPARATORIA DE ALISTAMIENTO]]+Tabla4[[#This Row],[VALOR FASE PREPARATORIA DE CIERRE]]+Tabla4[[#This Row],[DOTACIÓN ÚNICA]]+Tabla4[[#This Row],[VALOR ATENCIÓN]]+Tabla4[[#This Row],[VALOR RACION PREPARADA]]</f>
        <v>95716215</v>
      </c>
      <c r="AS392" s="35" t="str">
        <f>+IF(Tabla4[[#This Row],[AGRUPACIONES]]=1,SUMIFS(Tabla4[VALOR TOTAL],Tabla4[ZONA DEFINITIVO],Tabla4[[#This Row],[ZONA DEFINITIVO]])," ")</f>
        <v xml:space="preserve"> </v>
      </c>
      <c r="AT392" s="27">
        <f>(VLOOKUP(Tabla4[[#This Row],[SERVICIO 2025]],$J$2:$V$14,3,0)*Tabla4[[#This Row],[TOTAL COBERTURA]])+Tabla4[[#This Row],[VALOR FASE PREPARATORIA DE ALISTAMIENTO]]+Tabla4[[#This Row],[DOTACIÓN ÚNICA]]</f>
        <v>14243292</v>
      </c>
      <c r="AU392" s="35">
        <f>(VLOOKUP(Tabla4[[#This Row],[SERVICIO 2025]],$J$2:$V$14,3,0)*Tabla4[[#This Row],[TOTAL COBERTURA]])</f>
        <v>11298420</v>
      </c>
      <c r="AV392" s="35">
        <f>(VLOOKUP(Tabla4[[#This Row],[SERVICIO 2025]],$J$2:$V$14,3,0)*Tabla4[[#This Row],[TOTAL COBERTURA]])</f>
        <v>11298420</v>
      </c>
      <c r="AW392" s="35">
        <f>(VLOOKUP(Tabla4[[#This Row],[SERVICIO 2025]],$J$2:$V$14,3,0)*Tabla4[[#This Row],[TOTAL COBERTURA]])</f>
        <v>11298420</v>
      </c>
      <c r="AX392" s="35">
        <f>(VLOOKUP(Tabla4[[#This Row],[SERVICIO 2025]],$J$2:$V$14,3,0)*Tabla4[[#This Row],[TOTAL COBERTURA]])</f>
        <v>11298420</v>
      </c>
      <c r="AY392" s="35">
        <f>(VLOOKUP(Tabla4[[#This Row],[SERVICIO 2025]],$J$2:$V$14,3,0)*Tabla4[[#This Row],[TOTAL COBERTURA]])</f>
        <v>11298420</v>
      </c>
      <c r="AZ392" s="35">
        <f>(VLOOKUP(Tabla4[[#This Row],[SERVICIO 2025]],$J$2:$V$14,3,0)*Tabla4[[#This Row],[TOTAL COBERTURA]])</f>
        <v>11298420</v>
      </c>
      <c r="BA392" s="35">
        <f>(VLOOKUP(Tabla4[[#This Row],[SERVICIO 2025]],$J$2:$V$14,3,0)*Tabla4[[#This Row],[TOTAL COBERTURA]])+Tabla4[[#This Row],[VALOR FASE PREPARATORIA DE CIERRE]]</f>
        <v>13682403</v>
      </c>
      <c r="BB392" s="35">
        <f>SUM(Tabla4[[#This Row],[DESEMBOLSO 1]:[DESEMBOLSO 8]])</f>
        <v>95716215</v>
      </c>
      <c r="BC392" s="35">
        <f>VLOOKUP(Tabla4[[#This Row],[SERVICIO 2025]],$J$2:$V$14,10,0)*Tabla4[[#This Row],[TOTAL COBERTURA]]*$W$3</f>
        <v>94913784</v>
      </c>
      <c r="BD392" s="47" t="s">
        <v>211</v>
      </c>
      <c r="BE392" s="12" t="b">
        <f>EXACT(Tabla4[[#This Row],[VALOR ATENCIÓN (8 MESES)]],Tabla4[[#This Row],[VALOR TOTAL]])</f>
        <v>1</v>
      </c>
      <c r="BF392" s="23">
        <f>Tabla4[[#This Row],[VALOR ATENCIÓN (8 MESES)]]-Tabla4[[#This Row],[VALOR TOTAL]]</f>
        <v>0</v>
      </c>
      <c r="BG392" s="12" t="b">
        <f>EXACT(Tabla4[[#This Row],[TOTAL DESEMBOLSOS]],Tabla4[[#This Row],[VALOR ATENCIÓN (8 MESES)]])</f>
        <v>1</v>
      </c>
      <c r="BH392" s="29">
        <f>Tabla4[[#This Row],[TOTAL DESEMBOLSOS]]-Tabla4[[#This Row],[VALOR ATENCIÓN (8 MESES)]]</f>
        <v>0</v>
      </c>
      <c r="BI392" t="s">
        <v>98</v>
      </c>
      <c r="BJ392">
        <v>1919</v>
      </c>
    </row>
    <row r="393" spans="1:62">
      <c r="A393" s="13">
        <v>1919</v>
      </c>
      <c r="B393" s="13" t="s">
        <v>923</v>
      </c>
      <c r="C393" s="12" t="s">
        <v>87</v>
      </c>
      <c r="D393" s="12" t="s">
        <v>651</v>
      </c>
      <c r="E393" s="12" t="s">
        <v>933</v>
      </c>
      <c r="F393" s="12" t="s">
        <v>21</v>
      </c>
      <c r="G393" s="12" t="s">
        <v>90</v>
      </c>
      <c r="H393" s="12" t="s">
        <v>934</v>
      </c>
      <c r="I393" s="12">
        <v>58091136200</v>
      </c>
      <c r="J393" s="12" t="s">
        <v>935</v>
      </c>
      <c r="K393" s="12">
        <v>1</v>
      </c>
      <c r="L393" s="12">
        <v>15</v>
      </c>
      <c r="M393" s="12"/>
      <c r="N393" s="13">
        <v>1919</v>
      </c>
      <c r="O393" s="12" t="s">
        <v>93</v>
      </c>
      <c r="P393" s="12"/>
      <c r="Q393" s="12"/>
      <c r="R393" s="12" t="s">
        <v>94</v>
      </c>
      <c r="S393" s="12">
        <v>10</v>
      </c>
      <c r="T393" s="12" t="s">
        <v>927</v>
      </c>
      <c r="U393" s="12" t="s">
        <v>928</v>
      </c>
      <c r="V393" s="12">
        <f>VLOOKUP(Tabla4[[#This Row],[ZONA DEFINITIVO]],Hoja1!$A$1:$D$121,3,0)</f>
        <v>229097</v>
      </c>
      <c r="W393" s="12">
        <f>VLOOKUP(Tabla4[[#This Row],[ZONA DEFINITIVO]],Hoja1!$A$1:$D$121,2,0)</f>
        <v>15190</v>
      </c>
      <c r="X393" s="12">
        <f>VLOOKUP(Tabla4[[#This Row],[ZONA DEFINITIVO]],Hoja1!$A$1:$D$121,4,0)</f>
        <v>82525</v>
      </c>
      <c r="Y393" s="12" t="str">
        <f>+IF(Tabla4[[#This Row],[AGRUPACIONES]]=1,SUMIFS(Tabla4[UDS],Tabla4[ZONA DEFINITIVO],Tabla4[[#This Row],[ZONA DEFINITIVO]])," ")</f>
        <v xml:space="preserve"> </v>
      </c>
      <c r="Z393" s="12" t="str">
        <f>+IF(Tabla4[[#This Row],[AGRUPACIONES]]=1,SUMIFS(Tabla4[TOTAL COBERTURA],Tabla4[ZONA DEFINITIVO],Tabla4[[#This Row],[ZONA DEFINITIVO]])," ")</f>
        <v xml:space="preserve"> </v>
      </c>
      <c r="AA393" s="12"/>
      <c r="AB393" s="38">
        <v>22789575</v>
      </c>
      <c r="AC393" s="37">
        <v>0.02</v>
      </c>
      <c r="AD393" s="38">
        <f t="shared" si="6"/>
        <v>455791.5</v>
      </c>
      <c r="AE393" s="12"/>
      <c r="AF393" s="12">
        <f>COUNTIF($A$20:A393,A393)</f>
        <v>4</v>
      </c>
      <c r="AG393" s="38">
        <v>22789575</v>
      </c>
      <c r="AH393" s="38">
        <f>Tabla4[[#This Row],[VALOR CONTRAPARTIDA]]+Tabla4[[#This Row],[TOTAL APORTES ICBF]]</f>
        <v>23245366.5</v>
      </c>
      <c r="AI393" s="35"/>
      <c r="AJ393" s="38"/>
      <c r="AK393" s="38"/>
      <c r="AL393" s="23"/>
      <c r="AM393" s="35">
        <f>VLOOKUP(Tabla4[[#This Row],[SERVICIO 2025]],$J$2:$V$14,5,0)*Tabla4[[#This Row],[TOTAL COBERTURA]]</f>
        <v>701160</v>
      </c>
      <c r="AN393" s="35">
        <f>VLOOKUP(Tabla4[[#This Row],[SERVICIO 2025]],$J$2:$V$14,6,0)*Tabla4[[#This Row],[TOTAL COBERTURA]]</f>
        <v>567615</v>
      </c>
      <c r="AO393" s="35">
        <f>VLOOKUP(Tabla4[[#This Row],[SERVICIO 2025]],$J$2:$V$14,8,0)*Tabla4[[#This Row],[TOTAL COBERTURA]]</f>
        <v>0</v>
      </c>
      <c r="AP393" s="35">
        <f>VLOOKUP(Tabla4[[#This Row],[SERVICIO 2025]],$J$2:$V$14,3,0)*Tabla4[[#This Row],[TOTAL COBERTURA]]*8</f>
        <v>21520800</v>
      </c>
      <c r="AQ393" s="35"/>
      <c r="AR393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393" s="35" t="str">
        <f>+IF(Tabla4[[#This Row],[AGRUPACIONES]]=1,SUMIFS(Tabla4[VALOR TOTAL],Tabla4[ZONA DEFINITIVO],Tabla4[[#This Row],[ZONA DEFINITIVO]])," ")</f>
        <v xml:space="preserve"> </v>
      </c>
      <c r="AT393" s="27">
        <f>(VLOOKUP(Tabla4[[#This Row],[SERVICIO 2025]],$J$2:$V$14,3,0)*Tabla4[[#This Row],[TOTAL COBERTURA]])+Tabla4[[#This Row],[VALOR FASE PREPARATORIA DE ALISTAMIENTO]]+Tabla4[[#This Row],[DOTACIÓN ÚNICA]]</f>
        <v>3391260</v>
      </c>
      <c r="AU393" s="35">
        <f>(VLOOKUP(Tabla4[[#This Row],[SERVICIO 2025]],$J$2:$V$14,3,0)*Tabla4[[#This Row],[TOTAL COBERTURA]])</f>
        <v>2690100</v>
      </c>
      <c r="AV393" s="35">
        <f>(VLOOKUP(Tabla4[[#This Row],[SERVICIO 2025]],$J$2:$V$14,3,0)*Tabla4[[#This Row],[TOTAL COBERTURA]])</f>
        <v>2690100</v>
      </c>
      <c r="AW393" s="35">
        <f>(VLOOKUP(Tabla4[[#This Row],[SERVICIO 2025]],$J$2:$V$14,3,0)*Tabla4[[#This Row],[TOTAL COBERTURA]])</f>
        <v>2690100</v>
      </c>
      <c r="AX393" s="35">
        <f>(VLOOKUP(Tabla4[[#This Row],[SERVICIO 2025]],$J$2:$V$14,3,0)*Tabla4[[#This Row],[TOTAL COBERTURA]])</f>
        <v>2690100</v>
      </c>
      <c r="AY393" s="35">
        <f>(VLOOKUP(Tabla4[[#This Row],[SERVICIO 2025]],$J$2:$V$14,3,0)*Tabla4[[#This Row],[TOTAL COBERTURA]])</f>
        <v>2690100</v>
      </c>
      <c r="AZ393" s="35">
        <f>(VLOOKUP(Tabla4[[#This Row],[SERVICIO 2025]],$J$2:$V$14,3,0)*Tabla4[[#This Row],[TOTAL COBERTURA]])</f>
        <v>2690100</v>
      </c>
      <c r="BA393" s="35">
        <f>(VLOOKUP(Tabla4[[#This Row],[SERVICIO 2025]],$J$2:$V$14,3,0)*Tabla4[[#This Row],[TOTAL COBERTURA]])+Tabla4[[#This Row],[VALOR FASE PREPARATORIA DE CIERRE]]</f>
        <v>3257715</v>
      </c>
      <c r="BB393" s="35">
        <f>SUM(Tabla4[[#This Row],[DESEMBOLSO 1]:[DESEMBOLSO 8]])</f>
        <v>22789575</v>
      </c>
      <c r="BC393" s="35">
        <f>VLOOKUP(Tabla4[[#This Row],[SERVICIO 2025]],$J$2:$V$14,10,0)*Tabla4[[#This Row],[TOTAL COBERTURA]]*$W$3</f>
        <v>22598520</v>
      </c>
      <c r="BD393" s="47" t="s">
        <v>211</v>
      </c>
      <c r="BE393" s="12" t="b">
        <f>EXACT(Tabla4[[#This Row],[VALOR ATENCIÓN (8 MESES)]],Tabla4[[#This Row],[VALOR TOTAL]])</f>
        <v>1</v>
      </c>
      <c r="BF393" s="23">
        <f>Tabla4[[#This Row],[VALOR ATENCIÓN (8 MESES)]]-Tabla4[[#This Row],[VALOR TOTAL]]</f>
        <v>0</v>
      </c>
      <c r="BG393" s="12" t="b">
        <f>EXACT(Tabla4[[#This Row],[TOTAL DESEMBOLSOS]],Tabla4[[#This Row],[VALOR ATENCIÓN (8 MESES)]])</f>
        <v>1</v>
      </c>
      <c r="BH393" s="29">
        <f>Tabla4[[#This Row],[TOTAL DESEMBOLSOS]]-Tabla4[[#This Row],[VALOR ATENCIÓN (8 MESES)]]</f>
        <v>0</v>
      </c>
      <c r="BI393" t="s">
        <v>98</v>
      </c>
      <c r="BJ393">
        <v>1919</v>
      </c>
    </row>
    <row r="394" spans="1:62">
      <c r="A394" s="13">
        <v>1919</v>
      </c>
      <c r="B394" s="13" t="s">
        <v>923</v>
      </c>
      <c r="C394" s="12" t="s">
        <v>87</v>
      </c>
      <c r="D394" s="12" t="s">
        <v>651</v>
      </c>
      <c r="E394" s="12" t="s">
        <v>933</v>
      </c>
      <c r="F394" s="12" t="s">
        <v>21</v>
      </c>
      <c r="G394" s="12" t="s">
        <v>90</v>
      </c>
      <c r="H394" s="12" t="s">
        <v>936</v>
      </c>
      <c r="I394" s="12">
        <v>58091136201</v>
      </c>
      <c r="J394" s="12" t="s">
        <v>937</v>
      </c>
      <c r="K394" s="12">
        <v>1</v>
      </c>
      <c r="L394" s="12">
        <v>8</v>
      </c>
      <c r="M394" s="12"/>
      <c r="N394" s="13">
        <v>1919</v>
      </c>
      <c r="O394" s="12" t="s">
        <v>93</v>
      </c>
      <c r="P394" s="12"/>
      <c r="Q394" s="12"/>
      <c r="R394" s="12" t="s">
        <v>94</v>
      </c>
      <c r="S394" s="12">
        <v>10</v>
      </c>
      <c r="T394" s="12" t="s">
        <v>927</v>
      </c>
      <c r="U394" s="12" t="s">
        <v>928</v>
      </c>
      <c r="V394" s="12">
        <f>VLOOKUP(Tabla4[[#This Row],[ZONA DEFINITIVO]],Hoja1!$A$1:$D$121,3,0)</f>
        <v>229097</v>
      </c>
      <c r="W394" s="12">
        <f>VLOOKUP(Tabla4[[#This Row],[ZONA DEFINITIVO]],Hoja1!$A$1:$D$121,2,0)</f>
        <v>15190</v>
      </c>
      <c r="X394" s="12">
        <f>VLOOKUP(Tabla4[[#This Row],[ZONA DEFINITIVO]],Hoja1!$A$1:$D$121,4,0)</f>
        <v>82525</v>
      </c>
      <c r="Y394" s="12" t="str">
        <f>+IF(Tabla4[[#This Row],[AGRUPACIONES]]=1,SUMIFS(Tabla4[UDS],Tabla4[ZONA DEFINITIVO],Tabla4[[#This Row],[ZONA DEFINITIVO]])," ")</f>
        <v xml:space="preserve"> </v>
      </c>
      <c r="Z394" s="12" t="str">
        <f>+IF(Tabla4[[#This Row],[AGRUPACIONES]]=1,SUMIFS(Tabla4[TOTAL COBERTURA],Tabla4[ZONA DEFINITIVO],Tabla4[[#This Row],[ZONA DEFINITIVO]])," ")</f>
        <v xml:space="preserve"> </v>
      </c>
      <c r="AA394" s="12"/>
      <c r="AB394" s="38">
        <v>12154440</v>
      </c>
      <c r="AC394" s="37">
        <v>0.02</v>
      </c>
      <c r="AD394" s="38">
        <f t="shared" si="6"/>
        <v>243088.80000000002</v>
      </c>
      <c r="AE394" s="12"/>
      <c r="AF394" s="12">
        <f>COUNTIF($A$20:A394,A394)</f>
        <v>5</v>
      </c>
      <c r="AG394" s="38">
        <v>12154440</v>
      </c>
      <c r="AH394" s="38">
        <f>Tabla4[[#This Row],[VALOR CONTRAPARTIDA]]+Tabla4[[#This Row],[TOTAL APORTES ICBF]]</f>
        <v>12397528.800000001</v>
      </c>
      <c r="AI394" s="35"/>
      <c r="AJ394" s="38"/>
      <c r="AK394" s="38"/>
      <c r="AL394" s="23"/>
      <c r="AM394" s="35">
        <f>VLOOKUP(Tabla4[[#This Row],[SERVICIO 2025]],$J$2:$V$14,5,0)*Tabla4[[#This Row],[TOTAL COBERTURA]]</f>
        <v>373952</v>
      </c>
      <c r="AN394" s="35">
        <f>VLOOKUP(Tabla4[[#This Row],[SERVICIO 2025]],$J$2:$V$14,6,0)*Tabla4[[#This Row],[TOTAL COBERTURA]]</f>
        <v>302728</v>
      </c>
      <c r="AO394" s="35">
        <f>VLOOKUP(Tabla4[[#This Row],[SERVICIO 2025]],$J$2:$V$14,8,0)*Tabla4[[#This Row],[TOTAL COBERTURA]]</f>
        <v>0</v>
      </c>
      <c r="AP394" s="35">
        <f>VLOOKUP(Tabla4[[#This Row],[SERVICIO 2025]],$J$2:$V$14,3,0)*Tabla4[[#This Row],[TOTAL COBERTURA]]*8</f>
        <v>11477760</v>
      </c>
      <c r="AQ394" s="35"/>
      <c r="AR394" s="35">
        <f>Tabla4[[#This Row],[VALOR FASE PREPARATORIA DE ALISTAMIENTO]]+Tabla4[[#This Row],[VALOR FASE PREPARATORIA DE CIERRE]]+Tabla4[[#This Row],[DOTACIÓN ÚNICA]]+Tabla4[[#This Row],[VALOR ATENCIÓN]]+Tabla4[[#This Row],[VALOR RACION PREPARADA]]</f>
        <v>12154440</v>
      </c>
      <c r="AS394" s="35" t="str">
        <f>+IF(Tabla4[[#This Row],[AGRUPACIONES]]=1,SUMIFS(Tabla4[VALOR TOTAL],Tabla4[ZONA DEFINITIVO],Tabla4[[#This Row],[ZONA DEFINITIVO]])," ")</f>
        <v xml:space="preserve"> </v>
      </c>
      <c r="AT394" s="27">
        <f>(VLOOKUP(Tabla4[[#This Row],[SERVICIO 2025]],$J$2:$V$14,3,0)*Tabla4[[#This Row],[TOTAL COBERTURA]])+Tabla4[[#This Row],[VALOR FASE PREPARATORIA DE ALISTAMIENTO]]+Tabla4[[#This Row],[DOTACIÓN ÚNICA]]</f>
        <v>1808672</v>
      </c>
      <c r="AU394" s="35">
        <f>(VLOOKUP(Tabla4[[#This Row],[SERVICIO 2025]],$J$2:$V$14,3,0)*Tabla4[[#This Row],[TOTAL COBERTURA]])</f>
        <v>1434720</v>
      </c>
      <c r="AV394" s="35">
        <f>(VLOOKUP(Tabla4[[#This Row],[SERVICIO 2025]],$J$2:$V$14,3,0)*Tabla4[[#This Row],[TOTAL COBERTURA]])</f>
        <v>1434720</v>
      </c>
      <c r="AW394" s="35">
        <f>(VLOOKUP(Tabla4[[#This Row],[SERVICIO 2025]],$J$2:$V$14,3,0)*Tabla4[[#This Row],[TOTAL COBERTURA]])</f>
        <v>1434720</v>
      </c>
      <c r="AX394" s="35">
        <f>(VLOOKUP(Tabla4[[#This Row],[SERVICIO 2025]],$J$2:$V$14,3,0)*Tabla4[[#This Row],[TOTAL COBERTURA]])</f>
        <v>1434720</v>
      </c>
      <c r="AY394" s="35">
        <f>(VLOOKUP(Tabla4[[#This Row],[SERVICIO 2025]],$J$2:$V$14,3,0)*Tabla4[[#This Row],[TOTAL COBERTURA]])</f>
        <v>1434720</v>
      </c>
      <c r="AZ394" s="35">
        <f>(VLOOKUP(Tabla4[[#This Row],[SERVICIO 2025]],$J$2:$V$14,3,0)*Tabla4[[#This Row],[TOTAL COBERTURA]])</f>
        <v>1434720</v>
      </c>
      <c r="BA394" s="35">
        <f>(VLOOKUP(Tabla4[[#This Row],[SERVICIO 2025]],$J$2:$V$14,3,0)*Tabla4[[#This Row],[TOTAL COBERTURA]])+Tabla4[[#This Row],[VALOR FASE PREPARATORIA DE CIERRE]]</f>
        <v>1737448</v>
      </c>
      <c r="BB394" s="35">
        <f>SUM(Tabla4[[#This Row],[DESEMBOLSO 1]:[DESEMBOLSO 8]])</f>
        <v>12154440</v>
      </c>
      <c r="BC394" s="35">
        <f>VLOOKUP(Tabla4[[#This Row],[SERVICIO 2025]],$J$2:$V$14,10,0)*Tabla4[[#This Row],[TOTAL COBERTURA]]*$W$3</f>
        <v>12052544</v>
      </c>
      <c r="BD394" s="47" t="s">
        <v>211</v>
      </c>
      <c r="BE394" s="12" t="b">
        <f>EXACT(Tabla4[[#This Row],[VALOR ATENCIÓN (8 MESES)]],Tabla4[[#This Row],[VALOR TOTAL]])</f>
        <v>1</v>
      </c>
      <c r="BF394" s="23">
        <f>Tabla4[[#This Row],[VALOR ATENCIÓN (8 MESES)]]-Tabla4[[#This Row],[VALOR TOTAL]]</f>
        <v>0</v>
      </c>
      <c r="BG394" s="12" t="b">
        <f>EXACT(Tabla4[[#This Row],[TOTAL DESEMBOLSOS]],Tabla4[[#This Row],[VALOR ATENCIÓN (8 MESES)]])</f>
        <v>1</v>
      </c>
      <c r="BH394" s="29">
        <f>Tabla4[[#This Row],[TOTAL DESEMBOLSOS]]-Tabla4[[#This Row],[VALOR ATENCIÓN (8 MESES)]]</f>
        <v>0</v>
      </c>
      <c r="BI394" t="s">
        <v>98</v>
      </c>
      <c r="BJ394">
        <v>1919</v>
      </c>
    </row>
    <row r="395" spans="1:62">
      <c r="A395" s="13">
        <v>1919</v>
      </c>
      <c r="B395" s="13" t="s">
        <v>923</v>
      </c>
      <c r="C395" s="12" t="s">
        <v>87</v>
      </c>
      <c r="D395" s="12" t="s">
        <v>651</v>
      </c>
      <c r="E395" s="12" t="s">
        <v>933</v>
      </c>
      <c r="F395" s="12" t="s">
        <v>21</v>
      </c>
      <c r="G395" s="12" t="s">
        <v>90</v>
      </c>
      <c r="H395" s="12" t="s">
        <v>585</v>
      </c>
      <c r="I395" s="12">
        <v>58091136203</v>
      </c>
      <c r="J395" s="12" t="s">
        <v>938</v>
      </c>
      <c r="K395" s="12">
        <v>1</v>
      </c>
      <c r="L395" s="12">
        <v>12</v>
      </c>
      <c r="M395" s="12"/>
      <c r="N395" s="13">
        <v>1919</v>
      </c>
      <c r="O395" s="12" t="s">
        <v>93</v>
      </c>
      <c r="P395" s="12"/>
      <c r="Q395" s="12"/>
      <c r="R395" s="12" t="s">
        <v>94</v>
      </c>
      <c r="S395" s="12">
        <v>10</v>
      </c>
      <c r="T395" s="12" t="s">
        <v>927</v>
      </c>
      <c r="U395" s="12" t="s">
        <v>928</v>
      </c>
      <c r="V395" s="12">
        <f>VLOOKUP(Tabla4[[#This Row],[ZONA DEFINITIVO]],Hoja1!$A$1:$D$121,3,0)</f>
        <v>229097</v>
      </c>
      <c r="W395" s="12">
        <f>VLOOKUP(Tabla4[[#This Row],[ZONA DEFINITIVO]],Hoja1!$A$1:$D$121,2,0)</f>
        <v>15190</v>
      </c>
      <c r="X395" s="12">
        <f>VLOOKUP(Tabla4[[#This Row],[ZONA DEFINITIVO]],Hoja1!$A$1:$D$121,4,0)</f>
        <v>82525</v>
      </c>
      <c r="Y395" s="12" t="str">
        <f>+IF(Tabla4[[#This Row],[AGRUPACIONES]]=1,SUMIFS(Tabla4[UDS],Tabla4[ZONA DEFINITIVO],Tabla4[[#This Row],[ZONA DEFINITIVO]])," ")</f>
        <v xml:space="preserve"> </v>
      </c>
      <c r="Z395" s="12" t="str">
        <f>+IF(Tabla4[[#This Row],[AGRUPACIONES]]=1,SUMIFS(Tabla4[TOTAL COBERTURA],Tabla4[ZONA DEFINITIVO],Tabla4[[#This Row],[ZONA DEFINITIVO]])," ")</f>
        <v xml:space="preserve"> </v>
      </c>
      <c r="AA395" s="12"/>
      <c r="AB395" s="38">
        <v>18231660</v>
      </c>
      <c r="AC395" s="37">
        <v>0.02</v>
      </c>
      <c r="AD395" s="38">
        <f t="shared" si="6"/>
        <v>364633.2</v>
      </c>
      <c r="AE395" s="12"/>
      <c r="AF395" s="12">
        <f>COUNTIF($A$20:A395,A395)</f>
        <v>6</v>
      </c>
      <c r="AG395" s="38">
        <v>18231660</v>
      </c>
      <c r="AH395" s="38">
        <f>Tabla4[[#This Row],[VALOR CONTRAPARTIDA]]+Tabla4[[#This Row],[TOTAL APORTES ICBF]]</f>
        <v>18596293.199999999</v>
      </c>
      <c r="AI395" s="35"/>
      <c r="AJ395" s="38"/>
      <c r="AK395" s="38"/>
      <c r="AL395" s="23"/>
      <c r="AM395" s="35">
        <f>VLOOKUP(Tabla4[[#This Row],[SERVICIO 2025]],$J$2:$V$14,5,0)*Tabla4[[#This Row],[TOTAL COBERTURA]]</f>
        <v>560928</v>
      </c>
      <c r="AN395" s="35">
        <f>VLOOKUP(Tabla4[[#This Row],[SERVICIO 2025]],$J$2:$V$14,6,0)*Tabla4[[#This Row],[TOTAL COBERTURA]]</f>
        <v>454092</v>
      </c>
      <c r="AO395" s="35">
        <f>VLOOKUP(Tabla4[[#This Row],[SERVICIO 2025]],$J$2:$V$14,8,0)*Tabla4[[#This Row],[TOTAL COBERTURA]]</f>
        <v>0</v>
      </c>
      <c r="AP395" s="35">
        <f>VLOOKUP(Tabla4[[#This Row],[SERVICIO 2025]],$J$2:$V$14,3,0)*Tabla4[[#This Row],[TOTAL COBERTURA]]*8</f>
        <v>17216640</v>
      </c>
      <c r="AQ395" s="35"/>
      <c r="AR395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395" s="35" t="str">
        <f>+IF(Tabla4[[#This Row],[AGRUPACIONES]]=1,SUMIFS(Tabla4[VALOR TOTAL],Tabla4[ZONA DEFINITIVO],Tabla4[[#This Row],[ZONA DEFINITIVO]])," ")</f>
        <v xml:space="preserve"> </v>
      </c>
      <c r="AT395" s="27">
        <f>(VLOOKUP(Tabla4[[#This Row],[SERVICIO 2025]],$J$2:$V$14,3,0)*Tabla4[[#This Row],[TOTAL COBERTURA]])+Tabla4[[#This Row],[VALOR FASE PREPARATORIA DE ALISTAMIENTO]]+Tabla4[[#This Row],[DOTACIÓN ÚNICA]]</f>
        <v>2713008</v>
      </c>
      <c r="AU395" s="35">
        <f>(VLOOKUP(Tabla4[[#This Row],[SERVICIO 2025]],$J$2:$V$14,3,0)*Tabla4[[#This Row],[TOTAL COBERTURA]])</f>
        <v>2152080</v>
      </c>
      <c r="AV395" s="35">
        <f>(VLOOKUP(Tabla4[[#This Row],[SERVICIO 2025]],$J$2:$V$14,3,0)*Tabla4[[#This Row],[TOTAL COBERTURA]])</f>
        <v>2152080</v>
      </c>
      <c r="AW395" s="35">
        <f>(VLOOKUP(Tabla4[[#This Row],[SERVICIO 2025]],$J$2:$V$14,3,0)*Tabla4[[#This Row],[TOTAL COBERTURA]])</f>
        <v>2152080</v>
      </c>
      <c r="AX395" s="35">
        <f>(VLOOKUP(Tabla4[[#This Row],[SERVICIO 2025]],$J$2:$V$14,3,0)*Tabla4[[#This Row],[TOTAL COBERTURA]])</f>
        <v>2152080</v>
      </c>
      <c r="AY395" s="35">
        <f>(VLOOKUP(Tabla4[[#This Row],[SERVICIO 2025]],$J$2:$V$14,3,0)*Tabla4[[#This Row],[TOTAL COBERTURA]])</f>
        <v>2152080</v>
      </c>
      <c r="AZ395" s="35">
        <f>(VLOOKUP(Tabla4[[#This Row],[SERVICIO 2025]],$J$2:$V$14,3,0)*Tabla4[[#This Row],[TOTAL COBERTURA]])</f>
        <v>2152080</v>
      </c>
      <c r="BA395" s="35">
        <f>(VLOOKUP(Tabla4[[#This Row],[SERVICIO 2025]],$J$2:$V$14,3,0)*Tabla4[[#This Row],[TOTAL COBERTURA]])+Tabla4[[#This Row],[VALOR FASE PREPARATORIA DE CIERRE]]</f>
        <v>2606172</v>
      </c>
      <c r="BB395" s="35">
        <f>SUM(Tabla4[[#This Row],[DESEMBOLSO 1]:[DESEMBOLSO 8]])</f>
        <v>18231660</v>
      </c>
      <c r="BC395" s="35">
        <f>VLOOKUP(Tabla4[[#This Row],[SERVICIO 2025]],$J$2:$V$14,10,0)*Tabla4[[#This Row],[TOTAL COBERTURA]]*$W$3</f>
        <v>18078816</v>
      </c>
      <c r="BD395" s="47" t="s">
        <v>211</v>
      </c>
      <c r="BE395" s="12" t="b">
        <f>EXACT(Tabla4[[#This Row],[VALOR ATENCIÓN (8 MESES)]],Tabla4[[#This Row],[VALOR TOTAL]])</f>
        <v>1</v>
      </c>
      <c r="BF395" s="23">
        <f>Tabla4[[#This Row],[VALOR ATENCIÓN (8 MESES)]]-Tabla4[[#This Row],[VALOR TOTAL]]</f>
        <v>0</v>
      </c>
      <c r="BG395" s="12" t="b">
        <f>EXACT(Tabla4[[#This Row],[TOTAL DESEMBOLSOS]],Tabla4[[#This Row],[VALOR ATENCIÓN (8 MESES)]])</f>
        <v>1</v>
      </c>
      <c r="BH395" s="29">
        <f>Tabla4[[#This Row],[TOTAL DESEMBOLSOS]]-Tabla4[[#This Row],[VALOR ATENCIÓN (8 MESES)]]</f>
        <v>0</v>
      </c>
      <c r="BI395" t="s">
        <v>98</v>
      </c>
      <c r="BJ395">
        <v>1919</v>
      </c>
    </row>
    <row r="396" spans="1:62">
      <c r="A396" s="13">
        <v>1919</v>
      </c>
      <c r="B396" s="13" t="s">
        <v>923</v>
      </c>
      <c r="C396" s="12" t="s">
        <v>87</v>
      </c>
      <c r="D396" s="12" t="s">
        <v>651</v>
      </c>
      <c r="E396" s="12" t="s">
        <v>933</v>
      </c>
      <c r="F396" s="12" t="s">
        <v>21</v>
      </c>
      <c r="G396" s="12" t="s">
        <v>90</v>
      </c>
      <c r="H396" s="12" t="s">
        <v>939</v>
      </c>
      <c r="I396" s="12">
        <v>58091136204</v>
      </c>
      <c r="J396" s="12" t="s">
        <v>940</v>
      </c>
      <c r="K396" s="12">
        <v>1</v>
      </c>
      <c r="L396" s="12">
        <v>18</v>
      </c>
      <c r="M396" s="12"/>
      <c r="N396" s="13">
        <v>1919</v>
      </c>
      <c r="O396" s="12" t="s">
        <v>93</v>
      </c>
      <c r="P396" s="12"/>
      <c r="Q396" s="12"/>
      <c r="R396" s="12" t="s">
        <v>94</v>
      </c>
      <c r="S396" s="12">
        <v>10</v>
      </c>
      <c r="T396" s="12" t="s">
        <v>927</v>
      </c>
      <c r="U396" s="12" t="s">
        <v>928</v>
      </c>
      <c r="V396" s="12">
        <f>VLOOKUP(Tabla4[[#This Row],[ZONA DEFINITIVO]],Hoja1!$A$1:$D$121,3,0)</f>
        <v>229097</v>
      </c>
      <c r="W396" s="12">
        <f>VLOOKUP(Tabla4[[#This Row],[ZONA DEFINITIVO]],Hoja1!$A$1:$D$121,2,0)</f>
        <v>15190</v>
      </c>
      <c r="X396" s="12">
        <f>VLOOKUP(Tabla4[[#This Row],[ZONA DEFINITIVO]],Hoja1!$A$1:$D$121,4,0)</f>
        <v>82525</v>
      </c>
      <c r="Y396" s="12" t="str">
        <f>+IF(Tabla4[[#This Row],[AGRUPACIONES]]=1,SUMIFS(Tabla4[UDS],Tabla4[ZONA DEFINITIVO],Tabla4[[#This Row],[ZONA DEFINITIVO]])," ")</f>
        <v xml:space="preserve"> </v>
      </c>
      <c r="Z396" s="12" t="str">
        <f>+IF(Tabla4[[#This Row],[AGRUPACIONES]]=1,SUMIFS(Tabla4[TOTAL COBERTURA],Tabla4[ZONA DEFINITIVO],Tabla4[[#This Row],[ZONA DEFINITIVO]])," ")</f>
        <v xml:space="preserve"> </v>
      </c>
      <c r="AA396" s="12"/>
      <c r="AB396" s="38">
        <v>27347490</v>
      </c>
      <c r="AC396" s="37">
        <v>0.02</v>
      </c>
      <c r="AD396" s="38">
        <f t="shared" si="6"/>
        <v>546949.80000000005</v>
      </c>
      <c r="AE396" s="12"/>
      <c r="AF396" s="12">
        <f>COUNTIF($A$20:A396,A396)</f>
        <v>7</v>
      </c>
      <c r="AG396" s="38">
        <v>27347490</v>
      </c>
      <c r="AH396" s="38">
        <f>Tabla4[[#This Row],[VALOR CONTRAPARTIDA]]+Tabla4[[#This Row],[TOTAL APORTES ICBF]]</f>
        <v>27894439.800000001</v>
      </c>
      <c r="AI396" s="35"/>
      <c r="AJ396" s="38"/>
      <c r="AK396" s="38"/>
      <c r="AL396" s="23"/>
      <c r="AM396" s="35">
        <f>VLOOKUP(Tabla4[[#This Row],[SERVICIO 2025]],$J$2:$V$14,5,0)*Tabla4[[#This Row],[TOTAL COBERTURA]]</f>
        <v>841392</v>
      </c>
      <c r="AN396" s="35">
        <f>VLOOKUP(Tabla4[[#This Row],[SERVICIO 2025]],$J$2:$V$14,6,0)*Tabla4[[#This Row],[TOTAL COBERTURA]]</f>
        <v>681138</v>
      </c>
      <c r="AO396" s="35">
        <f>VLOOKUP(Tabla4[[#This Row],[SERVICIO 2025]],$J$2:$V$14,8,0)*Tabla4[[#This Row],[TOTAL COBERTURA]]</f>
        <v>0</v>
      </c>
      <c r="AP396" s="35">
        <f>VLOOKUP(Tabla4[[#This Row],[SERVICIO 2025]],$J$2:$V$14,3,0)*Tabla4[[#This Row],[TOTAL COBERTURA]]*8</f>
        <v>25824960</v>
      </c>
      <c r="AQ396" s="35"/>
      <c r="AR396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396" s="35" t="str">
        <f>+IF(Tabla4[[#This Row],[AGRUPACIONES]]=1,SUMIFS(Tabla4[VALOR TOTAL],Tabla4[ZONA DEFINITIVO],Tabla4[[#This Row],[ZONA DEFINITIVO]])," ")</f>
        <v xml:space="preserve"> </v>
      </c>
      <c r="AT396" s="27">
        <f>(VLOOKUP(Tabla4[[#This Row],[SERVICIO 2025]],$J$2:$V$14,3,0)*Tabla4[[#This Row],[TOTAL COBERTURA]])+Tabla4[[#This Row],[VALOR FASE PREPARATORIA DE ALISTAMIENTO]]+Tabla4[[#This Row],[DOTACIÓN ÚNICA]]</f>
        <v>4069512</v>
      </c>
      <c r="AU396" s="35">
        <f>(VLOOKUP(Tabla4[[#This Row],[SERVICIO 2025]],$J$2:$V$14,3,0)*Tabla4[[#This Row],[TOTAL COBERTURA]])</f>
        <v>3228120</v>
      </c>
      <c r="AV396" s="35">
        <f>(VLOOKUP(Tabla4[[#This Row],[SERVICIO 2025]],$J$2:$V$14,3,0)*Tabla4[[#This Row],[TOTAL COBERTURA]])</f>
        <v>3228120</v>
      </c>
      <c r="AW396" s="35">
        <f>(VLOOKUP(Tabla4[[#This Row],[SERVICIO 2025]],$J$2:$V$14,3,0)*Tabla4[[#This Row],[TOTAL COBERTURA]])</f>
        <v>3228120</v>
      </c>
      <c r="AX396" s="35">
        <f>(VLOOKUP(Tabla4[[#This Row],[SERVICIO 2025]],$J$2:$V$14,3,0)*Tabla4[[#This Row],[TOTAL COBERTURA]])</f>
        <v>3228120</v>
      </c>
      <c r="AY396" s="35">
        <f>(VLOOKUP(Tabla4[[#This Row],[SERVICIO 2025]],$J$2:$V$14,3,0)*Tabla4[[#This Row],[TOTAL COBERTURA]])</f>
        <v>3228120</v>
      </c>
      <c r="AZ396" s="35">
        <f>(VLOOKUP(Tabla4[[#This Row],[SERVICIO 2025]],$J$2:$V$14,3,0)*Tabla4[[#This Row],[TOTAL COBERTURA]])</f>
        <v>3228120</v>
      </c>
      <c r="BA396" s="35">
        <f>(VLOOKUP(Tabla4[[#This Row],[SERVICIO 2025]],$J$2:$V$14,3,0)*Tabla4[[#This Row],[TOTAL COBERTURA]])+Tabla4[[#This Row],[VALOR FASE PREPARATORIA DE CIERRE]]</f>
        <v>3909258</v>
      </c>
      <c r="BB396" s="35">
        <f>SUM(Tabla4[[#This Row],[DESEMBOLSO 1]:[DESEMBOLSO 8]])</f>
        <v>27347490</v>
      </c>
      <c r="BC396" s="35">
        <f>VLOOKUP(Tabla4[[#This Row],[SERVICIO 2025]],$J$2:$V$14,10,0)*Tabla4[[#This Row],[TOTAL COBERTURA]]*$W$3</f>
        <v>27118224</v>
      </c>
      <c r="BD396" s="47" t="s">
        <v>211</v>
      </c>
      <c r="BE396" s="12" t="b">
        <f>EXACT(Tabla4[[#This Row],[VALOR ATENCIÓN (8 MESES)]],Tabla4[[#This Row],[VALOR TOTAL]])</f>
        <v>1</v>
      </c>
      <c r="BF396" s="23">
        <f>Tabla4[[#This Row],[VALOR ATENCIÓN (8 MESES)]]-Tabla4[[#This Row],[VALOR TOTAL]]</f>
        <v>0</v>
      </c>
      <c r="BG396" s="12" t="b">
        <f>EXACT(Tabla4[[#This Row],[TOTAL DESEMBOLSOS]],Tabla4[[#This Row],[VALOR ATENCIÓN (8 MESES)]])</f>
        <v>1</v>
      </c>
      <c r="BH396" s="29">
        <f>Tabla4[[#This Row],[TOTAL DESEMBOLSOS]]-Tabla4[[#This Row],[VALOR ATENCIÓN (8 MESES)]]</f>
        <v>0</v>
      </c>
      <c r="BI396" t="s">
        <v>98</v>
      </c>
      <c r="BJ396">
        <v>1919</v>
      </c>
    </row>
    <row r="397" spans="1:62">
      <c r="A397" s="13">
        <v>1919</v>
      </c>
      <c r="B397" s="13" t="s">
        <v>923</v>
      </c>
      <c r="C397" s="12" t="s">
        <v>87</v>
      </c>
      <c r="D397" s="12" t="s">
        <v>651</v>
      </c>
      <c r="E397" s="12" t="s">
        <v>933</v>
      </c>
      <c r="F397" s="12" t="s">
        <v>21</v>
      </c>
      <c r="G397" s="12" t="s">
        <v>90</v>
      </c>
      <c r="H397" s="12" t="s">
        <v>941</v>
      </c>
      <c r="I397" s="12">
        <v>58091136208</v>
      </c>
      <c r="J397" s="12" t="s">
        <v>942</v>
      </c>
      <c r="K397" s="12">
        <v>1</v>
      </c>
      <c r="L397" s="12">
        <v>13</v>
      </c>
      <c r="M397" s="12"/>
      <c r="N397" s="13">
        <v>1919</v>
      </c>
      <c r="O397" s="12" t="s">
        <v>93</v>
      </c>
      <c r="P397" s="12"/>
      <c r="Q397" s="12"/>
      <c r="R397" s="12" t="s">
        <v>94</v>
      </c>
      <c r="S397" s="12">
        <v>10</v>
      </c>
      <c r="T397" s="12" t="s">
        <v>927</v>
      </c>
      <c r="U397" s="12" t="s">
        <v>928</v>
      </c>
      <c r="V397" s="12">
        <f>VLOOKUP(Tabla4[[#This Row],[ZONA DEFINITIVO]],Hoja1!$A$1:$D$121,3,0)</f>
        <v>229097</v>
      </c>
      <c r="W397" s="12">
        <f>VLOOKUP(Tabla4[[#This Row],[ZONA DEFINITIVO]],Hoja1!$A$1:$D$121,2,0)</f>
        <v>15190</v>
      </c>
      <c r="X397" s="12">
        <f>VLOOKUP(Tabla4[[#This Row],[ZONA DEFINITIVO]],Hoja1!$A$1:$D$121,4,0)</f>
        <v>82525</v>
      </c>
      <c r="Y397" s="12" t="str">
        <f>+IF(Tabla4[[#This Row],[AGRUPACIONES]]=1,SUMIFS(Tabla4[UDS],Tabla4[ZONA DEFINITIVO],Tabla4[[#This Row],[ZONA DEFINITIVO]])," ")</f>
        <v xml:space="preserve"> </v>
      </c>
      <c r="Z397" s="12" t="str">
        <f>+IF(Tabla4[[#This Row],[AGRUPACIONES]]=1,SUMIFS(Tabla4[TOTAL COBERTURA],Tabla4[ZONA DEFINITIVO],Tabla4[[#This Row],[ZONA DEFINITIVO]])," ")</f>
        <v xml:space="preserve"> </v>
      </c>
      <c r="AA397" s="12"/>
      <c r="AB397" s="38">
        <v>19750965</v>
      </c>
      <c r="AC397" s="37">
        <v>0.02</v>
      </c>
      <c r="AD397" s="38">
        <f t="shared" si="6"/>
        <v>395019.3</v>
      </c>
      <c r="AE397" s="12"/>
      <c r="AF397" s="12">
        <f>COUNTIF($A$20:A397,A397)</f>
        <v>8</v>
      </c>
      <c r="AG397" s="38">
        <v>19750965</v>
      </c>
      <c r="AH397" s="38">
        <f>Tabla4[[#This Row],[VALOR CONTRAPARTIDA]]+Tabla4[[#This Row],[TOTAL APORTES ICBF]]</f>
        <v>20145984.300000001</v>
      </c>
      <c r="AI397" s="35"/>
      <c r="AJ397" s="38"/>
      <c r="AK397" s="38"/>
      <c r="AL397" s="23"/>
      <c r="AM397" s="35">
        <f>VLOOKUP(Tabla4[[#This Row],[SERVICIO 2025]],$J$2:$V$14,5,0)*Tabla4[[#This Row],[TOTAL COBERTURA]]</f>
        <v>607672</v>
      </c>
      <c r="AN397" s="35">
        <f>VLOOKUP(Tabla4[[#This Row],[SERVICIO 2025]],$J$2:$V$14,6,0)*Tabla4[[#This Row],[TOTAL COBERTURA]]</f>
        <v>491933</v>
      </c>
      <c r="AO397" s="35">
        <f>VLOOKUP(Tabla4[[#This Row],[SERVICIO 2025]],$J$2:$V$14,8,0)*Tabla4[[#This Row],[TOTAL COBERTURA]]</f>
        <v>0</v>
      </c>
      <c r="AP397" s="35">
        <f>VLOOKUP(Tabla4[[#This Row],[SERVICIO 2025]],$J$2:$V$14,3,0)*Tabla4[[#This Row],[TOTAL COBERTURA]]*8</f>
        <v>18651360</v>
      </c>
      <c r="AQ397" s="35"/>
      <c r="AR397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397" s="35" t="str">
        <f>+IF(Tabla4[[#This Row],[AGRUPACIONES]]=1,SUMIFS(Tabla4[VALOR TOTAL],Tabla4[ZONA DEFINITIVO],Tabla4[[#This Row],[ZONA DEFINITIVO]])," ")</f>
        <v xml:space="preserve"> </v>
      </c>
      <c r="AT397" s="27">
        <f>(VLOOKUP(Tabla4[[#This Row],[SERVICIO 2025]],$J$2:$V$14,3,0)*Tabla4[[#This Row],[TOTAL COBERTURA]])+Tabla4[[#This Row],[VALOR FASE PREPARATORIA DE ALISTAMIENTO]]+Tabla4[[#This Row],[DOTACIÓN ÚNICA]]</f>
        <v>2939092</v>
      </c>
      <c r="AU397" s="35">
        <f>(VLOOKUP(Tabla4[[#This Row],[SERVICIO 2025]],$J$2:$V$14,3,0)*Tabla4[[#This Row],[TOTAL COBERTURA]])</f>
        <v>2331420</v>
      </c>
      <c r="AV397" s="35">
        <f>(VLOOKUP(Tabla4[[#This Row],[SERVICIO 2025]],$J$2:$V$14,3,0)*Tabla4[[#This Row],[TOTAL COBERTURA]])</f>
        <v>2331420</v>
      </c>
      <c r="AW397" s="35">
        <f>(VLOOKUP(Tabla4[[#This Row],[SERVICIO 2025]],$J$2:$V$14,3,0)*Tabla4[[#This Row],[TOTAL COBERTURA]])</f>
        <v>2331420</v>
      </c>
      <c r="AX397" s="35">
        <f>(VLOOKUP(Tabla4[[#This Row],[SERVICIO 2025]],$J$2:$V$14,3,0)*Tabla4[[#This Row],[TOTAL COBERTURA]])</f>
        <v>2331420</v>
      </c>
      <c r="AY397" s="35">
        <f>(VLOOKUP(Tabla4[[#This Row],[SERVICIO 2025]],$J$2:$V$14,3,0)*Tabla4[[#This Row],[TOTAL COBERTURA]])</f>
        <v>2331420</v>
      </c>
      <c r="AZ397" s="35">
        <f>(VLOOKUP(Tabla4[[#This Row],[SERVICIO 2025]],$J$2:$V$14,3,0)*Tabla4[[#This Row],[TOTAL COBERTURA]])</f>
        <v>2331420</v>
      </c>
      <c r="BA397" s="35">
        <f>(VLOOKUP(Tabla4[[#This Row],[SERVICIO 2025]],$J$2:$V$14,3,0)*Tabla4[[#This Row],[TOTAL COBERTURA]])+Tabla4[[#This Row],[VALOR FASE PREPARATORIA DE CIERRE]]</f>
        <v>2823353</v>
      </c>
      <c r="BB397" s="35">
        <f>SUM(Tabla4[[#This Row],[DESEMBOLSO 1]:[DESEMBOLSO 8]])</f>
        <v>19750965</v>
      </c>
      <c r="BC397" s="35">
        <f>VLOOKUP(Tabla4[[#This Row],[SERVICIO 2025]],$J$2:$V$14,10,0)*Tabla4[[#This Row],[TOTAL COBERTURA]]*$W$3</f>
        <v>19585384</v>
      </c>
      <c r="BD397" s="47" t="s">
        <v>211</v>
      </c>
      <c r="BE397" s="12" t="b">
        <f>EXACT(Tabla4[[#This Row],[VALOR ATENCIÓN (8 MESES)]],Tabla4[[#This Row],[VALOR TOTAL]])</f>
        <v>1</v>
      </c>
      <c r="BF397" s="23">
        <f>Tabla4[[#This Row],[VALOR ATENCIÓN (8 MESES)]]-Tabla4[[#This Row],[VALOR TOTAL]]</f>
        <v>0</v>
      </c>
      <c r="BG397" s="12" t="b">
        <f>EXACT(Tabla4[[#This Row],[TOTAL DESEMBOLSOS]],Tabla4[[#This Row],[VALOR ATENCIÓN (8 MESES)]])</f>
        <v>1</v>
      </c>
      <c r="BH397" s="29">
        <f>Tabla4[[#This Row],[TOTAL DESEMBOLSOS]]-Tabla4[[#This Row],[VALOR ATENCIÓN (8 MESES)]]</f>
        <v>0</v>
      </c>
      <c r="BI397" t="s">
        <v>98</v>
      </c>
      <c r="BJ397">
        <v>1919</v>
      </c>
    </row>
    <row r="398" spans="1:62">
      <c r="A398" s="13">
        <v>1919</v>
      </c>
      <c r="B398" s="13" t="s">
        <v>923</v>
      </c>
      <c r="C398" s="12" t="s">
        <v>87</v>
      </c>
      <c r="D398" s="12" t="s">
        <v>651</v>
      </c>
      <c r="E398" s="12" t="s">
        <v>933</v>
      </c>
      <c r="F398" s="12" t="s">
        <v>21</v>
      </c>
      <c r="G398" s="12" t="s">
        <v>90</v>
      </c>
      <c r="H398" s="12" t="s">
        <v>943</v>
      </c>
      <c r="I398" s="12">
        <v>58091148658</v>
      </c>
      <c r="J398" s="12" t="s">
        <v>944</v>
      </c>
      <c r="K398" s="12">
        <v>1</v>
      </c>
      <c r="L398" s="12">
        <v>10</v>
      </c>
      <c r="M398" s="12"/>
      <c r="N398" s="13">
        <v>1919</v>
      </c>
      <c r="O398" s="12" t="s">
        <v>93</v>
      </c>
      <c r="P398" s="12"/>
      <c r="Q398" s="12"/>
      <c r="R398" s="12" t="s">
        <v>94</v>
      </c>
      <c r="S398" s="12">
        <v>10</v>
      </c>
      <c r="T398" s="12" t="s">
        <v>927</v>
      </c>
      <c r="U398" s="12" t="s">
        <v>928</v>
      </c>
      <c r="V398" s="12">
        <f>VLOOKUP(Tabla4[[#This Row],[ZONA DEFINITIVO]],Hoja1!$A$1:$D$121,3,0)</f>
        <v>229097</v>
      </c>
      <c r="W398" s="12">
        <f>VLOOKUP(Tabla4[[#This Row],[ZONA DEFINITIVO]],Hoja1!$A$1:$D$121,2,0)</f>
        <v>15190</v>
      </c>
      <c r="X398" s="12">
        <f>VLOOKUP(Tabla4[[#This Row],[ZONA DEFINITIVO]],Hoja1!$A$1:$D$121,4,0)</f>
        <v>82525</v>
      </c>
      <c r="Y398" s="12" t="str">
        <f>+IF(Tabla4[[#This Row],[AGRUPACIONES]]=1,SUMIFS(Tabla4[UDS],Tabla4[ZONA DEFINITIVO],Tabla4[[#This Row],[ZONA DEFINITIVO]])," ")</f>
        <v xml:space="preserve"> </v>
      </c>
      <c r="Z398" s="12" t="str">
        <f>+IF(Tabla4[[#This Row],[AGRUPACIONES]]=1,SUMIFS(Tabla4[TOTAL COBERTURA],Tabla4[ZONA DEFINITIVO],Tabla4[[#This Row],[ZONA DEFINITIVO]])," ")</f>
        <v xml:space="preserve"> </v>
      </c>
      <c r="AA398" s="12"/>
      <c r="AB398" s="38">
        <v>15193050</v>
      </c>
      <c r="AC398" s="37">
        <v>0.02</v>
      </c>
      <c r="AD398" s="38">
        <f t="shared" si="6"/>
        <v>303861</v>
      </c>
      <c r="AE398" s="12"/>
      <c r="AF398" s="12">
        <f>COUNTIF($A$20:A398,A398)</f>
        <v>9</v>
      </c>
      <c r="AG398" s="38">
        <v>15193050</v>
      </c>
      <c r="AH398" s="38">
        <f>Tabla4[[#This Row],[VALOR CONTRAPARTIDA]]+Tabla4[[#This Row],[TOTAL APORTES ICBF]]</f>
        <v>15496911</v>
      </c>
      <c r="AI398" s="35"/>
      <c r="AJ398" s="38"/>
      <c r="AK398" s="38"/>
      <c r="AL398" s="23"/>
      <c r="AM398" s="35">
        <f>VLOOKUP(Tabla4[[#This Row],[SERVICIO 2025]],$J$2:$V$14,5,0)*Tabla4[[#This Row],[TOTAL COBERTURA]]</f>
        <v>467440</v>
      </c>
      <c r="AN398" s="35">
        <f>VLOOKUP(Tabla4[[#This Row],[SERVICIO 2025]],$J$2:$V$14,6,0)*Tabla4[[#This Row],[TOTAL COBERTURA]]</f>
        <v>378410</v>
      </c>
      <c r="AO398" s="35">
        <f>VLOOKUP(Tabla4[[#This Row],[SERVICIO 2025]],$J$2:$V$14,8,0)*Tabla4[[#This Row],[TOTAL COBERTURA]]</f>
        <v>0</v>
      </c>
      <c r="AP398" s="35">
        <f>VLOOKUP(Tabla4[[#This Row],[SERVICIO 2025]],$J$2:$V$14,3,0)*Tabla4[[#This Row],[TOTAL COBERTURA]]*8</f>
        <v>14347200</v>
      </c>
      <c r="AQ398" s="35"/>
      <c r="AR398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398" s="35" t="str">
        <f>+IF(Tabla4[[#This Row],[AGRUPACIONES]]=1,SUMIFS(Tabla4[VALOR TOTAL],Tabla4[ZONA DEFINITIVO],Tabla4[[#This Row],[ZONA DEFINITIVO]])," ")</f>
        <v xml:space="preserve"> </v>
      </c>
      <c r="AT398" s="27">
        <f>(VLOOKUP(Tabla4[[#This Row],[SERVICIO 2025]],$J$2:$V$14,3,0)*Tabla4[[#This Row],[TOTAL COBERTURA]])+Tabla4[[#This Row],[VALOR FASE PREPARATORIA DE ALISTAMIENTO]]+Tabla4[[#This Row],[DOTACIÓN ÚNICA]]</f>
        <v>2260840</v>
      </c>
      <c r="AU398" s="35">
        <f>(VLOOKUP(Tabla4[[#This Row],[SERVICIO 2025]],$J$2:$V$14,3,0)*Tabla4[[#This Row],[TOTAL COBERTURA]])</f>
        <v>1793400</v>
      </c>
      <c r="AV398" s="35">
        <f>(VLOOKUP(Tabla4[[#This Row],[SERVICIO 2025]],$J$2:$V$14,3,0)*Tabla4[[#This Row],[TOTAL COBERTURA]])</f>
        <v>1793400</v>
      </c>
      <c r="AW398" s="35">
        <f>(VLOOKUP(Tabla4[[#This Row],[SERVICIO 2025]],$J$2:$V$14,3,0)*Tabla4[[#This Row],[TOTAL COBERTURA]])</f>
        <v>1793400</v>
      </c>
      <c r="AX398" s="35">
        <f>(VLOOKUP(Tabla4[[#This Row],[SERVICIO 2025]],$J$2:$V$14,3,0)*Tabla4[[#This Row],[TOTAL COBERTURA]])</f>
        <v>1793400</v>
      </c>
      <c r="AY398" s="35">
        <f>(VLOOKUP(Tabla4[[#This Row],[SERVICIO 2025]],$J$2:$V$14,3,0)*Tabla4[[#This Row],[TOTAL COBERTURA]])</f>
        <v>1793400</v>
      </c>
      <c r="AZ398" s="35">
        <f>(VLOOKUP(Tabla4[[#This Row],[SERVICIO 2025]],$J$2:$V$14,3,0)*Tabla4[[#This Row],[TOTAL COBERTURA]])</f>
        <v>1793400</v>
      </c>
      <c r="BA398" s="35">
        <f>(VLOOKUP(Tabla4[[#This Row],[SERVICIO 2025]],$J$2:$V$14,3,0)*Tabla4[[#This Row],[TOTAL COBERTURA]])+Tabla4[[#This Row],[VALOR FASE PREPARATORIA DE CIERRE]]</f>
        <v>2171810</v>
      </c>
      <c r="BB398" s="35">
        <f>SUM(Tabla4[[#This Row],[DESEMBOLSO 1]:[DESEMBOLSO 8]])</f>
        <v>15193050</v>
      </c>
      <c r="BC398" s="35">
        <f>VLOOKUP(Tabla4[[#This Row],[SERVICIO 2025]],$J$2:$V$14,10,0)*Tabla4[[#This Row],[TOTAL COBERTURA]]*$W$3</f>
        <v>15065680</v>
      </c>
      <c r="BD398" s="47" t="s">
        <v>211</v>
      </c>
      <c r="BE398" s="12" t="b">
        <f>EXACT(Tabla4[[#This Row],[VALOR ATENCIÓN (8 MESES)]],Tabla4[[#This Row],[VALOR TOTAL]])</f>
        <v>1</v>
      </c>
      <c r="BF398" s="23">
        <f>Tabla4[[#This Row],[VALOR ATENCIÓN (8 MESES)]]-Tabla4[[#This Row],[VALOR TOTAL]]</f>
        <v>0</v>
      </c>
      <c r="BG398" s="12" t="b">
        <f>EXACT(Tabla4[[#This Row],[TOTAL DESEMBOLSOS]],Tabla4[[#This Row],[VALOR ATENCIÓN (8 MESES)]])</f>
        <v>1</v>
      </c>
      <c r="BH398" s="29">
        <f>Tabla4[[#This Row],[TOTAL DESEMBOLSOS]]-Tabla4[[#This Row],[VALOR ATENCIÓN (8 MESES)]]</f>
        <v>0</v>
      </c>
      <c r="BI398" t="s">
        <v>98</v>
      </c>
      <c r="BJ398">
        <v>1919</v>
      </c>
    </row>
    <row r="399" spans="1:62">
      <c r="A399" s="13">
        <v>1919</v>
      </c>
      <c r="B399" s="13" t="s">
        <v>923</v>
      </c>
      <c r="C399" s="12" t="s">
        <v>87</v>
      </c>
      <c r="D399" s="12" t="s">
        <v>651</v>
      </c>
      <c r="E399" s="12" t="s">
        <v>933</v>
      </c>
      <c r="F399" s="12" t="s">
        <v>21</v>
      </c>
      <c r="G399" s="12" t="s">
        <v>90</v>
      </c>
      <c r="H399" s="12" t="s">
        <v>945</v>
      </c>
      <c r="I399" s="12">
        <v>58091153056</v>
      </c>
      <c r="J399" s="12" t="s">
        <v>946</v>
      </c>
      <c r="K399" s="12">
        <v>1</v>
      </c>
      <c r="L399" s="12">
        <v>14</v>
      </c>
      <c r="M399" s="12"/>
      <c r="N399" s="13">
        <v>1919</v>
      </c>
      <c r="O399" s="12" t="s">
        <v>93</v>
      </c>
      <c r="P399" s="12"/>
      <c r="Q399" s="12"/>
      <c r="R399" s="12" t="s">
        <v>94</v>
      </c>
      <c r="S399" s="12">
        <v>10</v>
      </c>
      <c r="T399" s="12" t="s">
        <v>927</v>
      </c>
      <c r="U399" s="12" t="s">
        <v>928</v>
      </c>
      <c r="V399" s="12">
        <f>VLOOKUP(Tabla4[[#This Row],[ZONA DEFINITIVO]],Hoja1!$A$1:$D$121,3,0)</f>
        <v>229097</v>
      </c>
      <c r="W399" s="12">
        <f>VLOOKUP(Tabla4[[#This Row],[ZONA DEFINITIVO]],Hoja1!$A$1:$D$121,2,0)</f>
        <v>15190</v>
      </c>
      <c r="X399" s="12">
        <f>VLOOKUP(Tabla4[[#This Row],[ZONA DEFINITIVO]],Hoja1!$A$1:$D$121,4,0)</f>
        <v>82525</v>
      </c>
      <c r="Y399" s="12" t="str">
        <f>+IF(Tabla4[[#This Row],[AGRUPACIONES]]=1,SUMIFS(Tabla4[UDS],Tabla4[ZONA DEFINITIVO],Tabla4[[#This Row],[ZONA DEFINITIVO]])," ")</f>
        <v xml:space="preserve"> </v>
      </c>
      <c r="Z399" s="12" t="str">
        <f>+IF(Tabla4[[#This Row],[AGRUPACIONES]]=1,SUMIFS(Tabla4[TOTAL COBERTURA],Tabla4[ZONA DEFINITIVO],Tabla4[[#This Row],[ZONA DEFINITIVO]])," ")</f>
        <v xml:space="preserve"> </v>
      </c>
      <c r="AA399" s="12"/>
      <c r="AB399" s="38">
        <v>21270270</v>
      </c>
      <c r="AC399" s="37">
        <v>0.02</v>
      </c>
      <c r="AD399" s="38">
        <f t="shared" si="6"/>
        <v>425405.4</v>
      </c>
      <c r="AE399" s="12"/>
      <c r="AF399" s="12">
        <f>COUNTIF($A$20:A399,A399)</f>
        <v>10</v>
      </c>
      <c r="AG399" s="38">
        <v>21270270</v>
      </c>
      <c r="AH399" s="38">
        <f>Tabla4[[#This Row],[VALOR CONTRAPARTIDA]]+Tabla4[[#This Row],[TOTAL APORTES ICBF]]</f>
        <v>21695675.399999999</v>
      </c>
      <c r="AI399" s="35"/>
      <c r="AJ399" s="38"/>
      <c r="AK399" s="38"/>
      <c r="AL399" s="23"/>
      <c r="AM399" s="35">
        <f>VLOOKUP(Tabla4[[#This Row],[SERVICIO 2025]],$J$2:$V$14,5,0)*Tabla4[[#This Row],[TOTAL COBERTURA]]</f>
        <v>654416</v>
      </c>
      <c r="AN399" s="35">
        <f>VLOOKUP(Tabla4[[#This Row],[SERVICIO 2025]],$J$2:$V$14,6,0)*Tabla4[[#This Row],[TOTAL COBERTURA]]</f>
        <v>529774</v>
      </c>
      <c r="AO399" s="35">
        <f>VLOOKUP(Tabla4[[#This Row],[SERVICIO 2025]],$J$2:$V$14,8,0)*Tabla4[[#This Row],[TOTAL COBERTURA]]</f>
        <v>0</v>
      </c>
      <c r="AP399" s="35">
        <f>VLOOKUP(Tabla4[[#This Row],[SERVICIO 2025]],$J$2:$V$14,3,0)*Tabla4[[#This Row],[TOTAL COBERTURA]]*8</f>
        <v>20086080</v>
      </c>
      <c r="AQ399" s="35"/>
      <c r="AR399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399" s="35" t="str">
        <f>+IF(Tabla4[[#This Row],[AGRUPACIONES]]=1,SUMIFS(Tabla4[VALOR TOTAL],Tabla4[ZONA DEFINITIVO],Tabla4[[#This Row],[ZONA DEFINITIVO]])," ")</f>
        <v xml:space="preserve"> </v>
      </c>
      <c r="AT399" s="27">
        <f>(VLOOKUP(Tabla4[[#This Row],[SERVICIO 2025]],$J$2:$V$14,3,0)*Tabla4[[#This Row],[TOTAL COBERTURA]])+Tabla4[[#This Row],[VALOR FASE PREPARATORIA DE ALISTAMIENTO]]+Tabla4[[#This Row],[DOTACIÓN ÚNICA]]</f>
        <v>3165176</v>
      </c>
      <c r="AU399" s="35">
        <f>(VLOOKUP(Tabla4[[#This Row],[SERVICIO 2025]],$J$2:$V$14,3,0)*Tabla4[[#This Row],[TOTAL COBERTURA]])</f>
        <v>2510760</v>
      </c>
      <c r="AV399" s="35">
        <f>(VLOOKUP(Tabla4[[#This Row],[SERVICIO 2025]],$J$2:$V$14,3,0)*Tabla4[[#This Row],[TOTAL COBERTURA]])</f>
        <v>2510760</v>
      </c>
      <c r="AW399" s="35">
        <f>(VLOOKUP(Tabla4[[#This Row],[SERVICIO 2025]],$J$2:$V$14,3,0)*Tabla4[[#This Row],[TOTAL COBERTURA]])</f>
        <v>2510760</v>
      </c>
      <c r="AX399" s="35">
        <f>(VLOOKUP(Tabla4[[#This Row],[SERVICIO 2025]],$J$2:$V$14,3,0)*Tabla4[[#This Row],[TOTAL COBERTURA]])</f>
        <v>2510760</v>
      </c>
      <c r="AY399" s="35">
        <f>(VLOOKUP(Tabla4[[#This Row],[SERVICIO 2025]],$J$2:$V$14,3,0)*Tabla4[[#This Row],[TOTAL COBERTURA]])</f>
        <v>2510760</v>
      </c>
      <c r="AZ399" s="35">
        <f>(VLOOKUP(Tabla4[[#This Row],[SERVICIO 2025]],$J$2:$V$14,3,0)*Tabla4[[#This Row],[TOTAL COBERTURA]])</f>
        <v>2510760</v>
      </c>
      <c r="BA399" s="35">
        <f>(VLOOKUP(Tabla4[[#This Row],[SERVICIO 2025]],$J$2:$V$14,3,0)*Tabla4[[#This Row],[TOTAL COBERTURA]])+Tabla4[[#This Row],[VALOR FASE PREPARATORIA DE CIERRE]]</f>
        <v>3040534</v>
      </c>
      <c r="BB399" s="35">
        <f>SUM(Tabla4[[#This Row],[DESEMBOLSO 1]:[DESEMBOLSO 8]])</f>
        <v>21270270</v>
      </c>
      <c r="BC399" s="35">
        <f>VLOOKUP(Tabla4[[#This Row],[SERVICIO 2025]],$J$2:$V$14,10,0)*Tabla4[[#This Row],[TOTAL COBERTURA]]*$W$3</f>
        <v>21091952</v>
      </c>
      <c r="BD399" s="47" t="s">
        <v>211</v>
      </c>
      <c r="BE399" s="12" t="b">
        <f>EXACT(Tabla4[[#This Row],[VALOR ATENCIÓN (8 MESES)]],Tabla4[[#This Row],[VALOR TOTAL]])</f>
        <v>1</v>
      </c>
      <c r="BF399" s="23">
        <f>Tabla4[[#This Row],[VALOR ATENCIÓN (8 MESES)]]-Tabla4[[#This Row],[VALOR TOTAL]]</f>
        <v>0</v>
      </c>
      <c r="BG399" s="12" t="b">
        <f>EXACT(Tabla4[[#This Row],[TOTAL DESEMBOLSOS]],Tabla4[[#This Row],[VALOR ATENCIÓN (8 MESES)]])</f>
        <v>1</v>
      </c>
      <c r="BH399" s="29">
        <f>Tabla4[[#This Row],[TOTAL DESEMBOLSOS]]-Tabla4[[#This Row],[VALOR ATENCIÓN (8 MESES)]]</f>
        <v>0</v>
      </c>
      <c r="BI399" t="s">
        <v>98</v>
      </c>
      <c r="BJ399">
        <v>1919</v>
      </c>
    </row>
    <row r="400" spans="1:62">
      <c r="A400" s="13">
        <v>1920</v>
      </c>
      <c r="B400" s="13" t="s">
        <v>947</v>
      </c>
      <c r="C400" s="12" t="s">
        <v>87</v>
      </c>
      <c r="D400" s="12" t="s">
        <v>88</v>
      </c>
      <c r="E400" s="12" t="s">
        <v>948</v>
      </c>
      <c r="F400" s="12" t="s">
        <v>21</v>
      </c>
      <c r="G400" s="12" t="s">
        <v>90</v>
      </c>
      <c r="H400" s="12" t="s">
        <v>949</v>
      </c>
      <c r="I400" s="12">
        <v>50791114907</v>
      </c>
      <c r="J400" s="12" t="s">
        <v>950</v>
      </c>
      <c r="K400" s="12">
        <v>1</v>
      </c>
      <c r="L400" s="12">
        <v>36</v>
      </c>
      <c r="M400" s="12"/>
      <c r="N400" s="13">
        <v>1920</v>
      </c>
      <c r="O400" s="12" t="s">
        <v>93</v>
      </c>
      <c r="P400" s="12"/>
      <c r="Q400" s="12"/>
      <c r="R400" s="12" t="s">
        <v>94</v>
      </c>
      <c r="S400" s="12">
        <v>10</v>
      </c>
      <c r="T400" s="12" t="s">
        <v>534</v>
      </c>
      <c r="U400" s="12" t="s">
        <v>531</v>
      </c>
      <c r="V400" s="12">
        <f>VLOOKUP(Tabla4[[#This Row],[ZONA DEFINITIVO]],Hoja1!$A$1:$D$121,3,0)</f>
        <v>229098</v>
      </c>
      <c r="W400" s="12">
        <f>VLOOKUP(Tabla4[[#This Row],[ZONA DEFINITIVO]],Hoja1!$A$1:$D$121,2,0)</f>
        <v>15185</v>
      </c>
      <c r="X400" s="12">
        <f>VLOOKUP(Tabla4[[#This Row],[ZONA DEFINITIVO]],Hoja1!$A$1:$D$121,4,0)</f>
        <v>91725</v>
      </c>
      <c r="Y400" s="12">
        <f>+IF(Tabla4[[#This Row],[AGRUPACIONES]]=1,SUMIFS(Tabla4[UDS],Tabla4[ZONA DEFINITIVO],Tabla4[[#This Row],[ZONA DEFINITIVO]])," ")</f>
        <v>20</v>
      </c>
      <c r="Z400" s="12">
        <f>+IF(Tabla4[[#This Row],[AGRUPACIONES]]=1,SUMIFS(Tabla4[TOTAL COBERTURA],Tabla4[ZONA DEFINITIVO],Tabla4[[#This Row],[ZONA DEFINITIVO]])," ")</f>
        <v>508</v>
      </c>
      <c r="AA400" s="12"/>
      <c r="AB400" s="38">
        <v>54694980</v>
      </c>
      <c r="AC400" s="37">
        <v>0.02</v>
      </c>
      <c r="AD400" s="38">
        <f t="shared" si="6"/>
        <v>1093899.6000000001</v>
      </c>
      <c r="AE400" s="12"/>
      <c r="AF400" s="12">
        <f>COUNTIF($A$20:A400,A400)</f>
        <v>1</v>
      </c>
      <c r="AG400" s="38">
        <v>54694980</v>
      </c>
      <c r="AH400" s="38">
        <f>Tabla4[[#This Row],[VALOR CONTRAPARTIDA]]+Tabla4[[#This Row],[TOTAL APORTES ICBF]]</f>
        <v>55788879.600000001</v>
      </c>
      <c r="AI400" s="35">
        <f>ROUND(+IF(Tabla4[[#This Row],[AGRUPACIONES]]=1,SUMIFS(Tabla4[TOTAL APORTES ICBF],Tabla4[ZONA DEFINITIVO],Tabla4[[#This Row],[ZONA DEFINITIVO]])," "),0)</f>
        <v>771806940</v>
      </c>
      <c r="AJ400" s="38">
        <f>ROUND(+IF(Tabla4[[#This Row],[AGRUPACIONES]]=1,SUMIFS(Tabla4[VALOR CONTRAPARTIDA],Tabla4[ZONA DEFINITIVO],Tabla4[[#This Row],[ZONA DEFINITIVO]])," "),0)</f>
        <v>15436139</v>
      </c>
      <c r="AK400" s="38">
        <f>Tabla4[[#This Row],[TOTAL APORTES ICBF AGRUPADO]]+Tabla4[[#This Row],[TOTAL CONTRAPARTIDA AGRUPADO]]</f>
        <v>787243079</v>
      </c>
      <c r="AL400" s="23">
        <f>Tabla4[[#This Row],[TOTAL APORTES ICBF AGRUPADO]]/$AL$18</f>
        <v>542.18963119072703</v>
      </c>
      <c r="AM400" s="35">
        <f>VLOOKUP(Tabla4[[#This Row],[SERVICIO 2025]],$J$2:$V$14,5,0)*Tabla4[[#This Row],[TOTAL COBERTURA]]</f>
        <v>1682784</v>
      </c>
      <c r="AN400" s="35">
        <f>VLOOKUP(Tabla4[[#This Row],[SERVICIO 2025]],$J$2:$V$14,6,0)*Tabla4[[#This Row],[TOTAL COBERTURA]]</f>
        <v>1362276</v>
      </c>
      <c r="AO400" s="35">
        <f>VLOOKUP(Tabla4[[#This Row],[SERVICIO 2025]],$J$2:$V$14,8,0)*Tabla4[[#This Row],[TOTAL COBERTURA]]</f>
        <v>0</v>
      </c>
      <c r="AP400" s="35">
        <f>VLOOKUP(Tabla4[[#This Row],[SERVICIO 2025]],$J$2:$V$14,3,0)*Tabla4[[#This Row],[TOTAL COBERTURA]]*8</f>
        <v>51649920</v>
      </c>
      <c r="AQ400" s="35"/>
      <c r="AR400" s="35">
        <f>Tabla4[[#This Row],[VALOR FASE PREPARATORIA DE ALISTAMIENTO]]+Tabla4[[#This Row],[VALOR FASE PREPARATORIA DE CIERRE]]+Tabla4[[#This Row],[DOTACIÓN ÚNICA]]+Tabla4[[#This Row],[VALOR ATENCIÓN]]+Tabla4[[#This Row],[VALOR RACION PREPARADA]]</f>
        <v>54694980</v>
      </c>
      <c r="AS400" s="35">
        <f>+IF(Tabla4[[#This Row],[AGRUPACIONES]]=1,SUMIFS(Tabla4[VALOR TOTAL],Tabla4[ZONA DEFINITIVO],Tabla4[[#This Row],[ZONA DEFINITIVO]])," ")</f>
        <v>771806940</v>
      </c>
      <c r="AT400" s="27">
        <f>(VLOOKUP(Tabla4[[#This Row],[SERVICIO 2025]],$J$2:$V$14,3,0)*Tabla4[[#This Row],[TOTAL COBERTURA]])+Tabla4[[#This Row],[VALOR FASE PREPARATORIA DE ALISTAMIENTO]]+Tabla4[[#This Row],[DOTACIÓN ÚNICA]]</f>
        <v>8139024</v>
      </c>
      <c r="AU400" s="35">
        <f>(VLOOKUP(Tabla4[[#This Row],[SERVICIO 2025]],$J$2:$V$14,3,0)*Tabla4[[#This Row],[TOTAL COBERTURA]])</f>
        <v>6456240</v>
      </c>
      <c r="AV400" s="35">
        <f>(VLOOKUP(Tabla4[[#This Row],[SERVICIO 2025]],$J$2:$V$14,3,0)*Tabla4[[#This Row],[TOTAL COBERTURA]])</f>
        <v>6456240</v>
      </c>
      <c r="AW400" s="35">
        <f>(VLOOKUP(Tabla4[[#This Row],[SERVICIO 2025]],$J$2:$V$14,3,0)*Tabla4[[#This Row],[TOTAL COBERTURA]])</f>
        <v>6456240</v>
      </c>
      <c r="AX400" s="35">
        <f>(VLOOKUP(Tabla4[[#This Row],[SERVICIO 2025]],$J$2:$V$14,3,0)*Tabla4[[#This Row],[TOTAL COBERTURA]])</f>
        <v>6456240</v>
      </c>
      <c r="AY400" s="35">
        <f>(VLOOKUP(Tabla4[[#This Row],[SERVICIO 2025]],$J$2:$V$14,3,0)*Tabla4[[#This Row],[TOTAL COBERTURA]])</f>
        <v>6456240</v>
      </c>
      <c r="AZ400" s="35">
        <f>(VLOOKUP(Tabla4[[#This Row],[SERVICIO 2025]],$J$2:$V$14,3,0)*Tabla4[[#This Row],[TOTAL COBERTURA]])</f>
        <v>6456240</v>
      </c>
      <c r="BA400" s="35">
        <f>(VLOOKUP(Tabla4[[#This Row],[SERVICIO 2025]],$J$2:$V$14,3,0)*Tabla4[[#This Row],[TOTAL COBERTURA]])+Tabla4[[#This Row],[VALOR FASE PREPARATORIA DE CIERRE]]</f>
        <v>7818516</v>
      </c>
      <c r="BB400" s="35">
        <f>SUM(Tabla4[[#This Row],[DESEMBOLSO 1]:[DESEMBOLSO 8]])</f>
        <v>54694980</v>
      </c>
      <c r="BC400" s="35">
        <f>VLOOKUP(Tabla4[[#This Row],[SERVICIO 2025]],$J$2:$V$14,10,0)*Tabla4[[#This Row],[TOTAL COBERTURA]]*$W$3</f>
        <v>54236448</v>
      </c>
      <c r="BD400" s="47" t="s">
        <v>211</v>
      </c>
      <c r="BE400" s="12" t="b">
        <f>EXACT(Tabla4[[#This Row],[VALOR ATENCIÓN (8 MESES)]],Tabla4[[#This Row],[VALOR TOTAL]])</f>
        <v>1</v>
      </c>
      <c r="BF400" s="23">
        <f>Tabla4[[#This Row],[VALOR ATENCIÓN (8 MESES)]]-Tabla4[[#This Row],[VALOR TOTAL]]</f>
        <v>0</v>
      </c>
      <c r="BG400" s="12" t="b">
        <f>EXACT(Tabla4[[#This Row],[TOTAL DESEMBOLSOS]],Tabla4[[#This Row],[VALOR ATENCIÓN (8 MESES)]])</f>
        <v>1</v>
      </c>
      <c r="BH400" s="29">
        <f>Tabla4[[#This Row],[TOTAL DESEMBOLSOS]]-Tabla4[[#This Row],[VALOR ATENCIÓN (8 MESES)]]</f>
        <v>0</v>
      </c>
      <c r="BI400" t="s">
        <v>98</v>
      </c>
      <c r="BJ400">
        <v>1920</v>
      </c>
    </row>
    <row r="401" spans="1:62">
      <c r="A401" s="13">
        <v>1920</v>
      </c>
      <c r="B401" s="13" t="s">
        <v>947</v>
      </c>
      <c r="C401" s="12" t="s">
        <v>87</v>
      </c>
      <c r="D401" s="12" t="s">
        <v>88</v>
      </c>
      <c r="E401" s="12" t="s">
        <v>948</v>
      </c>
      <c r="F401" s="12" t="s">
        <v>21</v>
      </c>
      <c r="G401" s="12" t="s">
        <v>90</v>
      </c>
      <c r="H401" s="12" t="s">
        <v>951</v>
      </c>
      <c r="I401" s="12">
        <v>50791114912</v>
      </c>
      <c r="J401" s="12" t="s">
        <v>952</v>
      </c>
      <c r="K401" s="12">
        <v>1</v>
      </c>
      <c r="L401" s="12">
        <v>22</v>
      </c>
      <c r="M401" s="12"/>
      <c r="N401" s="13">
        <v>1920</v>
      </c>
      <c r="O401" s="12" t="s">
        <v>93</v>
      </c>
      <c r="P401" s="12"/>
      <c r="Q401" s="12"/>
      <c r="R401" s="12" t="s">
        <v>94</v>
      </c>
      <c r="S401" s="12">
        <v>10</v>
      </c>
      <c r="T401" s="12" t="s">
        <v>534</v>
      </c>
      <c r="U401" s="12" t="s">
        <v>531</v>
      </c>
      <c r="V401" s="12">
        <f>VLOOKUP(Tabla4[[#This Row],[ZONA DEFINITIVO]],Hoja1!$A$1:$D$121,3,0)</f>
        <v>229098</v>
      </c>
      <c r="W401" s="12">
        <f>VLOOKUP(Tabla4[[#This Row],[ZONA DEFINITIVO]],Hoja1!$A$1:$D$121,2,0)</f>
        <v>15185</v>
      </c>
      <c r="X401" s="12">
        <f>VLOOKUP(Tabla4[[#This Row],[ZONA DEFINITIVO]],Hoja1!$A$1:$D$121,4,0)</f>
        <v>91725</v>
      </c>
      <c r="Y401" s="12" t="str">
        <f>+IF(Tabla4[[#This Row],[AGRUPACIONES]]=1,SUMIFS(Tabla4[UDS],Tabla4[ZONA DEFINITIVO],Tabla4[[#This Row],[ZONA DEFINITIVO]])," ")</f>
        <v xml:space="preserve"> </v>
      </c>
      <c r="Z401" s="12" t="str">
        <f>+IF(Tabla4[[#This Row],[AGRUPACIONES]]=1,SUMIFS(Tabla4[TOTAL COBERTURA],Tabla4[ZONA DEFINITIVO],Tabla4[[#This Row],[ZONA DEFINITIVO]])," ")</f>
        <v xml:space="preserve"> </v>
      </c>
      <c r="AA401" s="12"/>
      <c r="AB401" s="38">
        <v>33424710</v>
      </c>
      <c r="AC401" s="37">
        <v>0.02</v>
      </c>
      <c r="AD401" s="38">
        <f t="shared" si="6"/>
        <v>668494.20000000007</v>
      </c>
      <c r="AE401" s="12"/>
      <c r="AF401" s="12">
        <f>COUNTIF($A$20:A401,A401)</f>
        <v>2</v>
      </c>
      <c r="AG401" s="38">
        <v>33424710</v>
      </c>
      <c r="AH401" s="38">
        <f>Tabla4[[#This Row],[VALOR CONTRAPARTIDA]]+Tabla4[[#This Row],[TOTAL APORTES ICBF]]</f>
        <v>34093204.200000003</v>
      </c>
      <c r="AI401" s="35"/>
      <c r="AJ401" s="38"/>
      <c r="AK401" s="38"/>
      <c r="AL401" s="23"/>
      <c r="AM401" s="35">
        <f>VLOOKUP(Tabla4[[#This Row],[SERVICIO 2025]],$J$2:$V$14,5,0)*Tabla4[[#This Row],[TOTAL COBERTURA]]</f>
        <v>1028368</v>
      </c>
      <c r="AN401" s="35">
        <f>VLOOKUP(Tabla4[[#This Row],[SERVICIO 2025]],$J$2:$V$14,6,0)*Tabla4[[#This Row],[TOTAL COBERTURA]]</f>
        <v>832502</v>
      </c>
      <c r="AO401" s="35">
        <f>VLOOKUP(Tabla4[[#This Row],[SERVICIO 2025]],$J$2:$V$14,8,0)*Tabla4[[#This Row],[TOTAL COBERTURA]]</f>
        <v>0</v>
      </c>
      <c r="AP401" s="35">
        <f>VLOOKUP(Tabla4[[#This Row],[SERVICIO 2025]],$J$2:$V$14,3,0)*Tabla4[[#This Row],[TOTAL COBERTURA]]*8</f>
        <v>31563840</v>
      </c>
      <c r="AQ401" s="35"/>
      <c r="AR401" s="35">
        <f>Tabla4[[#This Row],[VALOR FASE PREPARATORIA DE ALISTAMIENTO]]+Tabla4[[#This Row],[VALOR FASE PREPARATORIA DE CIERRE]]+Tabla4[[#This Row],[DOTACIÓN ÚNICA]]+Tabla4[[#This Row],[VALOR ATENCIÓN]]+Tabla4[[#This Row],[VALOR RACION PREPARADA]]</f>
        <v>33424710</v>
      </c>
      <c r="AS401" s="35" t="str">
        <f>+IF(Tabla4[[#This Row],[AGRUPACIONES]]=1,SUMIFS(Tabla4[VALOR TOTAL],Tabla4[ZONA DEFINITIVO],Tabla4[[#This Row],[ZONA DEFINITIVO]])," ")</f>
        <v xml:space="preserve"> </v>
      </c>
      <c r="AT401" s="27">
        <f>(VLOOKUP(Tabla4[[#This Row],[SERVICIO 2025]],$J$2:$V$14,3,0)*Tabla4[[#This Row],[TOTAL COBERTURA]])+Tabla4[[#This Row],[VALOR FASE PREPARATORIA DE ALISTAMIENTO]]+Tabla4[[#This Row],[DOTACIÓN ÚNICA]]</f>
        <v>4973848</v>
      </c>
      <c r="AU401" s="35">
        <f>(VLOOKUP(Tabla4[[#This Row],[SERVICIO 2025]],$J$2:$V$14,3,0)*Tabla4[[#This Row],[TOTAL COBERTURA]])</f>
        <v>3945480</v>
      </c>
      <c r="AV401" s="35">
        <f>(VLOOKUP(Tabla4[[#This Row],[SERVICIO 2025]],$J$2:$V$14,3,0)*Tabla4[[#This Row],[TOTAL COBERTURA]])</f>
        <v>3945480</v>
      </c>
      <c r="AW401" s="35">
        <f>(VLOOKUP(Tabla4[[#This Row],[SERVICIO 2025]],$J$2:$V$14,3,0)*Tabla4[[#This Row],[TOTAL COBERTURA]])</f>
        <v>3945480</v>
      </c>
      <c r="AX401" s="35">
        <f>(VLOOKUP(Tabla4[[#This Row],[SERVICIO 2025]],$J$2:$V$14,3,0)*Tabla4[[#This Row],[TOTAL COBERTURA]])</f>
        <v>3945480</v>
      </c>
      <c r="AY401" s="35">
        <f>(VLOOKUP(Tabla4[[#This Row],[SERVICIO 2025]],$J$2:$V$14,3,0)*Tabla4[[#This Row],[TOTAL COBERTURA]])</f>
        <v>3945480</v>
      </c>
      <c r="AZ401" s="35">
        <f>(VLOOKUP(Tabla4[[#This Row],[SERVICIO 2025]],$J$2:$V$14,3,0)*Tabla4[[#This Row],[TOTAL COBERTURA]])</f>
        <v>3945480</v>
      </c>
      <c r="BA401" s="35">
        <f>(VLOOKUP(Tabla4[[#This Row],[SERVICIO 2025]],$J$2:$V$14,3,0)*Tabla4[[#This Row],[TOTAL COBERTURA]])+Tabla4[[#This Row],[VALOR FASE PREPARATORIA DE CIERRE]]</f>
        <v>4777982</v>
      </c>
      <c r="BB401" s="35">
        <f>SUM(Tabla4[[#This Row],[DESEMBOLSO 1]:[DESEMBOLSO 8]])</f>
        <v>33424710</v>
      </c>
      <c r="BC401" s="35">
        <f>VLOOKUP(Tabla4[[#This Row],[SERVICIO 2025]],$J$2:$V$14,10,0)*Tabla4[[#This Row],[TOTAL COBERTURA]]*$W$3</f>
        <v>33144496</v>
      </c>
      <c r="BD401" s="47" t="s">
        <v>211</v>
      </c>
      <c r="BE401" s="12" t="b">
        <f>EXACT(Tabla4[[#This Row],[VALOR ATENCIÓN (8 MESES)]],Tabla4[[#This Row],[VALOR TOTAL]])</f>
        <v>1</v>
      </c>
      <c r="BF401" s="23">
        <f>Tabla4[[#This Row],[VALOR ATENCIÓN (8 MESES)]]-Tabla4[[#This Row],[VALOR TOTAL]]</f>
        <v>0</v>
      </c>
      <c r="BG401" s="12" t="b">
        <f>EXACT(Tabla4[[#This Row],[TOTAL DESEMBOLSOS]],Tabla4[[#This Row],[VALOR ATENCIÓN (8 MESES)]])</f>
        <v>1</v>
      </c>
      <c r="BH401" s="29">
        <f>Tabla4[[#This Row],[TOTAL DESEMBOLSOS]]-Tabla4[[#This Row],[VALOR ATENCIÓN (8 MESES)]]</f>
        <v>0</v>
      </c>
      <c r="BI401" t="s">
        <v>98</v>
      </c>
      <c r="BJ401">
        <v>1920</v>
      </c>
    </row>
    <row r="402" spans="1:62">
      <c r="A402" s="13">
        <v>1920</v>
      </c>
      <c r="B402" s="13" t="s">
        <v>947</v>
      </c>
      <c r="C402" s="12" t="s">
        <v>87</v>
      </c>
      <c r="D402" s="12" t="s">
        <v>88</v>
      </c>
      <c r="E402" s="12" t="s">
        <v>948</v>
      </c>
      <c r="F402" s="12" t="s">
        <v>21</v>
      </c>
      <c r="G402" s="12" t="s">
        <v>90</v>
      </c>
      <c r="H402" s="12" t="s">
        <v>953</v>
      </c>
      <c r="I402" s="12">
        <v>50791114914</v>
      </c>
      <c r="J402" s="12" t="s">
        <v>954</v>
      </c>
      <c r="K402" s="12">
        <v>1</v>
      </c>
      <c r="L402" s="12">
        <v>8</v>
      </c>
      <c r="M402" s="12"/>
      <c r="N402" s="13">
        <v>1920</v>
      </c>
      <c r="O402" s="12" t="s">
        <v>93</v>
      </c>
      <c r="P402" s="12"/>
      <c r="Q402" s="12"/>
      <c r="R402" s="12" t="s">
        <v>94</v>
      </c>
      <c r="S402" s="12">
        <v>10</v>
      </c>
      <c r="T402" s="12" t="s">
        <v>534</v>
      </c>
      <c r="U402" s="12" t="s">
        <v>531</v>
      </c>
      <c r="V402" s="12">
        <f>VLOOKUP(Tabla4[[#This Row],[ZONA DEFINITIVO]],Hoja1!$A$1:$D$121,3,0)</f>
        <v>229098</v>
      </c>
      <c r="W402" s="12">
        <f>VLOOKUP(Tabla4[[#This Row],[ZONA DEFINITIVO]],Hoja1!$A$1:$D$121,2,0)</f>
        <v>15185</v>
      </c>
      <c r="X402" s="12">
        <f>VLOOKUP(Tabla4[[#This Row],[ZONA DEFINITIVO]],Hoja1!$A$1:$D$121,4,0)</f>
        <v>91725</v>
      </c>
      <c r="Y402" s="12" t="str">
        <f>+IF(Tabla4[[#This Row],[AGRUPACIONES]]=1,SUMIFS(Tabla4[UDS],Tabla4[ZONA DEFINITIVO],Tabla4[[#This Row],[ZONA DEFINITIVO]])," ")</f>
        <v xml:space="preserve"> </v>
      </c>
      <c r="Z402" s="12" t="str">
        <f>+IF(Tabla4[[#This Row],[AGRUPACIONES]]=1,SUMIFS(Tabla4[TOTAL COBERTURA],Tabla4[ZONA DEFINITIVO],Tabla4[[#This Row],[ZONA DEFINITIVO]])," ")</f>
        <v xml:space="preserve"> </v>
      </c>
      <c r="AA402" s="12"/>
      <c r="AB402" s="38">
        <v>12154440</v>
      </c>
      <c r="AC402" s="37">
        <v>0.02</v>
      </c>
      <c r="AD402" s="38">
        <f t="shared" si="6"/>
        <v>243088.80000000002</v>
      </c>
      <c r="AE402" s="12"/>
      <c r="AF402" s="12">
        <f>COUNTIF($A$20:A402,A402)</f>
        <v>3</v>
      </c>
      <c r="AG402" s="38">
        <v>12154440</v>
      </c>
      <c r="AH402" s="38">
        <f>Tabla4[[#This Row],[VALOR CONTRAPARTIDA]]+Tabla4[[#This Row],[TOTAL APORTES ICBF]]</f>
        <v>12397528.800000001</v>
      </c>
      <c r="AI402" s="35"/>
      <c r="AJ402" s="38"/>
      <c r="AK402" s="38"/>
      <c r="AL402" s="23"/>
      <c r="AM402" s="35">
        <f>VLOOKUP(Tabla4[[#This Row],[SERVICIO 2025]],$J$2:$V$14,5,0)*Tabla4[[#This Row],[TOTAL COBERTURA]]</f>
        <v>373952</v>
      </c>
      <c r="AN402" s="35">
        <f>VLOOKUP(Tabla4[[#This Row],[SERVICIO 2025]],$J$2:$V$14,6,0)*Tabla4[[#This Row],[TOTAL COBERTURA]]</f>
        <v>302728</v>
      </c>
      <c r="AO402" s="35">
        <f>VLOOKUP(Tabla4[[#This Row],[SERVICIO 2025]],$J$2:$V$14,8,0)*Tabla4[[#This Row],[TOTAL COBERTURA]]</f>
        <v>0</v>
      </c>
      <c r="AP402" s="35">
        <f>VLOOKUP(Tabla4[[#This Row],[SERVICIO 2025]],$J$2:$V$14,3,0)*Tabla4[[#This Row],[TOTAL COBERTURA]]*8</f>
        <v>11477760</v>
      </c>
      <c r="AQ402" s="35"/>
      <c r="AR402" s="35">
        <f>Tabla4[[#This Row],[VALOR FASE PREPARATORIA DE ALISTAMIENTO]]+Tabla4[[#This Row],[VALOR FASE PREPARATORIA DE CIERRE]]+Tabla4[[#This Row],[DOTACIÓN ÚNICA]]+Tabla4[[#This Row],[VALOR ATENCIÓN]]+Tabla4[[#This Row],[VALOR RACION PREPARADA]]</f>
        <v>12154440</v>
      </c>
      <c r="AS402" s="35" t="str">
        <f>+IF(Tabla4[[#This Row],[AGRUPACIONES]]=1,SUMIFS(Tabla4[VALOR TOTAL],Tabla4[ZONA DEFINITIVO],Tabla4[[#This Row],[ZONA DEFINITIVO]])," ")</f>
        <v xml:space="preserve"> </v>
      </c>
      <c r="AT402" s="27">
        <f>(VLOOKUP(Tabla4[[#This Row],[SERVICIO 2025]],$J$2:$V$14,3,0)*Tabla4[[#This Row],[TOTAL COBERTURA]])+Tabla4[[#This Row],[VALOR FASE PREPARATORIA DE ALISTAMIENTO]]+Tabla4[[#This Row],[DOTACIÓN ÚNICA]]</f>
        <v>1808672</v>
      </c>
      <c r="AU402" s="35">
        <f>(VLOOKUP(Tabla4[[#This Row],[SERVICIO 2025]],$J$2:$V$14,3,0)*Tabla4[[#This Row],[TOTAL COBERTURA]])</f>
        <v>1434720</v>
      </c>
      <c r="AV402" s="35">
        <f>(VLOOKUP(Tabla4[[#This Row],[SERVICIO 2025]],$J$2:$V$14,3,0)*Tabla4[[#This Row],[TOTAL COBERTURA]])</f>
        <v>1434720</v>
      </c>
      <c r="AW402" s="35">
        <f>(VLOOKUP(Tabla4[[#This Row],[SERVICIO 2025]],$J$2:$V$14,3,0)*Tabla4[[#This Row],[TOTAL COBERTURA]])</f>
        <v>1434720</v>
      </c>
      <c r="AX402" s="35">
        <f>(VLOOKUP(Tabla4[[#This Row],[SERVICIO 2025]],$J$2:$V$14,3,0)*Tabla4[[#This Row],[TOTAL COBERTURA]])</f>
        <v>1434720</v>
      </c>
      <c r="AY402" s="35">
        <f>(VLOOKUP(Tabla4[[#This Row],[SERVICIO 2025]],$J$2:$V$14,3,0)*Tabla4[[#This Row],[TOTAL COBERTURA]])</f>
        <v>1434720</v>
      </c>
      <c r="AZ402" s="35">
        <f>(VLOOKUP(Tabla4[[#This Row],[SERVICIO 2025]],$J$2:$V$14,3,0)*Tabla4[[#This Row],[TOTAL COBERTURA]])</f>
        <v>1434720</v>
      </c>
      <c r="BA402" s="35">
        <f>(VLOOKUP(Tabla4[[#This Row],[SERVICIO 2025]],$J$2:$V$14,3,0)*Tabla4[[#This Row],[TOTAL COBERTURA]])+Tabla4[[#This Row],[VALOR FASE PREPARATORIA DE CIERRE]]</f>
        <v>1737448</v>
      </c>
      <c r="BB402" s="35">
        <f>SUM(Tabla4[[#This Row],[DESEMBOLSO 1]:[DESEMBOLSO 8]])</f>
        <v>12154440</v>
      </c>
      <c r="BC402" s="35">
        <f>VLOOKUP(Tabla4[[#This Row],[SERVICIO 2025]],$J$2:$V$14,10,0)*Tabla4[[#This Row],[TOTAL COBERTURA]]*$W$3</f>
        <v>12052544</v>
      </c>
      <c r="BD402" s="47" t="s">
        <v>211</v>
      </c>
      <c r="BE402" s="12" t="b">
        <f>EXACT(Tabla4[[#This Row],[VALOR ATENCIÓN (8 MESES)]],Tabla4[[#This Row],[VALOR TOTAL]])</f>
        <v>1</v>
      </c>
      <c r="BF402" s="23">
        <f>Tabla4[[#This Row],[VALOR ATENCIÓN (8 MESES)]]-Tabla4[[#This Row],[VALOR TOTAL]]</f>
        <v>0</v>
      </c>
      <c r="BG402" s="12" t="b">
        <f>EXACT(Tabla4[[#This Row],[TOTAL DESEMBOLSOS]],Tabla4[[#This Row],[VALOR ATENCIÓN (8 MESES)]])</f>
        <v>1</v>
      </c>
      <c r="BH402" s="29">
        <f>Tabla4[[#This Row],[TOTAL DESEMBOLSOS]]-Tabla4[[#This Row],[VALOR ATENCIÓN (8 MESES)]]</f>
        <v>0</v>
      </c>
      <c r="BI402" t="s">
        <v>98</v>
      </c>
      <c r="BJ402">
        <v>1920</v>
      </c>
    </row>
    <row r="403" spans="1:62">
      <c r="A403" s="13">
        <v>1920</v>
      </c>
      <c r="B403" s="13" t="s">
        <v>947</v>
      </c>
      <c r="C403" s="12" t="s">
        <v>87</v>
      </c>
      <c r="D403" s="12" t="s">
        <v>88</v>
      </c>
      <c r="E403" s="12" t="s">
        <v>948</v>
      </c>
      <c r="F403" s="12" t="s">
        <v>21</v>
      </c>
      <c r="G403" s="12" t="s">
        <v>90</v>
      </c>
      <c r="H403" s="12" t="s">
        <v>955</v>
      </c>
      <c r="I403" s="12">
        <v>50791136523</v>
      </c>
      <c r="J403" s="12" t="s">
        <v>956</v>
      </c>
      <c r="K403" s="12">
        <v>1</v>
      </c>
      <c r="L403" s="12">
        <v>17</v>
      </c>
      <c r="M403" s="12"/>
      <c r="N403" s="13">
        <v>1920</v>
      </c>
      <c r="O403" s="12" t="s">
        <v>93</v>
      </c>
      <c r="P403" s="12"/>
      <c r="Q403" s="12"/>
      <c r="R403" s="12" t="s">
        <v>94</v>
      </c>
      <c r="S403" s="12">
        <v>10</v>
      </c>
      <c r="T403" s="12" t="s">
        <v>534</v>
      </c>
      <c r="U403" s="12" t="s">
        <v>531</v>
      </c>
      <c r="V403" s="12">
        <f>VLOOKUP(Tabla4[[#This Row],[ZONA DEFINITIVO]],Hoja1!$A$1:$D$121,3,0)</f>
        <v>229098</v>
      </c>
      <c r="W403" s="12">
        <f>VLOOKUP(Tabla4[[#This Row],[ZONA DEFINITIVO]],Hoja1!$A$1:$D$121,2,0)</f>
        <v>15185</v>
      </c>
      <c r="X403" s="12">
        <f>VLOOKUP(Tabla4[[#This Row],[ZONA DEFINITIVO]],Hoja1!$A$1:$D$121,4,0)</f>
        <v>91725</v>
      </c>
      <c r="Y403" s="12" t="str">
        <f>+IF(Tabla4[[#This Row],[AGRUPACIONES]]=1,SUMIFS(Tabla4[UDS],Tabla4[ZONA DEFINITIVO],Tabla4[[#This Row],[ZONA DEFINITIVO]])," ")</f>
        <v xml:space="preserve"> </v>
      </c>
      <c r="Z403" s="12" t="str">
        <f>+IF(Tabla4[[#This Row],[AGRUPACIONES]]=1,SUMIFS(Tabla4[TOTAL COBERTURA],Tabla4[ZONA DEFINITIVO],Tabla4[[#This Row],[ZONA DEFINITIVO]])," ")</f>
        <v xml:space="preserve"> </v>
      </c>
      <c r="AA403" s="12"/>
      <c r="AB403" s="38">
        <v>25828185</v>
      </c>
      <c r="AC403" s="37">
        <v>0.02</v>
      </c>
      <c r="AD403" s="38">
        <f t="shared" si="6"/>
        <v>516563.7</v>
      </c>
      <c r="AE403" s="12"/>
      <c r="AF403" s="12">
        <f>COUNTIF($A$20:A403,A403)</f>
        <v>4</v>
      </c>
      <c r="AG403" s="38">
        <v>25828185</v>
      </c>
      <c r="AH403" s="38">
        <f>Tabla4[[#This Row],[VALOR CONTRAPARTIDA]]+Tabla4[[#This Row],[TOTAL APORTES ICBF]]</f>
        <v>26344748.699999999</v>
      </c>
      <c r="AI403" s="35"/>
      <c r="AJ403" s="38"/>
      <c r="AK403" s="38"/>
      <c r="AL403" s="23"/>
      <c r="AM403" s="35">
        <f>VLOOKUP(Tabla4[[#This Row],[SERVICIO 2025]],$J$2:$V$14,5,0)*Tabla4[[#This Row],[TOTAL COBERTURA]]</f>
        <v>794648</v>
      </c>
      <c r="AN403" s="35">
        <f>VLOOKUP(Tabla4[[#This Row],[SERVICIO 2025]],$J$2:$V$14,6,0)*Tabla4[[#This Row],[TOTAL COBERTURA]]</f>
        <v>643297</v>
      </c>
      <c r="AO403" s="35">
        <f>VLOOKUP(Tabla4[[#This Row],[SERVICIO 2025]],$J$2:$V$14,8,0)*Tabla4[[#This Row],[TOTAL COBERTURA]]</f>
        <v>0</v>
      </c>
      <c r="AP403" s="35">
        <f>VLOOKUP(Tabla4[[#This Row],[SERVICIO 2025]],$J$2:$V$14,3,0)*Tabla4[[#This Row],[TOTAL COBERTURA]]*8</f>
        <v>24390240</v>
      </c>
      <c r="AQ403" s="35"/>
      <c r="AR403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403" s="35" t="str">
        <f>+IF(Tabla4[[#This Row],[AGRUPACIONES]]=1,SUMIFS(Tabla4[VALOR TOTAL],Tabla4[ZONA DEFINITIVO],Tabla4[[#This Row],[ZONA DEFINITIVO]])," ")</f>
        <v xml:space="preserve"> </v>
      </c>
      <c r="AT403" s="27">
        <f>(VLOOKUP(Tabla4[[#This Row],[SERVICIO 2025]],$J$2:$V$14,3,0)*Tabla4[[#This Row],[TOTAL COBERTURA]])+Tabla4[[#This Row],[VALOR FASE PREPARATORIA DE ALISTAMIENTO]]+Tabla4[[#This Row],[DOTACIÓN ÚNICA]]</f>
        <v>3843428</v>
      </c>
      <c r="AU403" s="35">
        <f>(VLOOKUP(Tabla4[[#This Row],[SERVICIO 2025]],$J$2:$V$14,3,0)*Tabla4[[#This Row],[TOTAL COBERTURA]])</f>
        <v>3048780</v>
      </c>
      <c r="AV403" s="35">
        <f>(VLOOKUP(Tabla4[[#This Row],[SERVICIO 2025]],$J$2:$V$14,3,0)*Tabla4[[#This Row],[TOTAL COBERTURA]])</f>
        <v>3048780</v>
      </c>
      <c r="AW403" s="35">
        <f>(VLOOKUP(Tabla4[[#This Row],[SERVICIO 2025]],$J$2:$V$14,3,0)*Tabla4[[#This Row],[TOTAL COBERTURA]])</f>
        <v>3048780</v>
      </c>
      <c r="AX403" s="35">
        <f>(VLOOKUP(Tabla4[[#This Row],[SERVICIO 2025]],$J$2:$V$14,3,0)*Tabla4[[#This Row],[TOTAL COBERTURA]])</f>
        <v>3048780</v>
      </c>
      <c r="AY403" s="35">
        <f>(VLOOKUP(Tabla4[[#This Row],[SERVICIO 2025]],$J$2:$V$14,3,0)*Tabla4[[#This Row],[TOTAL COBERTURA]])</f>
        <v>3048780</v>
      </c>
      <c r="AZ403" s="35">
        <f>(VLOOKUP(Tabla4[[#This Row],[SERVICIO 2025]],$J$2:$V$14,3,0)*Tabla4[[#This Row],[TOTAL COBERTURA]])</f>
        <v>3048780</v>
      </c>
      <c r="BA403" s="35">
        <f>(VLOOKUP(Tabla4[[#This Row],[SERVICIO 2025]],$J$2:$V$14,3,0)*Tabla4[[#This Row],[TOTAL COBERTURA]])+Tabla4[[#This Row],[VALOR FASE PREPARATORIA DE CIERRE]]</f>
        <v>3692077</v>
      </c>
      <c r="BB403" s="35">
        <f>SUM(Tabla4[[#This Row],[DESEMBOLSO 1]:[DESEMBOLSO 8]])</f>
        <v>25828185</v>
      </c>
      <c r="BC403" s="35">
        <f>VLOOKUP(Tabla4[[#This Row],[SERVICIO 2025]],$J$2:$V$14,10,0)*Tabla4[[#This Row],[TOTAL COBERTURA]]*$W$3</f>
        <v>25611656</v>
      </c>
      <c r="BD403" s="47" t="s">
        <v>211</v>
      </c>
      <c r="BE403" s="12" t="b">
        <f>EXACT(Tabla4[[#This Row],[VALOR ATENCIÓN (8 MESES)]],Tabla4[[#This Row],[VALOR TOTAL]])</f>
        <v>1</v>
      </c>
      <c r="BF403" s="23">
        <f>Tabla4[[#This Row],[VALOR ATENCIÓN (8 MESES)]]-Tabla4[[#This Row],[VALOR TOTAL]]</f>
        <v>0</v>
      </c>
      <c r="BG403" s="12" t="b">
        <f>EXACT(Tabla4[[#This Row],[TOTAL DESEMBOLSOS]],Tabla4[[#This Row],[VALOR ATENCIÓN (8 MESES)]])</f>
        <v>1</v>
      </c>
      <c r="BH403" s="29">
        <f>Tabla4[[#This Row],[TOTAL DESEMBOLSOS]]-Tabla4[[#This Row],[VALOR ATENCIÓN (8 MESES)]]</f>
        <v>0</v>
      </c>
      <c r="BI403" t="s">
        <v>98</v>
      </c>
      <c r="BJ403">
        <v>1920</v>
      </c>
    </row>
    <row r="404" spans="1:62">
      <c r="A404" s="13">
        <v>1920</v>
      </c>
      <c r="B404" s="13" t="s">
        <v>947</v>
      </c>
      <c r="C404" s="12" t="s">
        <v>87</v>
      </c>
      <c r="D404" s="12" t="s">
        <v>88</v>
      </c>
      <c r="E404" s="12" t="s">
        <v>948</v>
      </c>
      <c r="F404" s="12" t="s">
        <v>21</v>
      </c>
      <c r="G404" s="12" t="s">
        <v>90</v>
      </c>
      <c r="H404" s="12" t="s">
        <v>567</v>
      </c>
      <c r="I404" s="12">
        <v>50791136544</v>
      </c>
      <c r="J404" s="12" t="s">
        <v>957</v>
      </c>
      <c r="K404" s="12">
        <v>1</v>
      </c>
      <c r="L404" s="12">
        <v>34</v>
      </c>
      <c r="M404" s="12"/>
      <c r="N404" s="13">
        <v>1920</v>
      </c>
      <c r="O404" s="12" t="s">
        <v>93</v>
      </c>
      <c r="P404" s="12"/>
      <c r="Q404" s="12"/>
      <c r="R404" s="12" t="s">
        <v>94</v>
      </c>
      <c r="S404" s="12">
        <v>10</v>
      </c>
      <c r="T404" s="12" t="s">
        <v>534</v>
      </c>
      <c r="U404" s="12" t="s">
        <v>531</v>
      </c>
      <c r="V404" s="12">
        <f>VLOOKUP(Tabla4[[#This Row],[ZONA DEFINITIVO]],Hoja1!$A$1:$D$121,3,0)</f>
        <v>229098</v>
      </c>
      <c r="W404" s="12">
        <f>VLOOKUP(Tabla4[[#This Row],[ZONA DEFINITIVO]],Hoja1!$A$1:$D$121,2,0)</f>
        <v>15185</v>
      </c>
      <c r="X404" s="12">
        <f>VLOOKUP(Tabla4[[#This Row],[ZONA DEFINITIVO]],Hoja1!$A$1:$D$121,4,0)</f>
        <v>91725</v>
      </c>
      <c r="Y404" s="12" t="str">
        <f>+IF(Tabla4[[#This Row],[AGRUPACIONES]]=1,SUMIFS(Tabla4[UDS],Tabla4[ZONA DEFINITIVO],Tabla4[[#This Row],[ZONA DEFINITIVO]])," ")</f>
        <v xml:space="preserve"> </v>
      </c>
      <c r="Z404" s="12" t="str">
        <f>+IF(Tabla4[[#This Row],[AGRUPACIONES]]=1,SUMIFS(Tabla4[TOTAL COBERTURA],Tabla4[ZONA DEFINITIVO],Tabla4[[#This Row],[ZONA DEFINITIVO]])," ")</f>
        <v xml:space="preserve"> </v>
      </c>
      <c r="AA404" s="12"/>
      <c r="AB404" s="38">
        <v>51656370</v>
      </c>
      <c r="AC404" s="37">
        <v>0.02</v>
      </c>
      <c r="AD404" s="38">
        <f t="shared" ref="AD404:AD467" si="7">AB404*AC404</f>
        <v>1033127.4</v>
      </c>
      <c r="AE404" s="12"/>
      <c r="AF404" s="12">
        <f>COUNTIF($A$20:A404,A404)</f>
        <v>5</v>
      </c>
      <c r="AG404" s="38">
        <v>51656370</v>
      </c>
      <c r="AH404" s="38">
        <f>Tabla4[[#This Row],[VALOR CONTRAPARTIDA]]+Tabla4[[#This Row],[TOTAL APORTES ICBF]]</f>
        <v>52689497.399999999</v>
      </c>
      <c r="AI404" s="35"/>
      <c r="AJ404" s="38"/>
      <c r="AK404" s="38"/>
      <c r="AL404" s="23"/>
      <c r="AM404" s="35">
        <f>VLOOKUP(Tabla4[[#This Row],[SERVICIO 2025]],$J$2:$V$14,5,0)*Tabla4[[#This Row],[TOTAL COBERTURA]]</f>
        <v>1589296</v>
      </c>
      <c r="AN404" s="35">
        <f>VLOOKUP(Tabla4[[#This Row],[SERVICIO 2025]],$J$2:$V$14,6,0)*Tabla4[[#This Row],[TOTAL COBERTURA]]</f>
        <v>1286594</v>
      </c>
      <c r="AO404" s="35">
        <f>VLOOKUP(Tabla4[[#This Row],[SERVICIO 2025]],$J$2:$V$14,8,0)*Tabla4[[#This Row],[TOTAL COBERTURA]]</f>
        <v>0</v>
      </c>
      <c r="AP404" s="35">
        <f>VLOOKUP(Tabla4[[#This Row],[SERVICIO 2025]],$J$2:$V$14,3,0)*Tabla4[[#This Row],[TOTAL COBERTURA]]*8</f>
        <v>48780480</v>
      </c>
      <c r="AQ404" s="35"/>
      <c r="AR404" s="35">
        <f>Tabla4[[#This Row],[VALOR FASE PREPARATORIA DE ALISTAMIENTO]]+Tabla4[[#This Row],[VALOR FASE PREPARATORIA DE CIERRE]]+Tabla4[[#This Row],[DOTACIÓN ÚNICA]]+Tabla4[[#This Row],[VALOR ATENCIÓN]]+Tabla4[[#This Row],[VALOR RACION PREPARADA]]</f>
        <v>51656370</v>
      </c>
      <c r="AS404" s="35" t="str">
        <f>+IF(Tabla4[[#This Row],[AGRUPACIONES]]=1,SUMIFS(Tabla4[VALOR TOTAL],Tabla4[ZONA DEFINITIVO],Tabla4[[#This Row],[ZONA DEFINITIVO]])," ")</f>
        <v xml:space="preserve"> </v>
      </c>
      <c r="AT404" s="27">
        <f>(VLOOKUP(Tabla4[[#This Row],[SERVICIO 2025]],$J$2:$V$14,3,0)*Tabla4[[#This Row],[TOTAL COBERTURA]])+Tabla4[[#This Row],[VALOR FASE PREPARATORIA DE ALISTAMIENTO]]+Tabla4[[#This Row],[DOTACIÓN ÚNICA]]</f>
        <v>7686856</v>
      </c>
      <c r="AU404" s="35">
        <f>(VLOOKUP(Tabla4[[#This Row],[SERVICIO 2025]],$J$2:$V$14,3,0)*Tabla4[[#This Row],[TOTAL COBERTURA]])</f>
        <v>6097560</v>
      </c>
      <c r="AV404" s="35">
        <f>(VLOOKUP(Tabla4[[#This Row],[SERVICIO 2025]],$J$2:$V$14,3,0)*Tabla4[[#This Row],[TOTAL COBERTURA]])</f>
        <v>6097560</v>
      </c>
      <c r="AW404" s="35">
        <f>(VLOOKUP(Tabla4[[#This Row],[SERVICIO 2025]],$J$2:$V$14,3,0)*Tabla4[[#This Row],[TOTAL COBERTURA]])</f>
        <v>6097560</v>
      </c>
      <c r="AX404" s="35">
        <f>(VLOOKUP(Tabla4[[#This Row],[SERVICIO 2025]],$J$2:$V$14,3,0)*Tabla4[[#This Row],[TOTAL COBERTURA]])</f>
        <v>6097560</v>
      </c>
      <c r="AY404" s="35">
        <f>(VLOOKUP(Tabla4[[#This Row],[SERVICIO 2025]],$J$2:$V$14,3,0)*Tabla4[[#This Row],[TOTAL COBERTURA]])</f>
        <v>6097560</v>
      </c>
      <c r="AZ404" s="35">
        <f>(VLOOKUP(Tabla4[[#This Row],[SERVICIO 2025]],$J$2:$V$14,3,0)*Tabla4[[#This Row],[TOTAL COBERTURA]])</f>
        <v>6097560</v>
      </c>
      <c r="BA404" s="35">
        <f>(VLOOKUP(Tabla4[[#This Row],[SERVICIO 2025]],$J$2:$V$14,3,0)*Tabla4[[#This Row],[TOTAL COBERTURA]])+Tabla4[[#This Row],[VALOR FASE PREPARATORIA DE CIERRE]]</f>
        <v>7384154</v>
      </c>
      <c r="BB404" s="35">
        <f>SUM(Tabla4[[#This Row],[DESEMBOLSO 1]:[DESEMBOLSO 8]])</f>
        <v>51656370</v>
      </c>
      <c r="BC404" s="35">
        <f>VLOOKUP(Tabla4[[#This Row],[SERVICIO 2025]],$J$2:$V$14,10,0)*Tabla4[[#This Row],[TOTAL COBERTURA]]*$W$3</f>
        <v>51223312</v>
      </c>
      <c r="BD404" s="47" t="s">
        <v>211</v>
      </c>
      <c r="BE404" s="12" t="b">
        <f>EXACT(Tabla4[[#This Row],[VALOR ATENCIÓN (8 MESES)]],Tabla4[[#This Row],[VALOR TOTAL]])</f>
        <v>1</v>
      </c>
      <c r="BF404" s="23">
        <f>Tabla4[[#This Row],[VALOR ATENCIÓN (8 MESES)]]-Tabla4[[#This Row],[VALOR TOTAL]]</f>
        <v>0</v>
      </c>
      <c r="BG404" s="12" t="b">
        <f>EXACT(Tabla4[[#This Row],[TOTAL DESEMBOLSOS]],Tabla4[[#This Row],[VALOR ATENCIÓN (8 MESES)]])</f>
        <v>1</v>
      </c>
      <c r="BH404" s="29">
        <f>Tabla4[[#This Row],[TOTAL DESEMBOLSOS]]-Tabla4[[#This Row],[VALOR ATENCIÓN (8 MESES)]]</f>
        <v>0</v>
      </c>
      <c r="BI404" t="s">
        <v>98</v>
      </c>
      <c r="BJ404">
        <v>1920</v>
      </c>
    </row>
    <row r="405" spans="1:62">
      <c r="A405" s="13">
        <v>1920</v>
      </c>
      <c r="B405" s="13" t="s">
        <v>947</v>
      </c>
      <c r="C405" s="12" t="s">
        <v>87</v>
      </c>
      <c r="D405" s="12" t="s">
        <v>88</v>
      </c>
      <c r="E405" s="12" t="s">
        <v>948</v>
      </c>
      <c r="F405" s="12" t="s">
        <v>21</v>
      </c>
      <c r="G405" s="12" t="s">
        <v>90</v>
      </c>
      <c r="H405" s="12" t="s">
        <v>958</v>
      </c>
      <c r="I405" s="12">
        <v>50791136548</v>
      </c>
      <c r="J405" s="12" t="s">
        <v>959</v>
      </c>
      <c r="K405" s="12">
        <v>1</v>
      </c>
      <c r="L405" s="12">
        <v>20</v>
      </c>
      <c r="M405" s="12"/>
      <c r="N405" s="13">
        <v>1920</v>
      </c>
      <c r="O405" s="12" t="s">
        <v>93</v>
      </c>
      <c r="P405" s="12"/>
      <c r="Q405" s="12"/>
      <c r="R405" s="12" t="s">
        <v>94</v>
      </c>
      <c r="S405" s="12">
        <v>10</v>
      </c>
      <c r="T405" s="12" t="s">
        <v>534</v>
      </c>
      <c r="U405" s="12" t="s">
        <v>531</v>
      </c>
      <c r="V405" s="12">
        <f>VLOOKUP(Tabla4[[#This Row],[ZONA DEFINITIVO]],Hoja1!$A$1:$D$121,3,0)</f>
        <v>229098</v>
      </c>
      <c r="W405" s="12">
        <f>VLOOKUP(Tabla4[[#This Row],[ZONA DEFINITIVO]],Hoja1!$A$1:$D$121,2,0)</f>
        <v>15185</v>
      </c>
      <c r="X405" s="12">
        <f>VLOOKUP(Tabla4[[#This Row],[ZONA DEFINITIVO]],Hoja1!$A$1:$D$121,4,0)</f>
        <v>91725</v>
      </c>
      <c r="Y405" s="12" t="str">
        <f>+IF(Tabla4[[#This Row],[AGRUPACIONES]]=1,SUMIFS(Tabla4[UDS],Tabla4[ZONA DEFINITIVO],Tabla4[[#This Row],[ZONA DEFINITIVO]])," ")</f>
        <v xml:space="preserve"> </v>
      </c>
      <c r="Z405" s="12" t="str">
        <f>+IF(Tabla4[[#This Row],[AGRUPACIONES]]=1,SUMIFS(Tabla4[TOTAL COBERTURA],Tabla4[ZONA DEFINITIVO],Tabla4[[#This Row],[ZONA DEFINITIVO]])," ")</f>
        <v xml:space="preserve"> </v>
      </c>
      <c r="AA405" s="12"/>
      <c r="AB405" s="38">
        <v>30386100</v>
      </c>
      <c r="AC405" s="37">
        <v>0.02</v>
      </c>
      <c r="AD405" s="38">
        <f t="shared" si="7"/>
        <v>607722</v>
      </c>
      <c r="AE405" s="12"/>
      <c r="AF405" s="12">
        <f>COUNTIF($A$20:A405,A405)</f>
        <v>6</v>
      </c>
      <c r="AG405" s="38">
        <v>30386100</v>
      </c>
      <c r="AH405" s="38">
        <f>Tabla4[[#This Row],[VALOR CONTRAPARTIDA]]+Tabla4[[#This Row],[TOTAL APORTES ICBF]]</f>
        <v>30993822</v>
      </c>
      <c r="AI405" s="35"/>
      <c r="AJ405" s="38"/>
      <c r="AK405" s="38"/>
      <c r="AL405" s="23"/>
      <c r="AM405" s="35">
        <f>VLOOKUP(Tabla4[[#This Row],[SERVICIO 2025]],$J$2:$V$14,5,0)*Tabla4[[#This Row],[TOTAL COBERTURA]]</f>
        <v>934880</v>
      </c>
      <c r="AN405" s="35">
        <f>VLOOKUP(Tabla4[[#This Row],[SERVICIO 2025]],$J$2:$V$14,6,0)*Tabla4[[#This Row],[TOTAL COBERTURA]]</f>
        <v>756820</v>
      </c>
      <c r="AO405" s="35">
        <f>VLOOKUP(Tabla4[[#This Row],[SERVICIO 2025]],$J$2:$V$14,8,0)*Tabla4[[#This Row],[TOTAL COBERTURA]]</f>
        <v>0</v>
      </c>
      <c r="AP405" s="35">
        <f>VLOOKUP(Tabla4[[#This Row],[SERVICIO 2025]],$J$2:$V$14,3,0)*Tabla4[[#This Row],[TOTAL COBERTURA]]*8</f>
        <v>28694400</v>
      </c>
      <c r="AQ405" s="35"/>
      <c r="AR405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405" s="35" t="str">
        <f>+IF(Tabla4[[#This Row],[AGRUPACIONES]]=1,SUMIFS(Tabla4[VALOR TOTAL],Tabla4[ZONA DEFINITIVO],Tabla4[[#This Row],[ZONA DEFINITIVO]])," ")</f>
        <v xml:space="preserve"> </v>
      </c>
      <c r="AT405" s="27">
        <f>(VLOOKUP(Tabla4[[#This Row],[SERVICIO 2025]],$J$2:$V$14,3,0)*Tabla4[[#This Row],[TOTAL COBERTURA]])+Tabla4[[#This Row],[VALOR FASE PREPARATORIA DE ALISTAMIENTO]]+Tabla4[[#This Row],[DOTACIÓN ÚNICA]]</f>
        <v>4521680</v>
      </c>
      <c r="AU405" s="35">
        <f>(VLOOKUP(Tabla4[[#This Row],[SERVICIO 2025]],$J$2:$V$14,3,0)*Tabla4[[#This Row],[TOTAL COBERTURA]])</f>
        <v>3586800</v>
      </c>
      <c r="AV405" s="35">
        <f>(VLOOKUP(Tabla4[[#This Row],[SERVICIO 2025]],$J$2:$V$14,3,0)*Tabla4[[#This Row],[TOTAL COBERTURA]])</f>
        <v>3586800</v>
      </c>
      <c r="AW405" s="35">
        <f>(VLOOKUP(Tabla4[[#This Row],[SERVICIO 2025]],$J$2:$V$14,3,0)*Tabla4[[#This Row],[TOTAL COBERTURA]])</f>
        <v>3586800</v>
      </c>
      <c r="AX405" s="35">
        <f>(VLOOKUP(Tabla4[[#This Row],[SERVICIO 2025]],$J$2:$V$14,3,0)*Tabla4[[#This Row],[TOTAL COBERTURA]])</f>
        <v>3586800</v>
      </c>
      <c r="AY405" s="35">
        <f>(VLOOKUP(Tabla4[[#This Row],[SERVICIO 2025]],$J$2:$V$14,3,0)*Tabla4[[#This Row],[TOTAL COBERTURA]])</f>
        <v>3586800</v>
      </c>
      <c r="AZ405" s="35">
        <f>(VLOOKUP(Tabla4[[#This Row],[SERVICIO 2025]],$J$2:$V$14,3,0)*Tabla4[[#This Row],[TOTAL COBERTURA]])</f>
        <v>3586800</v>
      </c>
      <c r="BA405" s="35">
        <f>(VLOOKUP(Tabla4[[#This Row],[SERVICIO 2025]],$J$2:$V$14,3,0)*Tabla4[[#This Row],[TOTAL COBERTURA]])+Tabla4[[#This Row],[VALOR FASE PREPARATORIA DE CIERRE]]</f>
        <v>4343620</v>
      </c>
      <c r="BB405" s="35">
        <f>SUM(Tabla4[[#This Row],[DESEMBOLSO 1]:[DESEMBOLSO 8]])</f>
        <v>30386100</v>
      </c>
      <c r="BC405" s="35">
        <f>VLOOKUP(Tabla4[[#This Row],[SERVICIO 2025]],$J$2:$V$14,10,0)*Tabla4[[#This Row],[TOTAL COBERTURA]]*$W$3</f>
        <v>30131360</v>
      </c>
      <c r="BD405" s="47" t="s">
        <v>211</v>
      </c>
      <c r="BE405" s="12" t="b">
        <f>EXACT(Tabla4[[#This Row],[VALOR ATENCIÓN (8 MESES)]],Tabla4[[#This Row],[VALOR TOTAL]])</f>
        <v>1</v>
      </c>
      <c r="BF405" s="23">
        <f>Tabla4[[#This Row],[VALOR ATENCIÓN (8 MESES)]]-Tabla4[[#This Row],[VALOR TOTAL]]</f>
        <v>0</v>
      </c>
      <c r="BG405" s="12" t="b">
        <f>EXACT(Tabla4[[#This Row],[TOTAL DESEMBOLSOS]],Tabla4[[#This Row],[VALOR ATENCIÓN (8 MESES)]])</f>
        <v>1</v>
      </c>
      <c r="BH405" s="29">
        <f>Tabla4[[#This Row],[TOTAL DESEMBOLSOS]]-Tabla4[[#This Row],[VALOR ATENCIÓN (8 MESES)]]</f>
        <v>0</v>
      </c>
      <c r="BI405" t="s">
        <v>98</v>
      </c>
      <c r="BJ405">
        <v>1920</v>
      </c>
    </row>
    <row r="406" spans="1:62">
      <c r="A406" s="13">
        <v>1920</v>
      </c>
      <c r="B406" s="13" t="s">
        <v>947</v>
      </c>
      <c r="C406" s="12" t="s">
        <v>87</v>
      </c>
      <c r="D406" s="12" t="s">
        <v>88</v>
      </c>
      <c r="E406" s="12" t="s">
        <v>948</v>
      </c>
      <c r="F406" s="12" t="s">
        <v>21</v>
      </c>
      <c r="G406" s="12" t="s">
        <v>90</v>
      </c>
      <c r="H406" s="12" t="s">
        <v>960</v>
      </c>
      <c r="I406" s="12">
        <v>50791136560</v>
      </c>
      <c r="J406" s="12" t="s">
        <v>961</v>
      </c>
      <c r="K406" s="12">
        <v>1</v>
      </c>
      <c r="L406" s="12">
        <v>18</v>
      </c>
      <c r="M406" s="12"/>
      <c r="N406" s="13">
        <v>1920</v>
      </c>
      <c r="O406" s="12" t="s">
        <v>93</v>
      </c>
      <c r="P406" s="12"/>
      <c r="Q406" s="12"/>
      <c r="R406" s="12" t="s">
        <v>94</v>
      </c>
      <c r="S406" s="12">
        <v>10</v>
      </c>
      <c r="T406" s="12" t="s">
        <v>534</v>
      </c>
      <c r="U406" s="12" t="s">
        <v>531</v>
      </c>
      <c r="V406" s="12">
        <f>VLOOKUP(Tabla4[[#This Row],[ZONA DEFINITIVO]],Hoja1!$A$1:$D$121,3,0)</f>
        <v>229098</v>
      </c>
      <c r="W406" s="12">
        <f>VLOOKUP(Tabla4[[#This Row],[ZONA DEFINITIVO]],Hoja1!$A$1:$D$121,2,0)</f>
        <v>15185</v>
      </c>
      <c r="X406" s="12">
        <f>VLOOKUP(Tabla4[[#This Row],[ZONA DEFINITIVO]],Hoja1!$A$1:$D$121,4,0)</f>
        <v>91725</v>
      </c>
      <c r="Y406" s="12" t="str">
        <f>+IF(Tabla4[[#This Row],[AGRUPACIONES]]=1,SUMIFS(Tabla4[UDS],Tabla4[ZONA DEFINITIVO],Tabla4[[#This Row],[ZONA DEFINITIVO]])," ")</f>
        <v xml:space="preserve"> </v>
      </c>
      <c r="Z406" s="12" t="str">
        <f>+IF(Tabla4[[#This Row],[AGRUPACIONES]]=1,SUMIFS(Tabla4[TOTAL COBERTURA],Tabla4[ZONA DEFINITIVO],Tabla4[[#This Row],[ZONA DEFINITIVO]])," ")</f>
        <v xml:space="preserve"> </v>
      </c>
      <c r="AA406" s="12"/>
      <c r="AB406" s="38">
        <v>27347490</v>
      </c>
      <c r="AC406" s="37">
        <v>0.02</v>
      </c>
      <c r="AD406" s="38">
        <f t="shared" si="7"/>
        <v>546949.80000000005</v>
      </c>
      <c r="AE406" s="12"/>
      <c r="AF406" s="12">
        <f>COUNTIF($A$20:A406,A406)</f>
        <v>7</v>
      </c>
      <c r="AG406" s="38">
        <v>27347490</v>
      </c>
      <c r="AH406" s="38">
        <f>Tabla4[[#This Row],[VALOR CONTRAPARTIDA]]+Tabla4[[#This Row],[TOTAL APORTES ICBF]]</f>
        <v>27894439.800000001</v>
      </c>
      <c r="AI406" s="35"/>
      <c r="AJ406" s="38"/>
      <c r="AK406" s="38"/>
      <c r="AL406" s="23"/>
      <c r="AM406" s="35">
        <f>VLOOKUP(Tabla4[[#This Row],[SERVICIO 2025]],$J$2:$V$14,5,0)*Tabla4[[#This Row],[TOTAL COBERTURA]]</f>
        <v>841392</v>
      </c>
      <c r="AN406" s="35">
        <f>VLOOKUP(Tabla4[[#This Row],[SERVICIO 2025]],$J$2:$V$14,6,0)*Tabla4[[#This Row],[TOTAL COBERTURA]]</f>
        <v>681138</v>
      </c>
      <c r="AO406" s="35">
        <f>VLOOKUP(Tabla4[[#This Row],[SERVICIO 2025]],$J$2:$V$14,8,0)*Tabla4[[#This Row],[TOTAL COBERTURA]]</f>
        <v>0</v>
      </c>
      <c r="AP406" s="35">
        <f>VLOOKUP(Tabla4[[#This Row],[SERVICIO 2025]],$J$2:$V$14,3,0)*Tabla4[[#This Row],[TOTAL COBERTURA]]*8</f>
        <v>25824960</v>
      </c>
      <c r="AQ406" s="35"/>
      <c r="AR406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406" s="35" t="str">
        <f>+IF(Tabla4[[#This Row],[AGRUPACIONES]]=1,SUMIFS(Tabla4[VALOR TOTAL],Tabla4[ZONA DEFINITIVO],Tabla4[[#This Row],[ZONA DEFINITIVO]])," ")</f>
        <v xml:space="preserve"> </v>
      </c>
      <c r="AT406" s="27">
        <f>(VLOOKUP(Tabla4[[#This Row],[SERVICIO 2025]],$J$2:$V$14,3,0)*Tabla4[[#This Row],[TOTAL COBERTURA]])+Tabla4[[#This Row],[VALOR FASE PREPARATORIA DE ALISTAMIENTO]]+Tabla4[[#This Row],[DOTACIÓN ÚNICA]]</f>
        <v>4069512</v>
      </c>
      <c r="AU406" s="35">
        <f>(VLOOKUP(Tabla4[[#This Row],[SERVICIO 2025]],$J$2:$V$14,3,0)*Tabla4[[#This Row],[TOTAL COBERTURA]])</f>
        <v>3228120</v>
      </c>
      <c r="AV406" s="35">
        <f>(VLOOKUP(Tabla4[[#This Row],[SERVICIO 2025]],$J$2:$V$14,3,0)*Tabla4[[#This Row],[TOTAL COBERTURA]])</f>
        <v>3228120</v>
      </c>
      <c r="AW406" s="35">
        <f>(VLOOKUP(Tabla4[[#This Row],[SERVICIO 2025]],$J$2:$V$14,3,0)*Tabla4[[#This Row],[TOTAL COBERTURA]])</f>
        <v>3228120</v>
      </c>
      <c r="AX406" s="35">
        <f>(VLOOKUP(Tabla4[[#This Row],[SERVICIO 2025]],$J$2:$V$14,3,0)*Tabla4[[#This Row],[TOTAL COBERTURA]])</f>
        <v>3228120</v>
      </c>
      <c r="AY406" s="35">
        <f>(VLOOKUP(Tabla4[[#This Row],[SERVICIO 2025]],$J$2:$V$14,3,0)*Tabla4[[#This Row],[TOTAL COBERTURA]])</f>
        <v>3228120</v>
      </c>
      <c r="AZ406" s="35">
        <f>(VLOOKUP(Tabla4[[#This Row],[SERVICIO 2025]],$J$2:$V$14,3,0)*Tabla4[[#This Row],[TOTAL COBERTURA]])</f>
        <v>3228120</v>
      </c>
      <c r="BA406" s="35">
        <f>(VLOOKUP(Tabla4[[#This Row],[SERVICIO 2025]],$J$2:$V$14,3,0)*Tabla4[[#This Row],[TOTAL COBERTURA]])+Tabla4[[#This Row],[VALOR FASE PREPARATORIA DE CIERRE]]</f>
        <v>3909258</v>
      </c>
      <c r="BB406" s="35">
        <f>SUM(Tabla4[[#This Row],[DESEMBOLSO 1]:[DESEMBOLSO 8]])</f>
        <v>27347490</v>
      </c>
      <c r="BC406" s="35">
        <f>VLOOKUP(Tabla4[[#This Row],[SERVICIO 2025]],$J$2:$V$14,10,0)*Tabla4[[#This Row],[TOTAL COBERTURA]]*$W$3</f>
        <v>27118224</v>
      </c>
      <c r="BD406" s="47" t="s">
        <v>211</v>
      </c>
      <c r="BE406" s="12" t="b">
        <f>EXACT(Tabla4[[#This Row],[VALOR ATENCIÓN (8 MESES)]],Tabla4[[#This Row],[VALOR TOTAL]])</f>
        <v>1</v>
      </c>
      <c r="BF406" s="23">
        <f>Tabla4[[#This Row],[VALOR ATENCIÓN (8 MESES)]]-Tabla4[[#This Row],[VALOR TOTAL]]</f>
        <v>0</v>
      </c>
      <c r="BG406" s="12" t="b">
        <f>EXACT(Tabla4[[#This Row],[TOTAL DESEMBOLSOS]],Tabla4[[#This Row],[VALOR ATENCIÓN (8 MESES)]])</f>
        <v>1</v>
      </c>
      <c r="BH406" s="29">
        <f>Tabla4[[#This Row],[TOTAL DESEMBOLSOS]]-Tabla4[[#This Row],[VALOR ATENCIÓN (8 MESES)]]</f>
        <v>0</v>
      </c>
      <c r="BI406" t="s">
        <v>98</v>
      </c>
      <c r="BJ406">
        <v>1920</v>
      </c>
    </row>
    <row r="407" spans="1:62">
      <c r="A407" s="13">
        <v>1920</v>
      </c>
      <c r="B407" s="13" t="s">
        <v>947</v>
      </c>
      <c r="C407" s="12" t="s">
        <v>87</v>
      </c>
      <c r="D407" s="12" t="s">
        <v>88</v>
      </c>
      <c r="E407" s="12" t="s">
        <v>948</v>
      </c>
      <c r="F407" s="12" t="s">
        <v>21</v>
      </c>
      <c r="G407" s="12" t="s">
        <v>90</v>
      </c>
      <c r="H407" s="12" t="s">
        <v>925</v>
      </c>
      <c r="I407" s="12">
        <v>50791136563</v>
      </c>
      <c r="J407" s="12" t="s">
        <v>962</v>
      </c>
      <c r="K407" s="12">
        <v>1</v>
      </c>
      <c r="L407" s="12">
        <v>16</v>
      </c>
      <c r="M407" s="12"/>
      <c r="N407" s="13">
        <v>1920</v>
      </c>
      <c r="O407" s="12" t="s">
        <v>93</v>
      </c>
      <c r="P407" s="12"/>
      <c r="Q407" s="12"/>
      <c r="R407" s="12" t="s">
        <v>94</v>
      </c>
      <c r="S407" s="12">
        <v>10</v>
      </c>
      <c r="T407" s="12" t="s">
        <v>534</v>
      </c>
      <c r="U407" s="12" t="s">
        <v>531</v>
      </c>
      <c r="V407" s="12">
        <f>VLOOKUP(Tabla4[[#This Row],[ZONA DEFINITIVO]],Hoja1!$A$1:$D$121,3,0)</f>
        <v>229098</v>
      </c>
      <c r="W407" s="12">
        <f>VLOOKUP(Tabla4[[#This Row],[ZONA DEFINITIVO]],Hoja1!$A$1:$D$121,2,0)</f>
        <v>15185</v>
      </c>
      <c r="X407" s="12">
        <f>VLOOKUP(Tabla4[[#This Row],[ZONA DEFINITIVO]],Hoja1!$A$1:$D$121,4,0)</f>
        <v>91725</v>
      </c>
      <c r="Y407" s="12" t="str">
        <f>+IF(Tabla4[[#This Row],[AGRUPACIONES]]=1,SUMIFS(Tabla4[UDS],Tabla4[ZONA DEFINITIVO],Tabla4[[#This Row],[ZONA DEFINITIVO]])," ")</f>
        <v xml:space="preserve"> </v>
      </c>
      <c r="Z407" s="12" t="str">
        <f>+IF(Tabla4[[#This Row],[AGRUPACIONES]]=1,SUMIFS(Tabla4[TOTAL COBERTURA],Tabla4[ZONA DEFINITIVO],Tabla4[[#This Row],[ZONA DEFINITIVO]])," ")</f>
        <v xml:space="preserve"> </v>
      </c>
      <c r="AA407" s="12"/>
      <c r="AB407" s="38">
        <v>24308880</v>
      </c>
      <c r="AC407" s="37">
        <v>0.02</v>
      </c>
      <c r="AD407" s="38">
        <f t="shared" si="7"/>
        <v>486177.60000000003</v>
      </c>
      <c r="AE407" s="12"/>
      <c r="AF407" s="12">
        <f>COUNTIF($A$20:A407,A407)</f>
        <v>8</v>
      </c>
      <c r="AG407" s="38">
        <v>24308880</v>
      </c>
      <c r="AH407" s="38">
        <f>Tabla4[[#This Row],[VALOR CONTRAPARTIDA]]+Tabla4[[#This Row],[TOTAL APORTES ICBF]]</f>
        <v>24795057.600000001</v>
      </c>
      <c r="AI407" s="35"/>
      <c r="AJ407" s="38"/>
      <c r="AK407" s="38"/>
      <c r="AL407" s="23"/>
      <c r="AM407" s="35">
        <f>VLOOKUP(Tabla4[[#This Row],[SERVICIO 2025]],$J$2:$V$14,5,0)*Tabla4[[#This Row],[TOTAL COBERTURA]]</f>
        <v>747904</v>
      </c>
      <c r="AN407" s="35">
        <f>VLOOKUP(Tabla4[[#This Row],[SERVICIO 2025]],$J$2:$V$14,6,0)*Tabla4[[#This Row],[TOTAL COBERTURA]]</f>
        <v>605456</v>
      </c>
      <c r="AO407" s="35">
        <f>VLOOKUP(Tabla4[[#This Row],[SERVICIO 2025]],$J$2:$V$14,8,0)*Tabla4[[#This Row],[TOTAL COBERTURA]]</f>
        <v>0</v>
      </c>
      <c r="AP407" s="35">
        <f>VLOOKUP(Tabla4[[#This Row],[SERVICIO 2025]],$J$2:$V$14,3,0)*Tabla4[[#This Row],[TOTAL COBERTURA]]*8</f>
        <v>22955520</v>
      </c>
      <c r="AQ407" s="35"/>
      <c r="AR407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407" s="35" t="str">
        <f>+IF(Tabla4[[#This Row],[AGRUPACIONES]]=1,SUMIFS(Tabla4[VALOR TOTAL],Tabla4[ZONA DEFINITIVO],Tabla4[[#This Row],[ZONA DEFINITIVO]])," ")</f>
        <v xml:space="preserve"> </v>
      </c>
      <c r="AT407" s="27">
        <f>(VLOOKUP(Tabla4[[#This Row],[SERVICIO 2025]],$J$2:$V$14,3,0)*Tabla4[[#This Row],[TOTAL COBERTURA]])+Tabla4[[#This Row],[VALOR FASE PREPARATORIA DE ALISTAMIENTO]]+Tabla4[[#This Row],[DOTACIÓN ÚNICA]]</f>
        <v>3617344</v>
      </c>
      <c r="AU407" s="35">
        <f>(VLOOKUP(Tabla4[[#This Row],[SERVICIO 2025]],$J$2:$V$14,3,0)*Tabla4[[#This Row],[TOTAL COBERTURA]])</f>
        <v>2869440</v>
      </c>
      <c r="AV407" s="35">
        <f>(VLOOKUP(Tabla4[[#This Row],[SERVICIO 2025]],$J$2:$V$14,3,0)*Tabla4[[#This Row],[TOTAL COBERTURA]])</f>
        <v>2869440</v>
      </c>
      <c r="AW407" s="35">
        <f>(VLOOKUP(Tabla4[[#This Row],[SERVICIO 2025]],$J$2:$V$14,3,0)*Tabla4[[#This Row],[TOTAL COBERTURA]])</f>
        <v>2869440</v>
      </c>
      <c r="AX407" s="35">
        <f>(VLOOKUP(Tabla4[[#This Row],[SERVICIO 2025]],$J$2:$V$14,3,0)*Tabla4[[#This Row],[TOTAL COBERTURA]])</f>
        <v>2869440</v>
      </c>
      <c r="AY407" s="35">
        <f>(VLOOKUP(Tabla4[[#This Row],[SERVICIO 2025]],$J$2:$V$14,3,0)*Tabla4[[#This Row],[TOTAL COBERTURA]])</f>
        <v>2869440</v>
      </c>
      <c r="AZ407" s="35">
        <f>(VLOOKUP(Tabla4[[#This Row],[SERVICIO 2025]],$J$2:$V$14,3,0)*Tabla4[[#This Row],[TOTAL COBERTURA]])</f>
        <v>2869440</v>
      </c>
      <c r="BA407" s="35">
        <f>(VLOOKUP(Tabla4[[#This Row],[SERVICIO 2025]],$J$2:$V$14,3,0)*Tabla4[[#This Row],[TOTAL COBERTURA]])+Tabla4[[#This Row],[VALOR FASE PREPARATORIA DE CIERRE]]</f>
        <v>3474896</v>
      </c>
      <c r="BB407" s="35">
        <f>SUM(Tabla4[[#This Row],[DESEMBOLSO 1]:[DESEMBOLSO 8]])</f>
        <v>24308880</v>
      </c>
      <c r="BC407" s="35">
        <f>VLOOKUP(Tabla4[[#This Row],[SERVICIO 2025]],$J$2:$V$14,10,0)*Tabla4[[#This Row],[TOTAL COBERTURA]]*$W$3</f>
        <v>24105088</v>
      </c>
      <c r="BD407" s="47" t="s">
        <v>211</v>
      </c>
      <c r="BE407" s="12" t="b">
        <f>EXACT(Tabla4[[#This Row],[VALOR ATENCIÓN (8 MESES)]],Tabla4[[#This Row],[VALOR TOTAL]])</f>
        <v>1</v>
      </c>
      <c r="BF407" s="23">
        <f>Tabla4[[#This Row],[VALOR ATENCIÓN (8 MESES)]]-Tabla4[[#This Row],[VALOR TOTAL]]</f>
        <v>0</v>
      </c>
      <c r="BG407" s="12" t="b">
        <f>EXACT(Tabla4[[#This Row],[TOTAL DESEMBOLSOS]],Tabla4[[#This Row],[VALOR ATENCIÓN (8 MESES)]])</f>
        <v>1</v>
      </c>
      <c r="BH407" s="29">
        <f>Tabla4[[#This Row],[TOTAL DESEMBOLSOS]]-Tabla4[[#This Row],[VALOR ATENCIÓN (8 MESES)]]</f>
        <v>0</v>
      </c>
      <c r="BI407" t="s">
        <v>98</v>
      </c>
      <c r="BJ407">
        <v>1920</v>
      </c>
    </row>
    <row r="408" spans="1:62">
      <c r="A408" s="13">
        <v>1920</v>
      </c>
      <c r="B408" s="13" t="s">
        <v>947</v>
      </c>
      <c r="C408" s="12" t="s">
        <v>87</v>
      </c>
      <c r="D408" s="12" t="s">
        <v>88</v>
      </c>
      <c r="E408" s="12" t="s">
        <v>948</v>
      </c>
      <c r="F408" s="12" t="s">
        <v>21</v>
      </c>
      <c r="G408" s="12" t="s">
        <v>90</v>
      </c>
      <c r="H408" s="12" t="s">
        <v>963</v>
      </c>
      <c r="I408" s="12">
        <v>50791136565</v>
      </c>
      <c r="J408" s="12" t="s">
        <v>964</v>
      </c>
      <c r="K408" s="12">
        <v>1</v>
      </c>
      <c r="L408" s="12">
        <v>11</v>
      </c>
      <c r="M408" s="12"/>
      <c r="N408" s="13">
        <v>1920</v>
      </c>
      <c r="O408" s="12" t="s">
        <v>93</v>
      </c>
      <c r="P408" s="12"/>
      <c r="Q408" s="12"/>
      <c r="R408" s="12" t="s">
        <v>94</v>
      </c>
      <c r="S408" s="12">
        <v>10</v>
      </c>
      <c r="T408" s="12" t="s">
        <v>534</v>
      </c>
      <c r="U408" s="12" t="s">
        <v>531</v>
      </c>
      <c r="V408" s="12">
        <f>VLOOKUP(Tabla4[[#This Row],[ZONA DEFINITIVO]],Hoja1!$A$1:$D$121,3,0)</f>
        <v>229098</v>
      </c>
      <c r="W408" s="12">
        <f>VLOOKUP(Tabla4[[#This Row],[ZONA DEFINITIVO]],Hoja1!$A$1:$D$121,2,0)</f>
        <v>15185</v>
      </c>
      <c r="X408" s="12">
        <f>VLOOKUP(Tabla4[[#This Row],[ZONA DEFINITIVO]],Hoja1!$A$1:$D$121,4,0)</f>
        <v>91725</v>
      </c>
      <c r="Y408" s="12" t="str">
        <f>+IF(Tabla4[[#This Row],[AGRUPACIONES]]=1,SUMIFS(Tabla4[UDS],Tabla4[ZONA DEFINITIVO],Tabla4[[#This Row],[ZONA DEFINITIVO]])," ")</f>
        <v xml:space="preserve"> </v>
      </c>
      <c r="Z408" s="12" t="str">
        <f>+IF(Tabla4[[#This Row],[AGRUPACIONES]]=1,SUMIFS(Tabla4[TOTAL COBERTURA],Tabla4[ZONA DEFINITIVO],Tabla4[[#This Row],[ZONA DEFINITIVO]])," ")</f>
        <v xml:space="preserve"> </v>
      </c>
      <c r="AA408" s="12"/>
      <c r="AB408" s="38">
        <v>16712355</v>
      </c>
      <c r="AC408" s="37">
        <v>0.02</v>
      </c>
      <c r="AD408" s="38">
        <f t="shared" si="7"/>
        <v>334247.10000000003</v>
      </c>
      <c r="AE408" s="12"/>
      <c r="AF408" s="12">
        <f>COUNTIF($A$20:A408,A408)</f>
        <v>9</v>
      </c>
      <c r="AG408" s="38">
        <v>16712355</v>
      </c>
      <c r="AH408" s="38">
        <f>Tabla4[[#This Row],[VALOR CONTRAPARTIDA]]+Tabla4[[#This Row],[TOTAL APORTES ICBF]]</f>
        <v>17046602.100000001</v>
      </c>
      <c r="AI408" s="35"/>
      <c r="AJ408" s="38"/>
      <c r="AK408" s="38"/>
      <c r="AL408" s="23"/>
      <c r="AM408" s="35">
        <f>VLOOKUP(Tabla4[[#This Row],[SERVICIO 2025]],$J$2:$V$14,5,0)*Tabla4[[#This Row],[TOTAL COBERTURA]]</f>
        <v>514184</v>
      </c>
      <c r="AN408" s="35">
        <f>VLOOKUP(Tabla4[[#This Row],[SERVICIO 2025]],$J$2:$V$14,6,0)*Tabla4[[#This Row],[TOTAL COBERTURA]]</f>
        <v>416251</v>
      </c>
      <c r="AO408" s="35">
        <f>VLOOKUP(Tabla4[[#This Row],[SERVICIO 2025]],$J$2:$V$14,8,0)*Tabla4[[#This Row],[TOTAL COBERTURA]]</f>
        <v>0</v>
      </c>
      <c r="AP408" s="35">
        <f>VLOOKUP(Tabla4[[#This Row],[SERVICIO 2025]],$J$2:$V$14,3,0)*Tabla4[[#This Row],[TOTAL COBERTURA]]*8</f>
        <v>15781920</v>
      </c>
      <c r="AQ408" s="35"/>
      <c r="AR408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408" s="35" t="str">
        <f>+IF(Tabla4[[#This Row],[AGRUPACIONES]]=1,SUMIFS(Tabla4[VALOR TOTAL],Tabla4[ZONA DEFINITIVO],Tabla4[[#This Row],[ZONA DEFINITIVO]])," ")</f>
        <v xml:space="preserve"> </v>
      </c>
      <c r="AT408" s="27">
        <f>(VLOOKUP(Tabla4[[#This Row],[SERVICIO 2025]],$J$2:$V$14,3,0)*Tabla4[[#This Row],[TOTAL COBERTURA]])+Tabla4[[#This Row],[VALOR FASE PREPARATORIA DE ALISTAMIENTO]]+Tabla4[[#This Row],[DOTACIÓN ÚNICA]]</f>
        <v>2486924</v>
      </c>
      <c r="AU408" s="35">
        <f>(VLOOKUP(Tabla4[[#This Row],[SERVICIO 2025]],$J$2:$V$14,3,0)*Tabla4[[#This Row],[TOTAL COBERTURA]])</f>
        <v>1972740</v>
      </c>
      <c r="AV408" s="35">
        <f>(VLOOKUP(Tabla4[[#This Row],[SERVICIO 2025]],$J$2:$V$14,3,0)*Tabla4[[#This Row],[TOTAL COBERTURA]])</f>
        <v>1972740</v>
      </c>
      <c r="AW408" s="35">
        <f>(VLOOKUP(Tabla4[[#This Row],[SERVICIO 2025]],$J$2:$V$14,3,0)*Tabla4[[#This Row],[TOTAL COBERTURA]])</f>
        <v>1972740</v>
      </c>
      <c r="AX408" s="35">
        <f>(VLOOKUP(Tabla4[[#This Row],[SERVICIO 2025]],$J$2:$V$14,3,0)*Tabla4[[#This Row],[TOTAL COBERTURA]])</f>
        <v>1972740</v>
      </c>
      <c r="AY408" s="35">
        <f>(VLOOKUP(Tabla4[[#This Row],[SERVICIO 2025]],$J$2:$V$14,3,0)*Tabla4[[#This Row],[TOTAL COBERTURA]])</f>
        <v>1972740</v>
      </c>
      <c r="AZ408" s="35">
        <f>(VLOOKUP(Tabla4[[#This Row],[SERVICIO 2025]],$J$2:$V$14,3,0)*Tabla4[[#This Row],[TOTAL COBERTURA]])</f>
        <v>1972740</v>
      </c>
      <c r="BA408" s="35">
        <f>(VLOOKUP(Tabla4[[#This Row],[SERVICIO 2025]],$J$2:$V$14,3,0)*Tabla4[[#This Row],[TOTAL COBERTURA]])+Tabla4[[#This Row],[VALOR FASE PREPARATORIA DE CIERRE]]</f>
        <v>2388991</v>
      </c>
      <c r="BB408" s="35">
        <f>SUM(Tabla4[[#This Row],[DESEMBOLSO 1]:[DESEMBOLSO 8]])</f>
        <v>16712355</v>
      </c>
      <c r="BC408" s="35">
        <f>VLOOKUP(Tabla4[[#This Row],[SERVICIO 2025]],$J$2:$V$14,10,0)*Tabla4[[#This Row],[TOTAL COBERTURA]]*$W$3</f>
        <v>16572248</v>
      </c>
      <c r="BD408" s="47" t="s">
        <v>211</v>
      </c>
      <c r="BE408" s="12" t="b">
        <f>EXACT(Tabla4[[#This Row],[VALOR ATENCIÓN (8 MESES)]],Tabla4[[#This Row],[VALOR TOTAL]])</f>
        <v>1</v>
      </c>
      <c r="BF408" s="23">
        <f>Tabla4[[#This Row],[VALOR ATENCIÓN (8 MESES)]]-Tabla4[[#This Row],[VALOR TOTAL]]</f>
        <v>0</v>
      </c>
      <c r="BG408" s="12" t="b">
        <f>EXACT(Tabla4[[#This Row],[TOTAL DESEMBOLSOS]],Tabla4[[#This Row],[VALOR ATENCIÓN (8 MESES)]])</f>
        <v>1</v>
      </c>
      <c r="BH408" s="29">
        <f>Tabla4[[#This Row],[TOTAL DESEMBOLSOS]]-Tabla4[[#This Row],[VALOR ATENCIÓN (8 MESES)]]</f>
        <v>0</v>
      </c>
      <c r="BI408" t="s">
        <v>98</v>
      </c>
      <c r="BJ408">
        <v>1920</v>
      </c>
    </row>
    <row r="409" spans="1:62">
      <c r="A409" s="13">
        <v>1920</v>
      </c>
      <c r="B409" s="13" t="s">
        <v>947</v>
      </c>
      <c r="C409" s="12" t="s">
        <v>87</v>
      </c>
      <c r="D409" s="12" t="s">
        <v>88</v>
      </c>
      <c r="E409" s="12" t="s">
        <v>948</v>
      </c>
      <c r="F409" s="12" t="s">
        <v>21</v>
      </c>
      <c r="G409" s="12" t="s">
        <v>90</v>
      </c>
      <c r="H409" s="12" t="s">
        <v>965</v>
      </c>
      <c r="I409" s="12">
        <v>50791136639</v>
      </c>
      <c r="J409" s="12" t="s">
        <v>966</v>
      </c>
      <c r="K409" s="12">
        <v>1</v>
      </c>
      <c r="L409" s="12">
        <v>18</v>
      </c>
      <c r="M409" s="12"/>
      <c r="N409" s="13">
        <v>1920</v>
      </c>
      <c r="O409" s="12" t="s">
        <v>93</v>
      </c>
      <c r="P409" s="12"/>
      <c r="Q409" s="12"/>
      <c r="R409" s="12" t="s">
        <v>94</v>
      </c>
      <c r="S409" s="12">
        <v>10</v>
      </c>
      <c r="T409" s="12" t="s">
        <v>534</v>
      </c>
      <c r="U409" s="12" t="s">
        <v>531</v>
      </c>
      <c r="V409" s="12">
        <f>VLOOKUP(Tabla4[[#This Row],[ZONA DEFINITIVO]],Hoja1!$A$1:$D$121,3,0)</f>
        <v>229098</v>
      </c>
      <c r="W409" s="12">
        <f>VLOOKUP(Tabla4[[#This Row],[ZONA DEFINITIVO]],Hoja1!$A$1:$D$121,2,0)</f>
        <v>15185</v>
      </c>
      <c r="X409" s="12">
        <f>VLOOKUP(Tabla4[[#This Row],[ZONA DEFINITIVO]],Hoja1!$A$1:$D$121,4,0)</f>
        <v>91725</v>
      </c>
      <c r="Y409" s="12" t="str">
        <f>+IF(Tabla4[[#This Row],[AGRUPACIONES]]=1,SUMIFS(Tabla4[UDS],Tabla4[ZONA DEFINITIVO],Tabla4[[#This Row],[ZONA DEFINITIVO]])," ")</f>
        <v xml:space="preserve"> </v>
      </c>
      <c r="Z409" s="12" t="str">
        <f>+IF(Tabla4[[#This Row],[AGRUPACIONES]]=1,SUMIFS(Tabla4[TOTAL COBERTURA],Tabla4[ZONA DEFINITIVO],Tabla4[[#This Row],[ZONA DEFINITIVO]])," ")</f>
        <v xml:space="preserve"> </v>
      </c>
      <c r="AA409" s="12"/>
      <c r="AB409" s="38">
        <v>27347490</v>
      </c>
      <c r="AC409" s="37">
        <v>0.02</v>
      </c>
      <c r="AD409" s="38">
        <f t="shared" si="7"/>
        <v>546949.80000000005</v>
      </c>
      <c r="AE409" s="12"/>
      <c r="AF409" s="12">
        <f>COUNTIF($A$20:A409,A409)</f>
        <v>10</v>
      </c>
      <c r="AG409" s="38">
        <v>27347490</v>
      </c>
      <c r="AH409" s="38">
        <f>Tabla4[[#This Row],[VALOR CONTRAPARTIDA]]+Tabla4[[#This Row],[TOTAL APORTES ICBF]]</f>
        <v>27894439.800000001</v>
      </c>
      <c r="AI409" s="35"/>
      <c r="AJ409" s="38"/>
      <c r="AK409" s="38"/>
      <c r="AL409" s="23"/>
      <c r="AM409" s="35">
        <f>VLOOKUP(Tabla4[[#This Row],[SERVICIO 2025]],$J$2:$V$14,5,0)*Tabla4[[#This Row],[TOTAL COBERTURA]]</f>
        <v>841392</v>
      </c>
      <c r="AN409" s="35">
        <f>VLOOKUP(Tabla4[[#This Row],[SERVICIO 2025]],$J$2:$V$14,6,0)*Tabla4[[#This Row],[TOTAL COBERTURA]]</f>
        <v>681138</v>
      </c>
      <c r="AO409" s="35">
        <f>VLOOKUP(Tabla4[[#This Row],[SERVICIO 2025]],$J$2:$V$14,8,0)*Tabla4[[#This Row],[TOTAL COBERTURA]]</f>
        <v>0</v>
      </c>
      <c r="AP409" s="35">
        <f>VLOOKUP(Tabla4[[#This Row],[SERVICIO 2025]],$J$2:$V$14,3,0)*Tabla4[[#This Row],[TOTAL COBERTURA]]*8</f>
        <v>25824960</v>
      </c>
      <c r="AQ409" s="35"/>
      <c r="AR409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409" s="35" t="str">
        <f>+IF(Tabla4[[#This Row],[AGRUPACIONES]]=1,SUMIFS(Tabla4[VALOR TOTAL],Tabla4[ZONA DEFINITIVO],Tabla4[[#This Row],[ZONA DEFINITIVO]])," ")</f>
        <v xml:space="preserve"> </v>
      </c>
      <c r="AT409" s="27">
        <f>(VLOOKUP(Tabla4[[#This Row],[SERVICIO 2025]],$J$2:$V$14,3,0)*Tabla4[[#This Row],[TOTAL COBERTURA]])+Tabla4[[#This Row],[VALOR FASE PREPARATORIA DE ALISTAMIENTO]]+Tabla4[[#This Row],[DOTACIÓN ÚNICA]]</f>
        <v>4069512</v>
      </c>
      <c r="AU409" s="35">
        <f>(VLOOKUP(Tabla4[[#This Row],[SERVICIO 2025]],$J$2:$V$14,3,0)*Tabla4[[#This Row],[TOTAL COBERTURA]])</f>
        <v>3228120</v>
      </c>
      <c r="AV409" s="35">
        <f>(VLOOKUP(Tabla4[[#This Row],[SERVICIO 2025]],$J$2:$V$14,3,0)*Tabla4[[#This Row],[TOTAL COBERTURA]])</f>
        <v>3228120</v>
      </c>
      <c r="AW409" s="35">
        <f>(VLOOKUP(Tabla4[[#This Row],[SERVICIO 2025]],$J$2:$V$14,3,0)*Tabla4[[#This Row],[TOTAL COBERTURA]])</f>
        <v>3228120</v>
      </c>
      <c r="AX409" s="35">
        <f>(VLOOKUP(Tabla4[[#This Row],[SERVICIO 2025]],$J$2:$V$14,3,0)*Tabla4[[#This Row],[TOTAL COBERTURA]])</f>
        <v>3228120</v>
      </c>
      <c r="AY409" s="35">
        <f>(VLOOKUP(Tabla4[[#This Row],[SERVICIO 2025]],$J$2:$V$14,3,0)*Tabla4[[#This Row],[TOTAL COBERTURA]])</f>
        <v>3228120</v>
      </c>
      <c r="AZ409" s="35">
        <f>(VLOOKUP(Tabla4[[#This Row],[SERVICIO 2025]],$J$2:$V$14,3,0)*Tabla4[[#This Row],[TOTAL COBERTURA]])</f>
        <v>3228120</v>
      </c>
      <c r="BA409" s="35">
        <f>(VLOOKUP(Tabla4[[#This Row],[SERVICIO 2025]],$J$2:$V$14,3,0)*Tabla4[[#This Row],[TOTAL COBERTURA]])+Tabla4[[#This Row],[VALOR FASE PREPARATORIA DE CIERRE]]</f>
        <v>3909258</v>
      </c>
      <c r="BB409" s="35">
        <f>SUM(Tabla4[[#This Row],[DESEMBOLSO 1]:[DESEMBOLSO 8]])</f>
        <v>27347490</v>
      </c>
      <c r="BC409" s="35">
        <f>VLOOKUP(Tabla4[[#This Row],[SERVICIO 2025]],$J$2:$V$14,10,0)*Tabla4[[#This Row],[TOTAL COBERTURA]]*$W$3</f>
        <v>27118224</v>
      </c>
      <c r="BD409" s="47" t="s">
        <v>211</v>
      </c>
      <c r="BE409" s="12" t="b">
        <f>EXACT(Tabla4[[#This Row],[VALOR ATENCIÓN (8 MESES)]],Tabla4[[#This Row],[VALOR TOTAL]])</f>
        <v>1</v>
      </c>
      <c r="BF409" s="23">
        <f>Tabla4[[#This Row],[VALOR ATENCIÓN (8 MESES)]]-Tabla4[[#This Row],[VALOR TOTAL]]</f>
        <v>0</v>
      </c>
      <c r="BG409" s="12" t="b">
        <f>EXACT(Tabla4[[#This Row],[TOTAL DESEMBOLSOS]],Tabla4[[#This Row],[VALOR ATENCIÓN (8 MESES)]])</f>
        <v>1</v>
      </c>
      <c r="BH409" s="29">
        <f>Tabla4[[#This Row],[TOTAL DESEMBOLSOS]]-Tabla4[[#This Row],[VALOR ATENCIÓN (8 MESES)]]</f>
        <v>0</v>
      </c>
      <c r="BI409" t="s">
        <v>98</v>
      </c>
      <c r="BJ409">
        <v>1920</v>
      </c>
    </row>
    <row r="410" spans="1:62">
      <c r="A410" s="13">
        <v>1920</v>
      </c>
      <c r="B410" s="13" t="s">
        <v>947</v>
      </c>
      <c r="C410" s="12" t="s">
        <v>87</v>
      </c>
      <c r="D410" s="12" t="s">
        <v>88</v>
      </c>
      <c r="E410" s="12" t="s">
        <v>948</v>
      </c>
      <c r="F410" s="12" t="s">
        <v>21</v>
      </c>
      <c r="G410" s="12" t="s">
        <v>90</v>
      </c>
      <c r="H410" s="12" t="s">
        <v>967</v>
      </c>
      <c r="I410" s="12">
        <v>50791143601</v>
      </c>
      <c r="J410" s="12" t="s">
        <v>968</v>
      </c>
      <c r="K410" s="12">
        <v>1</v>
      </c>
      <c r="L410" s="12">
        <v>17</v>
      </c>
      <c r="M410" s="12"/>
      <c r="N410" s="13">
        <v>1920</v>
      </c>
      <c r="O410" s="12" t="s">
        <v>93</v>
      </c>
      <c r="P410" s="12"/>
      <c r="Q410" s="12"/>
      <c r="R410" s="12" t="s">
        <v>94</v>
      </c>
      <c r="S410" s="12">
        <v>10</v>
      </c>
      <c r="T410" s="12" t="s">
        <v>534</v>
      </c>
      <c r="U410" s="12" t="s">
        <v>531</v>
      </c>
      <c r="V410" s="12">
        <f>VLOOKUP(Tabla4[[#This Row],[ZONA DEFINITIVO]],Hoja1!$A$1:$D$121,3,0)</f>
        <v>229098</v>
      </c>
      <c r="W410" s="12">
        <f>VLOOKUP(Tabla4[[#This Row],[ZONA DEFINITIVO]],Hoja1!$A$1:$D$121,2,0)</f>
        <v>15185</v>
      </c>
      <c r="X410" s="12">
        <f>VLOOKUP(Tabla4[[#This Row],[ZONA DEFINITIVO]],Hoja1!$A$1:$D$121,4,0)</f>
        <v>91725</v>
      </c>
      <c r="Y410" s="12" t="str">
        <f>+IF(Tabla4[[#This Row],[AGRUPACIONES]]=1,SUMIFS(Tabla4[UDS],Tabla4[ZONA DEFINITIVO],Tabla4[[#This Row],[ZONA DEFINITIVO]])," ")</f>
        <v xml:space="preserve"> </v>
      </c>
      <c r="Z410" s="12" t="str">
        <f>+IF(Tabla4[[#This Row],[AGRUPACIONES]]=1,SUMIFS(Tabla4[TOTAL COBERTURA],Tabla4[ZONA DEFINITIVO],Tabla4[[#This Row],[ZONA DEFINITIVO]])," ")</f>
        <v xml:space="preserve"> </v>
      </c>
      <c r="AA410" s="12"/>
      <c r="AB410" s="38">
        <v>25828185</v>
      </c>
      <c r="AC410" s="37">
        <v>0.02</v>
      </c>
      <c r="AD410" s="38">
        <f t="shared" si="7"/>
        <v>516563.7</v>
      </c>
      <c r="AE410" s="12"/>
      <c r="AF410" s="12">
        <f>COUNTIF($A$20:A410,A410)</f>
        <v>11</v>
      </c>
      <c r="AG410" s="38">
        <v>25828185</v>
      </c>
      <c r="AH410" s="38">
        <f>Tabla4[[#This Row],[VALOR CONTRAPARTIDA]]+Tabla4[[#This Row],[TOTAL APORTES ICBF]]</f>
        <v>26344748.699999999</v>
      </c>
      <c r="AI410" s="35"/>
      <c r="AJ410" s="38"/>
      <c r="AK410" s="38"/>
      <c r="AL410" s="23"/>
      <c r="AM410" s="35">
        <f>VLOOKUP(Tabla4[[#This Row],[SERVICIO 2025]],$J$2:$V$14,5,0)*Tabla4[[#This Row],[TOTAL COBERTURA]]</f>
        <v>794648</v>
      </c>
      <c r="AN410" s="35">
        <f>VLOOKUP(Tabla4[[#This Row],[SERVICIO 2025]],$J$2:$V$14,6,0)*Tabla4[[#This Row],[TOTAL COBERTURA]]</f>
        <v>643297</v>
      </c>
      <c r="AO410" s="35">
        <f>VLOOKUP(Tabla4[[#This Row],[SERVICIO 2025]],$J$2:$V$14,8,0)*Tabla4[[#This Row],[TOTAL COBERTURA]]</f>
        <v>0</v>
      </c>
      <c r="AP410" s="35">
        <f>VLOOKUP(Tabla4[[#This Row],[SERVICIO 2025]],$J$2:$V$14,3,0)*Tabla4[[#This Row],[TOTAL COBERTURA]]*8</f>
        <v>24390240</v>
      </c>
      <c r="AQ410" s="35"/>
      <c r="AR410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410" s="35" t="str">
        <f>+IF(Tabla4[[#This Row],[AGRUPACIONES]]=1,SUMIFS(Tabla4[VALOR TOTAL],Tabla4[ZONA DEFINITIVO],Tabla4[[#This Row],[ZONA DEFINITIVO]])," ")</f>
        <v xml:space="preserve"> </v>
      </c>
      <c r="AT410" s="27">
        <f>(VLOOKUP(Tabla4[[#This Row],[SERVICIO 2025]],$J$2:$V$14,3,0)*Tabla4[[#This Row],[TOTAL COBERTURA]])+Tabla4[[#This Row],[VALOR FASE PREPARATORIA DE ALISTAMIENTO]]+Tabla4[[#This Row],[DOTACIÓN ÚNICA]]</f>
        <v>3843428</v>
      </c>
      <c r="AU410" s="35">
        <f>(VLOOKUP(Tabla4[[#This Row],[SERVICIO 2025]],$J$2:$V$14,3,0)*Tabla4[[#This Row],[TOTAL COBERTURA]])</f>
        <v>3048780</v>
      </c>
      <c r="AV410" s="35">
        <f>(VLOOKUP(Tabla4[[#This Row],[SERVICIO 2025]],$J$2:$V$14,3,0)*Tabla4[[#This Row],[TOTAL COBERTURA]])</f>
        <v>3048780</v>
      </c>
      <c r="AW410" s="35">
        <f>(VLOOKUP(Tabla4[[#This Row],[SERVICIO 2025]],$J$2:$V$14,3,0)*Tabla4[[#This Row],[TOTAL COBERTURA]])</f>
        <v>3048780</v>
      </c>
      <c r="AX410" s="35">
        <f>(VLOOKUP(Tabla4[[#This Row],[SERVICIO 2025]],$J$2:$V$14,3,0)*Tabla4[[#This Row],[TOTAL COBERTURA]])</f>
        <v>3048780</v>
      </c>
      <c r="AY410" s="35">
        <f>(VLOOKUP(Tabla4[[#This Row],[SERVICIO 2025]],$J$2:$V$14,3,0)*Tabla4[[#This Row],[TOTAL COBERTURA]])</f>
        <v>3048780</v>
      </c>
      <c r="AZ410" s="35">
        <f>(VLOOKUP(Tabla4[[#This Row],[SERVICIO 2025]],$J$2:$V$14,3,0)*Tabla4[[#This Row],[TOTAL COBERTURA]])</f>
        <v>3048780</v>
      </c>
      <c r="BA410" s="35">
        <f>(VLOOKUP(Tabla4[[#This Row],[SERVICIO 2025]],$J$2:$V$14,3,0)*Tabla4[[#This Row],[TOTAL COBERTURA]])+Tabla4[[#This Row],[VALOR FASE PREPARATORIA DE CIERRE]]</f>
        <v>3692077</v>
      </c>
      <c r="BB410" s="35">
        <f>SUM(Tabla4[[#This Row],[DESEMBOLSO 1]:[DESEMBOLSO 8]])</f>
        <v>25828185</v>
      </c>
      <c r="BC410" s="35">
        <f>VLOOKUP(Tabla4[[#This Row],[SERVICIO 2025]],$J$2:$V$14,10,0)*Tabla4[[#This Row],[TOTAL COBERTURA]]*$W$3</f>
        <v>25611656</v>
      </c>
      <c r="BD410" s="47" t="s">
        <v>211</v>
      </c>
      <c r="BE410" s="12" t="b">
        <f>EXACT(Tabla4[[#This Row],[VALOR ATENCIÓN (8 MESES)]],Tabla4[[#This Row],[VALOR TOTAL]])</f>
        <v>1</v>
      </c>
      <c r="BF410" s="23">
        <f>Tabla4[[#This Row],[VALOR ATENCIÓN (8 MESES)]]-Tabla4[[#This Row],[VALOR TOTAL]]</f>
        <v>0</v>
      </c>
      <c r="BG410" s="12" t="b">
        <f>EXACT(Tabla4[[#This Row],[TOTAL DESEMBOLSOS]],Tabla4[[#This Row],[VALOR ATENCIÓN (8 MESES)]])</f>
        <v>1</v>
      </c>
      <c r="BH410" s="29">
        <f>Tabla4[[#This Row],[TOTAL DESEMBOLSOS]]-Tabla4[[#This Row],[VALOR ATENCIÓN (8 MESES)]]</f>
        <v>0</v>
      </c>
      <c r="BI410" t="s">
        <v>98</v>
      </c>
      <c r="BJ410">
        <v>1920</v>
      </c>
    </row>
    <row r="411" spans="1:62">
      <c r="A411" s="13">
        <v>1920</v>
      </c>
      <c r="B411" s="13" t="s">
        <v>947</v>
      </c>
      <c r="C411" s="12" t="s">
        <v>87</v>
      </c>
      <c r="D411" s="12" t="s">
        <v>88</v>
      </c>
      <c r="E411" s="12" t="s">
        <v>948</v>
      </c>
      <c r="F411" s="12" t="s">
        <v>21</v>
      </c>
      <c r="G411" s="12" t="s">
        <v>90</v>
      </c>
      <c r="H411" s="12" t="s">
        <v>969</v>
      </c>
      <c r="I411" s="12">
        <v>50791143605</v>
      </c>
      <c r="J411" s="12" t="s">
        <v>970</v>
      </c>
      <c r="K411" s="12">
        <v>1</v>
      </c>
      <c r="L411" s="12">
        <v>11</v>
      </c>
      <c r="M411" s="12"/>
      <c r="N411" s="13">
        <v>1920</v>
      </c>
      <c r="O411" s="12" t="s">
        <v>93</v>
      </c>
      <c r="P411" s="12"/>
      <c r="Q411" s="12"/>
      <c r="R411" s="12" t="s">
        <v>94</v>
      </c>
      <c r="S411" s="12">
        <v>10</v>
      </c>
      <c r="T411" s="12" t="s">
        <v>534</v>
      </c>
      <c r="U411" s="12" t="s">
        <v>531</v>
      </c>
      <c r="V411" s="12">
        <f>VLOOKUP(Tabla4[[#This Row],[ZONA DEFINITIVO]],Hoja1!$A$1:$D$121,3,0)</f>
        <v>229098</v>
      </c>
      <c r="W411" s="12">
        <f>VLOOKUP(Tabla4[[#This Row],[ZONA DEFINITIVO]],Hoja1!$A$1:$D$121,2,0)</f>
        <v>15185</v>
      </c>
      <c r="X411" s="12">
        <f>VLOOKUP(Tabla4[[#This Row],[ZONA DEFINITIVO]],Hoja1!$A$1:$D$121,4,0)</f>
        <v>91725</v>
      </c>
      <c r="Y411" s="12" t="str">
        <f>+IF(Tabla4[[#This Row],[AGRUPACIONES]]=1,SUMIFS(Tabla4[UDS],Tabla4[ZONA DEFINITIVO],Tabla4[[#This Row],[ZONA DEFINITIVO]])," ")</f>
        <v xml:space="preserve"> </v>
      </c>
      <c r="Z411" s="12" t="str">
        <f>+IF(Tabla4[[#This Row],[AGRUPACIONES]]=1,SUMIFS(Tabla4[TOTAL COBERTURA],Tabla4[ZONA DEFINITIVO],Tabla4[[#This Row],[ZONA DEFINITIVO]])," ")</f>
        <v xml:space="preserve"> </v>
      </c>
      <c r="AA411" s="12"/>
      <c r="AB411" s="38">
        <v>16712355</v>
      </c>
      <c r="AC411" s="37">
        <v>0.02</v>
      </c>
      <c r="AD411" s="38">
        <f t="shared" si="7"/>
        <v>334247.10000000003</v>
      </c>
      <c r="AE411" s="12"/>
      <c r="AF411" s="12">
        <f>COUNTIF($A$20:A411,A411)</f>
        <v>12</v>
      </c>
      <c r="AG411" s="38">
        <v>16712355</v>
      </c>
      <c r="AH411" s="38">
        <f>Tabla4[[#This Row],[VALOR CONTRAPARTIDA]]+Tabla4[[#This Row],[TOTAL APORTES ICBF]]</f>
        <v>17046602.100000001</v>
      </c>
      <c r="AI411" s="35"/>
      <c r="AJ411" s="38"/>
      <c r="AK411" s="38"/>
      <c r="AL411" s="23"/>
      <c r="AM411" s="35">
        <f>VLOOKUP(Tabla4[[#This Row],[SERVICIO 2025]],$J$2:$V$14,5,0)*Tabla4[[#This Row],[TOTAL COBERTURA]]</f>
        <v>514184</v>
      </c>
      <c r="AN411" s="35">
        <f>VLOOKUP(Tabla4[[#This Row],[SERVICIO 2025]],$J$2:$V$14,6,0)*Tabla4[[#This Row],[TOTAL COBERTURA]]</f>
        <v>416251</v>
      </c>
      <c r="AO411" s="35">
        <f>VLOOKUP(Tabla4[[#This Row],[SERVICIO 2025]],$J$2:$V$14,8,0)*Tabla4[[#This Row],[TOTAL COBERTURA]]</f>
        <v>0</v>
      </c>
      <c r="AP411" s="35">
        <f>VLOOKUP(Tabla4[[#This Row],[SERVICIO 2025]],$J$2:$V$14,3,0)*Tabla4[[#This Row],[TOTAL COBERTURA]]*8</f>
        <v>15781920</v>
      </c>
      <c r="AQ411" s="35"/>
      <c r="AR411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411" s="35" t="str">
        <f>+IF(Tabla4[[#This Row],[AGRUPACIONES]]=1,SUMIFS(Tabla4[VALOR TOTAL],Tabla4[ZONA DEFINITIVO],Tabla4[[#This Row],[ZONA DEFINITIVO]])," ")</f>
        <v xml:space="preserve"> </v>
      </c>
      <c r="AT411" s="27">
        <f>(VLOOKUP(Tabla4[[#This Row],[SERVICIO 2025]],$J$2:$V$14,3,0)*Tabla4[[#This Row],[TOTAL COBERTURA]])+Tabla4[[#This Row],[VALOR FASE PREPARATORIA DE ALISTAMIENTO]]+Tabla4[[#This Row],[DOTACIÓN ÚNICA]]</f>
        <v>2486924</v>
      </c>
      <c r="AU411" s="35">
        <f>(VLOOKUP(Tabla4[[#This Row],[SERVICIO 2025]],$J$2:$V$14,3,0)*Tabla4[[#This Row],[TOTAL COBERTURA]])</f>
        <v>1972740</v>
      </c>
      <c r="AV411" s="35">
        <f>(VLOOKUP(Tabla4[[#This Row],[SERVICIO 2025]],$J$2:$V$14,3,0)*Tabla4[[#This Row],[TOTAL COBERTURA]])</f>
        <v>1972740</v>
      </c>
      <c r="AW411" s="35">
        <f>(VLOOKUP(Tabla4[[#This Row],[SERVICIO 2025]],$J$2:$V$14,3,0)*Tabla4[[#This Row],[TOTAL COBERTURA]])</f>
        <v>1972740</v>
      </c>
      <c r="AX411" s="35">
        <f>(VLOOKUP(Tabla4[[#This Row],[SERVICIO 2025]],$J$2:$V$14,3,0)*Tabla4[[#This Row],[TOTAL COBERTURA]])</f>
        <v>1972740</v>
      </c>
      <c r="AY411" s="35">
        <f>(VLOOKUP(Tabla4[[#This Row],[SERVICIO 2025]],$J$2:$V$14,3,0)*Tabla4[[#This Row],[TOTAL COBERTURA]])</f>
        <v>1972740</v>
      </c>
      <c r="AZ411" s="35">
        <f>(VLOOKUP(Tabla4[[#This Row],[SERVICIO 2025]],$J$2:$V$14,3,0)*Tabla4[[#This Row],[TOTAL COBERTURA]])</f>
        <v>1972740</v>
      </c>
      <c r="BA411" s="35">
        <f>(VLOOKUP(Tabla4[[#This Row],[SERVICIO 2025]],$J$2:$V$14,3,0)*Tabla4[[#This Row],[TOTAL COBERTURA]])+Tabla4[[#This Row],[VALOR FASE PREPARATORIA DE CIERRE]]</f>
        <v>2388991</v>
      </c>
      <c r="BB411" s="35">
        <f>SUM(Tabla4[[#This Row],[DESEMBOLSO 1]:[DESEMBOLSO 8]])</f>
        <v>16712355</v>
      </c>
      <c r="BC411" s="35">
        <f>VLOOKUP(Tabla4[[#This Row],[SERVICIO 2025]],$J$2:$V$14,10,0)*Tabla4[[#This Row],[TOTAL COBERTURA]]*$W$3</f>
        <v>16572248</v>
      </c>
      <c r="BD411" s="47" t="s">
        <v>211</v>
      </c>
      <c r="BE411" s="12" t="b">
        <f>EXACT(Tabla4[[#This Row],[VALOR ATENCIÓN (8 MESES)]],Tabla4[[#This Row],[VALOR TOTAL]])</f>
        <v>1</v>
      </c>
      <c r="BF411" s="23">
        <f>Tabla4[[#This Row],[VALOR ATENCIÓN (8 MESES)]]-Tabla4[[#This Row],[VALOR TOTAL]]</f>
        <v>0</v>
      </c>
      <c r="BG411" s="12" t="b">
        <f>EXACT(Tabla4[[#This Row],[TOTAL DESEMBOLSOS]],Tabla4[[#This Row],[VALOR ATENCIÓN (8 MESES)]])</f>
        <v>1</v>
      </c>
      <c r="BH411" s="29">
        <f>Tabla4[[#This Row],[TOTAL DESEMBOLSOS]]-Tabla4[[#This Row],[VALOR ATENCIÓN (8 MESES)]]</f>
        <v>0</v>
      </c>
      <c r="BI411" t="s">
        <v>98</v>
      </c>
      <c r="BJ411">
        <v>1920</v>
      </c>
    </row>
    <row r="412" spans="1:62">
      <c r="A412" s="13">
        <v>1920</v>
      </c>
      <c r="B412" s="13" t="s">
        <v>947</v>
      </c>
      <c r="C412" s="12" t="s">
        <v>87</v>
      </c>
      <c r="D412" s="12" t="s">
        <v>88</v>
      </c>
      <c r="E412" s="12" t="s">
        <v>948</v>
      </c>
      <c r="F412" s="12" t="s">
        <v>21</v>
      </c>
      <c r="G412" s="12" t="s">
        <v>90</v>
      </c>
      <c r="H412" s="12" t="s">
        <v>971</v>
      </c>
      <c r="I412" s="12">
        <v>50791143606</v>
      </c>
      <c r="J412" s="12" t="s">
        <v>972</v>
      </c>
      <c r="K412" s="12">
        <v>1</v>
      </c>
      <c r="L412" s="12">
        <v>17</v>
      </c>
      <c r="M412" s="12"/>
      <c r="N412" s="13">
        <v>1920</v>
      </c>
      <c r="O412" s="12" t="s">
        <v>93</v>
      </c>
      <c r="P412" s="12"/>
      <c r="Q412" s="12"/>
      <c r="R412" s="12" t="s">
        <v>94</v>
      </c>
      <c r="S412" s="12">
        <v>10</v>
      </c>
      <c r="T412" s="12" t="s">
        <v>534</v>
      </c>
      <c r="U412" s="12" t="s">
        <v>531</v>
      </c>
      <c r="V412" s="12">
        <f>VLOOKUP(Tabla4[[#This Row],[ZONA DEFINITIVO]],Hoja1!$A$1:$D$121,3,0)</f>
        <v>229098</v>
      </c>
      <c r="W412" s="12">
        <f>VLOOKUP(Tabla4[[#This Row],[ZONA DEFINITIVO]],Hoja1!$A$1:$D$121,2,0)</f>
        <v>15185</v>
      </c>
      <c r="X412" s="12">
        <f>VLOOKUP(Tabla4[[#This Row],[ZONA DEFINITIVO]],Hoja1!$A$1:$D$121,4,0)</f>
        <v>91725</v>
      </c>
      <c r="Y412" s="12" t="str">
        <f>+IF(Tabla4[[#This Row],[AGRUPACIONES]]=1,SUMIFS(Tabla4[UDS],Tabla4[ZONA DEFINITIVO],Tabla4[[#This Row],[ZONA DEFINITIVO]])," ")</f>
        <v xml:space="preserve"> </v>
      </c>
      <c r="Z412" s="12" t="str">
        <f>+IF(Tabla4[[#This Row],[AGRUPACIONES]]=1,SUMIFS(Tabla4[TOTAL COBERTURA],Tabla4[ZONA DEFINITIVO],Tabla4[[#This Row],[ZONA DEFINITIVO]])," ")</f>
        <v xml:space="preserve"> </v>
      </c>
      <c r="AA412" s="12"/>
      <c r="AB412" s="38">
        <v>25828185</v>
      </c>
      <c r="AC412" s="37">
        <v>0.02</v>
      </c>
      <c r="AD412" s="38">
        <f t="shared" si="7"/>
        <v>516563.7</v>
      </c>
      <c r="AE412" s="12"/>
      <c r="AF412" s="12">
        <f>COUNTIF($A$20:A412,A412)</f>
        <v>13</v>
      </c>
      <c r="AG412" s="38">
        <v>25828185</v>
      </c>
      <c r="AH412" s="38">
        <f>Tabla4[[#This Row],[VALOR CONTRAPARTIDA]]+Tabla4[[#This Row],[TOTAL APORTES ICBF]]</f>
        <v>26344748.699999999</v>
      </c>
      <c r="AI412" s="35"/>
      <c r="AJ412" s="38"/>
      <c r="AK412" s="38"/>
      <c r="AL412" s="23"/>
      <c r="AM412" s="35">
        <f>VLOOKUP(Tabla4[[#This Row],[SERVICIO 2025]],$J$2:$V$14,5,0)*Tabla4[[#This Row],[TOTAL COBERTURA]]</f>
        <v>794648</v>
      </c>
      <c r="AN412" s="35">
        <f>VLOOKUP(Tabla4[[#This Row],[SERVICIO 2025]],$J$2:$V$14,6,0)*Tabla4[[#This Row],[TOTAL COBERTURA]]</f>
        <v>643297</v>
      </c>
      <c r="AO412" s="35">
        <f>VLOOKUP(Tabla4[[#This Row],[SERVICIO 2025]],$J$2:$V$14,8,0)*Tabla4[[#This Row],[TOTAL COBERTURA]]</f>
        <v>0</v>
      </c>
      <c r="AP412" s="35">
        <f>VLOOKUP(Tabla4[[#This Row],[SERVICIO 2025]],$J$2:$V$14,3,0)*Tabla4[[#This Row],[TOTAL COBERTURA]]*8</f>
        <v>24390240</v>
      </c>
      <c r="AQ412" s="35"/>
      <c r="AR412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412" s="35" t="str">
        <f>+IF(Tabla4[[#This Row],[AGRUPACIONES]]=1,SUMIFS(Tabla4[VALOR TOTAL],Tabla4[ZONA DEFINITIVO],Tabla4[[#This Row],[ZONA DEFINITIVO]])," ")</f>
        <v xml:space="preserve"> </v>
      </c>
      <c r="AT412" s="27">
        <f>(VLOOKUP(Tabla4[[#This Row],[SERVICIO 2025]],$J$2:$V$14,3,0)*Tabla4[[#This Row],[TOTAL COBERTURA]])+Tabla4[[#This Row],[VALOR FASE PREPARATORIA DE ALISTAMIENTO]]+Tabla4[[#This Row],[DOTACIÓN ÚNICA]]</f>
        <v>3843428</v>
      </c>
      <c r="AU412" s="35">
        <f>(VLOOKUP(Tabla4[[#This Row],[SERVICIO 2025]],$J$2:$V$14,3,0)*Tabla4[[#This Row],[TOTAL COBERTURA]])</f>
        <v>3048780</v>
      </c>
      <c r="AV412" s="35">
        <f>(VLOOKUP(Tabla4[[#This Row],[SERVICIO 2025]],$J$2:$V$14,3,0)*Tabla4[[#This Row],[TOTAL COBERTURA]])</f>
        <v>3048780</v>
      </c>
      <c r="AW412" s="35">
        <f>(VLOOKUP(Tabla4[[#This Row],[SERVICIO 2025]],$J$2:$V$14,3,0)*Tabla4[[#This Row],[TOTAL COBERTURA]])</f>
        <v>3048780</v>
      </c>
      <c r="AX412" s="35">
        <f>(VLOOKUP(Tabla4[[#This Row],[SERVICIO 2025]],$J$2:$V$14,3,0)*Tabla4[[#This Row],[TOTAL COBERTURA]])</f>
        <v>3048780</v>
      </c>
      <c r="AY412" s="35">
        <f>(VLOOKUP(Tabla4[[#This Row],[SERVICIO 2025]],$J$2:$V$14,3,0)*Tabla4[[#This Row],[TOTAL COBERTURA]])</f>
        <v>3048780</v>
      </c>
      <c r="AZ412" s="35">
        <f>(VLOOKUP(Tabla4[[#This Row],[SERVICIO 2025]],$J$2:$V$14,3,0)*Tabla4[[#This Row],[TOTAL COBERTURA]])</f>
        <v>3048780</v>
      </c>
      <c r="BA412" s="35">
        <f>(VLOOKUP(Tabla4[[#This Row],[SERVICIO 2025]],$J$2:$V$14,3,0)*Tabla4[[#This Row],[TOTAL COBERTURA]])+Tabla4[[#This Row],[VALOR FASE PREPARATORIA DE CIERRE]]</f>
        <v>3692077</v>
      </c>
      <c r="BB412" s="35">
        <f>SUM(Tabla4[[#This Row],[DESEMBOLSO 1]:[DESEMBOLSO 8]])</f>
        <v>25828185</v>
      </c>
      <c r="BC412" s="35">
        <f>VLOOKUP(Tabla4[[#This Row],[SERVICIO 2025]],$J$2:$V$14,10,0)*Tabla4[[#This Row],[TOTAL COBERTURA]]*$W$3</f>
        <v>25611656</v>
      </c>
      <c r="BD412" s="47" t="s">
        <v>211</v>
      </c>
      <c r="BE412" s="12" t="b">
        <f>EXACT(Tabla4[[#This Row],[VALOR ATENCIÓN (8 MESES)]],Tabla4[[#This Row],[VALOR TOTAL]])</f>
        <v>1</v>
      </c>
      <c r="BF412" s="23">
        <f>Tabla4[[#This Row],[VALOR ATENCIÓN (8 MESES)]]-Tabla4[[#This Row],[VALOR TOTAL]]</f>
        <v>0</v>
      </c>
      <c r="BG412" s="12" t="b">
        <f>EXACT(Tabla4[[#This Row],[TOTAL DESEMBOLSOS]],Tabla4[[#This Row],[VALOR ATENCIÓN (8 MESES)]])</f>
        <v>1</v>
      </c>
      <c r="BH412" s="29">
        <f>Tabla4[[#This Row],[TOTAL DESEMBOLSOS]]-Tabla4[[#This Row],[VALOR ATENCIÓN (8 MESES)]]</f>
        <v>0</v>
      </c>
      <c r="BI412" t="s">
        <v>98</v>
      </c>
      <c r="BJ412">
        <v>1920</v>
      </c>
    </row>
    <row r="413" spans="1:62">
      <c r="A413" s="13">
        <v>1920</v>
      </c>
      <c r="B413" s="13" t="s">
        <v>947</v>
      </c>
      <c r="C413" s="12" t="s">
        <v>87</v>
      </c>
      <c r="D413" s="12" t="s">
        <v>88</v>
      </c>
      <c r="E413" s="12" t="s">
        <v>948</v>
      </c>
      <c r="F413" s="12" t="s">
        <v>21</v>
      </c>
      <c r="G413" s="12" t="s">
        <v>90</v>
      </c>
      <c r="H413" s="12" t="s">
        <v>973</v>
      </c>
      <c r="I413" s="12">
        <v>50791143642</v>
      </c>
      <c r="J413" s="12" t="s">
        <v>974</v>
      </c>
      <c r="K413" s="12">
        <v>1</v>
      </c>
      <c r="L413" s="12">
        <v>14</v>
      </c>
      <c r="M413" s="12"/>
      <c r="N413" s="13">
        <v>1920</v>
      </c>
      <c r="O413" s="12" t="s">
        <v>93</v>
      </c>
      <c r="P413" s="12"/>
      <c r="Q413" s="12"/>
      <c r="R413" s="12" t="s">
        <v>94</v>
      </c>
      <c r="S413" s="12">
        <v>10</v>
      </c>
      <c r="T413" s="12" t="s">
        <v>534</v>
      </c>
      <c r="U413" s="12" t="s">
        <v>531</v>
      </c>
      <c r="V413" s="12">
        <f>VLOOKUP(Tabla4[[#This Row],[ZONA DEFINITIVO]],Hoja1!$A$1:$D$121,3,0)</f>
        <v>229098</v>
      </c>
      <c r="W413" s="12">
        <f>VLOOKUP(Tabla4[[#This Row],[ZONA DEFINITIVO]],Hoja1!$A$1:$D$121,2,0)</f>
        <v>15185</v>
      </c>
      <c r="X413" s="12">
        <f>VLOOKUP(Tabla4[[#This Row],[ZONA DEFINITIVO]],Hoja1!$A$1:$D$121,4,0)</f>
        <v>91725</v>
      </c>
      <c r="Y413" s="12" t="str">
        <f>+IF(Tabla4[[#This Row],[AGRUPACIONES]]=1,SUMIFS(Tabla4[UDS],Tabla4[ZONA DEFINITIVO],Tabla4[[#This Row],[ZONA DEFINITIVO]])," ")</f>
        <v xml:space="preserve"> </v>
      </c>
      <c r="Z413" s="12" t="str">
        <f>+IF(Tabla4[[#This Row],[AGRUPACIONES]]=1,SUMIFS(Tabla4[TOTAL COBERTURA],Tabla4[ZONA DEFINITIVO],Tabla4[[#This Row],[ZONA DEFINITIVO]])," ")</f>
        <v xml:space="preserve"> </v>
      </c>
      <c r="AA413" s="12"/>
      <c r="AB413" s="38">
        <v>21270270</v>
      </c>
      <c r="AC413" s="37">
        <v>0.02</v>
      </c>
      <c r="AD413" s="38">
        <f t="shared" si="7"/>
        <v>425405.4</v>
      </c>
      <c r="AE413" s="12"/>
      <c r="AF413" s="12">
        <f>COUNTIF($A$20:A413,A413)</f>
        <v>14</v>
      </c>
      <c r="AG413" s="38">
        <v>21270270</v>
      </c>
      <c r="AH413" s="38">
        <f>Tabla4[[#This Row],[VALOR CONTRAPARTIDA]]+Tabla4[[#This Row],[TOTAL APORTES ICBF]]</f>
        <v>21695675.399999999</v>
      </c>
      <c r="AI413" s="35"/>
      <c r="AJ413" s="38"/>
      <c r="AK413" s="38"/>
      <c r="AL413" s="23"/>
      <c r="AM413" s="35">
        <f>VLOOKUP(Tabla4[[#This Row],[SERVICIO 2025]],$J$2:$V$14,5,0)*Tabla4[[#This Row],[TOTAL COBERTURA]]</f>
        <v>654416</v>
      </c>
      <c r="AN413" s="35">
        <f>VLOOKUP(Tabla4[[#This Row],[SERVICIO 2025]],$J$2:$V$14,6,0)*Tabla4[[#This Row],[TOTAL COBERTURA]]</f>
        <v>529774</v>
      </c>
      <c r="AO413" s="35">
        <f>VLOOKUP(Tabla4[[#This Row],[SERVICIO 2025]],$J$2:$V$14,8,0)*Tabla4[[#This Row],[TOTAL COBERTURA]]</f>
        <v>0</v>
      </c>
      <c r="AP413" s="35">
        <f>VLOOKUP(Tabla4[[#This Row],[SERVICIO 2025]],$J$2:$V$14,3,0)*Tabla4[[#This Row],[TOTAL COBERTURA]]*8</f>
        <v>20086080</v>
      </c>
      <c r="AQ413" s="35"/>
      <c r="AR413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413" s="35" t="str">
        <f>+IF(Tabla4[[#This Row],[AGRUPACIONES]]=1,SUMIFS(Tabla4[VALOR TOTAL],Tabla4[ZONA DEFINITIVO],Tabla4[[#This Row],[ZONA DEFINITIVO]])," ")</f>
        <v xml:space="preserve"> </v>
      </c>
      <c r="AT413" s="27">
        <f>(VLOOKUP(Tabla4[[#This Row],[SERVICIO 2025]],$J$2:$V$14,3,0)*Tabla4[[#This Row],[TOTAL COBERTURA]])+Tabla4[[#This Row],[VALOR FASE PREPARATORIA DE ALISTAMIENTO]]+Tabla4[[#This Row],[DOTACIÓN ÚNICA]]</f>
        <v>3165176</v>
      </c>
      <c r="AU413" s="35">
        <f>(VLOOKUP(Tabla4[[#This Row],[SERVICIO 2025]],$J$2:$V$14,3,0)*Tabla4[[#This Row],[TOTAL COBERTURA]])</f>
        <v>2510760</v>
      </c>
      <c r="AV413" s="35">
        <f>(VLOOKUP(Tabla4[[#This Row],[SERVICIO 2025]],$J$2:$V$14,3,0)*Tabla4[[#This Row],[TOTAL COBERTURA]])</f>
        <v>2510760</v>
      </c>
      <c r="AW413" s="35">
        <f>(VLOOKUP(Tabla4[[#This Row],[SERVICIO 2025]],$J$2:$V$14,3,0)*Tabla4[[#This Row],[TOTAL COBERTURA]])</f>
        <v>2510760</v>
      </c>
      <c r="AX413" s="35">
        <f>(VLOOKUP(Tabla4[[#This Row],[SERVICIO 2025]],$J$2:$V$14,3,0)*Tabla4[[#This Row],[TOTAL COBERTURA]])</f>
        <v>2510760</v>
      </c>
      <c r="AY413" s="35">
        <f>(VLOOKUP(Tabla4[[#This Row],[SERVICIO 2025]],$J$2:$V$14,3,0)*Tabla4[[#This Row],[TOTAL COBERTURA]])</f>
        <v>2510760</v>
      </c>
      <c r="AZ413" s="35">
        <f>(VLOOKUP(Tabla4[[#This Row],[SERVICIO 2025]],$J$2:$V$14,3,0)*Tabla4[[#This Row],[TOTAL COBERTURA]])</f>
        <v>2510760</v>
      </c>
      <c r="BA413" s="35">
        <f>(VLOOKUP(Tabla4[[#This Row],[SERVICIO 2025]],$J$2:$V$14,3,0)*Tabla4[[#This Row],[TOTAL COBERTURA]])+Tabla4[[#This Row],[VALOR FASE PREPARATORIA DE CIERRE]]</f>
        <v>3040534</v>
      </c>
      <c r="BB413" s="35">
        <f>SUM(Tabla4[[#This Row],[DESEMBOLSO 1]:[DESEMBOLSO 8]])</f>
        <v>21270270</v>
      </c>
      <c r="BC413" s="35">
        <f>VLOOKUP(Tabla4[[#This Row],[SERVICIO 2025]],$J$2:$V$14,10,0)*Tabla4[[#This Row],[TOTAL COBERTURA]]*$W$3</f>
        <v>21091952</v>
      </c>
      <c r="BD413" s="47" t="s">
        <v>211</v>
      </c>
      <c r="BE413" s="12" t="b">
        <f>EXACT(Tabla4[[#This Row],[VALOR ATENCIÓN (8 MESES)]],Tabla4[[#This Row],[VALOR TOTAL]])</f>
        <v>1</v>
      </c>
      <c r="BF413" s="23">
        <f>Tabla4[[#This Row],[VALOR ATENCIÓN (8 MESES)]]-Tabla4[[#This Row],[VALOR TOTAL]]</f>
        <v>0</v>
      </c>
      <c r="BG413" s="12" t="b">
        <f>EXACT(Tabla4[[#This Row],[TOTAL DESEMBOLSOS]],Tabla4[[#This Row],[VALOR ATENCIÓN (8 MESES)]])</f>
        <v>1</v>
      </c>
      <c r="BH413" s="29">
        <f>Tabla4[[#This Row],[TOTAL DESEMBOLSOS]]-Tabla4[[#This Row],[VALOR ATENCIÓN (8 MESES)]]</f>
        <v>0</v>
      </c>
      <c r="BI413" t="s">
        <v>98</v>
      </c>
      <c r="BJ413">
        <v>1920</v>
      </c>
    </row>
    <row r="414" spans="1:62">
      <c r="A414" s="13">
        <v>1920</v>
      </c>
      <c r="B414" s="13" t="s">
        <v>947</v>
      </c>
      <c r="C414" s="12" t="s">
        <v>87</v>
      </c>
      <c r="D414" s="12" t="s">
        <v>88</v>
      </c>
      <c r="E414" s="12" t="s">
        <v>948</v>
      </c>
      <c r="F414" s="12" t="s">
        <v>21</v>
      </c>
      <c r="G414" s="12" t="s">
        <v>90</v>
      </c>
      <c r="H414" s="12" t="s">
        <v>975</v>
      </c>
      <c r="I414" s="12">
        <v>50791151116</v>
      </c>
      <c r="J414" s="12" t="s">
        <v>976</v>
      </c>
      <c r="K414" s="12">
        <v>1</v>
      </c>
      <c r="L414" s="12">
        <v>40</v>
      </c>
      <c r="M414" s="12"/>
      <c r="N414" s="13">
        <v>1920</v>
      </c>
      <c r="O414" s="12" t="s">
        <v>93</v>
      </c>
      <c r="P414" s="12"/>
      <c r="Q414" s="12"/>
      <c r="R414" s="12" t="s">
        <v>94</v>
      </c>
      <c r="S414" s="12">
        <v>10</v>
      </c>
      <c r="T414" s="12" t="s">
        <v>534</v>
      </c>
      <c r="U414" s="12" t="s">
        <v>531</v>
      </c>
      <c r="V414" s="12">
        <f>VLOOKUP(Tabla4[[#This Row],[ZONA DEFINITIVO]],Hoja1!$A$1:$D$121,3,0)</f>
        <v>229098</v>
      </c>
      <c r="W414" s="12">
        <f>VLOOKUP(Tabla4[[#This Row],[ZONA DEFINITIVO]],Hoja1!$A$1:$D$121,2,0)</f>
        <v>15185</v>
      </c>
      <c r="X414" s="12">
        <f>VLOOKUP(Tabla4[[#This Row],[ZONA DEFINITIVO]],Hoja1!$A$1:$D$121,4,0)</f>
        <v>91725</v>
      </c>
      <c r="Y414" s="12" t="str">
        <f>+IF(Tabla4[[#This Row],[AGRUPACIONES]]=1,SUMIFS(Tabla4[UDS],Tabla4[ZONA DEFINITIVO],Tabla4[[#This Row],[ZONA DEFINITIVO]])," ")</f>
        <v xml:space="preserve"> </v>
      </c>
      <c r="Z414" s="12" t="str">
        <f>+IF(Tabla4[[#This Row],[AGRUPACIONES]]=1,SUMIFS(Tabla4[TOTAL COBERTURA],Tabla4[ZONA DEFINITIVO],Tabla4[[#This Row],[ZONA DEFINITIVO]])," ")</f>
        <v xml:space="preserve"> </v>
      </c>
      <c r="AA414" s="12"/>
      <c r="AB414" s="38">
        <v>60772200</v>
      </c>
      <c r="AC414" s="37">
        <v>0.02</v>
      </c>
      <c r="AD414" s="38">
        <f t="shared" si="7"/>
        <v>1215444</v>
      </c>
      <c r="AE414" s="12"/>
      <c r="AF414" s="12">
        <f>COUNTIF($A$20:A414,A414)</f>
        <v>15</v>
      </c>
      <c r="AG414" s="38">
        <v>60772200</v>
      </c>
      <c r="AH414" s="38">
        <f>Tabla4[[#This Row],[VALOR CONTRAPARTIDA]]+Tabla4[[#This Row],[TOTAL APORTES ICBF]]</f>
        <v>61987644</v>
      </c>
      <c r="AI414" s="35"/>
      <c r="AJ414" s="38"/>
      <c r="AK414" s="38"/>
      <c r="AL414" s="23"/>
      <c r="AM414" s="35">
        <f>VLOOKUP(Tabla4[[#This Row],[SERVICIO 2025]],$J$2:$V$14,5,0)*Tabla4[[#This Row],[TOTAL COBERTURA]]</f>
        <v>1869760</v>
      </c>
      <c r="AN414" s="35">
        <f>VLOOKUP(Tabla4[[#This Row],[SERVICIO 2025]],$J$2:$V$14,6,0)*Tabla4[[#This Row],[TOTAL COBERTURA]]</f>
        <v>1513640</v>
      </c>
      <c r="AO414" s="35">
        <f>VLOOKUP(Tabla4[[#This Row],[SERVICIO 2025]],$J$2:$V$14,8,0)*Tabla4[[#This Row],[TOTAL COBERTURA]]</f>
        <v>0</v>
      </c>
      <c r="AP414" s="35">
        <f>VLOOKUP(Tabla4[[#This Row],[SERVICIO 2025]],$J$2:$V$14,3,0)*Tabla4[[#This Row],[TOTAL COBERTURA]]*8</f>
        <v>57388800</v>
      </c>
      <c r="AQ414" s="35"/>
      <c r="AR414" s="35">
        <f>Tabla4[[#This Row],[VALOR FASE PREPARATORIA DE ALISTAMIENTO]]+Tabla4[[#This Row],[VALOR FASE PREPARATORIA DE CIERRE]]+Tabla4[[#This Row],[DOTACIÓN ÚNICA]]+Tabla4[[#This Row],[VALOR ATENCIÓN]]+Tabla4[[#This Row],[VALOR RACION PREPARADA]]</f>
        <v>60772200</v>
      </c>
      <c r="AS414" s="35" t="str">
        <f>+IF(Tabla4[[#This Row],[AGRUPACIONES]]=1,SUMIFS(Tabla4[VALOR TOTAL],Tabla4[ZONA DEFINITIVO],Tabla4[[#This Row],[ZONA DEFINITIVO]])," ")</f>
        <v xml:space="preserve"> </v>
      </c>
      <c r="AT414" s="27">
        <f>(VLOOKUP(Tabla4[[#This Row],[SERVICIO 2025]],$J$2:$V$14,3,0)*Tabla4[[#This Row],[TOTAL COBERTURA]])+Tabla4[[#This Row],[VALOR FASE PREPARATORIA DE ALISTAMIENTO]]+Tabla4[[#This Row],[DOTACIÓN ÚNICA]]</f>
        <v>9043360</v>
      </c>
      <c r="AU414" s="35">
        <f>(VLOOKUP(Tabla4[[#This Row],[SERVICIO 2025]],$J$2:$V$14,3,0)*Tabla4[[#This Row],[TOTAL COBERTURA]])</f>
        <v>7173600</v>
      </c>
      <c r="AV414" s="35">
        <f>(VLOOKUP(Tabla4[[#This Row],[SERVICIO 2025]],$J$2:$V$14,3,0)*Tabla4[[#This Row],[TOTAL COBERTURA]])</f>
        <v>7173600</v>
      </c>
      <c r="AW414" s="35">
        <f>(VLOOKUP(Tabla4[[#This Row],[SERVICIO 2025]],$J$2:$V$14,3,0)*Tabla4[[#This Row],[TOTAL COBERTURA]])</f>
        <v>7173600</v>
      </c>
      <c r="AX414" s="35">
        <f>(VLOOKUP(Tabla4[[#This Row],[SERVICIO 2025]],$J$2:$V$14,3,0)*Tabla4[[#This Row],[TOTAL COBERTURA]])</f>
        <v>7173600</v>
      </c>
      <c r="AY414" s="35">
        <f>(VLOOKUP(Tabla4[[#This Row],[SERVICIO 2025]],$J$2:$V$14,3,0)*Tabla4[[#This Row],[TOTAL COBERTURA]])</f>
        <v>7173600</v>
      </c>
      <c r="AZ414" s="35">
        <f>(VLOOKUP(Tabla4[[#This Row],[SERVICIO 2025]],$J$2:$V$14,3,0)*Tabla4[[#This Row],[TOTAL COBERTURA]])</f>
        <v>7173600</v>
      </c>
      <c r="BA414" s="35">
        <f>(VLOOKUP(Tabla4[[#This Row],[SERVICIO 2025]],$J$2:$V$14,3,0)*Tabla4[[#This Row],[TOTAL COBERTURA]])+Tabla4[[#This Row],[VALOR FASE PREPARATORIA DE CIERRE]]</f>
        <v>8687240</v>
      </c>
      <c r="BB414" s="35">
        <f>SUM(Tabla4[[#This Row],[DESEMBOLSO 1]:[DESEMBOLSO 8]])</f>
        <v>60772200</v>
      </c>
      <c r="BC414" s="35">
        <f>VLOOKUP(Tabla4[[#This Row],[SERVICIO 2025]],$J$2:$V$14,10,0)*Tabla4[[#This Row],[TOTAL COBERTURA]]*$W$3</f>
        <v>60262720</v>
      </c>
      <c r="BD414" s="47" t="s">
        <v>211</v>
      </c>
      <c r="BE414" s="12" t="b">
        <f>EXACT(Tabla4[[#This Row],[VALOR ATENCIÓN (8 MESES)]],Tabla4[[#This Row],[VALOR TOTAL]])</f>
        <v>1</v>
      </c>
      <c r="BF414" s="23">
        <f>Tabla4[[#This Row],[VALOR ATENCIÓN (8 MESES)]]-Tabla4[[#This Row],[VALOR TOTAL]]</f>
        <v>0</v>
      </c>
      <c r="BG414" s="12" t="b">
        <f>EXACT(Tabla4[[#This Row],[TOTAL DESEMBOLSOS]],Tabla4[[#This Row],[VALOR ATENCIÓN (8 MESES)]])</f>
        <v>1</v>
      </c>
      <c r="BH414" s="29">
        <f>Tabla4[[#This Row],[TOTAL DESEMBOLSOS]]-Tabla4[[#This Row],[VALOR ATENCIÓN (8 MESES)]]</f>
        <v>0</v>
      </c>
      <c r="BI414" t="s">
        <v>98</v>
      </c>
      <c r="BJ414">
        <v>1920</v>
      </c>
    </row>
    <row r="415" spans="1:62">
      <c r="A415" s="13">
        <v>1920</v>
      </c>
      <c r="B415" s="13" t="s">
        <v>947</v>
      </c>
      <c r="C415" s="12" t="s">
        <v>87</v>
      </c>
      <c r="D415" s="12" t="s">
        <v>88</v>
      </c>
      <c r="E415" s="12" t="s">
        <v>948</v>
      </c>
      <c r="F415" s="12" t="s">
        <v>21</v>
      </c>
      <c r="G415" s="12" t="s">
        <v>90</v>
      </c>
      <c r="H415" s="12" t="s">
        <v>977</v>
      </c>
      <c r="I415" s="12">
        <v>50791152903</v>
      </c>
      <c r="J415" s="12" t="s">
        <v>978</v>
      </c>
      <c r="K415" s="12">
        <v>1</v>
      </c>
      <c r="L415" s="12">
        <v>13</v>
      </c>
      <c r="M415" s="12"/>
      <c r="N415" s="13">
        <v>1920</v>
      </c>
      <c r="O415" s="12" t="s">
        <v>93</v>
      </c>
      <c r="P415" s="12"/>
      <c r="Q415" s="12"/>
      <c r="R415" s="12" t="s">
        <v>94</v>
      </c>
      <c r="S415" s="12">
        <v>10</v>
      </c>
      <c r="T415" s="12" t="s">
        <v>534</v>
      </c>
      <c r="U415" s="12" t="s">
        <v>531</v>
      </c>
      <c r="V415" s="12">
        <f>VLOOKUP(Tabla4[[#This Row],[ZONA DEFINITIVO]],Hoja1!$A$1:$D$121,3,0)</f>
        <v>229098</v>
      </c>
      <c r="W415" s="12">
        <f>VLOOKUP(Tabla4[[#This Row],[ZONA DEFINITIVO]],Hoja1!$A$1:$D$121,2,0)</f>
        <v>15185</v>
      </c>
      <c r="X415" s="12">
        <f>VLOOKUP(Tabla4[[#This Row],[ZONA DEFINITIVO]],Hoja1!$A$1:$D$121,4,0)</f>
        <v>91725</v>
      </c>
      <c r="Y415" s="12" t="str">
        <f>+IF(Tabla4[[#This Row],[AGRUPACIONES]]=1,SUMIFS(Tabla4[UDS],Tabla4[ZONA DEFINITIVO],Tabla4[[#This Row],[ZONA DEFINITIVO]])," ")</f>
        <v xml:space="preserve"> </v>
      </c>
      <c r="Z415" s="12" t="str">
        <f>+IF(Tabla4[[#This Row],[AGRUPACIONES]]=1,SUMIFS(Tabla4[TOTAL COBERTURA],Tabla4[ZONA DEFINITIVO],Tabla4[[#This Row],[ZONA DEFINITIVO]])," ")</f>
        <v xml:space="preserve"> </v>
      </c>
      <c r="AA415" s="12"/>
      <c r="AB415" s="38">
        <v>19750965</v>
      </c>
      <c r="AC415" s="37">
        <v>0.02</v>
      </c>
      <c r="AD415" s="38">
        <f t="shared" si="7"/>
        <v>395019.3</v>
      </c>
      <c r="AE415" s="12"/>
      <c r="AF415" s="12">
        <f>COUNTIF($A$20:A415,A415)</f>
        <v>16</v>
      </c>
      <c r="AG415" s="38">
        <v>19750965</v>
      </c>
      <c r="AH415" s="38">
        <f>Tabla4[[#This Row],[VALOR CONTRAPARTIDA]]+Tabla4[[#This Row],[TOTAL APORTES ICBF]]</f>
        <v>20145984.300000001</v>
      </c>
      <c r="AI415" s="35"/>
      <c r="AJ415" s="38"/>
      <c r="AK415" s="38"/>
      <c r="AL415" s="23"/>
      <c r="AM415" s="35">
        <f>VLOOKUP(Tabla4[[#This Row],[SERVICIO 2025]],$J$2:$V$14,5,0)*Tabla4[[#This Row],[TOTAL COBERTURA]]</f>
        <v>607672</v>
      </c>
      <c r="AN415" s="35">
        <f>VLOOKUP(Tabla4[[#This Row],[SERVICIO 2025]],$J$2:$V$14,6,0)*Tabla4[[#This Row],[TOTAL COBERTURA]]</f>
        <v>491933</v>
      </c>
      <c r="AO415" s="35">
        <f>VLOOKUP(Tabla4[[#This Row],[SERVICIO 2025]],$J$2:$V$14,8,0)*Tabla4[[#This Row],[TOTAL COBERTURA]]</f>
        <v>0</v>
      </c>
      <c r="AP415" s="35">
        <f>VLOOKUP(Tabla4[[#This Row],[SERVICIO 2025]],$J$2:$V$14,3,0)*Tabla4[[#This Row],[TOTAL COBERTURA]]*8</f>
        <v>18651360</v>
      </c>
      <c r="AQ415" s="35"/>
      <c r="AR415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415" s="35" t="str">
        <f>+IF(Tabla4[[#This Row],[AGRUPACIONES]]=1,SUMIFS(Tabla4[VALOR TOTAL],Tabla4[ZONA DEFINITIVO],Tabla4[[#This Row],[ZONA DEFINITIVO]])," ")</f>
        <v xml:space="preserve"> </v>
      </c>
      <c r="AT415" s="27">
        <f>(VLOOKUP(Tabla4[[#This Row],[SERVICIO 2025]],$J$2:$V$14,3,0)*Tabla4[[#This Row],[TOTAL COBERTURA]])+Tabla4[[#This Row],[VALOR FASE PREPARATORIA DE ALISTAMIENTO]]+Tabla4[[#This Row],[DOTACIÓN ÚNICA]]</f>
        <v>2939092</v>
      </c>
      <c r="AU415" s="35">
        <f>(VLOOKUP(Tabla4[[#This Row],[SERVICIO 2025]],$J$2:$V$14,3,0)*Tabla4[[#This Row],[TOTAL COBERTURA]])</f>
        <v>2331420</v>
      </c>
      <c r="AV415" s="35">
        <f>(VLOOKUP(Tabla4[[#This Row],[SERVICIO 2025]],$J$2:$V$14,3,0)*Tabla4[[#This Row],[TOTAL COBERTURA]])</f>
        <v>2331420</v>
      </c>
      <c r="AW415" s="35">
        <f>(VLOOKUP(Tabla4[[#This Row],[SERVICIO 2025]],$J$2:$V$14,3,0)*Tabla4[[#This Row],[TOTAL COBERTURA]])</f>
        <v>2331420</v>
      </c>
      <c r="AX415" s="35">
        <f>(VLOOKUP(Tabla4[[#This Row],[SERVICIO 2025]],$J$2:$V$14,3,0)*Tabla4[[#This Row],[TOTAL COBERTURA]])</f>
        <v>2331420</v>
      </c>
      <c r="AY415" s="35">
        <f>(VLOOKUP(Tabla4[[#This Row],[SERVICIO 2025]],$J$2:$V$14,3,0)*Tabla4[[#This Row],[TOTAL COBERTURA]])</f>
        <v>2331420</v>
      </c>
      <c r="AZ415" s="35">
        <f>(VLOOKUP(Tabla4[[#This Row],[SERVICIO 2025]],$J$2:$V$14,3,0)*Tabla4[[#This Row],[TOTAL COBERTURA]])</f>
        <v>2331420</v>
      </c>
      <c r="BA415" s="35">
        <f>(VLOOKUP(Tabla4[[#This Row],[SERVICIO 2025]],$J$2:$V$14,3,0)*Tabla4[[#This Row],[TOTAL COBERTURA]])+Tabla4[[#This Row],[VALOR FASE PREPARATORIA DE CIERRE]]</f>
        <v>2823353</v>
      </c>
      <c r="BB415" s="35">
        <f>SUM(Tabla4[[#This Row],[DESEMBOLSO 1]:[DESEMBOLSO 8]])</f>
        <v>19750965</v>
      </c>
      <c r="BC415" s="35">
        <f>VLOOKUP(Tabla4[[#This Row],[SERVICIO 2025]],$J$2:$V$14,10,0)*Tabla4[[#This Row],[TOTAL COBERTURA]]*$W$3</f>
        <v>19585384</v>
      </c>
      <c r="BD415" s="47" t="s">
        <v>211</v>
      </c>
      <c r="BE415" s="12" t="b">
        <f>EXACT(Tabla4[[#This Row],[VALOR ATENCIÓN (8 MESES)]],Tabla4[[#This Row],[VALOR TOTAL]])</f>
        <v>1</v>
      </c>
      <c r="BF415" s="23">
        <f>Tabla4[[#This Row],[VALOR ATENCIÓN (8 MESES)]]-Tabla4[[#This Row],[VALOR TOTAL]]</f>
        <v>0</v>
      </c>
      <c r="BG415" s="12" t="b">
        <f>EXACT(Tabla4[[#This Row],[TOTAL DESEMBOLSOS]],Tabla4[[#This Row],[VALOR ATENCIÓN (8 MESES)]])</f>
        <v>1</v>
      </c>
      <c r="BH415" s="29">
        <f>Tabla4[[#This Row],[TOTAL DESEMBOLSOS]]-Tabla4[[#This Row],[VALOR ATENCIÓN (8 MESES)]]</f>
        <v>0</v>
      </c>
      <c r="BI415" t="s">
        <v>98</v>
      </c>
      <c r="BJ415">
        <v>1920</v>
      </c>
    </row>
    <row r="416" spans="1:62">
      <c r="A416" s="13">
        <v>1920</v>
      </c>
      <c r="B416" s="13" t="s">
        <v>947</v>
      </c>
      <c r="C416" s="12" t="s">
        <v>87</v>
      </c>
      <c r="D416" s="12" t="s">
        <v>88</v>
      </c>
      <c r="E416" s="12" t="s">
        <v>948</v>
      </c>
      <c r="F416" s="12" t="s">
        <v>21</v>
      </c>
      <c r="G416" s="12" t="s">
        <v>90</v>
      </c>
      <c r="H416" s="12" t="s">
        <v>979</v>
      </c>
      <c r="I416" s="12">
        <v>50791155792</v>
      </c>
      <c r="J416" s="12" t="s">
        <v>980</v>
      </c>
      <c r="K416" s="12">
        <v>1</v>
      </c>
      <c r="L416" s="12">
        <v>50</v>
      </c>
      <c r="M416" s="12"/>
      <c r="N416" s="13">
        <v>1920</v>
      </c>
      <c r="O416" s="12" t="s">
        <v>93</v>
      </c>
      <c r="P416" s="12"/>
      <c r="Q416" s="12"/>
      <c r="R416" s="12" t="s">
        <v>94</v>
      </c>
      <c r="S416" s="12">
        <v>10</v>
      </c>
      <c r="T416" s="12" t="s">
        <v>534</v>
      </c>
      <c r="U416" s="12" t="s">
        <v>531</v>
      </c>
      <c r="V416" s="12">
        <f>VLOOKUP(Tabla4[[#This Row],[ZONA DEFINITIVO]],Hoja1!$A$1:$D$121,3,0)</f>
        <v>229098</v>
      </c>
      <c r="W416" s="12">
        <f>VLOOKUP(Tabla4[[#This Row],[ZONA DEFINITIVO]],Hoja1!$A$1:$D$121,2,0)</f>
        <v>15185</v>
      </c>
      <c r="X416" s="12">
        <f>VLOOKUP(Tabla4[[#This Row],[ZONA DEFINITIVO]],Hoja1!$A$1:$D$121,4,0)</f>
        <v>91725</v>
      </c>
      <c r="Y416" s="12" t="str">
        <f>+IF(Tabla4[[#This Row],[AGRUPACIONES]]=1,SUMIFS(Tabla4[UDS],Tabla4[ZONA DEFINITIVO],Tabla4[[#This Row],[ZONA DEFINITIVO]])," ")</f>
        <v xml:space="preserve"> </v>
      </c>
      <c r="Z416" s="12" t="str">
        <f>+IF(Tabla4[[#This Row],[AGRUPACIONES]]=1,SUMIFS(Tabla4[TOTAL COBERTURA],Tabla4[ZONA DEFINITIVO],Tabla4[[#This Row],[ZONA DEFINITIVO]])," ")</f>
        <v xml:space="preserve"> </v>
      </c>
      <c r="AA416" s="12"/>
      <c r="AB416" s="38">
        <v>75965250</v>
      </c>
      <c r="AC416" s="37">
        <v>0.02</v>
      </c>
      <c r="AD416" s="38">
        <f t="shared" si="7"/>
        <v>1519305</v>
      </c>
      <c r="AE416" s="12"/>
      <c r="AF416" s="12">
        <f>COUNTIF($A$20:A416,A416)</f>
        <v>17</v>
      </c>
      <c r="AG416" s="38">
        <v>75965250</v>
      </c>
      <c r="AH416" s="38">
        <f>Tabla4[[#This Row],[VALOR CONTRAPARTIDA]]+Tabla4[[#This Row],[TOTAL APORTES ICBF]]</f>
        <v>77484555</v>
      </c>
      <c r="AI416" s="35"/>
      <c r="AJ416" s="38"/>
      <c r="AK416" s="38"/>
      <c r="AL416" s="23"/>
      <c r="AM416" s="35">
        <f>VLOOKUP(Tabla4[[#This Row],[SERVICIO 2025]],$J$2:$V$14,5,0)*Tabla4[[#This Row],[TOTAL COBERTURA]]</f>
        <v>2337200</v>
      </c>
      <c r="AN416" s="35">
        <f>VLOOKUP(Tabla4[[#This Row],[SERVICIO 2025]],$J$2:$V$14,6,0)*Tabla4[[#This Row],[TOTAL COBERTURA]]</f>
        <v>1892050</v>
      </c>
      <c r="AO416" s="35">
        <f>VLOOKUP(Tabla4[[#This Row],[SERVICIO 2025]],$J$2:$V$14,8,0)*Tabla4[[#This Row],[TOTAL COBERTURA]]</f>
        <v>0</v>
      </c>
      <c r="AP416" s="35">
        <f>VLOOKUP(Tabla4[[#This Row],[SERVICIO 2025]],$J$2:$V$14,3,0)*Tabla4[[#This Row],[TOTAL COBERTURA]]*8</f>
        <v>71736000</v>
      </c>
      <c r="AQ416" s="35"/>
      <c r="AR416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416" s="35" t="str">
        <f>+IF(Tabla4[[#This Row],[AGRUPACIONES]]=1,SUMIFS(Tabla4[VALOR TOTAL],Tabla4[ZONA DEFINITIVO],Tabla4[[#This Row],[ZONA DEFINITIVO]])," ")</f>
        <v xml:space="preserve"> </v>
      </c>
      <c r="AT416" s="27">
        <f>(VLOOKUP(Tabla4[[#This Row],[SERVICIO 2025]],$J$2:$V$14,3,0)*Tabla4[[#This Row],[TOTAL COBERTURA]])+Tabla4[[#This Row],[VALOR FASE PREPARATORIA DE ALISTAMIENTO]]+Tabla4[[#This Row],[DOTACIÓN ÚNICA]]</f>
        <v>11304200</v>
      </c>
      <c r="AU416" s="35">
        <f>(VLOOKUP(Tabla4[[#This Row],[SERVICIO 2025]],$J$2:$V$14,3,0)*Tabla4[[#This Row],[TOTAL COBERTURA]])</f>
        <v>8967000</v>
      </c>
      <c r="AV416" s="35">
        <f>(VLOOKUP(Tabla4[[#This Row],[SERVICIO 2025]],$J$2:$V$14,3,0)*Tabla4[[#This Row],[TOTAL COBERTURA]])</f>
        <v>8967000</v>
      </c>
      <c r="AW416" s="35">
        <f>(VLOOKUP(Tabla4[[#This Row],[SERVICIO 2025]],$J$2:$V$14,3,0)*Tabla4[[#This Row],[TOTAL COBERTURA]])</f>
        <v>8967000</v>
      </c>
      <c r="AX416" s="35">
        <f>(VLOOKUP(Tabla4[[#This Row],[SERVICIO 2025]],$J$2:$V$14,3,0)*Tabla4[[#This Row],[TOTAL COBERTURA]])</f>
        <v>8967000</v>
      </c>
      <c r="AY416" s="35">
        <f>(VLOOKUP(Tabla4[[#This Row],[SERVICIO 2025]],$J$2:$V$14,3,0)*Tabla4[[#This Row],[TOTAL COBERTURA]])</f>
        <v>8967000</v>
      </c>
      <c r="AZ416" s="35">
        <f>(VLOOKUP(Tabla4[[#This Row],[SERVICIO 2025]],$J$2:$V$14,3,0)*Tabla4[[#This Row],[TOTAL COBERTURA]])</f>
        <v>8967000</v>
      </c>
      <c r="BA416" s="35">
        <f>(VLOOKUP(Tabla4[[#This Row],[SERVICIO 2025]],$J$2:$V$14,3,0)*Tabla4[[#This Row],[TOTAL COBERTURA]])+Tabla4[[#This Row],[VALOR FASE PREPARATORIA DE CIERRE]]</f>
        <v>10859050</v>
      </c>
      <c r="BB416" s="35">
        <f>SUM(Tabla4[[#This Row],[DESEMBOLSO 1]:[DESEMBOLSO 8]])</f>
        <v>75965250</v>
      </c>
      <c r="BC416" s="35">
        <f>VLOOKUP(Tabla4[[#This Row],[SERVICIO 2025]],$J$2:$V$14,10,0)*Tabla4[[#This Row],[TOTAL COBERTURA]]*$W$3</f>
        <v>75328400</v>
      </c>
      <c r="BD416" s="47" t="s">
        <v>211</v>
      </c>
      <c r="BE416" s="12" t="b">
        <f>EXACT(Tabla4[[#This Row],[VALOR ATENCIÓN (8 MESES)]],Tabla4[[#This Row],[VALOR TOTAL]])</f>
        <v>1</v>
      </c>
      <c r="BF416" s="23">
        <f>Tabla4[[#This Row],[VALOR ATENCIÓN (8 MESES)]]-Tabla4[[#This Row],[VALOR TOTAL]]</f>
        <v>0</v>
      </c>
      <c r="BG416" s="12" t="b">
        <f>EXACT(Tabla4[[#This Row],[TOTAL DESEMBOLSOS]],Tabla4[[#This Row],[VALOR ATENCIÓN (8 MESES)]])</f>
        <v>1</v>
      </c>
      <c r="BH416" s="29">
        <f>Tabla4[[#This Row],[TOTAL DESEMBOLSOS]]-Tabla4[[#This Row],[VALOR ATENCIÓN (8 MESES)]]</f>
        <v>0</v>
      </c>
      <c r="BI416" t="s">
        <v>98</v>
      </c>
      <c r="BJ416">
        <v>1920</v>
      </c>
    </row>
    <row r="417" spans="1:62">
      <c r="A417" s="13">
        <v>1920</v>
      </c>
      <c r="B417" s="13" t="s">
        <v>947</v>
      </c>
      <c r="C417" s="12" t="s">
        <v>87</v>
      </c>
      <c r="D417" s="12" t="s">
        <v>88</v>
      </c>
      <c r="E417" s="12" t="s">
        <v>948</v>
      </c>
      <c r="F417" s="12" t="s">
        <v>21</v>
      </c>
      <c r="G417" s="12" t="s">
        <v>90</v>
      </c>
      <c r="H417" s="12" t="s">
        <v>971</v>
      </c>
      <c r="I417" s="12">
        <v>50791155793</v>
      </c>
      <c r="J417" s="12" t="s">
        <v>981</v>
      </c>
      <c r="K417" s="12">
        <v>1</v>
      </c>
      <c r="L417" s="12">
        <v>50</v>
      </c>
      <c r="M417" s="12"/>
      <c r="N417" s="13">
        <v>1920</v>
      </c>
      <c r="O417" s="12" t="s">
        <v>93</v>
      </c>
      <c r="P417" s="12"/>
      <c r="Q417" s="12"/>
      <c r="R417" s="12" t="s">
        <v>94</v>
      </c>
      <c r="S417" s="12">
        <v>10</v>
      </c>
      <c r="T417" s="12" t="s">
        <v>534</v>
      </c>
      <c r="U417" s="12" t="s">
        <v>531</v>
      </c>
      <c r="V417" s="12">
        <f>VLOOKUP(Tabla4[[#This Row],[ZONA DEFINITIVO]],Hoja1!$A$1:$D$121,3,0)</f>
        <v>229098</v>
      </c>
      <c r="W417" s="12">
        <f>VLOOKUP(Tabla4[[#This Row],[ZONA DEFINITIVO]],Hoja1!$A$1:$D$121,2,0)</f>
        <v>15185</v>
      </c>
      <c r="X417" s="12">
        <f>VLOOKUP(Tabla4[[#This Row],[ZONA DEFINITIVO]],Hoja1!$A$1:$D$121,4,0)</f>
        <v>91725</v>
      </c>
      <c r="Y417" s="12" t="str">
        <f>+IF(Tabla4[[#This Row],[AGRUPACIONES]]=1,SUMIFS(Tabla4[UDS],Tabla4[ZONA DEFINITIVO],Tabla4[[#This Row],[ZONA DEFINITIVO]])," ")</f>
        <v xml:space="preserve"> </v>
      </c>
      <c r="Z417" s="12" t="str">
        <f>+IF(Tabla4[[#This Row],[AGRUPACIONES]]=1,SUMIFS(Tabla4[TOTAL COBERTURA],Tabla4[ZONA DEFINITIVO],Tabla4[[#This Row],[ZONA DEFINITIVO]])," ")</f>
        <v xml:space="preserve"> </v>
      </c>
      <c r="AA417" s="12"/>
      <c r="AB417" s="38">
        <v>75965250</v>
      </c>
      <c r="AC417" s="37">
        <v>0.02</v>
      </c>
      <c r="AD417" s="38">
        <f t="shared" si="7"/>
        <v>1519305</v>
      </c>
      <c r="AE417" s="12"/>
      <c r="AF417" s="12">
        <f>COUNTIF($A$20:A417,A417)</f>
        <v>18</v>
      </c>
      <c r="AG417" s="38">
        <v>75965250</v>
      </c>
      <c r="AH417" s="38">
        <f>Tabla4[[#This Row],[VALOR CONTRAPARTIDA]]+Tabla4[[#This Row],[TOTAL APORTES ICBF]]</f>
        <v>77484555</v>
      </c>
      <c r="AI417" s="35"/>
      <c r="AJ417" s="38"/>
      <c r="AK417" s="38"/>
      <c r="AL417" s="23"/>
      <c r="AM417" s="35">
        <f>VLOOKUP(Tabla4[[#This Row],[SERVICIO 2025]],$J$2:$V$14,5,0)*Tabla4[[#This Row],[TOTAL COBERTURA]]</f>
        <v>2337200</v>
      </c>
      <c r="AN417" s="35">
        <f>VLOOKUP(Tabla4[[#This Row],[SERVICIO 2025]],$J$2:$V$14,6,0)*Tabla4[[#This Row],[TOTAL COBERTURA]]</f>
        <v>1892050</v>
      </c>
      <c r="AO417" s="35">
        <f>VLOOKUP(Tabla4[[#This Row],[SERVICIO 2025]],$J$2:$V$14,8,0)*Tabla4[[#This Row],[TOTAL COBERTURA]]</f>
        <v>0</v>
      </c>
      <c r="AP417" s="35">
        <f>VLOOKUP(Tabla4[[#This Row],[SERVICIO 2025]],$J$2:$V$14,3,0)*Tabla4[[#This Row],[TOTAL COBERTURA]]*8</f>
        <v>71736000</v>
      </c>
      <c r="AQ417" s="35"/>
      <c r="AR417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417" s="35" t="str">
        <f>+IF(Tabla4[[#This Row],[AGRUPACIONES]]=1,SUMIFS(Tabla4[VALOR TOTAL],Tabla4[ZONA DEFINITIVO],Tabla4[[#This Row],[ZONA DEFINITIVO]])," ")</f>
        <v xml:space="preserve"> </v>
      </c>
      <c r="AT417" s="27">
        <f>(VLOOKUP(Tabla4[[#This Row],[SERVICIO 2025]],$J$2:$V$14,3,0)*Tabla4[[#This Row],[TOTAL COBERTURA]])+Tabla4[[#This Row],[VALOR FASE PREPARATORIA DE ALISTAMIENTO]]+Tabla4[[#This Row],[DOTACIÓN ÚNICA]]</f>
        <v>11304200</v>
      </c>
      <c r="AU417" s="35">
        <f>(VLOOKUP(Tabla4[[#This Row],[SERVICIO 2025]],$J$2:$V$14,3,0)*Tabla4[[#This Row],[TOTAL COBERTURA]])</f>
        <v>8967000</v>
      </c>
      <c r="AV417" s="35">
        <f>(VLOOKUP(Tabla4[[#This Row],[SERVICIO 2025]],$J$2:$V$14,3,0)*Tabla4[[#This Row],[TOTAL COBERTURA]])</f>
        <v>8967000</v>
      </c>
      <c r="AW417" s="35">
        <f>(VLOOKUP(Tabla4[[#This Row],[SERVICIO 2025]],$J$2:$V$14,3,0)*Tabla4[[#This Row],[TOTAL COBERTURA]])</f>
        <v>8967000</v>
      </c>
      <c r="AX417" s="35">
        <f>(VLOOKUP(Tabla4[[#This Row],[SERVICIO 2025]],$J$2:$V$14,3,0)*Tabla4[[#This Row],[TOTAL COBERTURA]])</f>
        <v>8967000</v>
      </c>
      <c r="AY417" s="35">
        <f>(VLOOKUP(Tabla4[[#This Row],[SERVICIO 2025]],$J$2:$V$14,3,0)*Tabla4[[#This Row],[TOTAL COBERTURA]])</f>
        <v>8967000</v>
      </c>
      <c r="AZ417" s="35">
        <f>(VLOOKUP(Tabla4[[#This Row],[SERVICIO 2025]],$J$2:$V$14,3,0)*Tabla4[[#This Row],[TOTAL COBERTURA]])</f>
        <v>8967000</v>
      </c>
      <c r="BA417" s="35">
        <f>(VLOOKUP(Tabla4[[#This Row],[SERVICIO 2025]],$J$2:$V$14,3,0)*Tabla4[[#This Row],[TOTAL COBERTURA]])+Tabla4[[#This Row],[VALOR FASE PREPARATORIA DE CIERRE]]</f>
        <v>10859050</v>
      </c>
      <c r="BB417" s="35">
        <f>SUM(Tabla4[[#This Row],[DESEMBOLSO 1]:[DESEMBOLSO 8]])</f>
        <v>75965250</v>
      </c>
      <c r="BC417" s="35">
        <f>VLOOKUP(Tabla4[[#This Row],[SERVICIO 2025]],$J$2:$V$14,10,0)*Tabla4[[#This Row],[TOTAL COBERTURA]]*$W$3</f>
        <v>75328400</v>
      </c>
      <c r="BD417" s="47" t="s">
        <v>211</v>
      </c>
      <c r="BE417" s="12" t="b">
        <f>EXACT(Tabla4[[#This Row],[VALOR ATENCIÓN (8 MESES)]],Tabla4[[#This Row],[VALOR TOTAL]])</f>
        <v>1</v>
      </c>
      <c r="BF417" s="23">
        <f>Tabla4[[#This Row],[VALOR ATENCIÓN (8 MESES)]]-Tabla4[[#This Row],[VALOR TOTAL]]</f>
        <v>0</v>
      </c>
      <c r="BG417" s="12" t="b">
        <f>EXACT(Tabla4[[#This Row],[TOTAL DESEMBOLSOS]],Tabla4[[#This Row],[VALOR ATENCIÓN (8 MESES)]])</f>
        <v>1</v>
      </c>
      <c r="BH417" s="29">
        <f>Tabla4[[#This Row],[TOTAL DESEMBOLSOS]]-Tabla4[[#This Row],[VALOR ATENCIÓN (8 MESES)]]</f>
        <v>0</v>
      </c>
      <c r="BI417" t="s">
        <v>98</v>
      </c>
      <c r="BJ417">
        <v>1920</v>
      </c>
    </row>
    <row r="418" spans="1:62">
      <c r="A418" s="13">
        <v>1920</v>
      </c>
      <c r="B418" s="13" t="s">
        <v>947</v>
      </c>
      <c r="C418" s="12" t="s">
        <v>87</v>
      </c>
      <c r="D418" s="12" t="s">
        <v>88</v>
      </c>
      <c r="E418" s="12" t="s">
        <v>948</v>
      </c>
      <c r="F418" s="12" t="s">
        <v>21</v>
      </c>
      <c r="G418" s="12" t="s">
        <v>90</v>
      </c>
      <c r="H418" s="12" t="s">
        <v>982</v>
      </c>
      <c r="I418" s="12">
        <v>50791155794</v>
      </c>
      <c r="J418" s="12" t="s">
        <v>983</v>
      </c>
      <c r="K418" s="12">
        <v>1</v>
      </c>
      <c r="L418" s="12">
        <v>46</v>
      </c>
      <c r="M418" s="12"/>
      <c r="N418" s="13">
        <v>1920</v>
      </c>
      <c r="O418" s="12" t="s">
        <v>93</v>
      </c>
      <c r="P418" s="12"/>
      <c r="Q418" s="12"/>
      <c r="R418" s="12" t="s">
        <v>94</v>
      </c>
      <c r="S418" s="12">
        <v>10</v>
      </c>
      <c r="T418" s="12" t="s">
        <v>534</v>
      </c>
      <c r="U418" s="12" t="s">
        <v>531</v>
      </c>
      <c r="V418" s="12">
        <f>VLOOKUP(Tabla4[[#This Row],[ZONA DEFINITIVO]],Hoja1!$A$1:$D$121,3,0)</f>
        <v>229098</v>
      </c>
      <c r="W418" s="12">
        <f>VLOOKUP(Tabla4[[#This Row],[ZONA DEFINITIVO]],Hoja1!$A$1:$D$121,2,0)</f>
        <v>15185</v>
      </c>
      <c r="X418" s="12">
        <f>VLOOKUP(Tabla4[[#This Row],[ZONA DEFINITIVO]],Hoja1!$A$1:$D$121,4,0)</f>
        <v>91725</v>
      </c>
      <c r="Y418" s="12" t="str">
        <f>+IF(Tabla4[[#This Row],[AGRUPACIONES]]=1,SUMIFS(Tabla4[UDS],Tabla4[ZONA DEFINITIVO],Tabla4[[#This Row],[ZONA DEFINITIVO]])," ")</f>
        <v xml:space="preserve"> </v>
      </c>
      <c r="Z418" s="12" t="str">
        <f>+IF(Tabla4[[#This Row],[AGRUPACIONES]]=1,SUMIFS(Tabla4[TOTAL COBERTURA],Tabla4[ZONA DEFINITIVO],Tabla4[[#This Row],[ZONA DEFINITIVO]])," ")</f>
        <v xml:space="preserve"> </v>
      </c>
      <c r="AA418" s="12"/>
      <c r="AB418" s="38">
        <v>69888030</v>
      </c>
      <c r="AC418" s="37">
        <v>0.02</v>
      </c>
      <c r="AD418" s="38">
        <f t="shared" si="7"/>
        <v>1397760.6</v>
      </c>
      <c r="AE418" s="12"/>
      <c r="AF418" s="12">
        <f>COUNTIF($A$20:A418,A418)</f>
        <v>19</v>
      </c>
      <c r="AG418" s="38">
        <v>69888030</v>
      </c>
      <c r="AH418" s="38">
        <f>Tabla4[[#This Row],[VALOR CONTRAPARTIDA]]+Tabla4[[#This Row],[TOTAL APORTES ICBF]]</f>
        <v>71285790.599999994</v>
      </c>
      <c r="AI418" s="35"/>
      <c r="AJ418" s="38"/>
      <c r="AK418" s="38"/>
      <c r="AL418" s="23"/>
      <c r="AM418" s="35">
        <f>VLOOKUP(Tabla4[[#This Row],[SERVICIO 2025]],$J$2:$V$14,5,0)*Tabla4[[#This Row],[TOTAL COBERTURA]]</f>
        <v>2150224</v>
      </c>
      <c r="AN418" s="35">
        <f>VLOOKUP(Tabla4[[#This Row],[SERVICIO 2025]],$J$2:$V$14,6,0)*Tabla4[[#This Row],[TOTAL COBERTURA]]</f>
        <v>1740686</v>
      </c>
      <c r="AO418" s="35">
        <f>VLOOKUP(Tabla4[[#This Row],[SERVICIO 2025]],$J$2:$V$14,8,0)*Tabla4[[#This Row],[TOTAL COBERTURA]]</f>
        <v>0</v>
      </c>
      <c r="AP418" s="35">
        <f>VLOOKUP(Tabla4[[#This Row],[SERVICIO 2025]],$J$2:$V$14,3,0)*Tabla4[[#This Row],[TOTAL COBERTURA]]*8</f>
        <v>65997120</v>
      </c>
      <c r="AQ418" s="35"/>
      <c r="AR418" s="35">
        <f>Tabla4[[#This Row],[VALOR FASE PREPARATORIA DE ALISTAMIENTO]]+Tabla4[[#This Row],[VALOR FASE PREPARATORIA DE CIERRE]]+Tabla4[[#This Row],[DOTACIÓN ÚNICA]]+Tabla4[[#This Row],[VALOR ATENCIÓN]]+Tabla4[[#This Row],[VALOR RACION PREPARADA]]</f>
        <v>69888030</v>
      </c>
      <c r="AS418" s="35" t="str">
        <f>+IF(Tabla4[[#This Row],[AGRUPACIONES]]=1,SUMIFS(Tabla4[VALOR TOTAL],Tabla4[ZONA DEFINITIVO],Tabla4[[#This Row],[ZONA DEFINITIVO]])," ")</f>
        <v xml:space="preserve"> </v>
      </c>
      <c r="AT418" s="27">
        <f>(VLOOKUP(Tabla4[[#This Row],[SERVICIO 2025]],$J$2:$V$14,3,0)*Tabla4[[#This Row],[TOTAL COBERTURA]])+Tabla4[[#This Row],[VALOR FASE PREPARATORIA DE ALISTAMIENTO]]+Tabla4[[#This Row],[DOTACIÓN ÚNICA]]</f>
        <v>10399864</v>
      </c>
      <c r="AU418" s="35">
        <f>(VLOOKUP(Tabla4[[#This Row],[SERVICIO 2025]],$J$2:$V$14,3,0)*Tabla4[[#This Row],[TOTAL COBERTURA]])</f>
        <v>8249640</v>
      </c>
      <c r="AV418" s="35">
        <f>(VLOOKUP(Tabla4[[#This Row],[SERVICIO 2025]],$J$2:$V$14,3,0)*Tabla4[[#This Row],[TOTAL COBERTURA]])</f>
        <v>8249640</v>
      </c>
      <c r="AW418" s="35">
        <f>(VLOOKUP(Tabla4[[#This Row],[SERVICIO 2025]],$J$2:$V$14,3,0)*Tabla4[[#This Row],[TOTAL COBERTURA]])</f>
        <v>8249640</v>
      </c>
      <c r="AX418" s="35">
        <f>(VLOOKUP(Tabla4[[#This Row],[SERVICIO 2025]],$J$2:$V$14,3,0)*Tabla4[[#This Row],[TOTAL COBERTURA]])</f>
        <v>8249640</v>
      </c>
      <c r="AY418" s="35">
        <f>(VLOOKUP(Tabla4[[#This Row],[SERVICIO 2025]],$J$2:$V$14,3,0)*Tabla4[[#This Row],[TOTAL COBERTURA]])</f>
        <v>8249640</v>
      </c>
      <c r="AZ418" s="35">
        <f>(VLOOKUP(Tabla4[[#This Row],[SERVICIO 2025]],$J$2:$V$14,3,0)*Tabla4[[#This Row],[TOTAL COBERTURA]])</f>
        <v>8249640</v>
      </c>
      <c r="BA418" s="35">
        <f>(VLOOKUP(Tabla4[[#This Row],[SERVICIO 2025]],$J$2:$V$14,3,0)*Tabla4[[#This Row],[TOTAL COBERTURA]])+Tabla4[[#This Row],[VALOR FASE PREPARATORIA DE CIERRE]]</f>
        <v>9990326</v>
      </c>
      <c r="BB418" s="35">
        <f>SUM(Tabla4[[#This Row],[DESEMBOLSO 1]:[DESEMBOLSO 8]])</f>
        <v>69888030</v>
      </c>
      <c r="BC418" s="35">
        <f>VLOOKUP(Tabla4[[#This Row],[SERVICIO 2025]],$J$2:$V$14,10,0)*Tabla4[[#This Row],[TOTAL COBERTURA]]*$W$3</f>
        <v>69302128</v>
      </c>
      <c r="BD418" s="47" t="s">
        <v>211</v>
      </c>
      <c r="BE418" s="12" t="b">
        <f>EXACT(Tabla4[[#This Row],[VALOR ATENCIÓN (8 MESES)]],Tabla4[[#This Row],[VALOR TOTAL]])</f>
        <v>1</v>
      </c>
      <c r="BF418" s="23">
        <f>Tabla4[[#This Row],[VALOR ATENCIÓN (8 MESES)]]-Tabla4[[#This Row],[VALOR TOTAL]]</f>
        <v>0</v>
      </c>
      <c r="BG418" s="12" t="b">
        <f>EXACT(Tabla4[[#This Row],[TOTAL DESEMBOLSOS]],Tabla4[[#This Row],[VALOR ATENCIÓN (8 MESES)]])</f>
        <v>1</v>
      </c>
      <c r="BH418" s="29">
        <f>Tabla4[[#This Row],[TOTAL DESEMBOLSOS]]-Tabla4[[#This Row],[VALOR ATENCIÓN (8 MESES)]]</f>
        <v>0</v>
      </c>
      <c r="BI418" t="s">
        <v>98</v>
      </c>
      <c r="BJ418">
        <v>1920</v>
      </c>
    </row>
    <row r="419" spans="1:62">
      <c r="A419" s="13">
        <v>1920</v>
      </c>
      <c r="B419" s="13" t="s">
        <v>947</v>
      </c>
      <c r="C419" s="12" t="s">
        <v>87</v>
      </c>
      <c r="D419" s="12" t="s">
        <v>88</v>
      </c>
      <c r="E419" s="12" t="s">
        <v>948</v>
      </c>
      <c r="F419" s="12" t="s">
        <v>21</v>
      </c>
      <c r="G419" s="12" t="s">
        <v>90</v>
      </c>
      <c r="H419" s="12" t="s">
        <v>984</v>
      </c>
      <c r="I419" s="12">
        <v>50791155795</v>
      </c>
      <c r="J419" s="12" t="s">
        <v>985</v>
      </c>
      <c r="K419" s="12">
        <v>1</v>
      </c>
      <c r="L419" s="12">
        <v>50</v>
      </c>
      <c r="M419" s="12"/>
      <c r="N419" s="13">
        <v>1920</v>
      </c>
      <c r="O419" s="12" t="s">
        <v>93</v>
      </c>
      <c r="P419" s="12"/>
      <c r="Q419" s="12"/>
      <c r="R419" s="12" t="s">
        <v>94</v>
      </c>
      <c r="S419" s="12">
        <v>10</v>
      </c>
      <c r="T419" s="12" t="s">
        <v>534</v>
      </c>
      <c r="U419" s="12" t="s">
        <v>531</v>
      </c>
      <c r="V419" s="12">
        <f>VLOOKUP(Tabla4[[#This Row],[ZONA DEFINITIVO]],Hoja1!$A$1:$D$121,3,0)</f>
        <v>229098</v>
      </c>
      <c r="W419" s="12">
        <f>VLOOKUP(Tabla4[[#This Row],[ZONA DEFINITIVO]],Hoja1!$A$1:$D$121,2,0)</f>
        <v>15185</v>
      </c>
      <c r="X419" s="12">
        <f>VLOOKUP(Tabla4[[#This Row],[ZONA DEFINITIVO]],Hoja1!$A$1:$D$121,4,0)</f>
        <v>91725</v>
      </c>
      <c r="Y419" s="12" t="str">
        <f>+IF(Tabla4[[#This Row],[AGRUPACIONES]]=1,SUMIFS(Tabla4[UDS],Tabla4[ZONA DEFINITIVO],Tabla4[[#This Row],[ZONA DEFINITIVO]])," ")</f>
        <v xml:space="preserve"> </v>
      </c>
      <c r="Z419" s="12" t="str">
        <f>+IF(Tabla4[[#This Row],[AGRUPACIONES]]=1,SUMIFS(Tabla4[TOTAL COBERTURA],Tabla4[ZONA DEFINITIVO],Tabla4[[#This Row],[ZONA DEFINITIVO]])," ")</f>
        <v xml:space="preserve"> </v>
      </c>
      <c r="AA419" s="12"/>
      <c r="AB419" s="38">
        <v>75965250</v>
      </c>
      <c r="AC419" s="37">
        <v>0.02</v>
      </c>
      <c r="AD419" s="38">
        <f t="shared" si="7"/>
        <v>1519305</v>
      </c>
      <c r="AE419" s="12"/>
      <c r="AF419" s="12">
        <f>COUNTIF($A$20:A419,A419)</f>
        <v>20</v>
      </c>
      <c r="AG419" s="38">
        <v>75965250</v>
      </c>
      <c r="AH419" s="38">
        <f>Tabla4[[#This Row],[VALOR CONTRAPARTIDA]]+Tabla4[[#This Row],[TOTAL APORTES ICBF]]</f>
        <v>77484555</v>
      </c>
      <c r="AI419" s="35"/>
      <c r="AJ419" s="38"/>
      <c r="AK419" s="38"/>
      <c r="AL419" s="23"/>
      <c r="AM419" s="35">
        <f>VLOOKUP(Tabla4[[#This Row],[SERVICIO 2025]],$J$2:$V$14,5,0)*Tabla4[[#This Row],[TOTAL COBERTURA]]</f>
        <v>2337200</v>
      </c>
      <c r="AN419" s="35">
        <f>VLOOKUP(Tabla4[[#This Row],[SERVICIO 2025]],$J$2:$V$14,6,0)*Tabla4[[#This Row],[TOTAL COBERTURA]]</f>
        <v>1892050</v>
      </c>
      <c r="AO419" s="35">
        <f>VLOOKUP(Tabla4[[#This Row],[SERVICIO 2025]],$J$2:$V$14,8,0)*Tabla4[[#This Row],[TOTAL COBERTURA]]</f>
        <v>0</v>
      </c>
      <c r="AP419" s="35">
        <f>VLOOKUP(Tabla4[[#This Row],[SERVICIO 2025]],$J$2:$V$14,3,0)*Tabla4[[#This Row],[TOTAL COBERTURA]]*8</f>
        <v>71736000</v>
      </c>
      <c r="AQ419" s="35"/>
      <c r="AR419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419" s="35" t="str">
        <f>+IF(Tabla4[[#This Row],[AGRUPACIONES]]=1,SUMIFS(Tabla4[VALOR TOTAL],Tabla4[ZONA DEFINITIVO],Tabla4[[#This Row],[ZONA DEFINITIVO]])," ")</f>
        <v xml:space="preserve"> </v>
      </c>
      <c r="AT419" s="27">
        <f>(VLOOKUP(Tabla4[[#This Row],[SERVICIO 2025]],$J$2:$V$14,3,0)*Tabla4[[#This Row],[TOTAL COBERTURA]])+Tabla4[[#This Row],[VALOR FASE PREPARATORIA DE ALISTAMIENTO]]+Tabla4[[#This Row],[DOTACIÓN ÚNICA]]</f>
        <v>11304200</v>
      </c>
      <c r="AU419" s="35">
        <f>(VLOOKUP(Tabla4[[#This Row],[SERVICIO 2025]],$J$2:$V$14,3,0)*Tabla4[[#This Row],[TOTAL COBERTURA]])</f>
        <v>8967000</v>
      </c>
      <c r="AV419" s="35">
        <f>(VLOOKUP(Tabla4[[#This Row],[SERVICIO 2025]],$J$2:$V$14,3,0)*Tabla4[[#This Row],[TOTAL COBERTURA]])</f>
        <v>8967000</v>
      </c>
      <c r="AW419" s="35">
        <f>(VLOOKUP(Tabla4[[#This Row],[SERVICIO 2025]],$J$2:$V$14,3,0)*Tabla4[[#This Row],[TOTAL COBERTURA]])</f>
        <v>8967000</v>
      </c>
      <c r="AX419" s="35">
        <f>(VLOOKUP(Tabla4[[#This Row],[SERVICIO 2025]],$J$2:$V$14,3,0)*Tabla4[[#This Row],[TOTAL COBERTURA]])</f>
        <v>8967000</v>
      </c>
      <c r="AY419" s="35">
        <f>(VLOOKUP(Tabla4[[#This Row],[SERVICIO 2025]],$J$2:$V$14,3,0)*Tabla4[[#This Row],[TOTAL COBERTURA]])</f>
        <v>8967000</v>
      </c>
      <c r="AZ419" s="35">
        <f>(VLOOKUP(Tabla4[[#This Row],[SERVICIO 2025]],$J$2:$V$14,3,0)*Tabla4[[#This Row],[TOTAL COBERTURA]])</f>
        <v>8967000</v>
      </c>
      <c r="BA419" s="35">
        <f>(VLOOKUP(Tabla4[[#This Row],[SERVICIO 2025]],$J$2:$V$14,3,0)*Tabla4[[#This Row],[TOTAL COBERTURA]])+Tabla4[[#This Row],[VALOR FASE PREPARATORIA DE CIERRE]]</f>
        <v>10859050</v>
      </c>
      <c r="BB419" s="35">
        <f>SUM(Tabla4[[#This Row],[DESEMBOLSO 1]:[DESEMBOLSO 8]])</f>
        <v>75965250</v>
      </c>
      <c r="BC419" s="35">
        <f>VLOOKUP(Tabla4[[#This Row],[SERVICIO 2025]],$J$2:$V$14,10,0)*Tabla4[[#This Row],[TOTAL COBERTURA]]*$W$3</f>
        <v>75328400</v>
      </c>
      <c r="BD419" s="47" t="s">
        <v>211</v>
      </c>
      <c r="BE419" s="12" t="b">
        <f>EXACT(Tabla4[[#This Row],[VALOR ATENCIÓN (8 MESES)]],Tabla4[[#This Row],[VALOR TOTAL]])</f>
        <v>1</v>
      </c>
      <c r="BF419" s="23">
        <f>Tabla4[[#This Row],[VALOR ATENCIÓN (8 MESES)]]-Tabla4[[#This Row],[VALOR TOTAL]]</f>
        <v>0</v>
      </c>
      <c r="BG419" s="12" t="b">
        <f>EXACT(Tabla4[[#This Row],[TOTAL DESEMBOLSOS]],Tabla4[[#This Row],[VALOR ATENCIÓN (8 MESES)]])</f>
        <v>1</v>
      </c>
      <c r="BH419" s="29">
        <f>Tabla4[[#This Row],[TOTAL DESEMBOLSOS]]-Tabla4[[#This Row],[VALOR ATENCIÓN (8 MESES)]]</f>
        <v>0</v>
      </c>
      <c r="BI419" t="s">
        <v>98</v>
      </c>
      <c r="BJ419">
        <v>1920</v>
      </c>
    </row>
    <row r="420" spans="1:62">
      <c r="A420" s="13">
        <v>1925</v>
      </c>
      <c r="B420" s="13" t="s">
        <v>986</v>
      </c>
      <c r="C420" s="12" t="s">
        <v>87</v>
      </c>
      <c r="D420" s="12" t="s">
        <v>987</v>
      </c>
      <c r="E420" s="12" t="s">
        <v>988</v>
      </c>
      <c r="F420" s="12" t="s">
        <v>18</v>
      </c>
      <c r="G420" s="12" t="s">
        <v>90</v>
      </c>
      <c r="H420" s="12" t="s">
        <v>989</v>
      </c>
      <c r="I420" s="12">
        <v>51201114784</v>
      </c>
      <c r="J420" s="12" t="s">
        <v>990</v>
      </c>
      <c r="K420" s="12">
        <v>1</v>
      </c>
      <c r="L420" s="12">
        <v>18</v>
      </c>
      <c r="M420" s="12"/>
      <c r="N420" s="13">
        <v>1925</v>
      </c>
      <c r="O420" s="12" t="s">
        <v>93</v>
      </c>
      <c r="P420" s="12"/>
      <c r="Q420" s="12"/>
      <c r="R420" s="12" t="s">
        <v>94</v>
      </c>
      <c r="S420" s="12">
        <v>10</v>
      </c>
      <c r="T420" s="12" t="s">
        <v>991</v>
      </c>
      <c r="U420" s="12" t="s">
        <v>992</v>
      </c>
      <c r="V420" s="12">
        <f>VLOOKUP(Tabla4[[#This Row],[ZONA DEFINITIVO]],Hoja1!$A$1:$D$121,3,0)</f>
        <v>229185</v>
      </c>
      <c r="W420" s="12">
        <f>VLOOKUP(Tabla4[[#This Row],[ZONA DEFINITIVO]],Hoja1!$A$1:$D$121,2,0)</f>
        <v>16472</v>
      </c>
      <c r="X420" s="12">
        <f>VLOOKUP(Tabla4[[#This Row],[ZONA DEFINITIVO]],Hoja1!$A$1:$D$121,4,0)</f>
        <v>95525</v>
      </c>
      <c r="Y420" s="12">
        <f>+IF(Tabla4[[#This Row],[AGRUPACIONES]]=1,SUMIFS(Tabla4[UDS],Tabla4[ZONA DEFINITIVO],Tabla4[[#This Row],[ZONA DEFINITIVO]])," ")</f>
        <v>8</v>
      </c>
      <c r="Z420" s="12">
        <f>+IF(Tabla4[[#This Row],[AGRUPACIONES]]=1,SUMIFS(Tabla4[TOTAL COBERTURA],Tabla4[ZONA DEFINITIVO],Tabla4[[#This Row],[ZONA DEFINITIVO]])," ")</f>
        <v>444</v>
      </c>
      <c r="AA420" s="12"/>
      <c r="AB420" s="38">
        <v>39243474</v>
      </c>
      <c r="AC420" s="37">
        <v>0.02</v>
      </c>
      <c r="AD420" s="38">
        <f t="shared" si="7"/>
        <v>784869.48</v>
      </c>
      <c r="AE420" s="12"/>
      <c r="AF420" s="12">
        <f>COUNTIF($A$20:A420,A420)</f>
        <v>1</v>
      </c>
      <c r="AG420" s="38">
        <v>39243474</v>
      </c>
      <c r="AH420" s="38">
        <f>Tabla4[[#This Row],[VALOR CONTRAPARTIDA]]+Tabla4[[#This Row],[TOTAL APORTES ICBF]]</f>
        <v>40028343.479999997</v>
      </c>
      <c r="AI420" s="35">
        <f>ROUND(+IF(Tabla4[[#This Row],[AGRUPACIONES]]=1,SUMIFS(Tabla4[TOTAL APORTES ICBF],Tabla4[ZONA DEFINITIVO],Tabla4[[#This Row],[ZONA DEFINITIVO]])," "),0)</f>
        <v>1277684193</v>
      </c>
      <c r="AJ420" s="38">
        <f>ROUND(+IF(Tabla4[[#This Row],[AGRUPACIONES]]=1,SUMIFS(Tabla4[VALOR CONTRAPARTIDA],Tabla4[ZONA DEFINITIVO],Tabla4[[#This Row],[ZONA DEFINITIVO]])," "),0)</f>
        <v>25553684</v>
      </c>
      <c r="AK420" s="38">
        <f>Tabla4[[#This Row],[TOTAL APORTES ICBF AGRUPADO]]+Tabla4[[#This Row],[TOTAL CONTRAPARTIDA AGRUPADO]]</f>
        <v>1303237877</v>
      </c>
      <c r="AL420" s="23">
        <f>Tabla4[[#This Row],[TOTAL APORTES ICBF AGRUPADO]]/$AL$18</f>
        <v>897.56529188619595</v>
      </c>
      <c r="AM420" s="35">
        <f>VLOOKUP(Tabla4[[#This Row],[SERVICIO 2025]],$J$2:$V$14,5,0)*Tabla4[[#This Row],[TOTAL COBERTURA]]</f>
        <v>888768</v>
      </c>
      <c r="AN420" s="35">
        <f>VLOOKUP(Tabla4[[#This Row],[SERVICIO 2025]],$J$2:$V$14,6,0)*Tabla4[[#This Row],[TOTAL COBERTURA]]</f>
        <v>738522</v>
      </c>
      <c r="AO420" s="35">
        <f>VLOOKUP(Tabla4[[#This Row],[SERVICIO 2025]],$J$2:$V$14,8,0)*Tabla4[[#This Row],[TOTAL COBERTURA]]</f>
        <v>523800</v>
      </c>
      <c r="AP420" s="35">
        <f>VLOOKUP(Tabla4[[#This Row],[SERVICIO 2025]],$J$2:$V$14,3,0)*Tabla4[[#This Row],[TOTAL COBERTURA]]*8</f>
        <v>37092384</v>
      </c>
      <c r="AQ420" s="35"/>
      <c r="AR420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420" s="35">
        <f>+IF(Tabla4[[#This Row],[AGRUPACIONES]]=1,SUMIFS(Tabla4[VALOR TOTAL],Tabla4[ZONA DEFINITIVO],Tabla4[[#This Row],[ZONA DEFINITIVO]])," ")</f>
        <v>1277684193</v>
      </c>
      <c r="AT420" s="27">
        <f>(VLOOKUP(Tabla4[[#This Row],[SERVICIO 2025]],$J$2:$V$14,3,0)*Tabla4[[#This Row],[TOTAL COBERTURA]])+Tabla4[[#This Row],[VALOR FASE PREPARATORIA DE ALISTAMIENTO]]+Tabla4[[#This Row],[DOTACIÓN ÚNICA]]</f>
        <v>6049116</v>
      </c>
      <c r="AU420" s="35">
        <f>(VLOOKUP(Tabla4[[#This Row],[SERVICIO 2025]],$J$2:$V$14,3,0)*Tabla4[[#This Row],[TOTAL COBERTURA]])</f>
        <v>4636548</v>
      </c>
      <c r="AV420" s="35">
        <f>(VLOOKUP(Tabla4[[#This Row],[SERVICIO 2025]],$J$2:$V$14,3,0)*Tabla4[[#This Row],[TOTAL COBERTURA]])</f>
        <v>4636548</v>
      </c>
      <c r="AW420" s="35">
        <f>(VLOOKUP(Tabla4[[#This Row],[SERVICIO 2025]],$J$2:$V$14,3,0)*Tabla4[[#This Row],[TOTAL COBERTURA]])</f>
        <v>4636548</v>
      </c>
      <c r="AX420" s="35">
        <f>(VLOOKUP(Tabla4[[#This Row],[SERVICIO 2025]],$J$2:$V$14,3,0)*Tabla4[[#This Row],[TOTAL COBERTURA]])</f>
        <v>4636548</v>
      </c>
      <c r="AY420" s="35">
        <f>(VLOOKUP(Tabla4[[#This Row],[SERVICIO 2025]],$J$2:$V$14,3,0)*Tabla4[[#This Row],[TOTAL COBERTURA]])</f>
        <v>4636548</v>
      </c>
      <c r="AZ420" s="35">
        <f>(VLOOKUP(Tabla4[[#This Row],[SERVICIO 2025]],$J$2:$V$14,3,0)*Tabla4[[#This Row],[TOTAL COBERTURA]])</f>
        <v>4636548</v>
      </c>
      <c r="BA420" s="35">
        <f>(VLOOKUP(Tabla4[[#This Row],[SERVICIO 2025]],$J$2:$V$14,3,0)*Tabla4[[#This Row],[TOTAL COBERTURA]])+Tabla4[[#This Row],[VALOR FASE PREPARATORIA DE CIERRE]]</f>
        <v>5375070</v>
      </c>
      <c r="BB420" s="35">
        <f>SUM(Tabla4[[#This Row],[DESEMBOLSO 1]:[DESEMBOLSO 8]])</f>
        <v>39243474</v>
      </c>
      <c r="BC420" s="35">
        <f>VLOOKUP(Tabla4[[#This Row],[SERVICIO 2025]],$J$2:$V$14,10,0)*Tabla4[[#This Row],[TOTAL COBERTURA]]*$W$3</f>
        <v>25975152</v>
      </c>
      <c r="BD420" s="47" t="s">
        <v>211</v>
      </c>
      <c r="BE420" s="12" t="b">
        <f>EXACT(Tabla4[[#This Row],[VALOR ATENCIÓN (8 MESES)]],Tabla4[[#This Row],[VALOR TOTAL]])</f>
        <v>1</v>
      </c>
      <c r="BF420" s="23">
        <f>Tabla4[[#This Row],[VALOR ATENCIÓN (8 MESES)]]-Tabla4[[#This Row],[VALOR TOTAL]]</f>
        <v>0</v>
      </c>
      <c r="BG420" s="12" t="b">
        <f>EXACT(Tabla4[[#This Row],[TOTAL DESEMBOLSOS]],Tabla4[[#This Row],[VALOR ATENCIÓN (8 MESES)]])</f>
        <v>1</v>
      </c>
      <c r="BH420" s="29">
        <f>Tabla4[[#This Row],[TOTAL DESEMBOLSOS]]-Tabla4[[#This Row],[VALOR ATENCIÓN (8 MESES)]]</f>
        <v>0</v>
      </c>
      <c r="BI420" t="s">
        <v>392</v>
      </c>
      <c r="BJ420">
        <v>1925</v>
      </c>
    </row>
    <row r="421" spans="1:62">
      <c r="A421" s="13">
        <v>1925</v>
      </c>
      <c r="B421" s="13" t="s">
        <v>986</v>
      </c>
      <c r="C421" s="12" t="s">
        <v>87</v>
      </c>
      <c r="D421" s="12" t="s">
        <v>987</v>
      </c>
      <c r="E421" s="12" t="s">
        <v>988</v>
      </c>
      <c r="F421" s="12" t="s">
        <v>18</v>
      </c>
      <c r="G421" s="12" t="s">
        <v>90</v>
      </c>
      <c r="H421" s="12" t="s">
        <v>993</v>
      </c>
      <c r="I421" s="12">
        <v>51201135668</v>
      </c>
      <c r="J421" s="12" t="s">
        <v>994</v>
      </c>
      <c r="K421" s="12">
        <v>1</v>
      </c>
      <c r="L421" s="12">
        <v>47</v>
      </c>
      <c r="M421" s="12"/>
      <c r="N421" s="13">
        <v>1925</v>
      </c>
      <c r="O421" s="12" t="s">
        <v>93</v>
      </c>
      <c r="P421" s="12"/>
      <c r="Q421" s="12"/>
      <c r="R421" s="12" t="s">
        <v>94</v>
      </c>
      <c r="S421" s="12">
        <v>10</v>
      </c>
      <c r="T421" s="12" t="s">
        <v>991</v>
      </c>
      <c r="U421" s="12" t="s">
        <v>992</v>
      </c>
      <c r="V421" s="12">
        <f>VLOOKUP(Tabla4[[#This Row],[ZONA DEFINITIVO]],Hoja1!$A$1:$D$121,3,0)</f>
        <v>229185</v>
      </c>
      <c r="W421" s="12">
        <f>VLOOKUP(Tabla4[[#This Row],[ZONA DEFINITIVO]],Hoja1!$A$1:$D$121,2,0)</f>
        <v>16472</v>
      </c>
      <c r="X421" s="12">
        <f>VLOOKUP(Tabla4[[#This Row],[ZONA DEFINITIVO]],Hoja1!$A$1:$D$121,4,0)</f>
        <v>95525</v>
      </c>
      <c r="Y421" s="12" t="str">
        <f>+IF(Tabla4[[#This Row],[AGRUPACIONES]]=1,SUMIFS(Tabla4[UDS],Tabla4[ZONA DEFINITIVO],Tabla4[[#This Row],[ZONA DEFINITIVO]])," ")</f>
        <v xml:space="preserve"> </v>
      </c>
      <c r="Z421" s="12" t="str">
        <f>+IF(Tabla4[[#This Row],[AGRUPACIONES]]=1,SUMIFS(Tabla4[TOTAL COBERTURA],Tabla4[ZONA DEFINITIVO],Tabla4[[#This Row],[ZONA DEFINITIVO]])," ")</f>
        <v xml:space="preserve"> </v>
      </c>
      <c r="AA421" s="12"/>
      <c r="AB421" s="38">
        <v>102469071</v>
      </c>
      <c r="AC421" s="37">
        <v>0.02</v>
      </c>
      <c r="AD421" s="38">
        <f t="shared" si="7"/>
        <v>2049381.4200000002</v>
      </c>
      <c r="AE421" s="12"/>
      <c r="AF421" s="12">
        <f>COUNTIF($A$20:A421,A421)</f>
        <v>2</v>
      </c>
      <c r="AG421" s="38">
        <v>102469071</v>
      </c>
      <c r="AH421" s="38">
        <f>Tabla4[[#This Row],[VALOR CONTRAPARTIDA]]+Tabla4[[#This Row],[TOTAL APORTES ICBF]]</f>
        <v>104518452.42</v>
      </c>
      <c r="AI421" s="35"/>
      <c r="AJ421" s="38"/>
      <c r="AK421" s="38"/>
      <c r="AL421" s="23"/>
      <c r="AM421" s="35">
        <f>VLOOKUP(Tabla4[[#This Row],[SERVICIO 2025]],$J$2:$V$14,5,0)*Tabla4[[#This Row],[TOTAL COBERTURA]]</f>
        <v>2320672</v>
      </c>
      <c r="AN421" s="35">
        <f>VLOOKUP(Tabla4[[#This Row],[SERVICIO 2025]],$J$2:$V$14,6,0)*Tabla4[[#This Row],[TOTAL COBERTURA]]</f>
        <v>1928363</v>
      </c>
      <c r="AO421" s="35">
        <f>VLOOKUP(Tabla4[[#This Row],[SERVICIO 2025]],$J$2:$V$14,8,0)*Tabla4[[#This Row],[TOTAL COBERTURA]]</f>
        <v>1367700</v>
      </c>
      <c r="AP421" s="35">
        <f>VLOOKUP(Tabla4[[#This Row],[SERVICIO 2025]],$J$2:$V$14,3,0)*Tabla4[[#This Row],[TOTAL COBERTURA]]*8</f>
        <v>96852336</v>
      </c>
      <c r="AQ421" s="35"/>
      <c r="AR421" s="35">
        <f>Tabla4[[#This Row],[VALOR FASE PREPARATORIA DE ALISTAMIENTO]]+Tabla4[[#This Row],[VALOR FASE PREPARATORIA DE CIERRE]]+Tabla4[[#This Row],[DOTACIÓN ÚNICA]]+Tabla4[[#This Row],[VALOR ATENCIÓN]]+Tabla4[[#This Row],[VALOR RACION PREPARADA]]</f>
        <v>102469071</v>
      </c>
      <c r="AS421" s="35" t="str">
        <f>+IF(Tabla4[[#This Row],[AGRUPACIONES]]=1,SUMIFS(Tabla4[VALOR TOTAL],Tabla4[ZONA DEFINITIVO],Tabla4[[#This Row],[ZONA DEFINITIVO]])," ")</f>
        <v xml:space="preserve"> </v>
      </c>
      <c r="AT421" s="27">
        <f>(VLOOKUP(Tabla4[[#This Row],[SERVICIO 2025]],$J$2:$V$14,3,0)*Tabla4[[#This Row],[TOTAL COBERTURA]])+Tabla4[[#This Row],[VALOR FASE PREPARATORIA DE ALISTAMIENTO]]+Tabla4[[#This Row],[DOTACIÓN ÚNICA]]</f>
        <v>15794914</v>
      </c>
      <c r="AU421" s="35">
        <f>(VLOOKUP(Tabla4[[#This Row],[SERVICIO 2025]],$J$2:$V$14,3,0)*Tabla4[[#This Row],[TOTAL COBERTURA]])</f>
        <v>12106542</v>
      </c>
      <c r="AV421" s="35">
        <f>(VLOOKUP(Tabla4[[#This Row],[SERVICIO 2025]],$J$2:$V$14,3,0)*Tabla4[[#This Row],[TOTAL COBERTURA]])</f>
        <v>12106542</v>
      </c>
      <c r="AW421" s="35">
        <f>(VLOOKUP(Tabla4[[#This Row],[SERVICIO 2025]],$J$2:$V$14,3,0)*Tabla4[[#This Row],[TOTAL COBERTURA]])</f>
        <v>12106542</v>
      </c>
      <c r="AX421" s="35">
        <f>(VLOOKUP(Tabla4[[#This Row],[SERVICIO 2025]],$J$2:$V$14,3,0)*Tabla4[[#This Row],[TOTAL COBERTURA]])</f>
        <v>12106542</v>
      </c>
      <c r="AY421" s="35">
        <f>(VLOOKUP(Tabla4[[#This Row],[SERVICIO 2025]],$J$2:$V$14,3,0)*Tabla4[[#This Row],[TOTAL COBERTURA]])</f>
        <v>12106542</v>
      </c>
      <c r="AZ421" s="35">
        <f>(VLOOKUP(Tabla4[[#This Row],[SERVICIO 2025]],$J$2:$V$14,3,0)*Tabla4[[#This Row],[TOTAL COBERTURA]])</f>
        <v>12106542</v>
      </c>
      <c r="BA421" s="35">
        <f>(VLOOKUP(Tabla4[[#This Row],[SERVICIO 2025]],$J$2:$V$14,3,0)*Tabla4[[#This Row],[TOTAL COBERTURA]])+Tabla4[[#This Row],[VALOR FASE PREPARATORIA DE CIERRE]]</f>
        <v>14034905</v>
      </c>
      <c r="BB421" s="35">
        <f>SUM(Tabla4[[#This Row],[DESEMBOLSO 1]:[DESEMBOLSO 8]])</f>
        <v>102469071</v>
      </c>
      <c r="BC421" s="35">
        <f>VLOOKUP(Tabla4[[#This Row],[SERVICIO 2025]],$J$2:$V$14,10,0)*Tabla4[[#This Row],[TOTAL COBERTURA]]*$W$3</f>
        <v>67824008</v>
      </c>
      <c r="BD421" s="47" t="s">
        <v>211</v>
      </c>
      <c r="BE421" s="12" t="b">
        <f>EXACT(Tabla4[[#This Row],[VALOR ATENCIÓN (8 MESES)]],Tabla4[[#This Row],[VALOR TOTAL]])</f>
        <v>1</v>
      </c>
      <c r="BF421" s="23">
        <f>Tabla4[[#This Row],[VALOR ATENCIÓN (8 MESES)]]-Tabla4[[#This Row],[VALOR TOTAL]]</f>
        <v>0</v>
      </c>
      <c r="BG421" s="12" t="b">
        <f>EXACT(Tabla4[[#This Row],[TOTAL DESEMBOLSOS]],Tabla4[[#This Row],[VALOR ATENCIÓN (8 MESES)]])</f>
        <v>1</v>
      </c>
      <c r="BH421" s="29">
        <f>Tabla4[[#This Row],[TOTAL DESEMBOLSOS]]-Tabla4[[#This Row],[VALOR ATENCIÓN (8 MESES)]]</f>
        <v>0</v>
      </c>
      <c r="BI421" t="s">
        <v>392</v>
      </c>
      <c r="BJ421">
        <v>1925</v>
      </c>
    </row>
    <row r="422" spans="1:62">
      <c r="A422" s="13">
        <v>1925</v>
      </c>
      <c r="B422" s="13" t="s">
        <v>986</v>
      </c>
      <c r="C422" s="12" t="s">
        <v>87</v>
      </c>
      <c r="D422" s="12" t="s">
        <v>987</v>
      </c>
      <c r="E422" s="12" t="s">
        <v>988</v>
      </c>
      <c r="F422" s="12" t="s">
        <v>18</v>
      </c>
      <c r="G422" s="12" t="s">
        <v>90</v>
      </c>
      <c r="H422" s="12" t="s">
        <v>995</v>
      </c>
      <c r="I422" s="12">
        <v>51201148680</v>
      </c>
      <c r="J422" s="12" t="s">
        <v>996</v>
      </c>
      <c r="K422" s="12">
        <v>1</v>
      </c>
      <c r="L422" s="12">
        <v>101</v>
      </c>
      <c r="M422" s="12"/>
      <c r="N422" s="13">
        <v>1925</v>
      </c>
      <c r="O422" s="12" t="s">
        <v>93</v>
      </c>
      <c r="P422" s="12"/>
      <c r="Q422" s="12"/>
      <c r="R422" s="12" t="s">
        <v>94</v>
      </c>
      <c r="S422" s="12">
        <v>10</v>
      </c>
      <c r="T422" s="12" t="s">
        <v>991</v>
      </c>
      <c r="U422" s="12" t="s">
        <v>992</v>
      </c>
      <c r="V422" s="12">
        <f>VLOOKUP(Tabla4[[#This Row],[ZONA DEFINITIVO]],Hoja1!$A$1:$D$121,3,0)</f>
        <v>229185</v>
      </c>
      <c r="W422" s="12">
        <f>VLOOKUP(Tabla4[[#This Row],[ZONA DEFINITIVO]],Hoja1!$A$1:$D$121,2,0)</f>
        <v>16472</v>
      </c>
      <c r="X422" s="12">
        <f>VLOOKUP(Tabla4[[#This Row],[ZONA DEFINITIVO]],Hoja1!$A$1:$D$121,4,0)</f>
        <v>95525</v>
      </c>
      <c r="Y422" s="12" t="str">
        <f>+IF(Tabla4[[#This Row],[AGRUPACIONES]]=1,SUMIFS(Tabla4[UDS],Tabla4[ZONA DEFINITIVO],Tabla4[[#This Row],[ZONA DEFINITIVO]])," ")</f>
        <v xml:space="preserve"> </v>
      </c>
      <c r="Z422" s="12" t="str">
        <f>+IF(Tabla4[[#This Row],[AGRUPACIONES]]=1,SUMIFS(Tabla4[TOTAL COBERTURA],Tabla4[ZONA DEFINITIVO],Tabla4[[#This Row],[ZONA DEFINITIVO]])," ")</f>
        <v xml:space="preserve"> </v>
      </c>
      <c r="AA422" s="12"/>
      <c r="AB422" s="38">
        <v>220199493</v>
      </c>
      <c r="AC422" s="37">
        <v>0.02</v>
      </c>
      <c r="AD422" s="38">
        <f t="shared" si="7"/>
        <v>4403989.8600000003</v>
      </c>
      <c r="AE422" s="12"/>
      <c r="AF422" s="12">
        <f>COUNTIF($A$20:A422,A422)</f>
        <v>3</v>
      </c>
      <c r="AG422" s="38">
        <v>220199493</v>
      </c>
      <c r="AH422" s="38">
        <f>Tabla4[[#This Row],[VALOR CONTRAPARTIDA]]+Tabla4[[#This Row],[TOTAL APORTES ICBF]]</f>
        <v>224603482.86000001</v>
      </c>
      <c r="AI422" s="35"/>
      <c r="AJ422" s="38"/>
      <c r="AK422" s="38"/>
      <c r="AL422" s="23"/>
      <c r="AM422" s="35">
        <f>VLOOKUP(Tabla4[[#This Row],[SERVICIO 2025]],$J$2:$V$14,5,0)*Tabla4[[#This Row],[TOTAL COBERTURA]]</f>
        <v>4986976</v>
      </c>
      <c r="AN422" s="35">
        <f>VLOOKUP(Tabla4[[#This Row],[SERVICIO 2025]],$J$2:$V$14,6,0)*Tabla4[[#This Row],[TOTAL COBERTURA]]</f>
        <v>4143929</v>
      </c>
      <c r="AO422" s="35">
        <f>VLOOKUP(Tabla4[[#This Row],[SERVICIO 2025]],$J$2:$V$14,8,0)*Tabla4[[#This Row],[TOTAL COBERTURA]]</f>
        <v>2939100</v>
      </c>
      <c r="AP422" s="35">
        <f>VLOOKUP(Tabla4[[#This Row],[SERVICIO 2025]],$J$2:$V$14,3,0)*Tabla4[[#This Row],[TOTAL COBERTURA]]*8</f>
        <v>208129488</v>
      </c>
      <c r="AQ422" s="35"/>
      <c r="AR422" s="35">
        <f>Tabla4[[#This Row],[VALOR FASE PREPARATORIA DE ALISTAMIENTO]]+Tabla4[[#This Row],[VALOR FASE PREPARATORIA DE CIERRE]]+Tabla4[[#This Row],[DOTACIÓN ÚNICA]]+Tabla4[[#This Row],[VALOR ATENCIÓN]]+Tabla4[[#This Row],[VALOR RACION PREPARADA]]</f>
        <v>220199493</v>
      </c>
      <c r="AS422" s="35" t="str">
        <f>+IF(Tabla4[[#This Row],[AGRUPACIONES]]=1,SUMIFS(Tabla4[VALOR TOTAL],Tabla4[ZONA DEFINITIVO],Tabla4[[#This Row],[ZONA DEFINITIVO]])," ")</f>
        <v xml:space="preserve"> </v>
      </c>
      <c r="AT422" s="27">
        <f>(VLOOKUP(Tabla4[[#This Row],[SERVICIO 2025]],$J$2:$V$14,3,0)*Tabla4[[#This Row],[TOTAL COBERTURA]])+Tabla4[[#This Row],[VALOR FASE PREPARATORIA DE ALISTAMIENTO]]+Tabla4[[#This Row],[DOTACIÓN ÚNICA]]</f>
        <v>33942262</v>
      </c>
      <c r="AU422" s="35">
        <f>(VLOOKUP(Tabla4[[#This Row],[SERVICIO 2025]],$J$2:$V$14,3,0)*Tabla4[[#This Row],[TOTAL COBERTURA]])</f>
        <v>26016186</v>
      </c>
      <c r="AV422" s="35">
        <f>(VLOOKUP(Tabla4[[#This Row],[SERVICIO 2025]],$J$2:$V$14,3,0)*Tabla4[[#This Row],[TOTAL COBERTURA]])</f>
        <v>26016186</v>
      </c>
      <c r="AW422" s="35">
        <f>(VLOOKUP(Tabla4[[#This Row],[SERVICIO 2025]],$J$2:$V$14,3,0)*Tabla4[[#This Row],[TOTAL COBERTURA]])</f>
        <v>26016186</v>
      </c>
      <c r="AX422" s="35">
        <f>(VLOOKUP(Tabla4[[#This Row],[SERVICIO 2025]],$J$2:$V$14,3,0)*Tabla4[[#This Row],[TOTAL COBERTURA]])</f>
        <v>26016186</v>
      </c>
      <c r="AY422" s="35">
        <f>(VLOOKUP(Tabla4[[#This Row],[SERVICIO 2025]],$J$2:$V$14,3,0)*Tabla4[[#This Row],[TOTAL COBERTURA]])</f>
        <v>26016186</v>
      </c>
      <c r="AZ422" s="35">
        <f>(VLOOKUP(Tabla4[[#This Row],[SERVICIO 2025]],$J$2:$V$14,3,0)*Tabla4[[#This Row],[TOTAL COBERTURA]])</f>
        <v>26016186</v>
      </c>
      <c r="BA422" s="35">
        <f>(VLOOKUP(Tabla4[[#This Row],[SERVICIO 2025]],$J$2:$V$14,3,0)*Tabla4[[#This Row],[TOTAL COBERTURA]])+Tabla4[[#This Row],[VALOR FASE PREPARATORIA DE CIERRE]]</f>
        <v>30160115</v>
      </c>
      <c r="BB422" s="35">
        <f>SUM(Tabla4[[#This Row],[DESEMBOLSO 1]:[DESEMBOLSO 8]])</f>
        <v>220199493</v>
      </c>
      <c r="BC422" s="35">
        <f>VLOOKUP(Tabla4[[#This Row],[SERVICIO 2025]],$J$2:$V$14,10,0)*Tabla4[[#This Row],[TOTAL COBERTURA]]*$W$3</f>
        <v>145749464</v>
      </c>
      <c r="BD422" s="47" t="s">
        <v>211</v>
      </c>
      <c r="BE422" s="12" t="b">
        <f>EXACT(Tabla4[[#This Row],[VALOR ATENCIÓN (8 MESES)]],Tabla4[[#This Row],[VALOR TOTAL]])</f>
        <v>1</v>
      </c>
      <c r="BF422" s="23">
        <f>Tabla4[[#This Row],[VALOR ATENCIÓN (8 MESES)]]-Tabla4[[#This Row],[VALOR TOTAL]]</f>
        <v>0</v>
      </c>
      <c r="BG422" s="12" t="b">
        <f>EXACT(Tabla4[[#This Row],[TOTAL DESEMBOLSOS]],Tabla4[[#This Row],[VALOR ATENCIÓN (8 MESES)]])</f>
        <v>1</v>
      </c>
      <c r="BH422" s="29">
        <f>Tabla4[[#This Row],[TOTAL DESEMBOLSOS]]-Tabla4[[#This Row],[VALOR ATENCIÓN (8 MESES)]]</f>
        <v>0</v>
      </c>
      <c r="BI422" t="s">
        <v>392</v>
      </c>
      <c r="BJ422">
        <v>1925</v>
      </c>
    </row>
    <row r="423" spans="1:62">
      <c r="A423" s="13">
        <v>1925</v>
      </c>
      <c r="B423" s="13" t="s">
        <v>986</v>
      </c>
      <c r="C423" s="12" t="s">
        <v>87</v>
      </c>
      <c r="D423" s="12" t="s">
        <v>987</v>
      </c>
      <c r="E423" s="12" t="s">
        <v>988</v>
      </c>
      <c r="F423" s="12" t="s">
        <v>18</v>
      </c>
      <c r="G423" s="12" t="s">
        <v>90</v>
      </c>
      <c r="H423" s="12" t="s">
        <v>997</v>
      </c>
      <c r="I423" s="12">
        <v>51201148682</v>
      </c>
      <c r="J423" s="12" t="s">
        <v>998</v>
      </c>
      <c r="K423" s="12">
        <v>1</v>
      </c>
      <c r="L423" s="12">
        <v>34</v>
      </c>
      <c r="M423" s="12"/>
      <c r="N423" s="13">
        <v>1925</v>
      </c>
      <c r="O423" s="12" t="s">
        <v>93</v>
      </c>
      <c r="P423" s="12"/>
      <c r="Q423" s="12"/>
      <c r="R423" s="12" t="s">
        <v>94</v>
      </c>
      <c r="S423" s="12">
        <v>10</v>
      </c>
      <c r="T423" s="12" t="s">
        <v>991</v>
      </c>
      <c r="U423" s="12" t="s">
        <v>992</v>
      </c>
      <c r="V423" s="12">
        <f>VLOOKUP(Tabla4[[#This Row],[ZONA DEFINITIVO]],Hoja1!$A$1:$D$121,3,0)</f>
        <v>229185</v>
      </c>
      <c r="W423" s="12">
        <f>VLOOKUP(Tabla4[[#This Row],[ZONA DEFINITIVO]],Hoja1!$A$1:$D$121,2,0)</f>
        <v>16472</v>
      </c>
      <c r="X423" s="12">
        <f>VLOOKUP(Tabla4[[#This Row],[ZONA DEFINITIVO]],Hoja1!$A$1:$D$121,4,0)</f>
        <v>95525</v>
      </c>
      <c r="Y423" s="12" t="str">
        <f>+IF(Tabla4[[#This Row],[AGRUPACIONES]]=1,SUMIFS(Tabla4[UDS],Tabla4[ZONA DEFINITIVO],Tabla4[[#This Row],[ZONA DEFINITIVO]])," ")</f>
        <v xml:space="preserve"> </v>
      </c>
      <c r="Z423" s="12" t="str">
        <f>+IF(Tabla4[[#This Row],[AGRUPACIONES]]=1,SUMIFS(Tabla4[TOTAL COBERTURA],Tabla4[ZONA DEFINITIVO],Tabla4[[#This Row],[ZONA DEFINITIVO]])," ")</f>
        <v xml:space="preserve"> </v>
      </c>
      <c r="AA423" s="12"/>
      <c r="AB423" s="38">
        <v>74126562</v>
      </c>
      <c r="AC423" s="37">
        <v>0.02</v>
      </c>
      <c r="AD423" s="38">
        <f t="shared" si="7"/>
        <v>1482531.24</v>
      </c>
      <c r="AE423" s="12"/>
      <c r="AF423" s="12">
        <f>COUNTIF($A$20:A423,A423)</f>
        <v>4</v>
      </c>
      <c r="AG423" s="38">
        <v>74126562</v>
      </c>
      <c r="AH423" s="38">
        <f>Tabla4[[#This Row],[VALOR CONTRAPARTIDA]]+Tabla4[[#This Row],[TOTAL APORTES ICBF]]</f>
        <v>75609093.239999995</v>
      </c>
      <c r="AI423" s="35"/>
      <c r="AJ423" s="38"/>
      <c r="AK423" s="38"/>
      <c r="AL423" s="23"/>
      <c r="AM423" s="35">
        <f>VLOOKUP(Tabla4[[#This Row],[SERVICIO 2025]],$J$2:$V$14,5,0)*Tabla4[[#This Row],[TOTAL COBERTURA]]</f>
        <v>1678784</v>
      </c>
      <c r="AN423" s="35">
        <f>VLOOKUP(Tabla4[[#This Row],[SERVICIO 2025]],$J$2:$V$14,6,0)*Tabla4[[#This Row],[TOTAL COBERTURA]]</f>
        <v>1394986</v>
      </c>
      <c r="AO423" s="35">
        <f>VLOOKUP(Tabla4[[#This Row],[SERVICIO 2025]],$J$2:$V$14,8,0)*Tabla4[[#This Row],[TOTAL COBERTURA]]</f>
        <v>989400</v>
      </c>
      <c r="AP423" s="35">
        <f>VLOOKUP(Tabla4[[#This Row],[SERVICIO 2025]],$J$2:$V$14,3,0)*Tabla4[[#This Row],[TOTAL COBERTURA]]*8</f>
        <v>70063392</v>
      </c>
      <c r="AQ423" s="35"/>
      <c r="AR423" s="35">
        <f>Tabla4[[#This Row],[VALOR FASE PREPARATORIA DE ALISTAMIENTO]]+Tabla4[[#This Row],[VALOR FASE PREPARATORIA DE CIERRE]]+Tabla4[[#This Row],[DOTACIÓN ÚNICA]]+Tabla4[[#This Row],[VALOR ATENCIÓN]]+Tabla4[[#This Row],[VALOR RACION PREPARADA]]</f>
        <v>74126562</v>
      </c>
      <c r="AS423" s="35" t="str">
        <f>+IF(Tabla4[[#This Row],[AGRUPACIONES]]=1,SUMIFS(Tabla4[VALOR TOTAL],Tabla4[ZONA DEFINITIVO],Tabla4[[#This Row],[ZONA DEFINITIVO]])," ")</f>
        <v xml:space="preserve"> </v>
      </c>
      <c r="AT423" s="27">
        <f>(VLOOKUP(Tabla4[[#This Row],[SERVICIO 2025]],$J$2:$V$14,3,0)*Tabla4[[#This Row],[TOTAL COBERTURA]])+Tabla4[[#This Row],[VALOR FASE PREPARATORIA DE ALISTAMIENTO]]+Tabla4[[#This Row],[DOTACIÓN ÚNICA]]</f>
        <v>11426108</v>
      </c>
      <c r="AU423" s="35">
        <f>(VLOOKUP(Tabla4[[#This Row],[SERVICIO 2025]],$J$2:$V$14,3,0)*Tabla4[[#This Row],[TOTAL COBERTURA]])</f>
        <v>8757924</v>
      </c>
      <c r="AV423" s="35">
        <f>(VLOOKUP(Tabla4[[#This Row],[SERVICIO 2025]],$J$2:$V$14,3,0)*Tabla4[[#This Row],[TOTAL COBERTURA]])</f>
        <v>8757924</v>
      </c>
      <c r="AW423" s="35">
        <f>(VLOOKUP(Tabla4[[#This Row],[SERVICIO 2025]],$J$2:$V$14,3,0)*Tabla4[[#This Row],[TOTAL COBERTURA]])</f>
        <v>8757924</v>
      </c>
      <c r="AX423" s="35">
        <f>(VLOOKUP(Tabla4[[#This Row],[SERVICIO 2025]],$J$2:$V$14,3,0)*Tabla4[[#This Row],[TOTAL COBERTURA]])</f>
        <v>8757924</v>
      </c>
      <c r="AY423" s="35">
        <f>(VLOOKUP(Tabla4[[#This Row],[SERVICIO 2025]],$J$2:$V$14,3,0)*Tabla4[[#This Row],[TOTAL COBERTURA]])</f>
        <v>8757924</v>
      </c>
      <c r="AZ423" s="35">
        <f>(VLOOKUP(Tabla4[[#This Row],[SERVICIO 2025]],$J$2:$V$14,3,0)*Tabla4[[#This Row],[TOTAL COBERTURA]])</f>
        <v>8757924</v>
      </c>
      <c r="BA423" s="35">
        <f>(VLOOKUP(Tabla4[[#This Row],[SERVICIO 2025]],$J$2:$V$14,3,0)*Tabla4[[#This Row],[TOTAL COBERTURA]])+Tabla4[[#This Row],[VALOR FASE PREPARATORIA DE CIERRE]]</f>
        <v>10152910</v>
      </c>
      <c r="BB423" s="35">
        <f>SUM(Tabla4[[#This Row],[DESEMBOLSO 1]:[DESEMBOLSO 8]])</f>
        <v>74126562</v>
      </c>
      <c r="BC423" s="35">
        <f>VLOOKUP(Tabla4[[#This Row],[SERVICIO 2025]],$J$2:$V$14,10,0)*Tabla4[[#This Row],[TOTAL COBERTURA]]*$W$3</f>
        <v>49064176</v>
      </c>
      <c r="BD423" s="47" t="s">
        <v>211</v>
      </c>
      <c r="BE423" s="12" t="b">
        <f>EXACT(Tabla4[[#This Row],[VALOR ATENCIÓN (8 MESES)]],Tabla4[[#This Row],[VALOR TOTAL]])</f>
        <v>1</v>
      </c>
      <c r="BF423" s="23">
        <f>Tabla4[[#This Row],[VALOR ATENCIÓN (8 MESES)]]-Tabla4[[#This Row],[VALOR TOTAL]]</f>
        <v>0</v>
      </c>
      <c r="BG423" s="12" t="b">
        <f>EXACT(Tabla4[[#This Row],[TOTAL DESEMBOLSOS]],Tabla4[[#This Row],[VALOR ATENCIÓN (8 MESES)]])</f>
        <v>1</v>
      </c>
      <c r="BH423" s="29">
        <f>Tabla4[[#This Row],[TOTAL DESEMBOLSOS]]-Tabla4[[#This Row],[VALOR ATENCIÓN (8 MESES)]]</f>
        <v>0</v>
      </c>
      <c r="BI423" t="s">
        <v>392</v>
      </c>
      <c r="BJ423">
        <v>1925</v>
      </c>
    </row>
    <row r="424" spans="1:62">
      <c r="A424" s="13">
        <v>1925</v>
      </c>
      <c r="B424" s="13" t="s">
        <v>986</v>
      </c>
      <c r="C424" s="12" t="s">
        <v>87</v>
      </c>
      <c r="D424" s="12" t="s">
        <v>987</v>
      </c>
      <c r="E424" s="12" t="s">
        <v>988</v>
      </c>
      <c r="F424" s="12" t="s">
        <v>18</v>
      </c>
      <c r="G424" s="12" t="s">
        <v>90</v>
      </c>
      <c r="H424" s="12" t="s">
        <v>999</v>
      </c>
      <c r="I424" s="12">
        <v>51201148683</v>
      </c>
      <c r="J424" s="12" t="s">
        <v>1000</v>
      </c>
      <c r="K424" s="12">
        <v>1</v>
      </c>
      <c r="L424" s="12">
        <v>17</v>
      </c>
      <c r="M424" s="12"/>
      <c r="N424" s="13">
        <v>1925</v>
      </c>
      <c r="O424" s="12" t="s">
        <v>93</v>
      </c>
      <c r="P424" s="12"/>
      <c r="Q424" s="12"/>
      <c r="R424" s="12" t="s">
        <v>94</v>
      </c>
      <c r="S424" s="12">
        <v>10</v>
      </c>
      <c r="T424" s="12" t="s">
        <v>991</v>
      </c>
      <c r="U424" s="12" t="s">
        <v>992</v>
      </c>
      <c r="V424" s="12">
        <f>VLOOKUP(Tabla4[[#This Row],[ZONA DEFINITIVO]],Hoja1!$A$1:$D$121,3,0)</f>
        <v>229185</v>
      </c>
      <c r="W424" s="12">
        <f>VLOOKUP(Tabla4[[#This Row],[ZONA DEFINITIVO]],Hoja1!$A$1:$D$121,2,0)</f>
        <v>16472</v>
      </c>
      <c r="X424" s="12">
        <f>VLOOKUP(Tabla4[[#This Row],[ZONA DEFINITIVO]],Hoja1!$A$1:$D$121,4,0)</f>
        <v>95525</v>
      </c>
      <c r="Y424" s="12" t="str">
        <f>+IF(Tabla4[[#This Row],[AGRUPACIONES]]=1,SUMIFS(Tabla4[UDS],Tabla4[ZONA DEFINITIVO],Tabla4[[#This Row],[ZONA DEFINITIVO]])," ")</f>
        <v xml:space="preserve"> </v>
      </c>
      <c r="Z424" s="12" t="str">
        <f>+IF(Tabla4[[#This Row],[AGRUPACIONES]]=1,SUMIFS(Tabla4[TOTAL COBERTURA],Tabla4[ZONA DEFINITIVO],Tabla4[[#This Row],[ZONA DEFINITIVO]])," ")</f>
        <v xml:space="preserve"> </v>
      </c>
      <c r="AA424" s="12"/>
      <c r="AB424" s="38">
        <v>37063281</v>
      </c>
      <c r="AC424" s="37">
        <v>0.02</v>
      </c>
      <c r="AD424" s="38">
        <f t="shared" si="7"/>
        <v>741265.62</v>
      </c>
      <c r="AE424" s="12"/>
      <c r="AF424" s="12">
        <f>COUNTIF($A$20:A424,A424)</f>
        <v>5</v>
      </c>
      <c r="AG424" s="38">
        <v>37063281</v>
      </c>
      <c r="AH424" s="38">
        <f>Tabla4[[#This Row],[VALOR CONTRAPARTIDA]]+Tabla4[[#This Row],[TOTAL APORTES ICBF]]</f>
        <v>37804546.619999997</v>
      </c>
      <c r="AI424" s="35"/>
      <c r="AJ424" s="38"/>
      <c r="AK424" s="38"/>
      <c r="AL424" s="23"/>
      <c r="AM424" s="35">
        <f>VLOOKUP(Tabla4[[#This Row],[SERVICIO 2025]],$J$2:$V$14,5,0)*Tabla4[[#This Row],[TOTAL COBERTURA]]</f>
        <v>839392</v>
      </c>
      <c r="AN424" s="35">
        <f>VLOOKUP(Tabla4[[#This Row],[SERVICIO 2025]],$J$2:$V$14,6,0)*Tabla4[[#This Row],[TOTAL COBERTURA]]</f>
        <v>697493</v>
      </c>
      <c r="AO424" s="35">
        <f>VLOOKUP(Tabla4[[#This Row],[SERVICIO 2025]],$J$2:$V$14,8,0)*Tabla4[[#This Row],[TOTAL COBERTURA]]</f>
        <v>494700</v>
      </c>
      <c r="AP424" s="35">
        <f>VLOOKUP(Tabla4[[#This Row],[SERVICIO 2025]],$J$2:$V$14,3,0)*Tabla4[[#This Row],[TOTAL COBERTURA]]*8</f>
        <v>35031696</v>
      </c>
      <c r="AQ424" s="35"/>
      <c r="AR424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424" s="35" t="str">
        <f>+IF(Tabla4[[#This Row],[AGRUPACIONES]]=1,SUMIFS(Tabla4[VALOR TOTAL],Tabla4[ZONA DEFINITIVO],Tabla4[[#This Row],[ZONA DEFINITIVO]])," ")</f>
        <v xml:space="preserve"> </v>
      </c>
      <c r="AT424" s="27">
        <f>(VLOOKUP(Tabla4[[#This Row],[SERVICIO 2025]],$J$2:$V$14,3,0)*Tabla4[[#This Row],[TOTAL COBERTURA]])+Tabla4[[#This Row],[VALOR FASE PREPARATORIA DE ALISTAMIENTO]]+Tabla4[[#This Row],[DOTACIÓN ÚNICA]]</f>
        <v>5713054</v>
      </c>
      <c r="AU424" s="35">
        <f>(VLOOKUP(Tabla4[[#This Row],[SERVICIO 2025]],$J$2:$V$14,3,0)*Tabla4[[#This Row],[TOTAL COBERTURA]])</f>
        <v>4378962</v>
      </c>
      <c r="AV424" s="35">
        <f>(VLOOKUP(Tabla4[[#This Row],[SERVICIO 2025]],$J$2:$V$14,3,0)*Tabla4[[#This Row],[TOTAL COBERTURA]])</f>
        <v>4378962</v>
      </c>
      <c r="AW424" s="35">
        <f>(VLOOKUP(Tabla4[[#This Row],[SERVICIO 2025]],$J$2:$V$14,3,0)*Tabla4[[#This Row],[TOTAL COBERTURA]])</f>
        <v>4378962</v>
      </c>
      <c r="AX424" s="35">
        <f>(VLOOKUP(Tabla4[[#This Row],[SERVICIO 2025]],$J$2:$V$14,3,0)*Tabla4[[#This Row],[TOTAL COBERTURA]])</f>
        <v>4378962</v>
      </c>
      <c r="AY424" s="35">
        <f>(VLOOKUP(Tabla4[[#This Row],[SERVICIO 2025]],$J$2:$V$14,3,0)*Tabla4[[#This Row],[TOTAL COBERTURA]])</f>
        <v>4378962</v>
      </c>
      <c r="AZ424" s="35">
        <f>(VLOOKUP(Tabla4[[#This Row],[SERVICIO 2025]],$J$2:$V$14,3,0)*Tabla4[[#This Row],[TOTAL COBERTURA]])</f>
        <v>4378962</v>
      </c>
      <c r="BA424" s="35">
        <f>(VLOOKUP(Tabla4[[#This Row],[SERVICIO 2025]],$J$2:$V$14,3,0)*Tabla4[[#This Row],[TOTAL COBERTURA]])+Tabla4[[#This Row],[VALOR FASE PREPARATORIA DE CIERRE]]</f>
        <v>5076455</v>
      </c>
      <c r="BB424" s="35">
        <f>SUM(Tabla4[[#This Row],[DESEMBOLSO 1]:[DESEMBOLSO 8]])</f>
        <v>37063281</v>
      </c>
      <c r="BC424" s="35">
        <f>VLOOKUP(Tabla4[[#This Row],[SERVICIO 2025]],$J$2:$V$14,10,0)*Tabla4[[#This Row],[TOTAL COBERTURA]]*$W$3</f>
        <v>24532088</v>
      </c>
      <c r="BD424" s="47" t="s">
        <v>211</v>
      </c>
      <c r="BE424" s="12" t="b">
        <f>EXACT(Tabla4[[#This Row],[VALOR ATENCIÓN (8 MESES)]],Tabla4[[#This Row],[VALOR TOTAL]])</f>
        <v>1</v>
      </c>
      <c r="BF424" s="23">
        <f>Tabla4[[#This Row],[VALOR ATENCIÓN (8 MESES)]]-Tabla4[[#This Row],[VALOR TOTAL]]</f>
        <v>0</v>
      </c>
      <c r="BG424" s="12" t="b">
        <f>EXACT(Tabla4[[#This Row],[TOTAL DESEMBOLSOS]],Tabla4[[#This Row],[VALOR ATENCIÓN (8 MESES)]])</f>
        <v>1</v>
      </c>
      <c r="BH424" s="29">
        <f>Tabla4[[#This Row],[TOTAL DESEMBOLSOS]]-Tabla4[[#This Row],[VALOR ATENCIÓN (8 MESES)]]</f>
        <v>0</v>
      </c>
      <c r="BI424" t="s">
        <v>392</v>
      </c>
      <c r="BJ424">
        <v>1925</v>
      </c>
    </row>
    <row r="425" spans="1:62">
      <c r="A425" s="13">
        <v>1925</v>
      </c>
      <c r="B425" s="13" t="s">
        <v>986</v>
      </c>
      <c r="C425" s="12" t="s">
        <v>87</v>
      </c>
      <c r="D425" s="12" t="s">
        <v>987</v>
      </c>
      <c r="E425" s="12" t="s">
        <v>988</v>
      </c>
      <c r="F425" s="12" t="s">
        <v>18</v>
      </c>
      <c r="G425" s="12" t="s">
        <v>90</v>
      </c>
      <c r="H425" s="12" t="s">
        <v>1001</v>
      </c>
      <c r="I425" s="12">
        <v>51201151106</v>
      </c>
      <c r="J425" s="12" t="s">
        <v>1002</v>
      </c>
      <c r="K425" s="12">
        <v>1</v>
      </c>
      <c r="L425" s="12">
        <v>51</v>
      </c>
      <c r="M425" s="12"/>
      <c r="N425" s="13">
        <v>1925</v>
      </c>
      <c r="O425" s="12" t="s">
        <v>93</v>
      </c>
      <c r="P425" s="12"/>
      <c r="Q425" s="12"/>
      <c r="R425" s="12" t="s">
        <v>94</v>
      </c>
      <c r="S425" s="12">
        <v>10</v>
      </c>
      <c r="T425" s="12" t="s">
        <v>991</v>
      </c>
      <c r="U425" s="12" t="s">
        <v>992</v>
      </c>
      <c r="V425" s="12">
        <f>VLOOKUP(Tabla4[[#This Row],[ZONA DEFINITIVO]],Hoja1!$A$1:$D$121,3,0)</f>
        <v>229185</v>
      </c>
      <c r="W425" s="12">
        <f>VLOOKUP(Tabla4[[#This Row],[ZONA DEFINITIVO]],Hoja1!$A$1:$D$121,2,0)</f>
        <v>16472</v>
      </c>
      <c r="X425" s="12">
        <f>VLOOKUP(Tabla4[[#This Row],[ZONA DEFINITIVO]],Hoja1!$A$1:$D$121,4,0)</f>
        <v>95525</v>
      </c>
      <c r="Y425" s="12" t="str">
        <f>+IF(Tabla4[[#This Row],[AGRUPACIONES]]=1,SUMIFS(Tabla4[UDS],Tabla4[ZONA DEFINITIVO],Tabla4[[#This Row],[ZONA DEFINITIVO]])," ")</f>
        <v xml:space="preserve"> </v>
      </c>
      <c r="Z425" s="12" t="str">
        <f>+IF(Tabla4[[#This Row],[AGRUPACIONES]]=1,SUMIFS(Tabla4[TOTAL COBERTURA],Tabla4[ZONA DEFINITIVO],Tabla4[[#This Row],[ZONA DEFINITIVO]])," ")</f>
        <v xml:space="preserve"> </v>
      </c>
      <c r="AA425" s="12"/>
      <c r="AB425" s="38">
        <v>111189843</v>
      </c>
      <c r="AC425" s="37">
        <v>0.02</v>
      </c>
      <c r="AD425" s="38">
        <f t="shared" si="7"/>
        <v>2223796.86</v>
      </c>
      <c r="AE425" s="12"/>
      <c r="AF425" s="12">
        <f>COUNTIF($A$20:A425,A425)</f>
        <v>6</v>
      </c>
      <c r="AG425" s="38">
        <v>111189843</v>
      </c>
      <c r="AH425" s="38">
        <f>Tabla4[[#This Row],[VALOR CONTRAPARTIDA]]+Tabla4[[#This Row],[TOTAL APORTES ICBF]]</f>
        <v>113413639.86</v>
      </c>
      <c r="AI425" s="35"/>
      <c r="AJ425" s="38"/>
      <c r="AK425" s="38"/>
      <c r="AL425" s="23"/>
      <c r="AM425" s="35">
        <f>VLOOKUP(Tabla4[[#This Row],[SERVICIO 2025]],$J$2:$V$14,5,0)*Tabla4[[#This Row],[TOTAL COBERTURA]]</f>
        <v>2518176</v>
      </c>
      <c r="AN425" s="35">
        <f>VLOOKUP(Tabla4[[#This Row],[SERVICIO 2025]],$J$2:$V$14,6,0)*Tabla4[[#This Row],[TOTAL COBERTURA]]</f>
        <v>2092479</v>
      </c>
      <c r="AO425" s="35">
        <f>VLOOKUP(Tabla4[[#This Row],[SERVICIO 2025]],$J$2:$V$14,8,0)*Tabla4[[#This Row],[TOTAL COBERTURA]]</f>
        <v>1484100</v>
      </c>
      <c r="AP425" s="35">
        <f>VLOOKUP(Tabla4[[#This Row],[SERVICIO 2025]],$J$2:$V$14,3,0)*Tabla4[[#This Row],[TOTAL COBERTURA]]*8</f>
        <v>105095088</v>
      </c>
      <c r="AQ425" s="35"/>
      <c r="AR425" s="35">
        <f>Tabla4[[#This Row],[VALOR FASE PREPARATORIA DE ALISTAMIENTO]]+Tabla4[[#This Row],[VALOR FASE PREPARATORIA DE CIERRE]]+Tabla4[[#This Row],[DOTACIÓN ÚNICA]]+Tabla4[[#This Row],[VALOR ATENCIÓN]]+Tabla4[[#This Row],[VALOR RACION PREPARADA]]</f>
        <v>111189843</v>
      </c>
      <c r="AS425" s="35" t="str">
        <f>+IF(Tabla4[[#This Row],[AGRUPACIONES]]=1,SUMIFS(Tabla4[VALOR TOTAL],Tabla4[ZONA DEFINITIVO],Tabla4[[#This Row],[ZONA DEFINITIVO]])," ")</f>
        <v xml:space="preserve"> </v>
      </c>
      <c r="AT425" s="27">
        <f>(VLOOKUP(Tabla4[[#This Row],[SERVICIO 2025]],$J$2:$V$14,3,0)*Tabla4[[#This Row],[TOTAL COBERTURA]])+Tabla4[[#This Row],[VALOR FASE PREPARATORIA DE ALISTAMIENTO]]+Tabla4[[#This Row],[DOTACIÓN ÚNICA]]</f>
        <v>17139162</v>
      </c>
      <c r="AU425" s="35">
        <f>(VLOOKUP(Tabla4[[#This Row],[SERVICIO 2025]],$J$2:$V$14,3,0)*Tabla4[[#This Row],[TOTAL COBERTURA]])</f>
        <v>13136886</v>
      </c>
      <c r="AV425" s="35">
        <f>(VLOOKUP(Tabla4[[#This Row],[SERVICIO 2025]],$J$2:$V$14,3,0)*Tabla4[[#This Row],[TOTAL COBERTURA]])</f>
        <v>13136886</v>
      </c>
      <c r="AW425" s="35">
        <f>(VLOOKUP(Tabla4[[#This Row],[SERVICIO 2025]],$J$2:$V$14,3,0)*Tabla4[[#This Row],[TOTAL COBERTURA]])</f>
        <v>13136886</v>
      </c>
      <c r="AX425" s="35">
        <f>(VLOOKUP(Tabla4[[#This Row],[SERVICIO 2025]],$J$2:$V$14,3,0)*Tabla4[[#This Row],[TOTAL COBERTURA]])</f>
        <v>13136886</v>
      </c>
      <c r="AY425" s="35">
        <f>(VLOOKUP(Tabla4[[#This Row],[SERVICIO 2025]],$J$2:$V$14,3,0)*Tabla4[[#This Row],[TOTAL COBERTURA]])</f>
        <v>13136886</v>
      </c>
      <c r="AZ425" s="35">
        <f>(VLOOKUP(Tabla4[[#This Row],[SERVICIO 2025]],$J$2:$V$14,3,0)*Tabla4[[#This Row],[TOTAL COBERTURA]])</f>
        <v>13136886</v>
      </c>
      <c r="BA425" s="35">
        <f>(VLOOKUP(Tabla4[[#This Row],[SERVICIO 2025]],$J$2:$V$14,3,0)*Tabla4[[#This Row],[TOTAL COBERTURA]])+Tabla4[[#This Row],[VALOR FASE PREPARATORIA DE CIERRE]]</f>
        <v>15229365</v>
      </c>
      <c r="BB425" s="35">
        <f>SUM(Tabla4[[#This Row],[DESEMBOLSO 1]:[DESEMBOLSO 8]])</f>
        <v>111189843</v>
      </c>
      <c r="BC425" s="35">
        <f>VLOOKUP(Tabla4[[#This Row],[SERVICIO 2025]],$J$2:$V$14,10,0)*Tabla4[[#This Row],[TOTAL COBERTURA]]*$W$3</f>
        <v>73596264</v>
      </c>
      <c r="BD425" s="47" t="s">
        <v>211</v>
      </c>
      <c r="BE425" s="12" t="b">
        <f>EXACT(Tabla4[[#This Row],[VALOR ATENCIÓN (8 MESES)]],Tabla4[[#This Row],[VALOR TOTAL]])</f>
        <v>1</v>
      </c>
      <c r="BF425" s="23">
        <f>Tabla4[[#This Row],[VALOR ATENCIÓN (8 MESES)]]-Tabla4[[#This Row],[VALOR TOTAL]]</f>
        <v>0</v>
      </c>
      <c r="BG425" s="12" t="b">
        <f>EXACT(Tabla4[[#This Row],[TOTAL DESEMBOLSOS]],Tabla4[[#This Row],[VALOR ATENCIÓN (8 MESES)]])</f>
        <v>1</v>
      </c>
      <c r="BH425" s="29">
        <f>Tabla4[[#This Row],[TOTAL DESEMBOLSOS]]-Tabla4[[#This Row],[VALOR ATENCIÓN (8 MESES)]]</f>
        <v>0</v>
      </c>
      <c r="BI425" t="s">
        <v>392</v>
      </c>
      <c r="BJ425">
        <v>1925</v>
      </c>
    </row>
    <row r="426" spans="1:62">
      <c r="A426" s="13">
        <v>1925</v>
      </c>
      <c r="B426" s="13" t="s">
        <v>986</v>
      </c>
      <c r="C426" s="12" t="s">
        <v>87</v>
      </c>
      <c r="D426" s="12" t="s">
        <v>987</v>
      </c>
      <c r="E426" s="12" t="s">
        <v>988</v>
      </c>
      <c r="F426" s="12" t="s">
        <v>19</v>
      </c>
      <c r="G426" s="12" t="s">
        <v>90</v>
      </c>
      <c r="H426" s="12" t="s">
        <v>1003</v>
      </c>
      <c r="I426" s="12">
        <v>51201151108</v>
      </c>
      <c r="J426" s="12" t="s">
        <v>1004</v>
      </c>
      <c r="K426" s="12">
        <v>1</v>
      </c>
      <c r="L426" s="12">
        <v>33</v>
      </c>
      <c r="M426" s="12"/>
      <c r="N426" s="13">
        <v>1925</v>
      </c>
      <c r="O426" s="12" t="s">
        <v>93</v>
      </c>
      <c r="P426" s="12"/>
      <c r="Q426" s="12"/>
      <c r="R426" s="12" t="s">
        <v>94</v>
      </c>
      <c r="S426" s="12">
        <v>10</v>
      </c>
      <c r="T426" s="12" t="s">
        <v>991</v>
      </c>
      <c r="U426" s="12" t="s">
        <v>992</v>
      </c>
      <c r="V426" s="12">
        <f>VLOOKUP(Tabla4[[#This Row],[ZONA DEFINITIVO]],Hoja1!$A$1:$D$121,3,0)</f>
        <v>229185</v>
      </c>
      <c r="W426" s="12">
        <f>VLOOKUP(Tabla4[[#This Row],[ZONA DEFINITIVO]],Hoja1!$A$1:$D$121,2,0)</f>
        <v>16472</v>
      </c>
      <c r="X426" s="12">
        <f>VLOOKUP(Tabla4[[#This Row],[ZONA DEFINITIVO]],Hoja1!$A$1:$D$121,4,0)</f>
        <v>95525</v>
      </c>
      <c r="Y426" s="12" t="str">
        <f>+IF(Tabla4[[#This Row],[AGRUPACIONES]]=1,SUMIFS(Tabla4[UDS],Tabla4[ZONA DEFINITIVO],Tabla4[[#This Row],[ZONA DEFINITIVO]])," ")</f>
        <v xml:space="preserve"> </v>
      </c>
      <c r="Z426" s="12" t="str">
        <f>+IF(Tabla4[[#This Row],[AGRUPACIONES]]=1,SUMIFS(Tabla4[TOTAL COBERTURA],Tabla4[ZONA DEFINITIVO],Tabla4[[#This Row],[ZONA DEFINITIVO]])," ")</f>
        <v xml:space="preserve"> </v>
      </c>
      <c r="AA426" s="12"/>
      <c r="AB426" s="38">
        <v>74287983</v>
      </c>
      <c r="AC426" s="37">
        <v>0.02</v>
      </c>
      <c r="AD426" s="38">
        <f t="shared" si="7"/>
        <v>1485759.66</v>
      </c>
      <c r="AE426" s="12"/>
      <c r="AF426" s="12">
        <f>COUNTIF($A$20:A426,A426)</f>
        <v>7</v>
      </c>
      <c r="AG426" s="38">
        <v>74287983</v>
      </c>
      <c r="AH426" s="38">
        <f>Tabla4[[#This Row],[VALOR CONTRAPARTIDA]]+Tabla4[[#This Row],[TOTAL APORTES ICBF]]</f>
        <v>75773742.659999996</v>
      </c>
      <c r="AI426" s="35"/>
      <c r="AJ426" s="38"/>
      <c r="AK426" s="38"/>
      <c r="AL426" s="23"/>
      <c r="AM426" s="35">
        <f>VLOOKUP(Tabla4[[#This Row],[SERVICIO 2025]],$J$2:$V$14,5,0)*Tabla4[[#This Row],[TOTAL COBERTURA]]</f>
        <v>1698279</v>
      </c>
      <c r="AN426" s="35">
        <f>VLOOKUP(Tabla4[[#This Row],[SERVICIO 2025]],$J$2:$V$14,6,0)*Tabla4[[#This Row],[TOTAL COBERTURA]]</f>
        <v>1422828</v>
      </c>
      <c r="AO426" s="35">
        <f>VLOOKUP(Tabla4[[#This Row],[SERVICIO 2025]],$J$2:$V$14,8,0)*Tabla4[[#This Row],[TOTAL COBERTURA]]</f>
        <v>960300</v>
      </c>
      <c r="AP426" s="35">
        <f>VLOOKUP(Tabla4[[#This Row],[SERVICIO 2025]],$J$2:$V$14,3,0)*Tabla4[[#This Row],[TOTAL COBERTURA]]*8</f>
        <v>70206576</v>
      </c>
      <c r="AQ426" s="35"/>
      <c r="AR426" s="35">
        <f>Tabla4[[#This Row],[VALOR FASE PREPARATORIA DE ALISTAMIENTO]]+Tabla4[[#This Row],[VALOR FASE PREPARATORIA DE CIERRE]]+Tabla4[[#This Row],[DOTACIÓN ÚNICA]]+Tabla4[[#This Row],[VALOR ATENCIÓN]]+Tabla4[[#This Row],[VALOR RACION PREPARADA]]</f>
        <v>74287983</v>
      </c>
      <c r="AS426" s="35" t="str">
        <f>+IF(Tabla4[[#This Row],[AGRUPACIONES]]=1,SUMIFS(Tabla4[VALOR TOTAL],Tabla4[ZONA DEFINITIVO],Tabla4[[#This Row],[ZONA DEFINITIVO]])," ")</f>
        <v xml:space="preserve"> </v>
      </c>
      <c r="AT426" s="27">
        <f>(VLOOKUP(Tabla4[[#This Row],[SERVICIO 2025]],$J$2:$V$14,3,0)*Tabla4[[#This Row],[TOTAL COBERTURA]])+Tabla4[[#This Row],[VALOR FASE PREPARATORIA DE ALISTAMIENTO]]+Tabla4[[#This Row],[DOTACIÓN ÚNICA]]</f>
        <v>11434401</v>
      </c>
      <c r="AU426" s="35">
        <f>(VLOOKUP(Tabla4[[#This Row],[SERVICIO 2025]],$J$2:$V$14,3,0)*Tabla4[[#This Row],[TOTAL COBERTURA]])</f>
        <v>8775822</v>
      </c>
      <c r="AV426" s="35">
        <f>(VLOOKUP(Tabla4[[#This Row],[SERVICIO 2025]],$J$2:$V$14,3,0)*Tabla4[[#This Row],[TOTAL COBERTURA]])</f>
        <v>8775822</v>
      </c>
      <c r="AW426" s="35">
        <f>(VLOOKUP(Tabla4[[#This Row],[SERVICIO 2025]],$J$2:$V$14,3,0)*Tabla4[[#This Row],[TOTAL COBERTURA]])</f>
        <v>8775822</v>
      </c>
      <c r="AX426" s="35">
        <f>(VLOOKUP(Tabla4[[#This Row],[SERVICIO 2025]],$J$2:$V$14,3,0)*Tabla4[[#This Row],[TOTAL COBERTURA]])</f>
        <v>8775822</v>
      </c>
      <c r="AY426" s="35">
        <f>(VLOOKUP(Tabla4[[#This Row],[SERVICIO 2025]],$J$2:$V$14,3,0)*Tabla4[[#This Row],[TOTAL COBERTURA]])</f>
        <v>8775822</v>
      </c>
      <c r="AZ426" s="35">
        <f>(VLOOKUP(Tabla4[[#This Row],[SERVICIO 2025]],$J$2:$V$14,3,0)*Tabla4[[#This Row],[TOTAL COBERTURA]])</f>
        <v>8775822</v>
      </c>
      <c r="BA426" s="35">
        <f>(VLOOKUP(Tabla4[[#This Row],[SERVICIO 2025]],$J$2:$V$14,3,0)*Tabla4[[#This Row],[TOTAL COBERTURA]])+Tabla4[[#This Row],[VALOR FASE PREPARATORIA DE CIERRE]]</f>
        <v>10198650</v>
      </c>
      <c r="BB426" s="35">
        <f>SUM(Tabla4[[#This Row],[DESEMBOLSO 1]:[DESEMBOLSO 8]])</f>
        <v>74287983</v>
      </c>
      <c r="BC426" s="35">
        <f>VLOOKUP(Tabla4[[#This Row],[SERVICIO 2025]],$J$2:$V$14,10,0)*Tabla4[[#This Row],[TOTAL COBERTURA]]*$W$3</f>
        <v>47621112</v>
      </c>
      <c r="BD426" s="47" t="s">
        <v>211</v>
      </c>
      <c r="BE426" s="12" t="b">
        <f>EXACT(Tabla4[[#This Row],[VALOR ATENCIÓN (8 MESES)]],Tabla4[[#This Row],[VALOR TOTAL]])</f>
        <v>1</v>
      </c>
      <c r="BF426" s="23">
        <f>Tabla4[[#This Row],[VALOR ATENCIÓN (8 MESES)]]-Tabla4[[#This Row],[VALOR TOTAL]]</f>
        <v>0</v>
      </c>
      <c r="BG426" s="12" t="b">
        <f>EXACT(Tabla4[[#This Row],[TOTAL DESEMBOLSOS]],Tabla4[[#This Row],[VALOR ATENCIÓN (8 MESES)]])</f>
        <v>1</v>
      </c>
      <c r="BH426" s="29">
        <f>Tabla4[[#This Row],[TOTAL DESEMBOLSOS]]-Tabla4[[#This Row],[VALOR ATENCIÓN (8 MESES)]]</f>
        <v>0</v>
      </c>
      <c r="BI426" t="s">
        <v>392</v>
      </c>
      <c r="BJ426">
        <v>1925</v>
      </c>
    </row>
    <row r="427" spans="1:62">
      <c r="A427" s="13">
        <v>1925</v>
      </c>
      <c r="B427" s="13" t="s">
        <v>986</v>
      </c>
      <c r="C427" s="12" t="s">
        <v>87</v>
      </c>
      <c r="D427" s="12" t="s">
        <v>987</v>
      </c>
      <c r="E427" s="12" t="s">
        <v>988</v>
      </c>
      <c r="F427" s="12" t="s">
        <v>15</v>
      </c>
      <c r="G427" s="12" t="s">
        <v>90</v>
      </c>
      <c r="H427" s="12" t="s">
        <v>1005</v>
      </c>
      <c r="I427" s="12">
        <v>512000105664</v>
      </c>
      <c r="J427" s="12" t="s">
        <v>1006</v>
      </c>
      <c r="K427" s="12">
        <v>1</v>
      </c>
      <c r="L427" s="12">
        <v>143</v>
      </c>
      <c r="M427" s="12"/>
      <c r="N427" s="13">
        <v>1925</v>
      </c>
      <c r="O427" s="12" t="s">
        <v>93</v>
      </c>
      <c r="P427" s="12"/>
      <c r="Q427" s="12"/>
      <c r="R427" s="12" t="s">
        <v>94</v>
      </c>
      <c r="S427" s="12">
        <v>10</v>
      </c>
      <c r="T427" s="12" t="s">
        <v>991</v>
      </c>
      <c r="U427" s="12" t="s">
        <v>992</v>
      </c>
      <c r="V427" s="12">
        <f>VLOOKUP(Tabla4[[#This Row],[ZONA DEFINITIVO]],Hoja1!$A$1:$D$121,3,0)</f>
        <v>229185</v>
      </c>
      <c r="W427" s="12">
        <f>VLOOKUP(Tabla4[[#This Row],[ZONA DEFINITIVO]],Hoja1!$A$1:$D$121,2,0)</f>
        <v>16472</v>
      </c>
      <c r="X427" s="12">
        <f>VLOOKUP(Tabla4[[#This Row],[ZONA DEFINITIVO]],Hoja1!$A$1:$D$121,4,0)</f>
        <v>95525</v>
      </c>
      <c r="Y427" s="12" t="str">
        <f>+IF(Tabla4[[#This Row],[AGRUPACIONES]]=1,SUMIFS(Tabla4[UDS],Tabla4[ZONA DEFINITIVO],Tabla4[[#This Row],[ZONA DEFINITIVO]])," ")</f>
        <v xml:space="preserve"> </v>
      </c>
      <c r="Z427" s="12" t="str">
        <f>+IF(Tabla4[[#This Row],[AGRUPACIONES]]=1,SUMIFS(Tabla4[TOTAL COBERTURA],Tabla4[ZONA DEFINITIVO],Tabla4[[#This Row],[ZONA DEFINITIVO]])," ")</f>
        <v xml:space="preserve"> </v>
      </c>
      <c r="AA427" s="12"/>
      <c r="AB427" s="38">
        <v>619104486</v>
      </c>
      <c r="AC427" s="37">
        <v>0.02</v>
      </c>
      <c r="AD427" s="38">
        <f t="shared" si="7"/>
        <v>12382089.720000001</v>
      </c>
      <c r="AE427" s="12"/>
      <c r="AF427" s="12">
        <f>COUNTIF($A$20:A427,A427)</f>
        <v>8</v>
      </c>
      <c r="AG427" s="38">
        <v>619104486</v>
      </c>
      <c r="AH427" s="38">
        <f>Tabla4[[#This Row],[VALOR CONTRAPARTIDA]]+Tabla4[[#This Row],[TOTAL APORTES ICBF]]</f>
        <v>631486575.72000003</v>
      </c>
      <c r="AI427" s="35"/>
      <c r="AJ427" s="38"/>
      <c r="AK427" s="38"/>
      <c r="AL427" s="23"/>
      <c r="AM427" s="35">
        <f>VLOOKUP(Tabla4[[#This Row],[SERVICIO 2025]],$J$2:$V$14,5,0)*Tabla4[[#This Row],[TOTAL COBERTURA]]</f>
        <v>12604449</v>
      </c>
      <c r="AN427" s="35">
        <f>VLOOKUP(Tabla4[[#This Row],[SERVICIO 2025]],$J$2:$V$14,6,0)*Tabla4[[#This Row],[TOTAL COBERTURA]]</f>
        <v>10731149</v>
      </c>
      <c r="AO427" s="35">
        <f>VLOOKUP(Tabla4[[#This Row],[SERVICIO 2025]],$J$2:$V$14,8,0)*Tabla4[[#This Row],[TOTAL COBERTURA]]</f>
        <v>0</v>
      </c>
      <c r="AP427" s="35">
        <f>VLOOKUP(Tabla4[[#This Row],[SERVICIO 2025]],$J$2:$V$14,3,0)*Tabla4[[#This Row],[TOTAL COBERTURA]]*8</f>
        <v>595768888</v>
      </c>
      <c r="AQ427" s="35"/>
      <c r="AR427" s="35">
        <f>Tabla4[[#This Row],[VALOR FASE PREPARATORIA DE ALISTAMIENTO]]+Tabla4[[#This Row],[VALOR FASE PREPARATORIA DE CIERRE]]+Tabla4[[#This Row],[DOTACIÓN ÚNICA]]+Tabla4[[#This Row],[VALOR ATENCIÓN]]+Tabla4[[#This Row],[VALOR RACION PREPARADA]]</f>
        <v>619104486</v>
      </c>
      <c r="AS427" s="35" t="str">
        <f>+IF(Tabla4[[#This Row],[AGRUPACIONES]]=1,SUMIFS(Tabla4[VALOR TOTAL],Tabla4[ZONA DEFINITIVO],Tabla4[[#This Row],[ZONA DEFINITIVO]])," ")</f>
        <v xml:space="preserve"> </v>
      </c>
      <c r="AT427" s="27">
        <f>(VLOOKUP(Tabla4[[#This Row],[SERVICIO 2025]],$J$2:$V$14,3,0)*Tabla4[[#This Row],[TOTAL COBERTURA]])+Tabla4[[#This Row],[VALOR FASE PREPARATORIA DE ALISTAMIENTO]]+Tabla4[[#This Row],[DOTACIÓN ÚNICA]]</f>
        <v>87075560</v>
      </c>
      <c r="AU427" s="35">
        <f>(VLOOKUP(Tabla4[[#This Row],[SERVICIO 2025]],$J$2:$V$14,3,0)*Tabla4[[#This Row],[TOTAL COBERTURA]])</f>
        <v>74471111</v>
      </c>
      <c r="AV427" s="35">
        <f>(VLOOKUP(Tabla4[[#This Row],[SERVICIO 2025]],$J$2:$V$14,3,0)*Tabla4[[#This Row],[TOTAL COBERTURA]])</f>
        <v>74471111</v>
      </c>
      <c r="AW427" s="35">
        <f>(VLOOKUP(Tabla4[[#This Row],[SERVICIO 2025]],$J$2:$V$14,3,0)*Tabla4[[#This Row],[TOTAL COBERTURA]])</f>
        <v>74471111</v>
      </c>
      <c r="AX427" s="35">
        <f>(VLOOKUP(Tabla4[[#This Row],[SERVICIO 2025]],$J$2:$V$14,3,0)*Tabla4[[#This Row],[TOTAL COBERTURA]])</f>
        <v>74471111</v>
      </c>
      <c r="AY427" s="35">
        <f>(VLOOKUP(Tabla4[[#This Row],[SERVICIO 2025]],$J$2:$V$14,3,0)*Tabla4[[#This Row],[TOTAL COBERTURA]])</f>
        <v>74471111</v>
      </c>
      <c r="AZ427" s="35">
        <f>(VLOOKUP(Tabla4[[#This Row],[SERVICIO 2025]],$J$2:$V$14,3,0)*Tabla4[[#This Row],[TOTAL COBERTURA]])</f>
        <v>74471111</v>
      </c>
      <c r="BA427" s="35">
        <f>(VLOOKUP(Tabla4[[#This Row],[SERVICIO 2025]],$J$2:$V$14,3,0)*Tabla4[[#This Row],[TOTAL COBERTURA]])+Tabla4[[#This Row],[VALOR FASE PREPARATORIA DE CIERRE]]</f>
        <v>85202260</v>
      </c>
      <c r="BB427" s="35">
        <f>SUM(Tabla4[[#This Row],[DESEMBOLSO 1]:[DESEMBOLSO 8]])</f>
        <v>619104486</v>
      </c>
      <c r="BC427" s="35">
        <f>VLOOKUP(Tabla4[[#This Row],[SERVICIO 2025]],$J$2:$V$14,10,0)*Tabla4[[#This Row],[TOTAL COBERTURA]]*$W$3</f>
        <v>0</v>
      </c>
      <c r="BD427" s="47" t="s">
        <v>145</v>
      </c>
      <c r="BE427" s="12" t="b">
        <f>EXACT(Tabla4[[#This Row],[VALOR ATENCIÓN (8 MESES)]],Tabla4[[#This Row],[VALOR TOTAL]])</f>
        <v>1</v>
      </c>
      <c r="BF427" s="23">
        <f>Tabla4[[#This Row],[VALOR ATENCIÓN (8 MESES)]]-Tabla4[[#This Row],[VALOR TOTAL]]</f>
        <v>0</v>
      </c>
      <c r="BG427" s="12" t="b">
        <f>EXACT(Tabla4[[#This Row],[TOTAL DESEMBOLSOS]],Tabla4[[#This Row],[VALOR ATENCIÓN (8 MESES)]])</f>
        <v>1</v>
      </c>
      <c r="BH427" s="29">
        <f>Tabla4[[#This Row],[TOTAL DESEMBOLSOS]]-Tabla4[[#This Row],[VALOR ATENCIÓN (8 MESES)]]</f>
        <v>0</v>
      </c>
      <c r="BI427" t="s">
        <v>392</v>
      </c>
      <c r="BJ427">
        <v>1925</v>
      </c>
    </row>
    <row r="428" spans="1:62">
      <c r="A428" s="13">
        <v>1926</v>
      </c>
      <c r="B428" s="13" t="s">
        <v>1007</v>
      </c>
      <c r="C428" s="12" t="s">
        <v>87</v>
      </c>
      <c r="D428" s="12" t="s">
        <v>266</v>
      </c>
      <c r="E428" s="12" t="s">
        <v>1008</v>
      </c>
      <c r="F428" s="12" t="s">
        <v>14</v>
      </c>
      <c r="G428" s="12" t="s">
        <v>90</v>
      </c>
      <c r="H428" s="12" t="s">
        <v>1009</v>
      </c>
      <c r="I428" s="12">
        <v>51251113285</v>
      </c>
      <c r="J428" s="12" t="s">
        <v>1010</v>
      </c>
      <c r="K428" s="12">
        <v>1</v>
      </c>
      <c r="L428" s="12">
        <v>74</v>
      </c>
      <c r="M428" s="12"/>
      <c r="N428" s="13">
        <v>1926</v>
      </c>
      <c r="O428" s="12" t="s">
        <v>93</v>
      </c>
      <c r="P428" s="12"/>
      <c r="Q428" s="12"/>
      <c r="R428" s="12" t="s">
        <v>94</v>
      </c>
      <c r="S428" s="12">
        <v>10</v>
      </c>
      <c r="T428" s="12" t="s">
        <v>328</v>
      </c>
      <c r="U428" s="12" t="s">
        <v>329</v>
      </c>
      <c r="V428" s="12">
        <f>VLOOKUP(Tabla4[[#This Row],[ZONA DEFINITIVO]],Hoja1!$A$1:$D$121,3,0)</f>
        <v>229099</v>
      </c>
      <c r="W428" s="12">
        <f>VLOOKUP(Tabla4[[#This Row],[ZONA DEFINITIVO]],Hoja1!$A$1:$D$121,2,0)</f>
        <v>15204</v>
      </c>
      <c r="X428" s="12">
        <f>VLOOKUP(Tabla4[[#This Row],[ZONA DEFINITIVO]],Hoja1!$A$1:$D$121,4,0)</f>
        <v>92025</v>
      </c>
      <c r="Y428" s="12">
        <f>+IF(Tabla4[[#This Row],[AGRUPACIONES]]=1,SUMIFS(Tabla4[UDS],Tabla4[ZONA DEFINITIVO],Tabla4[[#This Row],[ZONA DEFINITIVO]])," ")</f>
        <v>19</v>
      </c>
      <c r="Z428" s="12">
        <f>+IF(Tabla4[[#This Row],[AGRUPACIONES]]=1,SUMIFS(Tabla4[TOTAL COBERTURA],Tabla4[ZONA DEFINITIVO],Tabla4[[#This Row],[ZONA DEFINITIVO]])," ")</f>
        <v>433</v>
      </c>
      <c r="AA428" s="12"/>
      <c r="AB428" s="38">
        <v>309974900</v>
      </c>
      <c r="AC428" s="37">
        <v>0.02</v>
      </c>
      <c r="AD428" s="38">
        <f t="shared" si="7"/>
        <v>6199498</v>
      </c>
      <c r="AE428" s="12"/>
      <c r="AF428" s="12">
        <f>COUNTIF($A$20:A428,A428)</f>
        <v>1</v>
      </c>
      <c r="AG428" s="38">
        <v>309974900</v>
      </c>
      <c r="AH428" s="38">
        <f>Tabla4[[#This Row],[VALOR CONTRAPARTIDA]]+Tabla4[[#This Row],[TOTAL APORTES ICBF]]</f>
        <v>316174398</v>
      </c>
      <c r="AI428" s="35">
        <f>ROUND(+IF(Tabla4[[#This Row],[AGRUPACIONES]]=1,SUMIFS(Tabla4[TOTAL APORTES ICBF],Tabla4[ZONA DEFINITIVO],Tabla4[[#This Row],[ZONA DEFINITIVO]])," "),0)</f>
        <v>1096283045</v>
      </c>
      <c r="AJ428" s="38">
        <f>ROUND(+IF(Tabla4[[#This Row],[AGRUPACIONES]]=1,SUMIFS(Tabla4[VALOR CONTRAPARTIDA],Tabla4[ZONA DEFINITIVO],Tabla4[[#This Row],[ZONA DEFINITIVO]])," "),0)</f>
        <v>21925661</v>
      </c>
      <c r="AK428" s="38">
        <f>Tabla4[[#This Row],[TOTAL APORTES ICBF AGRUPADO]]+Tabla4[[#This Row],[TOTAL CONTRAPARTIDA AGRUPADO]]</f>
        <v>1118208706</v>
      </c>
      <c r="AL428" s="23">
        <f>Tabla4[[#This Row],[TOTAL APORTES ICBF AGRUPADO]]/$AL$18</f>
        <v>770.13210045662106</v>
      </c>
      <c r="AM428" s="35">
        <f>VLOOKUP(Tabla4[[#This Row],[SERVICIO 2025]],$J$2:$V$14,5,0)*Tabla4[[#This Row],[TOTAL COBERTURA]]</f>
        <v>6522582</v>
      </c>
      <c r="AN428" s="35">
        <f>VLOOKUP(Tabla4[[#This Row],[SERVICIO 2025]],$J$2:$V$14,6,0)*Tabla4[[#This Row],[TOTAL COBERTURA]]</f>
        <v>5553182</v>
      </c>
      <c r="AO428" s="35">
        <f>VLOOKUP(Tabla4[[#This Row],[SERVICIO 2025]],$J$2:$V$14,8,0)*Tabla4[[#This Row],[TOTAL COBERTURA]]</f>
        <v>0</v>
      </c>
      <c r="AP428" s="35">
        <f>VLOOKUP(Tabla4[[#This Row],[SERVICIO 2025]],$J$2:$V$14,3,0)*Tabla4[[#This Row],[TOTAL COBERTURA]]*8</f>
        <v>297899136</v>
      </c>
      <c r="AQ428" s="35"/>
      <c r="AR428" s="35">
        <f>Tabla4[[#This Row],[VALOR FASE PREPARATORIA DE ALISTAMIENTO]]+Tabla4[[#This Row],[VALOR FASE PREPARATORIA DE CIERRE]]+Tabla4[[#This Row],[DOTACIÓN ÚNICA]]+Tabla4[[#This Row],[VALOR ATENCIÓN]]+Tabla4[[#This Row],[VALOR RACION PREPARADA]]</f>
        <v>309974900</v>
      </c>
      <c r="AS428" s="35">
        <f>+IF(Tabla4[[#This Row],[AGRUPACIONES]]=1,SUMIFS(Tabla4[VALOR TOTAL],Tabla4[ZONA DEFINITIVO],Tabla4[[#This Row],[ZONA DEFINITIVO]])," ")</f>
        <v>1096283045</v>
      </c>
      <c r="AT428" s="27">
        <f>(VLOOKUP(Tabla4[[#This Row],[SERVICIO 2025]],$J$2:$V$14,3,0)*Tabla4[[#This Row],[TOTAL COBERTURA]])+Tabla4[[#This Row],[VALOR FASE PREPARATORIA DE ALISTAMIENTO]]+Tabla4[[#This Row],[DOTACIÓN ÚNICA]]</f>
        <v>43759974</v>
      </c>
      <c r="AU428" s="35">
        <f>(VLOOKUP(Tabla4[[#This Row],[SERVICIO 2025]],$J$2:$V$14,3,0)*Tabla4[[#This Row],[TOTAL COBERTURA]])</f>
        <v>37237392</v>
      </c>
      <c r="AV428" s="35">
        <f>(VLOOKUP(Tabla4[[#This Row],[SERVICIO 2025]],$J$2:$V$14,3,0)*Tabla4[[#This Row],[TOTAL COBERTURA]])</f>
        <v>37237392</v>
      </c>
      <c r="AW428" s="35">
        <f>(VLOOKUP(Tabla4[[#This Row],[SERVICIO 2025]],$J$2:$V$14,3,0)*Tabla4[[#This Row],[TOTAL COBERTURA]])</f>
        <v>37237392</v>
      </c>
      <c r="AX428" s="35">
        <f>(VLOOKUP(Tabla4[[#This Row],[SERVICIO 2025]],$J$2:$V$14,3,0)*Tabla4[[#This Row],[TOTAL COBERTURA]])</f>
        <v>37237392</v>
      </c>
      <c r="AY428" s="35">
        <f>(VLOOKUP(Tabla4[[#This Row],[SERVICIO 2025]],$J$2:$V$14,3,0)*Tabla4[[#This Row],[TOTAL COBERTURA]])</f>
        <v>37237392</v>
      </c>
      <c r="AZ428" s="35">
        <f>(VLOOKUP(Tabla4[[#This Row],[SERVICIO 2025]],$J$2:$V$14,3,0)*Tabla4[[#This Row],[TOTAL COBERTURA]])</f>
        <v>37237392</v>
      </c>
      <c r="BA428" s="35">
        <f>(VLOOKUP(Tabla4[[#This Row],[SERVICIO 2025]],$J$2:$V$14,3,0)*Tabla4[[#This Row],[TOTAL COBERTURA]])+Tabla4[[#This Row],[VALOR FASE PREPARATORIA DE CIERRE]]</f>
        <v>42790574</v>
      </c>
      <c r="BB428" s="35">
        <f>SUM(Tabla4[[#This Row],[DESEMBOLSO 1]:[DESEMBOLSO 8]])</f>
        <v>309974900</v>
      </c>
      <c r="BC428" s="35">
        <f>VLOOKUP(Tabla4[[#This Row],[SERVICIO 2025]],$J$2:$V$14,10,0)*Tabla4[[#This Row],[TOTAL COBERTURA]]*$W$3</f>
        <v>0</v>
      </c>
      <c r="BD428" s="47" t="s">
        <v>145</v>
      </c>
      <c r="BE428" s="12" t="b">
        <f>EXACT(Tabla4[[#This Row],[VALOR ATENCIÓN (8 MESES)]],Tabla4[[#This Row],[VALOR TOTAL]])</f>
        <v>1</v>
      </c>
      <c r="BF428" s="23">
        <f>Tabla4[[#This Row],[VALOR ATENCIÓN (8 MESES)]]-Tabla4[[#This Row],[VALOR TOTAL]]</f>
        <v>0</v>
      </c>
      <c r="BG428" s="12" t="b">
        <f>EXACT(Tabla4[[#This Row],[TOTAL DESEMBOLSOS]],Tabla4[[#This Row],[VALOR ATENCIÓN (8 MESES)]])</f>
        <v>1</v>
      </c>
      <c r="BH428" s="29">
        <f>Tabla4[[#This Row],[TOTAL DESEMBOLSOS]]-Tabla4[[#This Row],[VALOR ATENCIÓN (8 MESES)]]</f>
        <v>0</v>
      </c>
      <c r="BI428" t="s">
        <v>98</v>
      </c>
      <c r="BJ428">
        <v>1926</v>
      </c>
    </row>
    <row r="429" spans="1:62">
      <c r="A429" s="13">
        <v>1926</v>
      </c>
      <c r="B429" s="13" t="s">
        <v>1007</v>
      </c>
      <c r="C429" s="12" t="s">
        <v>87</v>
      </c>
      <c r="D429" s="12" t="s">
        <v>266</v>
      </c>
      <c r="E429" s="12" t="s">
        <v>1008</v>
      </c>
      <c r="F429" s="12" t="s">
        <v>18</v>
      </c>
      <c r="G429" s="12" t="s">
        <v>90</v>
      </c>
      <c r="H429" s="12" t="s">
        <v>1011</v>
      </c>
      <c r="I429" s="12">
        <v>51251119138</v>
      </c>
      <c r="J429" s="12" t="s">
        <v>1012</v>
      </c>
      <c r="K429" s="12">
        <v>1</v>
      </c>
      <c r="L429" s="12">
        <v>36</v>
      </c>
      <c r="M429" s="12"/>
      <c r="N429" s="13">
        <v>1926</v>
      </c>
      <c r="O429" s="12" t="s">
        <v>93</v>
      </c>
      <c r="P429" s="12"/>
      <c r="Q429" s="12"/>
      <c r="R429" s="12" t="s">
        <v>94</v>
      </c>
      <c r="S429" s="12">
        <v>10</v>
      </c>
      <c r="T429" s="12" t="s">
        <v>328</v>
      </c>
      <c r="U429" s="12" t="s">
        <v>329</v>
      </c>
      <c r="V429" s="12">
        <f>VLOOKUP(Tabla4[[#This Row],[ZONA DEFINITIVO]],Hoja1!$A$1:$D$121,3,0)</f>
        <v>229099</v>
      </c>
      <c r="W429" s="12">
        <f>VLOOKUP(Tabla4[[#This Row],[ZONA DEFINITIVO]],Hoja1!$A$1:$D$121,2,0)</f>
        <v>15204</v>
      </c>
      <c r="X429" s="12">
        <f>VLOOKUP(Tabla4[[#This Row],[ZONA DEFINITIVO]],Hoja1!$A$1:$D$121,4,0)</f>
        <v>92025</v>
      </c>
      <c r="Y429" s="12" t="str">
        <f>+IF(Tabla4[[#This Row],[AGRUPACIONES]]=1,SUMIFS(Tabla4[UDS],Tabla4[ZONA DEFINITIVO],Tabla4[[#This Row],[ZONA DEFINITIVO]])," ")</f>
        <v xml:space="preserve"> </v>
      </c>
      <c r="Z429" s="12" t="str">
        <f>+IF(Tabla4[[#This Row],[AGRUPACIONES]]=1,SUMIFS(Tabla4[TOTAL COBERTURA],Tabla4[ZONA DEFINITIVO],Tabla4[[#This Row],[ZONA DEFINITIVO]])," ")</f>
        <v xml:space="preserve"> </v>
      </c>
      <c r="AA429" s="12"/>
      <c r="AB429" s="38">
        <v>78486948</v>
      </c>
      <c r="AC429" s="37">
        <v>0.02</v>
      </c>
      <c r="AD429" s="38">
        <f t="shared" si="7"/>
        <v>1569738.96</v>
      </c>
      <c r="AE429" s="12"/>
      <c r="AF429" s="12">
        <f>COUNTIF($A$20:A429,A429)</f>
        <v>2</v>
      </c>
      <c r="AG429" s="38">
        <v>78486948</v>
      </c>
      <c r="AH429" s="38">
        <f>Tabla4[[#This Row],[VALOR CONTRAPARTIDA]]+Tabla4[[#This Row],[TOTAL APORTES ICBF]]</f>
        <v>80056686.959999993</v>
      </c>
      <c r="AI429" s="35"/>
      <c r="AJ429" s="38"/>
      <c r="AK429" s="38"/>
      <c r="AL429" s="23"/>
      <c r="AM429" s="35">
        <f>VLOOKUP(Tabla4[[#This Row],[SERVICIO 2025]],$J$2:$V$14,5,0)*Tabla4[[#This Row],[TOTAL COBERTURA]]</f>
        <v>1777536</v>
      </c>
      <c r="AN429" s="35">
        <f>VLOOKUP(Tabla4[[#This Row],[SERVICIO 2025]],$J$2:$V$14,6,0)*Tabla4[[#This Row],[TOTAL COBERTURA]]</f>
        <v>1477044</v>
      </c>
      <c r="AO429" s="35">
        <f>VLOOKUP(Tabla4[[#This Row],[SERVICIO 2025]],$J$2:$V$14,8,0)*Tabla4[[#This Row],[TOTAL COBERTURA]]</f>
        <v>1047600</v>
      </c>
      <c r="AP429" s="35">
        <f>VLOOKUP(Tabla4[[#This Row],[SERVICIO 2025]],$J$2:$V$14,3,0)*Tabla4[[#This Row],[TOTAL COBERTURA]]*8</f>
        <v>74184768</v>
      </c>
      <c r="AQ429" s="35"/>
      <c r="AR429" s="35">
        <f>Tabla4[[#This Row],[VALOR FASE PREPARATORIA DE ALISTAMIENTO]]+Tabla4[[#This Row],[VALOR FASE PREPARATORIA DE CIERRE]]+Tabla4[[#This Row],[DOTACIÓN ÚNICA]]+Tabla4[[#This Row],[VALOR ATENCIÓN]]+Tabla4[[#This Row],[VALOR RACION PREPARADA]]</f>
        <v>78486948</v>
      </c>
      <c r="AS429" s="35" t="str">
        <f>+IF(Tabla4[[#This Row],[AGRUPACIONES]]=1,SUMIFS(Tabla4[VALOR TOTAL],Tabla4[ZONA DEFINITIVO],Tabla4[[#This Row],[ZONA DEFINITIVO]])," ")</f>
        <v xml:space="preserve"> </v>
      </c>
      <c r="AT429" s="27">
        <f>(VLOOKUP(Tabla4[[#This Row],[SERVICIO 2025]],$J$2:$V$14,3,0)*Tabla4[[#This Row],[TOTAL COBERTURA]])+Tabla4[[#This Row],[VALOR FASE PREPARATORIA DE ALISTAMIENTO]]+Tabla4[[#This Row],[DOTACIÓN ÚNICA]]</f>
        <v>12098232</v>
      </c>
      <c r="AU429" s="35">
        <f>(VLOOKUP(Tabla4[[#This Row],[SERVICIO 2025]],$J$2:$V$14,3,0)*Tabla4[[#This Row],[TOTAL COBERTURA]])</f>
        <v>9273096</v>
      </c>
      <c r="AV429" s="35">
        <f>(VLOOKUP(Tabla4[[#This Row],[SERVICIO 2025]],$J$2:$V$14,3,0)*Tabla4[[#This Row],[TOTAL COBERTURA]])</f>
        <v>9273096</v>
      </c>
      <c r="AW429" s="35">
        <f>(VLOOKUP(Tabla4[[#This Row],[SERVICIO 2025]],$J$2:$V$14,3,0)*Tabla4[[#This Row],[TOTAL COBERTURA]])</f>
        <v>9273096</v>
      </c>
      <c r="AX429" s="35">
        <f>(VLOOKUP(Tabla4[[#This Row],[SERVICIO 2025]],$J$2:$V$14,3,0)*Tabla4[[#This Row],[TOTAL COBERTURA]])</f>
        <v>9273096</v>
      </c>
      <c r="AY429" s="35">
        <f>(VLOOKUP(Tabla4[[#This Row],[SERVICIO 2025]],$J$2:$V$14,3,0)*Tabla4[[#This Row],[TOTAL COBERTURA]])</f>
        <v>9273096</v>
      </c>
      <c r="AZ429" s="35">
        <f>(VLOOKUP(Tabla4[[#This Row],[SERVICIO 2025]],$J$2:$V$14,3,0)*Tabla4[[#This Row],[TOTAL COBERTURA]])</f>
        <v>9273096</v>
      </c>
      <c r="BA429" s="35">
        <f>(VLOOKUP(Tabla4[[#This Row],[SERVICIO 2025]],$J$2:$V$14,3,0)*Tabla4[[#This Row],[TOTAL COBERTURA]])+Tabla4[[#This Row],[VALOR FASE PREPARATORIA DE CIERRE]]</f>
        <v>10750140</v>
      </c>
      <c r="BB429" s="35">
        <f>SUM(Tabla4[[#This Row],[DESEMBOLSO 1]:[DESEMBOLSO 8]])</f>
        <v>78486948</v>
      </c>
      <c r="BC429" s="35">
        <f>VLOOKUP(Tabla4[[#This Row],[SERVICIO 2025]],$J$2:$V$14,10,0)*Tabla4[[#This Row],[TOTAL COBERTURA]]*$W$3</f>
        <v>51950304</v>
      </c>
      <c r="BD429" s="47" t="s">
        <v>211</v>
      </c>
      <c r="BE429" s="12" t="b">
        <f>EXACT(Tabla4[[#This Row],[VALOR ATENCIÓN (8 MESES)]],Tabla4[[#This Row],[VALOR TOTAL]])</f>
        <v>1</v>
      </c>
      <c r="BF429" s="23">
        <f>Tabla4[[#This Row],[VALOR ATENCIÓN (8 MESES)]]-Tabla4[[#This Row],[VALOR TOTAL]]</f>
        <v>0</v>
      </c>
      <c r="BG429" s="12" t="b">
        <f>EXACT(Tabla4[[#This Row],[TOTAL DESEMBOLSOS]],Tabla4[[#This Row],[VALOR ATENCIÓN (8 MESES)]])</f>
        <v>1</v>
      </c>
      <c r="BH429" s="29">
        <f>Tabla4[[#This Row],[TOTAL DESEMBOLSOS]]-Tabla4[[#This Row],[VALOR ATENCIÓN (8 MESES)]]</f>
        <v>0</v>
      </c>
      <c r="BI429" t="s">
        <v>98</v>
      </c>
      <c r="BJ429">
        <v>1926</v>
      </c>
    </row>
    <row r="430" spans="1:62">
      <c r="A430" s="13">
        <v>1926</v>
      </c>
      <c r="B430" s="13" t="s">
        <v>1007</v>
      </c>
      <c r="C430" s="12" t="s">
        <v>87</v>
      </c>
      <c r="D430" s="12" t="s">
        <v>266</v>
      </c>
      <c r="E430" s="12" t="s">
        <v>1008</v>
      </c>
      <c r="F430" s="12" t="s">
        <v>18</v>
      </c>
      <c r="G430" s="12" t="s">
        <v>90</v>
      </c>
      <c r="H430" s="12" t="s">
        <v>1013</v>
      </c>
      <c r="I430" s="12">
        <v>51251119139</v>
      </c>
      <c r="J430" s="12" t="s">
        <v>1014</v>
      </c>
      <c r="K430" s="12">
        <v>1</v>
      </c>
      <c r="L430" s="12">
        <v>21</v>
      </c>
      <c r="M430" s="12"/>
      <c r="N430" s="13">
        <v>1926</v>
      </c>
      <c r="O430" s="12" t="s">
        <v>93</v>
      </c>
      <c r="P430" s="12"/>
      <c r="Q430" s="12"/>
      <c r="R430" s="12" t="s">
        <v>94</v>
      </c>
      <c r="S430" s="12">
        <v>10</v>
      </c>
      <c r="T430" s="12" t="s">
        <v>328</v>
      </c>
      <c r="U430" s="12" t="s">
        <v>329</v>
      </c>
      <c r="V430" s="12">
        <f>VLOOKUP(Tabla4[[#This Row],[ZONA DEFINITIVO]],Hoja1!$A$1:$D$121,3,0)</f>
        <v>229099</v>
      </c>
      <c r="W430" s="12">
        <f>VLOOKUP(Tabla4[[#This Row],[ZONA DEFINITIVO]],Hoja1!$A$1:$D$121,2,0)</f>
        <v>15204</v>
      </c>
      <c r="X430" s="12">
        <f>VLOOKUP(Tabla4[[#This Row],[ZONA DEFINITIVO]],Hoja1!$A$1:$D$121,4,0)</f>
        <v>92025</v>
      </c>
      <c r="Y430" s="12" t="str">
        <f>+IF(Tabla4[[#This Row],[AGRUPACIONES]]=1,SUMIFS(Tabla4[UDS],Tabla4[ZONA DEFINITIVO],Tabla4[[#This Row],[ZONA DEFINITIVO]])," ")</f>
        <v xml:space="preserve"> </v>
      </c>
      <c r="Z430" s="12" t="str">
        <f>+IF(Tabla4[[#This Row],[AGRUPACIONES]]=1,SUMIFS(Tabla4[TOTAL COBERTURA],Tabla4[ZONA DEFINITIVO],Tabla4[[#This Row],[ZONA DEFINITIVO]])," ")</f>
        <v xml:space="preserve"> </v>
      </c>
      <c r="AA430" s="12"/>
      <c r="AB430" s="38">
        <v>45784053</v>
      </c>
      <c r="AC430" s="37">
        <v>0.02</v>
      </c>
      <c r="AD430" s="38">
        <f t="shared" si="7"/>
        <v>915681.06</v>
      </c>
      <c r="AE430" s="12"/>
      <c r="AF430" s="12">
        <f>COUNTIF($A$20:A430,A430)</f>
        <v>3</v>
      </c>
      <c r="AG430" s="38">
        <v>45784053</v>
      </c>
      <c r="AH430" s="38">
        <f>Tabla4[[#This Row],[VALOR CONTRAPARTIDA]]+Tabla4[[#This Row],[TOTAL APORTES ICBF]]</f>
        <v>46699734.060000002</v>
      </c>
      <c r="AI430" s="35"/>
      <c r="AJ430" s="38"/>
      <c r="AK430" s="38"/>
      <c r="AL430" s="23"/>
      <c r="AM430" s="35">
        <f>VLOOKUP(Tabla4[[#This Row],[SERVICIO 2025]],$J$2:$V$14,5,0)*Tabla4[[#This Row],[TOTAL COBERTURA]]</f>
        <v>1036896</v>
      </c>
      <c r="AN430" s="35">
        <f>VLOOKUP(Tabla4[[#This Row],[SERVICIO 2025]],$J$2:$V$14,6,0)*Tabla4[[#This Row],[TOTAL COBERTURA]]</f>
        <v>861609</v>
      </c>
      <c r="AO430" s="35">
        <f>VLOOKUP(Tabla4[[#This Row],[SERVICIO 2025]],$J$2:$V$14,8,0)*Tabla4[[#This Row],[TOTAL COBERTURA]]</f>
        <v>611100</v>
      </c>
      <c r="AP430" s="35">
        <f>VLOOKUP(Tabla4[[#This Row],[SERVICIO 2025]],$J$2:$V$14,3,0)*Tabla4[[#This Row],[TOTAL COBERTURA]]*8</f>
        <v>43274448</v>
      </c>
      <c r="AQ430" s="35"/>
      <c r="AR430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430" s="35" t="str">
        <f>+IF(Tabla4[[#This Row],[AGRUPACIONES]]=1,SUMIFS(Tabla4[VALOR TOTAL],Tabla4[ZONA DEFINITIVO],Tabla4[[#This Row],[ZONA DEFINITIVO]])," ")</f>
        <v xml:space="preserve"> </v>
      </c>
      <c r="AT430" s="27">
        <f>(VLOOKUP(Tabla4[[#This Row],[SERVICIO 2025]],$J$2:$V$14,3,0)*Tabla4[[#This Row],[TOTAL COBERTURA]])+Tabla4[[#This Row],[VALOR FASE PREPARATORIA DE ALISTAMIENTO]]+Tabla4[[#This Row],[DOTACIÓN ÚNICA]]</f>
        <v>7057302</v>
      </c>
      <c r="AU430" s="35">
        <f>(VLOOKUP(Tabla4[[#This Row],[SERVICIO 2025]],$J$2:$V$14,3,0)*Tabla4[[#This Row],[TOTAL COBERTURA]])</f>
        <v>5409306</v>
      </c>
      <c r="AV430" s="35">
        <f>(VLOOKUP(Tabla4[[#This Row],[SERVICIO 2025]],$J$2:$V$14,3,0)*Tabla4[[#This Row],[TOTAL COBERTURA]])</f>
        <v>5409306</v>
      </c>
      <c r="AW430" s="35">
        <f>(VLOOKUP(Tabla4[[#This Row],[SERVICIO 2025]],$J$2:$V$14,3,0)*Tabla4[[#This Row],[TOTAL COBERTURA]])</f>
        <v>5409306</v>
      </c>
      <c r="AX430" s="35">
        <f>(VLOOKUP(Tabla4[[#This Row],[SERVICIO 2025]],$J$2:$V$14,3,0)*Tabla4[[#This Row],[TOTAL COBERTURA]])</f>
        <v>5409306</v>
      </c>
      <c r="AY430" s="35">
        <f>(VLOOKUP(Tabla4[[#This Row],[SERVICIO 2025]],$J$2:$V$14,3,0)*Tabla4[[#This Row],[TOTAL COBERTURA]])</f>
        <v>5409306</v>
      </c>
      <c r="AZ430" s="35">
        <f>(VLOOKUP(Tabla4[[#This Row],[SERVICIO 2025]],$J$2:$V$14,3,0)*Tabla4[[#This Row],[TOTAL COBERTURA]])</f>
        <v>5409306</v>
      </c>
      <c r="BA430" s="35">
        <f>(VLOOKUP(Tabla4[[#This Row],[SERVICIO 2025]],$J$2:$V$14,3,0)*Tabla4[[#This Row],[TOTAL COBERTURA]])+Tabla4[[#This Row],[VALOR FASE PREPARATORIA DE CIERRE]]</f>
        <v>6270915</v>
      </c>
      <c r="BB430" s="35">
        <f>SUM(Tabla4[[#This Row],[DESEMBOLSO 1]:[DESEMBOLSO 8]])</f>
        <v>45784053</v>
      </c>
      <c r="BC430" s="35">
        <f>VLOOKUP(Tabla4[[#This Row],[SERVICIO 2025]],$J$2:$V$14,10,0)*Tabla4[[#This Row],[TOTAL COBERTURA]]*$W$3</f>
        <v>30304344</v>
      </c>
      <c r="BD430" s="47" t="s">
        <v>211</v>
      </c>
      <c r="BE430" s="12" t="b">
        <f>EXACT(Tabla4[[#This Row],[VALOR ATENCIÓN (8 MESES)]],Tabla4[[#This Row],[VALOR TOTAL]])</f>
        <v>1</v>
      </c>
      <c r="BF430" s="23">
        <f>Tabla4[[#This Row],[VALOR ATENCIÓN (8 MESES)]]-Tabla4[[#This Row],[VALOR TOTAL]]</f>
        <v>0</v>
      </c>
      <c r="BG430" s="12" t="b">
        <f>EXACT(Tabla4[[#This Row],[TOTAL DESEMBOLSOS]],Tabla4[[#This Row],[VALOR ATENCIÓN (8 MESES)]])</f>
        <v>1</v>
      </c>
      <c r="BH430" s="29">
        <f>Tabla4[[#This Row],[TOTAL DESEMBOLSOS]]-Tabla4[[#This Row],[VALOR ATENCIÓN (8 MESES)]]</f>
        <v>0</v>
      </c>
      <c r="BI430" t="s">
        <v>98</v>
      </c>
      <c r="BJ430">
        <v>1926</v>
      </c>
    </row>
    <row r="431" spans="1:62">
      <c r="A431" s="13">
        <v>1926</v>
      </c>
      <c r="B431" s="13" t="s">
        <v>1007</v>
      </c>
      <c r="C431" s="12" t="s">
        <v>87</v>
      </c>
      <c r="D431" s="12" t="s">
        <v>266</v>
      </c>
      <c r="E431" s="12" t="s">
        <v>1008</v>
      </c>
      <c r="F431" s="12" t="s">
        <v>18</v>
      </c>
      <c r="G431" s="12" t="s">
        <v>90</v>
      </c>
      <c r="H431" s="12" t="s">
        <v>1015</v>
      </c>
      <c r="I431" s="12">
        <v>51251119140</v>
      </c>
      <c r="J431" s="12" t="s">
        <v>1016</v>
      </c>
      <c r="K431" s="12">
        <v>1</v>
      </c>
      <c r="L431" s="12">
        <v>6</v>
      </c>
      <c r="M431" s="12"/>
      <c r="N431" s="13">
        <v>1926</v>
      </c>
      <c r="O431" s="12" t="s">
        <v>93</v>
      </c>
      <c r="P431" s="12"/>
      <c r="Q431" s="12"/>
      <c r="R431" s="12" t="s">
        <v>94</v>
      </c>
      <c r="S431" s="12">
        <v>10</v>
      </c>
      <c r="T431" s="12" t="s">
        <v>328</v>
      </c>
      <c r="U431" s="12" t="s">
        <v>329</v>
      </c>
      <c r="V431" s="12">
        <f>VLOOKUP(Tabla4[[#This Row],[ZONA DEFINITIVO]],Hoja1!$A$1:$D$121,3,0)</f>
        <v>229099</v>
      </c>
      <c r="W431" s="12">
        <f>VLOOKUP(Tabla4[[#This Row],[ZONA DEFINITIVO]],Hoja1!$A$1:$D$121,2,0)</f>
        <v>15204</v>
      </c>
      <c r="X431" s="12">
        <f>VLOOKUP(Tabla4[[#This Row],[ZONA DEFINITIVO]],Hoja1!$A$1:$D$121,4,0)</f>
        <v>92025</v>
      </c>
      <c r="Y431" s="12" t="str">
        <f>+IF(Tabla4[[#This Row],[AGRUPACIONES]]=1,SUMIFS(Tabla4[UDS],Tabla4[ZONA DEFINITIVO],Tabla4[[#This Row],[ZONA DEFINITIVO]])," ")</f>
        <v xml:space="preserve"> </v>
      </c>
      <c r="Z431" s="12" t="str">
        <f>+IF(Tabla4[[#This Row],[AGRUPACIONES]]=1,SUMIFS(Tabla4[TOTAL COBERTURA],Tabla4[ZONA DEFINITIVO],Tabla4[[#This Row],[ZONA DEFINITIVO]])," ")</f>
        <v xml:space="preserve"> </v>
      </c>
      <c r="AA431" s="12"/>
      <c r="AB431" s="38">
        <v>13081158</v>
      </c>
      <c r="AC431" s="37">
        <v>0.02</v>
      </c>
      <c r="AD431" s="38">
        <f t="shared" si="7"/>
        <v>261623.16</v>
      </c>
      <c r="AE431" s="12"/>
      <c r="AF431" s="12">
        <f>COUNTIF($A$20:A431,A431)</f>
        <v>4</v>
      </c>
      <c r="AG431" s="38">
        <v>13081158</v>
      </c>
      <c r="AH431" s="38">
        <f>Tabla4[[#This Row],[VALOR CONTRAPARTIDA]]+Tabla4[[#This Row],[TOTAL APORTES ICBF]]</f>
        <v>13342781.16</v>
      </c>
      <c r="AI431" s="35"/>
      <c r="AJ431" s="38"/>
      <c r="AK431" s="38"/>
      <c r="AL431" s="23"/>
      <c r="AM431" s="35">
        <f>VLOOKUP(Tabla4[[#This Row],[SERVICIO 2025]],$J$2:$V$14,5,0)*Tabla4[[#This Row],[TOTAL COBERTURA]]</f>
        <v>296256</v>
      </c>
      <c r="AN431" s="35">
        <f>VLOOKUP(Tabla4[[#This Row],[SERVICIO 2025]],$J$2:$V$14,6,0)*Tabla4[[#This Row],[TOTAL COBERTURA]]</f>
        <v>246174</v>
      </c>
      <c r="AO431" s="35">
        <f>VLOOKUP(Tabla4[[#This Row],[SERVICIO 2025]],$J$2:$V$14,8,0)*Tabla4[[#This Row],[TOTAL COBERTURA]]</f>
        <v>174600</v>
      </c>
      <c r="AP431" s="35">
        <f>VLOOKUP(Tabla4[[#This Row],[SERVICIO 2025]],$J$2:$V$14,3,0)*Tabla4[[#This Row],[TOTAL COBERTURA]]*8</f>
        <v>12364128</v>
      </c>
      <c r="AQ431" s="35"/>
      <c r="AR431" s="35">
        <f>Tabla4[[#This Row],[VALOR FASE PREPARATORIA DE ALISTAMIENTO]]+Tabla4[[#This Row],[VALOR FASE PREPARATORIA DE CIERRE]]+Tabla4[[#This Row],[DOTACIÓN ÚNICA]]+Tabla4[[#This Row],[VALOR ATENCIÓN]]+Tabla4[[#This Row],[VALOR RACION PREPARADA]]</f>
        <v>13081158</v>
      </c>
      <c r="AS431" s="35" t="str">
        <f>+IF(Tabla4[[#This Row],[AGRUPACIONES]]=1,SUMIFS(Tabla4[VALOR TOTAL],Tabla4[ZONA DEFINITIVO],Tabla4[[#This Row],[ZONA DEFINITIVO]])," ")</f>
        <v xml:space="preserve"> </v>
      </c>
      <c r="AT431" s="27">
        <f>(VLOOKUP(Tabla4[[#This Row],[SERVICIO 2025]],$J$2:$V$14,3,0)*Tabla4[[#This Row],[TOTAL COBERTURA]])+Tabla4[[#This Row],[VALOR FASE PREPARATORIA DE ALISTAMIENTO]]+Tabla4[[#This Row],[DOTACIÓN ÚNICA]]</f>
        <v>2016372</v>
      </c>
      <c r="AU431" s="35">
        <f>(VLOOKUP(Tabla4[[#This Row],[SERVICIO 2025]],$J$2:$V$14,3,0)*Tabla4[[#This Row],[TOTAL COBERTURA]])</f>
        <v>1545516</v>
      </c>
      <c r="AV431" s="35">
        <f>(VLOOKUP(Tabla4[[#This Row],[SERVICIO 2025]],$J$2:$V$14,3,0)*Tabla4[[#This Row],[TOTAL COBERTURA]])</f>
        <v>1545516</v>
      </c>
      <c r="AW431" s="35">
        <f>(VLOOKUP(Tabla4[[#This Row],[SERVICIO 2025]],$J$2:$V$14,3,0)*Tabla4[[#This Row],[TOTAL COBERTURA]])</f>
        <v>1545516</v>
      </c>
      <c r="AX431" s="35">
        <f>(VLOOKUP(Tabla4[[#This Row],[SERVICIO 2025]],$J$2:$V$14,3,0)*Tabla4[[#This Row],[TOTAL COBERTURA]])</f>
        <v>1545516</v>
      </c>
      <c r="AY431" s="35">
        <f>(VLOOKUP(Tabla4[[#This Row],[SERVICIO 2025]],$J$2:$V$14,3,0)*Tabla4[[#This Row],[TOTAL COBERTURA]])</f>
        <v>1545516</v>
      </c>
      <c r="AZ431" s="35">
        <f>(VLOOKUP(Tabla4[[#This Row],[SERVICIO 2025]],$J$2:$V$14,3,0)*Tabla4[[#This Row],[TOTAL COBERTURA]])</f>
        <v>1545516</v>
      </c>
      <c r="BA431" s="35">
        <f>(VLOOKUP(Tabla4[[#This Row],[SERVICIO 2025]],$J$2:$V$14,3,0)*Tabla4[[#This Row],[TOTAL COBERTURA]])+Tabla4[[#This Row],[VALOR FASE PREPARATORIA DE CIERRE]]</f>
        <v>1791690</v>
      </c>
      <c r="BB431" s="35">
        <f>SUM(Tabla4[[#This Row],[DESEMBOLSO 1]:[DESEMBOLSO 8]])</f>
        <v>13081158</v>
      </c>
      <c r="BC431" s="35">
        <f>VLOOKUP(Tabla4[[#This Row],[SERVICIO 2025]],$J$2:$V$14,10,0)*Tabla4[[#This Row],[TOTAL COBERTURA]]*$W$3</f>
        <v>8658384</v>
      </c>
      <c r="BD431" s="47" t="s">
        <v>211</v>
      </c>
      <c r="BE431" s="12" t="b">
        <f>EXACT(Tabla4[[#This Row],[VALOR ATENCIÓN (8 MESES)]],Tabla4[[#This Row],[VALOR TOTAL]])</f>
        <v>1</v>
      </c>
      <c r="BF431" s="23">
        <f>Tabla4[[#This Row],[VALOR ATENCIÓN (8 MESES)]]-Tabla4[[#This Row],[VALOR TOTAL]]</f>
        <v>0</v>
      </c>
      <c r="BG431" s="12" t="b">
        <f>EXACT(Tabla4[[#This Row],[TOTAL DESEMBOLSOS]],Tabla4[[#This Row],[VALOR ATENCIÓN (8 MESES)]])</f>
        <v>1</v>
      </c>
      <c r="BH431" s="29">
        <f>Tabla4[[#This Row],[TOTAL DESEMBOLSOS]]-Tabla4[[#This Row],[VALOR ATENCIÓN (8 MESES)]]</f>
        <v>0</v>
      </c>
      <c r="BI431" t="s">
        <v>98</v>
      </c>
      <c r="BJ431">
        <v>1926</v>
      </c>
    </row>
    <row r="432" spans="1:62">
      <c r="A432" s="13">
        <v>1926</v>
      </c>
      <c r="B432" s="13" t="s">
        <v>1007</v>
      </c>
      <c r="C432" s="12" t="s">
        <v>87</v>
      </c>
      <c r="D432" s="12" t="s">
        <v>266</v>
      </c>
      <c r="E432" s="12" t="s">
        <v>1008</v>
      </c>
      <c r="F432" s="12" t="s">
        <v>18</v>
      </c>
      <c r="G432" s="12" t="s">
        <v>90</v>
      </c>
      <c r="H432" s="12" t="s">
        <v>1017</v>
      </c>
      <c r="I432" s="12">
        <v>51251119141</v>
      </c>
      <c r="J432" s="12" t="s">
        <v>1018</v>
      </c>
      <c r="K432" s="12">
        <v>1</v>
      </c>
      <c r="L432" s="12">
        <v>11</v>
      </c>
      <c r="M432" s="12"/>
      <c r="N432" s="13">
        <v>1926</v>
      </c>
      <c r="O432" s="12" t="s">
        <v>93</v>
      </c>
      <c r="P432" s="12"/>
      <c r="Q432" s="12"/>
      <c r="R432" s="12" t="s">
        <v>94</v>
      </c>
      <c r="S432" s="12">
        <v>10</v>
      </c>
      <c r="T432" s="12" t="s">
        <v>328</v>
      </c>
      <c r="U432" s="12" t="s">
        <v>329</v>
      </c>
      <c r="V432" s="12">
        <f>VLOOKUP(Tabla4[[#This Row],[ZONA DEFINITIVO]],Hoja1!$A$1:$D$121,3,0)</f>
        <v>229099</v>
      </c>
      <c r="W432" s="12">
        <f>VLOOKUP(Tabla4[[#This Row],[ZONA DEFINITIVO]],Hoja1!$A$1:$D$121,2,0)</f>
        <v>15204</v>
      </c>
      <c r="X432" s="12">
        <f>VLOOKUP(Tabla4[[#This Row],[ZONA DEFINITIVO]],Hoja1!$A$1:$D$121,4,0)</f>
        <v>92025</v>
      </c>
      <c r="Y432" s="12" t="str">
        <f>+IF(Tabla4[[#This Row],[AGRUPACIONES]]=1,SUMIFS(Tabla4[UDS],Tabla4[ZONA DEFINITIVO],Tabla4[[#This Row],[ZONA DEFINITIVO]])," ")</f>
        <v xml:space="preserve"> </v>
      </c>
      <c r="Z432" s="12" t="str">
        <f>+IF(Tabla4[[#This Row],[AGRUPACIONES]]=1,SUMIFS(Tabla4[TOTAL COBERTURA],Tabla4[ZONA DEFINITIVO],Tabla4[[#This Row],[ZONA DEFINITIVO]])," ")</f>
        <v xml:space="preserve"> </v>
      </c>
      <c r="AA432" s="12"/>
      <c r="AB432" s="38">
        <v>23982123</v>
      </c>
      <c r="AC432" s="37">
        <v>0.02</v>
      </c>
      <c r="AD432" s="38">
        <f t="shared" si="7"/>
        <v>479642.46</v>
      </c>
      <c r="AE432" s="12"/>
      <c r="AF432" s="12">
        <f>COUNTIF($A$20:A432,A432)</f>
        <v>5</v>
      </c>
      <c r="AG432" s="38">
        <v>23982123</v>
      </c>
      <c r="AH432" s="38">
        <f>Tabla4[[#This Row],[VALOR CONTRAPARTIDA]]+Tabla4[[#This Row],[TOTAL APORTES ICBF]]</f>
        <v>24461765.460000001</v>
      </c>
      <c r="AI432" s="35"/>
      <c r="AJ432" s="38"/>
      <c r="AK432" s="38"/>
      <c r="AL432" s="23"/>
      <c r="AM432" s="35">
        <f>VLOOKUP(Tabla4[[#This Row],[SERVICIO 2025]],$J$2:$V$14,5,0)*Tabla4[[#This Row],[TOTAL COBERTURA]]</f>
        <v>543136</v>
      </c>
      <c r="AN432" s="35">
        <f>VLOOKUP(Tabla4[[#This Row],[SERVICIO 2025]],$J$2:$V$14,6,0)*Tabla4[[#This Row],[TOTAL COBERTURA]]</f>
        <v>451319</v>
      </c>
      <c r="AO432" s="35">
        <f>VLOOKUP(Tabla4[[#This Row],[SERVICIO 2025]],$J$2:$V$14,8,0)*Tabla4[[#This Row],[TOTAL COBERTURA]]</f>
        <v>320100</v>
      </c>
      <c r="AP432" s="35">
        <f>VLOOKUP(Tabla4[[#This Row],[SERVICIO 2025]],$J$2:$V$14,3,0)*Tabla4[[#This Row],[TOTAL COBERTURA]]*8</f>
        <v>22667568</v>
      </c>
      <c r="AQ432" s="35"/>
      <c r="AR432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432" s="35" t="str">
        <f>+IF(Tabla4[[#This Row],[AGRUPACIONES]]=1,SUMIFS(Tabla4[VALOR TOTAL],Tabla4[ZONA DEFINITIVO],Tabla4[[#This Row],[ZONA DEFINITIVO]])," ")</f>
        <v xml:space="preserve"> </v>
      </c>
      <c r="AT432" s="27">
        <f>(VLOOKUP(Tabla4[[#This Row],[SERVICIO 2025]],$J$2:$V$14,3,0)*Tabla4[[#This Row],[TOTAL COBERTURA]])+Tabla4[[#This Row],[VALOR FASE PREPARATORIA DE ALISTAMIENTO]]+Tabla4[[#This Row],[DOTACIÓN ÚNICA]]</f>
        <v>3696682</v>
      </c>
      <c r="AU432" s="35">
        <f>(VLOOKUP(Tabla4[[#This Row],[SERVICIO 2025]],$J$2:$V$14,3,0)*Tabla4[[#This Row],[TOTAL COBERTURA]])</f>
        <v>2833446</v>
      </c>
      <c r="AV432" s="35">
        <f>(VLOOKUP(Tabla4[[#This Row],[SERVICIO 2025]],$J$2:$V$14,3,0)*Tabla4[[#This Row],[TOTAL COBERTURA]])</f>
        <v>2833446</v>
      </c>
      <c r="AW432" s="35">
        <f>(VLOOKUP(Tabla4[[#This Row],[SERVICIO 2025]],$J$2:$V$14,3,0)*Tabla4[[#This Row],[TOTAL COBERTURA]])</f>
        <v>2833446</v>
      </c>
      <c r="AX432" s="35">
        <f>(VLOOKUP(Tabla4[[#This Row],[SERVICIO 2025]],$J$2:$V$14,3,0)*Tabla4[[#This Row],[TOTAL COBERTURA]])</f>
        <v>2833446</v>
      </c>
      <c r="AY432" s="35">
        <f>(VLOOKUP(Tabla4[[#This Row],[SERVICIO 2025]],$J$2:$V$14,3,0)*Tabla4[[#This Row],[TOTAL COBERTURA]])</f>
        <v>2833446</v>
      </c>
      <c r="AZ432" s="35">
        <f>(VLOOKUP(Tabla4[[#This Row],[SERVICIO 2025]],$J$2:$V$14,3,0)*Tabla4[[#This Row],[TOTAL COBERTURA]])</f>
        <v>2833446</v>
      </c>
      <c r="BA432" s="35">
        <f>(VLOOKUP(Tabla4[[#This Row],[SERVICIO 2025]],$J$2:$V$14,3,0)*Tabla4[[#This Row],[TOTAL COBERTURA]])+Tabla4[[#This Row],[VALOR FASE PREPARATORIA DE CIERRE]]</f>
        <v>3284765</v>
      </c>
      <c r="BB432" s="35">
        <f>SUM(Tabla4[[#This Row],[DESEMBOLSO 1]:[DESEMBOLSO 8]])</f>
        <v>23982123</v>
      </c>
      <c r="BC432" s="35">
        <f>VLOOKUP(Tabla4[[#This Row],[SERVICIO 2025]],$J$2:$V$14,10,0)*Tabla4[[#This Row],[TOTAL COBERTURA]]*$W$3</f>
        <v>15873704</v>
      </c>
      <c r="BD432" s="47" t="s">
        <v>211</v>
      </c>
      <c r="BE432" s="12" t="b">
        <f>EXACT(Tabla4[[#This Row],[VALOR ATENCIÓN (8 MESES)]],Tabla4[[#This Row],[VALOR TOTAL]])</f>
        <v>1</v>
      </c>
      <c r="BF432" s="23">
        <f>Tabla4[[#This Row],[VALOR ATENCIÓN (8 MESES)]]-Tabla4[[#This Row],[VALOR TOTAL]]</f>
        <v>0</v>
      </c>
      <c r="BG432" s="12" t="b">
        <f>EXACT(Tabla4[[#This Row],[TOTAL DESEMBOLSOS]],Tabla4[[#This Row],[VALOR ATENCIÓN (8 MESES)]])</f>
        <v>1</v>
      </c>
      <c r="BH432" s="29">
        <f>Tabla4[[#This Row],[TOTAL DESEMBOLSOS]]-Tabla4[[#This Row],[VALOR ATENCIÓN (8 MESES)]]</f>
        <v>0</v>
      </c>
      <c r="BI432" t="s">
        <v>98</v>
      </c>
      <c r="BJ432">
        <v>1926</v>
      </c>
    </row>
    <row r="433" spans="1:62">
      <c r="A433" s="13">
        <v>1926</v>
      </c>
      <c r="B433" s="13" t="s">
        <v>1007</v>
      </c>
      <c r="C433" s="12" t="s">
        <v>87</v>
      </c>
      <c r="D433" s="12" t="s">
        <v>266</v>
      </c>
      <c r="E433" s="12" t="s">
        <v>1008</v>
      </c>
      <c r="F433" s="12" t="s">
        <v>18</v>
      </c>
      <c r="G433" s="12" t="s">
        <v>90</v>
      </c>
      <c r="H433" s="12" t="s">
        <v>1019</v>
      </c>
      <c r="I433" s="12">
        <v>51251119142</v>
      </c>
      <c r="J433" s="12" t="s">
        <v>1020</v>
      </c>
      <c r="K433" s="12">
        <v>1</v>
      </c>
      <c r="L433" s="12">
        <v>18</v>
      </c>
      <c r="M433" s="12"/>
      <c r="N433" s="13">
        <v>1926</v>
      </c>
      <c r="O433" s="12" t="s">
        <v>93</v>
      </c>
      <c r="P433" s="12"/>
      <c r="Q433" s="12"/>
      <c r="R433" s="12" t="s">
        <v>94</v>
      </c>
      <c r="S433" s="12">
        <v>10</v>
      </c>
      <c r="T433" s="12" t="s">
        <v>328</v>
      </c>
      <c r="U433" s="12" t="s">
        <v>329</v>
      </c>
      <c r="V433" s="12">
        <f>VLOOKUP(Tabla4[[#This Row],[ZONA DEFINITIVO]],Hoja1!$A$1:$D$121,3,0)</f>
        <v>229099</v>
      </c>
      <c r="W433" s="12">
        <f>VLOOKUP(Tabla4[[#This Row],[ZONA DEFINITIVO]],Hoja1!$A$1:$D$121,2,0)</f>
        <v>15204</v>
      </c>
      <c r="X433" s="12">
        <f>VLOOKUP(Tabla4[[#This Row],[ZONA DEFINITIVO]],Hoja1!$A$1:$D$121,4,0)</f>
        <v>92025</v>
      </c>
      <c r="Y433" s="12" t="str">
        <f>+IF(Tabla4[[#This Row],[AGRUPACIONES]]=1,SUMIFS(Tabla4[UDS],Tabla4[ZONA DEFINITIVO],Tabla4[[#This Row],[ZONA DEFINITIVO]])," ")</f>
        <v xml:space="preserve"> </v>
      </c>
      <c r="Z433" s="12" t="str">
        <f>+IF(Tabla4[[#This Row],[AGRUPACIONES]]=1,SUMIFS(Tabla4[TOTAL COBERTURA],Tabla4[ZONA DEFINITIVO],Tabla4[[#This Row],[ZONA DEFINITIVO]])," ")</f>
        <v xml:space="preserve"> </v>
      </c>
      <c r="AA433" s="12"/>
      <c r="AB433" s="38">
        <v>39243474</v>
      </c>
      <c r="AC433" s="37">
        <v>0.02</v>
      </c>
      <c r="AD433" s="38">
        <f t="shared" si="7"/>
        <v>784869.48</v>
      </c>
      <c r="AE433" s="12"/>
      <c r="AF433" s="12">
        <f>COUNTIF($A$20:A433,A433)</f>
        <v>6</v>
      </c>
      <c r="AG433" s="38">
        <v>39243474</v>
      </c>
      <c r="AH433" s="38">
        <f>Tabla4[[#This Row],[VALOR CONTRAPARTIDA]]+Tabla4[[#This Row],[TOTAL APORTES ICBF]]</f>
        <v>40028343.479999997</v>
      </c>
      <c r="AI433" s="35"/>
      <c r="AJ433" s="38"/>
      <c r="AK433" s="38"/>
      <c r="AL433" s="23"/>
      <c r="AM433" s="35">
        <f>VLOOKUP(Tabla4[[#This Row],[SERVICIO 2025]],$J$2:$V$14,5,0)*Tabla4[[#This Row],[TOTAL COBERTURA]]</f>
        <v>888768</v>
      </c>
      <c r="AN433" s="35">
        <f>VLOOKUP(Tabla4[[#This Row],[SERVICIO 2025]],$J$2:$V$14,6,0)*Tabla4[[#This Row],[TOTAL COBERTURA]]</f>
        <v>738522</v>
      </c>
      <c r="AO433" s="35">
        <f>VLOOKUP(Tabla4[[#This Row],[SERVICIO 2025]],$J$2:$V$14,8,0)*Tabla4[[#This Row],[TOTAL COBERTURA]]</f>
        <v>523800</v>
      </c>
      <c r="AP433" s="35">
        <f>VLOOKUP(Tabla4[[#This Row],[SERVICIO 2025]],$J$2:$V$14,3,0)*Tabla4[[#This Row],[TOTAL COBERTURA]]*8</f>
        <v>37092384</v>
      </c>
      <c r="AQ433" s="35"/>
      <c r="AR433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433" s="35" t="str">
        <f>+IF(Tabla4[[#This Row],[AGRUPACIONES]]=1,SUMIFS(Tabla4[VALOR TOTAL],Tabla4[ZONA DEFINITIVO],Tabla4[[#This Row],[ZONA DEFINITIVO]])," ")</f>
        <v xml:space="preserve"> </v>
      </c>
      <c r="AT433" s="27">
        <f>(VLOOKUP(Tabla4[[#This Row],[SERVICIO 2025]],$J$2:$V$14,3,0)*Tabla4[[#This Row],[TOTAL COBERTURA]])+Tabla4[[#This Row],[VALOR FASE PREPARATORIA DE ALISTAMIENTO]]+Tabla4[[#This Row],[DOTACIÓN ÚNICA]]</f>
        <v>6049116</v>
      </c>
      <c r="AU433" s="35">
        <f>(VLOOKUP(Tabla4[[#This Row],[SERVICIO 2025]],$J$2:$V$14,3,0)*Tabla4[[#This Row],[TOTAL COBERTURA]])</f>
        <v>4636548</v>
      </c>
      <c r="AV433" s="35">
        <f>(VLOOKUP(Tabla4[[#This Row],[SERVICIO 2025]],$J$2:$V$14,3,0)*Tabla4[[#This Row],[TOTAL COBERTURA]])</f>
        <v>4636548</v>
      </c>
      <c r="AW433" s="35">
        <f>(VLOOKUP(Tabla4[[#This Row],[SERVICIO 2025]],$J$2:$V$14,3,0)*Tabla4[[#This Row],[TOTAL COBERTURA]])</f>
        <v>4636548</v>
      </c>
      <c r="AX433" s="35">
        <f>(VLOOKUP(Tabla4[[#This Row],[SERVICIO 2025]],$J$2:$V$14,3,0)*Tabla4[[#This Row],[TOTAL COBERTURA]])</f>
        <v>4636548</v>
      </c>
      <c r="AY433" s="35">
        <f>(VLOOKUP(Tabla4[[#This Row],[SERVICIO 2025]],$J$2:$V$14,3,0)*Tabla4[[#This Row],[TOTAL COBERTURA]])</f>
        <v>4636548</v>
      </c>
      <c r="AZ433" s="35">
        <f>(VLOOKUP(Tabla4[[#This Row],[SERVICIO 2025]],$J$2:$V$14,3,0)*Tabla4[[#This Row],[TOTAL COBERTURA]])</f>
        <v>4636548</v>
      </c>
      <c r="BA433" s="35">
        <f>(VLOOKUP(Tabla4[[#This Row],[SERVICIO 2025]],$J$2:$V$14,3,0)*Tabla4[[#This Row],[TOTAL COBERTURA]])+Tabla4[[#This Row],[VALOR FASE PREPARATORIA DE CIERRE]]</f>
        <v>5375070</v>
      </c>
      <c r="BB433" s="35">
        <f>SUM(Tabla4[[#This Row],[DESEMBOLSO 1]:[DESEMBOLSO 8]])</f>
        <v>39243474</v>
      </c>
      <c r="BC433" s="35">
        <f>VLOOKUP(Tabla4[[#This Row],[SERVICIO 2025]],$J$2:$V$14,10,0)*Tabla4[[#This Row],[TOTAL COBERTURA]]*$W$3</f>
        <v>25975152</v>
      </c>
      <c r="BD433" s="47" t="s">
        <v>211</v>
      </c>
      <c r="BE433" s="12" t="b">
        <f>EXACT(Tabla4[[#This Row],[VALOR ATENCIÓN (8 MESES)]],Tabla4[[#This Row],[VALOR TOTAL]])</f>
        <v>1</v>
      </c>
      <c r="BF433" s="23">
        <f>Tabla4[[#This Row],[VALOR ATENCIÓN (8 MESES)]]-Tabla4[[#This Row],[VALOR TOTAL]]</f>
        <v>0</v>
      </c>
      <c r="BG433" s="12" t="b">
        <f>EXACT(Tabla4[[#This Row],[TOTAL DESEMBOLSOS]],Tabla4[[#This Row],[VALOR ATENCIÓN (8 MESES)]])</f>
        <v>1</v>
      </c>
      <c r="BH433" s="29">
        <f>Tabla4[[#This Row],[TOTAL DESEMBOLSOS]]-Tabla4[[#This Row],[VALOR ATENCIÓN (8 MESES)]]</f>
        <v>0</v>
      </c>
      <c r="BI433" t="s">
        <v>98</v>
      </c>
      <c r="BJ433">
        <v>1926</v>
      </c>
    </row>
    <row r="434" spans="1:62">
      <c r="A434" s="13">
        <v>1926</v>
      </c>
      <c r="B434" s="13" t="s">
        <v>1007</v>
      </c>
      <c r="C434" s="12" t="s">
        <v>87</v>
      </c>
      <c r="D434" s="12" t="s">
        <v>266</v>
      </c>
      <c r="E434" s="12" t="s">
        <v>1008</v>
      </c>
      <c r="F434" s="12" t="s">
        <v>18</v>
      </c>
      <c r="G434" s="12" t="s">
        <v>90</v>
      </c>
      <c r="H434" s="12" t="s">
        <v>1021</v>
      </c>
      <c r="I434" s="12">
        <v>51251135517</v>
      </c>
      <c r="J434" s="12" t="s">
        <v>1022</v>
      </c>
      <c r="K434" s="12">
        <v>1</v>
      </c>
      <c r="L434" s="12">
        <v>34</v>
      </c>
      <c r="M434" s="12"/>
      <c r="N434" s="13">
        <v>1926</v>
      </c>
      <c r="O434" s="12" t="s">
        <v>93</v>
      </c>
      <c r="P434" s="12"/>
      <c r="Q434" s="12"/>
      <c r="R434" s="12" t="s">
        <v>94</v>
      </c>
      <c r="S434" s="12">
        <v>10</v>
      </c>
      <c r="T434" s="12" t="s">
        <v>328</v>
      </c>
      <c r="U434" s="12" t="s">
        <v>329</v>
      </c>
      <c r="V434" s="12">
        <f>VLOOKUP(Tabla4[[#This Row],[ZONA DEFINITIVO]],Hoja1!$A$1:$D$121,3,0)</f>
        <v>229099</v>
      </c>
      <c r="W434" s="12">
        <f>VLOOKUP(Tabla4[[#This Row],[ZONA DEFINITIVO]],Hoja1!$A$1:$D$121,2,0)</f>
        <v>15204</v>
      </c>
      <c r="X434" s="12">
        <f>VLOOKUP(Tabla4[[#This Row],[ZONA DEFINITIVO]],Hoja1!$A$1:$D$121,4,0)</f>
        <v>92025</v>
      </c>
      <c r="Y434" s="12" t="str">
        <f>+IF(Tabla4[[#This Row],[AGRUPACIONES]]=1,SUMIFS(Tabla4[UDS],Tabla4[ZONA DEFINITIVO],Tabla4[[#This Row],[ZONA DEFINITIVO]])," ")</f>
        <v xml:space="preserve"> </v>
      </c>
      <c r="Z434" s="12" t="str">
        <f>+IF(Tabla4[[#This Row],[AGRUPACIONES]]=1,SUMIFS(Tabla4[TOTAL COBERTURA],Tabla4[ZONA DEFINITIVO],Tabla4[[#This Row],[ZONA DEFINITIVO]])," ")</f>
        <v xml:space="preserve"> </v>
      </c>
      <c r="AA434" s="12"/>
      <c r="AB434" s="38">
        <v>74126562</v>
      </c>
      <c r="AC434" s="37">
        <v>0.02</v>
      </c>
      <c r="AD434" s="38">
        <f t="shared" si="7"/>
        <v>1482531.24</v>
      </c>
      <c r="AE434" s="12"/>
      <c r="AF434" s="12">
        <f>COUNTIF($A$20:A434,A434)</f>
        <v>7</v>
      </c>
      <c r="AG434" s="38">
        <v>74126562</v>
      </c>
      <c r="AH434" s="38">
        <f>Tabla4[[#This Row],[VALOR CONTRAPARTIDA]]+Tabla4[[#This Row],[TOTAL APORTES ICBF]]</f>
        <v>75609093.239999995</v>
      </c>
      <c r="AI434" s="35"/>
      <c r="AJ434" s="38"/>
      <c r="AK434" s="38"/>
      <c r="AL434" s="23"/>
      <c r="AM434" s="35">
        <f>VLOOKUP(Tabla4[[#This Row],[SERVICIO 2025]],$J$2:$V$14,5,0)*Tabla4[[#This Row],[TOTAL COBERTURA]]</f>
        <v>1678784</v>
      </c>
      <c r="AN434" s="35">
        <f>VLOOKUP(Tabla4[[#This Row],[SERVICIO 2025]],$J$2:$V$14,6,0)*Tabla4[[#This Row],[TOTAL COBERTURA]]</f>
        <v>1394986</v>
      </c>
      <c r="AO434" s="35">
        <f>VLOOKUP(Tabla4[[#This Row],[SERVICIO 2025]],$J$2:$V$14,8,0)*Tabla4[[#This Row],[TOTAL COBERTURA]]</f>
        <v>989400</v>
      </c>
      <c r="AP434" s="35">
        <f>VLOOKUP(Tabla4[[#This Row],[SERVICIO 2025]],$J$2:$V$14,3,0)*Tabla4[[#This Row],[TOTAL COBERTURA]]*8</f>
        <v>70063392</v>
      </c>
      <c r="AQ434" s="35"/>
      <c r="AR434" s="35">
        <f>Tabla4[[#This Row],[VALOR FASE PREPARATORIA DE ALISTAMIENTO]]+Tabla4[[#This Row],[VALOR FASE PREPARATORIA DE CIERRE]]+Tabla4[[#This Row],[DOTACIÓN ÚNICA]]+Tabla4[[#This Row],[VALOR ATENCIÓN]]+Tabla4[[#This Row],[VALOR RACION PREPARADA]]</f>
        <v>74126562</v>
      </c>
      <c r="AS434" s="35" t="str">
        <f>+IF(Tabla4[[#This Row],[AGRUPACIONES]]=1,SUMIFS(Tabla4[VALOR TOTAL],Tabla4[ZONA DEFINITIVO],Tabla4[[#This Row],[ZONA DEFINITIVO]])," ")</f>
        <v xml:space="preserve"> </v>
      </c>
      <c r="AT434" s="27">
        <f>(VLOOKUP(Tabla4[[#This Row],[SERVICIO 2025]],$J$2:$V$14,3,0)*Tabla4[[#This Row],[TOTAL COBERTURA]])+Tabla4[[#This Row],[VALOR FASE PREPARATORIA DE ALISTAMIENTO]]+Tabla4[[#This Row],[DOTACIÓN ÚNICA]]</f>
        <v>11426108</v>
      </c>
      <c r="AU434" s="35">
        <f>(VLOOKUP(Tabla4[[#This Row],[SERVICIO 2025]],$J$2:$V$14,3,0)*Tabla4[[#This Row],[TOTAL COBERTURA]])</f>
        <v>8757924</v>
      </c>
      <c r="AV434" s="35">
        <f>(VLOOKUP(Tabla4[[#This Row],[SERVICIO 2025]],$J$2:$V$14,3,0)*Tabla4[[#This Row],[TOTAL COBERTURA]])</f>
        <v>8757924</v>
      </c>
      <c r="AW434" s="35">
        <f>(VLOOKUP(Tabla4[[#This Row],[SERVICIO 2025]],$J$2:$V$14,3,0)*Tabla4[[#This Row],[TOTAL COBERTURA]])</f>
        <v>8757924</v>
      </c>
      <c r="AX434" s="35">
        <f>(VLOOKUP(Tabla4[[#This Row],[SERVICIO 2025]],$J$2:$V$14,3,0)*Tabla4[[#This Row],[TOTAL COBERTURA]])</f>
        <v>8757924</v>
      </c>
      <c r="AY434" s="35">
        <f>(VLOOKUP(Tabla4[[#This Row],[SERVICIO 2025]],$J$2:$V$14,3,0)*Tabla4[[#This Row],[TOTAL COBERTURA]])</f>
        <v>8757924</v>
      </c>
      <c r="AZ434" s="35">
        <f>(VLOOKUP(Tabla4[[#This Row],[SERVICIO 2025]],$J$2:$V$14,3,0)*Tabla4[[#This Row],[TOTAL COBERTURA]])</f>
        <v>8757924</v>
      </c>
      <c r="BA434" s="35">
        <f>(VLOOKUP(Tabla4[[#This Row],[SERVICIO 2025]],$J$2:$V$14,3,0)*Tabla4[[#This Row],[TOTAL COBERTURA]])+Tabla4[[#This Row],[VALOR FASE PREPARATORIA DE CIERRE]]</f>
        <v>10152910</v>
      </c>
      <c r="BB434" s="35">
        <f>SUM(Tabla4[[#This Row],[DESEMBOLSO 1]:[DESEMBOLSO 8]])</f>
        <v>74126562</v>
      </c>
      <c r="BC434" s="35">
        <f>VLOOKUP(Tabla4[[#This Row],[SERVICIO 2025]],$J$2:$V$14,10,0)*Tabla4[[#This Row],[TOTAL COBERTURA]]*$W$3</f>
        <v>49064176</v>
      </c>
      <c r="BD434" s="47" t="s">
        <v>211</v>
      </c>
      <c r="BE434" s="12" t="b">
        <f>EXACT(Tabla4[[#This Row],[VALOR ATENCIÓN (8 MESES)]],Tabla4[[#This Row],[VALOR TOTAL]])</f>
        <v>1</v>
      </c>
      <c r="BF434" s="23">
        <f>Tabla4[[#This Row],[VALOR ATENCIÓN (8 MESES)]]-Tabla4[[#This Row],[VALOR TOTAL]]</f>
        <v>0</v>
      </c>
      <c r="BG434" s="12" t="b">
        <f>EXACT(Tabla4[[#This Row],[TOTAL DESEMBOLSOS]],Tabla4[[#This Row],[VALOR ATENCIÓN (8 MESES)]])</f>
        <v>1</v>
      </c>
      <c r="BH434" s="29">
        <f>Tabla4[[#This Row],[TOTAL DESEMBOLSOS]]-Tabla4[[#This Row],[VALOR ATENCIÓN (8 MESES)]]</f>
        <v>0</v>
      </c>
      <c r="BI434" t="s">
        <v>98</v>
      </c>
      <c r="BJ434">
        <v>1926</v>
      </c>
    </row>
    <row r="435" spans="1:62">
      <c r="A435" s="13">
        <v>1926</v>
      </c>
      <c r="B435" s="13" t="s">
        <v>1007</v>
      </c>
      <c r="C435" s="12" t="s">
        <v>87</v>
      </c>
      <c r="D435" s="12" t="s">
        <v>266</v>
      </c>
      <c r="E435" s="12" t="s">
        <v>1008</v>
      </c>
      <c r="F435" s="12" t="s">
        <v>18</v>
      </c>
      <c r="G435" s="12" t="s">
        <v>90</v>
      </c>
      <c r="H435" s="12" t="s">
        <v>1023</v>
      </c>
      <c r="I435" s="12">
        <v>51251135890</v>
      </c>
      <c r="J435" s="12" t="s">
        <v>1024</v>
      </c>
      <c r="K435" s="12">
        <v>1</v>
      </c>
      <c r="L435" s="12">
        <v>8</v>
      </c>
      <c r="M435" s="12"/>
      <c r="N435" s="13">
        <v>1926</v>
      </c>
      <c r="O435" s="12" t="s">
        <v>93</v>
      </c>
      <c r="P435" s="12"/>
      <c r="Q435" s="12"/>
      <c r="R435" s="12" t="s">
        <v>94</v>
      </c>
      <c r="S435" s="12">
        <v>10</v>
      </c>
      <c r="T435" s="12" t="s">
        <v>328</v>
      </c>
      <c r="U435" s="12" t="s">
        <v>329</v>
      </c>
      <c r="V435" s="12">
        <f>VLOOKUP(Tabla4[[#This Row],[ZONA DEFINITIVO]],Hoja1!$A$1:$D$121,3,0)</f>
        <v>229099</v>
      </c>
      <c r="W435" s="12">
        <f>VLOOKUP(Tabla4[[#This Row],[ZONA DEFINITIVO]],Hoja1!$A$1:$D$121,2,0)</f>
        <v>15204</v>
      </c>
      <c r="X435" s="12">
        <f>VLOOKUP(Tabla4[[#This Row],[ZONA DEFINITIVO]],Hoja1!$A$1:$D$121,4,0)</f>
        <v>92025</v>
      </c>
      <c r="Y435" s="12" t="str">
        <f>+IF(Tabla4[[#This Row],[AGRUPACIONES]]=1,SUMIFS(Tabla4[UDS],Tabla4[ZONA DEFINITIVO],Tabla4[[#This Row],[ZONA DEFINITIVO]])," ")</f>
        <v xml:space="preserve"> </v>
      </c>
      <c r="Z435" s="12" t="str">
        <f>+IF(Tabla4[[#This Row],[AGRUPACIONES]]=1,SUMIFS(Tabla4[TOTAL COBERTURA],Tabla4[ZONA DEFINITIVO],Tabla4[[#This Row],[ZONA DEFINITIVO]])," ")</f>
        <v xml:space="preserve"> </v>
      </c>
      <c r="AA435" s="12"/>
      <c r="AB435" s="38">
        <v>17441544</v>
      </c>
      <c r="AC435" s="37">
        <v>0.02</v>
      </c>
      <c r="AD435" s="38">
        <f t="shared" si="7"/>
        <v>348830.88</v>
      </c>
      <c r="AE435" s="12"/>
      <c r="AF435" s="12">
        <f>COUNTIF($A$20:A435,A435)</f>
        <v>8</v>
      </c>
      <c r="AG435" s="38">
        <v>17441544</v>
      </c>
      <c r="AH435" s="38">
        <f>Tabla4[[#This Row],[VALOR CONTRAPARTIDA]]+Tabla4[[#This Row],[TOTAL APORTES ICBF]]</f>
        <v>17790374.879999999</v>
      </c>
      <c r="AI435" s="35"/>
      <c r="AJ435" s="38"/>
      <c r="AK435" s="38"/>
      <c r="AL435" s="23"/>
      <c r="AM435" s="35">
        <f>VLOOKUP(Tabla4[[#This Row],[SERVICIO 2025]],$J$2:$V$14,5,0)*Tabla4[[#This Row],[TOTAL COBERTURA]]</f>
        <v>395008</v>
      </c>
      <c r="AN435" s="35">
        <f>VLOOKUP(Tabla4[[#This Row],[SERVICIO 2025]],$J$2:$V$14,6,0)*Tabla4[[#This Row],[TOTAL COBERTURA]]</f>
        <v>328232</v>
      </c>
      <c r="AO435" s="35">
        <f>VLOOKUP(Tabla4[[#This Row],[SERVICIO 2025]],$J$2:$V$14,8,0)*Tabla4[[#This Row],[TOTAL COBERTURA]]</f>
        <v>232800</v>
      </c>
      <c r="AP435" s="35">
        <f>VLOOKUP(Tabla4[[#This Row],[SERVICIO 2025]],$J$2:$V$14,3,0)*Tabla4[[#This Row],[TOTAL COBERTURA]]*8</f>
        <v>16485504</v>
      </c>
      <c r="AQ435" s="35"/>
      <c r="AR435" s="35">
        <f>Tabla4[[#This Row],[VALOR FASE PREPARATORIA DE ALISTAMIENTO]]+Tabla4[[#This Row],[VALOR FASE PREPARATORIA DE CIERRE]]+Tabla4[[#This Row],[DOTACIÓN ÚNICA]]+Tabla4[[#This Row],[VALOR ATENCIÓN]]+Tabla4[[#This Row],[VALOR RACION PREPARADA]]</f>
        <v>17441544</v>
      </c>
      <c r="AS435" s="35" t="str">
        <f>+IF(Tabla4[[#This Row],[AGRUPACIONES]]=1,SUMIFS(Tabla4[VALOR TOTAL],Tabla4[ZONA DEFINITIVO],Tabla4[[#This Row],[ZONA DEFINITIVO]])," ")</f>
        <v xml:space="preserve"> </v>
      </c>
      <c r="AT435" s="27">
        <f>(VLOOKUP(Tabla4[[#This Row],[SERVICIO 2025]],$J$2:$V$14,3,0)*Tabla4[[#This Row],[TOTAL COBERTURA]])+Tabla4[[#This Row],[VALOR FASE PREPARATORIA DE ALISTAMIENTO]]+Tabla4[[#This Row],[DOTACIÓN ÚNICA]]</f>
        <v>2688496</v>
      </c>
      <c r="AU435" s="35">
        <f>(VLOOKUP(Tabla4[[#This Row],[SERVICIO 2025]],$J$2:$V$14,3,0)*Tabla4[[#This Row],[TOTAL COBERTURA]])</f>
        <v>2060688</v>
      </c>
      <c r="AV435" s="35">
        <f>(VLOOKUP(Tabla4[[#This Row],[SERVICIO 2025]],$J$2:$V$14,3,0)*Tabla4[[#This Row],[TOTAL COBERTURA]])</f>
        <v>2060688</v>
      </c>
      <c r="AW435" s="35">
        <f>(VLOOKUP(Tabla4[[#This Row],[SERVICIO 2025]],$J$2:$V$14,3,0)*Tabla4[[#This Row],[TOTAL COBERTURA]])</f>
        <v>2060688</v>
      </c>
      <c r="AX435" s="35">
        <f>(VLOOKUP(Tabla4[[#This Row],[SERVICIO 2025]],$J$2:$V$14,3,0)*Tabla4[[#This Row],[TOTAL COBERTURA]])</f>
        <v>2060688</v>
      </c>
      <c r="AY435" s="35">
        <f>(VLOOKUP(Tabla4[[#This Row],[SERVICIO 2025]],$J$2:$V$14,3,0)*Tabla4[[#This Row],[TOTAL COBERTURA]])</f>
        <v>2060688</v>
      </c>
      <c r="AZ435" s="35">
        <f>(VLOOKUP(Tabla4[[#This Row],[SERVICIO 2025]],$J$2:$V$14,3,0)*Tabla4[[#This Row],[TOTAL COBERTURA]])</f>
        <v>2060688</v>
      </c>
      <c r="BA435" s="35">
        <f>(VLOOKUP(Tabla4[[#This Row],[SERVICIO 2025]],$J$2:$V$14,3,0)*Tabla4[[#This Row],[TOTAL COBERTURA]])+Tabla4[[#This Row],[VALOR FASE PREPARATORIA DE CIERRE]]</f>
        <v>2388920</v>
      </c>
      <c r="BB435" s="35">
        <f>SUM(Tabla4[[#This Row],[DESEMBOLSO 1]:[DESEMBOLSO 8]])</f>
        <v>17441544</v>
      </c>
      <c r="BC435" s="35">
        <f>VLOOKUP(Tabla4[[#This Row],[SERVICIO 2025]],$J$2:$V$14,10,0)*Tabla4[[#This Row],[TOTAL COBERTURA]]*$W$3</f>
        <v>11544512</v>
      </c>
      <c r="BD435" s="47" t="s">
        <v>211</v>
      </c>
      <c r="BE435" s="12" t="b">
        <f>EXACT(Tabla4[[#This Row],[VALOR ATENCIÓN (8 MESES)]],Tabla4[[#This Row],[VALOR TOTAL]])</f>
        <v>1</v>
      </c>
      <c r="BF435" s="23">
        <f>Tabla4[[#This Row],[VALOR ATENCIÓN (8 MESES)]]-Tabla4[[#This Row],[VALOR TOTAL]]</f>
        <v>0</v>
      </c>
      <c r="BG435" s="12" t="b">
        <f>EXACT(Tabla4[[#This Row],[TOTAL DESEMBOLSOS]],Tabla4[[#This Row],[VALOR ATENCIÓN (8 MESES)]])</f>
        <v>1</v>
      </c>
      <c r="BH435" s="29">
        <f>Tabla4[[#This Row],[TOTAL DESEMBOLSOS]]-Tabla4[[#This Row],[VALOR ATENCIÓN (8 MESES)]]</f>
        <v>0</v>
      </c>
      <c r="BI435" t="s">
        <v>98</v>
      </c>
      <c r="BJ435">
        <v>1926</v>
      </c>
    </row>
    <row r="436" spans="1:62">
      <c r="A436" s="13">
        <v>1926</v>
      </c>
      <c r="B436" s="13" t="s">
        <v>1007</v>
      </c>
      <c r="C436" s="12" t="s">
        <v>87</v>
      </c>
      <c r="D436" s="12" t="s">
        <v>266</v>
      </c>
      <c r="E436" s="12" t="s">
        <v>1008</v>
      </c>
      <c r="F436" s="12" t="s">
        <v>18</v>
      </c>
      <c r="G436" s="12" t="s">
        <v>90</v>
      </c>
      <c r="H436" s="12" t="s">
        <v>1025</v>
      </c>
      <c r="I436" s="12">
        <v>51251135898</v>
      </c>
      <c r="J436" s="12" t="s">
        <v>1026</v>
      </c>
      <c r="K436" s="12">
        <v>1</v>
      </c>
      <c r="L436" s="12">
        <v>12</v>
      </c>
      <c r="M436" s="12"/>
      <c r="N436" s="13">
        <v>1926</v>
      </c>
      <c r="O436" s="12" t="s">
        <v>93</v>
      </c>
      <c r="P436" s="12"/>
      <c r="Q436" s="12"/>
      <c r="R436" s="12" t="s">
        <v>94</v>
      </c>
      <c r="S436" s="12">
        <v>10</v>
      </c>
      <c r="T436" s="12" t="s">
        <v>328</v>
      </c>
      <c r="U436" s="12" t="s">
        <v>329</v>
      </c>
      <c r="V436" s="12">
        <f>VLOOKUP(Tabla4[[#This Row],[ZONA DEFINITIVO]],Hoja1!$A$1:$D$121,3,0)</f>
        <v>229099</v>
      </c>
      <c r="W436" s="12">
        <f>VLOOKUP(Tabla4[[#This Row],[ZONA DEFINITIVO]],Hoja1!$A$1:$D$121,2,0)</f>
        <v>15204</v>
      </c>
      <c r="X436" s="12">
        <f>VLOOKUP(Tabla4[[#This Row],[ZONA DEFINITIVO]],Hoja1!$A$1:$D$121,4,0)</f>
        <v>92025</v>
      </c>
      <c r="Y436" s="12" t="str">
        <f>+IF(Tabla4[[#This Row],[AGRUPACIONES]]=1,SUMIFS(Tabla4[UDS],Tabla4[ZONA DEFINITIVO],Tabla4[[#This Row],[ZONA DEFINITIVO]])," ")</f>
        <v xml:space="preserve"> </v>
      </c>
      <c r="Z436" s="12" t="str">
        <f>+IF(Tabla4[[#This Row],[AGRUPACIONES]]=1,SUMIFS(Tabla4[TOTAL COBERTURA],Tabla4[ZONA DEFINITIVO],Tabla4[[#This Row],[ZONA DEFINITIVO]])," ")</f>
        <v xml:space="preserve"> </v>
      </c>
      <c r="AA436" s="12"/>
      <c r="AB436" s="38">
        <v>26162316</v>
      </c>
      <c r="AC436" s="37">
        <v>0.02</v>
      </c>
      <c r="AD436" s="38">
        <f t="shared" si="7"/>
        <v>523246.32</v>
      </c>
      <c r="AE436" s="12"/>
      <c r="AF436" s="12">
        <f>COUNTIF($A$20:A436,A436)</f>
        <v>9</v>
      </c>
      <c r="AG436" s="38">
        <v>26162316</v>
      </c>
      <c r="AH436" s="38">
        <f>Tabla4[[#This Row],[VALOR CONTRAPARTIDA]]+Tabla4[[#This Row],[TOTAL APORTES ICBF]]</f>
        <v>26685562.32</v>
      </c>
      <c r="AI436" s="35"/>
      <c r="AJ436" s="38"/>
      <c r="AK436" s="38"/>
      <c r="AL436" s="23"/>
      <c r="AM436" s="35">
        <f>VLOOKUP(Tabla4[[#This Row],[SERVICIO 2025]],$J$2:$V$14,5,0)*Tabla4[[#This Row],[TOTAL COBERTURA]]</f>
        <v>592512</v>
      </c>
      <c r="AN436" s="35">
        <f>VLOOKUP(Tabla4[[#This Row],[SERVICIO 2025]],$J$2:$V$14,6,0)*Tabla4[[#This Row],[TOTAL COBERTURA]]</f>
        <v>492348</v>
      </c>
      <c r="AO436" s="35">
        <f>VLOOKUP(Tabla4[[#This Row],[SERVICIO 2025]],$J$2:$V$14,8,0)*Tabla4[[#This Row],[TOTAL COBERTURA]]</f>
        <v>349200</v>
      </c>
      <c r="AP436" s="35">
        <f>VLOOKUP(Tabla4[[#This Row],[SERVICIO 2025]],$J$2:$V$14,3,0)*Tabla4[[#This Row],[TOTAL COBERTURA]]*8</f>
        <v>24728256</v>
      </c>
      <c r="AQ436" s="35"/>
      <c r="AR436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436" s="35" t="str">
        <f>+IF(Tabla4[[#This Row],[AGRUPACIONES]]=1,SUMIFS(Tabla4[VALOR TOTAL],Tabla4[ZONA DEFINITIVO],Tabla4[[#This Row],[ZONA DEFINITIVO]])," ")</f>
        <v xml:space="preserve"> </v>
      </c>
      <c r="AT436" s="27">
        <f>(VLOOKUP(Tabla4[[#This Row],[SERVICIO 2025]],$J$2:$V$14,3,0)*Tabla4[[#This Row],[TOTAL COBERTURA]])+Tabla4[[#This Row],[VALOR FASE PREPARATORIA DE ALISTAMIENTO]]+Tabla4[[#This Row],[DOTACIÓN ÚNICA]]</f>
        <v>4032744</v>
      </c>
      <c r="AU436" s="35">
        <f>(VLOOKUP(Tabla4[[#This Row],[SERVICIO 2025]],$J$2:$V$14,3,0)*Tabla4[[#This Row],[TOTAL COBERTURA]])</f>
        <v>3091032</v>
      </c>
      <c r="AV436" s="35">
        <f>(VLOOKUP(Tabla4[[#This Row],[SERVICIO 2025]],$J$2:$V$14,3,0)*Tabla4[[#This Row],[TOTAL COBERTURA]])</f>
        <v>3091032</v>
      </c>
      <c r="AW436" s="35">
        <f>(VLOOKUP(Tabla4[[#This Row],[SERVICIO 2025]],$J$2:$V$14,3,0)*Tabla4[[#This Row],[TOTAL COBERTURA]])</f>
        <v>3091032</v>
      </c>
      <c r="AX436" s="35">
        <f>(VLOOKUP(Tabla4[[#This Row],[SERVICIO 2025]],$J$2:$V$14,3,0)*Tabla4[[#This Row],[TOTAL COBERTURA]])</f>
        <v>3091032</v>
      </c>
      <c r="AY436" s="35">
        <f>(VLOOKUP(Tabla4[[#This Row],[SERVICIO 2025]],$J$2:$V$14,3,0)*Tabla4[[#This Row],[TOTAL COBERTURA]])</f>
        <v>3091032</v>
      </c>
      <c r="AZ436" s="35">
        <f>(VLOOKUP(Tabla4[[#This Row],[SERVICIO 2025]],$J$2:$V$14,3,0)*Tabla4[[#This Row],[TOTAL COBERTURA]])</f>
        <v>3091032</v>
      </c>
      <c r="BA436" s="35">
        <f>(VLOOKUP(Tabla4[[#This Row],[SERVICIO 2025]],$J$2:$V$14,3,0)*Tabla4[[#This Row],[TOTAL COBERTURA]])+Tabla4[[#This Row],[VALOR FASE PREPARATORIA DE CIERRE]]</f>
        <v>3583380</v>
      </c>
      <c r="BB436" s="35">
        <f>SUM(Tabla4[[#This Row],[DESEMBOLSO 1]:[DESEMBOLSO 8]])</f>
        <v>26162316</v>
      </c>
      <c r="BC436" s="35">
        <f>VLOOKUP(Tabla4[[#This Row],[SERVICIO 2025]],$J$2:$V$14,10,0)*Tabla4[[#This Row],[TOTAL COBERTURA]]*$W$3</f>
        <v>17316768</v>
      </c>
      <c r="BD436" s="47" t="s">
        <v>211</v>
      </c>
      <c r="BE436" s="12" t="b">
        <f>EXACT(Tabla4[[#This Row],[VALOR ATENCIÓN (8 MESES)]],Tabla4[[#This Row],[VALOR TOTAL]])</f>
        <v>1</v>
      </c>
      <c r="BF436" s="23">
        <f>Tabla4[[#This Row],[VALOR ATENCIÓN (8 MESES)]]-Tabla4[[#This Row],[VALOR TOTAL]]</f>
        <v>0</v>
      </c>
      <c r="BG436" s="12" t="b">
        <f>EXACT(Tabla4[[#This Row],[TOTAL DESEMBOLSOS]],Tabla4[[#This Row],[VALOR ATENCIÓN (8 MESES)]])</f>
        <v>1</v>
      </c>
      <c r="BH436" s="29">
        <f>Tabla4[[#This Row],[TOTAL DESEMBOLSOS]]-Tabla4[[#This Row],[VALOR ATENCIÓN (8 MESES)]]</f>
        <v>0</v>
      </c>
      <c r="BI436" t="s">
        <v>98</v>
      </c>
      <c r="BJ436">
        <v>1926</v>
      </c>
    </row>
    <row r="437" spans="1:62">
      <c r="A437" s="13">
        <v>1926</v>
      </c>
      <c r="B437" s="13" t="s">
        <v>1007</v>
      </c>
      <c r="C437" s="12" t="s">
        <v>87</v>
      </c>
      <c r="D437" s="12" t="s">
        <v>266</v>
      </c>
      <c r="E437" s="12" t="s">
        <v>1008</v>
      </c>
      <c r="F437" s="12" t="s">
        <v>18</v>
      </c>
      <c r="G437" s="12" t="s">
        <v>90</v>
      </c>
      <c r="H437" s="12" t="s">
        <v>1027</v>
      </c>
      <c r="I437" s="12">
        <v>51251135903</v>
      </c>
      <c r="J437" s="12" t="s">
        <v>1028</v>
      </c>
      <c r="K437" s="12">
        <v>1</v>
      </c>
      <c r="L437" s="12">
        <v>14</v>
      </c>
      <c r="M437" s="12"/>
      <c r="N437" s="13">
        <v>1926</v>
      </c>
      <c r="O437" s="12" t="s">
        <v>93</v>
      </c>
      <c r="P437" s="12"/>
      <c r="Q437" s="12"/>
      <c r="R437" s="12" t="s">
        <v>94</v>
      </c>
      <c r="S437" s="12">
        <v>10</v>
      </c>
      <c r="T437" s="12" t="s">
        <v>328</v>
      </c>
      <c r="U437" s="12" t="s">
        <v>329</v>
      </c>
      <c r="V437" s="12">
        <f>VLOOKUP(Tabla4[[#This Row],[ZONA DEFINITIVO]],Hoja1!$A$1:$D$121,3,0)</f>
        <v>229099</v>
      </c>
      <c r="W437" s="12">
        <f>VLOOKUP(Tabla4[[#This Row],[ZONA DEFINITIVO]],Hoja1!$A$1:$D$121,2,0)</f>
        <v>15204</v>
      </c>
      <c r="X437" s="12">
        <f>VLOOKUP(Tabla4[[#This Row],[ZONA DEFINITIVO]],Hoja1!$A$1:$D$121,4,0)</f>
        <v>92025</v>
      </c>
      <c r="Y437" s="12" t="str">
        <f>+IF(Tabla4[[#This Row],[AGRUPACIONES]]=1,SUMIFS(Tabla4[UDS],Tabla4[ZONA DEFINITIVO],Tabla4[[#This Row],[ZONA DEFINITIVO]])," ")</f>
        <v xml:space="preserve"> </v>
      </c>
      <c r="Z437" s="12" t="str">
        <f>+IF(Tabla4[[#This Row],[AGRUPACIONES]]=1,SUMIFS(Tabla4[TOTAL COBERTURA],Tabla4[ZONA DEFINITIVO],Tabla4[[#This Row],[ZONA DEFINITIVO]])," ")</f>
        <v xml:space="preserve"> </v>
      </c>
      <c r="AA437" s="12"/>
      <c r="AB437" s="38">
        <v>30522702</v>
      </c>
      <c r="AC437" s="37">
        <v>0.02</v>
      </c>
      <c r="AD437" s="38">
        <f t="shared" si="7"/>
        <v>610454.04</v>
      </c>
      <c r="AE437" s="12"/>
      <c r="AF437" s="12">
        <f>COUNTIF($A$20:A437,A437)</f>
        <v>10</v>
      </c>
      <c r="AG437" s="38">
        <v>30522702</v>
      </c>
      <c r="AH437" s="38">
        <f>Tabla4[[#This Row],[VALOR CONTRAPARTIDA]]+Tabla4[[#This Row],[TOTAL APORTES ICBF]]</f>
        <v>31133156.039999999</v>
      </c>
      <c r="AI437" s="35"/>
      <c r="AJ437" s="38"/>
      <c r="AK437" s="38"/>
      <c r="AL437" s="23"/>
      <c r="AM437" s="35">
        <f>VLOOKUP(Tabla4[[#This Row],[SERVICIO 2025]],$J$2:$V$14,5,0)*Tabla4[[#This Row],[TOTAL COBERTURA]]</f>
        <v>691264</v>
      </c>
      <c r="AN437" s="35">
        <f>VLOOKUP(Tabla4[[#This Row],[SERVICIO 2025]],$J$2:$V$14,6,0)*Tabla4[[#This Row],[TOTAL COBERTURA]]</f>
        <v>574406</v>
      </c>
      <c r="AO437" s="35">
        <f>VLOOKUP(Tabla4[[#This Row],[SERVICIO 2025]],$J$2:$V$14,8,0)*Tabla4[[#This Row],[TOTAL COBERTURA]]</f>
        <v>407400</v>
      </c>
      <c r="AP437" s="35">
        <f>VLOOKUP(Tabla4[[#This Row],[SERVICIO 2025]],$J$2:$V$14,3,0)*Tabla4[[#This Row],[TOTAL COBERTURA]]*8</f>
        <v>28849632</v>
      </c>
      <c r="AQ437" s="35"/>
      <c r="AR437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437" s="35" t="str">
        <f>+IF(Tabla4[[#This Row],[AGRUPACIONES]]=1,SUMIFS(Tabla4[VALOR TOTAL],Tabla4[ZONA DEFINITIVO],Tabla4[[#This Row],[ZONA DEFINITIVO]])," ")</f>
        <v xml:space="preserve"> </v>
      </c>
      <c r="AT437" s="27">
        <f>(VLOOKUP(Tabla4[[#This Row],[SERVICIO 2025]],$J$2:$V$14,3,0)*Tabla4[[#This Row],[TOTAL COBERTURA]])+Tabla4[[#This Row],[VALOR FASE PREPARATORIA DE ALISTAMIENTO]]+Tabla4[[#This Row],[DOTACIÓN ÚNICA]]</f>
        <v>4704868</v>
      </c>
      <c r="AU437" s="35">
        <f>(VLOOKUP(Tabla4[[#This Row],[SERVICIO 2025]],$J$2:$V$14,3,0)*Tabla4[[#This Row],[TOTAL COBERTURA]])</f>
        <v>3606204</v>
      </c>
      <c r="AV437" s="35">
        <f>(VLOOKUP(Tabla4[[#This Row],[SERVICIO 2025]],$J$2:$V$14,3,0)*Tabla4[[#This Row],[TOTAL COBERTURA]])</f>
        <v>3606204</v>
      </c>
      <c r="AW437" s="35">
        <f>(VLOOKUP(Tabla4[[#This Row],[SERVICIO 2025]],$J$2:$V$14,3,0)*Tabla4[[#This Row],[TOTAL COBERTURA]])</f>
        <v>3606204</v>
      </c>
      <c r="AX437" s="35">
        <f>(VLOOKUP(Tabla4[[#This Row],[SERVICIO 2025]],$J$2:$V$14,3,0)*Tabla4[[#This Row],[TOTAL COBERTURA]])</f>
        <v>3606204</v>
      </c>
      <c r="AY437" s="35">
        <f>(VLOOKUP(Tabla4[[#This Row],[SERVICIO 2025]],$J$2:$V$14,3,0)*Tabla4[[#This Row],[TOTAL COBERTURA]])</f>
        <v>3606204</v>
      </c>
      <c r="AZ437" s="35">
        <f>(VLOOKUP(Tabla4[[#This Row],[SERVICIO 2025]],$J$2:$V$14,3,0)*Tabla4[[#This Row],[TOTAL COBERTURA]])</f>
        <v>3606204</v>
      </c>
      <c r="BA437" s="35">
        <f>(VLOOKUP(Tabla4[[#This Row],[SERVICIO 2025]],$J$2:$V$14,3,0)*Tabla4[[#This Row],[TOTAL COBERTURA]])+Tabla4[[#This Row],[VALOR FASE PREPARATORIA DE CIERRE]]</f>
        <v>4180610</v>
      </c>
      <c r="BB437" s="35">
        <f>SUM(Tabla4[[#This Row],[DESEMBOLSO 1]:[DESEMBOLSO 8]])</f>
        <v>30522702</v>
      </c>
      <c r="BC437" s="35">
        <f>VLOOKUP(Tabla4[[#This Row],[SERVICIO 2025]],$J$2:$V$14,10,0)*Tabla4[[#This Row],[TOTAL COBERTURA]]*$W$3</f>
        <v>20202896</v>
      </c>
      <c r="BD437" s="47" t="s">
        <v>211</v>
      </c>
      <c r="BE437" s="12" t="b">
        <f>EXACT(Tabla4[[#This Row],[VALOR ATENCIÓN (8 MESES)]],Tabla4[[#This Row],[VALOR TOTAL]])</f>
        <v>1</v>
      </c>
      <c r="BF437" s="23">
        <f>Tabla4[[#This Row],[VALOR ATENCIÓN (8 MESES)]]-Tabla4[[#This Row],[VALOR TOTAL]]</f>
        <v>0</v>
      </c>
      <c r="BG437" s="12" t="b">
        <f>EXACT(Tabla4[[#This Row],[TOTAL DESEMBOLSOS]],Tabla4[[#This Row],[VALOR ATENCIÓN (8 MESES)]])</f>
        <v>1</v>
      </c>
      <c r="BH437" s="29">
        <f>Tabla4[[#This Row],[TOTAL DESEMBOLSOS]]-Tabla4[[#This Row],[VALOR ATENCIÓN (8 MESES)]]</f>
        <v>0</v>
      </c>
      <c r="BI437" t="s">
        <v>98</v>
      </c>
      <c r="BJ437">
        <v>1926</v>
      </c>
    </row>
    <row r="438" spans="1:62">
      <c r="A438" s="13">
        <v>1926</v>
      </c>
      <c r="B438" s="13" t="s">
        <v>1007</v>
      </c>
      <c r="C438" s="12" t="s">
        <v>87</v>
      </c>
      <c r="D438" s="12" t="s">
        <v>266</v>
      </c>
      <c r="E438" s="12" t="s">
        <v>1008</v>
      </c>
      <c r="F438" s="12" t="s">
        <v>18</v>
      </c>
      <c r="G438" s="12" t="s">
        <v>90</v>
      </c>
      <c r="H438" s="12" t="s">
        <v>1029</v>
      </c>
      <c r="I438" s="12">
        <v>51251135904</v>
      </c>
      <c r="J438" s="12" t="s">
        <v>1030</v>
      </c>
      <c r="K438" s="12">
        <v>1</v>
      </c>
      <c r="L438" s="12">
        <v>26</v>
      </c>
      <c r="M438" s="12"/>
      <c r="N438" s="13">
        <v>1926</v>
      </c>
      <c r="O438" s="12" t="s">
        <v>93</v>
      </c>
      <c r="P438" s="12"/>
      <c r="Q438" s="12"/>
      <c r="R438" s="12" t="s">
        <v>94</v>
      </c>
      <c r="S438" s="12">
        <v>10</v>
      </c>
      <c r="T438" s="12" t="s">
        <v>328</v>
      </c>
      <c r="U438" s="12" t="s">
        <v>329</v>
      </c>
      <c r="V438" s="12">
        <f>VLOOKUP(Tabla4[[#This Row],[ZONA DEFINITIVO]],Hoja1!$A$1:$D$121,3,0)</f>
        <v>229099</v>
      </c>
      <c r="W438" s="12">
        <f>VLOOKUP(Tabla4[[#This Row],[ZONA DEFINITIVO]],Hoja1!$A$1:$D$121,2,0)</f>
        <v>15204</v>
      </c>
      <c r="X438" s="12">
        <f>VLOOKUP(Tabla4[[#This Row],[ZONA DEFINITIVO]],Hoja1!$A$1:$D$121,4,0)</f>
        <v>92025</v>
      </c>
      <c r="Y438" s="12" t="str">
        <f>+IF(Tabla4[[#This Row],[AGRUPACIONES]]=1,SUMIFS(Tabla4[UDS],Tabla4[ZONA DEFINITIVO],Tabla4[[#This Row],[ZONA DEFINITIVO]])," ")</f>
        <v xml:space="preserve"> </v>
      </c>
      <c r="Z438" s="12" t="str">
        <f>+IF(Tabla4[[#This Row],[AGRUPACIONES]]=1,SUMIFS(Tabla4[TOTAL COBERTURA],Tabla4[ZONA DEFINITIVO],Tabla4[[#This Row],[ZONA DEFINITIVO]])," ")</f>
        <v xml:space="preserve"> </v>
      </c>
      <c r="AA438" s="12"/>
      <c r="AB438" s="38">
        <v>56685018</v>
      </c>
      <c r="AC438" s="37">
        <v>0.02</v>
      </c>
      <c r="AD438" s="38">
        <f t="shared" si="7"/>
        <v>1133700.3600000001</v>
      </c>
      <c r="AE438" s="12"/>
      <c r="AF438" s="12">
        <f>COUNTIF($A$20:A438,A438)</f>
        <v>11</v>
      </c>
      <c r="AG438" s="38">
        <v>56685018</v>
      </c>
      <c r="AH438" s="38">
        <f>Tabla4[[#This Row],[VALOR CONTRAPARTIDA]]+Tabla4[[#This Row],[TOTAL APORTES ICBF]]</f>
        <v>57818718.359999999</v>
      </c>
      <c r="AI438" s="35"/>
      <c r="AJ438" s="38"/>
      <c r="AK438" s="38"/>
      <c r="AL438" s="23"/>
      <c r="AM438" s="35">
        <f>VLOOKUP(Tabla4[[#This Row],[SERVICIO 2025]],$J$2:$V$14,5,0)*Tabla4[[#This Row],[TOTAL COBERTURA]]</f>
        <v>1283776</v>
      </c>
      <c r="AN438" s="35">
        <f>VLOOKUP(Tabla4[[#This Row],[SERVICIO 2025]],$J$2:$V$14,6,0)*Tabla4[[#This Row],[TOTAL COBERTURA]]</f>
        <v>1066754</v>
      </c>
      <c r="AO438" s="35">
        <f>VLOOKUP(Tabla4[[#This Row],[SERVICIO 2025]],$J$2:$V$14,8,0)*Tabla4[[#This Row],[TOTAL COBERTURA]]</f>
        <v>756600</v>
      </c>
      <c r="AP438" s="35">
        <f>VLOOKUP(Tabla4[[#This Row],[SERVICIO 2025]],$J$2:$V$14,3,0)*Tabla4[[#This Row],[TOTAL COBERTURA]]*8</f>
        <v>53577888</v>
      </c>
      <c r="AQ438" s="35"/>
      <c r="AR438" s="35">
        <f>Tabla4[[#This Row],[VALOR FASE PREPARATORIA DE ALISTAMIENTO]]+Tabla4[[#This Row],[VALOR FASE PREPARATORIA DE CIERRE]]+Tabla4[[#This Row],[DOTACIÓN ÚNICA]]+Tabla4[[#This Row],[VALOR ATENCIÓN]]+Tabla4[[#This Row],[VALOR RACION PREPARADA]]</f>
        <v>56685018</v>
      </c>
      <c r="AS438" s="35" t="str">
        <f>+IF(Tabla4[[#This Row],[AGRUPACIONES]]=1,SUMIFS(Tabla4[VALOR TOTAL],Tabla4[ZONA DEFINITIVO],Tabla4[[#This Row],[ZONA DEFINITIVO]])," ")</f>
        <v xml:space="preserve"> </v>
      </c>
      <c r="AT438" s="27">
        <f>(VLOOKUP(Tabla4[[#This Row],[SERVICIO 2025]],$J$2:$V$14,3,0)*Tabla4[[#This Row],[TOTAL COBERTURA]])+Tabla4[[#This Row],[VALOR FASE PREPARATORIA DE ALISTAMIENTO]]+Tabla4[[#This Row],[DOTACIÓN ÚNICA]]</f>
        <v>8737612</v>
      </c>
      <c r="AU438" s="35">
        <f>(VLOOKUP(Tabla4[[#This Row],[SERVICIO 2025]],$J$2:$V$14,3,0)*Tabla4[[#This Row],[TOTAL COBERTURA]])</f>
        <v>6697236</v>
      </c>
      <c r="AV438" s="35">
        <f>(VLOOKUP(Tabla4[[#This Row],[SERVICIO 2025]],$J$2:$V$14,3,0)*Tabla4[[#This Row],[TOTAL COBERTURA]])</f>
        <v>6697236</v>
      </c>
      <c r="AW438" s="35">
        <f>(VLOOKUP(Tabla4[[#This Row],[SERVICIO 2025]],$J$2:$V$14,3,0)*Tabla4[[#This Row],[TOTAL COBERTURA]])</f>
        <v>6697236</v>
      </c>
      <c r="AX438" s="35">
        <f>(VLOOKUP(Tabla4[[#This Row],[SERVICIO 2025]],$J$2:$V$14,3,0)*Tabla4[[#This Row],[TOTAL COBERTURA]])</f>
        <v>6697236</v>
      </c>
      <c r="AY438" s="35">
        <f>(VLOOKUP(Tabla4[[#This Row],[SERVICIO 2025]],$J$2:$V$14,3,0)*Tabla4[[#This Row],[TOTAL COBERTURA]])</f>
        <v>6697236</v>
      </c>
      <c r="AZ438" s="35">
        <f>(VLOOKUP(Tabla4[[#This Row],[SERVICIO 2025]],$J$2:$V$14,3,0)*Tabla4[[#This Row],[TOTAL COBERTURA]])</f>
        <v>6697236</v>
      </c>
      <c r="BA438" s="35">
        <f>(VLOOKUP(Tabla4[[#This Row],[SERVICIO 2025]],$J$2:$V$14,3,0)*Tabla4[[#This Row],[TOTAL COBERTURA]])+Tabla4[[#This Row],[VALOR FASE PREPARATORIA DE CIERRE]]</f>
        <v>7763990</v>
      </c>
      <c r="BB438" s="35">
        <f>SUM(Tabla4[[#This Row],[DESEMBOLSO 1]:[DESEMBOLSO 8]])</f>
        <v>56685018</v>
      </c>
      <c r="BC438" s="35">
        <f>VLOOKUP(Tabla4[[#This Row],[SERVICIO 2025]],$J$2:$V$14,10,0)*Tabla4[[#This Row],[TOTAL COBERTURA]]*$W$3</f>
        <v>37519664</v>
      </c>
      <c r="BD438" s="47" t="s">
        <v>211</v>
      </c>
      <c r="BE438" s="12" t="b">
        <f>EXACT(Tabla4[[#This Row],[VALOR ATENCIÓN (8 MESES)]],Tabla4[[#This Row],[VALOR TOTAL]])</f>
        <v>1</v>
      </c>
      <c r="BF438" s="23">
        <f>Tabla4[[#This Row],[VALOR ATENCIÓN (8 MESES)]]-Tabla4[[#This Row],[VALOR TOTAL]]</f>
        <v>0</v>
      </c>
      <c r="BG438" s="12" t="b">
        <f>EXACT(Tabla4[[#This Row],[TOTAL DESEMBOLSOS]],Tabla4[[#This Row],[VALOR ATENCIÓN (8 MESES)]])</f>
        <v>1</v>
      </c>
      <c r="BH438" s="29">
        <f>Tabla4[[#This Row],[TOTAL DESEMBOLSOS]]-Tabla4[[#This Row],[VALOR ATENCIÓN (8 MESES)]]</f>
        <v>0</v>
      </c>
      <c r="BI438" t="s">
        <v>98</v>
      </c>
      <c r="BJ438">
        <v>1926</v>
      </c>
    </row>
    <row r="439" spans="1:62">
      <c r="A439" s="13">
        <v>1926</v>
      </c>
      <c r="B439" s="13" t="s">
        <v>1007</v>
      </c>
      <c r="C439" s="12" t="s">
        <v>87</v>
      </c>
      <c r="D439" s="12" t="s">
        <v>266</v>
      </c>
      <c r="E439" s="12" t="s">
        <v>1008</v>
      </c>
      <c r="F439" s="12" t="s">
        <v>18</v>
      </c>
      <c r="G439" s="12" t="s">
        <v>90</v>
      </c>
      <c r="H439" s="12" t="s">
        <v>1031</v>
      </c>
      <c r="I439" s="12">
        <v>51251135914</v>
      </c>
      <c r="J439" s="12" t="s">
        <v>1032</v>
      </c>
      <c r="K439" s="12">
        <v>1</v>
      </c>
      <c r="L439" s="12">
        <v>9</v>
      </c>
      <c r="M439" s="12"/>
      <c r="N439" s="13">
        <v>1926</v>
      </c>
      <c r="O439" s="12" t="s">
        <v>93</v>
      </c>
      <c r="P439" s="12"/>
      <c r="Q439" s="12"/>
      <c r="R439" s="12" t="s">
        <v>94</v>
      </c>
      <c r="S439" s="12">
        <v>10</v>
      </c>
      <c r="T439" s="12" t="s">
        <v>328</v>
      </c>
      <c r="U439" s="12" t="s">
        <v>329</v>
      </c>
      <c r="V439" s="12">
        <f>VLOOKUP(Tabla4[[#This Row],[ZONA DEFINITIVO]],Hoja1!$A$1:$D$121,3,0)</f>
        <v>229099</v>
      </c>
      <c r="W439" s="12">
        <f>VLOOKUP(Tabla4[[#This Row],[ZONA DEFINITIVO]],Hoja1!$A$1:$D$121,2,0)</f>
        <v>15204</v>
      </c>
      <c r="X439" s="12">
        <f>VLOOKUP(Tabla4[[#This Row],[ZONA DEFINITIVO]],Hoja1!$A$1:$D$121,4,0)</f>
        <v>92025</v>
      </c>
      <c r="Y439" s="12" t="str">
        <f>+IF(Tabla4[[#This Row],[AGRUPACIONES]]=1,SUMIFS(Tabla4[UDS],Tabla4[ZONA DEFINITIVO],Tabla4[[#This Row],[ZONA DEFINITIVO]])," ")</f>
        <v xml:space="preserve"> </v>
      </c>
      <c r="Z439" s="12" t="str">
        <f>+IF(Tabla4[[#This Row],[AGRUPACIONES]]=1,SUMIFS(Tabla4[TOTAL COBERTURA],Tabla4[ZONA DEFINITIVO],Tabla4[[#This Row],[ZONA DEFINITIVO]])," ")</f>
        <v xml:space="preserve"> </v>
      </c>
      <c r="AA439" s="12"/>
      <c r="AB439" s="38">
        <v>19621737</v>
      </c>
      <c r="AC439" s="37">
        <v>0.02</v>
      </c>
      <c r="AD439" s="38">
        <f t="shared" si="7"/>
        <v>392434.74</v>
      </c>
      <c r="AE439" s="12"/>
      <c r="AF439" s="12">
        <f>COUNTIF($A$20:A439,A439)</f>
        <v>12</v>
      </c>
      <c r="AG439" s="38">
        <v>19621737</v>
      </c>
      <c r="AH439" s="38">
        <f>Tabla4[[#This Row],[VALOR CONTRAPARTIDA]]+Tabla4[[#This Row],[TOTAL APORTES ICBF]]</f>
        <v>20014171.739999998</v>
      </c>
      <c r="AI439" s="35"/>
      <c r="AJ439" s="38"/>
      <c r="AK439" s="38"/>
      <c r="AL439" s="23"/>
      <c r="AM439" s="35">
        <f>VLOOKUP(Tabla4[[#This Row],[SERVICIO 2025]],$J$2:$V$14,5,0)*Tabla4[[#This Row],[TOTAL COBERTURA]]</f>
        <v>444384</v>
      </c>
      <c r="AN439" s="35">
        <f>VLOOKUP(Tabla4[[#This Row],[SERVICIO 2025]],$J$2:$V$14,6,0)*Tabla4[[#This Row],[TOTAL COBERTURA]]</f>
        <v>369261</v>
      </c>
      <c r="AO439" s="35">
        <f>VLOOKUP(Tabla4[[#This Row],[SERVICIO 2025]],$J$2:$V$14,8,0)*Tabla4[[#This Row],[TOTAL COBERTURA]]</f>
        <v>261900</v>
      </c>
      <c r="AP439" s="35">
        <f>VLOOKUP(Tabla4[[#This Row],[SERVICIO 2025]],$J$2:$V$14,3,0)*Tabla4[[#This Row],[TOTAL COBERTURA]]*8</f>
        <v>18546192</v>
      </c>
      <c r="AQ439" s="35"/>
      <c r="AR439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439" s="35" t="str">
        <f>+IF(Tabla4[[#This Row],[AGRUPACIONES]]=1,SUMIFS(Tabla4[VALOR TOTAL],Tabla4[ZONA DEFINITIVO],Tabla4[[#This Row],[ZONA DEFINITIVO]])," ")</f>
        <v xml:space="preserve"> </v>
      </c>
      <c r="AT439" s="27">
        <f>(VLOOKUP(Tabla4[[#This Row],[SERVICIO 2025]],$J$2:$V$14,3,0)*Tabla4[[#This Row],[TOTAL COBERTURA]])+Tabla4[[#This Row],[VALOR FASE PREPARATORIA DE ALISTAMIENTO]]+Tabla4[[#This Row],[DOTACIÓN ÚNICA]]</f>
        <v>3024558</v>
      </c>
      <c r="AU439" s="35">
        <f>(VLOOKUP(Tabla4[[#This Row],[SERVICIO 2025]],$J$2:$V$14,3,0)*Tabla4[[#This Row],[TOTAL COBERTURA]])</f>
        <v>2318274</v>
      </c>
      <c r="AV439" s="35">
        <f>(VLOOKUP(Tabla4[[#This Row],[SERVICIO 2025]],$J$2:$V$14,3,0)*Tabla4[[#This Row],[TOTAL COBERTURA]])</f>
        <v>2318274</v>
      </c>
      <c r="AW439" s="35">
        <f>(VLOOKUP(Tabla4[[#This Row],[SERVICIO 2025]],$J$2:$V$14,3,0)*Tabla4[[#This Row],[TOTAL COBERTURA]])</f>
        <v>2318274</v>
      </c>
      <c r="AX439" s="35">
        <f>(VLOOKUP(Tabla4[[#This Row],[SERVICIO 2025]],$J$2:$V$14,3,0)*Tabla4[[#This Row],[TOTAL COBERTURA]])</f>
        <v>2318274</v>
      </c>
      <c r="AY439" s="35">
        <f>(VLOOKUP(Tabla4[[#This Row],[SERVICIO 2025]],$J$2:$V$14,3,0)*Tabla4[[#This Row],[TOTAL COBERTURA]])</f>
        <v>2318274</v>
      </c>
      <c r="AZ439" s="35">
        <f>(VLOOKUP(Tabla4[[#This Row],[SERVICIO 2025]],$J$2:$V$14,3,0)*Tabla4[[#This Row],[TOTAL COBERTURA]])</f>
        <v>2318274</v>
      </c>
      <c r="BA439" s="35">
        <f>(VLOOKUP(Tabla4[[#This Row],[SERVICIO 2025]],$J$2:$V$14,3,0)*Tabla4[[#This Row],[TOTAL COBERTURA]])+Tabla4[[#This Row],[VALOR FASE PREPARATORIA DE CIERRE]]</f>
        <v>2687535</v>
      </c>
      <c r="BB439" s="35">
        <f>SUM(Tabla4[[#This Row],[DESEMBOLSO 1]:[DESEMBOLSO 8]])</f>
        <v>19621737</v>
      </c>
      <c r="BC439" s="35">
        <f>VLOOKUP(Tabla4[[#This Row],[SERVICIO 2025]],$J$2:$V$14,10,0)*Tabla4[[#This Row],[TOTAL COBERTURA]]*$W$3</f>
        <v>12987576</v>
      </c>
      <c r="BD439" s="47" t="s">
        <v>211</v>
      </c>
      <c r="BE439" s="12" t="b">
        <f>EXACT(Tabla4[[#This Row],[VALOR ATENCIÓN (8 MESES)]],Tabla4[[#This Row],[VALOR TOTAL]])</f>
        <v>1</v>
      </c>
      <c r="BF439" s="23">
        <f>Tabla4[[#This Row],[VALOR ATENCIÓN (8 MESES)]]-Tabla4[[#This Row],[VALOR TOTAL]]</f>
        <v>0</v>
      </c>
      <c r="BG439" s="12" t="b">
        <f>EXACT(Tabla4[[#This Row],[TOTAL DESEMBOLSOS]],Tabla4[[#This Row],[VALOR ATENCIÓN (8 MESES)]])</f>
        <v>1</v>
      </c>
      <c r="BH439" s="29">
        <f>Tabla4[[#This Row],[TOTAL DESEMBOLSOS]]-Tabla4[[#This Row],[VALOR ATENCIÓN (8 MESES)]]</f>
        <v>0</v>
      </c>
      <c r="BI439" t="s">
        <v>98</v>
      </c>
      <c r="BJ439">
        <v>1926</v>
      </c>
    </row>
    <row r="440" spans="1:62">
      <c r="A440" s="13">
        <v>1926</v>
      </c>
      <c r="B440" s="13" t="s">
        <v>1007</v>
      </c>
      <c r="C440" s="12" t="s">
        <v>87</v>
      </c>
      <c r="D440" s="12" t="s">
        <v>266</v>
      </c>
      <c r="E440" s="12" t="s">
        <v>1008</v>
      </c>
      <c r="F440" s="12" t="s">
        <v>18</v>
      </c>
      <c r="G440" s="12" t="s">
        <v>90</v>
      </c>
      <c r="H440" s="12" t="s">
        <v>1033</v>
      </c>
      <c r="I440" s="12">
        <v>51251140588</v>
      </c>
      <c r="J440" s="12" t="s">
        <v>1034</v>
      </c>
      <c r="K440" s="12">
        <v>1</v>
      </c>
      <c r="L440" s="12">
        <v>8</v>
      </c>
      <c r="M440" s="12"/>
      <c r="N440" s="13">
        <v>1926</v>
      </c>
      <c r="O440" s="12" t="s">
        <v>93</v>
      </c>
      <c r="P440" s="12"/>
      <c r="Q440" s="12"/>
      <c r="R440" s="12" t="s">
        <v>94</v>
      </c>
      <c r="S440" s="12">
        <v>10</v>
      </c>
      <c r="T440" s="12" t="s">
        <v>328</v>
      </c>
      <c r="U440" s="12" t="s">
        <v>329</v>
      </c>
      <c r="V440" s="12">
        <f>VLOOKUP(Tabla4[[#This Row],[ZONA DEFINITIVO]],Hoja1!$A$1:$D$121,3,0)</f>
        <v>229099</v>
      </c>
      <c r="W440" s="12">
        <f>VLOOKUP(Tabla4[[#This Row],[ZONA DEFINITIVO]],Hoja1!$A$1:$D$121,2,0)</f>
        <v>15204</v>
      </c>
      <c r="X440" s="12">
        <f>VLOOKUP(Tabla4[[#This Row],[ZONA DEFINITIVO]],Hoja1!$A$1:$D$121,4,0)</f>
        <v>92025</v>
      </c>
      <c r="Y440" s="12" t="str">
        <f>+IF(Tabla4[[#This Row],[AGRUPACIONES]]=1,SUMIFS(Tabla4[UDS],Tabla4[ZONA DEFINITIVO],Tabla4[[#This Row],[ZONA DEFINITIVO]])," ")</f>
        <v xml:space="preserve"> </v>
      </c>
      <c r="Z440" s="12" t="str">
        <f>+IF(Tabla4[[#This Row],[AGRUPACIONES]]=1,SUMIFS(Tabla4[TOTAL COBERTURA],Tabla4[ZONA DEFINITIVO],Tabla4[[#This Row],[ZONA DEFINITIVO]])," ")</f>
        <v xml:space="preserve"> </v>
      </c>
      <c r="AA440" s="12"/>
      <c r="AB440" s="38">
        <v>17441544</v>
      </c>
      <c r="AC440" s="37">
        <v>0.02</v>
      </c>
      <c r="AD440" s="38">
        <f t="shared" si="7"/>
        <v>348830.88</v>
      </c>
      <c r="AE440" s="12"/>
      <c r="AF440" s="12">
        <f>COUNTIF($A$20:A440,A440)</f>
        <v>13</v>
      </c>
      <c r="AG440" s="38">
        <v>17441544</v>
      </c>
      <c r="AH440" s="38">
        <f>Tabla4[[#This Row],[VALOR CONTRAPARTIDA]]+Tabla4[[#This Row],[TOTAL APORTES ICBF]]</f>
        <v>17790374.879999999</v>
      </c>
      <c r="AI440" s="35"/>
      <c r="AJ440" s="38"/>
      <c r="AK440" s="38"/>
      <c r="AL440" s="23"/>
      <c r="AM440" s="35">
        <f>VLOOKUP(Tabla4[[#This Row],[SERVICIO 2025]],$J$2:$V$14,5,0)*Tabla4[[#This Row],[TOTAL COBERTURA]]</f>
        <v>395008</v>
      </c>
      <c r="AN440" s="35">
        <f>VLOOKUP(Tabla4[[#This Row],[SERVICIO 2025]],$J$2:$V$14,6,0)*Tabla4[[#This Row],[TOTAL COBERTURA]]</f>
        <v>328232</v>
      </c>
      <c r="AO440" s="35">
        <f>VLOOKUP(Tabla4[[#This Row],[SERVICIO 2025]],$J$2:$V$14,8,0)*Tabla4[[#This Row],[TOTAL COBERTURA]]</f>
        <v>232800</v>
      </c>
      <c r="AP440" s="35">
        <f>VLOOKUP(Tabla4[[#This Row],[SERVICIO 2025]],$J$2:$V$14,3,0)*Tabla4[[#This Row],[TOTAL COBERTURA]]*8</f>
        <v>16485504</v>
      </c>
      <c r="AQ440" s="35"/>
      <c r="AR440" s="35">
        <f>Tabla4[[#This Row],[VALOR FASE PREPARATORIA DE ALISTAMIENTO]]+Tabla4[[#This Row],[VALOR FASE PREPARATORIA DE CIERRE]]+Tabla4[[#This Row],[DOTACIÓN ÚNICA]]+Tabla4[[#This Row],[VALOR ATENCIÓN]]+Tabla4[[#This Row],[VALOR RACION PREPARADA]]</f>
        <v>17441544</v>
      </c>
      <c r="AS440" s="35" t="str">
        <f>+IF(Tabla4[[#This Row],[AGRUPACIONES]]=1,SUMIFS(Tabla4[VALOR TOTAL],Tabla4[ZONA DEFINITIVO],Tabla4[[#This Row],[ZONA DEFINITIVO]])," ")</f>
        <v xml:space="preserve"> </v>
      </c>
      <c r="AT440" s="27">
        <f>(VLOOKUP(Tabla4[[#This Row],[SERVICIO 2025]],$J$2:$V$14,3,0)*Tabla4[[#This Row],[TOTAL COBERTURA]])+Tabla4[[#This Row],[VALOR FASE PREPARATORIA DE ALISTAMIENTO]]+Tabla4[[#This Row],[DOTACIÓN ÚNICA]]</f>
        <v>2688496</v>
      </c>
      <c r="AU440" s="35">
        <f>(VLOOKUP(Tabla4[[#This Row],[SERVICIO 2025]],$J$2:$V$14,3,0)*Tabla4[[#This Row],[TOTAL COBERTURA]])</f>
        <v>2060688</v>
      </c>
      <c r="AV440" s="35">
        <f>(VLOOKUP(Tabla4[[#This Row],[SERVICIO 2025]],$J$2:$V$14,3,0)*Tabla4[[#This Row],[TOTAL COBERTURA]])</f>
        <v>2060688</v>
      </c>
      <c r="AW440" s="35">
        <f>(VLOOKUP(Tabla4[[#This Row],[SERVICIO 2025]],$J$2:$V$14,3,0)*Tabla4[[#This Row],[TOTAL COBERTURA]])</f>
        <v>2060688</v>
      </c>
      <c r="AX440" s="35">
        <f>(VLOOKUP(Tabla4[[#This Row],[SERVICIO 2025]],$J$2:$V$14,3,0)*Tabla4[[#This Row],[TOTAL COBERTURA]])</f>
        <v>2060688</v>
      </c>
      <c r="AY440" s="35">
        <f>(VLOOKUP(Tabla4[[#This Row],[SERVICIO 2025]],$J$2:$V$14,3,0)*Tabla4[[#This Row],[TOTAL COBERTURA]])</f>
        <v>2060688</v>
      </c>
      <c r="AZ440" s="35">
        <f>(VLOOKUP(Tabla4[[#This Row],[SERVICIO 2025]],$J$2:$V$14,3,0)*Tabla4[[#This Row],[TOTAL COBERTURA]])</f>
        <v>2060688</v>
      </c>
      <c r="BA440" s="35">
        <f>(VLOOKUP(Tabla4[[#This Row],[SERVICIO 2025]],$J$2:$V$14,3,0)*Tabla4[[#This Row],[TOTAL COBERTURA]])+Tabla4[[#This Row],[VALOR FASE PREPARATORIA DE CIERRE]]</f>
        <v>2388920</v>
      </c>
      <c r="BB440" s="35">
        <f>SUM(Tabla4[[#This Row],[DESEMBOLSO 1]:[DESEMBOLSO 8]])</f>
        <v>17441544</v>
      </c>
      <c r="BC440" s="35">
        <f>VLOOKUP(Tabla4[[#This Row],[SERVICIO 2025]],$J$2:$V$14,10,0)*Tabla4[[#This Row],[TOTAL COBERTURA]]*$W$3</f>
        <v>11544512</v>
      </c>
      <c r="BD440" s="47" t="s">
        <v>211</v>
      </c>
      <c r="BE440" s="12" t="b">
        <f>EXACT(Tabla4[[#This Row],[VALOR ATENCIÓN (8 MESES)]],Tabla4[[#This Row],[VALOR TOTAL]])</f>
        <v>1</v>
      </c>
      <c r="BF440" s="23">
        <f>Tabla4[[#This Row],[VALOR ATENCIÓN (8 MESES)]]-Tabla4[[#This Row],[VALOR TOTAL]]</f>
        <v>0</v>
      </c>
      <c r="BG440" s="12" t="b">
        <f>EXACT(Tabla4[[#This Row],[TOTAL DESEMBOLSOS]],Tabla4[[#This Row],[VALOR ATENCIÓN (8 MESES)]])</f>
        <v>1</v>
      </c>
      <c r="BH440" s="29">
        <f>Tabla4[[#This Row],[TOTAL DESEMBOLSOS]]-Tabla4[[#This Row],[VALOR ATENCIÓN (8 MESES)]]</f>
        <v>0</v>
      </c>
      <c r="BI440" t="s">
        <v>98</v>
      </c>
      <c r="BJ440">
        <v>1926</v>
      </c>
    </row>
    <row r="441" spans="1:62">
      <c r="A441" s="13">
        <v>1926</v>
      </c>
      <c r="B441" s="13" t="s">
        <v>1007</v>
      </c>
      <c r="C441" s="12" t="s">
        <v>87</v>
      </c>
      <c r="D441" s="12" t="s">
        <v>266</v>
      </c>
      <c r="E441" s="12" t="s">
        <v>1008</v>
      </c>
      <c r="F441" s="12" t="s">
        <v>18</v>
      </c>
      <c r="G441" s="12" t="s">
        <v>90</v>
      </c>
      <c r="H441" s="12" t="s">
        <v>1035</v>
      </c>
      <c r="I441" s="12">
        <v>51251145239</v>
      </c>
      <c r="J441" s="12" t="s">
        <v>1036</v>
      </c>
      <c r="K441" s="12">
        <v>1</v>
      </c>
      <c r="L441" s="12">
        <v>20</v>
      </c>
      <c r="M441" s="12"/>
      <c r="N441" s="13">
        <v>1926</v>
      </c>
      <c r="O441" s="12" t="s">
        <v>93</v>
      </c>
      <c r="P441" s="12"/>
      <c r="Q441" s="12"/>
      <c r="R441" s="12" t="s">
        <v>94</v>
      </c>
      <c r="S441" s="12">
        <v>10</v>
      </c>
      <c r="T441" s="12" t="s">
        <v>328</v>
      </c>
      <c r="U441" s="12" t="s">
        <v>329</v>
      </c>
      <c r="V441" s="12">
        <f>VLOOKUP(Tabla4[[#This Row],[ZONA DEFINITIVO]],Hoja1!$A$1:$D$121,3,0)</f>
        <v>229099</v>
      </c>
      <c r="W441" s="12">
        <f>VLOOKUP(Tabla4[[#This Row],[ZONA DEFINITIVO]],Hoja1!$A$1:$D$121,2,0)</f>
        <v>15204</v>
      </c>
      <c r="X441" s="12">
        <f>VLOOKUP(Tabla4[[#This Row],[ZONA DEFINITIVO]],Hoja1!$A$1:$D$121,4,0)</f>
        <v>92025</v>
      </c>
      <c r="Y441" s="12" t="str">
        <f>+IF(Tabla4[[#This Row],[AGRUPACIONES]]=1,SUMIFS(Tabla4[UDS],Tabla4[ZONA DEFINITIVO],Tabla4[[#This Row],[ZONA DEFINITIVO]])," ")</f>
        <v xml:space="preserve"> </v>
      </c>
      <c r="Z441" s="12" t="str">
        <f>+IF(Tabla4[[#This Row],[AGRUPACIONES]]=1,SUMIFS(Tabla4[TOTAL COBERTURA],Tabla4[ZONA DEFINITIVO],Tabla4[[#This Row],[ZONA DEFINITIVO]])," ")</f>
        <v xml:space="preserve"> </v>
      </c>
      <c r="AA441" s="12"/>
      <c r="AB441" s="38">
        <v>43603860</v>
      </c>
      <c r="AC441" s="37">
        <v>0.02</v>
      </c>
      <c r="AD441" s="38">
        <f t="shared" si="7"/>
        <v>872077.20000000007</v>
      </c>
      <c r="AE441" s="12"/>
      <c r="AF441" s="12">
        <f>COUNTIF($A$20:A441,A441)</f>
        <v>14</v>
      </c>
      <c r="AG441" s="38">
        <v>43603860</v>
      </c>
      <c r="AH441" s="38">
        <f>Tabla4[[#This Row],[VALOR CONTRAPARTIDA]]+Tabla4[[#This Row],[TOTAL APORTES ICBF]]</f>
        <v>44475937.200000003</v>
      </c>
      <c r="AI441" s="35"/>
      <c r="AJ441" s="38"/>
      <c r="AK441" s="38"/>
      <c r="AL441" s="23"/>
      <c r="AM441" s="35">
        <f>VLOOKUP(Tabla4[[#This Row],[SERVICIO 2025]],$J$2:$V$14,5,0)*Tabla4[[#This Row],[TOTAL COBERTURA]]</f>
        <v>987520</v>
      </c>
      <c r="AN441" s="35">
        <f>VLOOKUP(Tabla4[[#This Row],[SERVICIO 2025]],$J$2:$V$14,6,0)*Tabla4[[#This Row],[TOTAL COBERTURA]]</f>
        <v>820580</v>
      </c>
      <c r="AO441" s="35">
        <f>VLOOKUP(Tabla4[[#This Row],[SERVICIO 2025]],$J$2:$V$14,8,0)*Tabla4[[#This Row],[TOTAL COBERTURA]]</f>
        <v>582000</v>
      </c>
      <c r="AP441" s="35">
        <f>VLOOKUP(Tabla4[[#This Row],[SERVICIO 2025]],$J$2:$V$14,3,0)*Tabla4[[#This Row],[TOTAL COBERTURA]]*8</f>
        <v>41213760</v>
      </c>
      <c r="AQ441" s="35"/>
      <c r="AR441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441" s="35" t="str">
        <f>+IF(Tabla4[[#This Row],[AGRUPACIONES]]=1,SUMIFS(Tabla4[VALOR TOTAL],Tabla4[ZONA DEFINITIVO],Tabla4[[#This Row],[ZONA DEFINITIVO]])," ")</f>
        <v xml:space="preserve"> </v>
      </c>
      <c r="AT441" s="27">
        <f>(VLOOKUP(Tabla4[[#This Row],[SERVICIO 2025]],$J$2:$V$14,3,0)*Tabla4[[#This Row],[TOTAL COBERTURA]])+Tabla4[[#This Row],[VALOR FASE PREPARATORIA DE ALISTAMIENTO]]+Tabla4[[#This Row],[DOTACIÓN ÚNICA]]</f>
        <v>6721240</v>
      </c>
      <c r="AU441" s="35">
        <f>(VLOOKUP(Tabla4[[#This Row],[SERVICIO 2025]],$J$2:$V$14,3,0)*Tabla4[[#This Row],[TOTAL COBERTURA]])</f>
        <v>5151720</v>
      </c>
      <c r="AV441" s="35">
        <f>(VLOOKUP(Tabla4[[#This Row],[SERVICIO 2025]],$J$2:$V$14,3,0)*Tabla4[[#This Row],[TOTAL COBERTURA]])</f>
        <v>5151720</v>
      </c>
      <c r="AW441" s="35">
        <f>(VLOOKUP(Tabla4[[#This Row],[SERVICIO 2025]],$J$2:$V$14,3,0)*Tabla4[[#This Row],[TOTAL COBERTURA]])</f>
        <v>5151720</v>
      </c>
      <c r="AX441" s="35">
        <f>(VLOOKUP(Tabla4[[#This Row],[SERVICIO 2025]],$J$2:$V$14,3,0)*Tabla4[[#This Row],[TOTAL COBERTURA]])</f>
        <v>5151720</v>
      </c>
      <c r="AY441" s="35">
        <f>(VLOOKUP(Tabla4[[#This Row],[SERVICIO 2025]],$J$2:$V$14,3,0)*Tabla4[[#This Row],[TOTAL COBERTURA]])</f>
        <v>5151720</v>
      </c>
      <c r="AZ441" s="35">
        <f>(VLOOKUP(Tabla4[[#This Row],[SERVICIO 2025]],$J$2:$V$14,3,0)*Tabla4[[#This Row],[TOTAL COBERTURA]])</f>
        <v>5151720</v>
      </c>
      <c r="BA441" s="35">
        <f>(VLOOKUP(Tabla4[[#This Row],[SERVICIO 2025]],$J$2:$V$14,3,0)*Tabla4[[#This Row],[TOTAL COBERTURA]])+Tabla4[[#This Row],[VALOR FASE PREPARATORIA DE CIERRE]]</f>
        <v>5972300</v>
      </c>
      <c r="BB441" s="35">
        <f>SUM(Tabla4[[#This Row],[DESEMBOLSO 1]:[DESEMBOLSO 8]])</f>
        <v>43603860</v>
      </c>
      <c r="BC441" s="35">
        <f>VLOOKUP(Tabla4[[#This Row],[SERVICIO 2025]],$J$2:$V$14,10,0)*Tabla4[[#This Row],[TOTAL COBERTURA]]*$W$3</f>
        <v>28861280</v>
      </c>
      <c r="BD441" s="47" t="s">
        <v>211</v>
      </c>
      <c r="BE441" s="12" t="b">
        <f>EXACT(Tabla4[[#This Row],[VALOR ATENCIÓN (8 MESES)]],Tabla4[[#This Row],[VALOR TOTAL]])</f>
        <v>1</v>
      </c>
      <c r="BF441" s="23">
        <f>Tabla4[[#This Row],[VALOR ATENCIÓN (8 MESES)]]-Tabla4[[#This Row],[VALOR TOTAL]]</f>
        <v>0</v>
      </c>
      <c r="BG441" s="12" t="b">
        <f>EXACT(Tabla4[[#This Row],[TOTAL DESEMBOLSOS]],Tabla4[[#This Row],[VALOR ATENCIÓN (8 MESES)]])</f>
        <v>1</v>
      </c>
      <c r="BH441" s="29">
        <f>Tabla4[[#This Row],[TOTAL DESEMBOLSOS]]-Tabla4[[#This Row],[VALOR ATENCIÓN (8 MESES)]]</f>
        <v>0</v>
      </c>
      <c r="BI441" t="s">
        <v>98</v>
      </c>
      <c r="BJ441">
        <v>1926</v>
      </c>
    </row>
    <row r="442" spans="1:62">
      <c r="A442" s="13">
        <v>1926</v>
      </c>
      <c r="B442" s="13" t="s">
        <v>1007</v>
      </c>
      <c r="C442" s="12" t="s">
        <v>87</v>
      </c>
      <c r="D442" s="12" t="s">
        <v>266</v>
      </c>
      <c r="E442" s="12" t="s">
        <v>1008</v>
      </c>
      <c r="F442" s="12" t="s">
        <v>18</v>
      </c>
      <c r="G442" s="12" t="s">
        <v>90</v>
      </c>
      <c r="H442" s="12" t="s">
        <v>1037</v>
      </c>
      <c r="I442" s="12">
        <v>51251148752</v>
      </c>
      <c r="J442" s="12" t="s">
        <v>1038</v>
      </c>
      <c r="K442" s="12">
        <v>1</v>
      </c>
      <c r="L442" s="12">
        <v>16</v>
      </c>
      <c r="M442" s="12"/>
      <c r="N442" s="13">
        <v>1926</v>
      </c>
      <c r="O442" s="12" t="s">
        <v>93</v>
      </c>
      <c r="P442" s="12"/>
      <c r="Q442" s="12"/>
      <c r="R442" s="12" t="s">
        <v>94</v>
      </c>
      <c r="S442" s="12">
        <v>10</v>
      </c>
      <c r="T442" s="12" t="s">
        <v>328</v>
      </c>
      <c r="U442" s="12" t="s">
        <v>329</v>
      </c>
      <c r="V442" s="12">
        <f>VLOOKUP(Tabla4[[#This Row],[ZONA DEFINITIVO]],Hoja1!$A$1:$D$121,3,0)</f>
        <v>229099</v>
      </c>
      <c r="W442" s="12">
        <f>VLOOKUP(Tabla4[[#This Row],[ZONA DEFINITIVO]],Hoja1!$A$1:$D$121,2,0)</f>
        <v>15204</v>
      </c>
      <c r="X442" s="12">
        <f>VLOOKUP(Tabla4[[#This Row],[ZONA DEFINITIVO]],Hoja1!$A$1:$D$121,4,0)</f>
        <v>92025</v>
      </c>
      <c r="Y442" s="12" t="str">
        <f>+IF(Tabla4[[#This Row],[AGRUPACIONES]]=1,SUMIFS(Tabla4[UDS],Tabla4[ZONA DEFINITIVO],Tabla4[[#This Row],[ZONA DEFINITIVO]])," ")</f>
        <v xml:space="preserve"> </v>
      </c>
      <c r="Z442" s="12" t="str">
        <f>+IF(Tabla4[[#This Row],[AGRUPACIONES]]=1,SUMIFS(Tabla4[TOTAL COBERTURA],Tabla4[ZONA DEFINITIVO],Tabla4[[#This Row],[ZONA DEFINITIVO]])," ")</f>
        <v xml:space="preserve"> </v>
      </c>
      <c r="AA442" s="12"/>
      <c r="AB442" s="38">
        <v>34883088</v>
      </c>
      <c r="AC442" s="37">
        <v>0.02</v>
      </c>
      <c r="AD442" s="38">
        <f t="shared" si="7"/>
        <v>697661.76</v>
      </c>
      <c r="AE442" s="12"/>
      <c r="AF442" s="12">
        <f>COUNTIF($A$20:A442,A442)</f>
        <v>15</v>
      </c>
      <c r="AG442" s="38">
        <v>34883088</v>
      </c>
      <c r="AH442" s="38">
        <f>Tabla4[[#This Row],[VALOR CONTRAPARTIDA]]+Tabla4[[#This Row],[TOTAL APORTES ICBF]]</f>
        <v>35580749.759999998</v>
      </c>
      <c r="AI442" s="35"/>
      <c r="AJ442" s="38"/>
      <c r="AK442" s="38"/>
      <c r="AL442" s="23"/>
      <c r="AM442" s="35">
        <f>VLOOKUP(Tabla4[[#This Row],[SERVICIO 2025]],$J$2:$V$14,5,0)*Tabla4[[#This Row],[TOTAL COBERTURA]]</f>
        <v>790016</v>
      </c>
      <c r="AN442" s="35">
        <f>VLOOKUP(Tabla4[[#This Row],[SERVICIO 2025]],$J$2:$V$14,6,0)*Tabla4[[#This Row],[TOTAL COBERTURA]]</f>
        <v>656464</v>
      </c>
      <c r="AO442" s="35">
        <f>VLOOKUP(Tabla4[[#This Row],[SERVICIO 2025]],$J$2:$V$14,8,0)*Tabla4[[#This Row],[TOTAL COBERTURA]]</f>
        <v>465600</v>
      </c>
      <c r="AP442" s="35">
        <f>VLOOKUP(Tabla4[[#This Row],[SERVICIO 2025]],$J$2:$V$14,3,0)*Tabla4[[#This Row],[TOTAL COBERTURA]]*8</f>
        <v>32971008</v>
      </c>
      <c r="AQ442" s="35"/>
      <c r="AR442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442" s="35" t="str">
        <f>+IF(Tabla4[[#This Row],[AGRUPACIONES]]=1,SUMIFS(Tabla4[VALOR TOTAL],Tabla4[ZONA DEFINITIVO],Tabla4[[#This Row],[ZONA DEFINITIVO]])," ")</f>
        <v xml:space="preserve"> </v>
      </c>
      <c r="AT442" s="27">
        <f>(VLOOKUP(Tabla4[[#This Row],[SERVICIO 2025]],$J$2:$V$14,3,0)*Tabla4[[#This Row],[TOTAL COBERTURA]])+Tabla4[[#This Row],[VALOR FASE PREPARATORIA DE ALISTAMIENTO]]+Tabla4[[#This Row],[DOTACIÓN ÚNICA]]</f>
        <v>5376992</v>
      </c>
      <c r="AU442" s="35">
        <f>(VLOOKUP(Tabla4[[#This Row],[SERVICIO 2025]],$J$2:$V$14,3,0)*Tabla4[[#This Row],[TOTAL COBERTURA]])</f>
        <v>4121376</v>
      </c>
      <c r="AV442" s="35">
        <f>(VLOOKUP(Tabla4[[#This Row],[SERVICIO 2025]],$J$2:$V$14,3,0)*Tabla4[[#This Row],[TOTAL COBERTURA]])</f>
        <v>4121376</v>
      </c>
      <c r="AW442" s="35">
        <f>(VLOOKUP(Tabla4[[#This Row],[SERVICIO 2025]],$J$2:$V$14,3,0)*Tabla4[[#This Row],[TOTAL COBERTURA]])</f>
        <v>4121376</v>
      </c>
      <c r="AX442" s="35">
        <f>(VLOOKUP(Tabla4[[#This Row],[SERVICIO 2025]],$J$2:$V$14,3,0)*Tabla4[[#This Row],[TOTAL COBERTURA]])</f>
        <v>4121376</v>
      </c>
      <c r="AY442" s="35">
        <f>(VLOOKUP(Tabla4[[#This Row],[SERVICIO 2025]],$J$2:$V$14,3,0)*Tabla4[[#This Row],[TOTAL COBERTURA]])</f>
        <v>4121376</v>
      </c>
      <c r="AZ442" s="35">
        <f>(VLOOKUP(Tabla4[[#This Row],[SERVICIO 2025]],$J$2:$V$14,3,0)*Tabla4[[#This Row],[TOTAL COBERTURA]])</f>
        <v>4121376</v>
      </c>
      <c r="BA442" s="35">
        <f>(VLOOKUP(Tabla4[[#This Row],[SERVICIO 2025]],$J$2:$V$14,3,0)*Tabla4[[#This Row],[TOTAL COBERTURA]])+Tabla4[[#This Row],[VALOR FASE PREPARATORIA DE CIERRE]]</f>
        <v>4777840</v>
      </c>
      <c r="BB442" s="35">
        <f>SUM(Tabla4[[#This Row],[DESEMBOLSO 1]:[DESEMBOLSO 8]])</f>
        <v>34883088</v>
      </c>
      <c r="BC442" s="35">
        <f>VLOOKUP(Tabla4[[#This Row],[SERVICIO 2025]],$J$2:$V$14,10,0)*Tabla4[[#This Row],[TOTAL COBERTURA]]*$W$3</f>
        <v>23089024</v>
      </c>
      <c r="BD442" s="47" t="s">
        <v>211</v>
      </c>
      <c r="BE442" s="12" t="b">
        <f>EXACT(Tabla4[[#This Row],[VALOR ATENCIÓN (8 MESES)]],Tabla4[[#This Row],[VALOR TOTAL]])</f>
        <v>1</v>
      </c>
      <c r="BF442" s="23">
        <f>Tabla4[[#This Row],[VALOR ATENCIÓN (8 MESES)]]-Tabla4[[#This Row],[VALOR TOTAL]]</f>
        <v>0</v>
      </c>
      <c r="BG442" s="12" t="b">
        <f>EXACT(Tabla4[[#This Row],[TOTAL DESEMBOLSOS]],Tabla4[[#This Row],[VALOR ATENCIÓN (8 MESES)]])</f>
        <v>1</v>
      </c>
      <c r="BH442" s="29">
        <f>Tabla4[[#This Row],[TOTAL DESEMBOLSOS]]-Tabla4[[#This Row],[VALOR ATENCIÓN (8 MESES)]]</f>
        <v>0</v>
      </c>
      <c r="BI442" t="s">
        <v>98</v>
      </c>
      <c r="BJ442">
        <v>1926</v>
      </c>
    </row>
    <row r="443" spans="1:62">
      <c r="A443" s="13">
        <v>1926</v>
      </c>
      <c r="B443" s="13" t="s">
        <v>1007</v>
      </c>
      <c r="C443" s="12" t="s">
        <v>87</v>
      </c>
      <c r="D443" s="12" t="s">
        <v>266</v>
      </c>
      <c r="E443" s="12" t="s">
        <v>1008</v>
      </c>
      <c r="F443" s="12" t="s">
        <v>19</v>
      </c>
      <c r="G443" s="12" t="s">
        <v>90</v>
      </c>
      <c r="H443" s="12" t="s">
        <v>1039</v>
      </c>
      <c r="I443" s="12">
        <v>51251152186</v>
      </c>
      <c r="J443" s="12" t="s">
        <v>1040</v>
      </c>
      <c r="K443" s="12">
        <v>1</v>
      </c>
      <c r="L443" s="12">
        <v>51</v>
      </c>
      <c r="M443" s="12"/>
      <c r="N443" s="13">
        <v>1926</v>
      </c>
      <c r="O443" s="12" t="s">
        <v>93</v>
      </c>
      <c r="P443" s="12"/>
      <c r="Q443" s="12"/>
      <c r="R443" s="12" t="s">
        <v>94</v>
      </c>
      <c r="S443" s="12">
        <v>10</v>
      </c>
      <c r="T443" s="12" t="s">
        <v>328</v>
      </c>
      <c r="U443" s="12" t="s">
        <v>329</v>
      </c>
      <c r="V443" s="12">
        <f>VLOOKUP(Tabla4[[#This Row],[ZONA DEFINITIVO]],Hoja1!$A$1:$D$121,3,0)</f>
        <v>229099</v>
      </c>
      <c r="W443" s="12">
        <f>VLOOKUP(Tabla4[[#This Row],[ZONA DEFINITIVO]],Hoja1!$A$1:$D$121,2,0)</f>
        <v>15204</v>
      </c>
      <c r="X443" s="12">
        <f>VLOOKUP(Tabla4[[#This Row],[ZONA DEFINITIVO]],Hoja1!$A$1:$D$121,4,0)</f>
        <v>92025</v>
      </c>
      <c r="Y443" s="12" t="str">
        <f>+IF(Tabla4[[#This Row],[AGRUPACIONES]]=1,SUMIFS(Tabla4[UDS],Tabla4[ZONA DEFINITIVO],Tabla4[[#This Row],[ZONA DEFINITIVO]])," ")</f>
        <v xml:space="preserve"> </v>
      </c>
      <c r="Z443" s="12" t="str">
        <f>+IF(Tabla4[[#This Row],[AGRUPACIONES]]=1,SUMIFS(Tabla4[TOTAL COBERTURA],Tabla4[ZONA DEFINITIVO],Tabla4[[#This Row],[ZONA DEFINITIVO]])," ")</f>
        <v xml:space="preserve"> </v>
      </c>
      <c r="AA443" s="12"/>
      <c r="AB443" s="38">
        <v>114808701</v>
      </c>
      <c r="AC443" s="37">
        <v>0.02</v>
      </c>
      <c r="AD443" s="38">
        <f t="shared" si="7"/>
        <v>2296174.02</v>
      </c>
      <c r="AE443" s="12"/>
      <c r="AF443" s="12">
        <f>COUNTIF($A$20:A443,A443)</f>
        <v>16</v>
      </c>
      <c r="AG443" s="38">
        <v>114808701</v>
      </c>
      <c r="AH443" s="38">
        <f>Tabla4[[#This Row],[VALOR CONTRAPARTIDA]]+Tabla4[[#This Row],[TOTAL APORTES ICBF]]</f>
        <v>117104875.02</v>
      </c>
      <c r="AI443" s="35"/>
      <c r="AJ443" s="38"/>
      <c r="AK443" s="38"/>
      <c r="AL443" s="23"/>
      <c r="AM443" s="35">
        <f>VLOOKUP(Tabla4[[#This Row],[SERVICIO 2025]],$J$2:$V$14,5,0)*Tabla4[[#This Row],[TOTAL COBERTURA]]</f>
        <v>2624613</v>
      </c>
      <c r="AN443" s="35">
        <f>VLOOKUP(Tabla4[[#This Row],[SERVICIO 2025]],$J$2:$V$14,6,0)*Tabla4[[#This Row],[TOTAL COBERTURA]]</f>
        <v>2198916</v>
      </c>
      <c r="AO443" s="35">
        <f>VLOOKUP(Tabla4[[#This Row],[SERVICIO 2025]],$J$2:$V$14,8,0)*Tabla4[[#This Row],[TOTAL COBERTURA]]</f>
        <v>1484100</v>
      </c>
      <c r="AP443" s="35">
        <f>VLOOKUP(Tabla4[[#This Row],[SERVICIO 2025]],$J$2:$V$14,3,0)*Tabla4[[#This Row],[TOTAL COBERTURA]]*8</f>
        <v>108501072</v>
      </c>
      <c r="AQ443" s="35"/>
      <c r="AR443" s="35">
        <f>Tabla4[[#This Row],[VALOR FASE PREPARATORIA DE ALISTAMIENTO]]+Tabla4[[#This Row],[VALOR FASE PREPARATORIA DE CIERRE]]+Tabla4[[#This Row],[DOTACIÓN ÚNICA]]+Tabla4[[#This Row],[VALOR ATENCIÓN]]+Tabla4[[#This Row],[VALOR RACION PREPARADA]]</f>
        <v>114808701</v>
      </c>
      <c r="AS443" s="35" t="str">
        <f>+IF(Tabla4[[#This Row],[AGRUPACIONES]]=1,SUMIFS(Tabla4[VALOR TOTAL],Tabla4[ZONA DEFINITIVO],Tabla4[[#This Row],[ZONA DEFINITIVO]])," ")</f>
        <v xml:space="preserve"> </v>
      </c>
      <c r="AT443" s="27">
        <f>(VLOOKUP(Tabla4[[#This Row],[SERVICIO 2025]],$J$2:$V$14,3,0)*Tabla4[[#This Row],[TOTAL COBERTURA]])+Tabla4[[#This Row],[VALOR FASE PREPARATORIA DE ALISTAMIENTO]]+Tabla4[[#This Row],[DOTACIÓN ÚNICA]]</f>
        <v>17671347</v>
      </c>
      <c r="AU443" s="35">
        <f>(VLOOKUP(Tabla4[[#This Row],[SERVICIO 2025]],$J$2:$V$14,3,0)*Tabla4[[#This Row],[TOTAL COBERTURA]])</f>
        <v>13562634</v>
      </c>
      <c r="AV443" s="35">
        <f>(VLOOKUP(Tabla4[[#This Row],[SERVICIO 2025]],$J$2:$V$14,3,0)*Tabla4[[#This Row],[TOTAL COBERTURA]])</f>
        <v>13562634</v>
      </c>
      <c r="AW443" s="35">
        <f>(VLOOKUP(Tabla4[[#This Row],[SERVICIO 2025]],$J$2:$V$14,3,0)*Tabla4[[#This Row],[TOTAL COBERTURA]])</f>
        <v>13562634</v>
      </c>
      <c r="AX443" s="35">
        <f>(VLOOKUP(Tabla4[[#This Row],[SERVICIO 2025]],$J$2:$V$14,3,0)*Tabla4[[#This Row],[TOTAL COBERTURA]])</f>
        <v>13562634</v>
      </c>
      <c r="AY443" s="35">
        <f>(VLOOKUP(Tabla4[[#This Row],[SERVICIO 2025]],$J$2:$V$14,3,0)*Tabla4[[#This Row],[TOTAL COBERTURA]])</f>
        <v>13562634</v>
      </c>
      <c r="AZ443" s="35">
        <f>(VLOOKUP(Tabla4[[#This Row],[SERVICIO 2025]],$J$2:$V$14,3,0)*Tabla4[[#This Row],[TOTAL COBERTURA]])</f>
        <v>13562634</v>
      </c>
      <c r="BA443" s="35">
        <f>(VLOOKUP(Tabla4[[#This Row],[SERVICIO 2025]],$J$2:$V$14,3,0)*Tabla4[[#This Row],[TOTAL COBERTURA]])+Tabla4[[#This Row],[VALOR FASE PREPARATORIA DE CIERRE]]</f>
        <v>15761550</v>
      </c>
      <c r="BB443" s="35">
        <f>SUM(Tabla4[[#This Row],[DESEMBOLSO 1]:[DESEMBOLSO 8]])</f>
        <v>114808701</v>
      </c>
      <c r="BC443" s="35">
        <f>VLOOKUP(Tabla4[[#This Row],[SERVICIO 2025]],$J$2:$V$14,10,0)*Tabla4[[#This Row],[TOTAL COBERTURA]]*$W$3</f>
        <v>73596264</v>
      </c>
      <c r="BD443" s="47" t="s">
        <v>211</v>
      </c>
      <c r="BE443" s="12" t="b">
        <f>EXACT(Tabla4[[#This Row],[VALOR ATENCIÓN (8 MESES)]],Tabla4[[#This Row],[VALOR TOTAL]])</f>
        <v>1</v>
      </c>
      <c r="BF443" s="23">
        <f>Tabla4[[#This Row],[VALOR ATENCIÓN (8 MESES)]]-Tabla4[[#This Row],[VALOR TOTAL]]</f>
        <v>0</v>
      </c>
      <c r="BG443" s="12" t="b">
        <f>EXACT(Tabla4[[#This Row],[TOTAL DESEMBOLSOS]],Tabla4[[#This Row],[VALOR ATENCIÓN (8 MESES)]])</f>
        <v>1</v>
      </c>
      <c r="BH443" s="29">
        <f>Tabla4[[#This Row],[TOTAL DESEMBOLSOS]]-Tabla4[[#This Row],[VALOR ATENCIÓN (8 MESES)]]</f>
        <v>0</v>
      </c>
      <c r="BI443" t="s">
        <v>98</v>
      </c>
      <c r="BJ443">
        <v>1926</v>
      </c>
    </row>
    <row r="444" spans="1:62">
      <c r="A444" s="13">
        <v>1926</v>
      </c>
      <c r="B444" s="13" t="s">
        <v>1007</v>
      </c>
      <c r="C444" s="12" t="s">
        <v>87</v>
      </c>
      <c r="D444" s="12" t="s">
        <v>266</v>
      </c>
      <c r="E444" s="12" t="s">
        <v>1008</v>
      </c>
      <c r="F444" s="12" t="s">
        <v>18</v>
      </c>
      <c r="G444" s="12" t="s">
        <v>90</v>
      </c>
      <c r="H444" s="12" t="s">
        <v>1041</v>
      </c>
      <c r="I444" s="12">
        <v>51251152189</v>
      </c>
      <c r="J444" s="12" t="s">
        <v>1042</v>
      </c>
      <c r="K444" s="12">
        <v>1</v>
      </c>
      <c r="L444" s="12">
        <v>9</v>
      </c>
      <c r="M444" s="12"/>
      <c r="N444" s="13">
        <v>1926</v>
      </c>
      <c r="O444" s="12" t="s">
        <v>93</v>
      </c>
      <c r="P444" s="12"/>
      <c r="Q444" s="12"/>
      <c r="R444" s="12" t="s">
        <v>94</v>
      </c>
      <c r="S444" s="12">
        <v>10</v>
      </c>
      <c r="T444" s="12" t="s">
        <v>328</v>
      </c>
      <c r="U444" s="12" t="s">
        <v>329</v>
      </c>
      <c r="V444" s="12">
        <f>VLOOKUP(Tabla4[[#This Row],[ZONA DEFINITIVO]],Hoja1!$A$1:$D$121,3,0)</f>
        <v>229099</v>
      </c>
      <c r="W444" s="12">
        <f>VLOOKUP(Tabla4[[#This Row],[ZONA DEFINITIVO]],Hoja1!$A$1:$D$121,2,0)</f>
        <v>15204</v>
      </c>
      <c r="X444" s="12">
        <f>VLOOKUP(Tabla4[[#This Row],[ZONA DEFINITIVO]],Hoja1!$A$1:$D$121,4,0)</f>
        <v>92025</v>
      </c>
      <c r="Y444" s="12" t="str">
        <f>+IF(Tabla4[[#This Row],[AGRUPACIONES]]=1,SUMIFS(Tabla4[UDS],Tabla4[ZONA DEFINITIVO],Tabla4[[#This Row],[ZONA DEFINITIVO]])," ")</f>
        <v xml:space="preserve"> </v>
      </c>
      <c r="Z444" s="12" t="str">
        <f>+IF(Tabla4[[#This Row],[AGRUPACIONES]]=1,SUMIFS(Tabla4[TOTAL COBERTURA],Tabla4[ZONA DEFINITIVO],Tabla4[[#This Row],[ZONA DEFINITIVO]])," ")</f>
        <v xml:space="preserve"> </v>
      </c>
      <c r="AA444" s="12"/>
      <c r="AB444" s="38">
        <v>19621737</v>
      </c>
      <c r="AC444" s="37">
        <v>0.02</v>
      </c>
      <c r="AD444" s="38">
        <f t="shared" si="7"/>
        <v>392434.74</v>
      </c>
      <c r="AE444" s="12"/>
      <c r="AF444" s="12">
        <f>COUNTIF($A$20:A444,A444)</f>
        <v>17</v>
      </c>
      <c r="AG444" s="38">
        <v>19621737</v>
      </c>
      <c r="AH444" s="38">
        <f>Tabla4[[#This Row],[VALOR CONTRAPARTIDA]]+Tabla4[[#This Row],[TOTAL APORTES ICBF]]</f>
        <v>20014171.739999998</v>
      </c>
      <c r="AI444" s="35"/>
      <c r="AJ444" s="38"/>
      <c r="AK444" s="38"/>
      <c r="AL444" s="23"/>
      <c r="AM444" s="35">
        <f>VLOOKUP(Tabla4[[#This Row],[SERVICIO 2025]],$J$2:$V$14,5,0)*Tabla4[[#This Row],[TOTAL COBERTURA]]</f>
        <v>444384</v>
      </c>
      <c r="AN444" s="35">
        <f>VLOOKUP(Tabla4[[#This Row],[SERVICIO 2025]],$J$2:$V$14,6,0)*Tabla4[[#This Row],[TOTAL COBERTURA]]</f>
        <v>369261</v>
      </c>
      <c r="AO444" s="35">
        <f>VLOOKUP(Tabla4[[#This Row],[SERVICIO 2025]],$J$2:$V$14,8,0)*Tabla4[[#This Row],[TOTAL COBERTURA]]</f>
        <v>261900</v>
      </c>
      <c r="AP444" s="35">
        <f>VLOOKUP(Tabla4[[#This Row],[SERVICIO 2025]],$J$2:$V$14,3,0)*Tabla4[[#This Row],[TOTAL COBERTURA]]*8</f>
        <v>18546192</v>
      </c>
      <c r="AQ444" s="35"/>
      <c r="AR444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444" s="35" t="str">
        <f>+IF(Tabla4[[#This Row],[AGRUPACIONES]]=1,SUMIFS(Tabla4[VALOR TOTAL],Tabla4[ZONA DEFINITIVO],Tabla4[[#This Row],[ZONA DEFINITIVO]])," ")</f>
        <v xml:space="preserve"> </v>
      </c>
      <c r="AT444" s="27">
        <f>(VLOOKUP(Tabla4[[#This Row],[SERVICIO 2025]],$J$2:$V$14,3,0)*Tabla4[[#This Row],[TOTAL COBERTURA]])+Tabla4[[#This Row],[VALOR FASE PREPARATORIA DE ALISTAMIENTO]]+Tabla4[[#This Row],[DOTACIÓN ÚNICA]]</f>
        <v>3024558</v>
      </c>
      <c r="AU444" s="35">
        <f>(VLOOKUP(Tabla4[[#This Row],[SERVICIO 2025]],$J$2:$V$14,3,0)*Tabla4[[#This Row],[TOTAL COBERTURA]])</f>
        <v>2318274</v>
      </c>
      <c r="AV444" s="35">
        <f>(VLOOKUP(Tabla4[[#This Row],[SERVICIO 2025]],$J$2:$V$14,3,0)*Tabla4[[#This Row],[TOTAL COBERTURA]])</f>
        <v>2318274</v>
      </c>
      <c r="AW444" s="35">
        <f>(VLOOKUP(Tabla4[[#This Row],[SERVICIO 2025]],$J$2:$V$14,3,0)*Tabla4[[#This Row],[TOTAL COBERTURA]])</f>
        <v>2318274</v>
      </c>
      <c r="AX444" s="35">
        <f>(VLOOKUP(Tabla4[[#This Row],[SERVICIO 2025]],$J$2:$V$14,3,0)*Tabla4[[#This Row],[TOTAL COBERTURA]])</f>
        <v>2318274</v>
      </c>
      <c r="AY444" s="35">
        <f>(VLOOKUP(Tabla4[[#This Row],[SERVICIO 2025]],$J$2:$V$14,3,0)*Tabla4[[#This Row],[TOTAL COBERTURA]])</f>
        <v>2318274</v>
      </c>
      <c r="AZ444" s="35">
        <f>(VLOOKUP(Tabla4[[#This Row],[SERVICIO 2025]],$J$2:$V$14,3,0)*Tabla4[[#This Row],[TOTAL COBERTURA]])</f>
        <v>2318274</v>
      </c>
      <c r="BA444" s="35">
        <f>(VLOOKUP(Tabla4[[#This Row],[SERVICIO 2025]],$J$2:$V$14,3,0)*Tabla4[[#This Row],[TOTAL COBERTURA]])+Tabla4[[#This Row],[VALOR FASE PREPARATORIA DE CIERRE]]</f>
        <v>2687535</v>
      </c>
      <c r="BB444" s="35">
        <f>SUM(Tabla4[[#This Row],[DESEMBOLSO 1]:[DESEMBOLSO 8]])</f>
        <v>19621737</v>
      </c>
      <c r="BC444" s="35">
        <f>VLOOKUP(Tabla4[[#This Row],[SERVICIO 2025]],$J$2:$V$14,10,0)*Tabla4[[#This Row],[TOTAL COBERTURA]]*$W$3</f>
        <v>12987576</v>
      </c>
      <c r="BD444" s="47" t="s">
        <v>211</v>
      </c>
      <c r="BE444" s="12" t="b">
        <f>EXACT(Tabla4[[#This Row],[VALOR ATENCIÓN (8 MESES)]],Tabla4[[#This Row],[VALOR TOTAL]])</f>
        <v>1</v>
      </c>
      <c r="BF444" s="23">
        <f>Tabla4[[#This Row],[VALOR ATENCIÓN (8 MESES)]]-Tabla4[[#This Row],[VALOR TOTAL]]</f>
        <v>0</v>
      </c>
      <c r="BG444" s="12" t="b">
        <f>EXACT(Tabla4[[#This Row],[TOTAL DESEMBOLSOS]],Tabla4[[#This Row],[VALOR ATENCIÓN (8 MESES)]])</f>
        <v>1</v>
      </c>
      <c r="BH444" s="29">
        <f>Tabla4[[#This Row],[TOTAL DESEMBOLSOS]]-Tabla4[[#This Row],[VALOR ATENCIÓN (8 MESES)]]</f>
        <v>0</v>
      </c>
      <c r="BI444" t="s">
        <v>98</v>
      </c>
      <c r="BJ444">
        <v>1926</v>
      </c>
    </row>
    <row r="445" spans="1:62">
      <c r="A445" s="13">
        <v>1926</v>
      </c>
      <c r="B445" s="13" t="s">
        <v>1007</v>
      </c>
      <c r="C445" s="12" t="s">
        <v>87</v>
      </c>
      <c r="D445" s="12" t="s">
        <v>266</v>
      </c>
      <c r="E445" s="12" t="s">
        <v>1008</v>
      </c>
      <c r="F445" s="12" t="s">
        <v>18</v>
      </c>
      <c r="G445" s="12" t="s">
        <v>90</v>
      </c>
      <c r="H445" s="12" t="s">
        <v>1043</v>
      </c>
      <c r="I445" s="12">
        <v>51251152190</v>
      </c>
      <c r="J445" s="12" t="s">
        <v>1044</v>
      </c>
      <c r="K445" s="12">
        <v>1</v>
      </c>
      <c r="L445" s="12">
        <v>31</v>
      </c>
      <c r="M445" s="12"/>
      <c r="N445" s="13">
        <v>1926</v>
      </c>
      <c r="O445" s="12" t="s">
        <v>93</v>
      </c>
      <c r="P445" s="12"/>
      <c r="Q445" s="12"/>
      <c r="R445" s="12" t="s">
        <v>94</v>
      </c>
      <c r="S445" s="12">
        <v>10</v>
      </c>
      <c r="T445" s="12" t="s">
        <v>328</v>
      </c>
      <c r="U445" s="12" t="s">
        <v>329</v>
      </c>
      <c r="V445" s="12">
        <f>VLOOKUP(Tabla4[[#This Row],[ZONA DEFINITIVO]],Hoja1!$A$1:$D$121,3,0)</f>
        <v>229099</v>
      </c>
      <c r="W445" s="12">
        <f>VLOOKUP(Tabla4[[#This Row],[ZONA DEFINITIVO]],Hoja1!$A$1:$D$121,2,0)</f>
        <v>15204</v>
      </c>
      <c r="X445" s="12">
        <f>VLOOKUP(Tabla4[[#This Row],[ZONA DEFINITIVO]],Hoja1!$A$1:$D$121,4,0)</f>
        <v>92025</v>
      </c>
      <c r="Y445" s="12" t="str">
        <f>+IF(Tabla4[[#This Row],[AGRUPACIONES]]=1,SUMIFS(Tabla4[UDS],Tabla4[ZONA DEFINITIVO],Tabla4[[#This Row],[ZONA DEFINITIVO]])," ")</f>
        <v xml:space="preserve"> </v>
      </c>
      <c r="Z445" s="12" t="str">
        <f>+IF(Tabla4[[#This Row],[AGRUPACIONES]]=1,SUMIFS(Tabla4[TOTAL COBERTURA],Tabla4[ZONA DEFINITIVO],Tabla4[[#This Row],[ZONA DEFINITIVO]])," ")</f>
        <v xml:space="preserve"> </v>
      </c>
      <c r="AA445" s="12"/>
      <c r="AB445" s="38">
        <v>67585983</v>
      </c>
      <c r="AC445" s="37">
        <v>0.02</v>
      </c>
      <c r="AD445" s="38">
        <f t="shared" si="7"/>
        <v>1351719.66</v>
      </c>
      <c r="AE445" s="12"/>
      <c r="AF445" s="12">
        <f>COUNTIF($A$20:A445,A445)</f>
        <v>18</v>
      </c>
      <c r="AG445" s="38">
        <v>67585983</v>
      </c>
      <c r="AH445" s="38">
        <f>Tabla4[[#This Row],[VALOR CONTRAPARTIDA]]+Tabla4[[#This Row],[TOTAL APORTES ICBF]]</f>
        <v>68937702.659999996</v>
      </c>
      <c r="AI445" s="35"/>
      <c r="AJ445" s="38"/>
      <c r="AK445" s="38"/>
      <c r="AL445" s="23"/>
      <c r="AM445" s="35">
        <f>VLOOKUP(Tabla4[[#This Row],[SERVICIO 2025]],$J$2:$V$14,5,0)*Tabla4[[#This Row],[TOTAL COBERTURA]]</f>
        <v>1530656</v>
      </c>
      <c r="AN445" s="35">
        <f>VLOOKUP(Tabla4[[#This Row],[SERVICIO 2025]],$J$2:$V$14,6,0)*Tabla4[[#This Row],[TOTAL COBERTURA]]</f>
        <v>1271899</v>
      </c>
      <c r="AO445" s="35">
        <f>VLOOKUP(Tabla4[[#This Row],[SERVICIO 2025]],$J$2:$V$14,8,0)*Tabla4[[#This Row],[TOTAL COBERTURA]]</f>
        <v>902100</v>
      </c>
      <c r="AP445" s="35">
        <f>VLOOKUP(Tabla4[[#This Row],[SERVICIO 2025]],$J$2:$V$14,3,0)*Tabla4[[#This Row],[TOTAL COBERTURA]]*8</f>
        <v>63881328</v>
      </c>
      <c r="AQ445" s="35"/>
      <c r="AR445" s="35">
        <f>Tabla4[[#This Row],[VALOR FASE PREPARATORIA DE ALISTAMIENTO]]+Tabla4[[#This Row],[VALOR FASE PREPARATORIA DE CIERRE]]+Tabla4[[#This Row],[DOTACIÓN ÚNICA]]+Tabla4[[#This Row],[VALOR ATENCIÓN]]+Tabla4[[#This Row],[VALOR RACION PREPARADA]]</f>
        <v>67585983</v>
      </c>
      <c r="AS445" s="35" t="str">
        <f>+IF(Tabla4[[#This Row],[AGRUPACIONES]]=1,SUMIFS(Tabla4[VALOR TOTAL],Tabla4[ZONA DEFINITIVO],Tabla4[[#This Row],[ZONA DEFINITIVO]])," ")</f>
        <v xml:space="preserve"> </v>
      </c>
      <c r="AT445" s="27">
        <f>(VLOOKUP(Tabla4[[#This Row],[SERVICIO 2025]],$J$2:$V$14,3,0)*Tabla4[[#This Row],[TOTAL COBERTURA]])+Tabla4[[#This Row],[VALOR FASE PREPARATORIA DE ALISTAMIENTO]]+Tabla4[[#This Row],[DOTACIÓN ÚNICA]]</f>
        <v>10417922</v>
      </c>
      <c r="AU445" s="35">
        <f>(VLOOKUP(Tabla4[[#This Row],[SERVICIO 2025]],$J$2:$V$14,3,0)*Tabla4[[#This Row],[TOTAL COBERTURA]])</f>
        <v>7985166</v>
      </c>
      <c r="AV445" s="35">
        <f>(VLOOKUP(Tabla4[[#This Row],[SERVICIO 2025]],$J$2:$V$14,3,0)*Tabla4[[#This Row],[TOTAL COBERTURA]])</f>
        <v>7985166</v>
      </c>
      <c r="AW445" s="35">
        <f>(VLOOKUP(Tabla4[[#This Row],[SERVICIO 2025]],$J$2:$V$14,3,0)*Tabla4[[#This Row],[TOTAL COBERTURA]])</f>
        <v>7985166</v>
      </c>
      <c r="AX445" s="35">
        <f>(VLOOKUP(Tabla4[[#This Row],[SERVICIO 2025]],$J$2:$V$14,3,0)*Tabla4[[#This Row],[TOTAL COBERTURA]])</f>
        <v>7985166</v>
      </c>
      <c r="AY445" s="35">
        <f>(VLOOKUP(Tabla4[[#This Row],[SERVICIO 2025]],$J$2:$V$14,3,0)*Tabla4[[#This Row],[TOTAL COBERTURA]])</f>
        <v>7985166</v>
      </c>
      <c r="AZ445" s="35">
        <f>(VLOOKUP(Tabla4[[#This Row],[SERVICIO 2025]],$J$2:$V$14,3,0)*Tabla4[[#This Row],[TOTAL COBERTURA]])</f>
        <v>7985166</v>
      </c>
      <c r="BA445" s="35">
        <f>(VLOOKUP(Tabla4[[#This Row],[SERVICIO 2025]],$J$2:$V$14,3,0)*Tabla4[[#This Row],[TOTAL COBERTURA]])+Tabla4[[#This Row],[VALOR FASE PREPARATORIA DE CIERRE]]</f>
        <v>9257065</v>
      </c>
      <c r="BB445" s="35">
        <f>SUM(Tabla4[[#This Row],[DESEMBOLSO 1]:[DESEMBOLSO 8]])</f>
        <v>67585983</v>
      </c>
      <c r="BC445" s="35">
        <f>VLOOKUP(Tabla4[[#This Row],[SERVICIO 2025]],$J$2:$V$14,10,0)*Tabla4[[#This Row],[TOTAL COBERTURA]]*$W$3</f>
        <v>44734984</v>
      </c>
      <c r="BD445" s="47" t="s">
        <v>211</v>
      </c>
      <c r="BE445" s="12" t="b">
        <f>EXACT(Tabla4[[#This Row],[VALOR ATENCIÓN (8 MESES)]],Tabla4[[#This Row],[VALOR TOTAL]])</f>
        <v>1</v>
      </c>
      <c r="BF445" s="23">
        <f>Tabla4[[#This Row],[VALOR ATENCIÓN (8 MESES)]]-Tabla4[[#This Row],[VALOR TOTAL]]</f>
        <v>0</v>
      </c>
      <c r="BG445" s="12" t="b">
        <f>EXACT(Tabla4[[#This Row],[TOTAL DESEMBOLSOS]],Tabla4[[#This Row],[VALOR ATENCIÓN (8 MESES)]])</f>
        <v>1</v>
      </c>
      <c r="BH445" s="29">
        <f>Tabla4[[#This Row],[TOTAL DESEMBOLSOS]]-Tabla4[[#This Row],[VALOR ATENCIÓN (8 MESES)]]</f>
        <v>0</v>
      </c>
      <c r="BI445" t="s">
        <v>98</v>
      </c>
      <c r="BJ445">
        <v>1926</v>
      </c>
    </row>
    <row r="446" spans="1:62">
      <c r="A446" s="13">
        <v>1926</v>
      </c>
      <c r="B446" s="13" t="s">
        <v>1007</v>
      </c>
      <c r="C446" s="12" t="s">
        <v>87</v>
      </c>
      <c r="D446" s="12" t="s">
        <v>266</v>
      </c>
      <c r="E446" s="12" t="s">
        <v>1008</v>
      </c>
      <c r="F446" s="12" t="s">
        <v>18</v>
      </c>
      <c r="G446" s="12" t="s">
        <v>90</v>
      </c>
      <c r="H446" s="12" t="s">
        <v>1045</v>
      </c>
      <c r="I446" s="12">
        <v>512500077623</v>
      </c>
      <c r="J446" s="12" t="s">
        <v>1046</v>
      </c>
      <c r="K446" s="12">
        <v>1</v>
      </c>
      <c r="L446" s="12">
        <v>29</v>
      </c>
      <c r="M446" s="12"/>
      <c r="N446" s="13">
        <v>1926</v>
      </c>
      <c r="O446" s="12" t="s">
        <v>93</v>
      </c>
      <c r="P446" s="12"/>
      <c r="Q446" s="12"/>
      <c r="R446" s="12" t="s">
        <v>94</v>
      </c>
      <c r="S446" s="12">
        <v>10</v>
      </c>
      <c r="T446" s="12" t="s">
        <v>328</v>
      </c>
      <c r="U446" s="12" t="s">
        <v>329</v>
      </c>
      <c r="V446" s="12">
        <f>VLOOKUP(Tabla4[[#This Row],[ZONA DEFINITIVO]],Hoja1!$A$1:$D$121,3,0)</f>
        <v>229099</v>
      </c>
      <c r="W446" s="12">
        <f>VLOOKUP(Tabla4[[#This Row],[ZONA DEFINITIVO]],Hoja1!$A$1:$D$121,2,0)</f>
        <v>15204</v>
      </c>
      <c r="X446" s="12">
        <f>VLOOKUP(Tabla4[[#This Row],[ZONA DEFINITIVO]],Hoja1!$A$1:$D$121,4,0)</f>
        <v>92025</v>
      </c>
      <c r="Y446" s="12" t="str">
        <f>+IF(Tabla4[[#This Row],[AGRUPACIONES]]=1,SUMIFS(Tabla4[UDS],Tabla4[ZONA DEFINITIVO],Tabla4[[#This Row],[ZONA DEFINITIVO]])," ")</f>
        <v xml:space="preserve"> </v>
      </c>
      <c r="Z446" s="12" t="str">
        <f>+IF(Tabla4[[#This Row],[AGRUPACIONES]]=1,SUMIFS(Tabla4[TOTAL COBERTURA],Tabla4[ZONA DEFINITIVO],Tabla4[[#This Row],[ZONA DEFINITIVO]])," ")</f>
        <v xml:space="preserve"> </v>
      </c>
      <c r="AA446" s="12"/>
      <c r="AB446" s="38">
        <v>63225597</v>
      </c>
      <c r="AC446" s="37">
        <v>0.02</v>
      </c>
      <c r="AD446" s="38">
        <f t="shared" si="7"/>
        <v>1264511.94</v>
      </c>
      <c r="AE446" s="12"/>
      <c r="AF446" s="12">
        <f>COUNTIF($A$20:A446,A446)</f>
        <v>19</v>
      </c>
      <c r="AG446" s="38">
        <v>63225597</v>
      </c>
      <c r="AH446" s="38">
        <f>Tabla4[[#This Row],[VALOR CONTRAPARTIDA]]+Tabla4[[#This Row],[TOTAL APORTES ICBF]]</f>
        <v>64490108.939999998</v>
      </c>
      <c r="AI446" s="35"/>
      <c r="AJ446" s="38"/>
      <c r="AK446" s="38"/>
      <c r="AL446" s="23"/>
      <c r="AM446" s="35">
        <f>VLOOKUP(Tabla4[[#This Row],[SERVICIO 2025]],$J$2:$V$14,5,0)*Tabla4[[#This Row],[TOTAL COBERTURA]]</f>
        <v>1431904</v>
      </c>
      <c r="AN446" s="35">
        <f>VLOOKUP(Tabla4[[#This Row],[SERVICIO 2025]],$J$2:$V$14,6,0)*Tabla4[[#This Row],[TOTAL COBERTURA]]</f>
        <v>1189841</v>
      </c>
      <c r="AO446" s="35">
        <f>VLOOKUP(Tabla4[[#This Row],[SERVICIO 2025]],$J$2:$V$14,8,0)*Tabla4[[#This Row],[TOTAL COBERTURA]]</f>
        <v>843900</v>
      </c>
      <c r="AP446" s="35">
        <f>VLOOKUP(Tabla4[[#This Row],[SERVICIO 2025]],$J$2:$V$14,3,0)*Tabla4[[#This Row],[TOTAL COBERTURA]]*8</f>
        <v>59759952</v>
      </c>
      <c r="AQ446" s="35"/>
      <c r="AR446" s="35">
        <f>Tabla4[[#This Row],[VALOR FASE PREPARATORIA DE ALISTAMIENTO]]+Tabla4[[#This Row],[VALOR FASE PREPARATORIA DE CIERRE]]+Tabla4[[#This Row],[DOTACIÓN ÚNICA]]+Tabla4[[#This Row],[VALOR ATENCIÓN]]+Tabla4[[#This Row],[VALOR RACION PREPARADA]]</f>
        <v>63225597</v>
      </c>
      <c r="AS446" s="35" t="str">
        <f>+IF(Tabla4[[#This Row],[AGRUPACIONES]]=1,SUMIFS(Tabla4[VALOR TOTAL],Tabla4[ZONA DEFINITIVO],Tabla4[[#This Row],[ZONA DEFINITIVO]])," ")</f>
        <v xml:space="preserve"> </v>
      </c>
      <c r="AT446" s="27">
        <f>(VLOOKUP(Tabla4[[#This Row],[SERVICIO 2025]],$J$2:$V$14,3,0)*Tabla4[[#This Row],[TOTAL COBERTURA]])+Tabla4[[#This Row],[VALOR FASE PREPARATORIA DE ALISTAMIENTO]]+Tabla4[[#This Row],[DOTACIÓN ÚNICA]]</f>
        <v>9745798</v>
      </c>
      <c r="AU446" s="35">
        <f>(VLOOKUP(Tabla4[[#This Row],[SERVICIO 2025]],$J$2:$V$14,3,0)*Tabla4[[#This Row],[TOTAL COBERTURA]])</f>
        <v>7469994</v>
      </c>
      <c r="AV446" s="35">
        <f>(VLOOKUP(Tabla4[[#This Row],[SERVICIO 2025]],$J$2:$V$14,3,0)*Tabla4[[#This Row],[TOTAL COBERTURA]])</f>
        <v>7469994</v>
      </c>
      <c r="AW446" s="35">
        <f>(VLOOKUP(Tabla4[[#This Row],[SERVICIO 2025]],$J$2:$V$14,3,0)*Tabla4[[#This Row],[TOTAL COBERTURA]])</f>
        <v>7469994</v>
      </c>
      <c r="AX446" s="35">
        <f>(VLOOKUP(Tabla4[[#This Row],[SERVICIO 2025]],$J$2:$V$14,3,0)*Tabla4[[#This Row],[TOTAL COBERTURA]])</f>
        <v>7469994</v>
      </c>
      <c r="AY446" s="35">
        <f>(VLOOKUP(Tabla4[[#This Row],[SERVICIO 2025]],$J$2:$V$14,3,0)*Tabla4[[#This Row],[TOTAL COBERTURA]])</f>
        <v>7469994</v>
      </c>
      <c r="AZ446" s="35">
        <f>(VLOOKUP(Tabla4[[#This Row],[SERVICIO 2025]],$J$2:$V$14,3,0)*Tabla4[[#This Row],[TOTAL COBERTURA]])</f>
        <v>7469994</v>
      </c>
      <c r="BA446" s="35">
        <f>(VLOOKUP(Tabla4[[#This Row],[SERVICIO 2025]],$J$2:$V$14,3,0)*Tabla4[[#This Row],[TOTAL COBERTURA]])+Tabla4[[#This Row],[VALOR FASE PREPARATORIA DE CIERRE]]</f>
        <v>8659835</v>
      </c>
      <c r="BB446" s="35">
        <f>SUM(Tabla4[[#This Row],[DESEMBOLSO 1]:[DESEMBOLSO 8]])</f>
        <v>63225597</v>
      </c>
      <c r="BC446" s="35">
        <f>VLOOKUP(Tabla4[[#This Row],[SERVICIO 2025]],$J$2:$V$14,10,0)*Tabla4[[#This Row],[TOTAL COBERTURA]]*$W$3</f>
        <v>41848856</v>
      </c>
      <c r="BD446" s="47" t="s">
        <v>211</v>
      </c>
      <c r="BE446" s="12" t="b">
        <f>EXACT(Tabla4[[#This Row],[VALOR ATENCIÓN (8 MESES)]],Tabla4[[#This Row],[VALOR TOTAL]])</f>
        <v>1</v>
      </c>
      <c r="BF446" s="23">
        <f>Tabla4[[#This Row],[VALOR ATENCIÓN (8 MESES)]]-Tabla4[[#This Row],[VALOR TOTAL]]</f>
        <v>0</v>
      </c>
      <c r="BG446" s="12" t="b">
        <f>EXACT(Tabla4[[#This Row],[TOTAL DESEMBOLSOS]],Tabla4[[#This Row],[VALOR ATENCIÓN (8 MESES)]])</f>
        <v>1</v>
      </c>
      <c r="BH446" s="29">
        <f>Tabla4[[#This Row],[TOTAL DESEMBOLSOS]]-Tabla4[[#This Row],[VALOR ATENCIÓN (8 MESES)]]</f>
        <v>0</v>
      </c>
      <c r="BI446" t="s">
        <v>98</v>
      </c>
      <c r="BJ446">
        <v>1926</v>
      </c>
    </row>
    <row r="447" spans="1:62">
      <c r="A447" s="13">
        <v>1929</v>
      </c>
      <c r="B447" s="13" t="s">
        <v>1047</v>
      </c>
      <c r="C447" s="12" t="s">
        <v>87</v>
      </c>
      <c r="D447" s="12" t="s">
        <v>462</v>
      </c>
      <c r="E447" s="12" t="s">
        <v>1048</v>
      </c>
      <c r="F447" s="12" t="s">
        <v>14</v>
      </c>
      <c r="G447" s="12" t="s">
        <v>90</v>
      </c>
      <c r="H447" s="12" t="s">
        <v>1049</v>
      </c>
      <c r="I447" s="12">
        <v>51471121810</v>
      </c>
      <c r="J447" s="12" t="s">
        <v>1050</v>
      </c>
      <c r="K447" s="12">
        <v>1</v>
      </c>
      <c r="L447" s="12">
        <v>200</v>
      </c>
      <c r="M447" s="12"/>
      <c r="N447" s="13">
        <v>1929</v>
      </c>
      <c r="O447" s="12" t="s">
        <v>93</v>
      </c>
      <c r="P447" s="12"/>
      <c r="Q447" s="12"/>
      <c r="R447" s="12" t="s">
        <v>94</v>
      </c>
      <c r="S447" s="12">
        <v>10</v>
      </c>
      <c r="T447" s="12" t="s">
        <v>1051</v>
      </c>
      <c r="U447" s="12" t="s">
        <v>1052</v>
      </c>
      <c r="V447" s="12">
        <f>VLOOKUP(Tabla4[[#This Row],[ZONA DEFINITIVO]],Hoja1!$A$1:$D$121,3,0)</f>
        <v>229100</v>
      </c>
      <c r="W447" s="12">
        <f>VLOOKUP(Tabla4[[#This Row],[ZONA DEFINITIVO]],Hoja1!$A$1:$D$121,2,0)</f>
        <v>15193</v>
      </c>
      <c r="X447" s="12">
        <f>VLOOKUP(Tabla4[[#This Row],[ZONA DEFINITIVO]],Hoja1!$A$1:$D$121,4,0)</f>
        <v>82825</v>
      </c>
      <c r="Y447" s="12">
        <f>+IF(Tabla4[[#This Row],[AGRUPACIONES]]=1,SUMIFS(Tabla4[UDS],Tabla4[ZONA DEFINITIVO],Tabla4[[#This Row],[ZONA DEFINITIVO]])," ")</f>
        <v>4</v>
      </c>
      <c r="Z447" s="12">
        <f>+IF(Tabla4[[#This Row],[AGRUPACIONES]]=1,SUMIFS(Tabla4[TOTAL COBERTURA],Tabla4[ZONA DEFINITIVO],Tabla4[[#This Row],[ZONA DEFINITIVO]])," ")</f>
        <v>645</v>
      </c>
      <c r="AA447" s="12"/>
      <c r="AB447" s="38">
        <v>837770000</v>
      </c>
      <c r="AC447" s="37">
        <v>0.02</v>
      </c>
      <c r="AD447" s="38">
        <f t="shared" si="7"/>
        <v>16755400</v>
      </c>
      <c r="AE447" s="12"/>
      <c r="AF447" s="12">
        <f>COUNTIF($A$20:A447,A447)</f>
        <v>1</v>
      </c>
      <c r="AG447" s="38">
        <v>837770000</v>
      </c>
      <c r="AH447" s="38">
        <f>Tabla4[[#This Row],[VALOR CONTRAPARTIDA]]+Tabla4[[#This Row],[TOTAL APORTES ICBF]]</f>
        <v>854525400</v>
      </c>
      <c r="AI447" s="35">
        <f>ROUND(+IF(Tabla4[[#This Row],[AGRUPACIONES]]=1,SUMIFS(Tabla4[TOTAL APORTES ICBF],Tabla4[ZONA DEFINITIVO],Tabla4[[#This Row],[ZONA DEFINITIVO]])," "),0)</f>
        <v>2701808250</v>
      </c>
      <c r="AJ447" s="38">
        <f>ROUND(+IF(Tabla4[[#This Row],[AGRUPACIONES]]=1,SUMIFS(Tabla4[VALOR CONTRAPARTIDA],Tabla4[ZONA DEFINITIVO],Tabla4[[#This Row],[ZONA DEFINITIVO]])," "),0)</f>
        <v>54036165</v>
      </c>
      <c r="AK447" s="38">
        <f>Tabla4[[#This Row],[TOTAL APORTES ICBF AGRUPADO]]+Tabla4[[#This Row],[TOTAL CONTRAPARTIDA AGRUPADO]]</f>
        <v>2755844415</v>
      </c>
      <c r="AL447" s="23">
        <f>Tabla4[[#This Row],[TOTAL APORTES ICBF AGRUPADO]]/$AL$18</f>
        <v>1898.0036880927291</v>
      </c>
      <c r="AM447" s="35">
        <f>VLOOKUP(Tabla4[[#This Row],[SERVICIO 2025]],$J$2:$V$14,5,0)*Tabla4[[#This Row],[TOTAL COBERTURA]]</f>
        <v>17628600</v>
      </c>
      <c r="AN447" s="35">
        <f>VLOOKUP(Tabla4[[#This Row],[SERVICIO 2025]],$J$2:$V$14,6,0)*Tabla4[[#This Row],[TOTAL COBERTURA]]</f>
        <v>15008600</v>
      </c>
      <c r="AO447" s="35">
        <f>VLOOKUP(Tabla4[[#This Row],[SERVICIO 2025]],$J$2:$V$14,8,0)*Tabla4[[#This Row],[TOTAL COBERTURA]]</f>
        <v>0</v>
      </c>
      <c r="AP447" s="35">
        <f>VLOOKUP(Tabla4[[#This Row],[SERVICIO 2025]],$J$2:$V$14,3,0)*Tabla4[[#This Row],[TOTAL COBERTURA]]*8</f>
        <v>805132800</v>
      </c>
      <c r="AQ447" s="35"/>
      <c r="AR447" s="35">
        <f>Tabla4[[#This Row],[VALOR FASE PREPARATORIA DE ALISTAMIENTO]]+Tabla4[[#This Row],[VALOR FASE PREPARATORIA DE CIERRE]]+Tabla4[[#This Row],[DOTACIÓN ÚNICA]]+Tabla4[[#This Row],[VALOR ATENCIÓN]]+Tabla4[[#This Row],[VALOR RACION PREPARADA]]</f>
        <v>837770000</v>
      </c>
      <c r="AS447" s="35">
        <f>+IF(Tabla4[[#This Row],[AGRUPACIONES]]=1,SUMIFS(Tabla4[VALOR TOTAL],Tabla4[ZONA DEFINITIVO],Tabla4[[#This Row],[ZONA DEFINITIVO]])," ")</f>
        <v>2701808250</v>
      </c>
      <c r="AT447" s="27">
        <f>(VLOOKUP(Tabla4[[#This Row],[SERVICIO 2025]],$J$2:$V$14,3,0)*Tabla4[[#This Row],[TOTAL COBERTURA]])+Tabla4[[#This Row],[VALOR FASE PREPARATORIA DE ALISTAMIENTO]]+Tabla4[[#This Row],[DOTACIÓN ÚNICA]]</f>
        <v>118270200</v>
      </c>
      <c r="AU447" s="35">
        <f>(VLOOKUP(Tabla4[[#This Row],[SERVICIO 2025]],$J$2:$V$14,3,0)*Tabla4[[#This Row],[TOTAL COBERTURA]])</f>
        <v>100641600</v>
      </c>
      <c r="AV447" s="35">
        <f>(VLOOKUP(Tabla4[[#This Row],[SERVICIO 2025]],$J$2:$V$14,3,0)*Tabla4[[#This Row],[TOTAL COBERTURA]])</f>
        <v>100641600</v>
      </c>
      <c r="AW447" s="35">
        <f>(VLOOKUP(Tabla4[[#This Row],[SERVICIO 2025]],$J$2:$V$14,3,0)*Tabla4[[#This Row],[TOTAL COBERTURA]])</f>
        <v>100641600</v>
      </c>
      <c r="AX447" s="35">
        <f>(VLOOKUP(Tabla4[[#This Row],[SERVICIO 2025]],$J$2:$V$14,3,0)*Tabla4[[#This Row],[TOTAL COBERTURA]])</f>
        <v>100641600</v>
      </c>
      <c r="AY447" s="35">
        <f>(VLOOKUP(Tabla4[[#This Row],[SERVICIO 2025]],$J$2:$V$14,3,0)*Tabla4[[#This Row],[TOTAL COBERTURA]])</f>
        <v>100641600</v>
      </c>
      <c r="AZ447" s="35">
        <f>(VLOOKUP(Tabla4[[#This Row],[SERVICIO 2025]],$J$2:$V$14,3,0)*Tabla4[[#This Row],[TOTAL COBERTURA]])</f>
        <v>100641600</v>
      </c>
      <c r="BA447" s="35">
        <f>(VLOOKUP(Tabla4[[#This Row],[SERVICIO 2025]],$J$2:$V$14,3,0)*Tabla4[[#This Row],[TOTAL COBERTURA]])+Tabla4[[#This Row],[VALOR FASE PREPARATORIA DE CIERRE]]</f>
        <v>115650200</v>
      </c>
      <c r="BB447" s="35">
        <f>SUM(Tabla4[[#This Row],[DESEMBOLSO 1]:[DESEMBOLSO 8]])</f>
        <v>837770000</v>
      </c>
      <c r="BC447" s="35">
        <f>VLOOKUP(Tabla4[[#This Row],[SERVICIO 2025]],$J$2:$V$14,10,0)*Tabla4[[#This Row],[TOTAL COBERTURA]]*$W$3</f>
        <v>0</v>
      </c>
      <c r="BD447" s="47" t="s">
        <v>145</v>
      </c>
      <c r="BE447" s="12" t="b">
        <f>EXACT(Tabla4[[#This Row],[VALOR ATENCIÓN (8 MESES)]],Tabla4[[#This Row],[VALOR TOTAL]])</f>
        <v>1</v>
      </c>
      <c r="BF447" s="23">
        <f>Tabla4[[#This Row],[VALOR ATENCIÓN (8 MESES)]]-Tabla4[[#This Row],[VALOR TOTAL]]</f>
        <v>0</v>
      </c>
      <c r="BG447" s="12" t="b">
        <f>EXACT(Tabla4[[#This Row],[TOTAL DESEMBOLSOS]],Tabla4[[#This Row],[VALOR ATENCIÓN (8 MESES)]])</f>
        <v>1</v>
      </c>
      <c r="BH447" s="29">
        <f>Tabla4[[#This Row],[TOTAL DESEMBOLSOS]]-Tabla4[[#This Row],[VALOR ATENCIÓN (8 MESES)]]</f>
        <v>0</v>
      </c>
      <c r="BI447" t="s">
        <v>98</v>
      </c>
    </row>
    <row r="448" spans="1:62">
      <c r="A448" s="13">
        <v>1929</v>
      </c>
      <c r="B448" s="13" t="s">
        <v>1047</v>
      </c>
      <c r="C448" s="12" t="s">
        <v>87</v>
      </c>
      <c r="D448" s="12" t="s">
        <v>462</v>
      </c>
      <c r="E448" s="12" t="s">
        <v>1048</v>
      </c>
      <c r="F448" s="12" t="s">
        <v>14</v>
      </c>
      <c r="G448" s="12" t="s">
        <v>90</v>
      </c>
      <c r="H448" s="12" t="s">
        <v>1053</v>
      </c>
      <c r="I448" s="12">
        <v>504500027492</v>
      </c>
      <c r="J448" s="12" t="s">
        <v>1054</v>
      </c>
      <c r="K448" s="12">
        <v>1</v>
      </c>
      <c r="L448" s="12">
        <v>205</v>
      </c>
      <c r="M448" s="12"/>
      <c r="N448" s="13">
        <v>1929</v>
      </c>
      <c r="O448" s="12" t="s">
        <v>93</v>
      </c>
      <c r="P448" s="12"/>
      <c r="Q448" s="12"/>
      <c r="R448" s="12" t="s">
        <v>94</v>
      </c>
      <c r="S448" s="12">
        <v>10</v>
      </c>
      <c r="T448" s="12" t="s">
        <v>1051</v>
      </c>
      <c r="U448" s="12" t="s">
        <v>1052</v>
      </c>
      <c r="V448" s="12">
        <f>VLOOKUP(Tabla4[[#This Row],[ZONA DEFINITIVO]],Hoja1!$A$1:$D$121,3,0)</f>
        <v>229100</v>
      </c>
      <c r="W448" s="12">
        <f>VLOOKUP(Tabla4[[#This Row],[ZONA DEFINITIVO]],Hoja1!$A$1:$D$121,2,0)</f>
        <v>15193</v>
      </c>
      <c r="X448" s="12">
        <f>VLOOKUP(Tabla4[[#This Row],[ZONA DEFINITIVO]],Hoja1!$A$1:$D$121,4,0)</f>
        <v>82825</v>
      </c>
      <c r="Y448" s="12" t="str">
        <f>+IF(Tabla4[[#This Row],[AGRUPACIONES]]=1,SUMIFS(Tabla4[UDS],Tabla4[ZONA DEFINITIVO],Tabla4[[#This Row],[ZONA DEFINITIVO]])," ")</f>
        <v xml:space="preserve"> </v>
      </c>
      <c r="Z448" s="12" t="str">
        <f>+IF(Tabla4[[#This Row],[AGRUPACIONES]]=1,SUMIFS(Tabla4[TOTAL COBERTURA],Tabla4[ZONA DEFINITIVO],Tabla4[[#This Row],[ZONA DEFINITIVO]])," ")</f>
        <v xml:space="preserve"> </v>
      </c>
      <c r="AA448" s="12"/>
      <c r="AB448" s="38">
        <v>858714250</v>
      </c>
      <c r="AC448" s="37">
        <v>0.02</v>
      </c>
      <c r="AD448" s="38">
        <f t="shared" si="7"/>
        <v>17174285</v>
      </c>
      <c r="AE448" s="12"/>
      <c r="AF448" s="12">
        <f>COUNTIF($A$20:A448,A448)</f>
        <v>2</v>
      </c>
      <c r="AG448" s="38">
        <v>858714250</v>
      </c>
      <c r="AH448" s="38">
        <f>Tabla4[[#This Row],[VALOR CONTRAPARTIDA]]+Tabla4[[#This Row],[TOTAL APORTES ICBF]]</f>
        <v>875888535</v>
      </c>
      <c r="AI448" s="35"/>
      <c r="AJ448" s="38"/>
      <c r="AK448" s="38"/>
      <c r="AL448" s="23"/>
      <c r="AM448" s="35">
        <f>VLOOKUP(Tabla4[[#This Row],[SERVICIO 2025]],$J$2:$V$14,5,0)*Tabla4[[#This Row],[TOTAL COBERTURA]]</f>
        <v>18069315</v>
      </c>
      <c r="AN448" s="35">
        <f>VLOOKUP(Tabla4[[#This Row],[SERVICIO 2025]],$J$2:$V$14,6,0)*Tabla4[[#This Row],[TOTAL COBERTURA]]</f>
        <v>15383815</v>
      </c>
      <c r="AO448" s="35">
        <f>VLOOKUP(Tabla4[[#This Row],[SERVICIO 2025]],$J$2:$V$14,8,0)*Tabla4[[#This Row],[TOTAL COBERTURA]]</f>
        <v>0</v>
      </c>
      <c r="AP448" s="35">
        <f>VLOOKUP(Tabla4[[#This Row],[SERVICIO 2025]],$J$2:$V$14,3,0)*Tabla4[[#This Row],[TOTAL COBERTURA]]*8</f>
        <v>825261120</v>
      </c>
      <c r="AQ448" s="35"/>
      <c r="AR448" s="35">
        <f>Tabla4[[#This Row],[VALOR FASE PREPARATORIA DE ALISTAMIENTO]]+Tabla4[[#This Row],[VALOR FASE PREPARATORIA DE CIERRE]]+Tabla4[[#This Row],[DOTACIÓN ÚNICA]]+Tabla4[[#This Row],[VALOR ATENCIÓN]]+Tabla4[[#This Row],[VALOR RACION PREPARADA]]</f>
        <v>858714250</v>
      </c>
      <c r="AS448" s="35" t="str">
        <f>+IF(Tabla4[[#This Row],[AGRUPACIONES]]=1,SUMIFS(Tabla4[VALOR TOTAL],Tabla4[ZONA DEFINITIVO],Tabla4[[#This Row],[ZONA DEFINITIVO]])," ")</f>
        <v xml:space="preserve"> </v>
      </c>
      <c r="AT448" s="27">
        <f>(VLOOKUP(Tabla4[[#This Row],[SERVICIO 2025]],$J$2:$V$14,3,0)*Tabla4[[#This Row],[TOTAL COBERTURA]])+Tabla4[[#This Row],[VALOR FASE PREPARATORIA DE ALISTAMIENTO]]+Tabla4[[#This Row],[DOTACIÓN ÚNICA]]</f>
        <v>121226955</v>
      </c>
      <c r="AU448" s="35">
        <f>(VLOOKUP(Tabla4[[#This Row],[SERVICIO 2025]],$J$2:$V$14,3,0)*Tabla4[[#This Row],[TOTAL COBERTURA]])</f>
        <v>103157640</v>
      </c>
      <c r="AV448" s="35">
        <f>(VLOOKUP(Tabla4[[#This Row],[SERVICIO 2025]],$J$2:$V$14,3,0)*Tabla4[[#This Row],[TOTAL COBERTURA]])</f>
        <v>103157640</v>
      </c>
      <c r="AW448" s="35">
        <f>(VLOOKUP(Tabla4[[#This Row],[SERVICIO 2025]],$J$2:$V$14,3,0)*Tabla4[[#This Row],[TOTAL COBERTURA]])</f>
        <v>103157640</v>
      </c>
      <c r="AX448" s="35">
        <f>(VLOOKUP(Tabla4[[#This Row],[SERVICIO 2025]],$J$2:$V$14,3,0)*Tabla4[[#This Row],[TOTAL COBERTURA]])</f>
        <v>103157640</v>
      </c>
      <c r="AY448" s="35">
        <f>(VLOOKUP(Tabla4[[#This Row],[SERVICIO 2025]],$J$2:$V$14,3,0)*Tabla4[[#This Row],[TOTAL COBERTURA]])</f>
        <v>103157640</v>
      </c>
      <c r="AZ448" s="35">
        <f>(VLOOKUP(Tabla4[[#This Row],[SERVICIO 2025]],$J$2:$V$14,3,0)*Tabla4[[#This Row],[TOTAL COBERTURA]])</f>
        <v>103157640</v>
      </c>
      <c r="BA448" s="35">
        <f>(VLOOKUP(Tabla4[[#This Row],[SERVICIO 2025]],$J$2:$V$14,3,0)*Tabla4[[#This Row],[TOTAL COBERTURA]])+Tabla4[[#This Row],[VALOR FASE PREPARATORIA DE CIERRE]]</f>
        <v>118541455</v>
      </c>
      <c r="BB448" s="35">
        <f>SUM(Tabla4[[#This Row],[DESEMBOLSO 1]:[DESEMBOLSO 8]])</f>
        <v>858714250</v>
      </c>
      <c r="BC448" s="35">
        <f>VLOOKUP(Tabla4[[#This Row],[SERVICIO 2025]],$J$2:$V$14,10,0)*Tabla4[[#This Row],[TOTAL COBERTURA]]*$W$3</f>
        <v>0</v>
      </c>
      <c r="BD448" s="47" t="s">
        <v>145</v>
      </c>
      <c r="BE448" s="12" t="b">
        <f>EXACT(Tabla4[[#This Row],[VALOR ATENCIÓN (8 MESES)]],Tabla4[[#This Row],[VALOR TOTAL]])</f>
        <v>1</v>
      </c>
      <c r="BF448" s="23">
        <f>Tabla4[[#This Row],[VALOR ATENCIÓN (8 MESES)]]-Tabla4[[#This Row],[VALOR TOTAL]]</f>
        <v>0</v>
      </c>
      <c r="BG448" s="12" t="b">
        <f>EXACT(Tabla4[[#This Row],[TOTAL DESEMBOLSOS]],Tabla4[[#This Row],[VALOR ATENCIÓN (8 MESES)]])</f>
        <v>1</v>
      </c>
      <c r="BH448" s="29">
        <f>Tabla4[[#This Row],[TOTAL DESEMBOLSOS]]-Tabla4[[#This Row],[VALOR ATENCIÓN (8 MESES)]]</f>
        <v>0</v>
      </c>
      <c r="BI448" t="s">
        <v>98</v>
      </c>
    </row>
    <row r="449" spans="1:62">
      <c r="A449" s="13">
        <v>1929</v>
      </c>
      <c r="B449" s="13" t="s">
        <v>1047</v>
      </c>
      <c r="C449" s="12" t="s">
        <v>87</v>
      </c>
      <c r="D449" s="12" t="s">
        <v>462</v>
      </c>
      <c r="E449" s="12" t="s">
        <v>1048</v>
      </c>
      <c r="F449" s="12" t="s">
        <v>14</v>
      </c>
      <c r="G449" s="12" t="s">
        <v>90</v>
      </c>
      <c r="H449" s="12" t="s">
        <v>1055</v>
      </c>
      <c r="I449" s="12">
        <v>514700047398</v>
      </c>
      <c r="J449" s="12" t="s">
        <v>1056</v>
      </c>
      <c r="K449" s="12">
        <v>1</v>
      </c>
      <c r="L449" s="12">
        <v>100</v>
      </c>
      <c r="M449" s="12"/>
      <c r="N449" s="13">
        <v>1929</v>
      </c>
      <c r="O449" s="12" t="s">
        <v>93</v>
      </c>
      <c r="P449" s="12"/>
      <c r="Q449" s="12"/>
      <c r="R449" s="12" t="s">
        <v>94</v>
      </c>
      <c r="S449" s="12">
        <v>10</v>
      </c>
      <c r="T449" s="12" t="s">
        <v>1051</v>
      </c>
      <c r="U449" s="12" t="s">
        <v>1052</v>
      </c>
      <c r="V449" s="12">
        <f>VLOOKUP(Tabla4[[#This Row],[ZONA DEFINITIVO]],Hoja1!$A$1:$D$121,3,0)</f>
        <v>229100</v>
      </c>
      <c r="W449" s="12">
        <f>VLOOKUP(Tabla4[[#This Row],[ZONA DEFINITIVO]],Hoja1!$A$1:$D$121,2,0)</f>
        <v>15193</v>
      </c>
      <c r="X449" s="12">
        <f>VLOOKUP(Tabla4[[#This Row],[ZONA DEFINITIVO]],Hoja1!$A$1:$D$121,4,0)</f>
        <v>82825</v>
      </c>
      <c r="Y449" s="12" t="str">
        <f>+IF(Tabla4[[#This Row],[AGRUPACIONES]]=1,SUMIFS(Tabla4[UDS],Tabla4[ZONA DEFINITIVO],Tabla4[[#This Row],[ZONA DEFINITIVO]])," ")</f>
        <v xml:space="preserve"> </v>
      </c>
      <c r="Z449" s="12" t="str">
        <f>+IF(Tabla4[[#This Row],[AGRUPACIONES]]=1,SUMIFS(Tabla4[TOTAL COBERTURA],Tabla4[ZONA DEFINITIVO],Tabla4[[#This Row],[ZONA DEFINITIVO]])," ")</f>
        <v xml:space="preserve"> </v>
      </c>
      <c r="AA449" s="12"/>
      <c r="AB449" s="38">
        <v>418885000</v>
      </c>
      <c r="AC449" s="37">
        <v>0.02</v>
      </c>
      <c r="AD449" s="38">
        <f t="shared" si="7"/>
        <v>8377700</v>
      </c>
      <c r="AE449" s="12"/>
      <c r="AF449" s="12">
        <f>COUNTIF($A$20:A449,A449)</f>
        <v>3</v>
      </c>
      <c r="AG449" s="38">
        <v>418885000</v>
      </c>
      <c r="AH449" s="38">
        <f>Tabla4[[#This Row],[VALOR CONTRAPARTIDA]]+Tabla4[[#This Row],[TOTAL APORTES ICBF]]</f>
        <v>427262700</v>
      </c>
      <c r="AI449" s="35"/>
      <c r="AJ449" s="38"/>
      <c r="AK449" s="38"/>
      <c r="AL449" s="23"/>
      <c r="AM449" s="35">
        <f>VLOOKUP(Tabla4[[#This Row],[SERVICIO 2025]],$J$2:$V$14,5,0)*Tabla4[[#This Row],[TOTAL COBERTURA]]</f>
        <v>8814300</v>
      </c>
      <c r="AN449" s="35">
        <f>VLOOKUP(Tabla4[[#This Row],[SERVICIO 2025]],$J$2:$V$14,6,0)*Tabla4[[#This Row],[TOTAL COBERTURA]]</f>
        <v>7504300</v>
      </c>
      <c r="AO449" s="35">
        <f>VLOOKUP(Tabla4[[#This Row],[SERVICIO 2025]],$J$2:$V$14,8,0)*Tabla4[[#This Row],[TOTAL COBERTURA]]</f>
        <v>0</v>
      </c>
      <c r="AP449" s="35">
        <f>VLOOKUP(Tabla4[[#This Row],[SERVICIO 2025]],$J$2:$V$14,3,0)*Tabla4[[#This Row],[TOTAL COBERTURA]]*8</f>
        <v>402566400</v>
      </c>
      <c r="AQ449" s="35"/>
      <c r="AR449" s="35">
        <f>Tabla4[[#This Row],[VALOR FASE PREPARATORIA DE ALISTAMIENTO]]+Tabla4[[#This Row],[VALOR FASE PREPARATORIA DE CIERRE]]+Tabla4[[#This Row],[DOTACIÓN ÚNICA]]+Tabla4[[#This Row],[VALOR ATENCIÓN]]+Tabla4[[#This Row],[VALOR RACION PREPARADA]]</f>
        <v>418885000</v>
      </c>
      <c r="AS449" s="35" t="str">
        <f>+IF(Tabla4[[#This Row],[AGRUPACIONES]]=1,SUMIFS(Tabla4[VALOR TOTAL],Tabla4[ZONA DEFINITIVO],Tabla4[[#This Row],[ZONA DEFINITIVO]])," ")</f>
        <v xml:space="preserve"> </v>
      </c>
      <c r="AT449" s="27">
        <f>(VLOOKUP(Tabla4[[#This Row],[SERVICIO 2025]],$J$2:$V$14,3,0)*Tabla4[[#This Row],[TOTAL COBERTURA]])+Tabla4[[#This Row],[VALOR FASE PREPARATORIA DE ALISTAMIENTO]]+Tabla4[[#This Row],[DOTACIÓN ÚNICA]]</f>
        <v>59135100</v>
      </c>
      <c r="AU449" s="35">
        <f>(VLOOKUP(Tabla4[[#This Row],[SERVICIO 2025]],$J$2:$V$14,3,0)*Tabla4[[#This Row],[TOTAL COBERTURA]])</f>
        <v>50320800</v>
      </c>
      <c r="AV449" s="35">
        <f>(VLOOKUP(Tabla4[[#This Row],[SERVICIO 2025]],$J$2:$V$14,3,0)*Tabla4[[#This Row],[TOTAL COBERTURA]])</f>
        <v>50320800</v>
      </c>
      <c r="AW449" s="35">
        <f>(VLOOKUP(Tabla4[[#This Row],[SERVICIO 2025]],$J$2:$V$14,3,0)*Tabla4[[#This Row],[TOTAL COBERTURA]])</f>
        <v>50320800</v>
      </c>
      <c r="AX449" s="35">
        <f>(VLOOKUP(Tabla4[[#This Row],[SERVICIO 2025]],$J$2:$V$14,3,0)*Tabla4[[#This Row],[TOTAL COBERTURA]])</f>
        <v>50320800</v>
      </c>
      <c r="AY449" s="35">
        <f>(VLOOKUP(Tabla4[[#This Row],[SERVICIO 2025]],$J$2:$V$14,3,0)*Tabla4[[#This Row],[TOTAL COBERTURA]])</f>
        <v>50320800</v>
      </c>
      <c r="AZ449" s="35">
        <f>(VLOOKUP(Tabla4[[#This Row],[SERVICIO 2025]],$J$2:$V$14,3,0)*Tabla4[[#This Row],[TOTAL COBERTURA]])</f>
        <v>50320800</v>
      </c>
      <c r="BA449" s="35">
        <f>(VLOOKUP(Tabla4[[#This Row],[SERVICIO 2025]],$J$2:$V$14,3,0)*Tabla4[[#This Row],[TOTAL COBERTURA]])+Tabla4[[#This Row],[VALOR FASE PREPARATORIA DE CIERRE]]</f>
        <v>57825100</v>
      </c>
      <c r="BB449" s="35">
        <f>SUM(Tabla4[[#This Row],[DESEMBOLSO 1]:[DESEMBOLSO 8]])</f>
        <v>418885000</v>
      </c>
      <c r="BC449" s="35">
        <f>VLOOKUP(Tabla4[[#This Row],[SERVICIO 2025]],$J$2:$V$14,10,0)*Tabla4[[#This Row],[TOTAL COBERTURA]]*$W$3</f>
        <v>0</v>
      </c>
      <c r="BD449" s="47" t="s">
        <v>145</v>
      </c>
      <c r="BE449" s="12" t="b">
        <f>EXACT(Tabla4[[#This Row],[VALOR ATENCIÓN (8 MESES)]],Tabla4[[#This Row],[VALOR TOTAL]])</f>
        <v>1</v>
      </c>
      <c r="BF449" s="23">
        <f>Tabla4[[#This Row],[VALOR ATENCIÓN (8 MESES)]]-Tabla4[[#This Row],[VALOR TOTAL]]</f>
        <v>0</v>
      </c>
      <c r="BG449" s="12" t="b">
        <f>EXACT(Tabla4[[#This Row],[TOTAL DESEMBOLSOS]],Tabla4[[#This Row],[VALOR ATENCIÓN (8 MESES)]])</f>
        <v>1</v>
      </c>
      <c r="BH449" s="29">
        <f>Tabla4[[#This Row],[TOTAL DESEMBOLSOS]]-Tabla4[[#This Row],[VALOR ATENCIÓN (8 MESES)]]</f>
        <v>0</v>
      </c>
      <c r="BI449" t="s">
        <v>98</v>
      </c>
    </row>
    <row r="450" spans="1:62">
      <c r="A450" s="13">
        <v>1929</v>
      </c>
      <c r="B450" s="13" t="s">
        <v>1047</v>
      </c>
      <c r="C450" s="12" t="s">
        <v>87</v>
      </c>
      <c r="D450" s="12" t="s">
        <v>462</v>
      </c>
      <c r="E450" s="12" t="s">
        <v>1048</v>
      </c>
      <c r="F450" s="12" t="s">
        <v>14</v>
      </c>
      <c r="G450" s="12" t="s">
        <v>90</v>
      </c>
      <c r="H450" s="12" t="s">
        <v>1057</v>
      </c>
      <c r="I450" s="12">
        <v>514700047461</v>
      </c>
      <c r="J450" s="12" t="s">
        <v>1058</v>
      </c>
      <c r="K450" s="12">
        <v>1</v>
      </c>
      <c r="L450" s="12">
        <v>140</v>
      </c>
      <c r="M450" s="12"/>
      <c r="N450" s="13">
        <v>1929</v>
      </c>
      <c r="O450" s="12" t="s">
        <v>93</v>
      </c>
      <c r="P450" s="12"/>
      <c r="Q450" s="12"/>
      <c r="R450" s="12" t="s">
        <v>94</v>
      </c>
      <c r="S450" s="12">
        <v>10</v>
      </c>
      <c r="T450" s="12" t="s">
        <v>1051</v>
      </c>
      <c r="U450" s="12" t="s">
        <v>1052</v>
      </c>
      <c r="V450" s="12">
        <f>VLOOKUP(Tabla4[[#This Row],[ZONA DEFINITIVO]],Hoja1!$A$1:$D$121,3,0)</f>
        <v>229100</v>
      </c>
      <c r="W450" s="12">
        <f>VLOOKUP(Tabla4[[#This Row],[ZONA DEFINITIVO]],Hoja1!$A$1:$D$121,2,0)</f>
        <v>15193</v>
      </c>
      <c r="X450" s="12">
        <f>VLOOKUP(Tabla4[[#This Row],[ZONA DEFINITIVO]],Hoja1!$A$1:$D$121,4,0)</f>
        <v>82825</v>
      </c>
      <c r="Y450" s="12" t="str">
        <f>+IF(Tabla4[[#This Row],[AGRUPACIONES]]=1,SUMIFS(Tabla4[UDS],Tabla4[ZONA DEFINITIVO],Tabla4[[#This Row],[ZONA DEFINITIVO]])," ")</f>
        <v xml:space="preserve"> </v>
      </c>
      <c r="Z450" s="12" t="str">
        <f>+IF(Tabla4[[#This Row],[AGRUPACIONES]]=1,SUMIFS(Tabla4[TOTAL COBERTURA],Tabla4[ZONA DEFINITIVO],Tabla4[[#This Row],[ZONA DEFINITIVO]])," ")</f>
        <v xml:space="preserve"> </v>
      </c>
      <c r="AA450" s="12"/>
      <c r="AB450" s="38">
        <v>586439000</v>
      </c>
      <c r="AC450" s="37">
        <v>0.02</v>
      </c>
      <c r="AD450" s="38">
        <f t="shared" si="7"/>
        <v>11728780</v>
      </c>
      <c r="AE450" s="12"/>
      <c r="AF450" s="12">
        <f>COUNTIF($A$20:A450,A450)</f>
        <v>4</v>
      </c>
      <c r="AG450" s="38">
        <v>586439000</v>
      </c>
      <c r="AH450" s="38">
        <f>Tabla4[[#This Row],[VALOR CONTRAPARTIDA]]+Tabla4[[#This Row],[TOTAL APORTES ICBF]]</f>
        <v>598167780</v>
      </c>
      <c r="AI450" s="35"/>
      <c r="AJ450" s="38"/>
      <c r="AK450" s="38"/>
      <c r="AL450" s="23"/>
      <c r="AM450" s="35">
        <f>VLOOKUP(Tabla4[[#This Row],[SERVICIO 2025]],$J$2:$V$14,5,0)*Tabla4[[#This Row],[TOTAL COBERTURA]]</f>
        <v>12340020</v>
      </c>
      <c r="AN450" s="35">
        <f>VLOOKUP(Tabla4[[#This Row],[SERVICIO 2025]],$J$2:$V$14,6,0)*Tabla4[[#This Row],[TOTAL COBERTURA]]</f>
        <v>10506020</v>
      </c>
      <c r="AO450" s="35">
        <f>VLOOKUP(Tabla4[[#This Row],[SERVICIO 2025]],$J$2:$V$14,8,0)*Tabla4[[#This Row],[TOTAL COBERTURA]]</f>
        <v>0</v>
      </c>
      <c r="AP450" s="35">
        <f>VLOOKUP(Tabla4[[#This Row],[SERVICIO 2025]],$J$2:$V$14,3,0)*Tabla4[[#This Row],[TOTAL COBERTURA]]*8</f>
        <v>563592960</v>
      </c>
      <c r="AQ450" s="35"/>
      <c r="AR450" s="35">
        <f>Tabla4[[#This Row],[VALOR FASE PREPARATORIA DE ALISTAMIENTO]]+Tabla4[[#This Row],[VALOR FASE PREPARATORIA DE CIERRE]]+Tabla4[[#This Row],[DOTACIÓN ÚNICA]]+Tabla4[[#This Row],[VALOR ATENCIÓN]]+Tabla4[[#This Row],[VALOR RACION PREPARADA]]</f>
        <v>586439000</v>
      </c>
      <c r="AS450" s="35" t="str">
        <f>+IF(Tabla4[[#This Row],[AGRUPACIONES]]=1,SUMIFS(Tabla4[VALOR TOTAL],Tabla4[ZONA DEFINITIVO],Tabla4[[#This Row],[ZONA DEFINITIVO]])," ")</f>
        <v xml:space="preserve"> </v>
      </c>
      <c r="AT450" s="27">
        <f>(VLOOKUP(Tabla4[[#This Row],[SERVICIO 2025]],$J$2:$V$14,3,0)*Tabla4[[#This Row],[TOTAL COBERTURA]])+Tabla4[[#This Row],[VALOR FASE PREPARATORIA DE ALISTAMIENTO]]+Tabla4[[#This Row],[DOTACIÓN ÚNICA]]</f>
        <v>82789140</v>
      </c>
      <c r="AU450" s="35">
        <f>(VLOOKUP(Tabla4[[#This Row],[SERVICIO 2025]],$J$2:$V$14,3,0)*Tabla4[[#This Row],[TOTAL COBERTURA]])</f>
        <v>70449120</v>
      </c>
      <c r="AV450" s="35">
        <f>(VLOOKUP(Tabla4[[#This Row],[SERVICIO 2025]],$J$2:$V$14,3,0)*Tabla4[[#This Row],[TOTAL COBERTURA]])</f>
        <v>70449120</v>
      </c>
      <c r="AW450" s="35">
        <f>(VLOOKUP(Tabla4[[#This Row],[SERVICIO 2025]],$J$2:$V$14,3,0)*Tabla4[[#This Row],[TOTAL COBERTURA]])</f>
        <v>70449120</v>
      </c>
      <c r="AX450" s="35">
        <f>(VLOOKUP(Tabla4[[#This Row],[SERVICIO 2025]],$J$2:$V$14,3,0)*Tabla4[[#This Row],[TOTAL COBERTURA]])</f>
        <v>70449120</v>
      </c>
      <c r="AY450" s="35">
        <f>(VLOOKUP(Tabla4[[#This Row],[SERVICIO 2025]],$J$2:$V$14,3,0)*Tabla4[[#This Row],[TOTAL COBERTURA]])</f>
        <v>70449120</v>
      </c>
      <c r="AZ450" s="35">
        <f>(VLOOKUP(Tabla4[[#This Row],[SERVICIO 2025]],$J$2:$V$14,3,0)*Tabla4[[#This Row],[TOTAL COBERTURA]])</f>
        <v>70449120</v>
      </c>
      <c r="BA450" s="35">
        <f>(VLOOKUP(Tabla4[[#This Row],[SERVICIO 2025]],$J$2:$V$14,3,0)*Tabla4[[#This Row],[TOTAL COBERTURA]])+Tabla4[[#This Row],[VALOR FASE PREPARATORIA DE CIERRE]]</f>
        <v>80955140</v>
      </c>
      <c r="BB450" s="35">
        <f>SUM(Tabla4[[#This Row],[DESEMBOLSO 1]:[DESEMBOLSO 8]])</f>
        <v>586439000</v>
      </c>
      <c r="BC450" s="35">
        <f>VLOOKUP(Tabla4[[#This Row],[SERVICIO 2025]],$J$2:$V$14,10,0)*Tabla4[[#This Row],[TOTAL COBERTURA]]*$W$3</f>
        <v>0</v>
      </c>
      <c r="BD450" s="47" t="s">
        <v>145</v>
      </c>
      <c r="BE450" s="12" t="b">
        <f>EXACT(Tabla4[[#This Row],[VALOR ATENCIÓN (8 MESES)]],Tabla4[[#This Row],[VALOR TOTAL]])</f>
        <v>1</v>
      </c>
      <c r="BF450" s="23">
        <f>Tabla4[[#This Row],[VALOR ATENCIÓN (8 MESES)]]-Tabla4[[#This Row],[VALOR TOTAL]]</f>
        <v>0</v>
      </c>
      <c r="BG450" s="12" t="b">
        <f>EXACT(Tabla4[[#This Row],[TOTAL DESEMBOLSOS]],Tabla4[[#This Row],[VALOR ATENCIÓN (8 MESES)]])</f>
        <v>1</v>
      </c>
      <c r="BH450" s="29">
        <f>Tabla4[[#This Row],[TOTAL DESEMBOLSOS]]-Tabla4[[#This Row],[VALOR ATENCIÓN (8 MESES)]]</f>
        <v>0</v>
      </c>
      <c r="BI450" t="s">
        <v>98</v>
      </c>
    </row>
    <row r="451" spans="1:62">
      <c r="A451" s="13">
        <v>1930</v>
      </c>
      <c r="B451" s="13" t="s">
        <v>1059</v>
      </c>
      <c r="C451" s="12" t="s">
        <v>87</v>
      </c>
      <c r="D451" s="12" t="s">
        <v>462</v>
      </c>
      <c r="E451" s="12" t="s">
        <v>1048</v>
      </c>
      <c r="F451" s="12" t="s">
        <v>18</v>
      </c>
      <c r="G451" s="12" t="s">
        <v>90</v>
      </c>
      <c r="H451" s="12" t="s">
        <v>1060</v>
      </c>
      <c r="I451" s="12">
        <v>51471112689</v>
      </c>
      <c r="J451" s="12" t="s">
        <v>1061</v>
      </c>
      <c r="K451" s="12">
        <v>1</v>
      </c>
      <c r="L451" s="12">
        <v>50</v>
      </c>
      <c r="M451" s="12"/>
      <c r="N451" s="13">
        <v>1930</v>
      </c>
      <c r="O451" s="12" t="s">
        <v>93</v>
      </c>
      <c r="P451" s="12"/>
      <c r="Q451" s="12"/>
      <c r="R451" s="12" t="s">
        <v>94</v>
      </c>
      <c r="S451" s="12">
        <v>10</v>
      </c>
      <c r="T451" s="12" t="s">
        <v>1062</v>
      </c>
      <c r="U451" s="12" t="s">
        <v>1063</v>
      </c>
      <c r="V451" s="12">
        <f>VLOOKUP(Tabla4[[#This Row],[ZONA DEFINITIVO]],Hoja1!$A$1:$D$121,3,0)</f>
        <v>229101</v>
      </c>
      <c r="W451" s="12">
        <f>VLOOKUP(Tabla4[[#This Row],[ZONA DEFINITIVO]],Hoja1!$A$1:$D$121,2,0)</f>
        <v>15186</v>
      </c>
      <c r="X451" s="12">
        <f>VLOOKUP(Tabla4[[#This Row],[ZONA DEFINITIVO]],Hoja1!$A$1:$D$121,4,0)</f>
        <v>87625</v>
      </c>
      <c r="Y451" s="12">
        <f>+IF(Tabla4[[#This Row],[AGRUPACIONES]]=1,SUMIFS(Tabla4[UDS],Tabla4[ZONA DEFINITIVO],Tabla4[[#This Row],[ZONA DEFINITIVO]])," ")</f>
        <v>37</v>
      </c>
      <c r="Z451" s="12">
        <f>+IF(Tabla4[[#This Row],[AGRUPACIONES]]=1,SUMIFS(Tabla4[TOTAL COBERTURA],Tabla4[ZONA DEFINITIVO],Tabla4[[#This Row],[ZONA DEFINITIVO]])," ")</f>
        <v>1047</v>
      </c>
      <c r="AA451" s="12"/>
      <c r="AB451" s="38">
        <v>109009650</v>
      </c>
      <c r="AC451" s="37">
        <v>0.02</v>
      </c>
      <c r="AD451" s="38">
        <f t="shared" si="7"/>
        <v>2180193</v>
      </c>
      <c r="AE451" s="12"/>
      <c r="AF451" s="12">
        <f>COUNTIF($A$20:A451,A451)</f>
        <v>1</v>
      </c>
      <c r="AG451" s="38">
        <v>109009650</v>
      </c>
      <c r="AH451" s="38">
        <f>Tabla4[[#This Row],[VALOR CONTRAPARTIDA]]+Tabla4[[#This Row],[TOTAL APORTES ICBF]]</f>
        <v>111189843</v>
      </c>
      <c r="AI451" s="35">
        <f>ROUND(+IF(Tabla4[[#This Row],[AGRUPACIONES]]=1,SUMIFS(Tabla4[TOTAL APORTES ICBF],Tabla4[ZONA DEFINITIVO],Tabla4[[#This Row],[ZONA DEFINITIVO]])," "),0)</f>
        <v>2282662071</v>
      </c>
      <c r="AJ451" s="38">
        <f>ROUND(+IF(Tabla4[[#This Row],[AGRUPACIONES]]=1,SUMIFS(Tabla4[VALOR CONTRAPARTIDA],Tabla4[ZONA DEFINITIVO],Tabla4[[#This Row],[ZONA DEFINITIVO]])," "),0)</f>
        <v>45653241</v>
      </c>
      <c r="AK451" s="38">
        <f>Tabla4[[#This Row],[TOTAL APORTES ICBF AGRUPADO]]+Tabla4[[#This Row],[TOTAL CONTRAPARTIDA AGRUPADO]]</f>
        <v>2328315312</v>
      </c>
      <c r="AL451" s="23">
        <f>Tabla4[[#This Row],[TOTAL APORTES ICBF AGRUPADO]]/$AL$18</f>
        <v>1603.5560737618546</v>
      </c>
      <c r="AM451" s="35">
        <f>VLOOKUP(Tabla4[[#This Row],[SERVICIO 2025]],$J$2:$V$14,5,0)*Tabla4[[#This Row],[TOTAL COBERTURA]]</f>
        <v>2468800</v>
      </c>
      <c r="AN451" s="35">
        <f>VLOOKUP(Tabla4[[#This Row],[SERVICIO 2025]],$J$2:$V$14,6,0)*Tabla4[[#This Row],[TOTAL COBERTURA]]</f>
        <v>2051450</v>
      </c>
      <c r="AO451" s="35">
        <f>VLOOKUP(Tabla4[[#This Row],[SERVICIO 2025]],$J$2:$V$14,8,0)*Tabla4[[#This Row],[TOTAL COBERTURA]]</f>
        <v>1455000</v>
      </c>
      <c r="AP451" s="35">
        <f>VLOOKUP(Tabla4[[#This Row],[SERVICIO 2025]],$J$2:$V$14,3,0)*Tabla4[[#This Row],[TOTAL COBERTURA]]*8</f>
        <v>103034400</v>
      </c>
      <c r="AQ451" s="35"/>
      <c r="AR451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451" s="35">
        <f>+IF(Tabla4[[#This Row],[AGRUPACIONES]]=1,SUMIFS(Tabla4[VALOR TOTAL],Tabla4[ZONA DEFINITIVO],Tabla4[[#This Row],[ZONA DEFINITIVO]])," ")</f>
        <v>2282662071</v>
      </c>
      <c r="AT451" s="27">
        <f>(VLOOKUP(Tabla4[[#This Row],[SERVICIO 2025]],$J$2:$V$14,3,0)*Tabla4[[#This Row],[TOTAL COBERTURA]])+Tabla4[[#This Row],[VALOR FASE PREPARATORIA DE ALISTAMIENTO]]+Tabla4[[#This Row],[DOTACIÓN ÚNICA]]</f>
        <v>16803100</v>
      </c>
      <c r="AU451" s="35">
        <f>(VLOOKUP(Tabla4[[#This Row],[SERVICIO 2025]],$J$2:$V$14,3,0)*Tabla4[[#This Row],[TOTAL COBERTURA]])</f>
        <v>12879300</v>
      </c>
      <c r="AV451" s="35">
        <f>(VLOOKUP(Tabla4[[#This Row],[SERVICIO 2025]],$J$2:$V$14,3,0)*Tabla4[[#This Row],[TOTAL COBERTURA]])</f>
        <v>12879300</v>
      </c>
      <c r="AW451" s="35">
        <f>(VLOOKUP(Tabla4[[#This Row],[SERVICIO 2025]],$J$2:$V$14,3,0)*Tabla4[[#This Row],[TOTAL COBERTURA]])</f>
        <v>12879300</v>
      </c>
      <c r="AX451" s="35">
        <f>(VLOOKUP(Tabla4[[#This Row],[SERVICIO 2025]],$J$2:$V$14,3,0)*Tabla4[[#This Row],[TOTAL COBERTURA]])</f>
        <v>12879300</v>
      </c>
      <c r="AY451" s="35">
        <f>(VLOOKUP(Tabla4[[#This Row],[SERVICIO 2025]],$J$2:$V$14,3,0)*Tabla4[[#This Row],[TOTAL COBERTURA]])</f>
        <v>12879300</v>
      </c>
      <c r="AZ451" s="35">
        <f>(VLOOKUP(Tabla4[[#This Row],[SERVICIO 2025]],$J$2:$V$14,3,0)*Tabla4[[#This Row],[TOTAL COBERTURA]])</f>
        <v>12879300</v>
      </c>
      <c r="BA451" s="35">
        <f>(VLOOKUP(Tabla4[[#This Row],[SERVICIO 2025]],$J$2:$V$14,3,0)*Tabla4[[#This Row],[TOTAL COBERTURA]])+Tabla4[[#This Row],[VALOR FASE PREPARATORIA DE CIERRE]]</f>
        <v>14930750</v>
      </c>
      <c r="BB451" s="35">
        <f>SUM(Tabla4[[#This Row],[DESEMBOLSO 1]:[DESEMBOLSO 8]])</f>
        <v>109009650</v>
      </c>
      <c r="BC451" s="35">
        <f>VLOOKUP(Tabla4[[#This Row],[SERVICIO 2025]],$J$2:$V$14,10,0)*Tabla4[[#This Row],[TOTAL COBERTURA]]*$W$3</f>
        <v>72153200</v>
      </c>
      <c r="BD451" s="47" t="s">
        <v>211</v>
      </c>
      <c r="BE451" s="12" t="b">
        <f>EXACT(Tabla4[[#This Row],[VALOR ATENCIÓN (8 MESES)]],Tabla4[[#This Row],[VALOR TOTAL]])</f>
        <v>1</v>
      </c>
      <c r="BF451" s="23">
        <f>Tabla4[[#This Row],[VALOR ATENCIÓN (8 MESES)]]-Tabla4[[#This Row],[VALOR TOTAL]]</f>
        <v>0</v>
      </c>
      <c r="BG451" s="12" t="b">
        <f>EXACT(Tabla4[[#This Row],[TOTAL DESEMBOLSOS]],Tabla4[[#This Row],[VALOR ATENCIÓN (8 MESES)]])</f>
        <v>1</v>
      </c>
      <c r="BH451" s="29">
        <f>Tabla4[[#This Row],[TOTAL DESEMBOLSOS]]-Tabla4[[#This Row],[VALOR ATENCIÓN (8 MESES)]]</f>
        <v>0</v>
      </c>
      <c r="BI451" t="s">
        <v>98</v>
      </c>
      <c r="BJ451">
        <v>1930</v>
      </c>
    </row>
    <row r="452" spans="1:62">
      <c r="A452" s="13">
        <v>1930</v>
      </c>
      <c r="B452" s="13" t="s">
        <v>1059</v>
      </c>
      <c r="C452" s="12" t="s">
        <v>87</v>
      </c>
      <c r="D452" s="12" t="s">
        <v>462</v>
      </c>
      <c r="E452" s="12" t="s">
        <v>1048</v>
      </c>
      <c r="F452" s="12" t="s">
        <v>18</v>
      </c>
      <c r="G452" s="12" t="s">
        <v>90</v>
      </c>
      <c r="H452" s="12" t="s">
        <v>1064</v>
      </c>
      <c r="I452" s="12">
        <v>51471112710</v>
      </c>
      <c r="J452" s="12" t="s">
        <v>574</v>
      </c>
      <c r="K452" s="12">
        <v>1</v>
      </c>
      <c r="L452" s="12">
        <v>50</v>
      </c>
      <c r="M452" s="12"/>
      <c r="N452" s="13">
        <v>1930</v>
      </c>
      <c r="O452" s="12" t="s">
        <v>93</v>
      </c>
      <c r="P452" s="12"/>
      <c r="Q452" s="12"/>
      <c r="R452" s="12" t="s">
        <v>94</v>
      </c>
      <c r="S452" s="12">
        <v>10</v>
      </c>
      <c r="T452" s="12" t="s">
        <v>1062</v>
      </c>
      <c r="U452" s="12" t="s">
        <v>1063</v>
      </c>
      <c r="V452" s="12">
        <f>VLOOKUP(Tabla4[[#This Row],[ZONA DEFINITIVO]],Hoja1!$A$1:$D$121,3,0)</f>
        <v>229101</v>
      </c>
      <c r="W452" s="12">
        <f>VLOOKUP(Tabla4[[#This Row],[ZONA DEFINITIVO]],Hoja1!$A$1:$D$121,2,0)</f>
        <v>15186</v>
      </c>
      <c r="X452" s="12">
        <f>VLOOKUP(Tabla4[[#This Row],[ZONA DEFINITIVO]],Hoja1!$A$1:$D$121,4,0)</f>
        <v>87625</v>
      </c>
      <c r="Y452" s="12" t="str">
        <f>+IF(Tabla4[[#This Row],[AGRUPACIONES]]=1,SUMIFS(Tabla4[UDS],Tabla4[ZONA DEFINITIVO],Tabla4[[#This Row],[ZONA DEFINITIVO]])," ")</f>
        <v xml:space="preserve"> </v>
      </c>
      <c r="Z452" s="12" t="str">
        <f>+IF(Tabla4[[#This Row],[AGRUPACIONES]]=1,SUMIFS(Tabla4[TOTAL COBERTURA],Tabla4[ZONA DEFINITIVO],Tabla4[[#This Row],[ZONA DEFINITIVO]])," ")</f>
        <v xml:space="preserve"> </v>
      </c>
      <c r="AA452" s="12"/>
      <c r="AB452" s="38">
        <v>109009650</v>
      </c>
      <c r="AC452" s="37">
        <v>0.02</v>
      </c>
      <c r="AD452" s="38">
        <f t="shared" si="7"/>
        <v>2180193</v>
      </c>
      <c r="AE452" s="12"/>
      <c r="AF452" s="12">
        <f>COUNTIF($A$20:A452,A452)</f>
        <v>2</v>
      </c>
      <c r="AG452" s="38">
        <v>109009650</v>
      </c>
      <c r="AH452" s="38">
        <f>Tabla4[[#This Row],[VALOR CONTRAPARTIDA]]+Tabla4[[#This Row],[TOTAL APORTES ICBF]]</f>
        <v>111189843</v>
      </c>
      <c r="AI452" s="35"/>
      <c r="AJ452" s="38"/>
      <c r="AK452" s="38"/>
      <c r="AL452" s="23"/>
      <c r="AM452" s="35">
        <f>VLOOKUP(Tabla4[[#This Row],[SERVICIO 2025]],$J$2:$V$14,5,0)*Tabla4[[#This Row],[TOTAL COBERTURA]]</f>
        <v>2468800</v>
      </c>
      <c r="AN452" s="35">
        <f>VLOOKUP(Tabla4[[#This Row],[SERVICIO 2025]],$J$2:$V$14,6,0)*Tabla4[[#This Row],[TOTAL COBERTURA]]</f>
        <v>2051450</v>
      </c>
      <c r="AO452" s="35">
        <f>VLOOKUP(Tabla4[[#This Row],[SERVICIO 2025]],$J$2:$V$14,8,0)*Tabla4[[#This Row],[TOTAL COBERTURA]]</f>
        <v>1455000</v>
      </c>
      <c r="AP452" s="35">
        <f>VLOOKUP(Tabla4[[#This Row],[SERVICIO 2025]],$J$2:$V$14,3,0)*Tabla4[[#This Row],[TOTAL COBERTURA]]*8</f>
        <v>103034400</v>
      </c>
      <c r="AQ452" s="35"/>
      <c r="AR452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452" s="35" t="str">
        <f>+IF(Tabla4[[#This Row],[AGRUPACIONES]]=1,SUMIFS(Tabla4[VALOR TOTAL],Tabla4[ZONA DEFINITIVO],Tabla4[[#This Row],[ZONA DEFINITIVO]])," ")</f>
        <v xml:space="preserve"> </v>
      </c>
      <c r="AT452" s="27">
        <f>(VLOOKUP(Tabla4[[#This Row],[SERVICIO 2025]],$J$2:$V$14,3,0)*Tabla4[[#This Row],[TOTAL COBERTURA]])+Tabla4[[#This Row],[VALOR FASE PREPARATORIA DE ALISTAMIENTO]]+Tabla4[[#This Row],[DOTACIÓN ÚNICA]]</f>
        <v>16803100</v>
      </c>
      <c r="AU452" s="35">
        <f>(VLOOKUP(Tabla4[[#This Row],[SERVICIO 2025]],$J$2:$V$14,3,0)*Tabla4[[#This Row],[TOTAL COBERTURA]])</f>
        <v>12879300</v>
      </c>
      <c r="AV452" s="35">
        <f>(VLOOKUP(Tabla4[[#This Row],[SERVICIO 2025]],$J$2:$V$14,3,0)*Tabla4[[#This Row],[TOTAL COBERTURA]])</f>
        <v>12879300</v>
      </c>
      <c r="AW452" s="35">
        <f>(VLOOKUP(Tabla4[[#This Row],[SERVICIO 2025]],$J$2:$V$14,3,0)*Tabla4[[#This Row],[TOTAL COBERTURA]])</f>
        <v>12879300</v>
      </c>
      <c r="AX452" s="35">
        <f>(VLOOKUP(Tabla4[[#This Row],[SERVICIO 2025]],$J$2:$V$14,3,0)*Tabla4[[#This Row],[TOTAL COBERTURA]])</f>
        <v>12879300</v>
      </c>
      <c r="AY452" s="35">
        <f>(VLOOKUP(Tabla4[[#This Row],[SERVICIO 2025]],$J$2:$V$14,3,0)*Tabla4[[#This Row],[TOTAL COBERTURA]])</f>
        <v>12879300</v>
      </c>
      <c r="AZ452" s="35">
        <f>(VLOOKUP(Tabla4[[#This Row],[SERVICIO 2025]],$J$2:$V$14,3,0)*Tabla4[[#This Row],[TOTAL COBERTURA]])</f>
        <v>12879300</v>
      </c>
      <c r="BA452" s="35">
        <f>(VLOOKUP(Tabla4[[#This Row],[SERVICIO 2025]],$J$2:$V$14,3,0)*Tabla4[[#This Row],[TOTAL COBERTURA]])+Tabla4[[#This Row],[VALOR FASE PREPARATORIA DE CIERRE]]</f>
        <v>14930750</v>
      </c>
      <c r="BB452" s="35">
        <f>SUM(Tabla4[[#This Row],[DESEMBOLSO 1]:[DESEMBOLSO 8]])</f>
        <v>109009650</v>
      </c>
      <c r="BC452" s="35">
        <f>VLOOKUP(Tabla4[[#This Row],[SERVICIO 2025]],$J$2:$V$14,10,0)*Tabla4[[#This Row],[TOTAL COBERTURA]]*$W$3</f>
        <v>72153200</v>
      </c>
      <c r="BD452" s="47" t="s">
        <v>211</v>
      </c>
      <c r="BE452" s="12" t="b">
        <f>EXACT(Tabla4[[#This Row],[VALOR ATENCIÓN (8 MESES)]],Tabla4[[#This Row],[VALOR TOTAL]])</f>
        <v>1</v>
      </c>
      <c r="BF452" s="23">
        <f>Tabla4[[#This Row],[VALOR ATENCIÓN (8 MESES)]]-Tabla4[[#This Row],[VALOR TOTAL]]</f>
        <v>0</v>
      </c>
      <c r="BG452" s="12" t="b">
        <f>EXACT(Tabla4[[#This Row],[TOTAL DESEMBOLSOS]],Tabla4[[#This Row],[VALOR ATENCIÓN (8 MESES)]])</f>
        <v>1</v>
      </c>
      <c r="BH452" s="29">
        <f>Tabla4[[#This Row],[TOTAL DESEMBOLSOS]]-Tabla4[[#This Row],[VALOR ATENCIÓN (8 MESES)]]</f>
        <v>0</v>
      </c>
      <c r="BI452" t="s">
        <v>98</v>
      </c>
      <c r="BJ452">
        <v>1930</v>
      </c>
    </row>
    <row r="453" spans="1:62">
      <c r="A453" s="13">
        <v>1930</v>
      </c>
      <c r="B453" s="13" t="s">
        <v>1059</v>
      </c>
      <c r="C453" s="12" t="s">
        <v>87</v>
      </c>
      <c r="D453" s="12" t="s">
        <v>462</v>
      </c>
      <c r="E453" s="12" t="s">
        <v>1048</v>
      </c>
      <c r="F453" s="12" t="s">
        <v>18</v>
      </c>
      <c r="G453" s="12" t="s">
        <v>90</v>
      </c>
      <c r="H453" s="12" t="s">
        <v>1065</v>
      </c>
      <c r="I453" s="12">
        <v>51471112720</v>
      </c>
      <c r="J453" s="12" t="s">
        <v>1066</v>
      </c>
      <c r="K453" s="12">
        <v>1</v>
      </c>
      <c r="L453" s="12">
        <v>50</v>
      </c>
      <c r="M453" s="12"/>
      <c r="N453" s="13">
        <v>1930</v>
      </c>
      <c r="O453" s="12" t="s">
        <v>93</v>
      </c>
      <c r="P453" s="12"/>
      <c r="Q453" s="12"/>
      <c r="R453" s="12" t="s">
        <v>94</v>
      </c>
      <c r="S453" s="12">
        <v>10</v>
      </c>
      <c r="T453" s="12" t="s">
        <v>1062</v>
      </c>
      <c r="U453" s="12" t="s">
        <v>1063</v>
      </c>
      <c r="V453" s="12">
        <f>VLOOKUP(Tabla4[[#This Row],[ZONA DEFINITIVO]],Hoja1!$A$1:$D$121,3,0)</f>
        <v>229101</v>
      </c>
      <c r="W453" s="12">
        <f>VLOOKUP(Tabla4[[#This Row],[ZONA DEFINITIVO]],Hoja1!$A$1:$D$121,2,0)</f>
        <v>15186</v>
      </c>
      <c r="X453" s="12">
        <f>VLOOKUP(Tabla4[[#This Row],[ZONA DEFINITIVO]],Hoja1!$A$1:$D$121,4,0)</f>
        <v>87625</v>
      </c>
      <c r="Y453" s="12" t="str">
        <f>+IF(Tabla4[[#This Row],[AGRUPACIONES]]=1,SUMIFS(Tabla4[UDS],Tabla4[ZONA DEFINITIVO],Tabla4[[#This Row],[ZONA DEFINITIVO]])," ")</f>
        <v xml:space="preserve"> </v>
      </c>
      <c r="Z453" s="12" t="str">
        <f>+IF(Tabla4[[#This Row],[AGRUPACIONES]]=1,SUMIFS(Tabla4[TOTAL COBERTURA],Tabla4[ZONA DEFINITIVO],Tabla4[[#This Row],[ZONA DEFINITIVO]])," ")</f>
        <v xml:space="preserve"> </v>
      </c>
      <c r="AA453" s="12"/>
      <c r="AB453" s="38">
        <v>109009650</v>
      </c>
      <c r="AC453" s="37">
        <v>0.02</v>
      </c>
      <c r="AD453" s="38">
        <f t="shared" si="7"/>
        <v>2180193</v>
      </c>
      <c r="AE453" s="12"/>
      <c r="AF453" s="12">
        <f>COUNTIF($A$20:A453,A453)</f>
        <v>3</v>
      </c>
      <c r="AG453" s="38">
        <v>109009650</v>
      </c>
      <c r="AH453" s="38">
        <f>Tabla4[[#This Row],[VALOR CONTRAPARTIDA]]+Tabla4[[#This Row],[TOTAL APORTES ICBF]]</f>
        <v>111189843</v>
      </c>
      <c r="AI453" s="35"/>
      <c r="AJ453" s="38"/>
      <c r="AK453" s="38"/>
      <c r="AL453" s="23"/>
      <c r="AM453" s="35">
        <f>VLOOKUP(Tabla4[[#This Row],[SERVICIO 2025]],$J$2:$V$14,5,0)*Tabla4[[#This Row],[TOTAL COBERTURA]]</f>
        <v>2468800</v>
      </c>
      <c r="AN453" s="35">
        <f>VLOOKUP(Tabla4[[#This Row],[SERVICIO 2025]],$J$2:$V$14,6,0)*Tabla4[[#This Row],[TOTAL COBERTURA]]</f>
        <v>2051450</v>
      </c>
      <c r="AO453" s="35">
        <f>VLOOKUP(Tabla4[[#This Row],[SERVICIO 2025]],$J$2:$V$14,8,0)*Tabla4[[#This Row],[TOTAL COBERTURA]]</f>
        <v>1455000</v>
      </c>
      <c r="AP453" s="35">
        <f>VLOOKUP(Tabla4[[#This Row],[SERVICIO 2025]],$J$2:$V$14,3,0)*Tabla4[[#This Row],[TOTAL COBERTURA]]*8</f>
        <v>103034400</v>
      </c>
      <c r="AQ453" s="35"/>
      <c r="AR453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453" s="35" t="str">
        <f>+IF(Tabla4[[#This Row],[AGRUPACIONES]]=1,SUMIFS(Tabla4[VALOR TOTAL],Tabla4[ZONA DEFINITIVO],Tabla4[[#This Row],[ZONA DEFINITIVO]])," ")</f>
        <v xml:space="preserve"> </v>
      </c>
      <c r="AT453" s="27">
        <f>(VLOOKUP(Tabla4[[#This Row],[SERVICIO 2025]],$J$2:$V$14,3,0)*Tabla4[[#This Row],[TOTAL COBERTURA]])+Tabla4[[#This Row],[VALOR FASE PREPARATORIA DE ALISTAMIENTO]]+Tabla4[[#This Row],[DOTACIÓN ÚNICA]]</f>
        <v>16803100</v>
      </c>
      <c r="AU453" s="35">
        <f>(VLOOKUP(Tabla4[[#This Row],[SERVICIO 2025]],$J$2:$V$14,3,0)*Tabla4[[#This Row],[TOTAL COBERTURA]])</f>
        <v>12879300</v>
      </c>
      <c r="AV453" s="35">
        <f>(VLOOKUP(Tabla4[[#This Row],[SERVICIO 2025]],$J$2:$V$14,3,0)*Tabla4[[#This Row],[TOTAL COBERTURA]])</f>
        <v>12879300</v>
      </c>
      <c r="AW453" s="35">
        <f>(VLOOKUP(Tabla4[[#This Row],[SERVICIO 2025]],$J$2:$V$14,3,0)*Tabla4[[#This Row],[TOTAL COBERTURA]])</f>
        <v>12879300</v>
      </c>
      <c r="AX453" s="35">
        <f>(VLOOKUP(Tabla4[[#This Row],[SERVICIO 2025]],$J$2:$V$14,3,0)*Tabla4[[#This Row],[TOTAL COBERTURA]])</f>
        <v>12879300</v>
      </c>
      <c r="AY453" s="35">
        <f>(VLOOKUP(Tabla4[[#This Row],[SERVICIO 2025]],$J$2:$V$14,3,0)*Tabla4[[#This Row],[TOTAL COBERTURA]])</f>
        <v>12879300</v>
      </c>
      <c r="AZ453" s="35">
        <f>(VLOOKUP(Tabla4[[#This Row],[SERVICIO 2025]],$J$2:$V$14,3,0)*Tabla4[[#This Row],[TOTAL COBERTURA]])</f>
        <v>12879300</v>
      </c>
      <c r="BA453" s="35">
        <f>(VLOOKUP(Tabla4[[#This Row],[SERVICIO 2025]],$J$2:$V$14,3,0)*Tabla4[[#This Row],[TOTAL COBERTURA]])+Tabla4[[#This Row],[VALOR FASE PREPARATORIA DE CIERRE]]</f>
        <v>14930750</v>
      </c>
      <c r="BB453" s="35">
        <f>SUM(Tabla4[[#This Row],[DESEMBOLSO 1]:[DESEMBOLSO 8]])</f>
        <v>109009650</v>
      </c>
      <c r="BC453" s="35">
        <f>VLOOKUP(Tabla4[[#This Row],[SERVICIO 2025]],$J$2:$V$14,10,0)*Tabla4[[#This Row],[TOTAL COBERTURA]]*$W$3</f>
        <v>72153200</v>
      </c>
      <c r="BD453" s="47" t="s">
        <v>211</v>
      </c>
      <c r="BE453" s="12" t="b">
        <f>EXACT(Tabla4[[#This Row],[VALOR ATENCIÓN (8 MESES)]],Tabla4[[#This Row],[VALOR TOTAL]])</f>
        <v>1</v>
      </c>
      <c r="BF453" s="23">
        <f>Tabla4[[#This Row],[VALOR ATENCIÓN (8 MESES)]]-Tabla4[[#This Row],[VALOR TOTAL]]</f>
        <v>0</v>
      </c>
      <c r="BG453" s="12" t="b">
        <f>EXACT(Tabla4[[#This Row],[TOTAL DESEMBOLSOS]],Tabla4[[#This Row],[VALOR ATENCIÓN (8 MESES)]])</f>
        <v>1</v>
      </c>
      <c r="BH453" s="29">
        <f>Tabla4[[#This Row],[TOTAL DESEMBOLSOS]]-Tabla4[[#This Row],[VALOR ATENCIÓN (8 MESES)]]</f>
        <v>0</v>
      </c>
      <c r="BI453" t="s">
        <v>98</v>
      </c>
      <c r="BJ453">
        <v>1930</v>
      </c>
    </row>
    <row r="454" spans="1:62">
      <c r="A454" s="13">
        <v>1930</v>
      </c>
      <c r="B454" s="13" t="s">
        <v>1059</v>
      </c>
      <c r="C454" s="12" t="s">
        <v>87</v>
      </c>
      <c r="D454" s="12" t="s">
        <v>462</v>
      </c>
      <c r="E454" s="12" t="s">
        <v>1048</v>
      </c>
      <c r="F454" s="12" t="s">
        <v>18</v>
      </c>
      <c r="G454" s="12" t="s">
        <v>90</v>
      </c>
      <c r="H454" s="12" t="s">
        <v>1060</v>
      </c>
      <c r="I454" s="12">
        <v>51471112747</v>
      </c>
      <c r="J454" s="12" t="s">
        <v>1067</v>
      </c>
      <c r="K454" s="12">
        <v>1</v>
      </c>
      <c r="L454" s="12">
        <v>48</v>
      </c>
      <c r="M454" s="12"/>
      <c r="N454" s="13">
        <v>1930</v>
      </c>
      <c r="O454" s="12" t="s">
        <v>93</v>
      </c>
      <c r="P454" s="12"/>
      <c r="Q454" s="12"/>
      <c r="R454" s="12" t="s">
        <v>94</v>
      </c>
      <c r="S454" s="12">
        <v>10</v>
      </c>
      <c r="T454" s="12" t="s">
        <v>1062</v>
      </c>
      <c r="U454" s="12" t="s">
        <v>1063</v>
      </c>
      <c r="V454" s="12">
        <f>VLOOKUP(Tabla4[[#This Row],[ZONA DEFINITIVO]],Hoja1!$A$1:$D$121,3,0)</f>
        <v>229101</v>
      </c>
      <c r="W454" s="12">
        <f>VLOOKUP(Tabla4[[#This Row],[ZONA DEFINITIVO]],Hoja1!$A$1:$D$121,2,0)</f>
        <v>15186</v>
      </c>
      <c r="X454" s="12">
        <f>VLOOKUP(Tabla4[[#This Row],[ZONA DEFINITIVO]],Hoja1!$A$1:$D$121,4,0)</f>
        <v>87625</v>
      </c>
      <c r="Y454" s="12" t="str">
        <f>+IF(Tabla4[[#This Row],[AGRUPACIONES]]=1,SUMIFS(Tabla4[UDS],Tabla4[ZONA DEFINITIVO],Tabla4[[#This Row],[ZONA DEFINITIVO]])," ")</f>
        <v xml:space="preserve"> </v>
      </c>
      <c r="Z454" s="12" t="str">
        <f>+IF(Tabla4[[#This Row],[AGRUPACIONES]]=1,SUMIFS(Tabla4[TOTAL COBERTURA],Tabla4[ZONA DEFINITIVO],Tabla4[[#This Row],[ZONA DEFINITIVO]])," ")</f>
        <v xml:space="preserve"> </v>
      </c>
      <c r="AA454" s="12"/>
      <c r="AB454" s="38">
        <v>104649264</v>
      </c>
      <c r="AC454" s="37">
        <v>0.02</v>
      </c>
      <c r="AD454" s="38">
        <f t="shared" si="7"/>
        <v>2092985.28</v>
      </c>
      <c r="AE454" s="12"/>
      <c r="AF454" s="12">
        <f>COUNTIF($A$20:A454,A454)</f>
        <v>4</v>
      </c>
      <c r="AG454" s="38">
        <v>104649264</v>
      </c>
      <c r="AH454" s="38">
        <f>Tabla4[[#This Row],[VALOR CONTRAPARTIDA]]+Tabla4[[#This Row],[TOTAL APORTES ICBF]]</f>
        <v>106742249.28</v>
      </c>
      <c r="AI454" s="35"/>
      <c r="AJ454" s="38"/>
      <c r="AK454" s="38"/>
      <c r="AL454" s="23"/>
      <c r="AM454" s="35">
        <f>VLOOKUP(Tabla4[[#This Row],[SERVICIO 2025]],$J$2:$V$14,5,0)*Tabla4[[#This Row],[TOTAL COBERTURA]]</f>
        <v>2370048</v>
      </c>
      <c r="AN454" s="35">
        <f>VLOOKUP(Tabla4[[#This Row],[SERVICIO 2025]],$J$2:$V$14,6,0)*Tabla4[[#This Row],[TOTAL COBERTURA]]</f>
        <v>1969392</v>
      </c>
      <c r="AO454" s="35">
        <f>VLOOKUP(Tabla4[[#This Row],[SERVICIO 2025]],$J$2:$V$14,8,0)*Tabla4[[#This Row],[TOTAL COBERTURA]]</f>
        <v>1396800</v>
      </c>
      <c r="AP454" s="35">
        <f>VLOOKUP(Tabla4[[#This Row],[SERVICIO 2025]],$J$2:$V$14,3,0)*Tabla4[[#This Row],[TOTAL COBERTURA]]*8</f>
        <v>98913024</v>
      </c>
      <c r="AQ454" s="35"/>
      <c r="AR454" s="35">
        <f>Tabla4[[#This Row],[VALOR FASE PREPARATORIA DE ALISTAMIENTO]]+Tabla4[[#This Row],[VALOR FASE PREPARATORIA DE CIERRE]]+Tabla4[[#This Row],[DOTACIÓN ÚNICA]]+Tabla4[[#This Row],[VALOR ATENCIÓN]]+Tabla4[[#This Row],[VALOR RACION PREPARADA]]</f>
        <v>104649264</v>
      </c>
      <c r="AS454" s="35" t="str">
        <f>+IF(Tabla4[[#This Row],[AGRUPACIONES]]=1,SUMIFS(Tabla4[VALOR TOTAL],Tabla4[ZONA DEFINITIVO],Tabla4[[#This Row],[ZONA DEFINITIVO]])," ")</f>
        <v xml:space="preserve"> </v>
      </c>
      <c r="AT454" s="27">
        <f>(VLOOKUP(Tabla4[[#This Row],[SERVICIO 2025]],$J$2:$V$14,3,0)*Tabla4[[#This Row],[TOTAL COBERTURA]])+Tabla4[[#This Row],[VALOR FASE PREPARATORIA DE ALISTAMIENTO]]+Tabla4[[#This Row],[DOTACIÓN ÚNICA]]</f>
        <v>16130976</v>
      </c>
      <c r="AU454" s="35">
        <f>(VLOOKUP(Tabla4[[#This Row],[SERVICIO 2025]],$J$2:$V$14,3,0)*Tabla4[[#This Row],[TOTAL COBERTURA]])</f>
        <v>12364128</v>
      </c>
      <c r="AV454" s="35">
        <f>(VLOOKUP(Tabla4[[#This Row],[SERVICIO 2025]],$J$2:$V$14,3,0)*Tabla4[[#This Row],[TOTAL COBERTURA]])</f>
        <v>12364128</v>
      </c>
      <c r="AW454" s="35">
        <f>(VLOOKUP(Tabla4[[#This Row],[SERVICIO 2025]],$J$2:$V$14,3,0)*Tabla4[[#This Row],[TOTAL COBERTURA]])</f>
        <v>12364128</v>
      </c>
      <c r="AX454" s="35">
        <f>(VLOOKUP(Tabla4[[#This Row],[SERVICIO 2025]],$J$2:$V$14,3,0)*Tabla4[[#This Row],[TOTAL COBERTURA]])</f>
        <v>12364128</v>
      </c>
      <c r="AY454" s="35">
        <f>(VLOOKUP(Tabla4[[#This Row],[SERVICIO 2025]],$J$2:$V$14,3,0)*Tabla4[[#This Row],[TOTAL COBERTURA]])</f>
        <v>12364128</v>
      </c>
      <c r="AZ454" s="35">
        <f>(VLOOKUP(Tabla4[[#This Row],[SERVICIO 2025]],$J$2:$V$14,3,0)*Tabla4[[#This Row],[TOTAL COBERTURA]])</f>
        <v>12364128</v>
      </c>
      <c r="BA454" s="35">
        <f>(VLOOKUP(Tabla4[[#This Row],[SERVICIO 2025]],$J$2:$V$14,3,0)*Tabla4[[#This Row],[TOTAL COBERTURA]])+Tabla4[[#This Row],[VALOR FASE PREPARATORIA DE CIERRE]]</f>
        <v>14333520</v>
      </c>
      <c r="BB454" s="35">
        <f>SUM(Tabla4[[#This Row],[DESEMBOLSO 1]:[DESEMBOLSO 8]])</f>
        <v>104649264</v>
      </c>
      <c r="BC454" s="35">
        <f>VLOOKUP(Tabla4[[#This Row],[SERVICIO 2025]],$J$2:$V$14,10,0)*Tabla4[[#This Row],[TOTAL COBERTURA]]*$W$3</f>
        <v>69267072</v>
      </c>
      <c r="BD454" s="47" t="s">
        <v>211</v>
      </c>
      <c r="BE454" s="12" t="b">
        <f>EXACT(Tabla4[[#This Row],[VALOR ATENCIÓN (8 MESES)]],Tabla4[[#This Row],[VALOR TOTAL]])</f>
        <v>1</v>
      </c>
      <c r="BF454" s="23">
        <f>Tabla4[[#This Row],[VALOR ATENCIÓN (8 MESES)]]-Tabla4[[#This Row],[VALOR TOTAL]]</f>
        <v>0</v>
      </c>
      <c r="BG454" s="12" t="b">
        <f>EXACT(Tabla4[[#This Row],[TOTAL DESEMBOLSOS]],Tabla4[[#This Row],[VALOR ATENCIÓN (8 MESES)]])</f>
        <v>1</v>
      </c>
      <c r="BH454" s="29">
        <f>Tabla4[[#This Row],[TOTAL DESEMBOLSOS]]-Tabla4[[#This Row],[VALOR ATENCIÓN (8 MESES)]]</f>
        <v>0</v>
      </c>
      <c r="BI454" t="s">
        <v>98</v>
      </c>
      <c r="BJ454">
        <v>1930</v>
      </c>
    </row>
    <row r="455" spans="1:62">
      <c r="A455" s="13">
        <v>1930</v>
      </c>
      <c r="B455" s="13" t="s">
        <v>1059</v>
      </c>
      <c r="C455" s="12" t="s">
        <v>87</v>
      </c>
      <c r="D455" s="12" t="s">
        <v>462</v>
      </c>
      <c r="E455" s="12" t="s">
        <v>1048</v>
      </c>
      <c r="F455" s="12" t="s">
        <v>18</v>
      </c>
      <c r="G455" s="12" t="s">
        <v>90</v>
      </c>
      <c r="H455" s="12" t="s">
        <v>1068</v>
      </c>
      <c r="I455" s="12">
        <v>51471112750</v>
      </c>
      <c r="J455" s="12" t="s">
        <v>1069</v>
      </c>
      <c r="K455" s="12">
        <v>1</v>
      </c>
      <c r="L455" s="12">
        <v>50</v>
      </c>
      <c r="M455" s="12"/>
      <c r="N455" s="13">
        <v>1930</v>
      </c>
      <c r="O455" s="12" t="s">
        <v>93</v>
      </c>
      <c r="P455" s="12"/>
      <c r="Q455" s="12"/>
      <c r="R455" s="12" t="s">
        <v>94</v>
      </c>
      <c r="S455" s="12">
        <v>10</v>
      </c>
      <c r="T455" s="12" t="s">
        <v>1062</v>
      </c>
      <c r="U455" s="12" t="s">
        <v>1063</v>
      </c>
      <c r="V455" s="12">
        <f>VLOOKUP(Tabla4[[#This Row],[ZONA DEFINITIVO]],Hoja1!$A$1:$D$121,3,0)</f>
        <v>229101</v>
      </c>
      <c r="W455" s="12">
        <f>VLOOKUP(Tabla4[[#This Row],[ZONA DEFINITIVO]],Hoja1!$A$1:$D$121,2,0)</f>
        <v>15186</v>
      </c>
      <c r="X455" s="12">
        <f>VLOOKUP(Tabla4[[#This Row],[ZONA DEFINITIVO]],Hoja1!$A$1:$D$121,4,0)</f>
        <v>87625</v>
      </c>
      <c r="Y455" s="12" t="str">
        <f>+IF(Tabla4[[#This Row],[AGRUPACIONES]]=1,SUMIFS(Tabla4[UDS],Tabla4[ZONA DEFINITIVO],Tabla4[[#This Row],[ZONA DEFINITIVO]])," ")</f>
        <v xml:space="preserve"> </v>
      </c>
      <c r="Z455" s="12" t="str">
        <f>+IF(Tabla4[[#This Row],[AGRUPACIONES]]=1,SUMIFS(Tabla4[TOTAL COBERTURA],Tabla4[ZONA DEFINITIVO],Tabla4[[#This Row],[ZONA DEFINITIVO]])," ")</f>
        <v xml:space="preserve"> </v>
      </c>
      <c r="AA455" s="12"/>
      <c r="AB455" s="38">
        <v>109009650</v>
      </c>
      <c r="AC455" s="37">
        <v>0.02</v>
      </c>
      <c r="AD455" s="38">
        <f t="shared" si="7"/>
        <v>2180193</v>
      </c>
      <c r="AE455" s="12"/>
      <c r="AF455" s="12">
        <f>COUNTIF($A$20:A455,A455)</f>
        <v>5</v>
      </c>
      <c r="AG455" s="38">
        <v>109009650</v>
      </c>
      <c r="AH455" s="38">
        <f>Tabla4[[#This Row],[VALOR CONTRAPARTIDA]]+Tabla4[[#This Row],[TOTAL APORTES ICBF]]</f>
        <v>111189843</v>
      </c>
      <c r="AI455" s="35"/>
      <c r="AJ455" s="38"/>
      <c r="AK455" s="38"/>
      <c r="AL455" s="23"/>
      <c r="AM455" s="35">
        <f>VLOOKUP(Tabla4[[#This Row],[SERVICIO 2025]],$J$2:$V$14,5,0)*Tabla4[[#This Row],[TOTAL COBERTURA]]</f>
        <v>2468800</v>
      </c>
      <c r="AN455" s="35">
        <f>VLOOKUP(Tabla4[[#This Row],[SERVICIO 2025]],$J$2:$V$14,6,0)*Tabla4[[#This Row],[TOTAL COBERTURA]]</f>
        <v>2051450</v>
      </c>
      <c r="AO455" s="35">
        <f>VLOOKUP(Tabla4[[#This Row],[SERVICIO 2025]],$J$2:$V$14,8,0)*Tabla4[[#This Row],[TOTAL COBERTURA]]</f>
        <v>1455000</v>
      </c>
      <c r="AP455" s="35">
        <f>VLOOKUP(Tabla4[[#This Row],[SERVICIO 2025]],$J$2:$V$14,3,0)*Tabla4[[#This Row],[TOTAL COBERTURA]]*8</f>
        <v>103034400</v>
      </c>
      <c r="AQ455" s="35"/>
      <c r="AR455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455" s="35" t="str">
        <f>+IF(Tabla4[[#This Row],[AGRUPACIONES]]=1,SUMIFS(Tabla4[VALOR TOTAL],Tabla4[ZONA DEFINITIVO],Tabla4[[#This Row],[ZONA DEFINITIVO]])," ")</f>
        <v xml:space="preserve"> </v>
      </c>
      <c r="AT455" s="27">
        <f>(VLOOKUP(Tabla4[[#This Row],[SERVICIO 2025]],$J$2:$V$14,3,0)*Tabla4[[#This Row],[TOTAL COBERTURA]])+Tabla4[[#This Row],[VALOR FASE PREPARATORIA DE ALISTAMIENTO]]+Tabla4[[#This Row],[DOTACIÓN ÚNICA]]</f>
        <v>16803100</v>
      </c>
      <c r="AU455" s="35">
        <f>(VLOOKUP(Tabla4[[#This Row],[SERVICIO 2025]],$J$2:$V$14,3,0)*Tabla4[[#This Row],[TOTAL COBERTURA]])</f>
        <v>12879300</v>
      </c>
      <c r="AV455" s="35">
        <f>(VLOOKUP(Tabla4[[#This Row],[SERVICIO 2025]],$J$2:$V$14,3,0)*Tabla4[[#This Row],[TOTAL COBERTURA]])</f>
        <v>12879300</v>
      </c>
      <c r="AW455" s="35">
        <f>(VLOOKUP(Tabla4[[#This Row],[SERVICIO 2025]],$J$2:$V$14,3,0)*Tabla4[[#This Row],[TOTAL COBERTURA]])</f>
        <v>12879300</v>
      </c>
      <c r="AX455" s="35">
        <f>(VLOOKUP(Tabla4[[#This Row],[SERVICIO 2025]],$J$2:$V$14,3,0)*Tabla4[[#This Row],[TOTAL COBERTURA]])</f>
        <v>12879300</v>
      </c>
      <c r="AY455" s="35">
        <f>(VLOOKUP(Tabla4[[#This Row],[SERVICIO 2025]],$J$2:$V$14,3,0)*Tabla4[[#This Row],[TOTAL COBERTURA]])</f>
        <v>12879300</v>
      </c>
      <c r="AZ455" s="35">
        <f>(VLOOKUP(Tabla4[[#This Row],[SERVICIO 2025]],$J$2:$V$14,3,0)*Tabla4[[#This Row],[TOTAL COBERTURA]])</f>
        <v>12879300</v>
      </c>
      <c r="BA455" s="35">
        <f>(VLOOKUP(Tabla4[[#This Row],[SERVICIO 2025]],$J$2:$V$14,3,0)*Tabla4[[#This Row],[TOTAL COBERTURA]])+Tabla4[[#This Row],[VALOR FASE PREPARATORIA DE CIERRE]]</f>
        <v>14930750</v>
      </c>
      <c r="BB455" s="35">
        <f>SUM(Tabla4[[#This Row],[DESEMBOLSO 1]:[DESEMBOLSO 8]])</f>
        <v>109009650</v>
      </c>
      <c r="BC455" s="35">
        <f>VLOOKUP(Tabla4[[#This Row],[SERVICIO 2025]],$J$2:$V$14,10,0)*Tabla4[[#This Row],[TOTAL COBERTURA]]*$W$3</f>
        <v>72153200</v>
      </c>
      <c r="BD455" s="47" t="s">
        <v>211</v>
      </c>
      <c r="BE455" s="12" t="b">
        <f>EXACT(Tabla4[[#This Row],[VALOR ATENCIÓN (8 MESES)]],Tabla4[[#This Row],[VALOR TOTAL]])</f>
        <v>1</v>
      </c>
      <c r="BF455" s="23">
        <f>Tabla4[[#This Row],[VALOR ATENCIÓN (8 MESES)]]-Tabla4[[#This Row],[VALOR TOTAL]]</f>
        <v>0</v>
      </c>
      <c r="BG455" s="12" t="b">
        <f>EXACT(Tabla4[[#This Row],[TOTAL DESEMBOLSOS]],Tabla4[[#This Row],[VALOR ATENCIÓN (8 MESES)]])</f>
        <v>1</v>
      </c>
      <c r="BH455" s="29">
        <f>Tabla4[[#This Row],[TOTAL DESEMBOLSOS]]-Tabla4[[#This Row],[VALOR ATENCIÓN (8 MESES)]]</f>
        <v>0</v>
      </c>
      <c r="BI455" t="s">
        <v>98</v>
      </c>
      <c r="BJ455">
        <v>1930</v>
      </c>
    </row>
    <row r="456" spans="1:62">
      <c r="A456" s="13">
        <v>1930</v>
      </c>
      <c r="B456" s="13" t="s">
        <v>1059</v>
      </c>
      <c r="C456" s="12" t="s">
        <v>87</v>
      </c>
      <c r="D456" s="12" t="s">
        <v>462</v>
      </c>
      <c r="E456" s="12" t="s">
        <v>1048</v>
      </c>
      <c r="F456" s="12" t="s">
        <v>18</v>
      </c>
      <c r="G456" s="12" t="s">
        <v>90</v>
      </c>
      <c r="H456" s="12" t="s">
        <v>1070</v>
      </c>
      <c r="I456" s="12">
        <v>51471112752</v>
      </c>
      <c r="J456" s="12" t="s">
        <v>260</v>
      </c>
      <c r="K456" s="12">
        <v>1</v>
      </c>
      <c r="L456" s="12">
        <v>50</v>
      </c>
      <c r="M456" s="12"/>
      <c r="N456" s="13">
        <v>1930</v>
      </c>
      <c r="O456" s="12" t="s">
        <v>93</v>
      </c>
      <c r="P456" s="12"/>
      <c r="Q456" s="12"/>
      <c r="R456" s="12" t="s">
        <v>94</v>
      </c>
      <c r="S456" s="12">
        <v>10</v>
      </c>
      <c r="T456" s="12" t="s">
        <v>1062</v>
      </c>
      <c r="U456" s="12" t="s">
        <v>1063</v>
      </c>
      <c r="V456" s="12">
        <f>VLOOKUP(Tabla4[[#This Row],[ZONA DEFINITIVO]],Hoja1!$A$1:$D$121,3,0)</f>
        <v>229101</v>
      </c>
      <c r="W456" s="12">
        <f>VLOOKUP(Tabla4[[#This Row],[ZONA DEFINITIVO]],Hoja1!$A$1:$D$121,2,0)</f>
        <v>15186</v>
      </c>
      <c r="X456" s="12">
        <f>VLOOKUP(Tabla4[[#This Row],[ZONA DEFINITIVO]],Hoja1!$A$1:$D$121,4,0)</f>
        <v>87625</v>
      </c>
      <c r="Y456" s="12" t="str">
        <f>+IF(Tabla4[[#This Row],[AGRUPACIONES]]=1,SUMIFS(Tabla4[UDS],Tabla4[ZONA DEFINITIVO],Tabla4[[#This Row],[ZONA DEFINITIVO]])," ")</f>
        <v xml:space="preserve"> </v>
      </c>
      <c r="Z456" s="12" t="str">
        <f>+IF(Tabla4[[#This Row],[AGRUPACIONES]]=1,SUMIFS(Tabla4[TOTAL COBERTURA],Tabla4[ZONA DEFINITIVO],Tabla4[[#This Row],[ZONA DEFINITIVO]])," ")</f>
        <v xml:space="preserve"> </v>
      </c>
      <c r="AA456" s="12"/>
      <c r="AB456" s="38">
        <v>109009650</v>
      </c>
      <c r="AC456" s="37">
        <v>0.02</v>
      </c>
      <c r="AD456" s="38">
        <f t="shared" si="7"/>
        <v>2180193</v>
      </c>
      <c r="AE456" s="12"/>
      <c r="AF456" s="12">
        <f>COUNTIF($A$20:A456,A456)</f>
        <v>6</v>
      </c>
      <c r="AG456" s="38">
        <v>109009650</v>
      </c>
      <c r="AH456" s="38">
        <f>Tabla4[[#This Row],[VALOR CONTRAPARTIDA]]+Tabla4[[#This Row],[TOTAL APORTES ICBF]]</f>
        <v>111189843</v>
      </c>
      <c r="AI456" s="35"/>
      <c r="AJ456" s="38"/>
      <c r="AK456" s="38"/>
      <c r="AL456" s="23"/>
      <c r="AM456" s="35">
        <f>VLOOKUP(Tabla4[[#This Row],[SERVICIO 2025]],$J$2:$V$14,5,0)*Tabla4[[#This Row],[TOTAL COBERTURA]]</f>
        <v>2468800</v>
      </c>
      <c r="AN456" s="35">
        <f>VLOOKUP(Tabla4[[#This Row],[SERVICIO 2025]],$J$2:$V$14,6,0)*Tabla4[[#This Row],[TOTAL COBERTURA]]</f>
        <v>2051450</v>
      </c>
      <c r="AO456" s="35">
        <f>VLOOKUP(Tabla4[[#This Row],[SERVICIO 2025]],$J$2:$V$14,8,0)*Tabla4[[#This Row],[TOTAL COBERTURA]]</f>
        <v>1455000</v>
      </c>
      <c r="AP456" s="35">
        <f>VLOOKUP(Tabla4[[#This Row],[SERVICIO 2025]],$J$2:$V$14,3,0)*Tabla4[[#This Row],[TOTAL COBERTURA]]*8</f>
        <v>103034400</v>
      </c>
      <c r="AQ456" s="35"/>
      <c r="AR456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456" s="35" t="str">
        <f>+IF(Tabla4[[#This Row],[AGRUPACIONES]]=1,SUMIFS(Tabla4[VALOR TOTAL],Tabla4[ZONA DEFINITIVO],Tabla4[[#This Row],[ZONA DEFINITIVO]])," ")</f>
        <v xml:space="preserve"> </v>
      </c>
      <c r="AT456" s="27">
        <f>(VLOOKUP(Tabla4[[#This Row],[SERVICIO 2025]],$J$2:$V$14,3,0)*Tabla4[[#This Row],[TOTAL COBERTURA]])+Tabla4[[#This Row],[VALOR FASE PREPARATORIA DE ALISTAMIENTO]]+Tabla4[[#This Row],[DOTACIÓN ÚNICA]]</f>
        <v>16803100</v>
      </c>
      <c r="AU456" s="35">
        <f>(VLOOKUP(Tabla4[[#This Row],[SERVICIO 2025]],$J$2:$V$14,3,0)*Tabla4[[#This Row],[TOTAL COBERTURA]])</f>
        <v>12879300</v>
      </c>
      <c r="AV456" s="35">
        <f>(VLOOKUP(Tabla4[[#This Row],[SERVICIO 2025]],$J$2:$V$14,3,0)*Tabla4[[#This Row],[TOTAL COBERTURA]])</f>
        <v>12879300</v>
      </c>
      <c r="AW456" s="35">
        <f>(VLOOKUP(Tabla4[[#This Row],[SERVICIO 2025]],$J$2:$V$14,3,0)*Tabla4[[#This Row],[TOTAL COBERTURA]])</f>
        <v>12879300</v>
      </c>
      <c r="AX456" s="35">
        <f>(VLOOKUP(Tabla4[[#This Row],[SERVICIO 2025]],$J$2:$V$14,3,0)*Tabla4[[#This Row],[TOTAL COBERTURA]])</f>
        <v>12879300</v>
      </c>
      <c r="AY456" s="35">
        <f>(VLOOKUP(Tabla4[[#This Row],[SERVICIO 2025]],$J$2:$V$14,3,0)*Tabla4[[#This Row],[TOTAL COBERTURA]])</f>
        <v>12879300</v>
      </c>
      <c r="AZ456" s="35">
        <f>(VLOOKUP(Tabla4[[#This Row],[SERVICIO 2025]],$J$2:$V$14,3,0)*Tabla4[[#This Row],[TOTAL COBERTURA]])</f>
        <v>12879300</v>
      </c>
      <c r="BA456" s="35">
        <f>(VLOOKUP(Tabla4[[#This Row],[SERVICIO 2025]],$J$2:$V$14,3,0)*Tabla4[[#This Row],[TOTAL COBERTURA]])+Tabla4[[#This Row],[VALOR FASE PREPARATORIA DE CIERRE]]</f>
        <v>14930750</v>
      </c>
      <c r="BB456" s="35">
        <f>SUM(Tabla4[[#This Row],[DESEMBOLSO 1]:[DESEMBOLSO 8]])</f>
        <v>109009650</v>
      </c>
      <c r="BC456" s="35">
        <f>VLOOKUP(Tabla4[[#This Row],[SERVICIO 2025]],$J$2:$V$14,10,0)*Tabla4[[#This Row],[TOTAL COBERTURA]]*$W$3</f>
        <v>72153200</v>
      </c>
      <c r="BD456" s="47" t="s">
        <v>211</v>
      </c>
      <c r="BE456" s="12" t="b">
        <f>EXACT(Tabla4[[#This Row],[VALOR ATENCIÓN (8 MESES)]],Tabla4[[#This Row],[VALOR TOTAL]])</f>
        <v>1</v>
      </c>
      <c r="BF456" s="23">
        <f>Tabla4[[#This Row],[VALOR ATENCIÓN (8 MESES)]]-Tabla4[[#This Row],[VALOR TOTAL]]</f>
        <v>0</v>
      </c>
      <c r="BG456" s="12" t="b">
        <f>EXACT(Tabla4[[#This Row],[TOTAL DESEMBOLSOS]],Tabla4[[#This Row],[VALOR ATENCIÓN (8 MESES)]])</f>
        <v>1</v>
      </c>
      <c r="BH456" s="29">
        <f>Tabla4[[#This Row],[TOTAL DESEMBOLSOS]]-Tabla4[[#This Row],[VALOR ATENCIÓN (8 MESES)]]</f>
        <v>0</v>
      </c>
      <c r="BI456" t="s">
        <v>98</v>
      </c>
      <c r="BJ456">
        <v>1930</v>
      </c>
    </row>
    <row r="457" spans="1:62">
      <c r="A457" s="13">
        <v>1930</v>
      </c>
      <c r="B457" s="13" t="s">
        <v>1059</v>
      </c>
      <c r="C457" s="12" t="s">
        <v>87</v>
      </c>
      <c r="D457" s="12" t="s">
        <v>462</v>
      </c>
      <c r="E457" s="12" t="s">
        <v>1048</v>
      </c>
      <c r="F457" s="12" t="s">
        <v>18</v>
      </c>
      <c r="G457" s="12" t="s">
        <v>90</v>
      </c>
      <c r="H457" s="12" t="s">
        <v>1071</v>
      </c>
      <c r="I457" s="12">
        <v>51471118946</v>
      </c>
      <c r="J457" s="12" t="s">
        <v>1072</v>
      </c>
      <c r="K457" s="12">
        <v>1</v>
      </c>
      <c r="L457" s="12">
        <v>18</v>
      </c>
      <c r="M457" s="12"/>
      <c r="N457" s="13">
        <v>1930</v>
      </c>
      <c r="O457" s="12" t="s">
        <v>93</v>
      </c>
      <c r="P457" s="12"/>
      <c r="Q457" s="12"/>
      <c r="R457" s="12" t="s">
        <v>94</v>
      </c>
      <c r="S457" s="12">
        <v>10</v>
      </c>
      <c r="T457" s="12" t="s">
        <v>1062</v>
      </c>
      <c r="U457" s="12" t="s">
        <v>1063</v>
      </c>
      <c r="V457" s="12">
        <f>VLOOKUP(Tabla4[[#This Row],[ZONA DEFINITIVO]],Hoja1!$A$1:$D$121,3,0)</f>
        <v>229101</v>
      </c>
      <c r="W457" s="12">
        <f>VLOOKUP(Tabla4[[#This Row],[ZONA DEFINITIVO]],Hoja1!$A$1:$D$121,2,0)</f>
        <v>15186</v>
      </c>
      <c r="X457" s="12">
        <f>VLOOKUP(Tabla4[[#This Row],[ZONA DEFINITIVO]],Hoja1!$A$1:$D$121,4,0)</f>
        <v>87625</v>
      </c>
      <c r="Y457" s="12" t="str">
        <f>+IF(Tabla4[[#This Row],[AGRUPACIONES]]=1,SUMIFS(Tabla4[UDS],Tabla4[ZONA DEFINITIVO],Tabla4[[#This Row],[ZONA DEFINITIVO]])," ")</f>
        <v xml:space="preserve"> </v>
      </c>
      <c r="Z457" s="12" t="str">
        <f>+IF(Tabla4[[#This Row],[AGRUPACIONES]]=1,SUMIFS(Tabla4[TOTAL COBERTURA],Tabla4[ZONA DEFINITIVO],Tabla4[[#This Row],[ZONA DEFINITIVO]])," ")</f>
        <v xml:space="preserve"> </v>
      </c>
      <c r="AA457" s="12"/>
      <c r="AB457" s="38">
        <v>39243474</v>
      </c>
      <c r="AC457" s="37">
        <v>0.02</v>
      </c>
      <c r="AD457" s="38">
        <f t="shared" si="7"/>
        <v>784869.48</v>
      </c>
      <c r="AE457" s="12"/>
      <c r="AF457" s="12">
        <f>COUNTIF($A$20:A457,A457)</f>
        <v>7</v>
      </c>
      <c r="AG457" s="38">
        <v>39243474</v>
      </c>
      <c r="AH457" s="38">
        <f>Tabla4[[#This Row],[VALOR CONTRAPARTIDA]]+Tabla4[[#This Row],[TOTAL APORTES ICBF]]</f>
        <v>40028343.479999997</v>
      </c>
      <c r="AI457" s="35"/>
      <c r="AJ457" s="38"/>
      <c r="AK457" s="38"/>
      <c r="AL457" s="23"/>
      <c r="AM457" s="35">
        <f>VLOOKUP(Tabla4[[#This Row],[SERVICIO 2025]],$J$2:$V$14,5,0)*Tabla4[[#This Row],[TOTAL COBERTURA]]</f>
        <v>888768</v>
      </c>
      <c r="AN457" s="35">
        <f>VLOOKUP(Tabla4[[#This Row],[SERVICIO 2025]],$J$2:$V$14,6,0)*Tabla4[[#This Row],[TOTAL COBERTURA]]</f>
        <v>738522</v>
      </c>
      <c r="AO457" s="35">
        <f>VLOOKUP(Tabla4[[#This Row],[SERVICIO 2025]],$J$2:$V$14,8,0)*Tabla4[[#This Row],[TOTAL COBERTURA]]</f>
        <v>523800</v>
      </c>
      <c r="AP457" s="35">
        <f>VLOOKUP(Tabla4[[#This Row],[SERVICIO 2025]],$J$2:$V$14,3,0)*Tabla4[[#This Row],[TOTAL COBERTURA]]*8</f>
        <v>37092384</v>
      </c>
      <c r="AQ457" s="35"/>
      <c r="AR457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457" s="35" t="str">
        <f>+IF(Tabla4[[#This Row],[AGRUPACIONES]]=1,SUMIFS(Tabla4[VALOR TOTAL],Tabla4[ZONA DEFINITIVO],Tabla4[[#This Row],[ZONA DEFINITIVO]])," ")</f>
        <v xml:space="preserve"> </v>
      </c>
      <c r="AT457" s="27">
        <f>(VLOOKUP(Tabla4[[#This Row],[SERVICIO 2025]],$J$2:$V$14,3,0)*Tabla4[[#This Row],[TOTAL COBERTURA]])+Tabla4[[#This Row],[VALOR FASE PREPARATORIA DE ALISTAMIENTO]]+Tabla4[[#This Row],[DOTACIÓN ÚNICA]]</f>
        <v>6049116</v>
      </c>
      <c r="AU457" s="35">
        <f>(VLOOKUP(Tabla4[[#This Row],[SERVICIO 2025]],$J$2:$V$14,3,0)*Tabla4[[#This Row],[TOTAL COBERTURA]])</f>
        <v>4636548</v>
      </c>
      <c r="AV457" s="35">
        <f>(VLOOKUP(Tabla4[[#This Row],[SERVICIO 2025]],$J$2:$V$14,3,0)*Tabla4[[#This Row],[TOTAL COBERTURA]])</f>
        <v>4636548</v>
      </c>
      <c r="AW457" s="35">
        <f>(VLOOKUP(Tabla4[[#This Row],[SERVICIO 2025]],$J$2:$V$14,3,0)*Tabla4[[#This Row],[TOTAL COBERTURA]])</f>
        <v>4636548</v>
      </c>
      <c r="AX457" s="35">
        <f>(VLOOKUP(Tabla4[[#This Row],[SERVICIO 2025]],$J$2:$V$14,3,0)*Tabla4[[#This Row],[TOTAL COBERTURA]])</f>
        <v>4636548</v>
      </c>
      <c r="AY457" s="35">
        <f>(VLOOKUP(Tabla4[[#This Row],[SERVICIO 2025]],$J$2:$V$14,3,0)*Tabla4[[#This Row],[TOTAL COBERTURA]])</f>
        <v>4636548</v>
      </c>
      <c r="AZ457" s="35">
        <f>(VLOOKUP(Tabla4[[#This Row],[SERVICIO 2025]],$J$2:$V$14,3,0)*Tabla4[[#This Row],[TOTAL COBERTURA]])</f>
        <v>4636548</v>
      </c>
      <c r="BA457" s="35">
        <f>(VLOOKUP(Tabla4[[#This Row],[SERVICIO 2025]],$J$2:$V$14,3,0)*Tabla4[[#This Row],[TOTAL COBERTURA]])+Tabla4[[#This Row],[VALOR FASE PREPARATORIA DE CIERRE]]</f>
        <v>5375070</v>
      </c>
      <c r="BB457" s="35">
        <f>SUM(Tabla4[[#This Row],[DESEMBOLSO 1]:[DESEMBOLSO 8]])</f>
        <v>39243474</v>
      </c>
      <c r="BC457" s="35">
        <f>VLOOKUP(Tabla4[[#This Row],[SERVICIO 2025]],$J$2:$V$14,10,0)*Tabla4[[#This Row],[TOTAL COBERTURA]]*$W$3</f>
        <v>25975152</v>
      </c>
      <c r="BD457" s="47" t="s">
        <v>211</v>
      </c>
      <c r="BE457" s="12" t="b">
        <f>EXACT(Tabla4[[#This Row],[VALOR ATENCIÓN (8 MESES)]],Tabla4[[#This Row],[VALOR TOTAL]])</f>
        <v>1</v>
      </c>
      <c r="BF457" s="23">
        <f>Tabla4[[#This Row],[VALOR ATENCIÓN (8 MESES)]]-Tabla4[[#This Row],[VALOR TOTAL]]</f>
        <v>0</v>
      </c>
      <c r="BG457" s="12" t="b">
        <f>EXACT(Tabla4[[#This Row],[TOTAL DESEMBOLSOS]],Tabla4[[#This Row],[VALOR ATENCIÓN (8 MESES)]])</f>
        <v>1</v>
      </c>
      <c r="BH457" s="29">
        <f>Tabla4[[#This Row],[TOTAL DESEMBOLSOS]]-Tabla4[[#This Row],[VALOR ATENCIÓN (8 MESES)]]</f>
        <v>0</v>
      </c>
      <c r="BI457" t="s">
        <v>98</v>
      </c>
      <c r="BJ457">
        <v>1930</v>
      </c>
    </row>
    <row r="458" spans="1:62">
      <c r="A458" s="13">
        <v>1930</v>
      </c>
      <c r="B458" s="13" t="s">
        <v>1059</v>
      </c>
      <c r="C458" s="12" t="s">
        <v>87</v>
      </c>
      <c r="D458" s="12" t="s">
        <v>462</v>
      </c>
      <c r="E458" s="12" t="s">
        <v>1048</v>
      </c>
      <c r="F458" s="12" t="s">
        <v>18</v>
      </c>
      <c r="G458" s="12" t="s">
        <v>90</v>
      </c>
      <c r="H458" s="12" t="s">
        <v>1073</v>
      </c>
      <c r="I458" s="12">
        <v>51471118948</v>
      </c>
      <c r="J458" s="12" t="s">
        <v>1074</v>
      </c>
      <c r="K458" s="12">
        <v>1</v>
      </c>
      <c r="L458" s="12">
        <v>16</v>
      </c>
      <c r="M458" s="12"/>
      <c r="N458" s="13">
        <v>1930</v>
      </c>
      <c r="O458" s="12" t="s">
        <v>93</v>
      </c>
      <c r="P458" s="12"/>
      <c r="Q458" s="12"/>
      <c r="R458" s="12" t="s">
        <v>94</v>
      </c>
      <c r="S458" s="12">
        <v>10</v>
      </c>
      <c r="T458" s="12" t="s">
        <v>1062</v>
      </c>
      <c r="U458" s="12" t="s">
        <v>1063</v>
      </c>
      <c r="V458" s="12">
        <f>VLOOKUP(Tabla4[[#This Row],[ZONA DEFINITIVO]],Hoja1!$A$1:$D$121,3,0)</f>
        <v>229101</v>
      </c>
      <c r="W458" s="12">
        <f>VLOOKUP(Tabla4[[#This Row],[ZONA DEFINITIVO]],Hoja1!$A$1:$D$121,2,0)</f>
        <v>15186</v>
      </c>
      <c r="X458" s="12">
        <f>VLOOKUP(Tabla4[[#This Row],[ZONA DEFINITIVO]],Hoja1!$A$1:$D$121,4,0)</f>
        <v>87625</v>
      </c>
      <c r="Y458" s="12" t="str">
        <f>+IF(Tabla4[[#This Row],[AGRUPACIONES]]=1,SUMIFS(Tabla4[UDS],Tabla4[ZONA DEFINITIVO],Tabla4[[#This Row],[ZONA DEFINITIVO]])," ")</f>
        <v xml:space="preserve"> </v>
      </c>
      <c r="Z458" s="12" t="str">
        <f>+IF(Tabla4[[#This Row],[AGRUPACIONES]]=1,SUMIFS(Tabla4[TOTAL COBERTURA],Tabla4[ZONA DEFINITIVO],Tabla4[[#This Row],[ZONA DEFINITIVO]])," ")</f>
        <v xml:space="preserve"> </v>
      </c>
      <c r="AA458" s="12"/>
      <c r="AB458" s="38">
        <v>34883088</v>
      </c>
      <c r="AC458" s="37">
        <v>0.02</v>
      </c>
      <c r="AD458" s="38">
        <f t="shared" si="7"/>
        <v>697661.76</v>
      </c>
      <c r="AE458" s="12"/>
      <c r="AF458" s="12">
        <f>COUNTIF($A$20:A458,A458)</f>
        <v>8</v>
      </c>
      <c r="AG458" s="38">
        <v>34883088</v>
      </c>
      <c r="AH458" s="38">
        <f>Tabla4[[#This Row],[VALOR CONTRAPARTIDA]]+Tabla4[[#This Row],[TOTAL APORTES ICBF]]</f>
        <v>35580749.759999998</v>
      </c>
      <c r="AI458" s="35"/>
      <c r="AJ458" s="38"/>
      <c r="AK458" s="38"/>
      <c r="AL458" s="23"/>
      <c r="AM458" s="35">
        <f>VLOOKUP(Tabla4[[#This Row],[SERVICIO 2025]],$J$2:$V$14,5,0)*Tabla4[[#This Row],[TOTAL COBERTURA]]</f>
        <v>790016</v>
      </c>
      <c r="AN458" s="35">
        <f>VLOOKUP(Tabla4[[#This Row],[SERVICIO 2025]],$J$2:$V$14,6,0)*Tabla4[[#This Row],[TOTAL COBERTURA]]</f>
        <v>656464</v>
      </c>
      <c r="AO458" s="35">
        <f>VLOOKUP(Tabla4[[#This Row],[SERVICIO 2025]],$J$2:$V$14,8,0)*Tabla4[[#This Row],[TOTAL COBERTURA]]</f>
        <v>465600</v>
      </c>
      <c r="AP458" s="35">
        <f>VLOOKUP(Tabla4[[#This Row],[SERVICIO 2025]],$J$2:$V$14,3,0)*Tabla4[[#This Row],[TOTAL COBERTURA]]*8</f>
        <v>32971008</v>
      </c>
      <c r="AQ458" s="35"/>
      <c r="AR458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458" s="35" t="str">
        <f>+IF(Tabla4[[#This Row],[AGRUPACIONES]]=1,SUMIFS(Tabla4[VALOR TOTAL],Tabla4[ZONA DEFINITIVO],Tabla4[[#This Row],[ZONA DEFINITIVO]])," ")</f>
        <v xml:space="preserve"> </v>
      </c>
      <c r="AT458" s="27">
        <f>(VLOOKUP(Tabla4[[#This Row],[SERVICIO 2025]],$J$2:$V$14,3,0)*Tabla4[[#This Row],[TOTAL COBERTURA]])+Tabla4[[#This Row],[VALOR FASE PREPARATORIA DE ALISTAMIENTO]]+Tabla4[[#This Row],[DOTACIÓN ÚNICA]]</f>
        <v>5376992</v>
      </c>
      <c r="AU458" s="35">
        <f>(VLOOKUP(Tabla4[[#This Row],[SERVICIO 2025]],$J$2:$V$14,3,0)*Tabla4[[#This Row],[TOTAL COBERTURA]])</f>
        <v>4121376</v>
      </c>
      <c r="AV458" s="35">
        <f>(VLOOKUP(Tabla4[[#This Row],[SERVICIO 2025]],$J$2:$V$14,3,0)*Tabla4[[#This Row],[TOTAL COBERTURA]])</f>
        <v>4121376</v>
      </c>
      <c r="AW458" s="35">
        <f>(VLOOKUP(Tabla4[[#This Row],[SERVICIO 2025]],$J$2:$V$14,3,0)*Tabla4[[#This Row],[TOTAL COBERTURA]])</f>
        <v>4121376</v>
      </c>
      <c r="AX458" s="35">
        <f>(VLOOKUP(Tabla4[[#This Row],[SERVICIO 2025]],$J$2:$V$14,3,0)*Tabla4[[#This Row],[TOTAL COBERTURA]])</f>
        <v>4121376</v>
      </c>
      <c r="AY458" s="35">
        <f>(VLOOKUP(Tabla4[[#This Row],[SERVICIO 2025]],$J$2:$V$14,3,0)*Tabla4[[#This Row],[TOTAL COBERTURA]])</f>
        <v>4121376</v>
      </c>
      <c r="AZ458" s="35">
        <f>(VLOOKUP(Tabla4[[#This Row],[SERVICIO 2025]],$J$2:$V$14,3,0)*Tabla4[[#This Row],[TOTAL COBERTURA]])</f>
        <v>4121376</v>
      </c>
      <c r="BA458" s="35">
        <f>(VLOOKUP(Tabla4[[#This Row],[SERVICIO 2025]],$J$2:$V$14,3,0)*Tabla4[[#This Row],[TOTAL COBERTURA]])+Tabla4[[#This Row],[VALOR FASE PREPARATORIA DE CIERRE]]</f>
        <v>4777840</v>
      </c>
      <c r="BB458" s="35">
        <f>SUM(Tabla4[[#This Row],[DESEMBOLSO 1]:[DESEMBOLSO 8]])</f>
        <v>34883088</v>
      </c>
      <c r="BC458" s="35">
        <f>VLOOKUP(Tabla4[[#This Row],[SERVICIO 2025]],$J$2:$V$14,10,0)*Tabla4[[#This Row],[TOTAL COBERTURA]]*$W$3</f>
        <v>23089024</v>
      </c>
      <c r="BD458" s="47" t="s">
        <v>211</v>
      </c>
      <c r="BE458" s="12" t="b">
        <f>EXACT(Tabla4[[#This Row],[VALOR ATENCIÓN (8 MESES)]],Tabla4[[#This Row],[VALOR TOTAL]])</f>
        <v>1</v>
      </c>
      <c r="BF458" s="23">
        <f>Tabla4[[#This Row],[VALOR ATENCIÓN (8 MESES)]]-Tabla4[[#This Row],[VALOR TOTAL]]</f>
        <v>0</v>
      </c>
      <c r="BG458" s="12" t="b">
        <f>EXACT(Tabla4[[#This Row],[TOTAL DESEMBOLSOS]],Tabla4[[#This Row],[VALOR ATENCIÓN (8 MESES)]])</f>
        <v>1</v>
      </c>
      <c r="BH458" s="29">
        <f>Tabla4[[#This Row],[TOTAL DESEMBOLSOS]]-Tabla4[[#This Row],[VALOR ATENCIÓN (8 MESES)]]</f>
        <v>0</v>
      </c>
      <c r="BI458" t="s">
        <v>98</v>
      </c>
      <c r="BJ458">
        <v>1930</v>
      </c>
    </row>
    <row r="459" spans="1:62">
      <c r="A459" s="13">
        <v>1930</v>
      </c>
      <c r="B459" s="13" t="s">
        <v>1059</v>
      </c>
      <c r="C459" s="12" t="s">
        <v>87</v>
      </c>
      <c r="D459" s="12" t="s">
        <v>462</v>
      </c>
      <c r="E459" s="12" t="s">
        <v>1048</v>
      </c>
      <c r="F459" s="12" t="s">
        <v>18</v>
      </c>
      <c r="G459" s="12" t="s">
        <v>90</v>
      </c>
      <c r="H459" s="12" t="s">
        <v>1075</v>
      </c>
      <c r="I459" s="12">
        <v>51471118950</v>
      </c>
      <c r="J459" s="12" t="s">
        <v>1076</v>
      </c>
      <c r="K459" s="12">
        <v>1</v>
      </c>
      <c r="L459" s="12">
        <v>50</v>
      </c>
      <c r="M459" s="12"/>
      <c r="N459" s="13">
        <v>1930</v>
      </c>
      <c r="O459" s="12" t="s">
        <v>93</v>
      </c>
      <c r="P459" s="12"/>
      <c r="Q459" s="12"/>
      <c r="R459" s="12" t="s">
        <v>94</v>
      </c>
      <c r="S459" s="12">
        <v>10</v>
      </c>
      <c r="T459" s="12" t="s">
        <v>1062</v>
      </c>
      <c r="U459" s="12" t="s">
        <v>1063</v>
      </c>
      <c r="V459" s="12">
        <f>VLOOKUP(Tabla4[[#This Row],[ZONA DEFINITIVO]],Hoja1!$A$1:$D$121,3,0)</f>
        <v>229101</v>
      </c>
      <c r="W459" s="12">
        <f>VLOOKUP(Tabla4[[#This Row],[ZONA DEFINITIVO]],Hoja1!$A$1:$D$121,2,0)</f>
        <v>15186</v>
      </c>
      <c r="X459" s="12">
        <f>VLOOKUP(Tabla4[[#This Row],[ZONA DEFINITIVO]],Hoja1!$A$1:$D$121,4,0)</f>
        <v>87625</v>
      </c>
      <c r="Y459" s="12" t="str">
        <f>+IF(Tabla4[[#This Row],[AGRUPACIONES]]=1,SUMIFS(Tabla4[UDS],Tabla4[ZONA DEFINITIVO],Tabla4[[#This Row],[ZONA DEFINITIVO]])," ")</f>
        <v xml:space="preserve"> </v>
      </c>
      <c r="Z459" s="12" t="str">
        <f>+IF(Tabla4[[#This Row],[AGRUPACIONES]]=1,SUMIFS(Tabla4[TOTAL COBERTURA],Tabla4[ZONA DEFINITIVO],Tabla4[[#This Row],[ZONA DEFINITIVO]])," ")</f>
        <v xml:space="preserve"> </v>
      </c>
      <c r="AA459" s="12"/>
      <c r="AB459" s="38">
        <v>109009650</v>
      </c>
      <c r="AC459" s="37">
        <v>0.02</v>
      </c>
      <c r="AD459" s="38">
        <f t="shared" si="7"/>
        <v>2180193</v>
      </c>
      <c r="AE459" s="12"/>
      <c r="AF459" s="12">
        <f>COUNTIF($A$20:A459,A459)</f>
        <v>9</v>
      </c>
      <c r="AG459" s="38">
        <v>109009650</v>
      </c>
      <c r="AH459" s="38">
        <f>Tabla4[[#This Row],[VALOR CONTRAPARTIDA]]+Tabla4[[#This Row],[TOTAL APORTES ICBF]]</f>
        <v>111189843</v>
      </c>
      <c r="AI459" s="35"/>
      <c r="AJ459" s="38"/>
      <c r="AK459" s="38"/>
      <c r="AL459" s="23"/>
      <c r="AM459" s="35">
        <f>VLOOKUP(Tabla4[[#This Row],[SERVICIO 2025]],$J$2:$V$14,5,0)*Tabla4[[#This Row],[TOTAL COBERTURA]]</f>
        <v>2468800</v>
      </c>
      <c r="AN459" s="35">
        <f>VLOOKUP(Tabla4[[#This Row],[SERVICIO 2025]],$J$2:$V$14,6,0)*Tabla4[[#This Row],[TOTAL COBERTURA]]</f>
        <v>2051450</v>
      </c>
      <c r="AO459" s="35">
        <f>VLOOKUP(Tabla4[[#This Row],[SERVICIO 2025]],$J$2:$V$14,8,0)*Tabla4[[#This Row],[TOTAL COBERTURA]]</f>
        <v>1455000</v>
      </c>
      <c r="AP459" s="35">
        <f>VLOOKUP(Tabla4[[#This Row],[SERVICIO 2025]],$J$2:$V$14,3,0)*Tabla4[[#This Row],[TOTAL COBERTURA]]*8</f>
        <v>103034400</v>
      </c>
      <c r="AQ459" s="35"/>
      <c r="AR459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459" s="35" t="str">
        <f>+IF(Tabla4[[#This Row],[AGRUPACIONES]]=1,SUMIFS(Tabla4[VALOR TOTAL],Tabla4[ZONA DEFINITIVO],Tabla4[[#This Row],[ZONA DEFINITIVO]])," ")</f>
        <v xml:space="preserve"> </v>
      </c>
      <c r="AT459" s="27">
        <f>(VLOOKUP(Tabla4[[#This Row],[SERVICIO 2025]],$J$2:$V$14,3,0)*Tabla4[[#This Row],[TOTAL COBERTURA]])+Tabla4[[#This Row],[VALOR FASE PREPARATORIA DE ALISTAMIENTO]]+Tabla4[[#This Row],[DOTACIÓN ÚNICA]]</f>
        <v>16803100</v>
      </c>
      <c r="AU459" s="35">
        <f>(VLOOKUP(Tabla4[[#This Row],[SERVICIO 2025]],$J$2:$V$14,3,0)*Tabla4[[#This Row],[TOTAL COBERTURA]])</f>
        <v>12879300</v>
      </c>
      <c r="AV459" s="35">
        <f>(VLOOKUP(Tabla4[[#This Row],[SERVICIO 2025]],$J$2:$V$14,3,0)*Tabla4[[#This Row],[TOTAL COBERTURA]])</f>
        <v>12879300</v>
      </c>
      <c r="AW459" s="35">
        <f>(VLOOKUP(Tabla4[[#This Row],[SERVICIO 2025]],$J$2:$V$14,3,0)*Tabla4[[#This Row],[TOTAL COBERTURA]])</f>
        <v>12879300</v>
      </c>
      <c r="AX459" s="35">
        <f>(VLOOKUP(Tabla4[[#This Row],[SERVICIO 2025]],$J$2:$V$14,3,0)*Tabla4[[#This Row],[TOTAL COBERTURA]])</f>
        <v>12879300</v>
      </c>
      <c r="AY459" s="35">
        <f>(VLOOKUP(Tabla4[[#This Row],[SERVICIO 2025]],$J$2:$V$14,3,0)*Tabla4[[#This Row],[TOTAL COBERTURA]])</f>
        <v>12879300</v>
      </c>
      <c r="AZ459" s="35">
        <f>(VLOOKUP(Tabla4[[#This Row],[SERVICIO 2025]],$J$2:$V$14,3,0)*Tabla4[[#This Row],[TOTAL COBERTURA]])</f>
        <v>12879300</v>
      </c>
      <c r="BA459" s="35">
        <f>(VLOOKUP(Tabla4[[#This Row],[SERVICIO 2025]],$J$2:$V$14,3,0)*Tabla4[[#This Row],[TOTAL COBERTURA]])+Tabla4[[#This Row],[VALOR FASE PREPARATORIA DE CIERRE]]</f>
        <v>14930750</v>
      </c>
      <c r="BB459" s="35">
        <f>SUM(Tabla4[[#This Row],[DESEMBOLSO 1]:[DESEMBOLSO 8]])</f>
        <v>109009650</v>
      </c>
      <c r="BC459" s="35">
        <f>VLOOKUP(Tabla4[[#This Row],[SERVICIO 2025]],$J$2:$V$14,10,0)*Tabla4[[#This Row],[TOTAL COBERTURA]]*$W$3</f>
        <v>72153200</v>
      </c>
      <c r="BD459" s="47" t="s">
        <v>211</v>
      </c>
      <c r="BE459" s="12" t="b">
        <f>EXACT(Tabla4[[#This Row],[VALOR ATENCIÓN (8 MESES)]],Tabla4[[#This Row],[VALOR TOTAL]])</f>
        <v>1</v>
      </c>
      <c r="BF459" s="23">
        <f>Tabla4[[#This Row],[VALOR ATENCIÓN (8 MESES)]]-Tabla4[[#This Row],[VALOR TOTAL]]</f>
        <v>0</v>
      </c>
      <c r="BG459" s="12" t="b">
        <f>EXACT(Tabla4[[#This Row],[TOTAL DESEMBOLSOS]],Tabla4[[#This Row],[VALOR ATENCIÓN (8 MESES)]])</f>
        <v>1</v>
      </c>
      <c r="BH459" s="29">
        <f>Tabla4[[#This Row],[TOTAL DESEMBOLSOS]]-Tabla4[[#This Row],[VALOR ATENCIÓN (8 MESES)]]</f>
        <v>0</v>
      </c>
      <c r="BI459" t="s">
        <v>98</v>
      </c>
      <c r="BJ459">
        <v>1930</v>
      </c>
    </row>
    <row r="460" spans="1:62">
      <c r="A460" s="13">
        <v>1930</v>
      </c>
      <c r="B460" s="13" t="s">
        <v>1059</v>
      </c>
      <c r="C460" s="12" t="s">
        <v>87</v>
      </c>
      <c r="D460" s="12" t="s">
        <v>462</v>
      </c>
      <c r="E460" s="12" t="s">
        <v>1048</v>
      </c>
      <c r="F460" s="12" t="s">
        <v>18</v>
      </c>
      <c r="G460" s="12" t="s">
        <v>90</v>
      </c>
      <c r="H460" s="12" t="s">
        <v>1077</v>
      </c>
      <c r="I460" s="12">
        <v>51471118951</v>
      </c>
      <c r="J460" s="12" t="s">
        <v>1078</v>
      </c>
      <c r="K460" s="12">
        <v>1</v>
      </c>
      <c r="L460" s="12">
        <v>36</v>
      </c>
      <c r="M460" s="12"/>
      <c r="N460" s="13">
        <v>1930</v>
      </c>
      <c r="O460" s="12" t="s">
        <v>93</v>
      </c>
      <c r="P460" s="12"/>
      <c r="Q460" s="12"/>
      <c r="R460" s="12" t="s">
        <v>94</v>
      </c>
      <c r="S460" s="12">
        <v>10</v>
      </c>
      <c r="T460" s="12" t="s">
        <v>1062</v>
      </c>
      <c r="U460" s="12" t="s">
        <v>1063</v>
      </c>
      <c r="V460" s="12">
        <f>VLOOKUP(Tabla4[[#This Row],[ZONA DEFINITIVO]],Hoja1!$A$1:$D$121,3,0)</f>
        <v>229101</v>
      </c>
      <c r="W460" s="12">
        <f>VLOOKUP(Tabla4[[#This Row],[ZONA DEFINITIVO]],Hoja1!$A$1:$D$121,2,0)</f>
        <v>15186</v>
      </c>
      <c r="X460" s="12">
        <f>VLOOKUP(Tabla4[[#This Row],[ZONA DEFINITIVO]],Hoja1!$A$1:$D$121,4,0)</f>
        <v>87625</v>
      </c>
      <c r="Y460" s="12" t="str">
        <f>+IF(Tabla4[[#This Row],[AGRUPACIONES]]=1,SUMIFS(Tabla4[UDS],Tabla4[ZONA DEFINITIVO],Tabla4[[#This Row],[ZONA DEFINITIVO]])," ")</f>
        <v xml:space="preserve"> </v>
      </c>
      <c r="Z460" s="12" t="str">
        <f>+IF(Tabla4[[#This Row],[AGRUPACIONES]]=1,SUMIFS(Tabla4[TOTAL COBERTURA],Tabla4[ZONA DEFINITIVO],Tabla4[[#This Row],[ZONA DEFINITIVO]])," ")</f>
        <v xml:space="preserve"> </v>
      </c>
      <c r="AA460" s="12"/>
      <c r="AB460" s="38">
        <v>78486948</v>
      </c>
      <c r="AC460" s="37">
        <v>0.02</v>
      </c>
      <c r="AD460" s="38">
        <f t="shared" si="7"/>
        <v>1569738.96</v>
      </c>
      <c r="AE460" s="12"/>
      <c r="AF460" s="12">
        <f>COUNTIF($A$20:A460,A460)</f>
        <v>10</v>
      </c>
      <c r="AG460" s="38">
        <v>78486948</v>
      </c>
      <c r="AH460" s="38">
        <f>Tabla4[[#This Row],[VALOR CONTRAPARTIDA]]+Tabla4[[#This Row],[TOTAL APORTES ICBF]]</f>
        <v>80056686.959999993</v>
      </c>
      <c r="AI460" s="35"/>
      <c r="AJ460" s="38"/>
      <c r="AK460" s="38"/>
      <c r="AL460" s="23"/>
      <c r="AM460" s="35">
        <f>VLOOKUP(Tabla4[[#This Row],[SERVICIO 2025]],$J$2:$V$14,5,0)*Tabla4[[#This Row],[TOTAL COBERTURA]]</f>
        <v>1777536</v>
      </c>
      <c r="AN460" s="35">
        <f>VLOOKUP(Tabla4[[#This Row],[SERVICIO 2025]],$J$2:$V$14,6,0)*Tabla4[[#This Row],[TOTAL COBERTURA]]</f>
        <v>1477044</v>
      </c>
      <c r="AO460" s="35">
        <f>VLOOKUP(Tabla4[[#This Row],[SERVICIO 2025]],$J$2:$V$14,8,0)*Tabla4[[#This Row],[TOTAL COBERTURA]]</f>
        <v>1047600</v>
      </c>
      <c r="AP460" s="35">
        <f>VLOOKUP(Tabla4[[#This Row],[SERVICIO 2025]],$J$2:$V$14,3,0)*Tabla4[[#This Row],[TOTAL COBERTURA]]*8</f>
        <v>74184768</v>
      </c>
      <c r="AQ460" s="35"/>
      <c r="AR460" s="35">
        <f>Tabla4[[#This Row],[VALOR FASE PREPARATORIA DE ALISTAMIENTO]]+Tabla4[[#This Row],[VALOR FASE PREPARATORIA DE CIERRE]]+Tabla4[[#This Row],[DOTACIÓN ÚNICA]]+Tabla4[[#This Row],[VALOR ATENCIÓN]]+Tabla4[[#This Row],[VALOR RACION PREPARADA]]</f>
        <v>78486948</v>
      </c>
      <c r="AS460" s="35" t="str">
        <f>+IF(Tabla4[[#This Row],[AGRUPACIONES]]=1,SUMIFS(Tabla4[VALOR TOTAL],Tabla4[ZONA DEFINITIVO],Tabla4[[#This Row],[ZONA DEFINITIVO]])," ")</f>
        <v xml:space="preserve"> </v>
      </c>
      <c r="AT460" s="27">
        <f>(VLOOKUP(Tabla4[[#This Row],[SERVICIO 2025]],$J$2:$V$14,3,0)*Tabla4[[#This Row],[TOTAL COBERTURA]])+Tabla4[[#This Row],[VALOR FASE PREPARATORIA DE ALISTAMIENTO]]+Tabla4[[#This Row],[DOTACIÓN ÚNICA]]</f>
        <v>12098232</v>
      </c>
      <c r="AU460" s="35">
        <f>(VLOOKUP(Tabla4[[#This Row],[SERVICIO 2025]],$J$2:$V$14,3,0)*Tabla4[[#This Row],[TOTAL COBERTURA]])</f>
        <v>9273096</v>
      </c>
      <c r="AV460" s="35">
        <f>(VLOOKUP(Tabla4[[#This Row],[SERVICIO 2025]],$J$2:$V$14,3,0)*Tabla4[[#This Row],[TOTAL COBERTURA]])</f>
        <v>9273096</v>
      </c>
      <c r="AW460" s="35">
        <f>(VLOOKUP(Tabla4[[#This Row],[SERVICIO 2025]],$J$2:$V$14,3,0)*Tabla4[[#This Row],[TOTAL COBERTURA]])</f>
        <v>9273096</v>
      </c>
      <c r="AX460" s="35">
        <f>(VLOOKUP(Tabla4[[#This Row],[SERVICIO 2025]],$J$2:$V$14,3,0)*Tabla4[[#This Row],[TOTAL COBERTURA]])</f>
        <v>9273096</v>
      </c>
      <c r="AY460" s="35">
        <f>(VLOOKUP(Tabla4[[#This Row],[SERVICIO 2025]],$J$2:$V$14,3,0)*Tabla4[[#This Row],[TOTAL COBERTURA]])</f>
        <v>9273096</v>
      </c>
      <c r="AZ460" s="35">
        <f>(VLOOKUP(Tabla4[[#This Row],[SERVICIO 2025]],$J$2:$V$14,3,0)*Tabla4[[#This Row],[TOTAL COBERTURA]])</f>
        <v>9273096</v>
      </c>
      <c r="BA460" s="35">
        <f>(VLOOKUP(Tabla4[[#This Row],[SERVICIO 2025]],$J$2:$V$14,3,0)*Tabla4[[#This Row],[TOTAL COBERTURA]])+Tabla4[[#This Row],[VALOR FASE PREPARATORIA DE CIERRE]]</f>
        <v>10750140</v>
      </c>
      <c r="BB460" s="35">
        <f>SUM(Tabla4[[#This Row],[DESEMBOLSO 1]:[DESEMBOLSO 8]])</f>
        <v>78486948</v>
      </c>
      <c r="BC460" s="35">
        <f>VLOOKUP(Tabla4[[#This Row],[SERVICIO 2025]],$J$2:$V$14,10,0)*Tabla4[[#This Row],[TOTAL COBERTURA]]*$W$3</f>
        <v>51950304</v>
      </c>
      <c r="BD460" s="47" t="s">
        <v>211</v>
      </c>
      <c r="BE460" s="12" t="b">
        <f>EXACT(Tabla4[[#This Row],[VALOR ATENCIÓN (8 MESES)]],Tabla4[[#This Row],[VALOR TOTAL]])</f>
        <v>1</v>
      </c>
      <c r="BF460" s="23">
        <f>Tabla4[[#This Row],[VALOR ATENCIÓN (8 MESES)]]-Tabla4[[#This Row],[VALOR TOTAL]]</f>
        <v>0</v>
      </c>
      <c r="BG460" s="12" t="b">
        <f>EXACT(Tabla4[[#This Row],[TOTAL DESEMBOLSOS]],Tabla4[[#This Row],[VALOR ATENCIÓN (8 MESES)]])</f>
        <v>1</v>
      </c>
      <c r="BH460" s="29">
        <f>Tabla4[[#This Row],[TOTAL DESEMBOLSOS]]-Tabla4[[#This Row],[VALOR ATENCIÓN (8 MESES)]]</f>
        <v>0</v>
      </c>
      <c r="BI460" t="s">
        <v>98</v>
      </c>
      <c r="BJ460">
        <v>1930</v>
      </c>
    </row>
    <row r="461" spans="1:62">
      <c r="A461" s="13">
        <v>1930</v>
      </c>
      <c r="B461" s="13" t="s">
        <v>1059</v>
      </c>
      <c r="C461" s="12" t="s">
        <v>87</v>
      </c>
      <c r="D461" s="12" t="s">
        <v>462</v>
      </c>
      <c r="E461" s="12" t="s">
        <v>1048</v>
      </c>
      <c r="F461" s="12" t="s">
        <v>18</v>
      </c>
      <c r="G461" s="12" t="s">
        <v>90</v>
      </c>
      <c r="H461" s="12" t="s">
        <v>1065</v>
      </c>
      <c r="I461" s="12">
        <v>51471118953</v>
      </c>
      <c r="J461" s="12" t="s">
        <v>1079</v>
      </c>
      <c r="K461" s="12">
        <v>1</v>
      </c>
      <c r="L461" s="12">
        <v>50</v>
      </c>
      <c r="M461" s="12"/>
      <c r="N461" s="13">
        <v>1930</v>
      </c>
      <c r="O461" s="12" t="s">
        <v>93</v>
      </c>
      <c r="P461" s="12"/>
      <c r="Q461" s="12"/>
      <c r="R461" s="12" t="s">
        <v>94</v>
      </c>
      <c r="S461" s="12">
        <v>10</v>
      </c>
      <c r="T461" s="12" t="s">
        <v>1062</v>
      </c>
      <c r="U461" s="12" t="s">
        <v>1063</v>
      </c>
      <c r="V461" s="12">
        <f>VLOOKUP(Tabla4[[#This Row],[ZONA DEFINITIVO]],Hoja1!$A$1:$D$121,3,0)</f>
        <v>229101</v>
      </c>
      <c r="W461" s="12">
        <f>VLOOKUP(Tabla4[[#This Row],[ZONA DEFINITIVO]],Hoja1!$A$1:$D$121,2,0)</f>
        <v>15186</v>
      </c>
      <c r="X461" s="12">
        <f>VLOOKUP(Tabla4[[#This Row],[ZONA DEFINITIVO]],Hoja1!$A$1:$D$121,4,0)</f>
        <v>87625</v>
      </c>
      <c r="Y461" s="12" t="str">
        <f>+IF(Tabla4[[#This Row],[AGRUPACIONES]]=1,SUMIFS(Tabla4[UDS],Tabla4[ZONA DEFINITIVO],Tabla4[[#This Row],[ZONA DEFINITIVO]])," ")</f>
        <v xml:space="preserve"> </v>
      </c>
      <c r="Z461" s="12" t="str">
        <f>+IF(Tabla4[[#This Row],[AGRUPACIONES]]=1,SUMIFS(Tabla4[TOTAL COBERTURA],Tabla4[ZONA DEFINITIVO],Tabla4[[#This Row],[ZONA DEFINITIVO]])," ")</f>
        <v xml:space="preserve"> </v>
      </c>
      <c r="AA461" s="12"/>
      <c r="AB461" s="38">
        <v>109009650</v>
      </c>
      <c r="AC461" s="37">
        <v>0.02</v>
      </c>
      <c r="AD461" s="38">
        <f t="shared" si="7"/>
        <v>2180193</v>
      </c>
      <c r="AE461" s="12"/>
      <c r="AF461" s="12">
        <f>COUNTIF($A$20:A461,A461)</f>
        <v>11</v>
      </c>
      <c r="AG461" s="38">
        <v>109009650</v>
      </c>
      <c r="AH461" s="38">
        <f>Tabla4[[#This Row],[VALOR CONTRAPARTIDA]]+Tabla4[[#This Row],[TOTAL APORTES ICBF]]</f>
        <v>111189843</v>
      </c>
      <c r="AI461" s="35"/>
      <c r="AJ461" s="38"/>
      <c r="AK461" s="38"/>
      <c r="AL461" s="23"/>
      <c r="AM461" s="35">
        <f>VLOOKUP(Tabla4[[#This Row],[SERVICIO 2025]],$J$2:$V$14,5,0)*Tabla4[[#This Row],[TOTAL COBERTURA]]</f>
        <v>2468800</v>
      </c>
      <c r="AN461" s="35">
        <f>VLOOKUP(Tabla4[[#This Row],[SERVICIO 2025]],$J$2:$V$14,6,0)*Tabla4[[#This Row],[TOTAL COBERTURA]]</f>
        <v>2051450</v>
      </c>
      <c r="AO461" s="35">
        <f>VLOOKUP(Tabla4[[#This Row],[SERVICIO 2025]],$J$2:$V$14,8,0)*Tabla4[[#This Row],[TOTAL COBERTURA]]</f>
        <v>1455000</v>
      </c>
      <c r="AP461" s="35">
        <f>VLOOKUP(Tabla4[[#This Row],[SERVICIO 2025]],$J$2:$V$14,3,0)*Tabla4[[#This Row],[TOTAL COBERTURA]]*8</f>
        <v>103034400</v>
      </c>
      <c r="AQ461" s="35"/>
      <c r="AR461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461" s="35" t="str">
        <f>+IF(Tabla4[[#This Row],[AGRUPACIONES]]=1,SUMIFS(Tabla4[VALOR TOTAL],Tabla4[ZONA DEFINITIVO],Tabla4[[#This Row],[ZONA DEFINITIVO]])," ")</f>
        <v xml:space="preserve"> </v>
      </c>
      <c r="AT461" s="27">
        <f>(VLOOKUP(Tabla4[[#This Row],[SERVICIO 2025]],$J$2:$V$14,3,0)*Tabla4[[#This Row],[TOTAL COBERTURA]])+Tabla4[[#This Row],[VALOR FASE PREPARATORIA DE ALISTAMIENTO]]+Tabla4[[#This Row],[DOTACIÓN ÚNICA]]</f>
        <v>16803100</v>
      </c>
      <c r="AU461" s="35">
        <f>(VLOOKUP(Tabla4[[#This Row],[SERVICIO 2025]],$J$2:$V$14,3,0)*Tabla4[[#This Row],[TOTAL COBERTURA]])</f>
        <v>12879300</v>
      </c>
      <c r="AV461" s="35">
        <f>(VLOOKUP(Tabla4[[#This Row],[SERVICIO 2025]],$J$2:$V$14,3,0)*Tabla4[[#This Row],[TOTAL COBERTURA]])</f>
        <v>12879300</v>
      </c>
      <c r="AW461" s="35">
        <f>(VLOOKUP(Tabla4[[#This Row],[SERVICIO 2025]],$J$2:$V$14,3,0)*Tabla4[[#This Row],[TOTAL COBERTURA]])</f>
        <v>12879300</v>
      </c>
      <c r="AX461" s="35">
        <f>(VLOOKUP(Tabla4[[#This Row],[SERVICIO 2025]],$J$2:$V$14,3,0)*Tabla4[[#This Row],[TOTAL COBERTURA]])</f>
        <v>12879300</v>
      </c>
      <c r="AY461" s="35">
        <f>(VLOOKUP(Tabla4[[#This Row],[SERVICIO 2025]],$J$2:$V$14,3,0)*Tabla4[[#This Row],[TOTAL COBERTURA]])</f>
        <v>12879300</v>
      </c>
      <c r="AZ461" s="35">
        <f>(VLOOKUP(Tabla4[[#This Row],[SERVICIO 2025]],$J$2:$V$14,3,0)*Tabla4[[#This Row],[TOTAL COBERTURA]])</f>
        <v>12879300</v>
      </c>
      <c r="BA461" s="35">
        <f>(VLOOKUP(Tabla4[[#This Row],[SERVICIO 2025]],$J$2:$V$14,3,0)*Tabla4[[#This Row],[TOTAL COBERTURA]])+Tabla4[[#This Row],[VALOR FASE PREPARATORIA DE CIERRE]]</f>
        <v>14930750</v>
      </c>
      <c r="BB461" s="35">
        <f>SUM(Tabla4[[#This Row],[DESEMBOLSO 1]:[DESEMBOLSO 8]])</f>
        <v>109009650</v>
      </c>
      <c r="BC461" s="35">
        <f>VLOOKUP(Tabla4[[#This Row],[SERVICIO 2025]],$J$2:$V$14,10,0)*Tabla4[[#This Row],[TOTAL COBERTURA]]*$W$3</f>
        <v>72153200</v>
      </c>
      <c r="BD461" s="47" t="s">
        <v>211</v>
      </c>
      <c r="BE461" s="12" t="b">
        <f>EXACT(Tabla4[[#This Row],[VALOR ATENCIÓN (8 MESES)]],Tabla4[[#This Row],[VALOR TOTAL]])</f>
        <v>1</v>
      </c>
      <c r="BF461" s="23">
        <f>Tabla4[[#This Row],[VALOR ATENCIÓN (8 MESES)]]-Tabla4[[#This Row],[VALOR TOTAL]]</f>
        <v>0</v>
      </c>
      <c r="BG461" s="12" t="b">
        <f>EXACT(Tabla4[[#This Row],[TOTAL DESEMBOLSOS]],Tabla4[[#This Row],[VALOR ATENCIÓN (8 MESES)]])</f>
        <v>1</v>
      </c>
      <c r="BH461" s="29">
        <f>Tabla4[[#This Row],[TOTAL DESEMBOLSOS]]-Tabla4[[#This Row],[VALOR ATENCIÓN (8 MESES)]]</f>
        <v>0</v>
      </c>
      <c r="BI461" t="s">
        <v>98</v>
      </c>
      <c r="BJ461">
        <v>1930</v>
      </c>
    </row>
    <row r="462" spans="1:62">
      <c r="A462" s="13">
        <v>1930</v>
      </c>
      <c r="B462" s="13" t="s">
        <v>1059</v>
      </c>
      <c r="C462" s="12" t="s">
        <v>87</v>
      </c>
      <c r="D462" s="12" t="s">
        <v>462</v>
      </c>
      <c r="E462" s="12" t="s">
        <v>1048</v>
      </c>
      <c r="F462" s="12" t="s">
        <v>18</v>
      </c>
      <c r="G462" s="12" t="s">
        <v>90</v>
      </c>
      <c r="H462" s="12" t="s">
        <v>1080</v>
      </c>
      <c r="I462" s="12">
        <v>51471118957</v>
      </c>
      <c r="J462" s="12" t="s">
        <v>1081</v>
      </c>
      <c r="K462" s="12">
        <v>1</v>
      </c>
      <c r="L462" s="12">
        <v>16</v>
      </c>
      <c r="M462" s="12"/>
      <c r="N462" s="13">
        <v>1930</v>
      </c>
      <c r="O462" s="12" t="s">
        <v>93</v>
      </c>
      <c r="P462" s="12"/>
      <c r="Q462" s="12"/>
      <c r="R462" s="12" t="s">
        <v>94</v>
      </c>
      <c r="S462" s="12">
        <v>10</v>
      </c>
      <c r="T462" s="12" t="s">
        <v>1062</v>
      </c>
      <c r="U462" s="12" t="s">
        <v>1063</v>
      </c>
      <c r="V462" s="12">
        <f>VLOOKUP(Tabla4[[#This Row],[ZONA DEFINITIVO]],Hoja1!$A$1:$D$121,3,0)</f>
        <v>229101</v>
      </c>
      <c r="W462" s="12">
        <f>VLOOKUP(Tabla4[[#This Row],[ZONA DEFINITIVO]],Hoja1!$A$1:$D$121,2,0)</f>
        <v>15186</v>
      </c>
      <c r="X462" s="12">
        <f>VLOOKUP(Tabla4[[#This Row],[ZONA DEFINITIVO]],Hoja1!$A$1:$D$121,4,0)</f>
        <v>87625</v>
      </c>
      <c r="Y462" s="12" t="str">
        <f>+IF(Tabla4[[#This Row],[AGRUPACIONES]]=1,SUMIFS(Tabla4[UDS],Tabla4[ZONA DEFINITIVO],Tabla4[[#This Row],[ZONA DEFINITIVO]])," ")</f>
        <v xml:space="preserve"> </v>
      </c>
      <c r="Z462" s="12" t="str">
        <f>+IF(Tabla4[[#This Row],[AGRUPACIONES]]=1,SUMIFS(Tabla4[TOTAL COBERTURA],Tabla4[ZONA DEFINITIVO],Tabla4[[#This Row],[ZONA DEFINITIVO]])," ")</f>
        <v xml:space="preserve"> </v>
      </c>
      <c r="AA462" s="12"/>
      <c r="AB462" s="38">
        <v>34883088</v>
      </c>
      <c r="AC462" s="37">
        <v>0.02</v>
      </c>
      <c r="AD462" s="38">
        <f t="shared" si="7"/>
        <v>697661.76</v>
      </c>
      <c r="AE462" s="12"/>
      <c r="AF462" s="12">
        <f>COUNTIF($A$20:A462,A462)</f>
        <v>12</v>
      </c>
      <c r="AG462" s="38">
        <v>34883088</v>
      </c>
      <c r="AH462" s="38">
        <f>Tabla4[[#This Row],[VALOR CONTRAPARTIDA]]+Tabla4[[#This Row],[TOTAL APORTES ICBF]]</f>
        <v>35580749.759999998</v>
      </c>
      <c r="AI462" s="35"/>
      <c r="AJ462" s="38"/>
      <c r="AK462" s="38"/>
      <c r="AL462" s="23"/>
      <c r="AM462" s="35">
        <f>VLOOKUP(Tabla4[[#This Row],[SERVICIO 2025]],$J$2:$V$14,5,0)*Tabla4[[#This Row],[TOTAL COBERTURA]]</f>
        <v>790016</v>
      </c>
      <c r="AN462" s="35">
        <f>VLOOKUP(Tabla4[[#This Row],[SERVICIO 2025]],$J$2:$V$14,6,0)*Tabla4[[#This Row],[TOTAL COBERTURA]]</f>
        <v>656464</v>
      </c>
      <c r="AO462" s="35">
        <f>VLOOKUP(Tabla4[[#This Row],[SERVICIO 2025]],$J$2:$V$14,8,0)*Tabla4[[#This Row],[TOTAL COBERTURA]]</f>
        <v>465600</v>
      </c>
      <c r="AP462" s="35">
        <f>VLOOKUP(Tabla4[[#This Row],[SERVICIO 2025]],$J$2:$V$14,3,0)*Tabla4[[#This Row],[TOTAL COBERTURA]]*8</f>
        <v>32971008</v>
      </c>
      <c r="AQ462" s="35"/>
      <c r="AR462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462" s="35" t="str">
        <f>+IF(Tabla4[[#This Row],[AGRUPACIONES]]=1,SUMIFS(Tabla4[VALOR TOTAL],Tabla4[ZONA DEFINITIVO],Tabla4[[#This Row],[ZONA DEFINITIVO]])," ")</f>
        <v xml:space="preserve"> </v>
      </c>
      <c r="AT462" s="27">
        <f>(VLOOKUP(Tabla4[[#This Row],[SERVICIO 2025]],$J$2:$V$14,3,0)*Tabla4[[#This Row],[TOTAL COBERTURA]])+Tabla4[[#This Row],[VALOR FASE PREPARATORIA DE ALISTAMIENTO]]+Tabla4[[#This Row],[DOTACIÓN ÚNICA]]</f>
        <v>5376992</v>
      </c>
      <c r="AU462" s="35">
        <f>(VLOOKUP(Tabla4[[#This Row],[SERVICIO 2025]],$J$2:$V$14,3,0)*Tabla4[[#This Row],[TOTAL COBERTURA]])</f>
        <v>4121376</v>
      </c>
      <c r="AV462" s="35">
        <f>(VLOOKUP(Tabla4[[#This Row],[SERVICIO 2025]],$J$2:$V$14,3,0)*Tabla4[[#This Row],[TOTAL COBERTURA]])</f>
        <v>4121376</v>
      </c>
      <c r="AW462" s="35">
        <f>(VLOOKUP(Tabla4[[#This Row],[SERVICIO 2025]],$J$2:$V$14,3,0)*Tabla4[[#This Row],[TOTAL COBERTURA]])</f>
        <v>4121376</v>
      </c>
      <c r="AX462" s="35">
        <f>(VLOOKUP(Tabla4[[#This Row],[SERVICIO 2025]],$J$2:$V$14,3,0)*Tabla4[[#This Row],[TOTAL COBERTURA]])</f>
        <v>4121376</v>
      </c>
      <c r="AY462" s="35">
        <f>(VLOOKUP(Tabla4[[#This Row],[SERVICIO 2025]],$J$2:$V$14,3,0)*Tabla4[[#This Row],[TOTAL COBERTURA]])</f>
        <v>4121376</v>
      </c>
      <c r="AZ462" s="35">
        <f>(VLOOKUP(Tabla4[[#This Row],[SERVICIO 2025]],$J$2:$V$14,3,0)*Tabla4[[#This Row],[TOTAL COBERTURA]])</f>
        <v>4121376</v>
      </c>
      <c r="BA462" s="35">
        <f>(VLOOKUP(Tabla4[[#This Row],[SERVICIO 2025]],$J$2:$V$14,3,0)*Tabla4[[#This Row],[TOTAL COBERTURA]])+Tabla4[[#This Row],[VALOR FASE PREPARATORIA DE CIERRE]]</f>
        <v>4777840</v>
      </c>
      <c r="BB462" s="35">
        <f>SUM(Tabla4[[#This Row],[DESEMBOLSO 1]:[DESEMBOLSO 8]])</f>
        <v>34883088</v>
      </c>
      <c r="BC462" s="35">
        <f>VLOOKUP(Tabla4[[#This Row],[SERVICIO 2025]],$J$2:$V$14,10,0)*Tabla4[[#This Row],[TOTAL COBERTURA]]*$W$3</f>
        <v>23089024</v>
      </c>
      <c r="BD462" s="47" t="s">
        <v>211</v>
      </c>
      <c r="BE462" s="12" t="b">
        <f>EXACT(Tabla4[[#This Row],[VALOR ATENCIÓN (8 MESES)]],Tabla4[[#This Row],[VALOR TOTAL]])</f>
        <v>1</v>
      </c>
      <c r="BF462" s="23">
        <f>Tabla4[[#This Row],[VALOR ATENCIÓN (8 MESES)]]-Tabla4[[#This Row],[VALOR TOTAL]]</f>
        <v>0</v>
      </c>
      <c r="BG462" s="12" t="b">
        <f>EXACT(Tabla4[[#This Row],[TOTAL DESEMBOLSOS]],Tabla4[[#This Row],[VALOR ATENCIÓN (8 MESES)]])</f>
        <v>1</v>
      </c>
      <c r="BH462" s="29">
        <f>Tabla4[[#This Row],[TOTAL DESEMBOLSOS]]-Tabla4[[#This Row],[VALOR ATENCIÓN (8 MESES)]]</f>
        <v>0</v>
      </c>
      <c r="BI462" t="s">
        <v>98</v>
      </c>
      <c r="BJ462">
        <v>1930</v>
      </c>
    </row>
    <row r="463" spans="1:62">
      <c r="A463" s="13">
        <v>1930</v>
      </c>
      <c r="B463" s="13" t="s">
        <v>1059</v>
      </c>
      <c r="C463" s="12" t="s">
        <v>87</v>
      </c>
      <c r="D463" s="12" t="s">
        <v>462</v>
      </c>
      <c r="E463" s="12" t="s">
        <v>1048</v>
      </c>
      <c r="F463" s="12" t="s">
        <v>18</v>
      </c>
      <c r="G463" s="12" t="s">
        <v>90</v>
      </c>
      <c r="H463" s="12" t="s">
        <v>1082</v>
      </c>
      <c r="I463" s="12">
        <v>51471118958</v>
      </c>
      <c r="J463" s="12" t="s">
        <v>1083</v>
      </c>
      <c r="K463" s="12">
        <v>1</v>
      </c>
      <c r="L463" s="12">
        <v>15</v>
      </c>
      <c r="M463" s="12"/>
      <c r="N463" s="13">
        <v>1930</v>
      </c>
      <c r="O463" s="12" t="s">
        <v>93</v>
      </c>
      <c r="P463" s="12"/>
      <c r="Q463" s="12"/>
      <c r="R463" s="12" t="s">
        <v>94</v>
      </c>
      <c r="S463" s="12">
        <v>10</v>
      </c>
      <c r="T463" s="12" t="s">
        <v>1062</v>
      </c>
      <c r="U463" s="12" t="s">
        <v>1063</v>
      </c>
      <c r="V463" s="12">
        <f>VLOOKUP(Tabla4[[#This Row],[ZONA DEFINITIVO]],Hoja1!$A$1:$D$121,3,0)</f>
        <v>229101</v>
      </c>
      <c r="W463" s="12">
        <f>VLOOKUP(Tabla4[[#This Row],[ZONA DEFINITIVO]],Hoja1!$A$1:$D$121,2,0)</f>
        <v>15186</v>
      </c>
      <c r="X463" s="12">
        <f>VLOOKUP(Tabla4[[#This Row],[ZONA DEFINITIVO]],Hoja1!$A$1:$D$121,4,0)</f>
        <v>87625</v>
      </c>
      <c r="Y463" s="12" t="str">
        <f>+IF(Tabla4[[#This Row],[AGRUPACIONES]]=1,SUMIFS(Tabla4[UDS],Tabla4[ZONA DEFINITIVO],Tabla4[[#This Row],[ZONA DEFINITIVO]])," ")</f>
        <v xml:space="preserve"> </v>
      </c>
      <c r="Z463" s="12" t="str">
        <f>+IF(Tabla4[[#This Row],[AGRUPACIONES]]=1,SUMIFS(Tabla4[TOTAL COBERTURA],Tabla4[ZONA DEFINITIVO],Tabla4[[#This Row],[ZONA DEFINITIVO]])," ")</f>
        <v xml:space="preserve"> </v>
      </c>
      <c r="AA463" s="12"/>
      <c r="AB463" s="38">
        <v>32702895</v>
      </c>
      <c r="AC463" s="37">
        <v>0.02</v>
      </c>
      <c r="AD463" s="38">
        <f t="shared" si="7"/>
        <v>654057.9</v>
      </c>
      <c r="AE463" s="12"/>
      <c r="AF463" s="12">
        <f>COUNTIF($A$20:A463,A463)</f>
        <v>13</v>
      </c>
      <c r="AG463" s="38">
        <v>32702895</v>
      </c>
      <c r="AH463" s="38">
        <f>Tabla4[[#This Row],[VALOR CONTRAPARTIDA]]+Tabla4[[#This Row],[TOTAL APORTES ICBF]]</f>
        <v>33356952.899999999</v>
      </c>
      <c r="AI463" s="35"/>
      <c r="AJ463" s="38"/>
      <c r="AK463" s="38"/>
      <c r="AL463" s="23"/>
      <c r="AM463" s="35">
        <f>VLOOKUP(Tabla4[[#This Row],[SERVICIO 2025]],$J$2:$V$14,5,0)*Tabla4[[#This Row],[TOTAL COBERTURA]]</f>
        <v>740640</v>
      </c>
      <c r="AN463" s="35">
        <f>VLOOKUP(Tabla4[[#This Row],[SERVICIO 2025]],$J$2:$V$14,6,0)*Tabla4[[#This Row],[TOTAL COBERTURA]]</f>
        <v>615435</v>
      </c>
      <c r="AO463" s="35">
        <f>VLOOKUP(Tabla4[[#This Row],[SERVICIO 2025]],$J$2:$V$14,8,0)*Tabla4[[#This Row],[TOTAL COBERTURA]]</f>
        <v>436500</v>
      </c>
      <c r="AP463" s="35">
        <f>VLOOKUP(Tabla4[[#This Row],[SERVICIO 2025]],$J$2:$V$14,3,0)*Tabla4[[#This Row],[TOTAL COBERTURA]]*8</f>
        <v>30910320</v>
      </c>
      <c r="AQ463" s="35"/>
      <c r="AR463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463" s="35" t="str">
        <f>+IF(Tabla4[[#This Row],[AGRUPACIONES]]=1,SUMIFS(Tabla4[VALOR TOTAL],Tabla4[ZONA DEFINITIVO],Tabla4[[#This Row],[ZONA DEFINITIVO]])," ")</f>
        <v xml:space="preserve"> </v>
      </c>
      <c r="AT463" s="27">
        <f>(VLOOKUP(Tabla4[[#This Row],[SERVICIO 2025]],$J$2:$V$14,3,0)*Tabla4[[#This Row],[TOTAL COBERTURA]])+Tabla4[[#This Row],[VALOR FASE PREPARATORIA DE ALISTAMIENTO]]+Tabla4[[#This Row],[DOTACIÓN ÚNICA]]</f>
        <v>5040930</v>
      </c>
      <c r="AU463" s="35">
        <f>(VLOOKUP(Tabla4[[#This Row],[SERVICIO 2025]],$J$2:$V$14,3,0)*Tabla4[[#This Row],[TOTAL COBERTURA]])</f>
        <v>3863790</v>
      </c>
      <c r="AV463" s="35">
        <f>(VLOOKUP(Tabla4[[#This Row],[SERVICIO 2025]],$J$2:$V$14,3,0)*Tabla4[[#This Row],[TOTAL COBERTURA]])</f>
        <v>3863790</v>
      </c>
      <c r="AW463" s="35">
        <f>(VLOOKUP(Tabla4[[#This Row],[SERVICIO 2025]],$J$2:$V$14,3,0)*Tabla4[[#This Row],[TOTAL COBERTURA]])</f>
        <v>3863790</v>
      </c>
      <c r="AX463" s="35">
        <f>(VLOOKUP(Tabla4[[#This Row],[SERVICIO 2025]],$J$2:$V$14,3,0)*Tabla4[[#This Row],[TOTAL COBERTURA]])</f>
        <v>3863790</v>
      </c>
      <c r="AY463" s="35">
        <f>(VLOOKUP(Tabla4[[#This Row],[SERVICIO 2025]],$J$2:$V$14,3,0)*Tabla4[[#This Row],[TOTAL COBERTURA]])</f>
        <v>3863790</v>
      </c>
      <c r="AZ463" s="35">
        <f>(VLOOKUP(Tabla4[[#This Row],[SERVICIO 2025]],$J$2:$V$14,3,0)*Tabla4[[#This Row],[TOTAL COBERTURA]])</f>
        <v>3863790</v>
      </c>
      <c r="BA463" s="35">
        <f>(VLOOKUP(Tabla4[[#This Row],[SERVICIO 2025]],$J$2:$V$14,3,0)*Tabla4[[#This Row],[TOTAL COBERTURA]])+Tabla4[[#This Row],[VALOR FASE PREPARATORIA DE CIERRE]]</f>
        <v>4479225</v>
      </c>
      <c r="BB463" s="35">
        <f>SUM(Tabla4[[#This Row],[DESEMBOLSO 1]:[DESEMBOLSO 8]])</f>
        <v>32702895</v>
      </c>
      <c r="BC463" s="35">
        <f>VLOOKUP(Tabla4[[#This Row],[SERVICIO 2025]],$J$2:$V$14,10,0)*Tabla4[[#This Row],[TOTAL COBERTURA]]*$W$3</f>
        <v>21645960</v>
      </c>
      <c r="BD463" s="47" t="s">
        <v>211</v>
      </c>
      <c r="BE463" s="12" t="b">
        <f>EXACT(Tabla4[[#This Row],[VALOR ATENCIÓN (8 MESES)]],Tabla4[[#This Row],[VALOR TOTAL]])</f>
        <v>1</v>
      </c>
      <c r="BF463" s="23">
        <f>Tabla4[[#This Row],[VALOR ATENCIÓN (8 MESES)]]-Tabla4[[#This Row],[VALOR TOTAL]]</f>
        <v>0</v>
      </c>
      <c r="BG463" s="12" t="b">
        <f>EXACT(Tabla4[[#This Row],[TOTAL DESEMBOLSOS]],Tabla4[[#This Row],[VALOR ATENCIÓN (8 MESES)]])</f>
        <v>1</v>
      </c>
      <c r="BH463" s="29">
        <f>Tabla4[[#This Row],[TOTAL DESEMBOLSOS]]-Tabla4[[#This Row],[VALOR ATENCIÓN (8 MESES)]]</f>
        <v>0</v>
      </c>
      <c r="BI463" t="s">
        <v>98</v>
      </c>
      <c r="BJ463">
        <v>1930</v>
      </c>
    </row>
    <row r="464" spans="1:62">
      <c r="A464" s="13">
        <v>1930</v>
      </c>
      <c r="B464" s="13" t="s">
        <v>1059</v>
      </c>
      <c r="C464" s="12" t="s">
        <v>87</v>
      </c>
      <c r="D464" s="12" t="s">
        <v>462</v>
      </c>
      <c r="E464" s="12" t="s">
        <v>1048</v>
      </c>
      <c r="F464" s="12" t="s">
        <v>18</v>
      </c>
      <c r="G464" s="12" t="s">
        <v>90</v>
      </c>
      <c r="H464" s="12" t="s">
        <v>1084</v>
      </c>
      <c r="I464" s="12">
        <v>51471136458</v>
      </c>
      <c r="J464" s="12" t="s">
        <v>1085</v>
      </c>
      <c r="K464" s="12">
        <v>1</v>
      </c>
      <c r="L464" s="12">
        <v>16</v>
      </c>
      <c r="M464" s="12"/>
      <c r="N464" s="13">
        <v>1930</v>
      </c>
      <c r="O464" s="12" t="s">
        <v>93</v>
      </c>
      <c r="P464" s="12"/>
      <c r="Q464" s="12"/>
      <c r="R464" s="12" t="s">
        <v>94</v>
      </c>
      <c r="S464" s="12">
        <v>10</v>
      </c>
      <c r="T464" s="12" t="s">
        <v>1062</v>
      </c>
      <c r="U464" s="12" t="s">
        <v>1063</v>
      </c>
      <c r="V464" s="12">
        <f>VLOOKUP(Tabla4[[#This Row],[ZONA DEFINITIVO]],Hoja1!$A$1:$D$121,3,0)</f>
        <v>229101</v>
      </c>
      <c r="W464" s="12">
        <f>VLOOKUP(Tabla4[[#This Row],[ZONA DEFINITIVO]],Hoja1!$A$1:$D$121,2,0)</f>
        <v>15186</v>
      </c>
      <c r="X464" s="12">
        <f>VLOOKUP(Tabla4[[#This Row],[ZONA DEFINITIVO]],Hoja1!$A$1:$D$121,4,0)</f>
        <v>87625</v>
      </c>
      <c r="Y464" s="12" t="str">
        <f>+IF(Tabla4[[#This Row],[AGRUPACIONES]]=1,SUMIFS(Tabla4[UDS],Tabla4[ZONA DEFINITIVO],Tabla4[[#This Row],[ZONA DEFINITIVO]])," ")</f>
        <v xml:space="preserve"> </v>
      </c>
      <c r="Z464" s="12" t="str">
        <f>+IF(Tabla4[[#This Row],[AGRUPACIONES]]=1,SUMIFS(Tabla4[TOTAL COBERTURA],Tabla4[ZONA DEFINITIVO],Tabla4[[#This Row],[ZONA DEFINITIVO]])," ")</f>
        <v xml:space="preserve"> </v>
      </c>
      <c r="AA464" s="12"/>
      <c r="AB464" s="38">
        <v>34883088</v>
      </c>
      <c r="AC464" s="37">
        <v>0.02</v>
      </c>
      <c r="AD464" s="38">
        <f t="shared" si="7"/>
        <v>697661.76</v>
      </c>
      <c r="AE464" s="12"/>
      <c r="AF464" s="12">
        <f>COUNTIF($A$20:A464,A464)</f>
        <v>14</v>
      </c>
      <c r="AG464" s="38">
        <v>34883088</v>
      </c>
      <c r="AH464" s="38">
        <f>Tabla4[[#This Row],[VALOR CONTRAPARTIDA]]+Tabla4[[#This Row],[TOTAL APORTES ICBF]]</f>
        <v>35580749.759999998</v>
      </c>
      <c r="AI464" s="35"/>
      <c r="AJ464" s="38"/>
      <c r="AK464" s="38"/>
      <c r="AL464" s="23"/>
      <c r="AM464" s="35">
        <f>VLOOKUP(Tabla4[[#This Row],[SERVICIO 2025]],$J$2:$V$14,5,0)*Tabla4[[#This Row],[TOTAL COBERTURA]]</f>
        <v>790016</v>
      </c>
      <c r="AN464" s="35">
        <f>VLOOKUP(Tabla4[[#This Row],[SERVICIO 2025]],$J$2:$V$14,6,0)*Tabla4[[#This Row],[TOTAL COBERTURA]]</f>
        <v>656464</v>
      </c>
      <c r="AO464" s="35">
        <f>VLOOKUP(Tabla4[[#This Row],[SERVICIO 2025]],$J$2:$V$14,8,0)*Tabla4[[#This Row],[TOTAL COBERTURA]]</f>
        <v>465600</v>
      </c>
      <c r="AP464" s="35">
        <f>VLOOKUP(Tabla4[[#This Row],[SERVICIO 2025]],$J$2:$V$14,3,0)*Tabla4[[#This Row],[TOTAL COBERTURA]]*8</f>
        <v>32971008</v>
      </c>
      <c r="AQ464" s="35"/>
      <c r="AR464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464" s="35" t="str">
        <f>+IF(Tabla4[[#This Row],[AGRUPACIONES]]=1,SUMIFS(Tabla4[VALOR TOTAL],Tabla4[ZONA DEFINITIVO],Tabla4[[#This Row],[ZONA DEFINITIVO]])," ")</f>
        <v xml:space="preserve"> </v>
      </c>
      <c r="AT464" s="27">
        <f>(VLOOKUP(Tabla4[[#This Row],[SERVICIO 2025]],$J$2:$V$14,3,0)*Tabla4[[#This Row],[TOTAL COBERTURA]])+Tabla4[[#This Row],[VALOR FASE PREPARATORIA DE ALISTAMIENTO]]+Tabla4[[#This Row],[DOTACIÓN ÚNICA]]</f>
        <v>5376992</v>
      </c>
      <c r="AU464" s="35">
        <f>(VLOOKUP(Tabla4[[#This Row],[SERVICIO 2025]],$J$2:$V$14,3,0)*Tabla4[[#This Row],[TOTAL COBERTURA]])</f>
        <v>4121376</v>
      </c>
      <c r="AV464" s="35">
        <f>(VLOOKUP(Tabla4[[#This Row],[SERVICIO 2025]],$J$2:$V$14,3,0)*Tabla4[[#This Row],[TOTAL COBERTURA]])</f>
        <v>4121376</v>
      </c>
      <c r="AW464" s="35">
        <f>(VLOOKUP(Tabla4[[#This Row],[SERVICIO 2025]],$J$2:$V$14,3,0)*Tabla4[[#This Row],[TOTAL COBERTURA]])</f>
        <v>4121376</v>
      </c>
      <c r="AX464" s="35">
        <f>(VLOOKUP(Tabla4[[#This Row],[SERVICIO 2025]],$J$2:$V$14,3,0)*Tabla4[[#This Row],[TOTAL COBERTURA]])</f>
        <v>4121376</v>
      </c>
      <c r="AY464" s="35">
        <f>(VLOOKUP(Tabla4[[#This Row],[SERVICIO 2025]],$J$2:$V$14,3,0)*Tabla4[[#This Row],[TOTAL COBERTURA]])</f>
        <v>4121376</v>
      </c>
      <c r="AZ464" s="35">
        <f>(VLOOKUP(Tabla4[[#This Row],[SERVICIO 2025]],$J$2:$V$14,3,0)*Tabla4[[#This Row],[TOTAL COBERTURA]])</f>
        <v>4121376</v>
      </c>
      <c r="BA464" s="35">
        <f>(VLOOKUP(Tabla4[[#This Row],[SERVICIO 2025]],$J$2:$V$14,3,0)*Tabla4[[#This Row],[TOTAL COBERTURA]])+Tabla4[[#This Row],[VALOR FASE PREPARATORIA DE CIERRE]]</f>
        <v>4777840</v>
      </c>
      <c r="BB464" s="35">
        <f>SUM(Tabla4[[#This Row],[DESEMBOLSO 1]:[DESEMBOLSO 8]])</f>
        <v>34883088</v>
      </c>
      <c r="BC464" s="35">
        <f>VLOOKUP(Tabla4[[#This Row],[SERVICIO 2025]],$J$2:$V$14,10,0)*Tabla4[[#This Row],[TOTAL COBERTURA]]*$W$3</f>
        <v>23089024</v>
      </c>
      <c r="BD464" s="47" t="s">
        <v>211</v>
      </c>
      <c r="BE464" s="12" t="b">
        <f>EXACT(Tabla4[[#This Row],[VALOR ATENCIÓN (8 MESES)]],Tabla4[[#This Row],[VALOR TOTAL]])</f>
        <v>1</v>
      </c>
      <c r="BF464" s="23">
        <f>Tabla4[[#This Row],[VALOR ATENCIÓN (8 MESES)]]-Tabla4[[#This Row],[VALOR TOTAL]]</f>
        <v>0</v>
      </c>
      <c r="BG464" s="12" t="b">
        <f>EXACT(Tabla4[[#This Row],[TOTAL DESEMBOLSOS]],Tabla4[[#This Row],[VALOR ATENCIÓN (8 MESES)]])</f>
        <v>1</v>
      </c>
      <c r="BH464" s="29">
        <f>Tabla4[[#This Row],[TOTAL DESEMBOLSOS]]-Tabla4[[#This Row],[VALOR ATENCIÓN (8 MESES)]]</f>
        <v>0</v>
      </c>
      <c r="BI464" t="s">
        <v>98</v>
      </c>
      <c r="BJ464">
        <v>1930</v>
      </c>
    </row>
    <row r="465" spans="1:62">
      <c r="A465" s="13">
        <v>1930</v>
      </c>
      <c r="B465" s="13" t="s">
        <v>1059</v>
      </c>
      <c r="C465" s="12" t="s">
        <v>87</v>
      </c>
      <c r="D465" s="12" t="s">
        <v>462</v>
      </c>
      <c r="E465" s="12" t="s">
        <v>1048</v>
      </c>
      <c r="F465" s="12" t="s">
        <v>18</v>
      </c>
      <c r="G465" s="12" t="s">
        <v>90</v>
      </c>
      <c r="H465" s="12" t="s">
        <v>1086</v>
      </c>
      <c r="I465" s="12">
        <v>51471136459</v>
      </c>
      <c r="J465" s="12" t="s">
        <v>1087</v>
      </c>
      <c r="K465" s="12">
        <v>1</v>
      </c>
      <c r="L465" s="12">
        <v>20</v>
      </c>
      <c r="M465" s="12"/>
      <c r="N465" s="13">
        <v>1930</v>
      </c>
      <c r="O465" s="12" t="s">
        <v>93</v>
      </c>
      <c r="P465" s="12"/>
      <c r="Q465" s="12"/>
      <c r="R465" s="12" t="s">
        <v>94</v>
      </c>
      <c r="S465" s="12">
        <v>10</v>
      </c>
      <c r="T465" s="12" t="s">
        <v>1062</v>
      </c>
      <c r="U465" s="12" t="s">
        <v>1063</v>
      </c>
      <c r="V465" s="12">
        <f>VLOOKUP(Tabla4[[#This Row],[ZONA DEFINITIVO]],Hoja1!$A$1:$D$121,3,0)</f>
        <v>229101</v>
      </c>
      <c r="W465" s="12">
        <f>VLOOKUP(Tabla4[[#This Row],[ZONA DEFINITIVO]],Hoja1!$A$1:$D$121,2,0)</f>
        <v>15186</v>
      </c>
      <c r="X465" s="12">
        <f>VLOOKUP(Tabla4[[#This Row],[ZONA DEFINITIVO]],Hoja1!$A$1:$D$121,4,0)</f>
        <v>87625</v>
      </c>
      <c r="Y465" s="12" t="str">
        <f>+IF(Tabla4[[#This Row],[AGRUPACIONES]]=1,SUMIFS(Tabla4[UDS],Tabla4[ZONA DEFINITIVO],Tabla4[[#This Row],[ZONA DEFINITIVO]])," ")</f>
        <v xml:space="preserve"> </v>
      </c>
      <c r="Z465" s="12" t="str">
        <f>+IF(Tabla4[[#This Row],[AGRUPACIONES]]=1,SUMIFS(Tabla4[TOTAL COBERTURA],Tabla4[ZONA DEFINITIVO],Tabla4[[#This Row],[ZONA DEFINITIVO]])," ")</f>
        <v xml:space="preserve"> </v>
      </c>
      <c r="AA465" s="12"/>
      <c r="AB465" s="38">
        <v>43603860</v>
      </c>
      <c r="AC465" s="37">
        <v>0.02</v>
      </c>
      <c r="AD465" s="38">
        <f t="shared" si="7"/>
        <v>872077.20000000007</v>
      </c>
      <c r="AE465" s="12"/>
      <c r="AF465" s="12">
        <f>COUNTIF($A$20:A465,A465)</f>
        <v>15</v>
      </c>
      <c r="AG465" s="38">
        <v>43603860</v>
      </c>
      <c r="AH465" s="38">
        <f>Tabla4[[#This Row],[VALOR CONTRAPARTIDA]]+Tabla4[[#This Row],[TOTAL APORTES ICBF]]</f>
        <v>44475937.200000003</v>
      </c>
      <c r="AI465" s="35"/>
      <c r="AJ465" s="38"/>
      <c r="AK465" s="38"/>
      <c r="AL465" s="23"/>
      <c r="AM465" s="35">
        <f>VLOOKUP(Tabla4[[#This Row],[SERVICIO 2025]],$J$2:$V$14,5,0)*Tabla4[[#This Row],[TOTAL COBERTURA]]</f>
        <v>987520</v>
      </c>
      <c r="AN465" s="35">
        <f>VLOOKUP(Tabla4[[#This Row],[SERVICIO 2025]],$J$2:$V$14,6,0)*Tabla4[[#This Row],[TOTAL COBERTURA]]</f>
        <v>820580</v>
      </c>
      <c r="AO465" s="35">
        <f>VLOOKUP(Tabla4[[#This Row],[SERVICIO 2025]],$J$2:$V$14,8,0)*Tabla4[[#This Row],[TOTAL COBERTURA]]</f>
        <v>582000</v>
      </c>
      <c r="AP465" s="35">
        <f>VLOOKUP(Tabla4[[#This Row],[SERVICIO 2025]],$J$2:$V$14,3,0)*Tabla4[[#This Row],[TOTAL COBERTURA]]*8</f>
        <v>41213760</v>
      </c>
      <c r="AQ465" s="35"/>
      <c r="AR465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465" s="35" t="str">
        <f>+IF(Tabla4[[#This Row],[AGRUPACIONES]]=1,SUMIFS(Tabla4[VALOR TOTAL],Tabla4[ZONA DEFINITIVO],Tabla4[[#This Row],[ZONA DEFINITIVO]])," ")</f>
        <v xml:space="preserve"> </v>
      </c>
      <c r="AT465" s="27">
        <f>(VLOOKUP(Tabla4[[#This Row],[SERVICIO 2025]],$J$2:$V$14,3,0)*Tabla4[[#This Row],[TOTAL COBERTURA]])+Tabla4[[#This Row],[VALOR FASE PREPARATORIA DE ALISTAMIENTO]]+Tabla4[[#This Row],[DOTACIÓN ÚNICA]]</f>
        <v>6721240</v>
      </c>
      <c r="AU465" s="35">
        <f>(VLOOKUP(Tabla4[[#This Row],[SERVICIO 2025]],$J$2:$V$14,3,0)*Tabla4[[#This Row],[TOTAL COBERTURA]])</f>
        <v>5151720</v>
      </c>
      <c r="AV465" s="35">
        <f>(VLOOKUP(Tabla4[[#This Row],[SERVICIO 2025]],$J$2:$V$14,3,0)*Tabla4[[#This Row],[TOTAL COBERTURA]])</f>
        <v>5151720</v>
      </c>
      <c r="AW465" s="35">
        <f>(VLOOKUP(Tabla4[[#This Row],[SERVICIO 2025]],$J$2:$V$14,3,0)*Tabla4[[#This Row],[TOTAL COBERTURA]])</f>
        <v>5151720</v>
      </c>
      <c r="AX465" s="35">
        <f>(VLOOKUP(Tabla4[[#This Row],[SERVICIO 2025]],$J$2:$V$14,3,0)*Tabla4[[#This Row],[TOTAL COBERTURA]])</f>
        <v>5151720</v>
      </c>
      <c r="AY465" s="35">
        <f>(VLOOKUP(Tabla4[[#This Row],[SERVICIO 2025]],$J$2:$V$14,3,0)*Tabla4[[#This Row],[TOTAL COBERTURA]])</f>
        <v>5151720</v>
      </c>
      <c r="AZ465" s="35">
        <f>(VLOOKUP(Tabla4[[#This Row],[SERVICIO 2025]],$J$2:$V$14,3,0)*Tabla4[[#This Row],[TOTAL COBERTURA]])</f>
        <v>5151720</v>
      </c>
      <c r="BA465" s="35">
        <f>(VLOOKUP(Tabla4[[#This Row],[SERVICIO 2025]],$J$2:$V$14,3,0)*Tabla4[[#This Row],[TOTAL COBERTURA]])+Tabla4[[#This Row],[VALOR FASE PREPARATORIA DE CIERRE]]</f>
        <v>5972300</v>
      </c>
      <c r="BB465" s="35">
        <f>SUM(Tabla4[[#This Row],[DESEMBOLSO 1]:[DESEMBOLSO 8]])</f>
        <v>43603860</v>
      </c>
      <c r="BC465" s="35">
        <f>VLOOKUP(Tabla4[[#This Row],[SERVICIO 2025]],$J$2:$V$14,10,0)*Tabla4[[#This Row],[TOTAL COBERTURA]]*$W$3</f>
        <v>28861280</v>
      </c>
      <c r="BD465" s="47" t="s">
        <v>211</v>
      </c>
      <c r="BE465" s="12" t="b">
        <f>EXACT(Tabla4[[#This Row],[VALOR ATENCIÓN (8 MESES)]],Tabla4[[#This Row],[VALOR TOTAL]])</f>
        <v>1</v>
      </c>
      <c r="BF465" s="23">
        <f>Tabla4[[#This Row],[VALOR ATENCIÓN (8 MESES)]]-Tabla4[[#This Row],[VALOR TOTAL]]</f>
        <v>0</v>
      </c>
      <c r="BG465" s="12" t="b">
        <f>EXACT(Tabla4[[#This Row],[TOTAL DESEMBOLSOS]],Tabla4[[#This Row],[VALOR ATENCIÓN (8 MESES)]])</f>
        <v>1</v>
      </c>
      <c r="BH465" s="29">
        <f>Tabla4[[#This Row],[TOTAL DESEMBOLSOS]]-Tabla4[[#This Row],[VALOR ATENCIÓN (8 MESES)]]</f>
        <v>0</v>
      </c>
      <c r="BI465" t="s">
        <v>98</v>
      </c>
      <c r="BJ465">
        <v>1930</v>
      </c>
    </row>
    <row r="466" spans="1:62">
      <c r="A466" s="13">
        <v>1930</v>
      </c>
      <c r="B466" s="13" t="s">
        <v>1059</v>
      </c>
      <c r="C466" s="12" t="s">
        <v>87</v>
      </c>
      <c r="D466" s="12" t="s">
        <v>462</v>
      </c>
      <c r="E466" s="12" t="s">
        <v>1048</v>
      </c>
      <c r="F466" s="12" t="s">
        <v>18</v>
      </c>
      <c r="G466" s="12" t="s">
        <v>90</v>
      </c>
      <c r="H466" s="12" t="s">
        <v>1088</v>
      </c>
      <c r="I466" s="12">
        <v>51471136461</v>
      </c>
      <c r="J466" s="12" t="s">
        <v>1089</v>
      </c>
      <c r="K466" s="12">
        <v>1</v>
      </c>
      <c r="L466" s="12">
        <v>14</v>
      </c>
      <c r="M466" s="12"/>
      <c r="N466" s="13">
        <v>1930</v>
      </c>
      <c r="O466" s="12" t="s">
        <v>93</v>
      </c>
      <c r="P466" s="12"/>
      <c r="Q466" s="12"/>
      <c r="R466" s="12" t="s">
        <v>94</v>
      </c>
      <c r="S466" s="12">
        <v>10</v>
      </c>
      <c r="T466" s="12" t="s">
        <v>1062</v>
      </c>
      <c r="U466" s="12" t="s">
        <v>1063</v>
      </c>
      <c r="V466" s="12">
        <f>VLOOKUP(Tabla4[[#This Row],[ZONA DEFINITIVO]],Hoja1!$A$1:$D$121,3,0)</f>
        <v>229101</v>
      </c>
      <c r="W466" s="12">
        <f>VLOOKUP(Tabla4[[#This Row],[ZONA DEFINITIVO]],Hoja1!$A$1:$D$121,2,0)</f>
        <v>15186</v>
      </c>
      <c r="X466" s="12">
        <f>VLOOKUP(Tabla4[[#This Row],[ZONA DEFINITIVO]],Hoja1!$A$1:$D$121,4,0)</f>
        <v>87625</v>
      </c>
      <c r="Y466" s="12" t="str">
        <f>+IF(Tabla4[[#This Row],[AGRUPACIONES]]=1,SUMIFS(Tabla4[UDS],Tabla4[ZONA DEFINITIVO],Tabla4[[#This Row],[ZONA DEFINITIVO]])," ")</f>
        <v xml:space="preserve"> </v>
      </c>
      <c r="Z466" s="12" t="str">
        <f>+IF(Tabla4[[#This Row],[AGRUPACIONES]]=1,SUMIFS(Tabla4[TOTAL COBERTURA],Tabla4[ZONA DEFINITIVO],Tabla4[[#This Row],[ZONA DEFINITIVO]])," ")</f>
        <v xml:space="preserve"> </v>
      </c>
      <c r="AA466" s="12"/>
      <c r="AB466" s="38">
        <v>30522702</v>
      </c>
      <c r="AC466" s="37">
        <v>0.02</v>
      </c>
      <c r="AD466" s="38">
        <f t="shared" si="7"/>
        <v>610454.04</v>
      </c>
      <c r="AE466" s="12"/>
      <c r="AF466" s="12">
        <f>COUNTIF($A$20:A466,A466)</f>
        <v>16</v>
      </c>
      <c r="AG466" s="38">
        <v>30522702</v>
      </c>
      <c r="AH466" s="38">
        <f>Tabla4[[#This Row],[VALOR CONTRAPARTIDA]]+Tabla4[[#This Row],[TOTAL APORTES ICBF]]</f>
        <v>31133156.039999999</v>
      </c>
      <c r="AI466" s="35"/>
      <c r="AJ466" s="38"/>
      <c r="AK466" s="38"/>
      <c r="AL466" s="23"/>
      <c r="AM466" s="35">
        <f>VLOOKUP(Tabla4[[#This Row],[SERVICIO 2025]],$J$2:$V$14,5,0)*Tabla4[[#This Row],[TOTAL COBERTURA]]</f>
        <v>691264</v>
      </c>
      <c r="AN466" s="35">
        <f>VLOOKUP(Tabla4[[#This Row],[SERVICIO 2025]],$J$2:$V$14,6,0)*Tabla4[[#This Row],[TOTAL COBERTURA]]</f>
        <v>574406</v>
      </c>
      <c r="AO466" s="35">
        <f>VLOOKUP(Tabla4[[#This Row],[SERVICIO 2025]],$J$2:$V$14,8,0)*Tabla4[[#This Row],[TOTAL COBERTURA]]</f>
        <v>407400</v>
      </c>
      <c r="AP466" s="35">
        <f>VLOOKUP(Tabla4[[#This Row],[SERVICIO 2025]],$J$2:$V$14,3,0)*Tabla4[[#This Row],[TOTAL COBERTURA]]*8</f>
        <v>28849632</v>
      </c>
      <c r="AQ466" s="35"/>
      <c r="AR466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466" s="35" t="str">
        <f>+IF(Tabla4[[#This Row],[AGRUPACIONES]]=1,SUMIFS(Tabla4[VALOR TOTAL],Tabla4[ZONA DEFINITIVO],Tabla4[[#This Row],[ZONA DEFINITIVO]])," ")</f>
        <v xml:space="preserve"> </v>
      </c>
      <c r="AT466" s="27">
        <f>(VLOOKUP(Tabla4[[#This Row],[SERVICIO 2025]],$J$2:$V$14,3,0)*Tabla4[[#This Row],[TOTAL COBERTURA]])+Tabla4[[#This Row],[VALOR FASE PREPARATORIA DE ALISTAMIENTO]]+Tabla4[[#This Row],[DOTACIÓN ÚNICA]]</f>
        <v>4704868</v>
      </c>
      <c r="AU466" s="35">
        <f>(VLOOKUP(Tabla4[[#This Row],[SERVICIO 2025]],$J$2:$V$14,3,0)*Tabla4[[#This Row],[TOTAL COBERTURA]])</f>
        <v>3606204</v>
      </c>
      <c r="AV466" s="35">
        <f>(VLOOKUP(Tabla4[[#This Row],[SERVICIO 2025]],$J$2:$V$14,3,0)*Tabla4[[#This Row],[TOTAL COBERTURA]])</f>
        <v>3606204</v>
      </c>
      <c r="AW466" s="35">
        <f>(VLOOKUP(Tabla4[[#This Row],[SERVICIO 2025]],$J$2:$V$14,3,0)*Tabla4[[#This Row],[TOTAL COBERTURA]])</f>
        <v>3606204</v>
      </c>
      <c r="AX466" s="35">
        <f>(VLOOKUP(Tabla4[[#This Row],[SERVICIO 2025]],$J$2:$V$14,3,0)*Tabla4[[#This Row],[TOTAL COBERTURA]])</f>
        <v>3606204</v>
      </c>
      <c r="AY466" s="35">
        <f>(VLOOKUP(Tabla4[[#This Row],[SERVICIO 2025]],$J$2:$V$14,3,0)*Tabla4[[#This Row],[TOTAL COBERTURA]])</f>
        <v>3606204</v>
      </c>
      <c r="AZ466" s="35">
        <f>(VLOOKUP(Tabla4[[#This Row],[SERVICIO 2025]],$J$2:$V$14,3,0)*Tabla4[[#This Row],[TOTAL COBERTURA]])</f>
        <v>3606204</v>
      </c>
      <c r="BA466" s="35">
        <f>(VLOOKUP(Tabla4[[#This Row],[SERVICIO 2025]],$J$2:$V$14,3,0)*Tabla4[[#This Row],[TOTAL COBERTURA]])+Tabla4[[#This Row],[VALOR FASE PREPARATORIA DE CIERRE]]</f>
        <v>4180610</v>
      </c>
      <c r="BB466" s="35">
        <f>SUM(Tabla4[[#This Row],[DESEMBOLSO 1]:[DESEMBOLSO 8]])</f>
        <v>30522702</v>
      </c>
      <c r="BC466" s="35">
        <f>VLOOKUP(Tabla4[[#This Row],[SERVICIO 2025]],$J$2:$V$14,10,0)*Tabla4[[#This Row],[TOTAL COBERTURA]]*$W$3</f>
        <v>20202896</v>
      </c>
      <c r="BD466" s="47" t="s">
        <v>211</v>
      </c>
      <c r="BE466" s="12" t="b">
        <f>EXACT(Tabla4[[#This Row],[VALOR ATENCIÓN (8 MESES)]],Tabla4[[#This Row],[VALOR TOTAL]])</f>
        <v>1</v>
      </c>
      <c r="BF466" s="23">
        <f>Tabla4[[#This Row],[VALOR ATENCIÓN (8 MESES)]]-Tabla4[[#This Row],[VALOR TOTAL]]</f>
        <v>0</v>
      </c>
      <c r="BG466" s="12" t="b">
        <f>EXACT(Tabla4[[#This Row],[TOTAL DESEMBOLSOS]],Tabla4[[#This Row],[VALOR ATENCIÓN (8 MESES)]])</f>
        <v>1</v>
      </c>
      <c r="BH466" s="29">
        <f>Tabla4[[#This Row],[TOTAL DESEMBOLSOS]]-Tabla4[[#This Row],[VALOR ATENCIÓN (8 MESES)]]</f>
        <v>0</v>
      </c>
      <c r="BI466" t="s">
        <v>98</v>
      </c>
      <c r="BJ466">
        <v>1930</v>
      </c>
    </row>
    <row r="467" spans="1:62">
      <c r="A467" s="13">
        <v>1930</v>
      </c>
      <c r="B467" s="13" t="s">
        <v>1059</v>
      </c>
      <c r="C467" s="12" t="s">
        <v>87</v>
      </c>
      <c r="D467" s="12" t="s">
        <v>462</v>
      </c>
      <c r="E467" s="12" t="s">
        <v>1048</v>
      </c>
      <c r="F467" s="12" t="s">
        <v>18</v>
      </c>
      <c r="G467" s="12" t="s">
        <v>90</v>
      </c>
      <c r="H467" s="12" t="s">
        <v>1090</v>
      </c>
      <c r="I467" s="12">
        <v>51471136462</v>
      </c>
      <c r="J467" s="12" t="s">
        <v>1091</v>
      </c>
      <c r="K467" s="12">
        <v>1</v>
      </c>
      <c r="L467" s="12">
        <v>14</v>
      </c>
      <c r="M467" s="12"/>
      <c r="N467" s="13">
        <v>1930</v>
      </c>
      <c r="O467" s="12" t="s">
        <v>93</v>
      </c>
      <c r="P467" s="12"/>
      <c r="Q467" s="12"/>
      <c r="R467" s="12" t="s">
        <v>94</v>
      </c>
      <c r="S467" s="12">
        <v>10</v>
      </c>
      <c r="T467" s="12" t="s">
        <v>1062</v>
      </c>
      <c r="U467" s="12" t="s">
        <v>1063</v>
      </c>
      <c r="V467" s="12">
        <f>VLOOKUP(Tabla4[[#This Row],[ZONA DEFINITIVO]],Hoja1!$A$1:$D$121,3,0)</f>
        <v>229101</v>
      </c>
      <c r="W467" s="12">
        <f>VLOOKUP(Tabla4[[#This Row],[ZONA DEFINITIVO]],Hoja1!$A$1:$D$121,2,0)</f>
        <v>15186</v>
      </c>
      <c r="X467" s="12">
        <f>VLOOKUP(Tabla4[[#This Row],[ZONA DEFINITIVO]],Hoja1!$A$1:$D$121,4,0)</f>
        <v>87625</v>
      </c>
      <c r="Y467" s="12" t="str">
        <f>+IF(Tabla4[[#This Row],[AGRUPACIONES]]=1,SUMIFS(Tabla4[UDS],Tabla4[ZONA DEFINITIVO],Tabla4[[#This Row],[ZONA DEFINITIVO]])," ")</f>
        <v xml:space="preserve"> </v>
      </c>
      <c r="Z467" s="12" t="str">
        <f>+IF(Tabla4[[#This Row],[AGRUPACIONES]]=1,SUMIFS(Tabla4[TOTAL COBERTURA],Tabla4[ZONA DEFINITIVO],Tabla4[[#This Row],[ZONA DEFINITIVO]])," ")</f>
        <v xml:space="preserve"> </v>
      </c>
      <c r="AA467" s="12"/>
      <c r="AB467" s="38">
        <v>30522702</v>
      </c>
      <c r="AC467" s="37">
        <v>0.02</v>
      </c>
      <c r="AD467" s="38">
        <f t="shared" si="7"/>
        <v>610454.04</v>
      </c>
      <c r="AE467" s="12"/>
      <c r="AF467" s="12">
        <f>COUNTIF($A$20:A467,A467)</f>
        <v>17</v>
      </c>
      <c r="AG467" s="38">
        <v>30522702</v>
      </c>
      <c r="AH467" s="38">
        <f>Tabla4[[#This Row],[VALOR CONTRAPARTIDA]]+Tabla4[[#This Row],[TOTAL APORTES ICBF]]</f>
        <v>31133156.039999999</v>
      </c>
      <c r="AI467" s="35"/>
      <c r="AJ467" s="38"/>
      <c r="AK467" s="38"/>
      <c r="AL467" s="23"/>
      <c r="AM467" s="35">
        <f>VLOOKUP(Tabla4[[#This Row],[SERVICIO 2025]],$J$2:$V$14,5,0)*Tabla4[[#This Row],[TOTAL COBERTURA]]</f>
        <v>691264</v>
      </c>
      <c r="AN467" s="35">
        <f>VLOOKUP(Tabla4[[#This Row],[SERVICIO 2025]],$J$2:$V$14,6,0)*Tabla4[[#This Row],[TOTAL COBERTURA]]</f>
        <v>574406</v>
      </c>
      <c r="AO467" s="35">
        <f>VLOOKUP(Tabla4[[#This Row],[SERVICIO 2025]],$J$2:$V$14,8,0)*Tabla4[[#This Row],[TOTAL COBERTURA]]</f>
        <v>407400</v>
      </c>
      <c r="AP467" s="35">
        <f>VLOOKUP(Tabla4[[#This Row],[SERVICIO 2025]],$J$2:$V$14,3,0)*Tabla4[[#This Row],[TOTAL COBERTURA]]*8</f>
        <v>28849632</v>
      </c>
      <c r="AQ467" s="35"/>
      <c r="AR467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467" s="35" t="str">
        <f>+IF(Tabla4[[#This Row],[AGRUPACIONES]]=1,SUMIFS(Tabla4[VALOR TOTAL],Tabla4[ZONA DEFINITIVO],Tabla4[[#This Row],[ZONA DEFINITIVO]])," ")</f>
        <v xml:space="preserve"> </v>
      </c>
      <c r="AT467" s="27">
        <f>(VLOOKUP(Tabla4[[#This Row],[SERVICIO 2025]],$J$2:$V$14,3,0)*Tabla4[[#This Row],[TOTAL COBERTURA]])+Tabla4[[#This Row],[VALOR FASE PREPARATORIA DE ALISTAMIENTO]]+Tabla4[[#This Row],[DOTACIÓN ÚNICA]]</f>
        <v>4704868</v>
      </c>
      <c r="AU467" s="35">
        <f>(VLOOKUP(Tabla4[[#This Row],[SERVICIO 2025]],$J$2:$V$14,3,0)*Tabla4[[#This Row],[TOTAL COBERTURA]])</f>
        <v>3606204</v>
      </c>
      <c r="AV467" s="35">
        <f>(VLOOKUP(Tabla4[[#This Row],[SERVICIO 2025]],$J$2:$V$14,3,0)*Tabla4[[#This Row],[TOTAL COBERTURA]])</f>
        <v>3606204</v>
      </c>
      <c r="AW467" s="35">
        <f>(VLOOKUP(Tabla4[[#This Row],[SERVICIO 2025]],$J$2:$V$14,3,0)*Tabla4[[#This Row],[TOTAL COBERTURA]])</f>
        <v>3606204</v>
      </c>
      <c r="AX467" s="35">
        <f>(VLOOKUP(Tabla4[[#This Row],[SERVICIO 2025]],$J$2:$V$14,3,0)*Tabla4[[#This Row],[TOTAL COBERTURA]])</f>
        <v>3606204</v>
      </c>
      <c r="AY467" s="35">
        <f>(VLOOKUP(Tabla4[[#This Row],[SERVICIO 2025]],$J$2:$V$14,3,0)*Tabla4[[#This Row],[TOTAL COBERTURA]])</f>
        <v>3606204</v>
      </c>
      <c r="AZ467" s="35">
        <f>(VLOOKUP(Tabla4[[#This Row],[SERVICIO 2025]],$J$2:$V$14,3,0)*Tabla4[[#This Row],[TOTAL COBERTURA]])</f>
        <v>3606204</v>
      </c>
      <c r="BA467" s="35">
        <f>(VLOOKUP(Tabla4[[#This Row],[SERVICIO 2025]],$J$2:$V$14,3,0)*Tabla4[[#This Row],[TOTAL COBERTURA]])+Tabla4[[#This Row],[VALOR FASE PREPARATORIA DE CIERRE]]</f>
        <v>4180610</v>
      </c>
      <c r="BB467" s="35">
        <f>SUM(Tabla4[[#This Row],[DESEMBOLSO 1]:[DESEMBOLSO 8]])</f>
        <v>30522702</v>
      </c>
      <c r="BC467" s="35">
        <f>VLOOKUP(Tabla4[[#This Row],[SERVICIO 2025]],$J$2:$V$14,10,0)*Tabla4[[#This Row],[TOTAL COBERTURA]]*$W$3</f>
        <v>20202896</v>
      </c>
      <c r="BD467" s="47" t="s">
        <v>211</v>
      </c>
      <c r="BE467" s="12" t="b">
        <f>EXACT(Tabla4[[#This Row],[VALOR ATENCIÓN (8 MESES)]],Tabla4[[#This Row],[VALOR TOTAL]])</f>
        <v>1</v>
      </c>
      <c r="BF467" s="23">
        <f>Tabla4[[#This Row],[VALOR ATENCIÓN (8 MESES)]]-Tabla4[[#This Row],[VALOR TOTAL]]</f>
        <v>0</v>
      </c>
      <c r="BG467" s="12" t="b">
        <f>EXACT(Tabla4[[#This Row],[TOTAL DESEMBOLSOS]],Tabla4[[#This Row],[VALOR ATENCIÓN (8 MESES)]])</f>
        <v>1</v>
      </c>
      <c r="BH467" s="29">
        <f>Tabla4[[#This Row],[TOTAL DESEMBOLSOS]]-Tabla4[[#This Row],[VALOR ATENCIÓN (8 MESES)]]</f>
        <v>0</v>
      </c>
      <c r="BI467" t="s">
        <v>98</v>
      </c>
      <c r="BJ467">
        <v>1930</v>
      </c>
    </row>
    <row r="468" spans="1:62">
      <c r="A468" s="13">
        <v>1930</v>
      </c>
      <c r="B468" s="13" t="s">
        <v>1059</v>
      </c>
      <c r="C468" s="12" t="s">
        <v>87</v>
      </c>
      <c r="D468" s="12" t="s">
        <v>462</v>
      </c>
      <c r="E468" s="12" t="s">
        <v>1048</v>
      </c>
      <c r="F468" s="12" t="s">
        <v>18</v>
      </c>
      <c r="G468" s="12" t="s">
        <v>90</v>
      </c>
      <c r="H468" s="12" t="s">
        <v>1092</v>
      </c>
      <c r="I468" s="12">
        <v>51471136465</v>
      </c>
      <c r="J468" s="12" t="s">
        <v>1093</v>
      </c>
      <c r="K468" s="12">
        <v>1</v>
      </c>
      <c r="L468" s="12">
        <v>17</v>
      </c>
      <c r="M468" s="12"/>
      <c r="N468" s="13">
        <v>1930</v>
      </c>
      <c r="O468" s="12" t="s">
        <v>93</v>
      </c>
      <c r="P468" s="12"/>
      <c r="Q468" s="12"/>
      <c r="R468" s="12" t="s">
        <v>94</v>
      </c>
      <c r="S468" s="12">
        <v>10</v>
      </c>
      <c r="T468" s="12" t="s">
        <v>1062</v>
      </c>
      <c r="U468" s="12" t="s">
        <v>1063</v>
      </c>
      <c r="V468" s="12">
        <f>VLOOKUP(Tabla4[[#This Row],[ZONA DEFINITIVO]],Hoja1!$A$1:$D$121,3,0)</f>
        <v>229101</v>
      </c>
      <c r="W468" s="12">
        <f>VLOOKUP(Tabla4[[#This Row],[ZONA DEFINITIVO]],Hoja1!$A$1:$D$121,2,0)</f>
        <v>15186</v>
      </c>
      <c r="X468" s="12">
        <f>VLOOKUP(Tabla4[[#This Row],[ZONA DEFINITIVO]],Hoja1!$A$1:$D$121,4,0)</f>
        <v>87625</v>
      </c>
      <c r="Y468" s="12" t="str">
        <f>+IF(Tabla4[[#This Row],[AGRUPACIONES]]=1,SUMIFS(Tabla4[UDS],Tabla4[ZONA DEFINITIVO],Tabla4[[#This Row],[ZONA DEFINITIVO]])," ")</f>
        <v xml:space="preserve"> </v>
      </c>
      <c r="Z468" s="12" t="str">
        <f>+IF(Tabla4[[#This Row],[AGRUPACIONES]]=1,SUMIFS(Tabla4[TOTAL COBERTURA],Tabla4[ZONA DEFINITIVO],Tabla4[[#This Row],[ZONA DEFINITIVO]])," ")</f>
        <v xml:space="preserve"> </v>
      </c>
      <c r="AA468" s="12"/>
      <c r="AB468" s="38">
        <v>37063281</v>
      </c>
      <c r="AC468" s="37">
        <v>0.02</v>
      </c>
      <c r="AD468" s="38">
        <f t="shared" ref="AD468:AD531" si="8">AB468*AC468</f>
        <v>741265.62</v>
      </c>
      <c r="AE468" s="12"/>
      <c r="AF468" s="12">
        <f>COUNTIF($A$20:A468,A468)</f>
        <v>18</v>
      </c>
      <c r="AG468" s="38">
        <v>37063281</v>
      </c>
      <c r="AH468" s="38">
        <f>Tabla4[[#This Row],[VALOR CONTRAPARTIDA]]+Tabla4[[#This Row],[TOTAL APORTES ICBF]]</f>
        <v>37804546.619999997</v>
      </c>
      <c r="AI468" s="35"/>
      <c r="AJ468" s="38"/>
      <c r="AK468" s="38"/>
      <c r="AL468" s="23"/>
      <c r="AM468" s="35">
        <f>VLOOKUP(Tabla4[[#This Row],[SERVICIO 2025]],$J$2:$V$14,5,0)*Tabla4[[#This Row],[TOTAL COBERTURA]]</f>
        <v>839392</v>
      </c>
      <c r="AN468" s="35">
        <f>VLOOKUP(Tabla4[[#This Row],[SERVICIO 2025]],$J$2:$V$14,6,0)*Tabla4[[#This Row],[TOTAL COBERTURA]]</f>
        <v>697493</v>
      </c>
      <c r="AO468" s="35">
        <f>VLOOKUP(Tabla4[[#This Row],[SERVICIO 2025]],$J$2:$V$14,8,0)*Tabla4[[#This Row],[TOTAL COBERTURA]]</f>
        <v>494700</v>
      </c>
      <c r="AP468" s="35">
        <f>VLOOKUP(Tabla4[[#This Row],[SERVICIO 2025]],$J$2:$V$14,3,0)*Tabla4[[#This Row],[TOTAL COBERTURA]]*8</f>
        <v>35031696</v>
      </c>
      <c r="AQ468" s="35"/>
      <c r="AR468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468" s="35" t="str">
        <f>+IF(Tabla4[[#This Row],[AGRUPACIONES]]=1,SUMIFS(Tabla4[VALOR TOTAL],Tabla4[ZONA DEFINITIVO],Tabla4[[#This Row],[ZONA DEFINITIVO]])," ")</f>
        <v xml:space="preserve"> </v>
      </c>
      <c r="AT468" s="27">
        <f>(VLOOKUP(Tabla4[[#This Row],[SERVICIO 2025]],$J$2:$V$14,3,0)*Tabla4[[#This Row],[TOTAL COBERTURA]])+Tabla4[[#This Row],[VALOR FASE PREPARATORIA DE ALISTAMIENTO]]+Tabla4[[#This Row],[DOTACIÓN ÚNICA]]</f>
        <v>5713054</v>
      </c>
      <c r="AU468" s="35">
        <f>(VLOOKUP(Tabla4[[#This Row],[SERVICIO 2025]],$J$2:$V$14,3,0)*Tabla4[[#This Row],[TOTAL COBERTURA]])</f>
        <v>4378962</v>
      </c>
      <c r="AV468" s="35">
        <f>(VLOOKUP(Tabla4[[#This Row],[SERVICIO 2025]],$J$2:$V$14,3,0)*Tabla4[[#This Row],[TOTAL COBERTURA]])</f>
        <v>4378962</v>
      </c>
      <c r="AW468" s="35">
        <f>(VLOOKUP(Tabla4[[#This Row],[SERVICIO 2025]],$J$2:$V$14,3,0)*Tabla4[[#This Row],[TOTAL COBERTURA]])</f>
        <v>4378962</v>
      </c>
      <c r="AX468" s="35">
        <f>(VLOOKUP(Tabla4[[#This Row],[SERVICIO 2025]],$J$2:$V$14,3,0)*Tabla4[[#This Row],[TOTAL COBERTURA]])</f>
        <v>4378962</v>
      </c>
      <c r="AY468" s="35">
        <f>(VLOOKUP(Tabla4[[#This Row],[SERVICIO 2025]],$J$2:$V$14,3,0)*Tabla4[[#This Row],[TOTAL COBERTURA]])</f>
        <v>4378962</v>
      </c>
      <c r="AZ468" s="35">
        <f>(VLOOKUP(Tabla4[[#This Row],[SERVICIO 2025]],$J$2:$V$14,3,0)*Tabla4[[#This Row],[TOTAL COBERTURA]])</f>
        <v>4378962</v>
      </c>
      <c r="BA468" s="35">
        <f>(VLOOKUP(Tabla4[[#This Row],[SERVICIO 2025]],$J$2:$V$14,3,0)*Tabla4[[#This Row],[TOTAL COBERTURA]])+Tabla4[[#This Row],[VALOR FASE PREPARATORIA DE CIERRE]]</f>
        <v>5076455</v>
      </c>
      <c r="BB468" s="35">
        <f>SUM(Tabla4[[#This Row],[DESEMBOLSO 1]:[DESEMBOLSO 8]])</f>
        <v>37063281</v>
      </c>
      <c r="BC468" s="35">
        <f>VLOOKUP(Tabla4[[#This Row],[SERVICIO 2025]],$J$2:$V$14,10,0)*Tabla4[[#This Row],[TOTAL COBERTURA]]*$W$3</f>
        <v>24532088</v>
      </c>
      <c r="BD468" s="47" t="s">
        <v>211</v>
      </c>
      <c r="BE468" s="12" t="b">
        <f>EXACT(Tabla4[[#This Row],[VALOR ATENCIÓN (8 MESES)]],Tabla4[[#This Row],[VALOR TOTAL]])</f>
        <v>1</v>
      </c>
      <c r="BF468" s="23">
        <f>Tabla4[[#This Row],[VALOR ATENCIÓN (8 MESES)]]-Tabla4[[#This Row],[VALOR TOTAL]]</f>
        <v>0</v>
      </c>
      <c r="BG468" s="12" t="b">
        <f>EXACT(Tabla4[[#This Row],[TOTAL DESEMBOLSOS]],Tabla4[[#This Row],[VALOR ATENCIÓN (8 MESES)]])</f>
        <v>1</v>
      </c>
      <c r="BH468" s="29">
        <f>Tabla4[[#This Row],[TOTAL DESEMBOLSOS]]-Tabla4[[#This Row],[VALOR ATENCIÓN (8 MESES)]]</f>
        <v>0</v>
      </c>
      <c r="BI468" t="s">
        <v>98</v>
      </c>
      <c r="BJ468">
        <v>1930</v>
      </c>
    </row>
    <row r="469" spans="1:62">
      <c r="A469" s="13">
        <v>1930</v>
      </c>
      <c r="B469" s="13" t="s">
        <v>1059</v>
      </c>
      <c r="C469" s="12" t="s">
        <v>87</v>
      </c>
      <c r="D469" s="12" t="s">
        <v>462</v>
      </c>
      <c r="E469" s="12" t="s">
        <v>1048</v>
      </c>
      <c r="F469" s="12" t="s">
        <v>18</v>
      </c>
      <c r="G469" s="12" t="s">
        <v>90</v>
      </c>
      <c r="H469" s="12" t="s">
        <v>1094</v>
      </c>
      <c r="I469" s="12">
        <v>51471136467</v>
      </c>
      <c r="J469" s="12" t="s">
        <v>1095</v>
      </c>
      <c r="K469" s="12">
        <v>1</v>
      </c>
      <c r="L469" s="12">
        <v>13</v>
      </c>
      <c r="M469" s="12"/>
      <c r="N469" s="13">
        <v>1930</v>
      </c>
      <c r="O469" s="12" t="s">
        <v>93</v>
      </c>
      <c r="P469" s="12"/>
      <c r="Q469" s="12"/>
      <c r="R469" s="12" t="s">
        <v>94</v>
      </c>
      <c r="S469" s="12">
        <v>10</v>
      </c>
      <c r="T469" s="12" t="s">
        <v>1062</v>
      </c>
      <c r="U469" s="12" t="s">
        <v>1063</v>
      </c>
      <c r="V469" s="12">
        <f>VLOOKUP(Tabla4[[#This Row],[ZONA DEFINITIVO]],Hoja1!$A$1:$D$121,3,0)</f>
        <v>229101</v>
      </c>
      <c r="W469" s="12">
        <f>VLOOKUP(Tabla4[[#This Row],[ZONA DEFINITIVO]],Hoja1!$A$1:$D$121,2,0)</f>
        <v>15186</v>
      </c>
      <c r="X469" s="12">
        <f>VLOOKUP(Tabla4[[#This Row],[ZONA DEFINITIVO]],Hoja1!$A$1:$D$121,4,0)</f>
        <v>87625</v>
      </c>
      <c r="Y469" s="12" t="str">
        <f>+IF(Tabla4[[#This Row],[AGRUPACIONES]]=1,SUMIFS(Tabla4[UDS],Tabla4[ZONA DEFINITIVO],Tabla4[[#This Row],[ZONA DEFINITIVO]])," ")</f>
        <v xml:space="preserve"> </v>
      </c>
      <c r="Z469" s="12" t="str">
        <f>+IF(Tabla4[[#This Row],[AGRUPACIONES]]=1,SUMIFS(Tabla4[TOTAL COBERTURA],Tabla4[ZONA DEFINITIVO],Tabla4[[#This Row],[ZONA DEFINITIVO]])," ")</f>
        <v xml:space="preserve"> </v>
      </c>
      <c r="AA469" s="12"/>
      <c r="AB469" s="38">
        <v>28342509</v>
      </c>
      <c r="AC469" s="37">
        <v>0.02</v>
      </c>
      <c r="AD469" s="38">
        <f t="shared" si="8"/>
        <v>566850.18000000005</v>
      </c>
      <c r="AE469" s="12"/>
      <c r="AF469" s="12">
        <f>COUNTIF($A$20:A469,A469)</f>
        <v>19</v>
      </c>
      <c r="AG469" s="38">
        <v>28342509</v>
      </c>
      <c r="AH469" s="38">
        <f>Tabla4[[#This Row],[VALOR CONTRAPARTIDA]]+Tabla4[[#This Row],[TOTAL APORTES ICBF]]</f>
        <v>28909359.18</v>
      </c>
      <c r="AI469" s="35"/>
      <c r="AJ469" s="38"/>
      <c r="AK469" s="38"/>
      <c r="AL469" s="23"/>
      <c r="AM469" s="35">
        <f>VLOOKUP(Tabla4[[#This Row],[SERVICIO 2025]],$J$2:$V$14,5,0)*Tabla4[[#This Row],[TOTAL COBERTURA]]</f>
        <v>641888</v>
      </c>
      <c r="AN469" s="35">
        <f>VLOOKUP(Tabla4[[#This Row],[SERVICIO 2025]],$J$2:$V$14,6,0)*Tabla4[[#This Row],[TOTAL COBERTURA]]</f>
        <v>533377</v>
      </c>
      <c r="AO469" s="35">
        <f>VLOOKUP(Tabla4[[#This Row],[SERVICIO 2025]],$J$2:$V$14,8,0)*Tabla4[[#This Row],[TOTAL COBERTURA]]</f>
        <v>378300</v>
      </c>
      <c r="AP469" s="35">
        <f>VLOOKUP(Tabla4[[#This Row],[SERVICIO 2025]],$J$2:$V$14,3,0)*Tabla4[[#This Row],[TOTAL COBERTURA]]*8</f>
        <v>26788944</v>
      </c>
      <c r="AQ469" s="35"/>
      <c r="AR469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469" s="35" t="str">
        <f>+IF(Tabla4[[#This Row],[AGRUPACIONES]]=1,SUMIFS(Tabla4[VALOR TOTAL],Tabla4[ZONA DEFINITIVO],Tabla4[[#This Row],[ZONA DEFINITIVO]])," ")</f>
        <v xml:space="preserve"> </v>
      </c>
      <c r="AT469" s="27">
        <f>(VLOOKUP(Tabla4[[#This Row],[SERVICIO 2025]],$J$2:$V$14,3,0)*Tabla4[[#This Row],[TOTAL COBERTURA]])+Tabla4[[#This Row],[VALOR FASE PREPARATORIA DE ALISTAMIENTO]]+Tabla4[[#This Row],[DOTACIÓN ÚNICA]]</f>
        <v>4368806</v>
      </c>
      <c r="AU469" s="35">
        <f>(VLOOKUP(Tabla4[[#This Row],[SERVICIO 2025]],$J$2:$V$14,3,0)*Tabla4[[#This Row],[TOTAL COBERTURA]])</f>
        <v>3348618</v>
      </c>
      <c r="AV469" s="35">
        <f>(VLOOKUP(Tabla4[[#This Row],[SERVICIO 2025]],$J$2:$V$14,3,0)*Tabla4[[#This Row],[TOTAL COBERTURA]])</f>
        <v>3348618</v>
      </c>
      <c r="AW469" s="35">
        <f>(VLOOKUP(Tabla4[[#This Row],[SERVICIO 2025]],$J$2:$V$14,3,0)*Tabla4[[#This Row],[TOTAL COBERTURA]])</f>
        <v>3348618</v>
      </c>
      <c r="AX469" s="35">
        <f>(VLOOKUP(Tabla4[[#This Row],[SERVICIO 2025]],$J$2:$V$14,3,0)*Tabla4[[#This Row],[TOTAL COBERTURA]])</f>
        <v>3348618</v>
      </c>
      <c r="AY469" s="35">
        <f>(VLOOKUP(Tabla4[[#This Row],[SERVICIO 2025]],$J$2:$V$14,3,0)*Tabla4[[#This Row],[TOTAL COBERTURA]])</f>
        <v>3348618</v>
      </c>
      <c r="AZ469" s="35">
        <f>(VLOOKUP(Tabla4[[#This Row],[SERVICIO 2025]],$J$2:$V$14,3,0)*Tabla4[[#This Row],[TOTAL COBERTURA]])</f>
        <v>3348618</v>
      </c>
      <c r="BA469" s="35">
        <f>(VLOOKUP(Tabla4[[#This Row],[SERVICIO 2025]],$J$2:$V$14,3,0)*Tabla4[[#This Row],[TOTAL COBERTURA]])+Tabla4[[#This Row],[VALOR FASE PREPARATORIA DE CIERRE]]</f>
        <v>3881995</v>
      </c>
      <c r="BB469" s="35">
        <f>SUM(Tabla4[[#This Row],[DESEMBOLSO 1]:[DESEMBOLSO 8]])</f>
        <v>28342509</v>
      </c>
      <c r="BC469" s="35">
        <f>VLOOKUP(Tabla4[[#This Row],[SERVICIO 2025]],$J$2:$V$14,10,0)*Tabla4[[#This Row],[TOTAL COBERTURA]]*$W$3</f>
        <v>18759832</v>
      </c>
      <c r="BD469" s="47" t="s">
        <v>211</v>
      </c>
      <c r="BE469" s="12" t="b">
        <f>EXACT(Tabla4[[#This Row],[VALOR ATENCIÓN (8 MESES)]],Tabla4[[#This Row],[VALOR TOTAL]])</f>
        <v>1</v>
      </c>
      <c r="BF469" s="23">
        <f>Tabla4[[#This Row],[VALOR ATENCIÓN (8 MESES)]]-Tabla4[[#This Row],[VALOR TOTAL]]</f>
        <v>0</v>
      </c>
      <c r="BG469" s="12" t="b">
        <f>EXACT(Tabla4[[#This Row],[TOTAL DESEMBOLSOS]],Tabla4[[#This Row],[VALOR ATENCIÓN (8 MESES)]])</f>
        <v>1</v>
      </c>
      <c r="BH469" s="29">
        <f>Tabla4[[#This Row],[TOTAL DESEMBOLSOS]]-Tabla4[[#This Row],[VALOR ATENCIÓN (8 MESES)]]</f>
        <v>0</v>
      </c>
      <c r="BI469" t="s">
        <v>98</v>
      </c>
      <c r="BJ469">
        <v>1930</v>
      </c>
    </row>
    <row r="470" spans="1:62">
      <c r="A470" s="13">
        <v>1930</v>
      </c>
      <c r="B470" s="13" t="s">
        <v>1059</v>
      </c>
      <c r="C470" s="12" t="s">
        <v>87</v>
      </c>
      <c r="D470" s="12" t="s">
        <v>462</v>
      </c>
      <c r="E470" s="12" t="s">
        <v>1048</v>
      </c>
      <c r="F470" s="12" t="s">
        <v>18</v>
      </c>
      <c r="G470" s="12" t="s">
        <v>90</v>
      </c>
      <c r="H470" s="12" t="s">
        <v>1096</v>
      </c>
      <c r="I470" s="12">
        <v>51471137227</v>
      </c>
      <c r="J470" s="12" t="s">
        <v>1097</v>
      </c>
      <c r="K470" s="12">
        <v>1</v>
      </c>
      <c r="L470" s="12">
        <v>36</v>
      </c>
      <c r="M470" s="12"/>
      <c r="N470" s="13">
        <v>1930</v>
      </c>
      <c r="O470" s="12" t="s">
        <v>93</v>
      </c>
      <c r="P470" s="12"/>
      <c r="Q470" s="12"/>
      <c r="R470" s="12" t="s">
        <v>94</v>
      </c>
      <c r="S470" s="12">
        <v>10</v>
      </c>
      <c r="T470" s="12" t="s">
        <v>1062</v>
      </c>
      <c r="U470" s="12" t="s">
        <v>1063</v>
      </c>
      <c r="V470" s="12">
        <f>VLOOKUP(Tabla4[[#This Row],[ZONA DEFINITIVO]],Hoja1!$A$1:$D$121,3,0)</f>
        <v>229101</v>
      </c>
      <c r="W470" s="12">
        <f>VLOOKUP(Tabla4[[#This Row],[ZONA DEFINITIVO]],Hoja1!$A$1:$D$121,2,0)</f>
        <v>15186</v>
      </c>
      <c r="X470" s="12">
        <f>VLOOKUP(Tabla4[[#This Row],[ZONA DEFINITIVO]],Hoja1!$A$1:$D$121,4,0)</f>
        <v>87625</v>
      </c>
      <c r="Y470" s="12" t="str">
        <f>+IF(Tabla4[[#This Row],[AGRUPACIONES]]=1,SUMIFS(Tabla4[UDS],Tabla4[ZONA DEFINITIVO],Tabla4[[#This Row],[ZONA DEFINITIVO]])," ")</f>
        <v xml:space="preserve"> </v>
      </c>
      <c r="Z470" s="12" t="str">
        <f>+IF(Tabla4[[#This Row],[AGRUPACIONES]]=1,SUMIFS(Tabla4[TOTAL COBERTURA],Tabla4[ZONA DEFINITIVO],Tabla4[[#This Row],[ZONA DEFINITIVO]])," ")</f>
        <v xml:space="preserve"> </v>
      </c>
      <c r="AA470" s="12"/>
      <c r="AB470" s="38">
        <v>78486948</v>
      </c>
      <c r="AC470" s="37">
        <v>0.02</v>
      </c>
      <c r="AD470" s="38">
        <f t="shared" si="8"/>
        <v>1569738.96</v>
      </c>
      <c r="AE470" s="12"/>
      <c r="AF470" s="12">
        <f>COUNTIF($A$20:A470,A470)</f>
        <v>20</v>
      </c>
      <c r="AG470" s="38">
        <v>78486948</v>
      </c>
      <c r="AH470" s="38">
        <f>Tabla4[[#This Row],[VALOR CONTRAPARTIDA]]+Tabla4[[#This Row],[TOTAL APORTES ICBF]]</f>
        <v>80056686.959999993</v>
      </c>
      <c r="AI470" s="35"/>
      <c r="AJ470" s="38"/>
      <c r="AK470" s="38"/>
      <c r="AL470" s="23"/>
      <c r="AM470" s="35">
        <f>VLOOKUP(Tabla4[[#This Row],[SERVICIO 2025]],$J$2:$V$14,5,0)*Tabla4[[#This Row],[TOTAL COBERTURA]]</f>
        <v>1777536</v>
      </c>
      <c r="AN470" s="35">
        <f>VLOOKUP(Tabla4[[#This Row],[SERVICIO 2025]],$J$2:$V$14,6,0)*Tabla4[[#This Row],[TOTAL COBERTURA]]</f>
        <v>1477044</v>
      </c>
      <c r="AO470" s="35">
        <f>VLOOKUP(Tabla4[[#This Row],[SERVICIO 2025]],$J$2:$V$14,8,0)*Tabla4[[#This Row],[TOTAL COBERTURA]]</f>
        <v>1047600</v>
      </c>
      <c r="AP470" s="35">
        <f>VLOOKUP(Tabla4[[#This Row],[SERVICIO 2025]],$J$2:$V$14,3,0)*Tabla4[[#This Row],[TOTAL COBERTURA]]*8</f>
        <v>74184768</v>
      </c>
      <c r="AQ470" s="35"/>
      <c r="AR470" s="35">
        <f>Tabla4[[#This Row],[VALOR FASE PREPARATORIA DE ALISTAMIENTO]]+Tabla4[[#This Row],[VALOR FASE PREPARATORIA DE CIERRE]]+Tabla4[[#This Row],[DOTACIÓN ÚNICA]]+Tabla4[[#This Row],[VALOR ATENCIÓN]]+Tabla4[[#This Row],[VALOR RACION PREPARADA]]</f>
        <v>78486948</v>
      </c>
      <c r="AS470" s="35" t="str">
        <f>+IF(Tabla4[[#This Row],[AGRUPACIONES]]=1,SUMIFS(Tabla4[VALOR TOTAL],Tabla4[ZONA DEFINITIVO],Tabla4[[#This Row],[ZONA DEFINITIVO]])," ")</f>
        <v xml:space="preserve"> </v>
      </c>
      <c r="AT470" s="27">
        <f>(VLOOKUP(Tabla4[[#This Row],[SERVICIO 2025]],$J$2:$V$14,3,0)*Tabla4[[#This Row],[TOTAL COBERTURA]])+Tabla4[[#This Row],[VALOR FASE PREPARATORIA DE ALISTAMIENTO]]+Tabla4[[#This Row],[DOTACIÓN ÚNICA]]</f>
        <v>12098232</v>
      </c>
      <c r="AU470" s="35">
        <f>(VLOOKUP(Tabla4[[#This Row],[SERVICIO 2025]],$J$2:$V$14,3,0)*Tabla4[[#This Row],[TOTAL COBERTURA]])</f>
        <v>9273096</v>
      </c>
      <c r="AV470" s="35">
        <f>(VLOOKUP(Tabla4[[#This Row],[SERVICIO 2025]],$J$2:$V$14,3,0)*Tabla4[[#This Row],[TOTAL COBERTURA]])</f>
        <v>9273096</v>
      </c>
      <c r="AW470" s="35">
        <f>(VLOOKUP(Tabla4[[#This Row],[SERVICIO 2025]],$J$2:$V$14,3,0)*Tabla4[[#This Row],[TOTAL COBERTURA]])</f>
        <v>9273096</v>
      </c>
      <c r="AX470" s="35">
        <f>(VLOOKUP(Tabla4[[#This Row],[SERVICIO 2025]],$J$2:$V$14,3,0)*Tabla4[[#This Row],[TOTAL COBERTURA]])</f>
        <v>9273096</v>
      </c>
      <c r="AY470" s="35">
        <f>(VLOOKUP(Tabla4[[#This Row],[SERVICIO 2025]],$J$2:$V$14,3,0)*Tabla4[[#This Row],[TOTAL COBERTURA]])</f>
        <v>9273096</v>
      </c>
      <c r="AZ470" s="35">
        <f>(VLOOKUP(Tabla4[[#This Row],[SERVICIO 2025]],$J$2:$V$14,3,0)*Tabla4[[#This Row],[TOTAL COBERTURA]])</f>
        <v>9273096</v>
      </c>
      <c r="BA470" s="35">
        <f>(VLOOKUP(Tabla4[[#This Row],[SERVICIO 2025]],$J$2:$V$14,3,0)*Tabla4[[#This Row],[TOTAL COBERTURA]])+Tabla4[[#This Row],[VALOR FASE PREPARATORIA DE CIERRE]]</f>
        <v>10750140</v>
      </c>
      <c r="BB470" s="35">
        <f>SUM(Tabla4[[#This Row],[DESEMBOLSO 1]:[DESEMBOLSO 8]])</f>
        <v>78486948</v>
      </c>
      <c r="BC470" s="35">
        <f>VLOOKUP(Tabla4[[#This Row],[SERVICIO 2025]],$J$2:$V$14,10,0)*Tabla4[[#This Row],[TOTAL COBERTURA]]*$W$3</f>
        <v>51950304</v>
      </c>
      <c r="BD470" s="47" t="s">
        <v>211</v>
      </c>
      <c r="BE470" s="12" t="b">
        <f>EXACT(Tabla4[[#This Row],[VALOR ATENCIÓN (8 MESES)]],Tabla4[[#This Row],[VALOR TOTAL]])</f>
        <v>1</v>
      </c>
      <c r="BF470" s="23">
        <f>Tabla4[[#This Row],[VALOR ATENCIÓN (8 MESES)]]-Tabla4[[#This Row],[VALOR TOTAL]]</f>
        <v>0</v>
      </c>
      <c r="BG470" s="12" t="b">
        <f>EXACT(Tabla4[[#This Row],[TOTAL DESEMBOLSOS]],Tabla4[[#This Row],[VALOR ATENCIÓN (8 MESES)]])</f>
        <v>1</v>
      </c>
      <c r="BH470" s="29">
        <f>Tabla4[[#This Row],[TOTAL DESEMBOLSOS]]-Tabla4[[#This Row],[VALOR ATENCIÓN (8 MESES)]]</f>
        <v>0</v>
      </c>
      <c r="BI470" t="s">
        <v>98</v>
      </c>
      <c r="BJ470">
        <v>1930</v>
      </c>
    </row>
    <row r="471" spans="1:62">
      <c r="A471" s="13">
        <v>1930</v>
      </c>
      <c r="B471" s="13" t="s">
        <v>1059</v>
      </c>
      <c r="C471" s="12" t="s">
        <v>87</v>
      </c>
      <c r="D471" s="12" t="s">
        <v>462</v>
      </c>
      <c r="E471" s="12" t="s">
        <v>1048</v>
      </c>
      <c r="F471" s="12" t="s">
        <v>18</v>
      </c>
      <c r="G471" s="12" t="s">
        <v>90</v>
      </c>
      <c r="H471" s="12" t="s">
        <v>1098</v>
      </c>
      <c r="I471" s="12">
        <v>51471137228</v>
      </c>
      <c r="J471" s="12" t="s">
        <v>1099</v>
      </c>
      <c r="K471" s="12">
        <v>1</v>
      </c>
      <c r="L471" s="12">
        <v>17</v>
      </c>
      <c r="M471" s="12"/>
      <c r="N471" s="13">
        <v>1930</v>
      </c>
      <c r="O471" s="12" t="s">
        <v>93</v>
      </c>
      <c r="P471" s="12"/>
      <c r="Q471" s="12"/>
      <c r="R471" s="12" t="s">
        <v>94</v>
      </c>
      <c r="S471" s="12">
        <v>10</v>
      </c>
      <c r="T471" s="12" t="s">
        <v>1062</v>
      </c>
      <c r="U471" s="12" t="s">
        <v>1063</v>
      </c>
      <c r="V471" s="12">
        <f>VLOOKUP(Tabla4[[#This Row],[ZONA DEFINITIVO]],Hoja1!$A$1:$D$121,3,0)</f>
        <v>229101</v>
      </c>
      <c r="W471" s="12">
        <f>VLOOKUP(Tabla4[[#This Row],[ZONA DEFINITIVO]],Hoja1!$A$1:$D$121,2,0)</f>
        <v>15186</v>
      </c>
      <c r="X471" s="12">
        <f>VLOOKUP(Tabla4[[#This Row],[ZONA DEFINITIVO]],Hoja1!$A$1:$D$121,4,0)</f>
        <v>87625</v>
      </c>
      <c r="Y471" s="12" t="str">
        <f>+IF(Tabla4[[#This Row],[AGRUPACIONES]]=1,SUMIFS(Tabla4[UDS],Tabla4[ZONA DEFINITIVO],Tabla4[[#This Row],[ZONA DEFINITIVO]])," ")</f>
        <v xml:space="preserve"> </v>
      </c>
      <c r="Z471" s="12" t="str">
        <f>+IF(Tabla4[[#This Row],[AGRUPACIONES]]=1,SUMIFS(Tabla4[TOTAL COBERTURA],Tabla4[ZONA DEFINITIVO],Tabla4[[#This Row],[ZONA DEFINITIVO]])," ")</f>
        <v xml:space="preserve"> </v>
      </c>
      <c r="AA471" s="12"/>
      <c r="AB471" s="38">
        <v>37063281</v>
      </c>
      <c r="AC471" s="37">
        <v>0.02</v>
      </c>
      <c r="AD471" s="38">
        <f t="shared" si="8"/>
        <v>741265.62</v>
      </c>
      <c r="AE471" s="12"/>
      <c r="AF471" s="12">
        <f>COUNTIF($A$20:A471,A471)</f>
        <v>21</v>
      </c>
      <c r="AG471" s="38">
        <v>37063281</v>
      </c>
      <c r="AH471" s="38">
        <f>Tabla4[[#This Row],[VALOR CONTRAPARTIDA]]+Tabla4[[#This Row],[TOTAL APORTES ICBF]]</f>
        <v>37804546.619999997</v>
      </c>
      <c r="AI471" s="35"/>
      <c r="AJ471" s="38"/>
      <c r="AK471" s="38"/>
      <c r="AL471" s="23"/>
      <c r="AM471" s="35">
        <f>VLOOKUP(Tabla4[[#This Row],[SERVICIO 2025]],$J$2:$V$14,5,0)*Tabla4[[#This Row],[TOTAL COBERTURA]]</f>
        <v>839392</v>
      </c>
      <c r="AN471" s="35">
        <f>VLOOKUP(Tabla4[[#This Row],[SERVICIO 2025]],$J$2:$V$14,6,0)*Tabla4[[#This Row],[TOTAL COBERTURA]]</f>
        <v>697493</v>
      </c>
      <c r="AO471" s="35">
        <f>VLOOKUP(Tabla4[[#This Row],[SERVICIO 2025]],$J$2:$V$14,8,0)*Tabla4[[#This Row],[TOTAL COBERTURA]]</f>
        <v>494700</v>
      </c>
      <c r="AP471" s="35">
        <f>VLOOKUP(Tabla4[[#This Row],[SERVICIO 2025]],$J$2:$V$14,3,0)*Tabla4[[#This Row],[TOTAL COBERTURA]]*8</f>
        <v>35031696</v>
      </c>
      <c r="AQ471" s="35"/>
      <c r="AR471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471" s="35" t="str">
        <f>+IF(Tabla4[[#This Row],[AGRUPACIONES]]=1,SUMIFS(Tabla4[VALOR TOTAL],Tabla4[ZONA DEFINITIVO],Tabla4[[#This Row],[ZONA DEFINITIVO]])," ")</f>
        <v xml:space="preserve"> </v>
      </c>
      <c r="AT471" s="27">
        <f>(VLOOKUP(Tabla4[[#This Row],[SERVICIO 2025]],$J$2:$V$14,3,0)*Tabla4[[#This Row],[TOTAL COBERTURA]])+Tabla4[[#This Row],[VALOR FASE PREPARATORIA DE ALISTAMIENTO]]+Tabla4[[#This Row],[DOTACIÓN ÚNICA]]</f>
        <v>5713054</v>
      </c>
      <c r="AU471" s="35">
        <f>(VLOOKUP(Tabla4[[#This Row],[SERVICIO 2025]],$J$2:$V$14,3,0)*Tabla4[[#This Row],[TOTAL COBERTURA]])</f>
        <v>4378962</v>
      </c>
      <c r="AV471" s="35">
        <f>(VLOOKUP(Tabla4[[#This Row],[SERVICIO 2025]],$J$2:$V$14,3,0)*Tabla4[[#This Row],[TOTAL COBERTURA]])</f>
        <v>4378962</v>
      </c>
      <c r="AW471" s="35">
        <f>(VLOOKUP(Tabla4[[#This Row],[SERVICIO 2025]],$J$2:$V$14,3,0)*Tabla4[[#This Row],[TOTAL COBERTURA]])</f>
        <v>4378962</v>
      </c>
      <c r="AX471" s="35">
        <f>(VLOOKUP(Tabla4[[#This Row],[SERVICIO 2025]],$J$2:$V$14,3,0)*Tabla4[[#This Row],[TOTAL COBERTURA]])</f>
        <v>4378962</v>
      </c>
      <c r="AY471" s="35">
        <f>(VLOOKUP(Tabla4[[#This Row],[SERVICIO 2025]],$J$2:$V$14,3,0)*Tabla4[[#This Row],[TOTAL COBERTURA]])</f>
        <v>4378962</v>
      </c>
      <c r="AZ471" s="35">
        <f>(VLOOKUP(Tabla4[[#This Row],[SERVICIO 2025]],$J$2:$V$14,3,0)*Tabla4[[#This Row],[TOTAL COBERTURA]])</f>
        <v>4378962</v>
      </c>
      <c r="BA471" s="35">
        <f>(VLOOKUP(Tabla4[[#This Row],[SERVICIO 2025]],$J$2:$V$14,3,0)*Tabla4[[#This Row],[TOTAL COBERTURA]])+Tabla4[[#This Row],[VALOR FASE PREPARATORIA DE CIERRE]]</f>
        <v>5076455</v>
      </c>
      <c r="BB471" s="35">
        <f>SUM(Tabla4[[#This Row],[DESEMBOLSO 1]:[DESEMBOLSO 8]])</f>
        <v>37063281</v>
      </c>
      <c r="BC471" s="35">
        <f>VLOOKUP(Tabla4[[#This Row],[SERVICIO 2025]],$J$2:$V$14,10,0)*Tabla4[[#This Row],[TOTAL COBERTURA]]*$W$3</f>
        <v>24532088</v>
      </c>
      <c r="BD471" s="47" t="s">
        <v>211</v>
      </c>
      <c r="BE471" s="12" t="b">
        <f>EXACT(Tabla4[[#This Row],[VALOR ATENCIÓN (8 MESES)]],Tabla4[[#This Row],[VALOR TOTAL]])</f>
        <v>1</v>
      </c>
      <c r="BF471" s="23">
        <f>Tabla4[[#This Row],[VALOR ATENCIÓN (8 MESES)]]-Tabla4[[#This Row],[VALOR TOTAL]]</f>
        <v>0</v>
      </c>
      <c r="BG471" s="12" t="b">
        <f>EXACT(Tabla4[[#This Row],[TOTAL DESEMBOLSOS]],Tabla4[[#This Row],[VALOR ATENCIÓN (8 MESES)]])</f>
        <v>1</v>
      </c>
      <c r="BH471" s="29">
        <f>Tabla4[[#This Row],[TOTAL DESEMBOLSOS]]-Tabla4[[#This Row],[VALOR ATENCIÓN (8 MESES)]]</f>
        <v>0</v>
      </c>
      <c r="BI471" t="s">
        <v>98</v>
      </c>
      <c r="BJ471">
        <v>1930</v>
      </c>
    </row>
    <row r="472" spans="1:62">
      <c r="A472" s="13">
        <v>1930</v>
      </c>
      <c r="B472" s="13" t="s">
        <v>1059</v>
      </c>
      <c r="C472" s="12" t="s">
        <v>87</v>
      </c>
      <c r="D472" s="12" t="s">
        <v>462</v>
      </c>
      <c r="E472" s="12" t="s">
        <v>1048</v>
      </c>
      <c r="F472" s="12" t="s">
        <v>18</v>
      </c>
      <c r="G472" s="12" t="s">
        <v>90</v>
      </c>
      <c r="H472" s="12" t="s">
        <v>1100</v>
      </c>
      <c r="I472" s="12">
        <v>51471137230</v>
      </c>
      <c r="J472" s="12" t="s">
        <v>1101</v>
      </c>
      <c r="K472" s="12">
        <v>1</v>
      </c>
      <c r="L472" s="12">
        <v>33</v>
      </c>
      <c r="M472" s="12"/>
      <c r="N472" s="13">
        <v>1930</v>
      </c>
      <c r="O472" s="12" t="s">
        <v>93</v>
      </c>
      <c r="P472" s="12"/>
      <c r="Q472" s="12"/>
      <c r="R472" s="12" t="s">
        <v>94</v>
      </c>
      <c r="S472" s="12">
        <v>10</v>
      </c>
      <c r="T472" s="12" t="s">
        <v>1062</v>
      </c>
      <c r="U472" s="12" t="s">
        <v>1063</v>
      </c>
      <c r="V472" s="12">
        <f>VLOOKUP(Tabla4[[#This Row],[ZONA DEFINITIVO]],Hoja1!$A$1:$D$121,3,0)</f>
        <v>229101</v>
      </c>
      <c r="W472" s="12">
        <f>VLOOKUP(Tabla4[[#This Row],[ZONA DEFINITIVO]],Hoja1!$A$1:$D$121,2,0)</f>
        <v>15186</v>
      </c>
      <c r="X472" s="12">
        <f>VLOOKUP(Tabla4[[#This Row],[ZONA DEFINITIVO]],Hoja1!$A$1:$D$121,4,0)</f>
        <v>87625</v>
      </c>
      <c r="Y472" s="12" t="str">
        <f>+IF(Tabla4[[#This Row],[AGRUPACIONES]]=1,SUMIFS(Tabla4[UDS],Tabla4[ZONA DEFINITIVO],Tabla4[[#This Row],[ZONA DEFINITIVO]])," ")</f>
        <v xml:space="preserve"> </v>
      </c>
      <c r="Z472" s="12" t="str">
        <f>+IF(Tabla4[[#This Row],[AGRUPACIONES]]=1,SUMIFS(Tabla4[TOTAL COBERTURA],Tabla4[ZONA DEFINITIVO],Tabla4[[#This Row],[ZONA DEFINITIVO]])," ")</f>
        <v xml:space="preserve"> </v>
      </c>
      <c r="AA472" s="12"/>
      <c r="AB472" s="38">
        <v>71946369</v>
      </c>
      <c r="AC472" s="37">
        <v>0.02</v>
      </c>
      <c r="AD472" s="38">
        <f t="shared" si="8"/>
        <v>1438927.3800000001</v>
      </c>
      <c r="AE472" s="12"/>
      <c r="AF472" s="12">
        <f>COUNTIF($A$20:A472,A472)</f>
        <v>22</v>
      </c>
      <c r="AG472" s="38">
        <v>71946369</v>
      </c>
      <c r="AH472" s="38">
        <f>Tabla4[[#This Row],[VALOR CONTRAPARTIDA]]+Tabla4[[#This Row],[TOTAL APORTES ICBF]]</f>
        <v>73385296.379999995</v>
      </c>
      <c r="AI472" s="35"/>
      <c r="AJ472" s="38"/>
      <c r="AK472" s="38"/>
      <c r="AL472" s="23"/>
      <c r="AM472" s="35">
        <f>VLOOKUP(Tabla4[[#This Row],[SERVICIO 2025]],$J$2:$V$14,5,0)*Tabla4[[#This Row],[TOTAL COBERTURA]]</f>
        <v>1629408</v>
      </c>
      <c r="AN472" s="35">
        <f>VLOOKUP(Tabla4[[#This Row],[SERVICIO 2025]],$J$2:$V$14,6,0)*Tabla4[[#This Row],[TOTAL COBERTURA]]</f>
        <v>1353957</v>
      </c>
      <c r="AO472" s="35">
        <f>VLOOKUP(Tabla4[[#This Row],[SERVICIO 2025]],$J$2:$V$14,8,0)*Tabla4[[#This Row],[TOTAL COBERTURA]]</f>
        <v>960300</v>
      </c>
      <c r="AP472" s="35">
        <f>VLOOKUP(Tabla4[[#This Row],[SERVICIO 2025]],$J$2:$V$14,3,0)*Tabla4[[#This Row],[TOTAL COBERTURA]]*8</f>
        <v>68002704</v>
      </c>
      <c r="AQ472" s="35"/>
      <c r="AR472" s="35">
        <f>Tabla4[[#This Row],[VALOR FASE PREPARATORIA DE ALISTAMIENTO]]+Tabla4[[#This Row],[VALOR FASE PREPARATORIA DE CIERRE]]+Tabla4[[#This Row],[DOTACIÓN ÚNICA]]+Tabla4[[#This Row],[VALOR ATENCIÓN]]+Tabla4[[#This Row],[VALOR RACION PREPARADA]]</f>
        <v>71946369</v>
      </c>
      <c r="AS472" s="35" t="str">
        <f>+IF(Tabla4[[#This Row],[AGRUPACIONES]]=1,SUMIFS(Tabla4[VALOR TOTAL],Tabla4[ZONA DEFINITIVO],Tabla4[[#This Row],[ZONA DEFINITIVO]])," ")</f>
        <v xml:space="preserve"> </v>
      </c>
      <c r="AT472" s="27">
        <f>(VLOOKUP(Tabla4[[#This Row],[SERVICIO 2025]],$J$2:$V$14,3,0)*Tabla4[[#This Row],[TOTAL COBERTURA]])+Tabla4[[#This Row],[VALOR FASE PREPARATORIA DE ALISTAMIENTO]]+Tabla4[[#This Row],[DOTACIÓN ÚNICA]]</f>
        <v>11090046</v>
      </c>
      <c r="AU472" s="35">
        <f>(VLOOKUP(Tabla4[[#This Row],[SERVICIO 2025]],$J$2:$V$14,3,0)*Tabla4[[#This Row],[TOTAL COBERTURA]])</f>
        <v>8500338</v>
      </c>
      <c r="AV472" s="35">
        <f>(VLOOKUP(Tabla4[[#This Row],[SERVICIO 2025]],$J$2:$V$14,3,0)*Tabla4[[#This Row],[TOTAL COBERTURA]])</f>
        <v>8500338</v>
      </c>
      <c r="AW472" s="35">
        <f>(VLOOKUP(Tabla4[[#This Row],[SERVICIO 2025]],$J$2:$V$14,3,0)*Tabla4[[#This Row],[TOTAL COBERTURA]])</f>
        <v>8500338</v>
      </c>
      <c r="AX472" s="35">
        <f>(VLOOKUP(Tabla4[[#This Row],[SERVICIO 2025]],$J$2:$V$14,3,0)*Tabla4[[#This Row],[TOTAL COBERTURA]])</f>
        <v>8500338</v>
      </c>
      <c r="AY472" s="35">
        <f>(VLOOKUP(Tabla4[[#This Row],[SERVICIO 2025]],$J$2:$V$14,3,0)*Tabla4[[#This Row],[TOTAL COBERTURA]])</f>
        <v>8500338</v>
      </c>
      <c r="AZ472" s="35">
        <f>(VLOOKUP(Tabla4[[#This Row],[SERVICIO 2025]],$J$2:$V$14,3,0)*Tabla4[[#This Row],[TOTAL COBERTURA]])</f>
        <v>8500338</v>
      </c>
      <c r="BA472" s="35">
        <f>(VLOOKUP(Tabla4[[#This Row],[SERVICIO 2025]],$J$2:$V$14,3,0)*Tabla4[[#This Row],[TOTAL COBERTURA]])+Tabla4[[#This Row],[VALOR FASE PREPARATORIA DE CIERRE]]</f>
        <v>9854295</v>
      </c>
      <c r="BB472" s="35">
        <f>SUM(Tabla4[[#This Row],[DESEMBOLSO 1]:[DESEMBOLSO 8]])</f>
        <v>71946369</v>
      </c>
      <c r="BC472" s="35">
        <f>VLOOKUP(Tabla4[[#This Row],[SERVICIO 2025]],$J$2:$V$14,10,0)*Tabla4[[#This Row],[TOTAL COBERTURA]]*$W$3</f>
        <v>47621112</v>
      </c>
      <c r="BD472" s="47" t="s">
        <v>211</v>
      </c>
      <c r="BE472" s="12" t="b">
        <f>EXACT(Tabla4[[#This Row],[VALOR ATENCIÓN (8 MESES)]],Tabla4[[#This Row],[VALOR TOTAL]])</f>
        <v>1</v>
      </c>
      <c r="BF472" s="23">
        <f>Tabla4[[#This Row],[VALOR ATENCIÓN (8 MESES)]]-Tabla4[[#This Row],[VALOR TOTAL]]</f>
        <v>0</v>
      </c>
      <c r="BG472" s="12" t="b">
        <f>EXACT(Tabla4[[#This Row],[TOTAL DESEMBOLSOS]],Tabla4[[#This Row],[VALOR ATENCIÓN (8 MESES)]])</f>
        <v>1</v>
      </c>
      <c r="BH472" s="29">
        <f>Tabla4[[#This Row],[TOTAL DESEMBOLSOS]]-Tabla4[[#This Row],[VALOR ATENCIÓN (8 MESES)]]</f>
        <v>0</v>
      </c>
      <c r="BI472" t="s">
        <v>98</v>
      </c>
      <c r="BJ472">
        <v>1930</v>
      </c>
    </row>
    <row r="473" spans="1:62">
      <c r="A473" s="13">
        <v>1930</v>
      </c>
      <c r="B473" s="13" t="s">
        <v>1059</v>
      </c>
      <c r="C473" s="12" t="s">
        <v>87</v>
      </c>
      <c r="D473" s="12" t="s">
        <v>462</v>
      </c>
      <c r="E473" s="12" t="s">
        <v>1048</v>
      </c>
      <c r="F473" s="12" t="s">
        <v>18</v>
      </c>
      <c r="G473" s="12" t="s">
        <v>90</v>
      </c>
      <c r="H473" s="12" t="s">
        <v>1102</v>
      </c>
      <c r="I473" s="12">
        <v>51471137232</v>
      </c>
      <c r="J473" s="12" t="s">
        <v>1103</v>
      </c>
      <c r="K473" s="12">
        <v>1</v>
      </c>
      <c r="L473" s="12">
        <v>18</v>
      </c>
      <c r="M473" s="12"/>
      <c r="N473" s="13">
        <v>1930</v>
      </c>
      <c r="O473" s="12" t="s">
        <v>93</v>
      </c>
      <c r="P473" s="12"/>
      <c r="Q473" s="12"/>
      <c r="R473" s="12" t="s">
        <v>94</v>
      </c>
      <c r="S473" s="12">
        <v>10</v>
      </c>
      <c r="T473" s="12" t="s">
        <v>1062</v>
      </c>
      <c r="U473" s="12" t="s">
        <v>1063</v>
      </c>
      <c r="V473" s="12">
        <f>VLOOKUP(Tabla4[[#This Row],[ZONA DEFINITIVO]],Hoja1!$A$1:$D$121,3,0)</f>
        <v>229101</v>
      </c>
      <c r="W473" s="12">
        <f>VLOOKUP(Tabla4[[#This Row],[ZONA DEFINITIVO]],Hoja1!$A$1:$D$121,2,0)</f>
        <v>15186</v>
      </c>
      <c r="X473" s="12">
        <f>VLOOKUP(Tabla4[[#This Row],[ZONA DEFINITIVO]],Hoja1!$A$1:$D$121,4,0)</f>
        <v>87625</v>
      </c>
      <c r="Y473" s="12" t="str">
        <f>+IF(Tabla4[[#This Row],[AGRUPACIONES]]=1,SUMIFS(Tabla4[UDS],Tabla4[ZONA DEFINITIVO],Tabla4[[#This Row],[ZONA DEFINITIVO]])," ")</f>
        <v xml:space="preserve"> </v>
      </c>
      <c r="Z473" s="12" t="str">
        <f>+IF(Tabla4[[#This Row],[AGRUPACIONES]]=1,SUMIFS(Tabla4[TOTAL COBERTURA],Tabla4[ZONA DEFINITIVO],Tabla4[[#This Row],[ZONA DEFINITIVO]])," ")</f>
        <v xml:space="preserve"> </v>
      </c>
      <c r="AA473" s="12"/>
      <c r="AB473" s="38">
        <v>39243474</v>
      </c>
      <c r="AC473" s="37">
        <v>0.02</v>
      </c>
      <c r="AD473" s="38">
        <f t="shared" si="8"/>
        <v>784869.48</v>
      </c>
      <c r="AE473" s="12"/>
      <c r="AF473" s="12">
        <f>COUNTIF($A$20:A473,A473)</f>
        <v>23</v>
      </c>
      <c r="AG473" s="38">
        <v>39243474</v>
      </c>
      <c r="AH473" s="38">
        <f>Tabla4[[#This Row],[VALOR CONTRAPARTIDA]]+Tabla4[[#This Row],[TOTAL APORTES ICBF]]</f>
        <v>40028343.479999997</v>
      </c>
      <c r="AI473" s="35"/>
      <c r="AJ473" s="38"/>
      <c r="AK473" s="38"/>
      <c r="AL473" s="23"/>
      <c r="AM473" s="35">
        <f>VLOOKUP(Tabla4[[#This Row],[SERVICIO 2025]],$J$2:$V$14,5,0)*Tabla4[[#This Row],[TOTAL COBERTURA]]</f>
        <v>888768</v>
      </c>
      <c r="AN473" s="35">
        <f>VLOOKUP(Tabla4[[#This Row],[SERVICIO 2025]],$J$2:$V$14,6,0)*Tabla4[[#This Row],[TOTAL COBERTURA]]</f>
        <v>738522</v>
      </c>
      <c r="AO473" s="35">
        <f>VLOOKUP(Tabla4[[#This Row],[SERVICIO 2025]],$J$2:$V$14,8,0)*Tabla4[[#This Row],[TOTAL COBERTURA]]</f>
        <v>523800</v>
      </c>
      <c r="AP473" s="35">
        <f>VLOOKUP(Tabla4[[#This Row],[SERVICIO 2025]],$J$2:$V$14,3,0)*Tabla4[[#This Row],[TOTAL COBERTURA]]*8</f>
        <v>37092384</v>
      </c>
      <c r="AQ473" s="35"/>
      <c r="AR473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473" s="35" t="str">
        <f>+IF(Tabla4[[#This Row],[AGRUPACIONES]]=1,SUMIFS(Tabla4[VALOR TOTAL],Tabla4[ZONA DEFINITIVO],Tabla4[[#This Row],[ZONA DEFINITIVO]])," ")</f>
        <v xml:space="preserve"> </v>
      </c>
      <c r="AT473" s="27">
        <f>(VLOOKUP(Tabla4[[#This Row],[SERVICIO 2025]],$J$2:$V$14,3,0)*Tabla4[[#This Row],[TOTAL COBERTURA]])+Tabla4[[#This Row],[VALOR FASE PREPARATORIA DE ALISTAMIENTO]]+Tabla4[[#This Row],[DOTACIÓN ÚNICA]]</f>
        <v>6049116</v>
      </c>
      <c r="AU473" s="35">
        <f>(VLOOKUP(Tabla4[[#This Row],[SERVICIO 2025]],$J$2:$V$14,3,0)*Tabla4[[#This Row],[TOTAL COBERTURA]])</f>
        <v>4636548</v>
      </c>
      <c r="AV473" s="35">
        <f>(VLOOKUP(Tabla4[[#This Row],[SERVICIO 2025]],$J$2:$V$14,3,0)*Tabla4[[#This Row],[TOTAL COBERTURA]])</f>
        <v>4636548</v>
      </c>
      <c r="AW473" s="35">
        <f>(VLOOKUP(Tabla4[[#This Row],[SERVICIO 2025]],$J$2:$V$14,3,0)*Tabla4[[#This Row],[TOTAL COBERTURA]])</f>
        <v>4636548</v>
      </c>
      <c r="AX473" s="35">
        <f>(VLOOKUP(Tabla4[[#This Row],[SERVICIO 2025]],$J$2:$V$14,3,0)*Tabla4[[#This Row],[TOTAL COBERTURA]])</f>
        <v>4636548</v>
      </c>
      <c r="AY473" s="35">
        <f>(VLOOKUP(Tabla4[[#This Row],[SERVICIO 2025]],$J$2:$V$14,3,0)*Tabla4[[#This Row],[TOTAL COBERTURA]])</f>
        <v>4636548</v>
      </c>
      <c r="AZ473" s="35">
        <f>(VLOOKUP(Tabla4[[#This Row],[SERVICIO 2025]],$J$2:$V$14,3,0)*Tabla4[[#This Row],[TOTAL COBERTURA]])</f>
        <v>4636548</v>
      </c>
      <c r="BA473" s="35">
        <f>(VLOOKUP(Tabla4[[#This Row],[SERVICIO 2025]],$J$2:$V$14,3,0)*Tabla4[[#This Row],[TOTAL COBERTURA]])+Tabla4[[#This Row],[VALOR FASE PREPARATORIA DE CIERRE]]</f>
        <v>5375070</v>
      </c>
      <c r="BB473" s="35">
        <f>SUM(Tabla4[[#This Row],[DESEMBOLSO 1]:[DESEMBOLSO 8]])</f>
        <v>39243474</v>
      </c>
      <c r="BC473" s="35">
        <f>VLOOKUP(Tabla4[[#This Row],[SERVICIO 2025]],$J$2:$V$14,10,0)*Tabla4[[#This Row],[TOTAL COBERTURA]]*$W$3</f>
        <v>25975152</v>
      </c>
      <c r="BD473" s="47" t="s">
        <v>211</v>
      </c>
      <c r="BE473" s="12" t="b">
        <f>EXACT(Tabla4[[#This Row],[VALOR ATENCIÓN (8 MESES)]],Tabla4[[#This Row],[VALOR TOTAL]])</f>
        <v>1</v>
      </c>
      <c r="BF473" s="23">
        <f>Tabla4[[#This Row],[VALOR ATENCIÓN (8 MESES)]]-Tabla4[[#This Row],[VALOR TOTAL]]</f>
        <v>0</v>
      </c>
      <c r="BG473" s="12" t="b">
        <f>EXACT(Tabla4[[#This Row],[TOTAL DESEMBOLSOS]],Tabla4[[#This Row],[VALOR ATENCIÓN (8 MESES)]])</f>
        <v>1</v>
      </c>
      <c r="BH473" s="29">
        <f>Tabla4[[#This Row],[TOTAL DESEMBOLSOS]]-Tabla4[[#This Row],[VALOR ATENCIÓN (8 MESES)]]</f>
        <v>0</v>
      </c>
      <c r="BI473" t="s">
        <v>98</v>
      </c>
      <c r="BJ473">
        <v>1930</v>
      </c>
    </row>
    <row r="474" spans="1:62">
      <c r="A474" s="13">
        <v>1930</v>
      </c>
      <c r="B474" s="13" t="s">
        <v>1059</v>
      </c>
      <c r="C474" s="12" t="s">
        <v>87</v>
      </c>
      <c r="D474" s="12" t="s">
        <v>462</v>
      </c>
      <c r="E474" s="12" t="s">
        <v>1048</v>
      </c>
      <c r="F474" s="12" t="s">
        <v>18</v>
      </c>
      <c r="G474" s="12" t="s">
        <v>90</v>
      </c>
      <c r="H474" s="12" t="s">
        <v>1015</v>
      </c>
      <c r="I474" s="12">
        <v>51471137233</v>
      </c>
      <c r="J474" s="12" t="s">
        <v>1104</v>
      </c>
      <c r="K474" s="12">
        <v>1</v>
      </c>
      <c r="L474" s="12">
        <v>50</v>
      </c>
      <c r="M474" s="12"/>
      <c r="N474" s="13">
        <v>1930</v>
      </c>
      <c r="O474" s="12" t="s">
        <v>93</v>
      </c>
      <c r="P474" s="12"/>
      <c r="Q474" s="12"/>
      <c r="R474" s="12" t="s">
        <v>94</v>
      </c>
      <c r="S474" s="12">
        <v>10</v>
      </c>
      <c r="T474" s="12" t="s">
        <v>1062</v>
      </c>
      <c r="U474" s="12" t="s">
        <v>1063</v>
      </c>
      <c r="V474" s="12">
        <f>VLOOKUP(Tabla4[[#This Row],[ZONA DEFINITIVO]],Hoja1!$A$1:$D$121,3,0)</f>
        <v>229101</v>
      </c>
      <c r="W474" s="12">
        <f>VLOOKUP(Tabla4[[#This Row],[ZONA DEFINITIVO]],Hoja1!$A$1:$D$121,2,0)</f>
        <v>15186</v>
      </c>
      <c r="X474" s="12">
        <f>VLOOKUP(Tabla4[[#This Row],[ZONA DEFINITIVO]],Hoja1!$A$1:$D$121,4,0)</f>
        <v>87625</v>
      </c>
      <c r="Y474" s="12" t="str">
        <f>+IF(Tabla4[[#This Row],[AGRUPACIONES]]=1,SUMIFS(Tabla4[UDS],Tabla4[ZONA DEFINITIVO],Tabla4[[#This Row],[ZONA DEFINITIVO]])," ")</f>
        <v xml:space="preserve"> </v>
      </c>
      <c r="Z474" s="12" t="str">
        <f>+IF(Tabla4[[#This Row],[AGRUPACIONES]]=1,SUMIFS(Tabla4[TOTAL COBERTURA],Tabla4[ZONA DEFINITIVO],Tabla4[[#This Row],[ZONA DEFINITIVO]])," ")</f>
        <v xml:space="preserve"> </v>
      </c>
      <c r="AA474" s="12"/>
      <c r="AB474" s="38">
        <v>109009650</v>
      </c>
      <c r="AC474" s="37">
        <v>0.02</v>
      </c>
      <c r="AD474" s="38">
        <f t="shared" si="8"/>
        <v>2180193</v>
      </c>
      <c r="AE474" s="12"/>
      <c r="AF474" s="12">
        <f>COUNTIF($A$20:A474,A474)</f>
        <v>24</v>
      </c>
      <c r="AG474" s="38">
        <v>109009650</v>
      </c>
      <c r="AH474" s="38">
        <f>Tabla4[[#This Row],[VALOR CONTRAPARTIDA]]+Tabla4[[#This Row],[TOTAL APORTES ICBF]]</f>
        <v>111189843</v>
      </c>
      <c r="AI474" s="35"/>
      <c r="AJ474" s="38"/>
      <c r="AK474" s="38"/>
      <c r="AL474" s="23"/>
      <c r="AM474" s="35">
        <f>VLOOKUP(Tabla4[[#This Row],[SERVICIO 2025]],$J$2:$V$14,5,0)*Tabla4[[#This Row],[TOTAL COBERTURA]]</f>
        <v>2468800</v>
      </c>
      <c r="AN474" s="35">
        <f>VLOOKUP(Tabla4[[#This Row],[SERVICIO 2025]],$J$2:$V$14,6,0)*Tabla4[[#This Row],[TOTAL COBERTURA]]</f>
        <v>2051450</v>
      </c>
      <c r="AO474" s="35">
        <f>VLOOKUP(Tabla4[[#This Row],[SERVICIO 2025]],$J$2:$V$14,8,0)*Tabla4[[#This Row],[TOTAL COBERTURA]]</f>
        <v>1455000</v>
      </c>
      <c r="AP474" s="35">
        <f>VLOOKUP(Tabla4[[#This Row],[SERVICIO 2025]],$J$2:$V$14,3,0)*Tabla4[[#This Row],[TOTAL COBERTURA]]*8</f>
        <v>103034400</v>
      </c>
      <c r="AQ474" s="35"/>
      <c r="AR474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474" s="35" t="str">
        <f>+IF(Tabla4[[#This Row],[AGRUPACIONES]]=1,SUMIFS(Tabla4[VALOR TOTAL],Tabla4[ZONA DEFINITIVO],Tabla4[[#This Row],[ZONA DEFINITIVO]])," ")</f>
        <v xml:space="preserve"> </v>
      </c>
      <c r="AT474" s="27">
        <f>(VLOOKUP(Tabla4[[#This Row],[SERVICIO 2025]],$J$2:$V$14,3,0)*Tabla4[[#This Row],[TOTAL COBERTURA]])+Tabla4[[#This Row],[VALOR FASE PREPARATORIA DE ALISTAMIENTO]]+Tabla4[[#This Row],[DOTACIÓN ÚNICA]]</f>
        <v>16803100</v>
      </c>
      <c r="AU474" s="35">
        <f>(VLOOKUP(Tabla4[[#This Row],[SERVICIO 2025]],$J$2:$V$14,3,0)*Tabla4[[#This Row],[TOTAL COBERTURA]])</f>
        <v>12879300</v>
      </c>
      <c r="AV474" s="35">
        <f>(VLOOKUP(Tabla4[[#This Row],[SERVICIO 2025]],$J$2:$V$14,3,0)*Tabla4[[#This Row],[TOTAL COBERTURA]])</f>
        <v>12879300</v>
      </c>
      <c r="AW474" s="35">
        <f>(VLOOKUP(Tabla4[[#This Row],[SERVICIO 2025]],$J$2:$V$14,3,0)*Tabla4[[#This Row],[TOTAL COBERTURA]])</f>
        <v>12879300</v>
      </c>
      <c r="AX474" s="35">
        <f>(VLOOKUP(Tabla4[[#This Row],[SERVICIO 2025]],$J$2:$V$14,3,0)*Tabla4[[#This Row],[TOTAL COBERTURA]])</f>
        <v>12879300</v>
      </c>
      <c r="AY474" s="35">
        <f>(VLOOKUP(Tabla4[[#This Row],[SERVICIO 2025]],$J$2:$V$14,3,0)*Tabla4[[#This Row],[TOTAL COBERTURA]])</f>
        <v>12879300</v>
      </c>
      <c r="AZ474" s="35">
        <f>(VLOOKUP(Tabla4[[#This Row],[SERVICIO 2025]],$J$2:$V$14,3,0)*Tabla4[[#This Row],[TOTAL COBERTURA]])</f>
        <v>12879300</v>
      </c>
      <c r="BA474" s="35">
        <f>(VLOOKUP(Tabla4[[#This Row],[SERVICIO 2025]],$J$2:$V$14,3,0)*Tabla4[[#This Row],[TOTAL COBERTURA]])+Tabla4[[#This Row],[VALOR FASE PREPARATORIA DE CIERRE]]</f>
        <v>14930750</v>
      </c>
      <c r="BB474" s="35">
        <f>SUM(Tabla4[[#This Row],[DESEMBOLSO 1]:[DESEMBOLSO 8]])</f>
        <v>109009650</v>
      </c>
      <c r="BC474" s="35">
        <f>VLOOKUP(Tabla4[[#This Row],[SERVICIO 2025]],$J$2:$V$14,10,0)*Tabla4[[#This Row],[TOTAL COBERTURA]]*$W$3</f>
        <v>72153200</v>
      </c>
      <c r="BD474" s="47" t="s">
        <v>211</v>
      </c>
      <c r="BE474" s="12" t="b">
        <f>EXACT(Tabla4[[#This Row],[VALOR ATENCIÓN (8 MESES)]],Tabla4[[#This Row],[VALOR TOTAL]])</f>
        <v>1</v>
      </c>
      <c r="BF474" s="23">
        <f>Tabla4[[#This Row],[VALOR ATENCIÓN (8 MESES)]]-Tabla4[[#This Row],[VALOR TOTAL]]</f>
        <v>0</v>
      </c>
      <c r="BG474" s="12" t="b">
        <f>EXACT(Tabla4[[#This Row],[TOTAL DESEMBOLSOS]],Tabla4[[#This Row],[VALOR ATENCIÓN (8 MESES)]])</f>
        <v>1</v>
      </c>
      <c r="BH474" s="29">
        <f>Tabla4[[#This Row],[TOTAL DESEMBOLSOS]]-Tabla4[[#This Row],[VALOR ATENCIÓN (8 MESES)]]</f>
        <v>0</v>
      </c>
      <c r="BI474" t="s">
        <v>98</v>
      </c>
      <c r="BJ474">
        <v>1930</v>
      </c>
    </row>
    <row r="475" spans="1:62">
      <c r="A475" s="13">
        <v>1930</v>
      </c>
      <c r="B475" s="13" t="s">
        <v>1059</v>
      </c>
      <c r="C475" s="12" t="s">
        <v>87</v>
      </c>
      <c r="D475" s="12" t="s">
        <v>462</v>
      </c>
      <c r="E475" s="12" t="s">
        <v>1048</v>
      </c>
      <c r="F475" s="12" t="s">
        <v>18</v>
      </c>
      <c r="G475" s="12" t="s">
        <v>90</v>
      </c>
      <c r="H475" s="12" t="s">
        <v>1105</v>
      </c>
      <c r="I475" s="12">
        <v>51471137472</v>
      </c>
      <c r="J475" s="12" t="s">
        <v>1106</v>
      </c>
      <c r="K475" s="12">
        <v>1</v>
      </c>
      <c r="L475" s="12">
        <v>17</v>
      </c>
      <c r="M475" s="12"/>
      <c r="N475" s="13">
        <v>1930</v>
      </c>
      <c r="O475" s="12" t="s">
        <v>93</v>
      </c>
      <c r="P475" s="12"/>
      <c r="Q475" s="12"/>
      <c r="R475" s="12" t="s">
        <v>94</v>
      </c>
      <c r="S475" s="12">
        <v>10</v>
      </c>
      <c r="T475" s="12" t="s">
        <v>1062</v>
      </c>
      <c r="U475" s="12" t="s">
        <v>1063</v>
      </c>
      <c r="V475" s="12">
        <f>VLOOKUP(Tabla4[[#This Row],[ZONA DEFINITIVO]],Hoja1!$A$1:$D$121,3,0)</f>
        <v>229101</v>
      </c>
      <c r="W475" s="12">
        <f>VLOOKUP(Tabla4[[#This Row],[ZONA DEFINITIVO]],Hoja1!$A$1:$D$121,2,0)</f>
        <v>15186</v>
      </c>
      <c r="X475" s="12">
        <f>VLOOKUP(Tabla4[[#This Row],[ZONA DEFINITIVO]],Hoja1!$A$1:$D$121,4,0)</f>
        <v>87625</v>
      </c>
      <c r="Y475" s="12" t="str">
        <f>+IF(Tabla4[[#This Row],[AGRUPACIONES]]=1,SUMIFS(Tabla4[UDS],Tabla4[ZONA DEFINITIVO],Tabla4[[#This Row],[ZONA DEFINITIVO]])," ")</f>
        <v xml:space="preserve"> </v>
      </c>
      <c r="Z475" s="12" t="str">
        <f>+IF(Tabla4[[#This Row],[AGRUPACIONES]]=1,SUMIFS(Tabla4[TOTAL COBERTURA],Tabla4[ZONA DEFINITIVO],Tabla4[[#This Row],[ZONA DEFINITIVO]])," ")</f>
        <v xml:space="preserve"> </v>
      </c>
      <c r="AA475" s="12"/>
      <c r="AB475" s="38">
        <v>37063281</v>
      </c>
      <c r="AC475" s="37">
        <v>0.02</v>
      </c>
      <c r="AD475" s="38">
        <f t="shared" si="8"/>
        <v>741265.62</v>
      </c>
      <c r="AE475" s="12"/>
      <c r="AF475" s="12">
        <f>COUNTIF($A$20:A475,A475)</f>
        <v>25</v>
      </c>
      <c r="AG475" s="38">
        <v>37063281</v>
      </c>
      <c r="AH475" s="38">
        <f>Tabla4[[#This Row],[VALOR CONTRAPARTIDA]]+Tabla4[[#This Row],[TOTAL APORTES ICBF]]</f>
        <v>37804546.619999997</v>
      </c>
      <c r="AI475" s="35"/>
      <c r="AJ475" s="38"/>
      <c r="AK475" s="38"/>
      <c r="AL475" s="23"/>
      <c r="AM475" s="35">
        <f>VLOOKUP(Tabla4[[#This Row],[SERVICIO 2025]],$J$2:$V$14,5,0)*Tabla4[[#This Row],[TOTAL COBERTURA]]</f>
        <v>839392</v>
      </c>
      <c r="AN475" s="35">
        <f>VLOOKUP(Tabla4[[#This Row],[SERVICIO 2025]],$J$2:$V$14,6,0)*Tabla4[[#This Row],[TOTAL COBERTURA]]</f>
        <v>697493</v>
      </c>
      <c r="AO475" s="35">
        <f>VLOOKUP(Tabla4[[#This Row],[SERVICIO 2025]],$J$2:$V$14,8,0)*Tabla4[[#This Row],[TOTAL COBERTURA]]</f>
        <v>494700</v>
      </c>
      <c r="AP475" s="35">
        <f>VLOOKUP(Tabla4[[#This Row],[SERVICIO 2025]],$J$2:$V$14,3,0)*Tabla4[[#This Row],[TOTAL COBERTURA]]*8</f>
        <v>35031696</v>
      </c>
      <c r="AQ475" s="35"/>
      <c r="AR475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475" s="35" t="str">
        <f>+IF(Tabla4[[#This Row],[AGRUPACIONES]]=1,SUMIFS(Tabla4[VALOR TOTAL],Tabla4[ZONA DEFINITIVO],Tabla4[[#This Row],[ZONA DEFINITIVO]])," ")</f>
        <v xml:space="preserve"> </v>
      </c>
      <c r="AT475" s="27">
        <f>(VLOOKUP(Tabla4[[#This Row],[SERVICIO 2025]],$J$2:$V$14,3,0)*Tabla4[[#This Row],[TOTAL COBERTURA]])+Tabla4[[#This Row],[VALOR FASE PREPARATORIA DE ALISTAMIENTO]]+Tabla4[[#This Row],[DOTACIÓN ÚNICA]]</f>
        <v>5713054</v>
      </c>
      <c r="AU475" s="35">
        <f>(VLOOKUP(Tabla4[[#This Row],[SERVICIO 2025]],$J$2:$V$14,3,0)*Tabla4[[#This Row],[TOTAL COBERTURA]])</f>
        <v>4378962</v>
      </c>
      <c r="AV475" s="35">
        <f>(VLOOKUP(Tabla4[[#This Row],[SERVICIO 2025]],$J$2:$V$14,3,0)*Tabla4[[#This Row],[TOTAL COBERTURA]])</f>
        <v>4378962</v>
      </c>
      <c r="AW475" s="35">
        <f>(VLOOKUP(Tabla4[[#This Row],[SERVICIO 2025]],$J$2:$V$14,3,0)*Tabla4[[#This Row],[TOTAL COBERTURA]])</f>
        <v>4378962</v>
      </c>
      <c r="AX475" s="35">
        <f>(VLOOKUP(Tabla4[[#This Row],[SERVICIO 2025]],$J$2:$V$14,3,0)*Tabla4[[#This Row],[TOTAL COBERTURA]])</f>
        <v>4378962</v>
      </c>
      <c r="AY475" s="35">
        <f>(VLOOKUP(Tabla4[[#This Row],[SERVICIO 2025]],$J$2:$V$14,3,0)*Tabla4[[#This Row],[TOTAL COBERTURA]])</f>
        <v>4378962</v>
      </c>
      <c r="AZ475" s="35">
        <f>(VLOOKUP(Tabla4[[#This Row],[SERVICIO 2025]],$J$2:$V$14,3,0)*Tabla4[[#This Row],[TOTAL COBERTURA]])</f>
        <v>4378962</v>
      </c>
      <c r="BA475" s="35">
        <f>(VLOOKUP(Tabla4[[#This Row],[SERVICIO 2025]],$J$2:$V$14,3,0)*Tabla4[[#This Row],[TOTAL COBERTURA]])+Tabla4[[#This Row],[VALOR FASE PREPARATORIA DE CIERRE]]</f>
        <v>5076455</v>
      </c>
      <c r="BB475" s="35">
        <f>SUM(Tabla4[[#This Row],[DESEMBOLSO 1]:[DESEMBOLSO 8]])</f>
        <v>37063281</v>
      </c>
      <c r="BC475" s="35">
        <f>VLOOKUP(Tabla4[[#This Row],[SERVICIO 2025]],$J$2:$V$14,10,0)*Tabla4[[#This Row],[TOTAL COBERTURA]]*$W$3</f>
        <v>24532088</v>
      </c>
      <c r="BD475" s="47" t="s">
        <v>211</v>
      </c>
      <c r="BE475" s="12" t="b">
        <f>EXACT(Tabla4[[#This Row],[VALOR ATENCIÓN (8 MESES)]],Tabla4[[#This Row],[VALOR TOTAL]])</f>
        <v>1</v>
      </c>
      <c r="BF475" s="23">
        <f>Tabla4[[#This Row],[VALOR ATENCIÓN (8 MESES)]]-Tabla4[[#This Row],[VALOR TOTAL]]</f>
        <v>0</v>
      </c>
      <c r="BG475" s="12" t="b">
        <f>EXACT(Tabla4[[#This Row],[TOTAL DESEMBOLSOS]],Tabla4[[#This Row],[VALOR ATENCIÓN (8 MESES)]])</f>
        <v>1</v>
      </c>
      <c r="BH475" s="29">
        <f>Tabla4[[#This Row],[TOTAL DESEMBOLSOS]]-Tabla4[[#This Row],[VALOR ATENCIÓN (8 MESES)]]</f>
        <v>0</v>
      </c>
      <c r="BI475" t="s">
        <v>98</v>
      </c>
      <c r="BJ475">
        <v>1930</v>
      </c>
    </row>
    <row r="476" spans="1:62">
      <c r="A476" s="13">
        <v>1930</v>
      </c>
      <c r="B476" s="13" t="s">
        <v>1059</v>
      </c>
      <c r="C476" s="12" t="s">
        <v>87</v>
      </c>
      <c r="D476" s="12" t="s">
        <v>462</v>
      </c>
      <c r="E476" s="12" t="s">
        <v>1048</v>
      </c>
      <c r="F476" s="12" t="s">
        <v>18</v>
      </c>
      <c r="G476" s="12" t="s">
        <v>90</v>
      </c>
      <c r="H476" s="12" t="s">
        <v>1107</v>
      </c>
      <c r="I476" s="12">
        <v>51471144518</v>
      </c>
      <c r="J476" s="12" t="s">
        <v>1108</v>
      </c>
      <c r="K476" s="12">
        <v>1</v>
      </c>
      <c r="L476" s="12">
        <v>15</v>
      </c>
      <c r="M476" s="12"/>
      <c r="N476" s="13">
        <v>1930</v>
      </c>
      <c r="O476" s="12" t="s">
        <v>93</v>
      </c>
      <c r="P476" s="12"/>
      <c r="Q476" s="12"/>
      <c r="R476" s="12" t="s">
        <v>94</v>
      </c>
      <c r="S476" s="12">
        <v>10</v>
      </c>
      <c r="T476" s="12" t="s">
        <v>1062</v>
      </c>
      <c r="U476" s="12" t="s">
        <v>1063</v>
      </c>
      <c r="V476" s="12">
        <f>VLOOKUP(Tabla4[[#This Row],[ZONA DEFINITIVO]],Hoja1!$A$1:$D$121,3,0)</f>
        <v>229101</v>
      </c>
      <c r="W476" s="12">
        <f>VLOOKUP(Tabla4[[#This Row],[ZONA DEFINITIVO]],Hoja1!$A$1:$D$121,2,0)</f>
        <v>15186</v>
      </c>
      <c r="X476" s="12">
        <f>VLOOKUP(Tabla4[[#This Row],[ZONA DEFINITIVO]],Hoja1!$A$1:$D$121,4,0)</f>
        <v>87625</v>
      </c>
      <c r="Y476" s="12" t="str">
        <f>+IF(Tabla4[[#This Row],[AGRUPACIONES]]=1,SUMIFS(Tabla4[UDS],Tabla4[ZONA DEFINITIVO],Tabla4[[#This Row],[ZONA DEFINITIVO]])," ")</f>
        <v xml:space="preserve"> </v>
      </c>
      <c r="Z476" s="12" t="str">
        <f>+IF(Tabla4[[#This Row],[AGRUPACIONES]]=1,SUMIFS(Tabla4[TOTAL COBERTURA],Tabla4[ZONA DEFINITIVO],Tabla4[[#This Row],[ZONA DEFINITIVO]])," ")</f>
        <v xml:space="preserve"> </v>
      </c>
      <c r="AA476" s="12"/>
      <c r="AB476" s="38">
        <v>32702895</v>
      </c>
      <c r="AC476" s="37">
        <v>0.02</v>
      </c>
      <c r="AD476" s="38">
        <f t="shared" si="8"/>
        <v>654057.9</v>
      </c>
      <c r="AE476" s="12"/>
      <c r="AF476" s="12">
        <f>COUNTIF($A$20:A476,A476)</f>
        <v>26</v>
      </c>
      <c r="AG476" s="38">
        <v>32702895</v>
      </c>
      <c r="AH476" s="38">
        <f>Tabla4[[#This Row],[VALOR CONTRAPARTIDA]]+Tabla4[[#This Row],[TOTAL APORTES ICBF]]</f>
        <v>33356952.899999999</v>
      </c>
      <c r="AI476" s="35"/>
      <c r="AJ476" s="38"/>
      <c r="AK476" s="38"/>
      <c r="AL476" s="23"/>
      <c r="AM476" s="35">
        <f>VLOOKUP(Tabla4[[#This Row],[SERVICIO 2025]],$J$2:$V$14,5,0)*Tabla4[[#This Row],[TOTAL COBERTURA]]</f>
        <v>740640</v>
      </c>
      <c r="AN476" s="35">
        <f>VLOOKUP(Tabla4[[#This Row],[SERVICIO 2025]],$J$2:$V$14,6,0)*Tabla4[[#This Row],[TOTAL COBERTURA]]</f>
        <v>615435</v>
      </c>
      <c r="AO476" s="35">
        <f>VLOOKUP(Tabla4[[#This Row],[SERVICIO 2025]],$J$2:$V$14,8,0)*Tabla4[[#This Row],[TOTAL COBERTURA]]</f>
        <v>436500</v>
      </c>
      <c r="AP476" s="35">
        <f>VLOOKUP(Tabla4[[#This Row],[SERVICIO 2025]],$J$2:$V$14,3,0)*Tabla4[[#This Row],[TOTAL COBERTURA]]*8</f>
        <v>30910320</v>
      </c>
      <c r="AQ476" s="35"/>
      <c r="AR476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476" s="35" t="str">
        <f>+IF(Tabla4[[#This Row],[AGRUPACIONES]]=1,SUMIFS(Tabla4[VALOR TOTAL],Tabla4[ZONA DEFINITIVO],Tabla4[[#This Row],[ZONA DEFINITIVO]])," ")</f>
        <v xml:space="preserve"> </v>
      </c>
      <c r="AT476" s="27">
        <f>(VLOOKUP(Tabla4[[#This Row],[SERVICIO 2025]],$J$2:$V$14,3,0)*Tabla4[[#This Row],[TOTAL COBERTURA]])+Tabla4[[#This Row],[VALOR FASE PREPARATORIA DE ALISTAMIENTO]]+Tabla4[[#This Row],[DOTACIÓN ÚNICA]]</f>
        <v>5040930</v>
      </c>
      <c r="AU476" s="35">
        <f>(VLOOKUP(Tabla4[[#This Row],[SERVICIO 2025]],$J$2:$V$14,3,0)*Tabla4[[#This Row],[TOTAL COBERTURA]])</f>
        <v>3863790</v>
      </c>
      <c r="AV476" s="35">
        <f>(VLOOKUP(Tabla4[[#This Row],[SERVICIO 2025]],$J$2:$V$14,3,0)*Tabla4[[#This Row],[TOTAL COBERTURA]])</f>
        <v>3863790</v>
      </c>
      <c r="AW476" s="35">
        <f>(VLOOKUP(Tabla4[[#This Row],[SERVICIO 2025]],$J$2:$V$14,3,0)*Tabla4[[#This Row],[TOTAL COBERTURA]])</f>
        <v>3863790</v>
      </c>
      <c r="AX476" s="35">
        <f>(VLOOKUP(Tabla4[[#This Row],[SERVICIO 2025]],$J$2:$V$14,3,0)*Tabla4[[#This Row],[TOTAL COBERTURA]])</f>
        <v>3863790</v>
      </c>
      <c r="AY476" s="35">
        <f>(VLOOKUP(Tabla4[[#This Row],[SERVICIO 2025]],$J$2:$V$14,3,0)*Tabla4[[#This Row],[TOTAL COBERTURA]])</f>
        <v>3863790</v>
      </c>
      <c r="AZ476" s="35">
        <f>(VLOOKUP(Tabla4[[#This Row],[SERVICIO 2025]],$J$2:$V$14,3,0)*Tabla4[[#This Row],[TOTAL COBERTURA]])</f>
        <v>3863790</v>
      </c>
      <c r="BA476" s="35">
        <f>(VLOOKUP(Tabla4[[#This Row],[SERVICIO 2025]],$J$2:$V$14,3,0)*Tabla4[[#This Row],[TOTAL COBERTURA]])+Tabla4[[#This Row],[VALOR FASE PREPARATORIA DE CIERRE]]</f>
        <v>4479225</v>
      </c>
      <c r="BB476" s="35">
        <f>SUM(Tabla4[[#This Row],[DESEMBOLSO 1]:[DESEMBOLSO 8]])</f>
        <v>32702895</v>
      </c>
      <c r="BC476" s="35">
        <f>VLOOKUP(Tabla4[[#This Row],[SERVICIO 2025]],$J$2:$V$14,10,0)*Tabla4[[#This Row],[TOTAL COBERTURA]]*$W$3</f>
        <v>21645960</v>
      </c>
      <c r="BD476" s="47" t="s">
        <v>211</v>
      </c>
      <c r="BE476" s="12" t="b">
        <f>EXACT(Tabla4[[#This Row],[VALOR ATENCIÓN (8 MESES)]],Tabla4[[#This Row],[VALOR TOTAL]])</f>
        <v>1</v>
      </c>
      <c r="BF476" s="23">
        <f>Tabla4[[#This Row],[VALOR ATENCIÓN (8 MESES)]]-Tabla4[[#This Row],[VALOR TOTAL]]</f>
        <v>0</v>
      </c>
      <c r="BG476" s="12" t="b">
        <f>EXACT(Tabla4[[#This Row],[TOTAL DESEMBOLSOS]],Tabla4[[#This Row],[VALOR ATENCIÓN (8 MESES)]])</f>
        <v>1</v>
      </c>
      <c r="BH476" s="29">
        <f>Tabla4[[#This Row],[TOTAL DESEMBOLSOS]]-Tabla4[[#This Row],[VALOR ATENCIÓN (8 MESES)]]</f>
        <v>0</v>
      </c>
      <c r="BI476" t="s">
        <v>98</v>
      </c>
      <c r="BJ476">
        <v>1930</v>
      </c>
    </row>
    <row r="477" spans="1:62">
      <c r="A477" s="13">
        <v>1930</v>
      </c>
      <c r="B477" s="13" t="s">
        <v>1059</v>
      </c>
      <c r="C477" s="12" t="s">
        <v>87</v>
      </c>
      <c r="D477" s="12" t="s">
        <v>462</v>
      </c>
      <c r="E477" s="12" t="s">
        <v>1048</v>
      </c>
      <c r="F477" s="12" t="s">
        <v>18</v>
      </c>
      <c r="G477" s="12" t="s">
        <v>90</v>
      </c>
      <c r="H477" s="12" t="s">
        <v>1109</v>
      </c>
      <c r="I477" s="12">
        <v>51471144519</v>
      </c>
      <c r="J477" s="12" t="s">
        <v>1110</v>
      </c>
      <c r="K477" s="12">
        <v>1</v>
      </c>
      <c r="L477" s="12">
        <v>37</v>
      </c>
      <c r="M477" s="12"/>
      <c r="N477" s="13">
        <v>1930</v>
      </c>
      <c r="O477" s="12" t="s">
        <v>93</v>
      </c>
      <c r="P477" s="12"/>
      <c r="Q477" s="12"/>
      <c r="R477" s="12" t="s">
        <v>94</v>
      </c>
      <c r="S477" s="12">
        <v>10</v>
      </c>
      <c r="T477" s="12" t="s">
        <v>1062</v>
      </c>
      <c r="U477" s="12" t="s">
        <v>1063</v>
      </c>
      <c r="V477" s="12">
        <f>VLOOKUP(Tabla4[[#This Row],[ZONA DEFINITIVO]],Hoja1!$A$1:$D$121,3,0)</f>
        <v>229101</v>
      </c>
      <c r="W477" s="12">
        <f>VLOOKUP(Tabla4[[#This Row],[ZONA DEFINITIVO]],Hoja1!$A$1:$D$121,2,0)</f>
        <v>15186</v>
      </c>
      <c r="X477" s="12">
        <f>VLOOKUP(Tabla4[[#This Row],[ZONA DEFINITIVO]],Hoja1!$A$1:$D$121,4,0)</f>
        <v>87625</v>
      </c>
      <c r="Y477" s="12" t="str">
        <f>+IF(Tabla4[[#This Row],[AGRUPACIONES]]=1,SUMIFS(Tabla4[UDS],Tabla4[ZONA DEFINITIVO],Tabla4[[#This Row],[ZONA DEFINITIVO]])," ")</f>
        <v xml:space="preserve"> </v>
      </c>
      <c r="Z477" s="12" t="str">
        <f>+IF(Tabla4[[#This Row],[AGRUPACIONES]]=1,SUMIFS(Tabla4[TOTAL COBERTURA],Tabla4[ZONA DEFINITIVO],Tabla4[[#This Row],[ZONA DEFINITIVO]])," ")</f>
        <v xml:space="preserve"> </v>
      </c>
      <c r="AA477" s="12"/>
      <c r="AB477" s="38">
        <v>80667141</v>
      </c>
      <c r="AC477" s="37">
        <v>0.02</v>
      </c>
      <c r="AD477" s="38">
        <f t="shared" si="8"/>
        <v>1613342.82</v>
      </c>
      <c r="AE477" s="12"/>
      <c r="AF477" s="12">
        <f>COUNTIF($A$20:A477,A477)</f>
        <v>27</v>
      </c>
      <c r="AG477" s="38">
        <v>80667141</v>
      </c>
      <c r="AH477" s="38">
        <f>Tabla4[[#This Row],[VALOR CONTRAPARTIDA]]+Tabla4[[#This Row],[TOTAL APORTES ICBF]]</f>
        <v>82280483.819999993</v>
      </c>
      <c r="AI477" s="35"/>
      <c r="AJ477" s="38"/>
      <c r="AK477" s="38"/>
      <c r="AL477" s="23"/>
      <c r="AM477" s="35">
        <f>VLOOKUP(Tabla4[[#This Row],[SERVICIO 2025]],$J$2:$V$14,5,0)*Tabla4[[#This Row],[TOTAL COBERTURA]]</f>
        <v>1826912</v>
      </c>
      <c r="AN477" s="35">
        <f>VLOOKUP(Tabla4[[#This Row],[SERVICIO 2025]],$J$2:$V$14,6,0)*Tabla4[[#This Row],[TOTAL COBERTURA]]</f>
        <v>1518073</v>
      </c>
      <c r="AO477" s="35">
        <f>VLOOKUP(Tabla4[[#This Row],[SERVICIO 2025]],$J$2:$V$14,8,0)*Tabla4[[#This Row],[TOTAL COBERTURA]]</f>
        <v>1076700</v>
      </c>
      <c r="AP477" s="35">
        <f>VLOOKUP(Tabla4[[#This Row],[SERVICIO 2025]],$J$2:$V$14,3,0)*Tabla4[[#This Row],[TOTAL COBERTURA]]*8</f>
        <v>76245456</v>
      </c>
      <c r="AQ477" s="35"/>
      <c r="AR477" s="35">
        <f>Tabla4[[#This Row],[VALOR FASE PREPARATORIA DE ALISTAMIENTO]]+Tabla4[[#This Row],[VALOR FASE PREPARATORIA DE CIERRE]]+Tabla4[[#This Row],[DOTACIÓN ÚNICA]]+Tabla4[[#This Row],[VALOR ATENCIÓN]]+Tabla4[[#This Row],[VALOR RACION PREPARADA]]</f>
        <v>80667141</v>
      </c>
      <c r="AS477" s="35" t="str">
        <f>+IF(Tabla4[[#This Row],[AGRUPACIONES]]=1,SUMIFS(Tabla4[VALOR TOTAL],Tabla4[ZONA DEFINITIVO],Tabla4[[#This Row],[ZONA DEFINITIVO]])," ")</f>
        <v xml:space="preserve"> </v>
      </c>
      <c r="AT477" s="27">
        <f>(VLOOKUP(Tabla4[[#This Row],[SERVICIO 2025]],$J$2:$V$14,3,0)*Tabla4[[#This Row],[TOTAL COBERTURA]])+Tabla4[[#This Row],[VALOR FASE PREPARATORIA DE ALISTAMIENTO]]+Tabla4[[#This Row],[DOTACIÓN ÚNICA]]</f>
        <v>12434294</v>
      </c>
      <c r="AU477" s="35">
        <f>(VLOOKUP(Tabla4[[#This Row],[SERVICIO 2025]],$J$2:$V$14,3,0)*Tabla4[[#This Row],[TOTAL COBERTURA]])</f>
        <v>9530682</v>
      </c>
      <c r="AV477" s="35">
        <f>(VLOOKUP(Tabla4[[#This Row],[SERVICIO 2025]],$J$2:$V$14,3,0)*Tabla4[[#This Row],[TOTAL COBERTURA]])</f>
        <v>9530682</v>
      </c>
      <c r="AW477" s="35">
        <f>(VLOOKUP(Tabla4[[#This Row],[SERVICIO 2025]],$J$2:$V$14,3,0)*Tabla4[[#This Row],[TOTAL COBERTURA]])</f>
        <v>9530682</v>
      </c>
      <c r="AX477" s="35">
        <f>(VLOOKUP(Tabla4[[#This Row],[SERVICIO 2025]],$J$2:$V$14,3,0)*Tabla4[[#This Row],[TOTAL COBERTURA]])</f>
        <v>9530682</v>
      </c>
      <c r="AY477" s="35">
        <f>(VLOOKUP(Tabla4[[#This Row],[SERVICIO 2025]],$J$2:$V$14,3,0)*Tabla4[[#This Row],[TOTAL COBERTURA]])</f>
        <v>9530682</v>
      </c>
      <c r="AZ477" s="35">
        <f>(VLOOKUP(Tabla4[[#This Row],[SERVICIO 2025]],$J$2:$V$14,3,0)*Tabla4[[#This Row],[TOTAL COBERTURA]])</f>
        <v>9530682</v>
      </c>
      <c r="BA477" s="35">
        <f>(VLOOKUP(Tabla4[[#This Row],[SERVICIO 2025]],$J$2:$V$14,3,0)*Tabla4[[#This Row],[TOTAL COBERTURA]])+Tabla4[[#This Row],[VALOR FASE PREPARATORIA DE CIERRE]]</f>
        <v>11048755</v>
      </c>
      <c r="BB477" s="35">
        <f>SUM(Tabla4[[#This Row],[DESEMBOLSO 1]:[DESEMBOLSO 8]])</f>
        <v>80667141</v>
      </c>
      <c r="BC477" s="35">
        <f>VLOOKUP(Tabla4[[#This Row],[SERVICIO 2025]],$J$2:$V$14,10,0)*Tabla4[[#This Row],[TOTAL COBERTURA]]*$W$3</f>
        <v>53393368</v>
      </c>
      <c r="BD477" s="47" t="s">
        <v>211</v>
      </c>
      <c r="BE477" s="12" t="b">
        <f>EXACT(Tabla4[[#This Row],[VALOR ATENCIÓN (8 MESES)]],Tabla4[[#This Row],[VALOR TOTAL]])</f>
        <v>1</v>
      </c>
      <c r="BF477" s="23">
        <f>Tabla4[[#This Row],[VALOR ATENCIÓN (8 MESES)]]-Tabla4[[#This Row],[VALOR TOTAL]]</f>
        <v>0</v>
      </c>
      <c r="BG477" s="12" t="b">
        <f>EXACT(Tabla4[[#This Row],[TOTAL DESEMBOLSOS]],Tabla4[[#This Row],[VALOR ATENCIÓN (8 MESES)]])</f>
        <v>1</v>
      </c>
      <c r="BH477" s="29">
        <f>Tabla4[[#This Row],[TOTAL DESEMBOLSOS]]-Tabla4[[#This Row],[VALOR ATENCIÓN (8 MESES)]]</f>
        <v>0</v>
      </c>
      <c r="BI477" t="s">
        <v>98</v>
      </c>
      <c r="BJ477">
        <v>1930</v>
      </c>
    </row>
    <row r="478" spans="1:62">
      <c r="A478" s="13">
        <v>1930</v>
      </c>
      <c r="B478" s="13" t="s">
        <v>1059</v>
      </c>
      <c r="C478" s="12" t="s">
        <v>87</v>
      </c>
      <c r="D478" s="12" t="s">
        <v>462</v>
      </c>
      <c r="E478" s="12" t="s">
        <v>1048</v>
      </c>
      <c r="F478" s="12" t="s">
        <v>18</v>
      </c>
      <c r="G478" s="12" t="s">
        <v>90</v>
      </c>
      <c r="H478" s="12" t="s">
        <v>1111</v>
      </c>
      <c r="I478" s="12">
        <v>51471148815</v>
      </c>
      <c r="J478" s="12" t="s">
        <v>1112</v>
      </c>
      <c r="K478" s="12">
        <v>1</v>
      </c>
      <c r="L478" s="12">
        <v>20</v>
      </c>
      <c r="M478" s="12"/>
      <c r="N478" s="13">
        <v>1930</v>
      </c>
      <c r="O478" s="12" t="s">
        <v>93</v>
      </c>
      <c r="P478" s="12"/>
      <c r="Q478" s="12"/>
      <c r="R478" s="12" t="s">
        <v>94</v>
      </c>
      <c r="S478" s="12">
        <v>10</v>
      </c>
      <c r="T478" s="12" t="s">
        <v>1062</v>
      </c>
      <c r="U478" s="12" t="s">
        <v>1063</v>
      </c>
      <c r="V478" s="12">
        <f>VLOOKUP(Tabla4[[#This Row],[ZONA DEFINITIVO]],Hoja1!$A$1:$D$121,3,0)</f>
        <v>229101</v>
      </c>
      <c r="W478" s="12">
        <f>VLOOKUP(Tabla4[[#This Row],[ZONA DEFINITIVO]],Hoja1!$A$1:$D$121,2,0)</f>
        <v>15186</v>
      </c>
      <c r="X478" s="12">
        <f>VLOOKUP(Tabla4[[#This Row],[ZONA DEFINITIVO]],Hoja1!$A$1:$D$121,4,0)</f>
        <v>87625</v>
      </c>
      <c r="Y478" s="12" t="str">
        <f>+IF(Tabla4[[#This Row],[AGRUPACIONES]]=1,SUMIFS(Tabla4[UDS],Tabla4[ZONA DEFINITIVO],Tabla4[[#This Row],[ZONA DEFINITIVO]])," ")</f>
        <v xml:space="preserve"> </v>
      </c>
      <c r="Z478" s="12" t="str">
        <f>+IF(Tabla4[[#This Row],[AGRUPACIONES]]=1,SUMIFS(Tabla4[TOTAL COBERTURA],Tabla4[ZONA DEFINITIVO],Tabla4[[#This Row],[ZONA DEFINITIVO]])," ")</f>
        <v xml:space="preserve"> </v>
      </c>
      <c r="AA478" s="12"/>
      <c r="AB478" s="38">
        <v>43603860</v>
      </c>
      <c r="AC478" s="37">
        <v>0.02</v>
      </c>
      <c r="AD478" s="38">
        <f t="shared" si="8"/>
        <v>872077.20000000007</v>
      </c>
      <c r="AE478" s="12"/>
      <c r="AF478" s="12">
        <f>COUNTIF($A$20:A478,A478)</f>
        <v>28</v>
      </c>
      <c r="AG478" s="38">
        <v>43603860</v>
      </c>
      <c r="AH478" s="38">
        <f>Tabla4[[#This Row],[VALOR CONTRAPARTIDA]]+Tabla4[[#This Row],[TOTAL APORTES ICBF]]</f>
        <v>44475937.200000003</v>
      </c>
      <c r="AI478" s="35"/>
      <c r="AJ478" s="38"/>
      <c r="AK478" s="38"/>
      <c r="AL478" s="23"/>
      <c r="AM478" s="35">
        <f>VLOOKUP(Tabla4[[#This Row],[SERVICIO 2025]],$J$2:$V$14,5,0)*Tabla4[[#This Row],[TOTAL COBERTURA]]</f>
        <v>987520</v>
      </c>
      <c r="AN478" s="35">
        <f>VLOOKUP(Tabla4[[#This Row],[SERVICIO 2025]],$J$2:$V$14,6,0)*Tabla4[[#This Row],[TOTAL COBERTURA]]</f>
        <v>820580</v>
      </c>
      <c r="AO478" s="35">
        <f>VLOOKUP(Tabla4[[#This Row],[SERVICIO 2025]],$J$2:$V$14,8,0)*Tabla4[[#This Row],[TOTAL COBERTURA]]</f>
        <v>582000</v>
      </c>
      <c r="AP478" s="35">
        <f>VLOOKUP(Tabla4[[#This Row],[SERVICIO 2025]],$J$2:$V$14,3,0)*Tabla4[[#This Row],[TOTAL COBERTURA]]*8</f>
        <v>41213760</v>
      </c>
      <c r="AQ478" s="35"/>
      <c r="AR478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478" s="35" t="str">
        <f>+IF(Tabla4[[#This Row],[AGRUPACIONES]]=1,SUMIFS(Tabla4[VALOR TOTAL],Tabla4[ZONA DEFINITIVO],Tabla4[[#This Row],[ZONA DEFINITIVO]])," ")</f>
        <v xml:space="preserve"> </v>
      </c>
      <c r="AT478" s="27">
        <f>(VLOOKUP(Tabla4[[#This Row],[SERVICIO 2025]],$J$2:$V$14,3,0)*Tabla4[[#This Row],[TOTAL COBERTURA]])+Tabla4[[#This Row],[VALOR FASE PREPARATORIA DE ALISTAMIENTO]]+Tabla4[[#This Row],[DOTACIÓN ÚNICA]]</f>
        <v>6721240</v>
      </c>
      <c r="AU478" s="35">
        <f>(VLOOKUP(Tabla4[[#This Row],[SERVICIO 2025]],$J$2:$V$14,3,0)*Tabla4[[#This Row],[TOTAL COBERTURA]])</f>
        <v>5151720</v>
      </c>
      <c r="AV478" s="35">
        <f>(VLOOKUP(Tabla4[[#This Row],[SERVICIO 2025]],$J$2:$V$14,3,0)*Tabla4[[#This Row],[TOTAL COBERTURA]])</f>
        <v>5151720</v>
      </c>
      <c r="AW478" s="35">
        <f>(VLOOKUP(Tabla4[[#This Row],[SERVICIO 2025]],$J$2:$V$14,3,0)*Tabla4[[#This Row],[TOTAL COBERTURA]])</f>
        <v>5151720</v>
      </c>
      <c r="AX478" s="35">
        <f>(VLOOKUP(Tabla4[[#This Row],[SERVICIO 2025]],$J$2:$V$14,3,0)*Tabla4[[#This Row],[TOTAL COBERTURA]])</f>
        <v>5151720</v>
      </c>
      <c r="AY478" s="35">
        <f>(VLOOKUP(Tabla4[[#This Row],[SERVICIO 2025]],$J$2:$V$14,3,0)*Tabla4[[#This Row],[TOTAL COBERTURA]])</f>
        <v>5151720</v>
      </c>
      <c r="AZ478" s="35">
        <f>(VLOOKUP(Tabla4[[#This Row],[SERVICIO 2025]],$J$2:$V$14,3,0)*Tabla4[[#This Row],[TOTAL COBERTURA]])</f>
        <v>5151720</v>
      </c>
      <c r="BA478" s="35">
        <f>(VLOOKUP(Tabla4[[#This Row],[SERVICIO 2025]],$J$2:$V$14,3,0)*Tabla4[[#This Row],[TOTAL COBERTURA]])+Tabla4[[#This Row],[VALOR FASE PREPARATORIA DE CIERRE]]</f>
        <v>5972300</v>
      </c>
      <c r="BB478" s="35">
        <f>SUM(Tabla4[[#This Row],[DESEMBOLSO 1]:[DESEMBOLSO 8]])</f>
        <v>43603860</v>
      </c>
      <c r="BC478" s="35">
        <f>VLOOKUP(Tabla4[[#This Row],[SERVICIO 2025]],$J$2:$V$14,10,0)*Tabla4[[#This Row],[TOTAL COBERTURA]]*$W$3</f>
        <v>28861280</v>
      </c>
      <c r="BD478" s="47" t="s">
        <v>211</v>
      </c>
      <c r="BE478" s="12" t="b">
        <f>EXACT(Tabla4[[#This Row],[VALOR ATENCIÓN (8 MESES)]],Tabla4[[#This Row],[VALOR TOTAL]])</f>
        <v>1</v>
      </c>
      <c r="BF478" s="23">
        <f>Tabla4[[#This Row],[VALOR ATENCIÓN (8 MESES)]]-Tabla4[[#This Row],[VALOR TOTAL]]</f>
        <v>0</v>
      </c>
      <c r="BG478" s="12" t="b">
        <f>EXACT(Tabla4[[#This Row],[TOTAL DESEMBOLSOS]],Tabla4[[#This Row],[VALOR ATENCIÓN (8 MESES)]])</f>
        <v>1</v>
      </c>
      <c r="BH478" s="29">
        <f>Tabla4[[#This Row],[TOTAL DESEMBOLSOS]]-Tabla4[[#This Row],[VALOR ATENCIÓN (8 MESES)]]</f>
        <v>0</v>
      </c>
      <c r="BI478" t="s">
        <v>98</v>
      </c>
      <c r="BJ478">
        <v>1930</v>
      </c>
    </row>
    <row r="479" spans="1:62">
      <c r="A479" s="13">
        <v>1930</v>
      </c>
      <c r="B479" s="13" t="s">
        <v>1059</v>
      </c>
      <c r="C479" s="12" t="s">
        <v>87</v>
      </c>
      <c r="D479" s="12" t="s">
        <v>462</v>
      </c>
      <c r="E479" s="12" t="s">
        <v>1048</v>
      </c>
      <c r="F479" s="12" t="s">
        <v>18</v>
      </c>
      <c r="G479" s="12" t="s">
        <v>90</v>
      </c>
      <c r="H479" s="12" t="s">
        <v>1113</v>
      </c>
      <c r="I479" s="12">
        <v>51471152328</v>
      </c>
      <c r="J479" s="12" t="s">
        <v>1064</v>
      </c>
      <c r="K479" s="12">
        <v>1</v>
      </c>
      <c r="L479" s="12">
        <v>16</v>
      </c>
      <c r="M479" s="12"/>
      <c r="N479" s="13">
        <v>1930</v>
      </c>
      <c r="O479" s="12" t="s">
        <v>93</v>
      </c>
      <c r="P479" s="12"/>
      <c r="Q479" s="12"/>
      <c r="R479" s="12" t="s">
        <v>94</v>
      </c>
      <c r="S479" s="12">
        <v>10</v>
      </c>
      <c r="T479" s="12" t="s">
        <v>1062</v>
      </c>
      <c r="U479" s="12" t="s">
        <v>1063</v>
      </c>
      <c r="V479" s="12">
        <f>VLOOKUP(Tabla4[[#This Row],[ZONA DEFINITIVO]],Hoja1!$A$1:$D$121,3,0)</f>
        <v>229101</v>
      </c>
      <c r="W479" s="12">
        <f>VLOOKUP(Tabla4[[#This Row],[ZONA DEFINITIVO]],Hoja1!$A$1:$D$121,2,0)</f>
        <v>15186</v>
      </c>
      <c r="X479" s="12">
        <f>VLOOKUP(Tabla4[[#This Row],[ZONA DEFINITIVO]],Hoja1!$A$1:$D$121,4,0)</f>
        <v>87625</v>
      </c>
      <c r="Y479" s="12" t="str">
        <f>+IF(Tabla4[[#This Row],[AGRUPACIONES]]=1,SUMIFS(Tabla4[UDS],Tabla4[ZONA DEFINITIVO],Tabla4[[#This Row],[ZONA DEFINITIVO]])," ")</f>
        <v xml:space="preserve"> </v>
      </c>
      <c r="Z479" s="12" t="str">
        <f>+IF(Tabla4[[#This Row],[AGRUPACIONES]]=1,SUMIFS(Tabla4[TOTAL COBERTURA],Tabla4[ZONA DEFINITIVO],Tabla4[[#This Row],[ZONA DEFINITIVO]])," ")</f>
        <v xml:space="preserve"> </v>
      </c>
      <c r="AA479" s="12"/>
      <c r="AB479" s="38">
        <v>34883088</v>
      </c>
      <c r="AC479" s="37">
        <v>0.02</v>
      </c>
      <c r="AD479" s="38">
        <f t="shared" si="8"/>
        <v>697661.76</v>
      </c>
      <c r="AE479" s="12"/>
      <c r="AF479" s="12">
        <f>COUNTIF($A$20:A479,A479)</f>
        <v>29</v>
      </c>
      <c r="AG479" s="38">
        <v>34883088</v>
      </c>
      <c r="AH479" s="38">
        <f>Tabla4[[#This Row],[VALOR CONTRAPARTIDA]]+Tabla4[[#This Row],[TOTAL APORTES ICBF]]</f>
        <v>35580749.759999998</v>
      </c>
      <c r="AI479" s="35"/>
      <c r="AJ479" s="38"/>
      <c r="AK479" s="38"/>
      <c r="AL479" s="23"/>
      <c r="AM479" s="35">
        <f>VLOOKUP(Tabla4[[#This Row],[SERVICIO 2025]],$J$2:$V$14,5,0)*Tabla4[[#This Row],[TOTAL COBERTURA]]</f>
        <v>790016</v>
      </c>
      <c r="AN479" s="35">
        <f>VLOOKUP(Tabla4[[#This Row],[SERVICIO 2025]],$J$2:$V$14,6,0)*Tabla4[[#This Row],[TOTAL COBERTURA]]</f>
        <v>656464</v>
      </c>
      <c r="AO479" s="35">
        <f>VLOOKUP(Tabla4[[#This Row],[SERVICIO 2025]],$J$2:$V$14,8,0)*Tabla4[[#This Row],[TOTAL COBERTURA]]</f>
        <v>465600</v>
      </c>
      <c r="AP479" s="35">
        <f>VLOOKUP(Tabla4[[#This Row],[SERVICIO 2025]],$J$2:$V$14,3,0)*Tabla4[[#This Row],[TOTAL COBERTURA]]*8</f>
        <v>32971008</v>
      </c>
      <c r="AQ479" s="35"/>
      <c r="AR479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479" s="35" t="str">
        <f>+IF(Tabla4[[#This Row],[AGRUPACIONES]]=1,SUMIFS(Tabla4[VALOR TOTAL],Tabla4[ZONA DEFINITIVO],Tabla4[[#This Row],[ZONA DEFINITIVO]])," ")</f>
        <v xml:space="preserve"> </v>
      </c>
      <c r="AT479" s="27">
        <f>(VLOOKUP(Tabla4[[#This Row],[SERVICIO 2025]],$J$2:$V$14,3,0)*Tabla4[[#This Row],[TOTAL COBERTURA]])+Tabla4[[#This Row],[VALOR FASE PREPARATORIA DE ALISTAMIENTO]]+Tabla4[[#This Row],[DOTACIÓN ÚNICA]]</f>
        <v>5376992</v>
      </c>
      <c r="AU479" s="35">
        <f>(VLOOKUP(Tabla4[[#This Row],[SERVICIO 2025]],$J$2:$V$14,3,0)*Tabla4[[#This Row],[TOTAL COBERTURA]])</f>
        <v>4121376</v>
      </c>
      <c r="AV479" s="35">
        <f>(VLOOKUP(Tabla4[[#This Row],[SERVICIO 2025]],$J$2:$V$14,3,0)*Tabla4[[#This Row],[TOTAL COBERTURA]])</f>
        <v>4121376</v>
      </c>
      <c r="AW479" s="35">
        <f>(VLOOKUP(Tabla4[[#This Row],[SERVICIO 2025]],$J$2:$V$14,3,0)*Tabla4[[#This Row],[TOTAL COBERTURA]])</f>
        <v>4121376</v>
      </c>
      <c r="AX479" s="35">
        <f>(VLOOKUP(Tabla4[[#This Row],[SERVICIO 2025]],$J$2:$V$14,3,0)*Tabla4[[#This Row],[TOTAL COBERTURA]])</f>
        <v>4121376</v>
      </c>
      <c r="AY479" s="35">
        <f>(VLOOKUP(Tabla4[[#This Row],[SERVICIO 2025]],$J$2:$V$14,3,0)*Tabla4[[#This Row],[TOTAL COBERTURA]])</f>
        <v>4121376</v>
      </c>
      <c r="AZ479" s="35">
        <f>(VLOOKUP(Tabla4[[#This Row],[SERVICIO 2025]],$J$2:$V$14,3,0)*Tabla4[[#This Row],[TOTAL COBERTURA]])</f>
        <v>4121376</v>
      </c>
      <c r="BA479" s="35">
        <f>(VLOOKUP(Tabla4[[#This Row],[SERVICIO 2025]],$J$2:$V$14,3,0)*Tabla4[[#This Row],[TOTAL COBERTURA]])+Tabla4[[#This Row],[VALOR FASE PREPARATORIA DE CIERRE]]</f>
        <v>4777840</v>
      </c>
      <c r="BB479" s="35">
        <f>SUM(Tabla4[[#This Row],[DESEMBOLSO 1]:[DESEMBOLSO 8]])</f>
        <v>34883088</v>
      </c>
      <c r="BC479" s="35">
        <f>VLOOKUP(Tabla4[[#This Row],[SERVICIO 2025]],$J$2:$V$14,10,0)*Tabla4[[#This Row],[TOTAL COBERTURA]]*$W$3</f>
        <v>23089024</v>
      </c>
      <c r="BD479" s="47" t="s">
        <v>211</v>
      </c>
      <c r="BE479" s="12" t="b">
        <f>EXACT(Tabla4[[#This Row],[VALOR ATENCIÓN (8 MESES)]],Tabla4[[#This Row],[VALOR TOTAL]])</f>
        <v>1</v>
      </c>
      <c r="BF479" s="23">
        <f>Tabla4[[#This Row],[VALOR ATENCIÓN (8 MESES)]]-Tabla4[[#This Row],[VALOR TOTAL]]</f>
        <v>0</v>
      </c>
      <c r="BG479" s="12" t="b">
        <f>EXACT(Tabla4[[#This Row],[TOTAL DESEMBOLSOS]],Tabla4[[#This Row],[VALOR ATENCIÓN (8 MESES)]])</f>
        <v>1</v>
      </c>
      <c r="BH479" s="29">
        <f>Tabla4[[#This Row],[TOTAL DESEMBOLSOS]]-Tabla4[[#This Row],[VALOR ATENCIÓN (8 MESES)]]</f>
        <v>0</v>
      </c>
      <c r="BI479" t="s">
        <v>98</v>
      </c>
      <c r="BJ479">
        <v>1930</v>
      </c>
    </row>
    <row r="480" spans="1:62">
      <c r="A480" s="13">
        <v>1930</v>
      </c>
      <c r="B480" s="13" t="s">
        <v>1059</v>
      </c>
      <c r="C480" s="12" t="s">
        <v>87</v>
      </c>
      <c r="D480" s="12" t="s">
        <v>462</v>
      </c>
      <c r="E480" s="12" t="s">
        <v>1048</v>
      </c>
      <c r="F480" s="12" t="s">
        <v>18</v>
      </c>
      <c r="G480" s="12" t="s">
        <v>90</v>
      </c>
      <c r="H480" s="12" t="s">
        <v>1114</v>
      </c>
      <c r="I480" s="12">
        <v>51471152332</v>
      </c>
      <c r="J480" s="12" t="s">
        <v>1115</v>
      </c>
      <c r="K480" s="12">
        <v>1</v>
      </c>
      <c r="L480" s="12">
        <v>16</v>
      </c>
      <c r="M480" s="12"/>
      <c r="N480" s="13">
        <v>1930</v>
      </c>
      <c r="O480" s="12" t="s">
        <v>93</v>
      </c>
      <c r="P480" s="12"/>
      <c r="Q480" s="12"/>
      <c r="R480" s="12" t="s">
        <v>94</v>
      </c>
      <c r="S480" s="12">
        <v>10</v>
      </c>
      <c r="T480" s="12" t="s">
        <v>1062</v>
      </c>
      <c r="U480" s="12" t="s">
        <v>1063</v>
      </c>
      <c r="V480" s="12">
        <f>VLOOKUP(Tabla4[[#This Row],[ZONA DEFINITIVO]],Hoja1!$A$1:$D$121,3,0)</f>
        <v>229101</v>
      </c>
      <c r="W480" s="12">
        <f>VLOOKUP(Tabla4[[#This Row],[ZONA DEFINITIVO]],Hoja1!$A$1:$D$121,2,0)</f>
        <v>15186</v>
      </c>
      <c r="X480" s="12">
        <f>VLOOKUP(Tabla4[[#This Row],[ZONA DEFINITIVO]],Hoja1!$A$1:$D$121,4,0)</f>
        <v>87625</v>
      </c>
      <c r="Y480" s="12" t="str">
        <f>+IF(Tabla4[[#This Row],[AGRUPACIONES]]=1,SUMIFS(Tabla4[UDS],Tabla4[ZONA DEFINITIVO],Tabla4[[#This Row],[ZONA DEFINITIVO]])," ")</f>
        <v xml:space="preserve"> </v>
      </c>
      <c r="Z480" s="12" t="str">
        <f>+IF(Tabla4[[#This Row],[AGRUPACIONES]]=1,SUMIFS(Tabla4[TOTAL COBERTURA],Tabla4[ZONA DEFINITIVO],Tabla4[[#This Row],[ZONA DEFINITIVO]])," ")</f>
        <v xml:space="preserve"> </v>
      </c>
      <c r="AA480" s="12"/>
      <c r="AB480" s="38">
        <v>34883088</v>
      </c>
      <c r="AC480" s="37">
        <v>0.02</v>
      </c>
      <c r="AD480" s="38">
        <f t="shared" si="8"/>
        <v>697661.76</v>
      </c>
      <c r="AE480" s="12"/>
      <c r="AF480" s="12">
        <f>COUNTIF($A$20:A480,A480)</f>
        <v>30</v>
      </c>
      <c r="AG480" s="38">
        <v>34883088</v>
      </c>
      <c r="AH480" s="38">
        <f>Tabla4[[#This Row],[VALOR CONTRAPARTIDA]]+Tabla4[[#This Row],[TOTAL APORTES ICBF]]</f>
        <v>35580749.759999998</v>
      </c>
      <c r="AI480" s="35"/>
      <c r="AJ480" s="38"/>
      <c r="AK480" s="38"/>
      <c r="AL480" s="23"/>
      <c r="AM480" s="35">
        <f>VLOOKUP(Tabla4[[#This Row],[SERVICIO 2025]],$J$2:$V$14,5,0)*Tabla4[[#This Row],[TOTAL COBERTURA]]</f>
        <v>790016</v>
      </c>
      <c r="AN480" s="35">
        <f>VLOOKUP(Tabla4[[#This Row],[SERVICIO 2025]],$J$2:$V$14,6,0)*Tabla4[[#This Row],[TOTAL COBERTURA]]</f>
        <v>656464</v>
      </c>
      <c r="AO480" s="35">
        <f>VLOOKUP(Tabla4[[#This Row],[SERVICIO 2025]],$J$2:$V$14,8,0)*Tabla4[[#This Row],[TOTAL COBERTURA]]</f>
        <v>465600</v>
      </c>
      <c r="AP480" s="35">
        <f>VLOOKUP(Tabla4[[#This Row],[SERVICIO 2025]],$J$2:$V$14,3,0)*Tabla4[[#This Row],[TOTAL COBERTURA]]*8</f>
        <v>32971008</v>
      </c>
      <c r="AQ480" s="35"/>
      <c r="AR480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480" s="35" t="str">
        <f>+IF(Tabla4[[#This Row],[AGRUPACIONES]]=1,SUMIFS(Tabla4[VALOR TOTAL],Tabla4[ZONA DEFINITIVO],Tabla4[[#This Row],[ZONA DEFINITIVO]])," ")</f>
        <v xml:space="preserve"> </v>
      </c>
      <c r="AT480" s="27">
        <f>(VLOOKUP(Tabla4[[#This Row],[SERVICIO 2025]],$J$2:$V$14,3,0)*Tabla4[[#This Row],[TOTAL COBERTURA]])+Tabla4[[#This Row],[VALOR FASE PREPARATORIA DE ALISTAMIENTO]]+Tabla4[[#This Row],[DOTACIÓN ÚNICA]]</f>
        <v>5376992</v>
      </c>
      <c r="AU480" s="35">
        <f>(VLOOKUP(Tabla4[[#This Row],[SERVICIO 2025]],$J$2:$V$14,3,0)*Tabla4[[#This Row],[TOTAL COBERTURA]])</f>
        <v>4121376</v>
      </c>
      <c r="AV480" s="35">
        <f>(VLOOKUP(Tabla4[[#This Row],[SERVICIO 2025]],$J$2:$V$14,3,0)*Tabla4[[#This Row],[TOTAL COBERTURA]])</f>
        <v>4121376</v>
      </c>
      <c r="AW480" s="35">
        <f>(VLOOKUP(Tabla4[[#This Row],[SERVICIO 2025]],$J$2:$V$14,3,0)*Tabla4[[#This Row],[TOTAL COBERTURA]])</f>
        <v>4121376</v>
      </c>
      <c r="AX480" s="35">
        <f>(VLOOKUP(Tabla4[[#This Row],[SERVICIO 2025]],$J$2:$V$14,3,0)*Tabla4[[#This Row],[TOTAL COBERTURA]])</f>
        <v>4121376</v>
      </c>
      <c r="AY480" s="35">
        <f>(VLOOKUP(Tabla4[[#This Row],[SERVICIO 2025]],$J$2:$V$14,3,0)*Tabla4[[#This Row],[TOTAL COBERTURA]])</f>
        <v>4121376</v>
      </c>
      <c r="AZ480" s="35">
        <f>(VLOOKUP(Tabla4[[#This Row],[SERVICIO 2025]],$J$2:$V$14,3,0)*Tabla4[[#This Row],[TOTAL COBERTURA]])</f>
        <v>4121376</v>
      </c>
      <c r="BA480" s="35">
        <f>(VLOOKUP(Tabla4[[#This Row],[SERVICIO 2025]],$J$2:$V$14,3,0)*Tabla4[[#This Row],[TOTAL COBERTURA]])+Tabla4[[#This Row],[VALOR FASE PREPARATORIA DE CIERRE]]</f>
        <v>4777840</v>
      </c>
      <c r="BB480" s="35">
        <f>SUM(Tabla4[[#This Row],[DESEMBOLSO 1]:[DESEMBOLSO 8]])</f>
        <v>34883088</v>
      </c>
      <c r="BC480" s="35">
        <f>VLOOKUP(Tabla4[[#This Row],[SERVICIO 2025]],$J$2:$V$14,10,0)*Tabla4[[#This Row],[TOTAL COBERTURA]]*$W$3</f>
        <v>23089024</v>
      </c>
      <c r="BD480" s="47" t="s">
        <v>211</v>
      </c>
      <c r="BE480" s="12" t="b">
        <f>EXACT(Tabla4[[#This Row],[VALOR ATENCIÓN (8 MESES)]],Tabla4[[#This Row],[VALOR TOTAL]])</f>
        <v>1</v>
      </c>
      <c r="BF480" s="23">
        <f>Tabla4[[#This Row],[VALOR ATENCIÓN (8 MESES)]]-Tabla4[[#This Row],[VALOR TOTAL]]</f>
        <v>0</v>
      </c>
      <c r="BG480" s="12" t="b">
        <f>EXACT(Tabla4[[#This Row],[TOTAL DESEMBOLSOS]],Tabla4[[#This Row],[VALOR ATENCIÓN (8 MESES)]])</f>
        <v>1</v>
      </c>
      <c r="BH480" s="29">
        <f>Tabla4[[#This Row],[TOTAL DESEMBOLSOS]]-Tabla4[[#This Row],[VALOR ATENCIÓN (8 MESES)]]</f>
        <v>0</v>
      </c>
      <c r="BI480" t="s">
        <v>98</v>
      </c>
      <c r="BJ480">
        <v>1930</v>
      </c>
    </row>
    <row r="481" spans="1:62">
      <c r="A481" s="13">
        <v>1930</v>
      </c>
      <c r="B481" s="13" t="s">
        <v>1059</v>
      </c>
      <c r="C481" s="12" t="s">
        <v>87</v>
      </c>
      <c r="D481" s="12" t="s">
        <v>462</v>
      </c>
      <c r="E481" s="12" t="s">
        <v>1048</v>
      </c>
      <c r="F481" s="12" t="s">
        <v>18</v>
      </c>
      <c r="G481" s="12" t="s">
        <v>90</v>
      </c>
      <c r="H481" s="12" t="s">
        <v>1116</v>
      </c>
      <c r="I481" s="12">
        <v>51471152334</v>
      </c>
      <c r="J481" s="12" t="s">
        <v>1117</v>
      </c>
      <c r="K481" s="12">
        <v>1</v>
      </c>
      <c r="L481" s="12">
        <v>16</v>
      </c>
      <c r="M481" s="12"/>
      <c r="N481" s="13">
        <v>1930</v>
      </c>
      <c r="O481" s="12" t="s">
        <v>93</v>
      </c>
      <c r="P481" s="12"/>
      <c r="Q481" s="12"/>
      <c r="R481" s="12" t="s">
        <v>94</v>
      </c>
      <c r="S481" s="12">
        <v>10</v>
      </c>
      <c r="T481" s="12" t="s">
        <v>1062</v>
      </c>
      <c r="U481" s="12" t="s">
        <v>1063</v>
      </c>
      <c r="V481" s="12">
        <f>VLOOKUP(Tabla4[[#This Row],[ZONA DEFINITIVO]],Hoja1!$A$1:$D$121,3,0)</f>
        <v>229101</v>
      </c>
      <c r="W481" s="12">
        <f>VLOOKUP(Tabla4[[#This Row],[ZONA DEFINITIVO]],Hoja1!$A$1:$D$121,2,0)</f>
        <v>15186</v>
      </c>
      <c r="X481" s="12">
        <f>VLOOKUP(Tabla4[[#This Row],[ZONA DEFINITIVO]],Hoja1!$A$1:$D$121,4,0)</f>
        <v>87625</v>
      </c>
      <c r="Y481" s="12" t="str">
        <f>+IF(Tabla4[[#This Row],[AGRUPACIONES]]=1,SUMIFS(Tabla4[UDS],Tabla4[ZONA DEFINITIVO],Tabla4[[#This Row],[ZONA DEFINITIVO]])," ")</f>
        <v xml:space="preserve"> </v>
      </c>
      <c r="Z481" s="12" t="str">
        <f>+IF(Tabla4[[#This Row],[AGRUPACIONES]]=1,SUMIFS(Tabla4[TOTAL COBERTURA],Tabla4[ZONA DEFINITIVO],Tabla4[[#This Row],[ZONA DEFINITIVO]])," ")</f>
        <v xml:space="preserve"> </v>
      </c>
      <c r="AA481" s="12"/>
      <c r="AB481" s="38">
        <v>34883088</v>
      </c>
      <c r="AC481" s="37">
        <v>0.02</v>
      </c>
      <c r="AD481" s="38">
        <f t="shared" si="8"/>
        <v>697661.76</v>
      </c>
      <c r="AE481" s="12"/>
      <c r="AF481" s="12">
        <f>COUNTIF($A$20:A481,A481)</f>
        <v>31</v>
      </c>
      <c r="AG481" s="38">
        <v>34883088</v>
      </c>
      <c r="AH481" s="38">
        <f>Tabla4[[#This Row],[VALOR CONTRAPARTIDA]]+Tabla4[[#This Row],[TOTAL APORTES ICBF]]</f>
        <v>35580749.759999998</v>
      </c>
      <c r="AI481" s="35"/>
      <c r="AJ481" s="38"/>
      <c r="AK481" s="38"/>
      <c r="AL481" s="23"/>
      <c r="AM481" s="35">
        <f>VLOOKUP(Tabla4[[#This Row],[SERVICIO 2025]],$J$2:$V$14,5,0)*Tabla4[[#This Row],[TOTAL COBERTURA]]</f>
        <v>790016</v>
      </c>
      <c r="AN481" s="35">
        <f>VLOOKUP(Tabla4[[#This Row],[SERVICIO 2025]],$J$2:$V$14,6,0)*Tabla4[[#This Row],[TOTAL COBERTURA]]</f>
        <v>656464</v>
      </c>
      <c r="AO481" s="35">
        <f>VLOOKUP(Tabla4[[#This Row],[SERVICIO 2025]],$J$2:$V$14,8,0)*Tabla4[[#This Row],[TOTAL COBERTURA]]</f>
        <v>465600</v>
      </c>
      <c r="AP481" s="35">
        <f>VLOOKUP(Tabla4[[#This Row],[SERVICIO 2025]],$J$2:$V$14,3,0)*Tabla4[[#This Row],[TOTAL COBERTURA]]*8</f>
        <v>32971008</v>
      </c>
      <c r="AQ481" s="35"/>
      <c r="AR481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481" s="35" t="str">
        <f>+IF(Tabla4[[#This Row],[AGRUPACIONES]]=1,SUMIFS(Tabla4[VALOR TOTAL],Tabla4[ZONA DEFINITIVO],Tabla4[[#This Row],[ZONA DEFINITIVO]])," ")</f>
        <v xml:space="preserve"> </v>
      </c>
      <c r="AT481" s="27">
        <f>(VLOOKUP(Tabla4[[#This Row],[SERVICIO 2025]],$J$2:$V$14,3,0)*Tabla4[[#This Row],[TOTAL COBERTURA]])+Tabla4[[#This Row],[VALOR FASE PREPARATORIA DE ALISTAMIENTO]]+Tabla4[[#This Row],[DOTACIÓN ÚNICA]]</f>
        <v>5376992</v>
      </c>
      <c r="AU481" s="35">
        <f>(VLOOKUP(Tabla4[[#This Row],[SERVICIO 2025]],$J$2:$V$14,3,0)*Tabla4[[#This Row],[TOTAL COBERTURA]])</f>
        <v>4121376</v>
      </c>
      <c r="AV481" s="35">
        <f>(VLOOKUP(Tabla4[[#This Row],[SERVICIO 2025]],$J$2:$V$14,3,0)*Tabla4[[#This Row],[TOTAL COBERTURA]])</f>
        <v>4121376</v>
      </c>
      <c r="AW481" s="35">
        <f>(VLOOKUP(Tabla4[[#This Row],[SERVICIO 2025]],$J$2:$V$14,3,0)*Tabla4[[#This Row],[TOTAL COBERTURA]])</f>
        <v>4121376</v>
      </c>
      <c r="AX481" s="35">
        <f>(VLOOKUP(Tabla4[[#This Row],[SERVICIO 2025]],$J$2:$V$14,3,0)*Tabla4[[#This Row],[TOTAL COBERTURA]])</f>
        <v>4121376</v>
      </c>
      <c r="AY481" s="35">
        <f>(VLOOKUP(Tabla4[[#This Row],[SERVICIO 2025]],$J$2:$V$14,3,0)*Tabla4[[#This Row],[TOTAL COBERTURA]])</f>
        <v>4121376</v>
      </c>
      <c r="AZ481" s="35">
        <f>(VLOOKUP(Tabla4[[#This Row],[SERVICIO 2025]],$J$2:$V$14,3,0)*Tabla4[[#This Row],[TOTAL COBERTURA]])</f>
        <v>4121376</v>
      </c>
      <c r="BA481" s="35">
        <f>(VLOOKUP(Tabla4[[#This Row],[SERVICIO 2025]],$J$2:$V$14,3,0)*Tabla4[[#This Row],[TOTAL COBERTURA]])+Tabla4[[#This Row],[VALOR FASE PREPARATORIA DE CIERRE]]</f>
        <v>4777840</v>
      </c>
      <c r="BB481" s="35">
        <f>SUM(Tabla4[[#This Row],[DESEMBOLSO 1]:[DESEMBOLSO 8]])</f>
        <v>34883088</v>
      </c>
      <c r="BC481" s="35">
        <f>VLOOKUP(Tabla4[[#This Row],[SERVICIO 2025]],$J$2:$V$14,10,0)*Tabla4[[#This Row],[TOTAL COBERTURA]]*$W$3</f>
        <v>23089024</v>
      </c>
      <c r="BD481" s="47" t="s">
        <v>211</v>
      </c>
      <c r="BE481" s="12" t="b">
        <f>EXACT(Tabla4[[#This Row],[VALOR ATENCIÓN (8 MESES)]],Tabla4[[#This Row],[VALOR TOTAL]])</f>
        <v>1</v>
      </c>
      <c r="BF481" s="23">
        <f>Tabla4[[#This Row],[VALOR ATENCIÓN (8 MESES)]]-Tabla4[[#This Row],[VALOR TOTAL]]</f>
        <v>0</v>
      </c>
      <c r="BG481" s="12" t="b">
        <f>EXACT(Tabla4[[#This Row],[TOTAL DESEMBOLSOS]],Tabla4[[#This Row],[VALOR ATENCIÓN (8 MESES)]])</f>
        <v>1</v>
      </c>
      <c r="BH481" s="29">
        <f>Tabla4[[#This Row],[TOTAL DESEMBOLSOS]]-Tabla4[[#This Row],[VALOR ATENCIÓN (8 MESES)]]</f>
        <v>0</v>
      </c>
      <c r="BI481" t="s">
        <v>98</v>
      </c>
      <c r="BJ481">
        <v>1930</v>
      </c>
    </row>
    <row r="482" spans="1:62">
      <c r="A482" s="13">
        <v>1930</v>
      </c>
      <c r="B482" s="13" t="s">
        <v>1059</v>
      </c>
      <c r="C482" s="12" t="s">
        <v>87</v>
      </c>
      <c r="D482" s="12" t="s">
        <v>462</v>
      </c>
      <c r="E482" s="12" t="s">
        <v>1048</v>
      </c>
      <c r="F482" s="12" t="s">
        <v>18</v>
      </c>
      <c r="G482" s="12" t="s">
        <v>90</v>
      </c>
      <c r="H482" s="12" t="s">
        <v>1118</v>
      </c>
      <c r="I482" s="12">
        <v>51471152337</v>
      </c>
      <c r="J482" s="12" t="s">
        <v>1119</v>
      </c>
      <c r="K482" s="12">
        <v>1</v>
      </c>
      <c r="L482" s="12">
        <v>16</v>
      </c>
      <c r="M482" s="12"/>
      <c r="N482" s="13">
        <v>1930</v>
      </c>
      <c r="O482" s="12" t="s">
        <v>93</v>
      </c>
      <c r="P482" s="12"/>
      <c r="Q482" s="12"/>
      <c r="R482" s="12" t="s">
        <v>94</v>
      </c>
      <c r="S482" s="12">
        <v>10</v>
      </c>
      <c r="T482" s="12" t="s">
        <v>1062</v>
      </c>
      <c r="U482" s="12" t="s">
        <v>1063</v>
      </c>
      <c r="V482" s="12">
        <f>VLOOKUP(Tabla4[[#This Row],[ZONA DEFINITIVO]],Hoja1!$A$1:$D$121,3,0)</f>
        <v>229101</v>
      </c>
      <c r="W482" s="12">
        <f>VLOOKUP(Tabla4[[#This Row],[ZONA DEFINITIVO]],Hoja1!$A$1:$D$121,2,0)</f>
        <v>15186</v>
      </c>
      <c r="X482" s="12">
        <f>VLOOKUP(Tabla4[[#This Row],[ZONA DEFINITIVO]],Hoja1!$A$1:$D$121,4,0)</f>
        <v>87625</v>
      </c>
      <c r="Y482" s="12" t="str">
        <f>+IF(Tabla4[[#This Row],[AGRUPACIONES]]=1,SUMIFS(Tabla4[UDS],Tabla4[ZONA DEFINITIVO],Tabla4[[#This Row],[ZONA DEFINITIVO]])," ")</f>
        <v xml:space="preserve"> </v>
      </c>
      <c r="Z482" s="12" t="str">
        <f>+IF(Tabla4[[#This Row],[AGRUPACIONES]]=1,SUMIFS(Tabla4[TOTAL COBERTURA],Tabla4[ZONA DEFINITIVO],Tabla4[[#This Row],[ZONA DEFINITIVO]])," ")</f>
        <v xml:space="preserve"> </v>
      </c>
      <c r="AA482" s="12"/>
      <c r="AB482" s="38">
        <v>34883088</v>
      </c>
      <c r="AC482" s="37">
        <v>0.02</v>
      </c>
      <c r="AD482" s="38">
        <f t="shared" si="8"/>
        <v>697661.76</v>
      </c>
      <c r="AE482" s="12"/>
      <c r="AF482" s="12">
        <f>COUNTIF($A$20:A482,A482)</f>
        <v>32</v>
      </c>
      <c r="AG482" s="38">
        <v>34883088</v>
      </c>
      <c r="AH482" s="38">
        <f>Tabla4[[#This Row],[VALOR CONTRAPARTIDA]]+Tabla4[[#This Row],[TOTAL APORTES ICBF]]</f>
        <v>35580749.759999998</v>
      </c>
      <c r="AI482" s="35"/>
      <c r="AJ482" s="38"/>
      <c r="AK482" s="38"/>
      <c r="AL482" s="23"/>
      <c r="AM482" s="35">
        <f>VLOOKUP(Tabla4[[#This Row],[SERVICIO 2025]],$J$2:$V$14,5,0)*Tabla4[[#This Row],[TOTAL COBERTURA]]</f>
        <v>790016</v>
      </c>
      <c r="AN482" s="35">
        <f>VLOOKUP(Tabla4[[#This Row],[SERVICIO 2025]],$J$2:$V$14,6,0)*Tabla4[[#This Row],[TOTAL COBERTURA]]</f>
        <v>656464</v>
      </c>
      <c r="AO482" s="35">
        <f>VLOOKUP(Tabla4[[#This Row],[SERVICIO 2025]],$J$2:$V$14,8,0)*Tabla4[[#This Row],[TOTAL COBERTURA]]</f>
        <v>465600</v>
      </c>
      <c r="AP482" s="35">
        <f>VLOOKUP(Tabla4[[#This Row],[SERVICIO 2025]],$J$2:$V$14,3,0)*Tabla4[[#This Row],[TOTAL COBERTURA]]*8</f>
        <v>32971008</v>
      </c>
      <c r="AQ482" s="35"/>
      <c r="AR482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482" s="35" t="str">
        <f>+IF(Tabla4[[#This Row],[AGRUPACIONES]]=1,SUMIFS(Tabla4[VALOR TOTAL],Tabla4[ZONA DEFINITIVO],Tabla4[[#This Row],[ZONA DEFINITIVO]])," ")</f>
        <v xml:space="preserve"> </v>
      </c>
      <c r="AT482" s="27">
        <f>(VLOOKUP(Tabla4[[#This Row],[SERVICIO 2025]],$J$2:$V$14,3,0)*Tabla4[[#This Row],[TOTAL COBERTURA]])+Tabla4[[#This Row],[VALOR FASE PREPARATORIA DE ALISTAMIENTO]]+Tabla4[[#This Row],[DOTACIÓN ÚNICA]]</f>
        <v>5376992</v>
      </c>
      <c r="AU482" s="35">
        <f>(VLOOKUP(Tabla4[[#This Row],[SERVICIO 2025]],$J$2:$V$14,3,0)*Tabla4[[#This Row],[TOTAL COBERTURA]])</f>
        <v>4121376</v>
      </c>
      <c r="AV482" s="35">
        <f>(VLOOKUP(Tabla4[[#This Row],[SERVICIO 2025]],$J$2:$V$14,3,0)*Tabla4[[#This Row],[TOTAL COBERTURA]])</f>
        <v>4121376</v>
      </c>
      <c r="AW482" s="35">
        <f>(VLOOKUP(Tabla4[[#This Row],[SERVICIO 2025]],$J$2:$V$14,3,0)*Tabla4[[#This Row],[TOTAL COBERTURA]])</f>
        <v>4121376</v>
      </c>
      <c r="AX482" s="35">
        <f>(VLOOKUP(Tabla4[[#This Row],[SERVICIO 2025]],$J$2:$V$14,3,0)*Tabla4[[#This Row],[TOTAL COBERTURA]])</f>
        <v>4121376</v>
      </c>
      <c r="AY482" s="35">
        <f>(VLOOKUP(Tabla4[[#This Row],[SERVICIO 2025]],$J$2:$V$14,3,0)*Tabla4[[#This Row],[TOTAL COBERTURA]])</f>
        <v>4121376</v>
      </c>
      <c r="AZ482" s="35">
        <f>(VLOOKUP(Tabla4[[#This Row],[SERVICIO 2025]],$J$2:$V$14,3,0)*Tabla4[[#This Row],[TOTAL COBERTURA]])</f>
        <v>4121376</v>
      </c>
      <c r="BA482" s="35">
        <f>(VLOOKUP(Tabla4[[#This Row],[SERVICIO 2025]],$J$2:$V$14,3,0)*Tabla4[[#This Row],[TOTAL COBERTURA]])+Tabla4[[#This Row],[VALOR FASE PREPARATORIA DE CIERRE]]</f>
        <v>4777840</v>
      </c>
      <c r="BB482" s="35">
        <f>SUM(Tabla4[[#This Row],[DESEMBOLSO 1]:[DESEMBOLSO 8]])</f>
        <v>34883088</v>
      </c>
      <c r="BC482" s="35">
        <f>VLOOKUP(Tabla4[[#This Row],[SERVICIO 2025]],$J$2:$V$14,10,0)*Tabla4[[#This Row],[TOTAL COBERTURA]]*$W$3</f>
        <v>23089024</v>
      </c>
      <c r="BD482" s="47" t="s">
        <v>211</v>
      </c>
      <c r="BE482" s="12" t="b">
        <f>EXACT(Tabla4[[#This Row],[VALOR ATENCIÓN (8 MESES)]],Tabla4[[#This Row],[VALOR TOTAL]])</f>
        <v>1</v>
      </c>
      <c r="BF482" s="23">
        <f>Tabla4[[#This Row],[VALOR ATENCIÓN (8 MESES)]]-Tabla4[[#This Row],[VALOR TOTAL]]</f>
        <v>0</v>
      </c>
      <c r="BG482" s="12" t="b">
        <f>EXACT(Tabla4[[#This Row],[TOTAL DESEMBOLSOS]],Tabla4[[#This Row],[VALOR ATENCIÓN (8 MESES)]])</f>
        <v>1</v>
      </c>
      <c r="BH482" s="29">
        <f>Tabla4[[#This Row],[TOTAL DESEMBOLSOS]]-Tabla4[[#This Row],[VALOR ATENCIÓN (8 MESES)]]</f>
        <v>0</v>
      </c>
      <c r="BI482" t="s">
        <v>98</v>
      </c>
      <c r="BJ482">
        <v>1930</v>
      </c>
    </row>
    <row r="483" spans="1:62">
      <c r="A483" s="13">
        <v>1930</v>
      </c>
      <c r="B483" s="13" t="s">
        <v>1059</v>
      </c>
      <c r="C483" s="12" t="s">
        <v>87</v>
      </c>
      <c r="D483" s="12" t="s">
        <v>462</v>
      </c>
      <c r="E483" s="12" t="s">
        <v>1048</v>
      </c>
      <c r="F483" s="12" t="s">
        <v>18</v>
      </c>
      <c r="G483" s="12" t="s">
        <v>90</v>
      </c>
      <c r="H483" s="12" t="s">
        <v>1120</v>
      </c>
      <c r="I483" s="12">
        <v>51471152338</v>
      </c>
      <c r="J483" s="12" t="s">
        <v>1121</v>
      </c>
      <c r="K483" s="12">
        <v>1</v>
      </c>
      <c r="L483" s="12">
        <v>16</v>
      </c>
      <c r="M483" s="12"/>
      <c r="N483" s="13">
        <v>1930</v>
      </c>
      <c r="O483" s="12" t="s">
        <v>93</v>
      </c>
      <c r="P483" s="12"/>
      <c r="Q483" s="12"/>
      <c r="R483" s="12" t="s">
        <v>94</v>
      </c>
      <c r="S483" s="12">
        <v>10</v>
      </c>
      <c r="T483" s="12" t="s">
        <v>1062</v>
      </c>
      <c r="U483" s="12" t="s">
        <v>1063</v>
      </c>
      <c r="V483" s="12">
        <f>VLOOKUP(Tabla4[[#This Row],[ZONA DEFINITIVO]],Hoja1!$A$1:$D$121,3,0)</f>
        <v>229101</v>
      </c>
      <c r="W483" s="12">
        <f>VLOOKUP(Tabla4[[#This Row],[ZONA DEFINITIVO]],Hoja1!$A$1:$D$121,2,0)</f>
        <v>15186</v>
      </c>
      <c r="X483" s="12">
        <f>VLOOKUP(Tabla4[[#This Row],[ZONA DEFINITIVO]],Hoja1!$A$1:$D$121,4,0)</f>
        <v>87625</v>
      </c>
      <c r="Y483" s="12" t="str">
        <f>+IF(Tabla4[[#This Row],[AGRUPACIONES]]=1,SUMIFS(Tabla4[UDS],Tabla4[ZONA DEFINITIVO],Tabla4[[#This Row],[ZONA DEFINITIVO]])," ")</f>
        <v xml:space="preserve"> </v>
      </c>
      <c r="Z483" s="12" t="str">
        <f>+IF(Tabla4[[#This Row],[AGRUPACIONES]]=1,SUMIFS(Tabla4[TOTAL COBERTURA],Tabla4[ZONA DEFINITIVO],Tabla4[[#This Row],[ZONA DEFINITIVO]])," ")</f>
        <v xml:space="preserve"> </v>
      </c>
      <c r="AA483" s="12"/>
      <c r="AB483" s="38">
        <v>34883088</v>
      </c>
      <c r="AC483" s="37">
        <v>0.02</v>
      </c>
      <c r="AD483" s="38">
        <f t="shared" si="8"/>
        <v>697661.76</v>
      </c>
      <c r="AE483" s="12"/>
      <c r="AF483" s="12">
        <f>COUNTIF($A$20:A483,A483)</f>
        <v>33</v>
      </c>
      <c r="AG483" s="38">
        <v>34883088</v>
      </c>
      <c r="AH483" s="38">
        <f>Tabla4[[#This Row],[VALOR CONTRAPARTIDA]]+Tabla4[[#This Row],[TOTAL APORTES ICBF]]</f>
        <v>35580749.759999998</v>
      </c>
      <c r="AI483" s="35"/>
      <c r="AJ483" s="38"/>
      <c r="AK483" s="38"/>
      <c r="AL483" s="23"/>
      <c r="AM483" s="35">
        <f>VLOOKUP(Tabla4[[#This Row],[SERVICIO 2025]],$J$2:$V$14,5,0)*Tabla4[[#This Row],[TOTAL COBERTURA]]</f>
        <v>790016</v>
      </c>
      <c r="AN483" s="35">
        <f>VLOOKUP(Tabla4[[#This Row],[SERVICIO 2025]],$J$2:$V$14,6,0)*Tabla4[[#This Row],[TOTAL COBERTURA]]</f>
        <v>656464</v>
      </c>
      <c r="AO483" s="35">
        <f>VLOOKUP(Tabla4[[#This Row],[SERVICIO 2025]],$J$2:$V$14,8,0)*Tabla4[[#This Row],[TOTAL COBERTURA]]</f>
        <v>465600</v>
      </c>
      <c r="AP483" s="35">
        <f>VLOOKUP(Tabla4[[#This Row],[SERVICIO 2025]],$J$2:$V$14,3,0)*Tabla4[[#This Row],[TOTAL COBERTURA]]*8</f>
        <v>32971008</v>
      </c>
      <c r="AQ483" s="35"/>
      <c r="AR483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483" s="35" t="str">
        <f>+IF(Tabla4[[#This Row],[AGRUPACIONES]]=1,SUMIFS(Tabla4[VALOR TOTAL],Tabla4[ZONA DEFINITIVO],Tabla4[[#This Row],[ZONA DEFINITIVO]])," ")</f>
        <v xml:space="preserve"> </v>
      </c>
      <c r="AT483" s="27">
        <f>(VLOOKUP(Tabla4[[#This Row],[SERVICIO 2025]],$J$2:$V$14,3,0)*Tabla4[[#This Row],[TOTAL COBERTURA]])+Tabla4[[#This Row],[VALOR FASE PREPARATORIA DE ALISTAMIENTO]]+Tabla4[[#This Row],[DOTACIÓN ÚNICA]]</f>
        <v>5376992</v>
      </c>
      <c r="AU483" s="35">
        <f>(VLOOKUP(Tabla4[[#This Row],[SERVICIO 2025]],$J$2:$V$14,3,0)*Tabla4[[#This Row],[TOTAL COBERTURA]])</f>
        <v>4121376</v>
      </c>
      <c r="AV483" s="35">
        <f>(VLOOKUP(Tabla4[[#This Row],[SERVICIO 2025]],$J$2:$V$14,3,0)*Tabla4[[#This Row],[TOTAL COBERTURA]])</f>
        <v>4121376</v>
      </c>
      <c r="AW483" s="35">
        <f>(VLOOKUP(Tabla4[[#This Row],[SERVICIO 2025]],$J$2:$V$14,3,0)*Tabla4[[#This Row],[TOTAL COBERTURA]])</f>
        <v>4121376</v>
      </c>
      <c r="AX483" s="35">
        <f>(VLOOKUP(Tabla4[[#This Row],[SERVICIO 2025]],$J$2:$V$14,3,0)*Tabla4[[#This Row],[TOTAL COBERTURA]])</f>
        <v>4121376</v>
      </c>
      <c r="AY483" s="35">
        <f>(VLOOKUP(Tabla4[[#This Row],[SERVICIO 2025]],$J$2:$V$14,3,0)*Tabla4[[#This Row],[TOTAL COBERTURA]])</f>
        <v>4121376</v>
      </c>
      <c r="AZ483" s="35">
        <f>(VLOOKUP(Tabla4[[#This Row],[SERVICIO 2025]],$J$2:$V$14,3,0)*Tabla4[[#This Row],[TOTAL COBERTURA]])</f>
        <v>4121376</v>
      </c>
      <c r="BA483" s="35">
        <f>(VLOOKUP(Tabla4[[#This Row],[SERVICIO 2025]],$J$2:$V$14,3,0)*Tabla4[[#This Row],[TOTAL COBERTURA]])+Tabla4[[#This Row],[VALOR FASE PREPARATORIA DE CIERRE]]</f>
        <v>4777840</v>
      </c>
      <c r="BB483" s="35">
        <f>SUM(Tabla4[[#This Row],[DESEMBOLSO 1]:[DESEMBOLSO 8]])</f>
        <v>34883088</v>
      </c>
      <c r="BC483" s="35">
        <f>VLOOKUP(Tabla4[[#This Row],[SERVICIO 2025]],$J$2:$V$14,10,0)*Tabla4[[#This Row],[TOTAL COBERTURA]]*$W$3</f>
        <v>23089024</v>
      </c>
      <c r="BD483" s="47" t="s">
        <v>211</v>
      </c>
      <c r="BE483" s="12" t="b">
        <f>EXACT(Tabla4[[#This Row],[VALOR ATENCIÓN (8 MESES)]],Tabla4[[#This Row],[VALOR TOTAL]])</f>
        <v>1</v>
      </c>
      <c r="BF483" s="23">
        <f>Tabla4[[#This Row],[VALOR ATENCIÓN (8 MESES)]]-Tabla4[[#This Row],[VALOR TOTAL]]</f>
        <v>0</v>
      </c>
      <c r="BG483" s="12" t="b">
        <f>EXACT(Tabla4[[#This Row],[TOTAL DESEMBOLSOS]],Tabla4[[#This Row],[VALOR ATENCIÓN (8 MESES)]])</f>
        <v>1</v>
      </c>
      <c r="BH483" s="29">
        <f>Tabla4[[#This Row],[TOTAL DESEMBOLSOS]]-Tabla4[[#This Row],[VALOR ATENCIÓN (8 MESES)]]</f>
        <v>0</v>
      </c>
      <c r="BI483" t="s">
        <v>98</v>
      </c>
      <c r="BJ483">
        <v>1930</v>
      </c>
    </row>
    <row r="484" spans="1:62">
      <c r="A484" s="13">
        <v>1930</v>
      </c>
      <c r="B484" s="13" t="s">
        <v>1059</v>
      </c>
      <c r="C484" s="12" t="s">
        <v>87</v>
      </c>
      <c r="D484" s="12" t="s">
        <v>462</v>
      </c>
      <c r="E484" s="12" t="s">
        <v>1048</v>
      </c>
      <c r="F484" s="12" t="s">
        <v>18</v>
      </c>
      <c r="G484" s="12" t="s">
        <v>90</v>
      </c>
      <c r="H484" s="12" t="s">
        <v>1122</v>
      </c>
      <c r="I484" s="12">
        <v>51471153408</v>
      </c>
      <c r="J484" s="12" t="s">
        <v>1123</v>
      </c>
      <c r="K484" s="12">
        <v>1</v>
      </c>
      <c r="L484" s="12">
        <v>14</v>
      </c>
      <c r="M484" s="12"/>
      <c r="N484" s="13">
        <v>1930</v>
      </c>
      <c r="O484" s="12" t="s">
        <v>93</v>
      </c>
      <c r="P484" s="12"/>
      <c r="Q484" s="12"/>
      <c r="R484" s="12" t="s">
        <v>94</v>
      </c>
      <c r="S484" s="12">
        <v>10</v>
      </c>
      <c r="T484" s="12" t="s">
        <v>1062</v>
      </c>
      <c r="U484" s="12" t="s">
        <v>1063</v>
      </c>
      <c r="V484" s="12">
        <f>VLOOKUP(Tabla4[[#This Row],[ZONA DEFINITIVO]],Hoja1!$A$1:$D$121,3,0)</f>
        <v>229101</v>
      </c>
      <c r="W484" s="12">
        <f>VLOOKUP(Tabla4[[#This Row],[ZONA DEFINITIVO]],Hoja1!$A$1:$D$121,2,0)</f>
        <v>15186</v>
      </c>
      <c r="X484" s="12">
        <f>VLOOKUP(Tabla4[[#This Row],[ZONA DEFINITIVO]],Hoja1!$A$1:$D$121,4,0)</f>
        <v>87625</v>
      </c>
      <c r="Y484" s="12" t="str">
        <f>+IF(Tabla4[[#This Row],[AGRUPACIONES]]=1,SUMIFS(Tabla4[UDS],Tabla4[ZONA DEFINITIVO],Tabla4[[#This Row],[ZONA DEFINITIVO]])," ")</f>
        <v xml:space="preserve"> </v>
      </c>
      <c r="Z484" s="12" t="str">
        <f>+IF(Tabla4[[#This Row],[AGRUPACIONES]]=1,SUMIFS(Tabla4[TOTAL COBERTURA],Tabla4[ZONA DEFINITIVO],Tabla4[[#This Row],[ZONA DEFINITIVO]])," ")</f>
        <v xml:space="preserve"> </v>
      </c>
      <c r="AA484" s="12"/>
      <c r="AB484" s="38">
        <v>30522702</v>
      </c>
      <c r="AC484" s="37">
        <v>0.02</v>
      </c>
      <c r="AD484" s="38">
        <f t="shared" si="8"/>
        <v>610454.04</v>
      </c>
      <c r="AE484" s="12"/>
      <c r="AF484" s="12">
        <f>COUNTIF($A$20:A484,A484)</f>
        <v>34</v>
      </c>
      <c r="AG484" s="38">
        <v>30522702</v>
      </c>
      <c r="AH484" s="38">
        <f>Tabla4[[#This Row],[VALOR CONTRAPARTIDA]]+Tabla4[[#This Row],[TOTAL APORTES ICBF]]</f>
        <v>31133156.039999999</v>
      </c>
      <c r="AI484" s="35"/>
      <c r="AJ484" s="38"/>
      <c r="AK484" s="38"/>
      <c r="AL484" s="23"/>
      <c r="AM484" s="35">
        <f>VLOOKUP(Tabla4[[#This Row],[SERVICIO 2025]],$J$2:$V$14,5,0)*Tabla4[[#This Row],[TOTAL COBERTURA]]</f>
        <v>691264</v>
      </c>
      <c r="AN484" s="35">
        <f>VLOOKUP(Tabla4[[#This Row],[SERVICIO 2025]],$J$2:$V$14,6,0)*Tabla4[[#This Row],[TOTAL COBERTURA]]</f>
        <v>574406</v>
      </c>
      <c r="AO484" s="35">
        <f>VLOOKUP(Tabla4[[#This Row],[SERVICIO 2025]],$J$2:$V$14,8,0)*Tabla4[[#This Row],[TOTAL COBERTURA]]</f>
        <v>407400</v>
      </c>
      <c r="AP484" s="35">
        <f>VLOOKUP(Tabla4[[#This Row],[SERVICIO 2025]],$J$2:$V$14,3,0)*Tabla4[[#This Row],[TOTAL COBERTURA]]*8</f>
        <v>28849632</v>
      </c>
      <c r="AQ484" s="35"/>
      <c r="AR484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484" s="35" t="str">
        <f>+IF(Tabla4[[#This Row],[AGRUPACIONES]]=1,SUMIFS(Tabla4[VALOR TOTAL],Tabla4[ZONA DEFINITIVO],Tabla4[[#This Row],[ZONA DEFINITIVO]])," ")</f>
        <v xml:space="preserve"> </v>
      </c>
      <c r="AT484" s="27">
        <f>(VLOOKUP(Tabla4[[#This Row],[SERVICIO 2025]],$J$2:$V$14,3,0)*Tabla4[[#This Row],[TOTAL COBERTURA]])+Tabla4[[#This Row],[VALOR FASE PREPARATORIA DE ALISTAMIENTO]]+Tabla4[[#This Row],[DOTACIÓN ÚNICA]]</f>
        <v>4704868</v>
      </c>
      <c r="AU484" s="35">
        <f>(VLOOKUP(Tabla4[[#This Row],[SERVICIO 2025]],$J$2:$V$14,3,0)*Tabla4[[#This Row],[TOTAL COBERTURA]])</f>
        <v>3606204</v>
      </c>
      <c r="AV484" s="35">
        <f>(VLOOKUP(Tabla4[[#This Row],[SERVICIO 2025]],$J$2:$V$14,3,0)*Tabla4[[#This Row],[TOTAL COBERTURA]])</f>
        <v>3606204</v>
      </c>
      <c r="AW484" s="35">
        <f>(VLOOKUP(Tabla4[[#This Row],[SERVICIO 2025]],$J$2:$V$14,3,0)*Tabla4[[#This Row],[TOTAL COBERTURA]])</f>
        <v>3606204</v>
      </c>
      <c r="AX484" s="35">
        <f>(VLOOKUP(Tabla4[[#This Row],[SERVICIO 2025]],$J$2:$V$14,3,0)*Tabla4[[#This Row],[TOTAL COBERTURA]])</f>
        <v>3606204</v>
      </c>
      <c r="AY484" s="35">
        <f>(VLOOKUP(Tabla4[[#This Row],[SERVICIO 2025]],$J$2:$V$14,3,0)*Tabla4[[#This Row],[TOTAL COBERTURA]])</f>
        <v>3606204</v>
      </c>
      <c r="AZ484" s="35">
        <f>(VLOOKUP(Tabla4[[#This Row],[SERVICIO 2025]],$J$2:$V$14,3,0)*Tabla4[[#This Row],[TOTAL COBERTURA]])</f>
        <v>3606204</v>
      </c>
      <c r="BA484" s="35">
        <f>(VLOOKUP(Tabla4[[#This Row],[SERVICIO 2025]],$J$2:$V$14,3,0)*Tabla4[[#This Row],[TOTAL COBERTURA]])+Tabla4[[#This Row],[VALOR FASE PREPARATORIA DE CIERRE]]</f>
        <v>4180610</v>
      </c>
      <c r="BB484" s="35">
        <f>SUM(Tabla4[[#This Row],[DESEMBOLSO 1]:[DESEMBOLSO 8]])</f>
        <v>30522702</v>
      </c>
      <c r="BC484" s="35">
        <f>VLOOKUP(Tabla4[[#This Row],[SERVICIO 2025]],$J$2:$V$14,10,0)*Tabla4[[#This Row],[TOTAL COBERTURA]]*$W$3</f>
        <v>20202896</v>
      </c>
      <c r="BD484" s="47" t="s">
        <v>211</v>
      </c>
      <c r="BE484" s="12" t="b">
        <f>EXACT(Tabla4[[#This Row],[VALOR ATENCIÓN (8 MESES)]],Tabla4[[#This Row],[VALOR TOTAL]])</f>
        <v>1</v>
      </c>
      <c r="BF484" s="23">
        <f>Tabla4[[#This Row],[VALOR ATENCIÓN (8 MESES)]]-Tabla4[[#This Row],[VALOR TOTAL]]</f>
        <v>0</v>
      </c>
      <c r="BG484" s="12" t="b">
        <f>EXACT(Tabla4[[#This Row],[TOTAL DESEMBOLSOS]],Tabla4[[#This Row],[VALOR ATENCIÓN (8 MESES)]])</f>
        <v>1</v>
      </c>
      <c r="BH484" s="29">
        <f>Tabla4[[#This Row],[TOTAL DESEMBOLSOS]]-Tabla4[[#This Row],[VALOR ATENCIÓN (8 MESES)]]</f>
        <v>0</v>
      </c>
      <c r="BI484" t="s">
        <v>98</v>
      </c>
      <c r="BJ484">
        <v>1930</v>
      </c>
    </row>
    <row r="485" spans="1:62">
      <c r="A485" s="13">
        <v>1930</v>
      </c>
      <c r="B485" s="13" t="s">
        <v>1059</v>
      </c>
      <c r="C485" s="12" t="s">
        <v>87</v>
      </c>
      <c r="D485" s="12" t="s">
        <v>462</v>
      </c>
      <c r="E485" s="12" t="s">
        <v>1048</v>
      </c>
      <c r="F485" s="12" t="s">
        <v>18</v>
      </c>
      <c r="G485" s="12" t="s">
        <v>90</v>
      </c>
      <c r="H485" s="12" t="s">
        <v>1124</v>
      </c>
      <c r="I485" s="12">
        <v>514700111684</v>
      </c>
      <c r="J485" s="12" t="s">
        <v>1125</v>
      </c>
      <c r="K485" s="12">
        <v>1</v>
      </c>
      <c r="L485" s="12">
        <v>17</v>
      </c>
      <c r="M485" s="12"/>
      <c r="N485" s="13">
        <v>1930</v>
      </c>
      <c r="O485" s="12" t="s">
        <v>93</v>
      </c>
      <c r="P485" s="12"/>
      <c r="Q485" s="12"/>
      <c r="R485" s="12" t="s">
        <v>94</v>
      </c>
      <c r="S485" s="12">
        <v>10</v>
      </c>
      <c r="T485" s="12" t="s">
        <v>1062</v>
      </c>
      <c r="U485" s="12" t="s">
        <v>1063</v>
      </c>
      <c r="V485" s="12">
        <f>VLOOKUP(Tabla4[[#This Row],[ZONA DEFINITIVO]],Hoja1!$A$1:$D$121,3,0)</f>
        <v>229101</v>
      </c>
      <c r="W485" s="12">
        <f>VLOOKUP(Tabla4[[#This Row],[ZONA DEFINITIVO]],Hoja1!$A$1:$D$121,2,0)</f>
        <v>15186</v>
      </c>
      <c r="X485" s="12">
        <f>VLOOKUP(Tabla4[[#This Row],[ZONA DEFINITIVO]],Hoja1!$A$1:$D$121,4,0)</f>
        <v>87625</v>
      </c>
      <c r="Y485" s="12" t="str">
        <f>+IF(Tabla4[[#This Row],[AGRUPACIONES]]=1,SUMIFS(Tabla4[UDS],Tabla4[ZONA DEFINITIVO],Tabla4[[#This Row],[ZONA DEFINITIVO]])," ")</f>
        <v xml:space="preserve"> </v>
      </c>
      <c r="Z485" s="12" t="str">
        <f>+IF(Tabla4[[#This Row],[AGRUPACIONES]]=1,SUMIFS(Tabla4[TOTAL COBERTURA],Tabla4[ZONA DEFINITIVO],Tabla4[[#This Row],[ZONA DEFINITIVO]])," ")</f>
        <v xml:space="preserve"> </v>
      </c>
      <c r="AA485" s="12"/>
      <c r="AB485" s="38">
        <v>37063281</v>
      </c>
      <c r="AC485" s="37">
        <v>0.02</v>
      </c>
      <c r="AD485" s="38">
        <f t="shared" si="8"/>
        <v>741265.62</v>
      </c>
      <c r="AE485" s="12"/>
      <c r="AF485" s="12">
        <f>COUNTIF($A$20:A485,A485)</f>
        <v>35</v>
      </c>
      <c r="AG485" s="38">
        <v>37063281</v>
      </c>
      <c r="AH485" s="38">
        <f>Tabla4[[#This Row],[VALOR CONTRAPARTIDA]]+Tabla4[[#This Row],[TOTAL APORTES ICBF]]</f>
        <v>37804546.619999997</v>
      </c>
      <c r="AI485" s="35"/>
      <c r="AJ485" s="38"/>
      <c r="AK485" s="38"/>
      <c r="AL485" s="23"/>
      <c r="AM485" s="35">
        <f>VLOOKUP(Tabla4[[#This Row],[SERVICIO 2025]],$J$2:$V$14,5,0)*Tabla4[[#This Row],[TOTAL COBERTURA]]</f>
        <v>839392</v>
      </c>
      <c r="AN485" s="35">
        <f>VLOOKUP(Tabla4[[#This Row],[SERVICIO 2025]],$J$2:$V$14,6,0)*Tabla4[[#This Row],[TOTAL COBERTURA]]</f>
        <v>697493</v>
      </c>
      <c r="AO485" s="35">
        <f>VLOOKUP(Tabla4[[#This Row],[SERVICIO 2025]],$J$2:$V$14,8,0)*Tabla4[[#This Row],[TOTAL COBERTURA]]</f>
        <v>494700</v>
      </c>
      <c r="AP485" s="35">
        <f>VLOOKUP(Tabla4[[#This Row],[SERVICIO 2025]],$J$2:$V$14,3,0)*Tabla4[[#This Row],[TOTAL COBERTURA]]*8</f>
        <v>35031696</v>
      </c>
      <c r="AQ485" s="35"/>
      <c r="AR485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485" s="35" t="str">
        <f>+IF(Tabla4[[#This Row],[AGRUPACIONES]]=1,SUMIFS(Tabla4[VALOR TOTAL],Tabla4[ZONA DEFINITIVO],Tabla4[[#This Row],[ZONA DEFINITIVO]])," ")</f>
        <v xml:space="preserve"> </v>
      </c>
      <c r="AT485" s="27">
        <f>(VLOOKUP(Tabla4[[#This Row],[SERVICIO 2025]],$J$2:$V$14,3,0)*Tabla4[[#This Row],[TOTAL COBERTURA]])+Tabla4[[#This Row],[VALOR FASE PREPARATORIA DE ALISTAMIENTO]]+Tabla4[[#This Row],[DOTACIÓN ÚNICA]]</f>
        <v>5713054</v>
      </c>
      <c r="AU485" s="35">
        <f>(VLOOKUP(Tabla4[[#This Row],[SERVICIO 2025]],$J$2:$V$14,3,0)*Tabla4[[#This Row],[TOTAL COBERTURA]])</f>
        <v>4378962</v>
      </c>
      <c r="AV485" s="35">
        <f>(VLOOKUP(Tabla4[[#This Row],[SERVICIO 2025]],$J$2:$V$14,3,0)*Tabla4[[#This Row],[TOTAL COBERTURA]])</f>
        <v>4378962</v>
      </c>
      <c r="AW485" s="35">
        <f>(VLOOKUP(Tabla4[[#This Row],[SERVICIO 2025]],$J$2:$V$14,3,0)*Tabla4[[#This Row],[TOTAL COBERTURA]])</f>
        <v>4378962</v>
      </c>
      <c r="AX485" s="35">
        <f>(VLOOKUP(Tabla4[[#This Row],[SERVICIO 2025]],$J$2:$V$14,3,0)*Tabla4[[#This Row],[TOTAL COBERTURA]])</f>
        <v>4378962</v>
      </c>
      <c r="AY485" s="35">
        <f>(VLOOKUP(Tabla4[[#This Row],[SERVICIO 2025]],$J$2:$V$14,3,0)*Tabla4[[#This Row],[TOTAL COBERTURA]])</f>
        <v>4378962</v>
      </c>
      <c r="AZ485" s="35">
        <f>(VLOOKUP(Tabla4[[#This Row],[SERVICIO 2025]],$J$2:$V$14,3,0)*Tabla4[[#This Row],[TOTAL COBERTURA]])</f>
        <v>4378962</v>
      </c>
      <c r="BA485" s="35">
        <f>(VLOOKUP(Tabla4[[#This Row],[SERVICIO 2025]],$J$2:$V$14,3,0)*Tabla4[[#This Row],[TOTAL COBERTURA]])+Tabla4[[#This Row],[VALOR FASE PREPARATORIA DE CIERRE]]</f>
        <v>5076455</v>
      </c>
      <c r="BB485" s="35">
        <f>SUM(Tabla4[[#This Row],[DESEMBOLSO 1]:[DESEMBOLSO 8]])</f>
        <v>37063281</v>
      </c>
      <c r="BC485" s="35">
        <f>VLOOKUP(Tabla4[[#This Row],[SERVICIO 2025]],$J$2:$V$14,10,0)*Tabla4[[#This Row],[TOTAL COBERTURA]]*$W$3</f>
        <v>24532088</v>
      </c>
      <c r="BD485" s="47" t="s">
        <v>211</v>
      </c>
      <c r="BE485" s="12" t="b">
        <f>EXACT(Tabla4[[#This Row],[VALOR ATENCIÓN (8 MESES)]],Tabla4[[#This Row],[VALOR TOTAL]])</f>
        <v>1</v>
      </c>
      <c r="BF485" s="23">
        <f>Tabla4[[#This Row],[VALOR ATENCIÓN (8 MESES)]]-Tabla4[[#This Row],[VALOR TOTAL]]</f>
        <v>0</v>
      </c>
      <c r="BG485" s="12" t="b">
        <f>EXACT(Tabla4[[#This Row],[TOTAL DESEMBOLSOS]],Tabla4[[#This Row],[VALOR ATENCIÓN (8 MESES)]])</f>
        <v>1</v>
      </c>
      <c r="BH485" s="29">
        <f>Tabla4[[#This Row],[TOTAL DESEMBOLSOS]]-Tabla4[[#This Row],[VALOR ATENCIÓN (8 MESES)]]</f>
        <v>0</v>
      </c>
      <c r="BI485" t="s">
        <v>98</v>
      </c>
      <c r="BJ485">
        <v>1930</v>
      </c>
    </row>
    <row r="486" spans="1:62">
      <c r="A486" s="13">
        <v>1930</v>
      </c>
      <c r="B486" s="13" t="s">
        <v>1059</v>
      </c>
      <c r="C486" s="12" t="s">
        <v>87</v>
      </c>
      <c r="D486" s="12" t="s">
        <v>462</v>
      </c>
      <c r="E486" s="12" t="s">
        <v>1048</v>
      </c>
      <c r="F486" s="12" t="s">
        <v>18</v>
      </c>
      <c r="G486" s="12" t="s">
        <v>90</v>
      </c>
      <c r="H486" s="12" t="s">
        <v>1065</v>
      </c>
      <c r="I486" s="12">
        <v>514700115632</v>
      </c>
      <c r="J486" s="12" t="s">
        <v>1126</v>
      </c>
      <c r="K486" s="12">
        <v>1</v>
      </c>
      <c r="L486" s="12">
        <v>50</v>
      </c>
      <c r="M486" s="12"/>
      <c r="N486" s="13">
        <v>1930</v>
      </c>
      <c r="O486" s="12" t="s">
        <v>93</v>
      </c>
      <c r="P486" s="12"/>
      <c r="Q486" s="12"/>
      <c r="R486" s="12" t="s">
        <v>94</v>
      </c>
      <c r="S486" s="12">
        <v>10</v>
      </c>
      <c r="T486" s="12" t="s">
        <v>1062</v>
      </c>
      <c r="U486" s="12" t="s">
        <v>1063</v>
      </c>
      <c r="V486" s="12">
        <f>VLOOKUP(Tabla4[[#This Row],[ZONA DEFINITIVO]],Hoja1!$A$1:$D$121,3,0)</f>
        <v>229101</v>
      </c>
      <c r="W486" s="12">
        <f>VLOOKUP(Tabla4[[#This Row],[ZONA DEFINITIVO]],Hoja1!$A$1:$D$121,2,0)</f>
        <v>15186</v>
      </c>
      <c r="X486" s="12">
        <f>VLOOKUP(Tabla4[[#This Row],[ZONA DEFINITIVO]],Hoja1!$A$1:$D$121,4,0)</f>
        <v>87625</v>
      </c>
      <c r="Y486" s="12" t="str">
        <f>+IF(Tabla4[[#This Row],[AGRUPACIONES]]=1,SUMIFS(Tabla4[UDS],Tabla4[ZONA DEFINITIVO],Tabla4[[#This Row],[ZONA DEFINITIVO]])," ")</f>
        <v xml:space="preserve"> </v>
      </c>
      <c r="Z486" s="12" t="str">
        <f>+IF(Tabla4[[#This Row],[AGRUPACIONES]]=1,SUMIFS(Tabla4[TOTAL COBERTURA],Tabla4[ZONA DEFINITIVO],Tabla4[[#This Row],[ZONA DEFINITIVO]])," ")</f>
        <v xml:space="preserve"> </v>
      </c>
      <c r="AA486" s="12"/>
      <c r="AB486" s="38">
        <v>109009650</v>
      </c>
      <c r="AC486" s="37">
        <v>0.02</v>
      </c>
      <c r="AD486" s="38">
        <f t="shared" si="8"/>
        <v>2180193</v>
      </c>
      <c r="AE486" s="12"/>
      <c r="AF486" s="12">
        <f>COUNTIF($A$20:A486,A486)</f>
        <v>36</v>
      </c>
      <c r="AG486" s="38">
        <v>109009650</v>
      </c>
      <c r="AH486" s="38">
        <f>Tabla4[[#This Row],[VALOR CONTRAPARTIDA]]+Tabla4[[#This Row],[TOTAL APORTES ICBF]]</f>
        <v>111189843</v>
      </c>
      <c r="AI486" s="35"/>
      <c r="AJ486" s="38"/>
      <c r="AK486" s="38"/>
      <c r="AL486" s="23"/>
      <c r="AM486" s="35">
        <f>VLOOKUP(Tabla4[[#This Row],[SERVICIO 2025]],$J$2:$V$14,5,0)*Tabla4[[#This Row],[TOTAL COBERTURA]]</f>
        <v>2468800</v>
      </c>
      <c r="AN486" s="35">
        <f>VLOOKUP(Tabla4[[#This Row],[SERVICIO 2025]],$J$2:$V$14,6,0)*Tabla4[[#This Row],[TOTAL COBERTURA]]</f>
        <v>2051450</v>
      </c>
      <c r="AO486" s="35">
        <f>VLOOKUP(Tabla4[[#This Row],[SERVICIO 2025]],$J$2:$V$14,8,0)*Tabla4[[#This Row],[TOTAL COBERTURA]]</f>
        <v>1455000</v>
      </c>
      <c r="AP486" s="35">
        <f>VLOOKUP(Tabla4[[#This Row],[SERVICIO 2025]],$J$2:$V$14,3,0)*Tabla4[[#This Row],[TOTAL COBERTURA]]*8</f>
        <v>103034400</v>
      </c>
      <c r="AQ486" s="35"/>
      <c r="AR486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486" s="35" t="str">
        <f>+IF(Tabla4[[#This Row],[AGRUPACIONES]]=1,SUMIFS(Tabla4[VALOR TOTAL],Tabla4[ZONA DEFINITIVO],Tabla4[[#This Row],[ZONA DEFINITIVO]])," ")</f>
        <v xml:space="preserve"> </v>
      </c>
      <c r="AT486" s="27">
        <f>(VLOOKUP(Tabla4[[#This Row],[SERVICIO 2025]],$J$2:$V$14,3,0)*Tabla4[[#This Row],[TOTAL COBERTURA]])+Tabla4[[#This Row],[VALOR FASE PREPARATORIA DE ALISTAMIENTO]]+Tabla4[[#This Row],[DOTACIÓN ÚNICA]]</f>
        <v>16803100</v>
      </c>
      <c r="AU486" s="35">
        <f>(VLOOKUP(Tabla4[[#This Row],[SERVICIO 2025]],$J$2:$V$14,3,0)*Tabla4[[#This Row],[TOTAL COBERTURA]])</f>
        <v>12879300</v>
      </c>
      <c r="AV486" s="35">
        <f>(VLOOKUP(Tabla4[[#This Row],[SERVICIO 2025]],$J$2:$V$14,3,0)*Tabla4[[#This Row],[TOTAL COBERTURA]])</f>
        <v>12879300</v>
      </c>
      <c r="AW486" s="35">
        <f>(VLOOKUP(Tabla4[[#This Row],[SERVICIO 2025]],$J$2:$V$14,3,0)*Tabla4[[#This Row],[TOTAL COBERTURA]])</f>
        <v>12879300</v>
      </c>
      <c r="AX486" s="35">
        <f>(VLOOKUP(Tabla4[[#This Row],[SERVICIO 2025]],$J$2:$V$14,3,0)*Tabla4[[#This Row],[TOTAL COBERTURA]])</f>
        <v>12879300</v>
      </c>
      <c r="AY486" s="35">
        <f>(VLOOKUP(Tabla4[[#This Row],[SERVICIO 2025]],$J$2:$V$14,3,0)*Tabla4[[#This Row],[TOTAL COBERTURA]])</f>
        <v>12879300</v>
      </c>
      <c r="AZ486" s="35">
        <f>(VLOOKUP(Tabla4[[#This Row],[SERVICIO 2025]],$J$2:$V$14,3,0)*Tabla4[[#This Row],[TOTAL COBERTURA]])</f>
        <v>12879300</v>
      </c>
      <c r="BA486" s="35">
        <f>(VLOOKUP(Tabla4[[#This Row],[SERVICIO 2025]],$J$2:$V$14,3,0)*Tabla4[[#This Row],[TOTAL COBERTURA]])+Tabla4[[#This Row],[VALOR FASE PREPARATORIA DE CIERRE]]</f>
        <v>14930750</v>
      </c>
      <c r="BB486" s="35">
        <f>SUM(Tabla4[[#This Row],[DESEMBOLSO 1]:[DESEMBOLSO 8]])</f>
        <v>109009650</v>
      </c>
      <c r="BC486" s="35">
        <f>VLOOKUP(Tabla4[[#This Row],[SERVICIO 2025]],$J$2:$V$14,10,0)*Tabla4[[#This Row],[TOTAL COBERTURA]]*$W$3</f>
        <v>72153200</v>
      </c>
      <c r="BD486" s="47" t="s">
        <v>211</v>
      </c>
      <c r="BE486" s="12" t="b">
        <f>EXACT(Tabla4[[#This Row],[VALOR ATENCIÓN (8 MESES)]],Tabla4[[#This Row],[VALOR TOTAL]])</f>
        <v>1</v>
      </c>
      <c r="BF486" s="23">
        <f>Tabla4[[#This Row],[VALOR ATENCIÓN (8 MESES)]]-Tabla4[[#This Row],[VALOR TOTAL]]</f>
        <v>0</v>
      </c>
      <c r="BG486" s="12" t="b">
        <f>EXACT(Tabla4[[#This Row],[TOTAL DESEMBOLSOS]],Tabla4[[#This Row],[VALOR ATENCIÓN (8 MESES)]])</f>
        <v>1</v>
      </c>
      <c r="BH486" s="29">
        <f>Tabla4[[#This Row],[TOTAL DESEMBOLSOS]]-Tabla4[[#This Row],[VALOR ATENCIÓN (8 MESES)]]</f>
        <v>0</v>
      </c>
      <c r="BI486" t="s">
        <v>98</v>
      </c>
      <c r="BJ486">
        <v>1930</v>
      </c>
    </row>
    <row r="487" spans="1:62">
      <c r="A487" s="13">
        <v>1930</v>
      </c>
      <c r="B487" s="13" t="s">
        <v>1059</v>
      </c>
      <c r="C487" s="12" t="s">
        <v>87</v>
      </c>
      <c r="D487" s="12" t="s">
        <v>462</v>
      </c>
      <c r="E487" s="12" t="s">
        <v>1048</v>
      </c>
      <c r="F487" s="12" t="s">
        <v>18</v>
      </c>
      <c r="G487" s="12" t="s">
        <v>90</v>
      </c>
      <c r="H487" s="12" t="s">
        <v>1121</v>
      </c>
      <c r="I487" s="12">
        <v>514700115633</v>
      </c>
      <c r="J487" s="12" t="s">
        <v>1127</v>
      </c>
      <c r="K487" s="12">
        <v>1</v>
      </c>
      <c r="L487" s="12">
        <v>50</v>
      </c>
      <c r="M487" s="12"/>
      <c r="N487" s="13">
        <v>1930</v>
      </c>
      <c r="O487" s="12" t="s">
        <v>93</v>
      </c>
      <c r="P487" s="12"/>
      <c r="Q487" s="12"/>
      <c r="R487" s="12" t="s">
        <v>94</v>
      </c>
      <c r="S487" s="12">
        <v>10</v>
      </c>
      <c r="T487" s="12" t="s">
        <v>1062</v>
      </c>
      <c r="U487" s="12" t="s">
        <v>1063</v>
      </c>
      <c r="V487" s="12">
        <f>VLOOKUP(Tabla4[[#This Row],[ZONA DEFINITIVO]],Hoja1!$A$1:$D$121,3,0)</f>
        <v>229101</v>
      </c>
      <c r="W487" s="12">
        <f>VLOOKUP(Tabla4[[#This Row],[ZONA DEFINITIVO]],Hoja1!$A$1:$D$121,2,0)</f>
        <v>15186</v>
      </c>
      <c r="X487" s="12">
        <f>VLOOKUP(Tabla4[[#This Row],[ZONA DEFINITIVO]],Hoja1!$A$1:$D$121,4,0)</f>
        <v>87625</v>
      </c>
      <c r="Y487" s="12" t="str">
        <f>+IF(Tabla4[[#This Row],[AGRUPACIONES]]=1,SUMIFS(Tabla4[UDS],Tabla4[ZONA DEFINITIVO],Tabla4[[#This Row],[ZONA DEFINITIVO]])," ")</f>
        <v xml:space="preserve"> </v>
      </c>
      <c r="Z487" s="12" t="str">
        <f>+IF(Tabla4[[#This Row],[AGRUPACIONES]]=1,SUMIFS(Tabla4[TOTAL COBERTURA],Tabla4[ZONA DEFINITIVO],Tabla4[[#This Row],[ZONA DEFINITIVO]])," ")</f>
        <v xml:space="preserve"> </v>
      </c>
      <c r="AA487" s="12"/>
      <c r="AB487" s="38">
        <v>109009650</v>
      </c>
      <c r="AC487" s="37">
        <v>0.02</v>
      </c>
      <c r="AD487" s="38">
        <f t="shared" si="8"/>
        <v>2180193</v>
      </c>
      <c r="AE487" s="12"/>
      <c r="AF487" s="12">
        <f>COUNTIF($A$20:A487,A487)</f>
        <v>37</v>
      </c>
      <c r="AG487" s="38">
        <v>109009650</v>
      </c>
      <c r="AH487" s="38">
        <f>Tabla4[[#This Row],[VALOR CONTRAPARTIDA]]+Tabla4[[#This Row],[TOTAL APORTES ICBF]]</f>
        <v>111189843</v>
      </c>
      <c r="AI487" s="35"/>
      <c r="AJ487" s="38"/>
      <c r="AK487" s="38"/>
      <c r="AL487" s="23"/>
      <c r="AM487" s="35">
        <f>VLOOKUP(Tabla4[[#This Row],[SERVICIO 2025]],$J$2:$V$14,5,0)*Tabla4[[#This Row],[TOTAL COBERTURA]]</f>
        <v>2468800</v>
      </c>
      <c r="AN487" s="35">
        <f>VLOOKUP(Tabla4[[#This Row],[SERVICIO 2025]],$J$2:$V$14,6,0)*Tabla4[[#This Row],[TOTAL COBERTURA]]</f>
        <v>2051450</v>
      </c>
      <c r="AO487" s="35">
        <f>VLOOKUP(Tabla4[[#This Row],[SERVICIO 2025]],$J$2:$V$14,8,0)*Tabla4[[#This Row],[TOTAL COBERTURA]]</f>
        <v>1455000</v>
      </c>
      <c r="AP487" s="35">
        <f>VLOOKUP(Tabla4[[#This Row],[SERVICIO 2025]],$J$2:$V$14,3,0)*Tabla4[[#This Row],[TOTAL COBERTURA]]*8</f>
        <v>103034400</v>
      </c>
      <c r="AQ487" s="35"/>
      <c r="AR487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487" s="35" t="str">
        <f>+IF(Tabla4[[#This Row],[AGRUPACIONES]]=1,SUMIFS(Tabla4[VALOR TOTAL],Tabla4[ZONA DEFINITIVO],Tabla4[[#This Row],[ZONA DEFINITIVO]])," ")</f>
        <v xml:space="preserve"> </v>
      </c>
      <c r="AT487" s="27">
        <f>(VLOOKUP(Tabla4[[#This Row],[SERVICIO 2025]],$J$2:$V$14,3,0)*Tabla4[[#This Row],[TOTAL COBERTURA]])+Tabla4[[#This Row],[VALOR FASE PREPARATORIA DE ALISTAMIENTO]]+Tabla4[[#This Row],[DOTACIÓN ÚNICA]]</f>
        <v>16803100</v>
      </c>
      <c r="AU487" s="35">
        <f>(VLOOKUP(Tabla4[[#This Row],[SERVICIO 2025]],$J$2:$V$14,3,0)*Tabla4[[#This Row],[TOTAL COBERTURA]])</f>
        <v>12879300</v>
      </c>
      <c r="AV487" s="35">
        <f>(VLOOKUP(Tabla4[[#This Row],[SERVICIO 2025]],$J$2:$V$14,3,0)*Tabla4[[#This Row],[TOTAL COBERTURA]])</f>
        <v>12879300</v>
      </c>
      <c r="AW487" s="35">
        <f>(VLOOKUP(Tabla4[[#This Row],[SERVICIO 2025]],$J$2:$V$14,3,0)*Tabla4[[#This Row],[TOTAL COBERTURA]])</f>
        <v>12879300</v>
      </c>
      <c r="AX487" s="35">
        <f>(VLOOKUP(Tabla4[[#This Row],[SERVICIO 2025]],$J$2:$V$14,3,0)*Tabla4[[#This Row],[TOTAL COBERTURA]])</f>
        <v>12879300</v>
      </c>
      <c r="AY487" s="35">
        <f>(VLOOKUP(Tabla4[[#This Row],[SERVICIO 2025]],$J$2:$V$14,3,0)*Tabla4[[#This Row],[TOTAL COBERTURA]])</f>
        <v>12879300</v>
      </c>
      <c r="AZ487" s="35">
        <f>(VLOOKUP(Tabla4[[#This Row],[SERVICIO 2025]],$J$2:$V$14,3,0)*Tabla4[[#This Row],[TOTAL COBERTURA]])</f>
        <v>12879300</v>
      </c>
      <c r="BA487" s="35">
        <f>(VLOOKUP(Tabla4[[#This Row],[SERVICIO 2025]],$J$2:$V$14,3,0)*Tabla4[[#This Row],[TOTAL COBERTURA]])+Tabla4[[#This Row],[VALOR FASE PREPARATORIA DE CIERRE]]</f>
        <v>14930750</v>
      </c>
      <c r="BB487" s="35">
        <f>SUM(Tabla4[[#This Row],[DESEMBOLSO 1]:[DESEMBOLSO 8]])</f>
        <v>109009650</v>
      </c>
      <c r="BC487" s="35">
        <f>VLOOKUP(Tabla4[[#This Row],[SERVICIO 2025]],$J$2:$V$14,10,0)*Tabla4[[#This Row],[TOTAL COBERTURA]]*$W$3</f>
        <v>72153200</v>
      </c>
      <c r="BD487" s="47" t="s">
        <v>211</v>
      </c>
      <c r="BE487" s="12" t="b">
        <f>EXACT(Tabla4[[#This Row],[VALOR ATENCIÓN (8 MESES)]],Tabla4[[#This Row],[VALOR TOTAL]])</f>
        <v>1</v>
      </c>
      <c r="BF487" s="23">
        <f>Tabla4[[#This Row],[VALOR ATENCIÓN (8 MESES)]]-Tabla4[[#This Row],[VALOR TOTAL]]</f>
        <v>0</v>
      </c>
      <c r="BG487" s="12" t="b">
        <f>EXACT(Tabla4[[#This Row],[TOTAL DESEMBOLSOS]],Tabla4[[#This Row],[VALOR ATENCIÓN (8 MESES)]])</f>
        <v>1</v>
      </c>
      <c r="BH487" s="29">
        <f>Tabla4[[#This Row],[TOTAL DESEMBOLSOS]]-Tabla4[[#This Row],[VALOR ATENCIÓN (8 MESES)]]</f>
        <v>0</v>
      </c>
      <c r="BI487" t="s">
        <v>98</v>
      </c>
      <c r="BJ487">
        <v>1930</v>
      </c>
    </row>
    <row r="488" spans="1:62">
      <c r="A488" s="13">
        <v>1931</v>
      </c>
      <c r="B488" s="13" t="s">
        <v>1128</v>
      </c>
      <c r="C488" s="12" t="s">
        <v>87</v>
      </c>
      <c r="D488" s="12" t="s">
        <v>462</v>
      </c>
      <c r="E488" s="12" t="s">
        <v>1048</v>
      </c>
      <c r="F488" s="12" t="s">
        <v>19</v>
      </c>
      <c r="G488" s="12" t="s">
        <v>90</v>
      </c>
      <c r="H488" s="12" t="s">
        <v>1129</v>
      </c>
      <c r="I488" s="12">
        <v>51471112338</v>
      </c>
      <c r="J488" s="12" t="s">
        <v>1130</v>
      </c>
      <c r="K488" s="12">
        <v>1</v>
      </c>
      <c r="L488" s="12">
        <v>50</v>
      </c>
      <c r="M488" s="12"/>
      <c r="N488" s="13">
        <v>1931</v>
      </c>
      <c r="O488" s="12" t="s">
        <v>93</v>
      </c>
      <c r="P488" s="12"/>
      <c r="Q488" s="12"/>
      <c r="R488" s="12" t="s">
        <v>94</v>
      </c>
      <c r="S488" s="12">
        <v>10</v>
      </c>
      <c r="T488" s="12" t="s">
        <v>1131</v>
      </c>
      <c r="U488" s="12" t="s">
        <v>1132</v>
      </c>
      <c r="V488" s="12">
        <f>VLOOKUP(Tabla4[[#This Row],[ZONA DEFINITIVO]],Hoja1!$A$1:$D$121,3,0)</f>
        <v>229102</v>
      </c>
      <c r="W488" s="12">
        <f>VLOOKUP(Tabla4[[#This Row],[ZONA DEFINITIVO]],Hoja1!$A$1:$D$121,2,0)</f>
        <v>15208</v>
      </c>
      <c r="X488" s="12">
        <f>VLOOKUP(Tabla4[[#This Row],[ZONA DEFINITIVO]],Hoja1!$A$1:$D$121,4,0)</f>
        <v>92425</v>
      </c>
      <c r="Y488" s="12">
        <f>+IF(Tabla4[[#This Row],[AGRUPACIONES]]=1,SUMIFS(Tabla4[UDS],Tabla4[ZONA DEFINITIVO],Tabla4[[#This Row],[ZONA DEFINITIVO]])," ")</f>
        <v>6</v>
      </c>
      <c r="Z488" s="12">
        <f>+IF(Tabla4[[#This Row],[AGRUPACIONES]]=1,SUMIFS(Tabla4[TOTAL COBERTURA],Tabla4[ZONA DEFINITIVO],Tabla4[[#This Row],[ZONA DEFINITIVO]])," ")</f>
        <v>287</v>
      </c>
      <c r="AA488" s="12"/>
      <c r="AB488" s="38">
        <v>112557550</v>
      </c>
      <c r="AC488" s="37">
        <v>0.02</v>
      </c>
      <c r="AD488" s="38">
        <f t="shared" si="8"/>
        <v>2251151</v>
      </c>
      <c r="AE488" s="12"/>
      <c r="AF488" s="12">
        <f>COUNTIF($A$20:A488,A488)</f>
        <v>1</v>
      </c>
      <c r="AG488" s="38">
        <v>112557550</v>
      </c>
      <c r="AH488" s="38">
        <f>Tabla4[[#This Row],[VALOR CONTRAPARTIDA]]+Tabla4[[#This Row],[TOTAL APORTES ICBF]]</f>
        <v>114808701</v>
      </c>
      <c r="AI488" s="35">
        <f>ROUND(+IF(Tabla4[[#This Row],[AGRUPACIONES]]=1,SUMIFS(Tabla4[TOTAL APORTES ICBF],Tabla4[ZONA DEFINITIVO],Tabla4[[#This Row],[ZONA DEFINITIVO]])," "),0)</f>
        <v>646080337</v>
      </c>
      <c r="AJ488" s="38">
        <f>ROUND(+IF(Tabla4[[#This Row],[AGRUPACIONES]]=1,SUMIFS(Tabla4[VALOR CONTRAPARTIDA],Tabla4[ZONA DEFINITIVO],Tabla4[[#This Row],[ZONA DEFINITIVO]])," "),0)</f>
        <v>12921607</v>
      </c>
      <c r="AK488" s="38">
        <f>Tabla4[[#This Row],[TOTAL APORTES ICBF AGRUPADO]]+Tabla4[[#This Row],[TOTAL CONTRAPARTIDA AGRUPADO]]</f>
        <v>659001944</v>
      </c>
      <c r="AL488" s="23">
        <f>Tabla4[[#This Row],[TOTAL APORTES ICBF AGRUPADO]]/$AL$18</f>
        <v>453.86746540217774</v>
      </c>
      <c r="AM488" s="35">
        <f>VLOOKUP(Tabla4[[#This Row],[SERVICIO 2025]],$J$2:$V$14,5,0)*Tabla4[[#This Row],[TOTAL COBERTURA]]</f>
        <v>2573150</v>
      </c>
      <c r="AN488" s="35">
        <f>VLOOKUP(Tabla4[[#This Row],[SERVICIO 2025]],$J$2:$V$14,6,0)*Tabla4[[#This Row],[TOTAL COBERTURA]]</f>
        <v>2155800</v>
      </c>
      <c r="AO488" s="35">
        <f>VLOOKUP(Tabla4[[#This Row],[SERVICIO 2025]],$J$2:$V$14,8,0)*Tabla4[[#This Row],[TOTAL COBERTURA]]</f>
        <v>1455000</v>
      </c>
      <c r="AP488" s="35">
        <f>VLOOKUP(Tabla4[[#This Row],[SERVICIO 2025]],$J$2:$V$14,3,0)*Tabla4[[#This Row],[TOTAL COBERTURA]]*8</f>
        <v>106373600</v>
      </c>
      <c r="AQ488" s="35"/>
      <c r="AR488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488" s="35">
        <f>+IF(Tabla4[[#This Row],[AGRUPACIONES]]=1,SUMIFS(Tabla4[VALOR TOTAL],Tabla4[ZONA DEFINITIVO],Tabla4[[#This Row],[ZONA DEFINITIVO]])," ")</f>
        <v>646080337</v>
      </c>
      <c r="AT488" s="27">
        <f>(VLOOKUP(Tabla4[[#This Row],[SERVICIO 2025]],$J$2:$V$14,3,0)*Tabla4[[#This Row],[TOTAL COBERTURA]])+Tabla4[[#This Row],[VALOR FASE PREPARATORIA DE ALISTAMIENTO]]+Tabla4[[#This Row],[DOTACIÓN ÚNICA]]</f>
        <v>17324850</v>
      </c>
      <c r="AU488" s="35">
        <f>(VLOOKUP(Tabla4[[#This Row],[SERVICIO 2025]],$J$2:$V$14,3,0)*Tabla4[[#This Row],[TOTAL COBERTURA]])</f>
        <v>13296700</v>
      </c>
      <c r="AV488" s="35">
        <f>(VLOOKUP(Tabla4[[#This Row],[SERVICIO 2025]],$J$2:$V$14,3,0)*Tabla4[[#This Row],[TOTAL COBERTURA]])</f>
        <v>13296700</v>
      </c>
      <c r="AW488" s="35">
        <f>(VLOOKUP(Tabla4[[#This Row],[SERVICIO 2025]],$J$2:$V$14,3,0)*Tabla4[[#This Row],[TOTAL COBERTURA]])</f>
        <v>13296700</v>
      </c>
      <c r="AX488" s="35">
        <f>(VLOOKUP(Tabla4[[#This Row],[SERVICIO 2025]],$J$2:$V$14,3,0)*Tabla4[[#This Row],[TOTAL COBERTURA]])</f>
        <v>13296700</v>
      </c>
      <c r="AY488" s="35">
        <f>(VLOOKUP(Tabla4[[#This Row],[SERVICIO 2025]],$J$2:$V$14,3,0)*Tabla4[[#This Row],[TOTAL COBERTURA]])</f>
        <v>13296700</v>
      </c>
      <c r="AZ488" s="35">
        <f>(VLOOKUP(Tabla4[[#This Row],[SERVICIO 2025]],$J$2:$V$14,3,0)*Tabla4[[#This Row],[TOTAL COBERTURA]])</f>
        <v>13296700</v>
      </c>
      <c r="BA488" s="35">
        <f>(VLOOKUP(Tabla4[[#This Row],[SERVICIO 2025]],$J$2:$V$14,3,0)*Tabla4[[#This Row],[TOTAL COBERTURA]])+Tabla4[[#This Row],[VALOR FASE PREPARATORIA DE CIERRE]]</f>
        <v>15452500</v>
      </c>
      <c r="BB488" s="35">
        <f>SUM(Tabla4[[#This Row],[DESEMBOLSO 1]:[DESEMBOLSO 8]])</f>
        <v>112557550</v>
      </c>
      <c r="BC488" s="35">
        <f>VLOOKUP(Tabla4[[#This Row],[SERVICIO 2025]],$J$2:$V$14,10,0)*Tabla4[[#This Row],[TOTAL COBERTURA]]*$W$3</f>
        <v>72153200</v>
      </c>
      <c r="BD488" s="47" t="s">
        <v>211</v>
      </c>
      <c r="BE488" s="12" t="b">
        <f>EXACT(Tabla4[[#This Row],[VALOR ATENCIÓN (8 MESES)]],Tabla4[[#This Row],[VALOR TOTAL]])</f>
        <v>1</v>
      </c>
      <c r="BF488" s="23">
        <f>Tabla4[[#This Row],[VALOR ATENCIÓN (8 MESES)]]-Tabla4[[#This Row],[VALOR TOTAL]]</f>
        <v>0</v>
      </c>
      <c r="BG488" s="12" t="b">
        <f>EXACT(Tabla4[[#This Row],[TOTAL DESEMBOLSOS]],Tabla4[[#This Row],[VALOR ATENCIÓN (8 MESES)]])</f>
        <v>1</v>
      </c>
      <c r="BH488" s="29">
        <f>Tabla4[[#This Row],[TOTAL DESEMBOLSOS]]-Tabla4[[#This Row],[VALOR ATENCIÓN (8 MESES)]]</f>
        <v>0</v>
      </c>
      <c r="BI488" t="s">
        <v>98</v>
      </c>
      <c r="BJ488">
        <v>1931</v>
      </c>
    </row>
    <row r="489" spans="1:62">
      <c r="A489" s="13">
        <v>1931</v>
      </c>
      <c r="B489" s="13" t="s">
        <v>1128</v>
      </c>
      <c r="C489" s="12" t="s">
        <v>87</v>
      </c>
      <c r="D489" s="12" t="s">
        <v>462</v>
      </c>
      <c r="E489" s="12" t="s">
        <v>1048</v>
      </c>
      <c r="F489" s="12" t="s">
        <v>19</v>
      </c>
      <c r="G489" s="12" t="s">
        <v>90</v>
      </c>
      <c r="H489" s="12" t="s">
        <v>1133</v>
      </c>
      <c r="I489" s="12">
        <v>51471112728</v>
      </c>
      <c r="J489" s="12" t="s">
        <v>1134</v>
      </c>
      <c r="K489" s="12">
        <v>1</v>
      </c>
      <c r="L489" s="12">
        <v>50</v>
      </c>
      <c r="M489" s="12"/>
      <c r="N489" s="13">
        <v>1931</v>
      </c>
      <c r="O489" s="12" t="s">
        <v>93</v>
      </c>
      <c r="P489" s="12"/>
      <c r="Q489" s="12"/>
      <c r="R489" s="12" t="s">
        <v>94</v>
      </c>
      <c r="S489" s="12">
        <v>10</v>
      </c>
      <c r="T489" s="12" t="s">
        <v>1131</v>
      </c>
      <c r="U489" s="12" t="s">
        <v>1132</v>
      </c>
      <c r="V489" s="12">
        <f>VLOOKUP(Tabla4[[#This Row],[ZONA DEFINITIVO]],Hoja1!$A$1:$D$121,3,0)</f>
        <v>229102</v>
      </c>
      <c r="W489" s="12">
        <f>VLOOKUP(Tabla4[[#This Row],[ZONA DEFINITIVO]],Hoja1!$A$1:$D$121,2,0)</f>
        <v>15208</v>
      </c>
      <c r="X489" s="12">
        <f>VLOOKUP(Tabla4[[#This Row],[ZONA DEFINITIVO]],Hoja1!$A$1:$D$121,4,0)</f>
        <v>92425</v>
      </c>
      <c r="Y489" s="12" t="str">
        <f>+IF(Tabla4[[#This Row],[AGRUPACIONES]]=1,SUMIFS(Tabla4[UDS],Tabla4[ZONA DEFINITIVO],Tabla4[[#This Row],[ZONA DEFINITIVO]])," ")</f>
        <v xml:space="preserve"> </v>
      </c>
      <c r="Z489" s="12" t="str">
        <f>+IF(Tabla4[[#This Row],[AGRUPACIONES]]=1,SUMIFS(Tabla4[TOTAL COBERTURA],Tabla4[ZONA DEFINITIVO],Tabla4[[#This Row],[ZONA DEFINITIVO]])," ")</f>
        <v xml:space="preserve"> </v>
      </c>
      <c r="AA489" s="12"/>
      <c r="AB489" s="38">
        <v>112557550</v>
      </c>
      <c r="AC489" s="37">
        <v>0.02</v>
      </c>
      <c r="AD489" s="38">
        <f t="shared" si="8"/>
        <v>2251151</v>
      </c>
      <c r="AE489" s="12"/>
      <c r="AF489" s="12">
        <f>COUNTIF($A$20:A489,A489)</f>
        <v>2</v>
      </c>
      <c r="AG489" s="38">
        <v>112557550</v>
      </c>
      <c r="AH489" s="38">
        <f>Tabla4[[#This Row],[VALOR CONTRAPARTIDA]]+Tabla4[[#This Row],[TOTAL APORTES ICBF]]</f>
        <v>114808701</v>
      </c>
      <c r="AI489" s="35"/>
      <c r="AJ489" s="38"/>
      <c r="AK489" s="38"/>
      <c r="AL489" s="23"/>
      <c r="AM489" s="35">
        <f>VLOOKUP(Tabla4[[#This Row],[SERVICIO 2025]],$J$2:$V$14,5,0)*Tabla4[[#This Row],[TOTAL COBERTURA]]</f>
        <v>2573150</v>
      </c>
      <c r="AN489" s="35">
        <f>VLOOKUP(Tabla4[[#This Row],[SERVICIO 2025]],$J$2:$V$14,6,0)*Tabla4[[#This Row],[TOTAL COBERTURA]]</f>
        <v>2155800</v>
      </c>
      <c r="AO489" s="35">
        <f>VLOOKUP(Tabla4[[#This Row],[SERVICIO 2025]],$J$2:$V$14,8,0)*Tabla4[[#This Row],[TOTAL COBERTURA]]</f>
        <v>1455000</v>
      </c>
      <c r="AP489" s="35">
        <f>VLOOKUP(Tabla4[[#This Row],[SERVICIO 2025]],$J$2:$V$14,3,0)*Tabla4[[#This Row],[TOTAL COBERTURA]]*8</f>
        <v>106373600</v>
      </c>
      <c r="AQ489" s="35"/>
      <c r="AR489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489" s="35" t="str">
        <f>+IF(Tabla4[[#This Row],[AGRUPACIONES]]=1,SUMIFS(Tabla4[VALOR TOTAL],Tabla4[ZONA DEFINITIVO],Tabla4[[#This Row],[ZONA DEFINITIVO]])," ")</f>
        <v xml:space="preserve"> </v>
      </c>
      <c r="AT489" s="27">
        <f>(VLOOKUP(Tabla4[[#This Row],[SERVICIO 2025]],$J$2:$V$14,3,0)*Tabla4[[#This Row],[TOTAL COBERTURA]])+Tabla4[[#This Row],[VALOR FASE PREPARATORIA DE ALISTAMIENTO]]+Tabla4[[#This Row],[DOTACIÓN ÚNICA]]</f>
        <v>17324850</v>
      </c>
      <c r="AU489" s="35">
        <f>(VLOOKUP(Tabla4[[#This Row],[SERVICIO 2025]],$J$2:$V$14,3,0)*Tabla4[[#This Row],[TOTAL COBERTURA]])</f>
        <v>13296700</v>
      </c>
      <c r="AV489" s="35">
        <f>(VLOOKUP(Tabla4[[#This Row],[SERVICIO 2025]],$J$2:$V$14,3,0)*Tabla4[[#This Row],[TOTAL COBERTURA]])</f>
        <v>13296700</v>
      </c>
      <c r="AW489" s="35">
        <f>(VLOOKUP(Tabla4[[#This Row],[SERVICIO 2025]],$J$2:$V$14,3,0)*Tabla4[[#This Row],[TOTAL COBERTURA]])</f>
        <v>13296700</v>
      </c>
      <c r="AX489" s="35">
        <f>(VLOOKUP(Tabla4[[#This Row],[SERVICIO 2025]],$J$2:$V$14,3,0)*Tabla4[[#This Row],[TOTAL COBERTURA]])</f>
        <v>13296700</v>
      </c>
      <c r="AY489" s="35">
        <f>(VLOOKUP(Tabla4[[#This Row],[SERVICIO 2025]],$J$2:$V$14,3,0)*Tabla4[[#This Row],[TOTAL COBERTURA]])</f>
        <v>13296700</v>
      </c>
      <c r="AZ489" s="35">
        <f>(VLOOKUP(Tabla4[[#This Row],[SERVICIO 2025]],$J$2:$V$14,3,0)*Tabla4[[#This Row],[TOTAL COBERTURA]])</f>
        <v>13296700</v>
      </c>
      <c r="BA489" s="35">
        <f>(VLOOKUP(Tabla4[[#This Row],[SERVICIO 2025]],$J$2:$V$14,3,0)*Tabla4[[#This Row],[TOTAL COBERTURA]])+Tabla4[[#This Row],[VALOR FASE PREPARATORIA DE CIERRE]]</f>
        <v>15452500</v>
      </c>
      <c r="BB489" s="35">
        <f>SUM(Tabla4[[#This Row],[DESEMBOLSO 1]:[DESEMBOLSO 8]])</f>
        <v>112557550</v>
      </c>
      <c r="BC489" s="35">
        <f>VLOOKUP(Tabla4[[#This Row],[SERVICIO 2025]],$J$2:$V$14,10,0)*Tabla4[[#This Row],[TOTAL COBERTURA]]*$W$3</f>
        <v>72153200</v>
      </c>
      <c r="BD489" s="47" t="s">
        <v>211</v>
      </c>
      <c r="BE489" s="12" t="b">
        <f>EXACT(Tabla4[[#This Row],[VALOR ATENCIÓN (8 MESES)]],Tabla4[[#This Row],[VALOR TOTAL]])</f>
        <v>1</v>
      </c>
      <c r="BF489" s="23">
        <f>Tabla4[[#This Row],[VALOR ATENCIÓN (8 MESES)]]-Tabla4[[#This Row],[VALOR TOTAL]]</f>
        <v>0</v>
      </c>
      <c r="BG489" s="12" t="b">
        <f>EXACT(Tabla4[[#This Row],[TOTAL DESEMBOLSOS]],Tabla4[[#This Row],[VALOR ATENCIÓN (8 MESES)]])</f>
        <v>1</v>
      </c>
      <c r="BH489" s="29">
        <f>Tabla4[[#This Row],[TOTAL DESEMBOLSOS]]-Tabla4[[#This Row],[VALOR ATENCIÓN (8 MESES)]]</f>
        <v>0</v>
      </c>
      <c r="BI489" t="s">
        <v>98</v>
      </c>
      <c r="BJ489">
        <v>1931</v>
      </c>
    </row>
    <row r="490" spans="1:62">
      <c r="A490" s="13">
        <v>1931</v>
      </c>
      <c r="B490" s="13" t="s">
        <v>1128</v>
      </c>
      <c r="C490" s="12" t="s">
        <v>87</v>
      </c>
      <c r="D490" s="12" t="s">
        <v>462</v>
      </c>
      <c r="E490" s="12" t="s">
        <v>1048</v>
      </c>
      <c r="F490" s="12" t="s">
        <v>19</v>
      </c>
      <c r="G490" s="12" t="s">
        <v>90</v>
      </c>
      <c r="H490" s="12" t="s">
        <v>1135</v>
      </c>
      <c r="I490" s="12">
        <v>51471112757</v>
      </c>
      <c r="J490" s="12" t="s">
        <v>1136</v>
      </c>
      <c r="K490" s="12">
        <v>1</v>
      </c>
      <c r="L490" s="12">
        <v>50</v>
      </c>
      <c r="M490" s="12"/>
      <c r="N490" s="13">
        <v>1931</v>
      </c>
      <c r="O490" s="12" t="s">
        <v>93</v>
      </c>
      <c r="P490" s="12"/>
      <c r="Q490" s="12"/>
      <c r="R490" s="12" t="s">
        <v>94</v>
      </c>
      <c r="S490" s="12">
        <v>10</v>
      </c>
      <c r="T490" s="12" t="s">
        <v>1131</v>
      </c>
      <c r="U490" s="12" t="s">
        <v>1132</v>
      </c>
      <c r="V490" s="12">
        <f>VLOOKUP(Tabla4[[#This Row],[ZONA DEFINITIVO]],Hoja1!$A$1:$D$121,3,0)</f>
        <v>229102</v>
      </c>
      <c r="W490" s="12">
        <f>VLOOKUP(Tabla4[[#This Row],[ZONA DEFINITIVO]],Hoja1!$A$1:$D$121,2,0)</f>
        <v>15208</v>
      </c>
      <c r="X490" s="12">
        <f>VLOOKUP(Tabla4[[#This Row],[ZONA DEFINITIVO]],Hoja1!$A$1:$D$121,4,0)</f>
        <v>92425</v>
      </c>
      <c r="Y490" s="12" t="str">
        <f>+IF(Tabla4[[#This Row],[AGRUPACIONES]]=1,SUMIFS(Tabla4[UDS],Tabla4[ZONA DEFINITIVO],Tabla4[[#This Row],[ZONA DEFINITIVO]])," ")</f>
        <v xml:space="preserve"> </v>
      </c>
      <c r="Z490" s="12" t="str">
        <f>+IF(Tabla4[[#This Row],[AGRUPACIONES]]=1,SUMIFS(Tabla4[TOTAL COBERTURA],Tabla4[ZONA DEFINITIVO],Tabla4[[#This Row],[ZONA DEFINITIVO]])," ")</f>
        <v xml:space="preserve"> </v>
      </c>
      <c r="AA490" s="12"/>
      <c r="AB490" s="38">
        <v>112557550</v>
      </c>
      <c r="AC490" s="37">
        <v>0.02</v>
      </c>
      <c r="AD490" s="38">
        <f t="shared" si="8"/>
        <v>2251151</v>
      </c>
      <c r="AE490" s="12"/>
      <c r="AF490" s="12">
        <f>COUNTIF($A$20:A490,A490)</f>
        <v>3</v>
      </c>
      <c r="AG490" s="38">
        <v>112557550</v>
      </c>
      <c r="AH490" s="38">
        <f>Tabla4[[#This Row],[VALOR CONTRAPARTIDA]]+Tabla4[[#This Row],[TOTAL APORTES ICBF]]</f>
        <v>114808701</v>
      </c>
      <c r="AI490" s="35"/>
      <c r="AJ490" s="38"/>
      <c r="AK490" s="38"/>
      <c r="AL490" s="23"/>
      <c r="AM490" s="35">
        <f>VLOOKUP(Tabla4[[#This Row],[SERVICIO 2025]],$J$2:$V$14,5,0)*Tabla4[[#This Row],[TOTAL COBERTURA]]</f>
        <v>2573150</v>
      </c>
      <c r="AN490" s="35">
        <f>VLOOKUP(Tabla4[[#This Row],[SERVICIO 2025]],$J$2:$V$14,6,0)*Tabla4[[#This Row],[TOTAL COBERTURA]]</f>
        <v>2155800</v>
      </c>
      <c r="AO490" s="35">
        <f>VLOOKUP(Tabla4[[#This Row],[SERVICIO 2025]],$J$2:$V$14,8,0)*Tabla4[[#This Row],[TOTAL COBERTURA]]</f>
        <v>1455000</v>
      </c>
      <c r="AP490" s="35">
        <f>VLOOKUP(Tabla4[[#This Row],[SERVICIO 2025]],$J$2:$V$14,3,0)*Tabla4[[#This Row],[TOTAL COBERTURA]]*8</f>
        <v>106373600</v>
      </c>
      <c r="AQ490" s="35"/>
      <c r="AR490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490" s="35" t="str">
        <f>+IF(Tabla4[[#This Row],[AGRUPACIONES]]=1,SUMIFS(Tabla4[VALOR TOTAL],Tabla4[ZONA DEFINITIVO],Tabla4[[#This Row],[ZONA DEFINITIVO]])," ")</f>
        <v xml:space="preserve"> </v>
      </c>
      <c r="AT490" s="27">
        <f>(VLOOKUP(Tabla4[[#This Row],[SERVICIO 2025]],$J$2:$V$14,3,0)*Tabla4[[#This Row],[TOTAL COBERTURA]])+Tabla4[[#This Row],[VALOR FASE PREPARATORIA DE ALISTAMIENTO]]+Tabla4[[#This Row],[DOTACIÓN ÚNICA]]</f>
        <v>17324850</v>
      </c>
      <c r="AU490" s="35">
        <f>(VLOOKUP(Tabla4[[#This Row],[SERVICIO 2025]],$J$2:$V$14,3,0)*Tabla4[[#This Row],[TOTAL COBERTURA]])</f>
        <v>13296700</v>
      </c>
      <c r="AV490" s="35">
        <f>(VLOOKUP(Tabla4[[#This Row],[SERVICIO 2025]],$J$2:$V$14,3,0)*Tabla4[[#This Row],[TOTAL COBERTURA]])</f>
        <v>13296700</v>
      </c>
      <c r="AW490" s="35">
        <f>(VLOOKUP(Tabla4[[#This Row],[SERVICIO 2025]],$J$2:$V$14,3,0)*Tabla4[[#This Row],[TOTAL COBERTURA]])</f>
        <v>13296700</v>
      </c>
      <c r="AX490" s="35">
        <f>(VLOOKUP(Tabla4[[#This Row],[SERVICIO 2025]],$J$2:$V$14,3,0)*Tabla4[[#This Row],[TOTAL COBERTURA]])</f>
        <v>13296700</v>
      </c>
      <c r="AY490" s="35">
        <f>(VLOOKUP(Tabla4[[#This Row],[SERVICIO 2025]],$J$2:$V$14,3,0)*Tabla4[[#This Row],[TOTAL COBERTURA]])</f>
        <v>13296700</v>
      </c>
      <c r="AZ490" s="35">
        <f>(VLOOKUP(Tabla4[[#This Row],[SERVICIO 2025]],$J$2:$V$14,3,0)*Tabla4[[#This Row],[TOTAL COBERTURA]])</f>
        <v>13296700</v>
      </c>
      <c r="BA490" s="35">
        <f>(VLOOKUP(Tabla4[[#This Row],[SERVICIO 2025]],$J$2:$V$14,3,0)*Tabla4[[#This Row],[TOTAL COBERTURA]])+Tabla4[[#This Row],[VALOR FASE PREPARATORIA DE CIERRE]]</f>
        <v>15452500</v>
      </c>
      <c r="BB490" s="35">
        <f>SUM(Tabla4[[#This Row],[DESEMBOLSO 1]:[DESEMBOLSO 8]])</f>
        <v>112557550</v>
      </c>
      <c r="BC490" s="35">
        <f>VLOOKUP(Tabla4[[#This Row],[SERVICIO 2025]],$J$2:$V$14,10,0)*Tabla4[[#This Row],[TOTAL COBERTURA]]*$W$3</f>
        <v>72153200</v>
      </c>
      <c r="BD490" s="47" t="s">
        <v>211</v>
      </c>
      <c r="BE490" s="12" t="b">
        <f>EXACT(Tabla4[[#This Row],[VALOR ATENCIÓN (8 MESES)]],Tabla4[[#This Row],[VALOR TOTAL]])</f>
        <v>1</v>
      </c>
      <c r="BF490" s="23">
        <f>Tabla4[[#This Row],[VALOR ATENCIÓN (8 MESES)]]-Tabla4[[#This Row],[VALOR TOTAL]]</f>
        <v>0</v>
      </c>
      <c r="BG490" s="12" t="b">
        <f>EXACT(Tabla4[[#This Row],[TOTAL DESEMBOLSOS]],Tabla4[[#This Row],[VALOR ATENCIÓN (8 MESES)]])</f>
        <v>1</v>
      </c>
      <c r="BH490" s="29">
        <f>Tabla4[[#This Row],[TOTAL DESEMBOLSOS]]-Tabla4[[#This Row],[VALOR ATENCIÓN (8 MESES)]]</f>
        <v>0</v>
      </c>
      <c r="BI490" t="s">
        <v>98</v>
      </c>
      <c r="BJ490">
        <v>1931</v>
      </c>
    </row>
    <row r="491" spans="1:62">
      <c r="A491" s="13">
        <v>1931</v>
      </c>
      <c r="B491" s="13" t="s">
        <v>1128</v>
      </c>
      <c r="C491" s="12" t="s">
        <v>87</v>
      </c>
      <c r="D491" s="12" t="s">
        <v>462</v>
      </c>
      <c r="E491" s="12" t="s">
        <v>1048</v>
      </c>
      <c r="F491" s="12" t="s">
        <v>19</v>
      </c>
      <c r="G491" s="12" t="s">
        <v>90</v>
      </c>
      <c r="H491" s="12" t="s">
        <v>1070</v>
      </c>
      <c r="I491" s="12">
        <v>514700101047</v>
      </c>
      <c r="J491" s="12" t="s">
        <v>1137</v>
      </c>
      <c r="K491" s="12">
        <v>1</v>
      </c>
      <c r="L491" s="12">
        <v>37</v>
      </c>
      <c r="M491" s="12"/>
      <c r="N491" s="13">
        <v>1931</v>
      </c>
      <c r="O491" s="12" t="s">
        <v>93</v>
      </c>
      <c r="P491" s="12"/>
      <c r="Q491" s="12"/>
      <c r="R491" s="12" t="s">
        <v>94</v>
      </c>
      <c r="S491" s="12">
        <v>10</v>
      </c>
      <c r="T491" s="12" t="s">
        <v>1131</v>
      </c>
      <c r="U491" s="12" t="s">
        <v>1132</v>
      </c>
      <c r="V491" s="12">
        <f>VLOOKUP(Tabla4[[#This Row],[ZONA DEFINITIVO]],Hoja1!$A$1:$D$121,3,0)</f>
        <v>229102</v>
      </c>
      <c r="W491" s="12">
        <f>VLOOKUP(Tabla4[[#This Row],[ZONA DEFINITIVO]],Hoja1!$A$1:$D$121,2,0)</f>
        <v>15208</v>
      </c>
      <c r="X491" s="12">
        <f>VLOOKUP(Tabla4[[#This Row],[ZONA DEFINITIVO]],Hoja1!$A$1:$D$121,4,0)</f>
        <v>92425</v>
      </c>
      <c r="Y491" s="12" t="str">
        <f>+IF(Tabla4[[#This Row],[AGRUPACIONES]]=1,SUMIFS(Tabla4[UDS],Tabla4[ZONA DEFINITIVO],Tabla4[[#This Row],[ZONA DEFINITIVO]])," ")</f>
        <v xml:space="preserve"> </v>
      </c>
      <c r="Z491" s="12" t="str">
        <f>+IF(Tabla4[[#This Row],[AGRUPACIONES]]=1,SUMIFS(Tabla4[TOTAL COBERTURA],Tabla4[ZONA DEFINITIVO],Tabla4[[#This Row],[ZONA DEFINITIVO]])," ")</f>
        <v xml:space="preserve"> </v>
      </c>
      <c r="AA491" s="12"/>
      <c r="AB491" s="38">
        <v>83292587</v>
      </c>
      <c r="AC491" s="37">
        <v>0.02</v>
      </c>
      <c r="AD491" s="38">
        <f t="shared" si="8"/>
        <v>1665851.74</v>
      </c>
      <c r="AE491" s="12"/>
      <c r="AF491" s="12">
        <f>COUNTIF($A$20:A491,A491)</f>
        <v>4</v>
      </c>
      <c r="AG491" s="38">
        <v>83292587</v>
      </c>
      <c r="AH491" s="38">
        <f>Tabla4[[#This Row],[VALOR CONTRAPARTIDA]]+Tabla4[[#This Row],[TOTAL APORTES ICBF]]</f>
        <v>84958438.739999995</v>
      </c>
      <c r="AI491" s="35"/>
      <c r="AJ491" s="38"/>
      <c r="AK491" s="38"/>
      <c r="AL491" s="23"/>
      <c r="AM491" s="35">
        <f>VLOOKUP(Tabla4[[#This Row],[SERVICIO 2025]],$J$2:$V$14,5,0)*Tabla4[[#This Row],[TOTAL COBERTURA]]</f>
        <v>1904131</v>
      </c>
      <c r="AN491" s="35">
        <f>VLOOKUP(Tabla4[[#This Row],[SERVICIO 2025]],$J$2:$V$14,6,0)*Tabla4[[#This Row],[TOTAL COBERTURA]]</f>
        <v>1595292</v>
      </c>
      <c r="AO491" s="35">
        <f>VLOOKUP(Tabla4[[#This Row],[SERVICIO 2025]],$J$2:$V$14,8,0)*Tabla4[[#This Row],[TOTAL COBERTURA]]</f>
        <v>1076700</v>
      </c>
      <c r="AP491" s="35">
        <f>VLOOKUP(Tabla4[[#This Row],[SERVICIO 2025]],$J$2:$V$14,3,0)*Tabla4[[#This Row],[TOTAL COBERTURA]]*8</f>
        <v>78716464</v>
      </c>
      <c r="AQ491" s="35"/>
      <c r="AR491" s="35">
        <f>Tabla4[[#This Row],[VALOR FASE PREPARATORIA DE ALISTAMIENTO]]+Tabla4[[#This Row],[VALOR FASE PREPARATORIA DE CIERRE]]+Tabla4[[#This Row],[DOTACIÓN ÚNICA]]+Tabla4[[#This Row],[VALOR ATENCIÓN]]+Tabla4[[#This Row],[VALOR RACION PREPARADA]]</f>
        <v>83292587</v>
      </c>
      <c r="AS491" s="35" t="str">
        <f>+IF(Tabla4[[#This Row],[AGRUPACIONES]]=1,SUMIFS(Tabla4[VALOR TOTAL],Tabla4[ZONA DEFINITIVO],Tabla4[[#This Row],[ZONA DEFINITIVO]])," ")</f>
        <v xml:space="preserve"> </v>
      </c>
      <c r="AT491" s="27">
        <f>(VLOOKUP(Tabla4[[#This Row],[SERVICIO 2025]],$J$2:$V$14,3,0)*Tabla4[[#This Row],[TOTAL COBERTURA]])+Tabla4[[#This Row],[VALOR FASE PREPARATORIA DE ALISTAMIENTO]]+Tabla4[[#This Row],[DOTACIÓN ÚNICA]]</f>
        <v>12820389</v>
      </c>
      <c r="AU491" s="35">
        <f>(VLOOKUP(Tabla4[[#This Row],[SERVICIO 2025]],$J$2:$V$14,3,0)*Tabla4[[#This Row],[TOTAL COBERTURA]])</f>
        <v>9839558</v>
      </c>
      <c r="AV491" s="35">
        <f>(VLOOKUP(Tabla4[[#This Row],[SERVICIO 2025]],$J$2:$V$14,3,0)*Tabla4[[#This Row],[TOTAL COBERTURA]])</f>
        <v>9839558</v>
      </c>
      <c r="AW491" s="35">
        <f>(VLOOKUP(Tabla4[[#This Row],[SERVICIO 2025]],$J$2:$V$14,3,0)*Tabla4[[#This Row],[TOTAL COBERTURA]])</f>
        <v>9839558</v>
      </c>
      <c r="AX491" s="35">
        <f>(VLOOKUP(Tabla4[[#This Row],[SERVICIO 2025]],$J$2:$V$14,3,0)*Tabla4[[#This Row],[TOTAL COBERTURA]])</f>
        <v>9839558</v>
      </c>
      <c r="AY491" s="35">
        <f>(VLOOKUP(Tabla4[[#This Row],[SERVICIO 2025]],$J$2:$V$14,3,0)*Tabla4[[#This Row],[TOTAL COBERTURA]])</f>
        <v>9839558</v>
      </c>
      <c r="AZ491" s="35">
        <f>(VLOOKUP(Tabla4[[#This Row],[SERVICIO 2025]],$J$2:$V$14,3,0)*Tabla4[[#This Row],[TOTAL COBERTURA]])</f>
        <v>9839558</v>
      </c>
      <c r="BA491" s="35">
        <f>(VLOOKUP(Tabla4[[#This Row],[SERVICIO 2025]],$J$2:$V$14,3,0)*Tabla4[[#This Row],[TOTAL COBERTURA]])+Tabla4[[#This Row],[VALOR FASE PREPARATORIA DE CIERRE]]</f>
        <v>11434850</v>
      </c>
      <c r="BB491" s="35">
        <f>SUM(Tabla4[[#This Row],[DESEMBOLSO 1]:[DESEMBOLSO 8]])</f>
        <v>83292587</v>
      </c>
      <c r="BC491" s="35">
        <f>VLOOKUP(Tabla4[[#This Row],[SERVICIO 2025]],$J$2:$V$14,10,0)*Tabla4[[#This Row],[TOTAL COBERTURA]]*$W$3</f>
        <v>53393368</v>
      </c>
      <c r="BD491" s="47" t="s">
        <v>211</v>
      </c>
      <c r="BE491" s="12" t="b">
        <f>EXACT(Tabla4[[#This Row],[VALOR ATENCIÓN (8 MESES)]],Tabla4[[#This Row],[VALOR TOTAL]])</f>
        <v>1</v>
      </c>
      <c r="BF491" s="23">
        <f>Tabla4[[#This Row],[VALOR ATENCIÓN (8 MESES)]]-Tabla4[[#This Row],[VALOR TOTAL]]</f>
        <v>0</v>
      </c>
      <c r="BG491" s="12" t="b">
        <f>EXACT(Tabla4[[#This Row],[TOTAL DESEMBOLSOS]],Tabla4[[#This Row],[VALOR ATENCIÓN (8 MESES)]])</f>
        <v>1</v>
      </c>
      <c r="BH491" s="29">
        <f>Tabla4[[#This Row],[TOTAL DESEMBOLSOS]]-Tabla4[[#This Row],[VALOR ATENCIÓN (8 MESES)]]</f>
        <v>0</v>
      </c>
      <c r="BI491" t="s">
        <v>98</v>
      </c>
      <c r="BJ491">
        <v>1931</v>
      </c>
    </row>
    <row r="492" spans="1:62">
      <c r="A492" s="13">
        <v>1931</v>
      </c>
      <c r="B492" s="13" t="s">
        <v>1128</v>
      </c>
      <c r="C492" s="12" t="s">
        <v>87</v>
      </c>
      <c r="D492" s="12" t="s">
        <v>462</v>
      </c>
      <c r="E492" s="12" t="s">
        <v>1048</v>
      </c>
      <c r="F492" s="12" t="s">
        <v>19</v>
      </c>
      <c r="G492" s="12" t="s">
        <v>90</v>
      </c>
      <c r="H492" s="12" t="s">
        <v>1138</v>
      </c>
      <c r="I492" s="12">
        <v>514700115637</v>
      </c>
      <c r="J492" s="12" t="s">
        <v>1139</v>
      </c>
      <c r="K492" s="12">
        <v>1</v>
      </c>
      <c r="L492" s="12">
        <v>50</v>
      </c>
      <c r="M492" s="12"/>
      <c r="N492" s="13">
        <v>1931</v>
      </c>
      <c r="O492" s="12" t="s">
        <v>93</v>
      </c>
      <c r="P492" s="12"/>
      <c r="Q492" s="12"/>
      <c r="R492" s="12" t="s">
        <v>94</v>
      </c>
      <c r="S492" s="12">
        <v>10</v>
      </c>
      <c r="T492" s="12" t="s">
        <v>1131</v>
      </c>
      <c r="U492" s="12" t="s">
        <v>1132</v>
      </c>
      <c r="V492" s="12">
        <f>VLOOKUP(Tabla4[[#This Row],[ZONA DEFINITIVO]],Hoja1!$A$1:$D$121,3,0)</f>
        <v>229102</v>
      </c>
      <c r="W492" s="12">
        <f>VLOOKUP(Tabla4[[#This Row],[ZONA DEFINITIVO]],Hoja1!$A$1:$D$121,2,0)</f>
        <v>15208</v>
      </c>
      <c r="X492" s="12">
        <f>VLOOKUP(Tabla4[[#This Row],[ZONA DEFINITIVO]],Hoja1!$A$1:$D$121,4,0)</f>
        <v>92425</v>
      </c>
      <c r="Y492" s="12" t="str">
        <f>+IF(Tabla4[[#This Row],[AGRUPACIONES]]=1,SUMIFS(Tabla4[UDS],Tabla4[ZONA DEFINITIVO],Tabla4[[#This Row],[ZONA DEFINITIVO]])," ")</f>
        <v xml:space="preserve"> </v>
      </c>
      <c r="Z492" s="12" t="str">
        <f>+IF(Tabla4[[#This Row],[AGRUPACIONES]]=1,SUMIFS(Tabla4[TOTAL COBERTURA],Tabla4[ZONA DEFINITIVO],Tabla4[[#This Row],[ZONA DEFINITIVO]])," ")</f>
        <v xml:space="preserve"> </v>
      </c>
      <c r="AA492" s="12"/>
      <c r="AB492" s="38">
        <v>112557550</v>
      </c>
      <c r="AC492" s="37">
        <v>0.02</v>
      </c>
      <c r="AD492" s="38">
        <f t="shared" si="8"/>
        <v>2251151</v>
      </c>
      <c r="AE492" s="12"/>
      <c r="AF492" s="12">
        <f>COUNTIF($A$20:A492,A492)</f>
        <v>5</v>
      </c>
      <c r="AG492" s="38">
        <v>112557550</v>
      </c>
      <c r="AH492" s="38">
        <f>Tabla4[[#This Row],[VALOR CONTRAPARTIDA]]+Tabla4[[#This Row],[TOTAL APORTES ICBF]]</f>
        <v>114808701</v>
      </c>
      <c r="AI492" s="35"/>
      <c r="AJ492" s="38"/>
      <c r="AK492" s="38"/>
      <c r="AL492" s="23"/>
      <c r="AM492" s="35">
        <f>VLOOKUP(Tabla4[[#This Row],[SERVICIO 2025]],$J$2:$V$14,5,0)*Tabla4[[#This Row],[TOTAL COBERTURA]]</f>
        <v>2573150</v>
      </c>
      <c r="AN492" s="35">
        <f>VLOOKUP(Tabla4[[#This Row],[SERVICIO 2025]],$J$2:$V$14,6,0)*Tabla4[[#This Row],[TOTAL COBERTURA]]</f>
        <v>2155800</v>
      </c>
      <c r="AO492" s="35">
        <f>VLOOKUP(Tabla4[[#This Row],[SERVICIO 2025]],$J$2:$V$14,8,0)*Tabla4[[#This Row],[TOTAL COBERTURA]]</f>
        <v>1455000</v>
      </c>
      <c r="AP492" s="35">
        <f>VLOOKUP(Tabla4[[#This Row],[SERVICIO 2025]],$J$2:$V$14,3,0)*Tabla4[[#This Row],[TOTAL COBERTURA]]*8</f>
        <v>106373600</v>
      </c>
      <c r="AQ492" s="35"/>
      <c r="AR492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492" s="35" t="str">
        <f>+IF(Tabla4[[#This Row],[AGRUPACIONES]]=1,SUMIFS(Tabla4[VALOR TOTAL],Tabla4[ZONA DEFINITIVO],Tabla4[[#This Row],[ZONA DEFINITIVO]])," ")</f>
        <v xml:space="preserve"> </v>
      </c>
      <c r="AT492" s="27">
        <f>(VLOOKUP(Tabla4[[#This Row],[SERVICIO 2025]],$J$2:$V$14,3,0)*Tabla4[[#This Row],[TOTAL COBERTURA]])+Tabla4[[#This Row],[VALOR FASE PREPARATORIA DE ALISTAMIENTO]]+Tabla4[[#This Row],[DOTACIÓN ÚNICA]]</f>
        <v>17324850</v>
      </c>
      <c r="AU492" s="35">
        <f>(VLOOKUP(Tabla4[[#This Row],[SERVICIO 2025]],$J$2:$V$14,3,0)*Tabla4[[#This Row],[TOTAL COBERTURA]])</f>
        <v>13296700</v>
      </c>
      <c r="AV492" s="35">
        <f>(VLOOKUP(Tabla4[[#This Row],[SERVICIO 2025]],$J$2:$V$14,3,0)*Tabla4[[#This Row],[TOTAL COBERTURA]])</f>
        <v>13296700</v>
      </c>
      <c r="AW492" s="35">
        <f>(VLOOKUP(Tabla4[[#This Row],[SERVICIO 2025]],$J$2:$V$14,3,0)*Tabla4[[#This Row],[TOTAL COBERTURA]])</f>
        <v>13296700</v>
      </c>
      <c r="AX492" s="35">
        <f>(VLOOKUP(Tabla4[[#This Row],[SERVICIO 2025]],$J$2:$V$14,3,0)*Tabla4[[#This Row],[TOTAL COBERTURA]])</f>
        <v>13296700</v>
      </c>
      <c r="AY492" s="35">
        <f>(VLOOKUP(Tabla4[[#This Row],[SERVICIO 2025]],$J$2:$V$14,3,0)*Tabla4[[#This Row],[TOTAL COBERTURA]])</f>
        <v>13296700</v>
      </c>
      <c r="AZ492" s="35">
        <f>(VLOOKUP(Tabla4[[#This Row],[SERVICIO 2025]],$J$2:$V$14,3,0)*Tabla4[[#This Row],[TOTAL COBERTURA]])</f>
        <v>13296700</v>
      </c>
      <c r="BA492" s="35">
        <f>(VLOOKUP(Tabla4[[#This Row],[SERVICIO 2025]],$J$2:$V$14,3,0)*Tabla4[[#This Row],[TOTAL COBERTURA]])+Tabla4[[#This Row],[VALOR FASE PREPARATORIA DE CIERRE]]</f>
        <v>15452500</v>
      </c>
      <c r="BB492" s="35">
        <f>SUM(Tabla4[[#This Row],[DESEMBOLSO 1]:[DESEMBOLSO 8]])</f>
        <v>112557550</v>
      </c>
      <c r="BC492" s="35">
        <f>VLOOKUP(Tabla4[[#This Row],[SERVICIO 2025]],$J$2:$V$14,10,0)*Tabla4[[#This Row],[TOTAL COBERTURA]]*$W$3</f>
        <v>72153200</v>
      </c>
      <c r="BD492" s="47" t="s">
        <v>211</v>
      </c>
      <c r="BE492" s="12" t="b">
        <f>EXACT(Tabla4[[#This Row],[VALOR ATENCIÓN (8 MESES)]],Tabla4[[#This Row],[VALOR TOTAL]])</f>
        <v>1</v>
      </c>
      <c r="BF492" s="23">
        <f>Tabla4[[#This Row],[VALOR ATENCIÓN (8 MESES)]]-Tabla4[[#This Row],[VALOR TOTAL]]</f>
        <v>0</v>
      </c>
      <c r="BG492" s="12" t="b">
        <f>EXACT(Tabla4[[#This Row],[TOTAL DESEMBOLSOS]],Tabla4[[#This Row],[VALOR ATENCIÓN (8 MESES)]])</f>
        <v>1</v>
      </c>
      <c r="BH492" s="29">
        <f>Tabla4[[#This Row],[TOTAL DESEMBOLSOS]]-Tabla4[[#This Row],[VALOR ATENCIÓN (8 MESES)]]</f>
        <v>0</v>
      </c>
      <c r="BI492" t="s">
        <v>98</v>
      </c>
      <c r="BJ492">
        <v>1931</v>
      </c>
    </row>
    <row r="493" spans="1:62">
      <c r="A493" s="13">
        <v>1931</v>
      </c>
      <c r="B493" s="13" t="s">
        <v>1128</v>
      </c>
      <c r="C493" s="12" t="s">
        <v>87</v>
      </c>
      <c r="D493" s="12" t="s">
        <v>462</v>
      </c>
      <c r="E493" s="12" t="s">
        <v>1048</v>
      </c>
      <c r="F493" s="12" t="s">
        <v>19</v>
      </c>
      <c r="G493" s="12" t="s">
        <v>90</v>
      </c>
      <c r="H493" s="12" t="s">
        <v>1140</v>
      </c>
      <c r="I493" s="12">
        <v>514700115638</v>
      </c>
      <c r="J493" s="12" t="s">
        <v>1141</v>
      </c>
      <c r="K493" s="12">
        <v>1</v>
      </c>
      <c r="L493" s="12">
        <v>50</v>
      </c>
      <c r="M493" s="12"/>
      <c r="N493" s="13">
        <v>1931</v>
      </c>
      <c r="O493" s="12" t="s">
        <v>93</v>
      </c>
      <c r="P493" s="12"/>
      <c r="Q493" s="12"/>
      <c r="R493" s="12" t="s">
        <v>94</v>
      </c>
      <c r="S493" s="12">
        <v>10</v>
      </c>
      <c r="T493" s="12" t="s">
        <v>1131</v>
      </c>
      <c r="U493" s="12" t="s">
        <v>1132</v>
      </c>
      <c r="V493" s="12">
        <f>VLOOKUP(Tabla4[[#This Row],[ZONA DEFINITIVO]],Hoja1!$A$1:$D$121,3,0)</f>
        <v>229102</v>
      </c>
      <c r="W493" s="12">
        <f>VLOOKUP(Tabla4[[#This Row],[ZONA DEFINITIVO]],Hoja1!$A$1:$D$121,2,0)</f>
        <v>15208</v>
      </c>
      <c r="X493" s="12">
        <f>VLOOKUP(Tabla4[[#This Row],[ZONA DEFINITIVO]],Hoja1!$A$1:$D$121,4,0)</f>
        <v>92425</v>
      </c>
      <c r="Y493" s="12" t="str">
        <f>+IF(Tabla4[[#This Row],[AGRUPACIONES]]=1,SUMIFS(Tabla4[UDS],Tabla4[ZONA DEFINITIVO],Tabla4[[#This Row],[ZONA DEFINITIVO]])," ")</f>
        <v xml:space="preserve"> </v>
      </c>
      <c r="Z493" s="12" t="str">
        <f>+IF(Tabla4[[#This Row],[AGRUPACIONES]]=1,SUMIFS(Tabla4[TOTAL COBERTURA],Tabla4[ZONA DEFINITIVO],Tabla4[[#This Row],[ZONA DEFINITIVO]])," ")</f>
        <v xml:space="preserve"> </v>
      </c>
      <c r="AA493" s="12"/>
      <c r="AB493" s="38">
        <v>112557550</v>
      </c>
      <c r="AC493" s="37">
        <v>0.02</v>
      </c>
      <c r="AD493" s="38">
        <f t="shared" si="8"/>
        <v>2251151</v>
      </c>
      <c r="AE493" s="12"/>
      <c r="AF493" s="12">
        <f>COUNTIF($A$20:A493,A493)</f>
        <v>6</v>
      </c>
      <c r="AG493" s="38">
        <v>112557550</v>
      </c>
      <c r="AH493" s="38">
        <f>Tabla4[[#This Row],[VALOR CONTRAPARTIDA]]+Tabla4[[#This Row],[TOTAL APORTES ICBF]]</f>
        <v>114808701</v>
      </c>
      <c r="AI493" s="35"/>
      <c r="AJ493" s="38"/>
      <c r="AK493" s="38"/>
      <c r="AL493" s="23"/>
      <c r="AM493" s="35">
        <f>VLOOKUP(Tabla4[[#This Row],[SERVICIO 2025]],$J$2:$V$14,5,0)*Tabla4[[#This Row],[TOTAL COBERTURA]]</f>
        <v>2573150</v>
      </c>
      <c r="AN493" s="35">
        <f>VLOOKUP(Tabla4[[#This Row],[SERVICIO 2025]],$J$2:$V$14,6,0)*Tabla4[[#This Row],[TOTAL COBERTURA]]</f>
        <v>2155800</v>
      </c>
      <c r="AO493" s="35">
        <f>VLOOKUP(Tabla4[[#This Row],[SERVICIO 2025]],$J$2:$V$14,8,0)*Tabla4[[#This Row],[TOTAL COBERTURA]]</f>
        <v>1455000</v>
      </c>
      <c r="AP493" s="35">
        <f>VLOOKUP(Tabla4[[#This Row],[SERVICIO 2025]],$J$2:$V$14,3,0)*Tabla4[[#This Row],[TOTAL COBERTURA]]*8</f>
        <v>106373600</v>
      </c>
      <c r="AQ493" s="35"/>
      <c r="AR493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493" s="35" t="str">
        <f>+IF(Tabla4[[#This Row],[AGRUPACIONES]]=1,SUMIFS(Tabla4[VALOR TOTAL],Tabla4[ZONA DEFINITIVO],Tabla4[[#This Row],[ZONA DEFINITIVO]])," ")</f>
        <v xml:space="preserve"> </v>
      </c>
      <c r="AT493" s="27">
        <f>(VLOOKUP(Tabla4[[#This Row],[SERVICIO 2025]],$J$2:$V$14,3,0)*Tabla4[[#This Row],[TOTAL COBERTURA]])+Tabla4[[#This Row],[VALOR FASE PREPARATORIA DE ALISTAMIENTO]]+Tabla4[[#This Row],[DOTACIÓN ÚNICA]]</f>
        <v>17324850</v>
      </c>
      <c r="AU493" s="35">
        <f>(VLOOKUP(Tabla4[[#This Row],[SERVICIO 2025]],$J$2:$V$14,3,0)*Tabla4[[#This Row],[TOTAL COBERTURA]])</f>
        <v>13296700</v>
      </c>
      <c r="AV493" s="35">
        <f>(VLOOKUP(Tabla4[[#This Row],[SERVICIO 2025]],$J$2:$V$14,3,0)*Tabla4[[#This Row],[TOTAL COBERTURA]])</f>
        <v>13296700</v>
      </c>
      <c r="AW493" s="35">
        <f>(VLOOKUP(Tabla4[[#This Row],[SERVICIO 2025]],$J$2:$V$14,3,0)*Tabla4[[#This Row],[TOTAL COBERTURA]])</f>
        <v>13296700</v>
      </c>
      <c r="AX493" s="35">
        <f>(VLOOKUP(Tabla4[[#This Row],[SERVICIO 2025]],$J$2:$V$14,3,0)*Tabla4[[#This Row],[TOTAL COBERTURA]])</f>
        <v>13296700</v>
      </c>
      <c r="AY493" s="35">
        <f>(VLOOKUP(Tabla4[[#This Row],[SERVICIO 2025]],$J$2:$V$14,3,0)*Tabla4[[#This Row],[TOTAL COBERTURA]])</f>
        <v>13296700</v>
      </c>
      <c r="AZ493" s="35">
        <f>(VLOOKUP(Tabla4[[#This Row],[SERVICIO 2025]],$J$2:$V$14,3,0)*Tabla4[[#This Row],[TOTAL COBERTURA]])</f>
        <v>13296700</v>
      </c>
      <c r="BA493" s="35">
        <f>(VLOOKUP(Tabla4[[#This Row],[SERVICIO 2025]],$J$2:$V$14,3,0)*Tabla4[[#This Row],[TOTAL COBERTURA]])+Tabla4[[#This Row],[VALOR FASE PREPARATORIA DE CIERRE]]</f>
        <v>15452500</v>
      </c>
      <c r="BB493" s="35">
        <f>SUM(Tabla4[[#This Row],[DESEMBOLSO 1]:[DESEMBOLSO 8]])</f>
        <v>112557550</v>
      </c>
      <c r="BC493" s="35">
        <f>VLOOKUP(Tabla4[[#This Row],[SERVICIO 2025]],$J$2:$V$14,10,0)*Tabla4[[#This Row],[TOTAL COBERTURA]]*$W$3</f>
        <v>72153200</v>
      </c>
      <c r="BD493" s="47" t="s">
        <v>211</v>
      </c>
      <c r="BE493" s="12" t="b">
        <f>EXACT(Tabla4[[#This Row],[VALOR ATENCIÓN (8 MESES)]],Tabla4[[#This Row],[VALOR TOTAL]])</f>
        <v>1</v>
      </c>
      <c r="BF493" s="23">
        <f>Tabla4[[#This Row],[VALOR ATENCIÓN (8 MESES)]]-Tabla4[[#This Row],[VALOR TOTAL]]</f>
        <v>0</v>
      </c>
      <c r="BG493" s="12" t="b">
        <f>EXACT(Tabla4[[#This Row],[TOTAL DESEMBOLSOS]],Tabla4[[#This Row],[VALOR ATENCIÓN (8 MESES)]])</f>
        <v>1</v>
      </c>
      <c r="BH493" s="29">
        <f>Tabla4[[#This Row],[TOTAL DESEMBOLSOS]]-Tabla4[[#This Row],[VALOR ATENCIÓN (8 MESES)]]</f>
        <v>0</v>
      </c>
      <c r="BI493" t="s">
        <v>98</v>
      </c>
      <c r="BJ493">
        <v>1931</v>
      </c>
    </row>
    <row r="494" spans="1:62">
      <c r="A494" s="13">
        <v>1933</v>
      </c>
      <c r="B494" s="13" t="s">
        <v>1142</v>
      </c>
      <c r="C494" s="12" t="s">
        <v>87</v>
      </c>
      <c r="D494" s="12" t="s">
        <v>987</v>
      </c>
      <c r="E494" s="12" t="s">
        <v>1143</v>
      </c>
      <c r="F494" s="12" t="s">
        <v>13</v>
      </c>
      <c r="G494" s="12" t="s">
        <v>90</v>
      </c>
      <c r="H494" s="12" t="s">
        <v>1144</v>
      </c>
      <c r="I494" s="12">
        <v>515400066652</v>
      </c>
      <c r="J494" s="12" t="s">
        <v>1145</v>
      </c>
      <c r="K494" s="12">
        <v>1</v>
      </c>
      <c r="L494" s="12">
        <v>85</v>
      </c>
      <c r="M494" s="12"/>
      <c r="N494" s="13">
        <v>1933</v>
      </c>
      <c r="O494" s="12" t="s">
        <v>93</v>
      </c>
      <c r="P494" s="12"/>
      <c r="Q494" s="12"/>
      <c r="R494" s="12" t="s">
        <v>94</v>
      </c>
      <c r="S494" s="12">
        <v>10</v>
      </c>
      <c r="T494" s="12" t="s">
        <v>1146</v>
      </c>
      <c r="U494" s="12" t="s">
        <v>1147</v>
      </c>
      <c r="V494" s="12">
        <f>VLOOKUP(Tabla4[[#This Row],[ZONA DEFINITIVO]],Hoja1!$A$1:$D$121,3,0)</f>
        <v>229103</v>
      </c>
      <c r="W494" s="12">
        <f>VLOOKUP(Tabla4[[#This Row],[ZONA DEFINITIVO]],Hoja1!$A$1:$D$121,2,0)</f>
        <v>15196</v>
      </c>
      <c r="X494" s="12">
        <f>VLOOKUP(Tabla4[[#This Row],[ZONA DEFINITIVO]],Hoja1!$A$1:$D$121,4,0)</f>
        <v>83125</v>
      </c>
      <c r="Y494" s="12">
        <f>+IF(Tabla4[[#This Row],[AGRUPACIONES]]=1,SUMIFS(Tabla4[UDS],Tabla4[ZONA DEFINITIVO],Tabla4[[#This Row],[ZONA DEFINITIVO]])," ")</f>
        <v>4</v>
      </c>
      <c r="Z494" s="12">
        <f>+IF(Tabla4[[#This Row],[AGRUPACIONES]]=1,SUMIFS(Tabla4[TOTAL COBERTURA],Tabla4[ZONA DEFINITIVO],Tabla4[[#This Row],[ZONA DEFINITIVO]])," ")</f>
        <v>715</v>
      </c>
      <c r="AA494" s="12"/>
      <c r="AB494" s="38">
        <v>251320010</v>
      </c>
      <c r="AC494" s="37">
        <v>0.02</v>
      </c>
      <c r="AD494" s="38">
        <f t="shared" si="8"/>
        <v>5026400.2</v>
      </c>
      <c r="AE494" s="12"/>
      <c r="AF494" s="12">
        <f>COUNTIF($A$20:A494,A494)</f>
        <v>1</v>
      </c>
      <c r="AG494" s="38">
        <v>251320010</v>
      </c>
      <c r="AH494" s="38">
        <f>Tabla4[[#This Row],[VALOR CONTRAPARTIDA]]+Tabla4[[#This Row],[TOTAL APORTES ICBF]]</f>
        <v>256346410.19999999</v>
      </c>
      <c r="AI494" s="35">
        <f>ROUND(+IF(Tabla4[[#This Row],[AGRUPACIONES]]=1,SUMIFS(Tabla4[TOTAL APORTES ICBF],Tabla4[ZONA DEFINITIVO],Tabla4[[#This Row],[ZONA DEFINITIVO]])," "),0)</f>
        <v>2255432478</v>
      </c>
      <c r="AJ494" s="38">
        <f>ROUND(+IF(Tabla4[[#This Row],[AGRUPACIONES]]=1,SUMIFS(Tabla4[VALOR CONTRAPARTIDA],Tabla4[ZONA DEFINITIVO],Tabla4[[#This Row],[ZONA DEFINITIVO]])," "),0)</f>
        <v>45108650</v>
      </c>
      <c r="AK494" s="38">
        <f>Tabla4[[#This Row],[TOTAL APORTES ICBF AGRUPADO]]+Tabla4[[#This Row],[TOTAL CONTRAPARTIDA AGRUPADO]]</f>
        <v>2300541128</v>
      </c>
      <c r="AL494" s="23">
        <f>Tabla4[[#This Row],[TOTAL APORTES ICBF AGRUPADO]]/$AL$18</f>
        <v>1584.4274520547945</v>
      </c>
      <c r="AM494" s="35">
        <f>VLOOKUP(Tabla4[[#This Row],[SERVICIO 2025]],$J$2:$V$14,5,0)*Tabla4[[#This Row],[TOTAL COBERTURA]]</f>
        <v>7492155</v>
      </c>
      <c r="AN494" s="35">
        <f>VLOOKUP(Tabla4[[#This Row],[SERVICIO 2025]],$J$2:$V$14,6,0)*Tabla4[[#This Row],[TOTAL COBERTURA]]</f>
        <v>6378655</v>
      </c>
      <c r="AO494" s="35">
        <f>VLOOKUP(Tabla4[[#This Row],[SERVICIO 2025]],$J$2:$V$14,8,0)*Tabla4[[#This Row],[TOTAL COBERTURA]]</f>
        <v>0</v>
      </c>
      <c r="AP494" s="35">
        <f>VLOOKUP(Tabla4[[#This Row],[SERVICIO 2025]],$J$2:$V$14,3,0)*Tabla4[[#This Row],[TOTAL COBERTURA]]*8</f>
        <v>237449200</v>
      </c>
      <c r="AQ494" s="35"/>
      <c r="AR494" s="35">
        <f>Tabla4[[#This Row],[VALOR FASE PREPARATORIA DE ALISTAMIENTO]]+Tabla4[[#This Row],[VALOR FASE PREPARATORIA DE CIERRE]]+Tabla4[[#This Row],[DOTACIÓN ÚNICA]]+Tabla4[[#This Row],[VALOR ATENCIÓN]]+Tabla4[[#This Row],[VALOR RACION PREPARADA]]</f>
        <v>251320010</v>
      </c>
      <c r="AS494" s="35">
        <f>+IF(Tabla4[[#This Row],[AGRUPACIONES]]=1,SUMIFS(Tabla4[VALOR TOTAL],Tabla4[ZONA DEFINITIVO],Tabla4[[#This Row],[ZONA DEFINITIVO]])," ")</f>
        <v>2255432478</v>
      </c>
      <c r="AT494" s="27">
        <f>(VLOOKUP(Tabla4[[#This Row],[SERVICIO 2025]],$J$2:$V$14,3,0)*Tabla4[[#This Row],[TOTAL COBERTURA]])+Tabla4[[#This Row],[VALOR FASE PREPARATORIA DE ALISTAMIENTO]]+Tabla4[[#This Row],[DOTACIÓN ÚNICA]]</f>
        <v>37173305</v>
      </c>
      <c r="AU494" s="35">
        <f>(VLOOKUP(Tabla4[[#This Row],[SERVICIO 2025]],$J$2:$V$14,3,0)*Tabla4[[#This Row],[TOTAL COBERTURA]])</f>
        <v>29681150</v>
      </c>
      <c r="AV494" s="35">
        <f>(VLOOKUP(Tabla4[[#This Row],[SERVICIO 2025]],$J$2:$V$14,3,0)*Tabla4[[#This Row],[TOTAL COBERTURA]])</f>
        <v>29681150</v>
      </c>
      <c r="AW494" s="35">
        <f>(VLOOKUP(Tabla4[[#This Row],[SERVICIO 2025]],$J$2:$V$14,3,0)*Tabla4[[#This Row],[TOTAL COBERTURA]])</f>
        <v>29681150</v>
      </c>
      <c r="AX494" s="35">
        <f>(VLOOKUP(Tabla4[[#This Row],[SERVICIO 2025]],$J$2:$V$14,3,0)*Tabla4[[#This Row],[TOTAL COBERTURA]])</f>
        <v>29681150</v>
      </c>
      <c r="AY494" s="35">
        <f>(VLOOKUP(Tabla4[[#This Row],[SERVICIO 2025]],$J$2:$V$14,3,0)*Tabla4[[#This Row],[TOTAL COBERTURA]])</f>
        <v>29681150</v>
      </c>
      <c r="AZ494" s="35">
        <f>(VLOOKUP(Tabla4[[#This Row],[SERVICIO 2025]],$J$2:$V$14,3,0)*Tabla4[[#This Row],[TOTAL COBERTURA]])</f>
        <v>29681150</v>
      </c>
      <c r="BA494" s="35">
        <f>(VLOOKUP(Tabla4[[#This Row],[SERVICIO 2025]],$J$2:$V$14,3,0)*Tabla4[[#This Row],[TOTAL COBERTURA]])+Tabla4[[#This Row],[VALOR FASE PREPARATORIA DE CIERRE]]</f>
        <v>36059805</v>
      </c>
      <c r="BB494" s="35">
        <f>SUM(Tabla4[[#This Row],[DESEMBOLSO 1]:[DESEMBOLSO 8]])</f>
        <v>251320010</v>
      </c>
      <c r="BC494" s="35">
        <f>VLOOKUP(Tabla4[[#This Row],[SERVICIO 2025]],$J$2:$V$14,10,0)*Tabla4[[#This Row],[TOTAL COBERTURA]]*$W$3</f>
        <v>104732240</v>
      </c>
      <c r="BD494" s="47" t="s">
        <v>211</v>
      </c>
      <c r="BE494" s="12" t="b">
        <f>EXACT(Tabla4[[#This Row],[VALOR ATENCIÓN (8 MESES)]],Tabla4[[#This Row],[VALOR TOTAL]])</f>
        <v>1</v>
      </c>
      <c r="BF494" s="23">
        <f>Tabla4[[#This Row],[VALOR ATENCIÓN (8 MESES)]]-Tabla4[[#This Row],[VALOR TOTAL]]</f>
        <v>0</v>
      </c>
      <c r="BG494" s="12" t="b">
        <f>EXACT(Tabla4[[#This Row],[TOTAL DESEMBOLSOS]],Tabla4[[#This Row],[VALOR ATENCIÓN (8 MESES)]])</f>
        <v>1</v>
      </c>
      <c r="BH494" s="29">
        <f>Tabla4[[#This Row],[TOTAL DESEMBOLSOS]]-Tabla4[[#This Row],[VALOR ATENCIÓN (8 MESES)]]</f>
        <v>0</v>
      </c>
      <c r="BI494" t="s">
        <v>98</v>
      </c>
      <c r="BJ494">
        <v>1933</v>
      </c>
    </row>
    <row r="495" spans="1:62">
      <c r="A495" s="13">
        <v>1933</v>
      </c>
      <c r="B495" s="13" t="s">
        <v>1142</v>
      </c>
      <c r="C495" s="12" t="s">
        <v>87</v>
      </c>
      <c r="D495" s="12" t="s">
        <v>987</v>
      </c>
      <c r="E495" s="12" t="s">
        <v>1143</v>
      </c>
      <c r="F495" s="12" t="s">
        <v>13</v>
      </c>
      <c r="G495" s="12" t="s">
        <v>90</v>
      </c>
      <c r="H495" s="12" t="s">
        <v>1148</v>
      </c>
      <c r="I495" s="12">
        <v>515400102348</v>
      </c>
      <c r="J495" s="12" t="s">
        <v>1149</v>
      </c>
      <c r="K495" s="12">
        <v>1</v>
      </c>
      <c r="L495" s="12">
        <v>219</v>
      </c>
      <c r="M495" s="12"/>
      <c r="N495" s="13">
        <v>1933</v>
      </c>
      <c r="O495" s="12" t="s">
        <v>93</v>
      </c>
      <c r="P495" s="12"/>
      <c r="Q495" s="12"/>
      <c r="R495" s="12" t="s">
        <v>94</v>
      </c>
      <c r="S495" s="12">
        <v>10</v>
      </c>
      <c r="T495" s="12" t="s">
        <v>1146</v>
      </c>
      <c r="U495" s="12" t="s">
        <v>1147</v>
      </c>
      <c r="V495" s="12">
        <f>VLOOKUP(Tabla4[[#This Row],[ZONA DEFINITIVO]],Hoja1!$A$1:$D$121,3,0)</f>
        <v>229103</v>
      </c>
      <c r="W495" s="12">
        <f>VLOOKUP(Tabla4[[#This Row],[ZONA DEFINITIVO]],Hoja1!$A$1:$D$121,2,0)</f>
        <v>15196</v>
      </c>
      <c r="X495" s="12">
        <f>VLOOKUP(Tabla4[[#This Row],[ZONA DEFINITIVO]],Hoja1!$A$1:$D$121,4,0)</f>
        <v>83125</v>
      </c>
      <c r="Y495" s="12" t="str">
        <f>+IF(Tabla4[[#This Row],[AGRUPACIONES]]=1,SUMIFS(Tabla4[UDS],Tabla4[ZONA DEFINITIVO],Tabla4[[#This Row],[ZONA DEFINITIVO]])," ")</f>
        <v xml:space="preserve"> </v>
      </c>
      <c r="Z495" s="12" t="str">
        <f>+IF(Tabla4[[#This Row],[AGRUPACIONES]]=1,SUMIFS(Tabla4[TOTAL COBERTURA],Tabla4[ZONA DEFINITIVO],Tabla4[[#This Row],[ZONA DEFINITIVO]])," ")</f>
        <v xml:space="preserve"> </v>
      </c>
      <c r="AA495" s="12"/>
      <c r="AB495" s="38">
        <v>647518614</v>
      </c>
      <c r="AC495" s="37">
        <v>0.02</v>
      </c>
      <c r="AD495" s="38">
        <f t="shared" si="8"/>
        <v>12950372.280000001</v>
      </c>
      <c r="AE495" s="12"/>
      <c r="AF495" s="12">
        <f>COUNTIF($A$20:A495,A495)</f>
        <v>2</v>
      </c>
      <c r="AG495" s="38">
        <v>647518614</v>
      </c>
      <c r="AH495" s="38">
        <f>Tabla4[[#This Row],[VALOR CONTRAPARTIDA]]+Tabla4[[#This Row],[TOTAL APORTES ICBF]]</f>
        <v>660468986.27999997</v>
      </c>
      <c r="AI495" s="35"/>
      <c r="AJ495" s="38"/>
      <c r="AK495" s="38"/>
      <c r="AL495" s="23"/>
      <c r="AM495" s="35">
        <f>VLOOKUP(Tabla4[[#This Row],[SERVICIO 2025]],$J$2:$V$14,5,0)*Tabla4[[#This Row],[TOTAL COBERTURA]]</f>
        <v>19303317</v>
      </c>
      <c r="AN495" s="35">
        <f>VLOOKUP(Tabla4[[#This Row],[SERVICIO 2025]],$J$2:$V$14,6,0)*Tabla4[[#This Row],[TOTAL COBERTURA]]</f>
        <v>16434417</v>
      </c>
      <c r="AO495" s="35">
        <f>VLOOKUP(Tabla4[[#This Row],[SERVICIO 2025]],$J$2:$V$14,8,0)*Tabla4[[#This Row],[TOTAL COBERTURA]]</f>
        <v>0</v>
      </c>
      <c r="AP495" s="35">
        <f>VLOOKUP(Tabla4[[#This Row],[SERVICIO 2025]],$J$2:$V$14,3,0)*Tabla4[[#This Row],[TOTAL COBERTURA]]*8</f>
        <v>611780880</v>
      </c>
      <c r="AQ495" s="35"/>
      <c r="AR495" s="35">
        <f>Tabla4[[#This Row],[VALOR FASE PREPARATORIA DE ALISTAMIENTO]]+Tabla4[[#This Row],[VALOR FASE PREPARATORIA DE CIERRE]]+Tabla4[[#This Row],[DOTACIÓN ÚNICA]]+Tabla4[[#This Row],[VALOR ATENCIÓN]]+Tabla4[[#This Row],[VALOR RACION PREPARADA]]</f>
        <v>647518614</v>
      </c>
      <c r="AS495" s="35" t="str">
        <f>+IF(Tabla4[[#This Row],[AGRUPACIONES]]=1,SUMIFS(Tabla4[VALOR TOTAL],Tabla4[ZONA DEFINITIVO],Tabla4[[#This Row],[ZONA DEFINITIVO]])," ")</f>
        <v xml:space="preserve"> </v>
      </c>
      <c r="AT495" s="27">
        <f>(VLOOKUP(Tabla4[[#This Row],[SERVICIO 2025]],$J$2:$V$14,3,0)*Tabla4[[#This Row],[TOTAL COBERTURA]])+Tabla4[[#This Row],[VALOR FASE PREPARATORIA DE ALISTAMIENTO]]+Tabla4[[#This Row],[DOTACIÓN ÚNICA]]</f>
        <v>95775927</v>
      </c>
      <c r="AU495" s="35">
        <f>(VLOOKUP(Tabla4[[#This Row],[SERVICIO 2025]],$J$2:$V$14,3,0)*Tabla4[[#This Row],[TOTAL COBERTURA]])</f>
        <v>76472610</v>
      </c>
      <c r="AV495" s="35">
        <f>(VLOOKUP(Tabla4[[#This Row],[SERVICIO 2025]],$J$2:$V$14,3,0)*Tabla4[[#This Row],[TOTAL COBERTURA]])</f>
        <v>76472610</v>
      </c>
      <c r="AW495" s="35">
        <f>(VLOOKUP(Tabla4[[#This Row],[SERVICIO 2025]],$J$2:$V$14,3,0)*Tabla4[[#This Row],[TOTAL COBERTURA]])</f>
        <v>76472610</v>
      </c>
      <c r="AX495" s="35">
        <f>(VLOOKUP(Tabla4[[#This Row],[SERVICIO 2025]],$J$2:$V$14,3,0)*Tabla4[[#This Row],[TOTAL COBERTURA]])</f>
        <v>76472610</v>
      </c>
      <c r="AY495" s="35">
        <f>(VLOOKUP(Tabla4[[#This Row],[SERVICIO 2025]],$J$2:$V$14,3,0)*Tabla4[[#This Row],[TOTAL COBERTURA]])</f>
        <v>76472610</v>
      </c>
      <c r="AZ495" s="35">
        <f>(VLOOKUP(Tabla4[[#This Row],[SERVICIO 2025]],$J$2:$V$14,3,0)*Tabla4[[#This Row],[TOTAL COBERTURA]])</f>
        <v>76472610</v>
      </c>
      <c r="BA495" s="35">
        <f>(VLOOKUP(Tabla4[[#This Row],[SERVICIO 2025]],$J$2:$V$14,3,0)*Tabla4[[#This Row],[TOTAL COBERTURA]])+Tabla4[[#This Row],[VALOR FASE PREPARATORIA DE CIERRE]]</f>
        <v>92907027</v>
      </c>
      <c r="BB495" s="35">
        <f>SUM(Tabla4[[#This Row],[DESEMBOLSO 1]:[DESEMBOLSO 8]])</f>
        <v>647518614</v>
      </c>
      <c r="BC495" s="35">
        <f>VLOOKUP(Tabla4[[#This Row],[SERVICIO 2025]],$J$2:$V$14,10,0)*Tabla4[[#This Row],[TOTAL COBERTURA]]*$W$3</f>
        <v>269839536</v>
      </c>
      <c r="BD495" s="47" t="s">
        <v>211</v>
      </c>
      <c r="BE495" s="12" t="b">
        <f>EXACT(Tabla4[[#This Row],[VALOR ATENCIÓN (8 MESES)]],Tabla4[[#This Row],[VALOR TOTAL]])</f>
        <v>1</v>
      </c>
      <c r="BF495" s="23">
        <f>Tabla4[[#This Row],[VALOR ATENCIÓN (8 MESES)]]-Tabla4[[#This Row],[VALOR TOTAL]]</f>
        <v>0</v>
      </c>
      <c r="BG495" s="12" t="b">
        <f>EXACT(Tabla4[[#This Row],[TOTAL DESEMBOLSOS]],Tabla4[[#This Row],[VALOR ATENCIÓN (8 MESES)]])</f>
        <v>1</v>
      </c>
      <c r="BH495" s="29">
        <f>Tabla4[[#This Row],[TOTAL DESEMBOLSOS]]-Tabla4[[#This Row],[VALOR ATENCIÓN (8 MESES)]]</f>
        <v>0</v>
      </c>
      <c r="BI495" t="s">
        <v>98</v>
      </c>
      <c r="BJ495">
        <v>1933</v>
      </c>
    </row>
    <row r="496" spans="1:62">
      <c r="A496" s="13">
        <v>1933</v>
      </c>
      <c r="B496" s="13" t="s">
        <v>1142</v>
      </c>
      <c r="C496" s="12" t="s">
        <v>87</v>
      </c>
      <c r="D496" s="12" t="s">
        <v>987</v>
      </c>
      <c r="E496" s="12" t="s">
        <v>1143</v>
      </c>
      <c r="F496" s="12" t="s">
        <v>15</v>
      </c>
      <c r="G496" s="12" t="s">
        <v>90</v>
      </c>
      <c r="H496" s="12" t="s">
        <v>1150</v>
      </c>
      <c r="I496" s="12">
        <v>515400105716</v>
      </c>
      <c r="J496" s="12" t="s">
        <v>1151</v>
      </c>
      <c r="K496" s="12">
        <v>1</v>
      </c>
      <c r="L496" s="12">
        <v>103</v>
      </c>
      <c r="M496" s="12"/>
      <c r="N496" s="13">
        <v>1933</v>
      </c>
      <c r="O496" s="12" t="s">
        <v>93</v>
      </c>
      <c r="P496" s="12"/>
      <c r="Q496" s="12"/>
      <c r="R496" s="12" t="s">
        <v>94</v>
      </c>
      <c r="S496" s="12">
        <v>10</v>
      </c>
      <c r="T496" s="12" t="s">
        <v>1146</v>
      </c>
      <c r="U496" s="12" t="s">
        <v>1147</v>
      </c>
      <c r="V496" s="12">
        <f>VLOOKUP(Tabla4[[#This Row],[ZONA DEFINITIVO]],Hoja1!$A$1:$D$121,3,0)</f>
        <v>229103</v>
      </c>
      <c r="W496" s="12">
        <f>VLOOKUP(Tabla4[[#This Row],[ZONA DEFINITIVO]],Hoja1!$A$1:$D$121,2,0)</f>
        <v>15196</v>
      </c>
      <c r="X496" s="12">
        <f>VLOOKUP(Tabla4[[#This Row],[ZONA DEFINITIVO]],Hoja1!$A$1:$D$121,4,0)</f>
        <v>83125</v>
      </c>
      <c r="Y496" s="12" t="str">
        <f>+IF(Tabla4[[#This Row],[AGRUPACIONES]]=1,SUMIFS(Tabla4[UDS],Tabla4[ZONA DEFINITIVO],Tabla4[[#This Row],[ZONA DEFINITIVO]])," ")</f>
        <v xml:space="preserve"> </v>
      </c>
      <c r="Z496" s="12" t="str">
        <f>+IF(Tabla4[[#This Row],[AGRUPACIONES]]=1,SUMIFS(Tabla4[TOTAL COBERTURA],Tabla4[ZONA DEFINITIVO],Tabla4[[#This Row],[ZONA DEFINITIVO]])," ")</f>
        <v xml:space="preserve"> </v>
      </c>
      <c r="AA496" s="12"/>
      <c r="AB496" s="38">
        <v>445928406</v>
      </c>
      <c r="AC496" s="37">
        <v>0.02</v>
      </c>
      <c r="AD496" s="38">
        <f t="shared" si="8"/>
        <v>8918568.120000001</v>
      </c>
      <c r="AE496" s="12"/>
      <c r="AF496" s="12">
        <f>COUNTIF($A$20:A496,A496)</f>
        <v>3</v>
      </c>
      <c r="AG496" s="38">
        <v>445928406</v>
      </c>
      <c r="AH496" s="38">
        <f>Tabla4[[#This Row],[VALOR CONTRAPARTIDA]]+Tabla4[[#This Row],[TOTAL APORTES ICBF]]</f>
        <v>454846974.12</v>
      </c>
      <c r="AI496" s="35"/>
      <c r="AJ496" s="38"/>
      <c r="AK496" s="38"/>
      <c r="AL496" s="23"/>
      <c r="AM496" s="35">
        <f>VLOOKUP(Tabla4[[#This Row],[SERVICIO 2025]],$J$2:$V$14,5,0)*Tabla4[[#This Row],[TOTAL COBERTURA]]</f>
        <v>9078729</v>
      </c>
      <c r="AN496" s="35">
        <f>VLOOKUP(Tabla4[[#This Row],[SERVICIO 2025]],$J$2:$V$14,6,0)*Tabla4[[#This Row],[TOTAL COBERTURA]]</f>
        <v>7729429</v>
      </c>
      <c r="AO496" s="35">
        <f>VLOOKUP(Tabla4[[#This Row],[SERVICIO 2025]],$J$2:$V$14,8,0)*Tabla4[[#This Row],[TOTAL COBERTURA]]</f>
        <v>0</v>
      </c>
      <c r="AP496" s="35">
        <f>VLOOKUP(Tabla4[[#This Row],[SERVICIO 2025]],$J$2:$V$14,3,0)*Tabla4[[#This Row],[TOTAL COBERTURA]]*8</f>
        <v>429120248</v>
      </c>
      <c r="AQ496" s="35"/>
      <c r="AR496" s="35">
        <f>Tabla4[[#This Row],[VALOR FASE PREPARATORIA DE ALISTAMIENTO]]+Tabla4[[#This Row],[VALOR FASE PREPARATORIA DE CIERRE]]+Tabla4[[#This Row],[DOTACIÓN ÚNICA]]+Tabla4[[#This Row],[VALOR ATENCIÓN]]+Tabla4[[#This Row],[VALOR RACION PREPARADA]]</f>
        <v>445928406</v>
      </c>
      <c r="AS496" s="35" t="str">
        <f>+IF(Tabla4[[#This Row],[AGRUPACIONES]]=1,SUMIFS(Tabla4[VALOR TOTAL],Tabla4[ZONA DEFINITIVO],Tabla4[[#This Row],[ZONA DEFINITIVO]])," ")</f>
        <v xml:space="preserve"> </v>
      </c>
      <c r="AT496" s="27">
        <f>(VLOOKUP(Tabla4[[#This Row],[SERVICIO 2025]],$J$2:$V$14,3,0)*Tabla4[[#This Row],[TOTAL COBERTURA]])+Tabla4[[#This Row],[VALOR FASE PREPARATORIA DE ALISTAMIENTO]]+Tabla4[[#This Row],[DOTACIÓN ÚNICA]]</f>
        <v>62718760</v>
      </c>
      <c r="AU496" s="35">
        <f>(VLOOKUP(Tabla4[[#This Row],[SERVICIO 2025]],$J$2:$V$14,3,0)*Tabla4[[#This Row],[TOTAL COBERTURA]])</f>
        <v>53640031</v>
      </c>
      <c r="AV496" s="35">
        <f>(VLOOKUP(Tabla4[[#This Row],[SERVICIO 2025]],$J$2:$V$14,3,0)*Tabla4[[#This Row],[TOTAL COBERTURA]])</f>
        <v>53640031</v>
      </c>
      <c r="AW496" s="35">
        <f>(VLOOKUP(Tabla4[[#This Row],[SERVICIO 2025]],$J$2:$V$14,3,0)*Tabla4[[#This Row],[TOTAL COBERTURA]])</f>
        <v>53640031</v>
      </c>
      <c r="AX496" s="35">
        <f>(VLOOKUP(Tabla4[[#This Row],[SERVICIO 2025]],$J$2:$V$14,3,0)*Tabla4[[#This Row],[TOTAL COBERTURA]])</f>
        <v>53640031</v>
      </c>
      <c r="AY496" s="35">
        <f>(VLOOKUP(Tabla4[[#This Row],[SERVICIO 2025]],$J$2:$V$14,3,0)*Tabla4[[#This Row],[TOTAL COBERTURA]])</f>
        <v>53640031</v>
      </c>
      <c r="AZ496" s="35">
        <f>(VLOOKUP(Tabla4[[#This Row],[SERVICIO 2025]],$J$2:$V$14,3,0)*Tabla4[[#This Row],[TOTAL COBERTURA]])</f>
        <v>53640031</v>
      </c>
      <c r="BA496" s="35">
        <f>(VLOOKUP(Tabla4[[#This Row],[SERVICIO 2025]],$J$2:$V$14,3,0)*Tabla4[[#This Row],[TOTAL COBERTURA]])+Tabla4[[#This Row],[VALOR FASE PREPARATORIA DE CIERRE]]</f>
        <v>61369460</v>
      </c>
      <c r="BB496" s="35">
        <f>SUM(Tabla4[[#This Row],[DESEMBOLSO 1]:[DESEMBOLSO 8]])</f>
        <v>445928406</v>
      </c>
      <c r="BC496" s="35">
        <f>VLOOKUP(Tabla4[[#This Row],[SERVICIO 2025]],$J$2:$V$14,10,0)*Tabla4[[#This Row],[TOTAL COBERTURA]]*$W$3</f>
        <v>0</v>
      </c>
      <c r="BD496" s="47" t="s">
        <v>145</v>
      </c>
      <c r="BE496" s="12" t="b">
        <f>EXACT(Tabla4[[#This Row],[VALOR ATENCIÓN (8 MESES)]],Tabla4[[#This Row],[VALOR TOTAL]])</f>
        <v>1</v>
      </c>
      <c r="BF496" s="23">
        <f>Tabla4[[#This Row],[VALOR ATENCIÓN (8 MESES)]]-Tabla4[[#This Row],[VALOR TOTAL]]</f>
        <v>0</v>
      </c>
      <c r="BG496" s="12" t="b">
        <f>EXACT(Tabla4[[#This Row],[TOTAL DESEMBOLSOS]],Tabla4[[#This Row],[VALOR ATENCIÓN (8 MESES)]])</f>
        <v>1</v>
      </c>
      <c r="BH496" s="29">
        <f>Tabla4[[#This Row],[TOTAL DESEMBOLSOS]]-Tabla4[[#This Row],[VALOR ATENCIÓN (8 MESES)]]</f>
        <v>0</v>
      </c>
      <c r="BI496" t="s">
        <v>98</v>
      </c>
      <c r="BJ496">
        <v>1933</v>
      </c>
    </row>
    <row r="497" spans="1:62">
      <c r="A497" s="13">
        <v>1933</v>
      </c>
      <c r="B497" s="13" t="s">
        <v>1142</v>
      </c>
      <c r="C497" s="12" t="s">
        <v>87</v>
      </c>
      <c r="D497" s="12" t="s">
        <v>987</v>
      </c>
      <c r="E497" s="12" t="s">
        <v>1143</v>
      </c>
      <c r="F497" s="12" t="s">
        <v>13</v>
      </c>
      <c r="G497" s="12" t="s">
        <v>90</v>
      </c>
      <c r="H497" s="12" t="s">
        <v>1152</v>
      </c>
      <c r="I497" s="12">
        <v>515400122299</v>
      </c>
      <c r="J497" s="12" t="s">
        <v>1153</v>
      </c>
      <c r="K497" s="12">
        <v>1</v>
      </c>
      <c r="L497" s="12">
        <v>308</v>
      </c>
      <c r="M497" s="12"/>
      <c r="N497" s="13">
        <v>1933</v>
      </c>
      <c r="O497" s="12" t="s">
        <v>93</v>
      </c>
      <c r="P497" s="12"/>
      <c r="Q497" s="12"/>
      <c r="R497" s="12" t="s">
        <v>94</v>
      </c>
      <c r="S497" s="12">
        <v>10</v>
      </c>
      <c r="T497" s="12" t="s">
        <v>1146</v>
      </c>
      <c r="U497" s="12" t="s">
        <v>1147</v>
      </c>
      <c r="V497" s="12">
        <f>VLOOKUP(Tabla4[[#This Row],[ZONA DEFINITIVO]],Hoja1!$A$1:$D$121,3,0)</f>
        <v>229103</v>
      </c>
      <c r="W497" s="12">
        <f>VLOOKUP(Tabla4[[#This Row],[ZONA DEFINITIVO]],Hoja1!$A$1:$D$121,2,0)</f>
        <v>15196</v>
      </c>
      <c r="X497" s="12">
        <f>VLOOKUP(Tabla4[[#This Row],[ZONA DEFINITIVO]],Hoja1!$A$1:$D$121,4,0)</f>
        <v>83125</v>
      </c>
      <c r="Y497" s="12" t="str">
        <f>+IF(Tabla4[[#This Row],[AGRUPACIONES]]=1,SUMIFS(Tabla4[UDS],Tabla4[ZONA DEFINITIVO],Tabla4[[#This Row],[ZONA DEFINITIVO]])," ")</f>
        <v xml:space="preserve"> </v>
      </c>
      <c r="Z497" s="12" t="str">
        <f>+IF(Tabla4[[#This Row],[AGRUPACIONES]]=1,SUMIFS(Tabla4[TOTAL COBERTURA],Tabla4[ZONA DEFINITIVO],Tabla4[[#This Row],[ZONA DEFINITIVO]])," ")</f>
        <v xml:space="preserve"> </v>
      </c>
      <c r="AA497" s="12"/>
      <c r="AB497" s="38">
        <v>910665448</v>
      </c>
      <c r="AC497" s="37">
        <v>0.02</v>
      </c>
      <c r="AD497" s="38">
        <f t="shared" si="8"/>
        <v>18213308.960000001</v>
      </c>
      <c r="AE497" s="12"/>
      <c r="AF497" s="12">
        <f>COUNTIF($A$20:A497,A497)</f>
        <v>4</v>
      </c>
      <c r="AG497" s="38">
        <v>910665448</v>
      </c>
      <c r="AH497" s="38">
        <f>Tabla4[[#This Row],[VALOR CONTRAPARTIDA]]+Tabla4[[#This Row],[TOTAL APORTES ICBF]]</f>
        <v>928878756.96000004</v>
      </c>
      <c r="AI497" s="35"/>
      <c r="AJ497" s="38"/>
      <c r="AK497" s="38"/>
      <c r="AL497" s="23"/>
      <c r="AM497" s="35">
        <f>VLOOKUP(Tabla4[[#This Row],[SERVICIO 2025]],$J$2:$V$14,5,0)*Tabla4[[#This Row],[TOTAL COBERTURA]]</f>
        <v>27148044</v>
      </c>
      <c r="AN497" s="35">
        <f>VLOOKUP(Tabla4[[#This Row],[SERVICIO 2025]],$J$2:$V$14,6,0)*Tabla4[[#This Row],[TOTAL COBERTURA]]</f>
        <v>23113244</v>
      </c>
      <c r="AO497" s="35">
        <f>VLOOKUP(Tabla4[[#This Row],[SERVICIO 2025]],$J$2:$V$14,8,0)*Tabla4[[#This Row],[TOTAL COBERTURA]]</f>
        <v>0</v>
      </c>
      <c r="AP497" s="35">
        <f>VLOOKUP(Tabla4[[#This Row],[SERVICIO 2025]],$J$2:$V$14,3,0)*Tabla4[[#This Row],[TOTAL COBERTURA]]*8</f>
        <v>860404160</v>
      </c>
      <c r="AQ497" s="35"/>
      <c r="AR497" s="35">
        <f>Tabla4[[#This Row],[VALOR FASE PREPARATORIA DE ALISTAMIENTO]]+Tabla4[[#This Row],[VALOR FASE PREPARATORIA DE CIERRE]]+Tabla4[[#This Row],[DOTACIÓN ÚNICA]]+Tabla4[[#This Row],[VALOR ATENCIÓN]]+Tabla4[[#This Row],[VALOR RACION PREPARADA]]</f>
        <v>910665448</v>
      </c>
      <c r="AS497" s="35" t="str">
        <f>+IF(Tabla4[[#This Row],[AGRUPACIONES]]=1,SUMIFS(Tabla4[VALOR TOTAL],Tabla4[ZONA DEFINITIVO],Tabla4[[#This Row],[ZONA DEFINITIVO]])," ")</f>
        <v xml:space="preserve"> </v>
      </c>
      <c r="AT497" s="27">
        <f>(VLOOKUP(Tabla4[[#This Row],[SERVICIO 2025]],$J$2:$V$14,3,0)*Tabla4[[#This Row],[TOTAL COBERTURA]])+Tabla4[[#This Row],[VALOR FASE PREPARATORIA DE ALISTAMIENTO]]+Tabla4[[#This Row],[DOTACIÓN ÚNICA]]</f>
        <v>134698564</v>
      </c>
      <c r="AU497" s="35">
        <f>(VLOOKUP(Tabla4[[#This Row],[SERVICIO 2025]],$J$2:$V$14,3,0)*Tabla4[[#This Row],[TOTAL COBERTURA]])</f>
        <v>107550520</v>
      </c>
      <c r="AV497" s="35">
        <f>(VLOOKUP(Tabla4[[#This Row],[SERVICIO 2025]],$J$2:$V$14,3,0)*Tabla4[[#This Row],[TOTAL COBERTURA]])</f>
        <v>107550520</v>
      </c>
      <c r="AW497" s="35">
        <f>(VLOOKUP(Tabla4[[#This Row],[SERVICIO 2025]],$J$2:$V$14,3,0)*Tabla4[[#This Row],[TOTAL COBERTURA]])</f>
        <v>107550520</v>
      </c>
      <c r="AX497" s="35">
        <f>(VLOOKUP(Tabla4[[#This Row],[SERVICIO 2025]],$J$2:$V$14,3,0)*Tabla4[[#This Row],[TOTAL COBERTURA]])</f>
        <v>107550520</v>
      </c>
      <c r="AY497" s="35">
        <f>(VLOOKUP(Tabla4[[#This Row],[SERVICIO 2025]],$J$2:$V$14,3,0)*Tabla4[[#This Row],[TOTAL COBERTURA]])</f>
        <v>107550520</v>
      </c>
      <c r="AZ497" s="35">
        <f>(VLOOKUP(Tabla4[[#This Row],[SERVICIO 2025]],$J$2:$V$14,3,0)*Tabla4[[#This Row],[TOTAL COBERTURA]])</f>
        <v>107550520</v>
      </c>
      <c r="BA497" s="35">
        <f>(VLOOKUP(Tabla4[[#This Row],[SERVICIO 2025]],$J$2:$V$14,3,0)*Tabla4[[#This Row],[TOTAL COBERTURA]])+Tabla4[[#This Row],[VALOR FASE PREPARATORIA DE CIERRE]]</f>
        <v>130663764</v>
      </c>
      <c r="BB497" s="35">
        <f>SUM(Tabla4[[#This Row],[DESEMBOLSO 1]:[DESEMBOLSO 8]])</f>
        <v>910665448</v>
      </c>
      <c r="BC497" s="35">
        <f>VLOOKUP(Tabla4[[#This Row],[SERVICIO 2025]],$J$2:$V$14,10,0)*Tabla4[[#This Row],[TOTAL COBERTURA]]*$W$3</f>
        <v>379500352</v>
      </c>
      <c r="BD497" s="47" t="s">
        <v>211</v>
      </c>
      <c r="BE497" s="12" t="b">
        <f>EXACT(Tabla4[[#This Row],[VALOR ATENCIÓN (8 MESES)]],Tabla4[[#This Row],[VALOR TOTAL]])</f>
        <v>1</v>
      </c>
      <c r="BF497" s="23">
        <f>Tabla4[[#This Row],[VALOR ATENCIÓN (8 MESES)]]-Tabla4[[#This Row],[VALOR TOTAL]]</f>
        <v>0</v>
      </c>
      <c r="BG497" s="12" t="b">
        <f>EXACT(Tabla4[[#This Row],[TOTAL DESEMBOLSOS]],Tabla4[[#This Row],[VALOR ATENCIÓN (8 MESES)]])</f>
        <v>1</v>
      </c>
      <c r="BH497" s="29">
        <f>Tabla4[[#This Row],[TOTAL DESEMBOLSOS]]-Tabla4[[#This Row],[VALOR ATENCIÓN (8 MESES)]]</f>
        <v>0</v>
      </c>
      <c r="BI497" t="s">
        <v>98</v>
      </c>
      <c r="BJ497">
        <v>1933</v>
      </c>
    </row>
    <row r="498" spans="1:62">
      <c r="A498" s="13">
        <v>1934</v>
      </c>
      <c r="B498" s="13" t="s">
        <v>1154</v>
      </c>
      <c r="C498" s="12" t="s">
        <v>87</v>
      </c>
      <c r="D498" s="12" t="s">
        <v>987</v>
      </c>
      <c r="E498" s="12" t="s">
        <v>1143</v>
      </c>
      <c r="F498" s="12" t="s">
        <v>13</v>
      </c>
      <c r="G498" s="12" t="s">
        <v>90</v>
      </c>
      <c r="H498" s="12" t="s">
        <v>1155</v>
      </c>
      <c r="I498" s="12">
        <v>51541135194</v>
      </c>
      <c r="J498" s="12" t="s">
        <v>1156</v>
      </c>
      <c r="K498" s="12">
        <v>1</v>
      </c>
      <c r="L498" s="12">
        <v>56</v>
      </c>
      <c r="M498" s="12"/>
      <c r="N498" s="13">
        <v>1934</v>
      </c>
      <c r="O498" s="12" t="s">
        <v>93</v>
      </c>
      <c r="P498" s="12"/>
      <c r="Q498" s="12"/>
      <c r="R498" s="12" t="s">
        <v>94</v>
      </c>
      <c r="S498" s="12">
        <v>10</v>
      </c>
      <c r="T498" s="12" t="s">
        <v>1157</v>
      </c>
      <c r="U498" s="12" t="s">
        <v>1158</v>
      </c>
      <c r="V498" s="12">
        <f>VLOOKUP(Tabla4[[#This Row],[ZONA DEFINITIVO]],Hoja1!$A$1:$D$121,3,0)</f>
        <v>229104</v>
      </c>
      <c r="W498" s="12">
        <f>VLOOKUP(Tabla4[[#This Row],[ZONA DEFINITIVO]],Hoja1!$A$1:$D$121,2,0)</f>
        <v>15189</v>
      </c>
      <c r="X498" s="12">
        <f>VLOOKUP(Tabla4[[#This Row],[ZONA DEFINITIVO]],Hoja1!$A$1:$D$121,4,0)</f>
        <v>82425</v>
      </c>
      <c r="Y498" s="12">
        <f>+IF(Tabla4[[#This Row],[AGRUPACIONES]]=1,SUMIFS(Tabla4[UDS],Tabla4[ZONA DEFINITIVO],Tabla4[[#This Row],[ZONA DEFINITIVO]])," ")</f>
        <v>7</v>
      </c>
      <c r="Z498" s="12">
        <f>+IF(Tabla4[[#This Row],[AGRUPACIONES]]=1,SUMIFS(Tabla4[TOTAL COBERTURA],Tabla4[ZONA DEFINITIVO],Tabla4[[#This Row],[ZONA DEFINITIVO]])," ")</f>
        <v>727</v>
      </c>
      <c r="AA498" s="12"/>
      <c r="AB498" s="38">
        <v>165575536</v>
      </c>
      <c r="AC498" s="37">
        <v>0.02</v>
      </c>
      <c r="AD498" s="38">
        <f t="shared" si="8"/>
        <v>3311510.72</v>
      </c>
      <c r="AE498" s="12"/>
      <c r="AF498" s="12">
        <f>COUNTIF($A$20:A498,A498)</f>
        <v>1</v>
      </c>
      <c r="AG498" s="38">
        <v>165575536</v>
      </c>
      <c r="AH498" s="38">
        <f>Tabla4[[#This Row],[VALOR CONTRAPARTIDA]]+Tabla4[[#This Row],[TOTAL APORTES ICBF]]</f>
        <v>168887046.72</v>
      </c>
      <c r="AI498" s="35">
        <f>ROUND(+IF(Tabla4[[#This Row],[AGRUPACIONES]]=1,SUMIFS(Tabla4[TOTAL APORTES ICBF],Tabla4[ZONA DEFINITIVO],Tabla4[[#This Row],[ZONA DEFINITIVO]])," "),0)</f>
        <v>2985497126</v>
      </c>
      <c r="AJ498" s="38">
        <f>ROUND(+IF(Tabla4[[#This Row],[AGRUPACIONES]]=1,SUMIFS(Tabla4[VALOR CONTRAPARTIDA],Tabla4[ZONA DEFINITIVO],Tabla4[[#This Row],[ZONA DEFINITIVO]])," "),0)</f>
        <v>59709943</v>
      </c>
      <c r="AK498" s="38">
        <f>Tabla4[[#This Row],[TOTAL APORTES ICBF AGRUPADO]]+Tabla4[[#This Row],[TOTAL CONTRAPARTIDA AGRUPADO]]</f>
        <v>3045207069</v>
      </c>
      <c r="AL498" s="23">
        <f>Tabla4[[#This Row],[TOTAL APORTES ICBF AGRUPADO]]/$AL$18</f>
        <v>2097.2933796979278</v>
      </c>
      <c r="AM498" s="35">
        <f>VLOOKUP(Tabla4[[#This Row],[SERVICIO 2025]],$J$2:$V$14,5,0)*Tabla4[[#This Row],[TOTAL COBERTURA]]</f>
        <v>4936008</v>
      </c>
      <c r="AN498" s="35">
        <f>VLOOKUP(Tabla4[[#This Row],[SERVICIO 2025]],$J$2:$V$14,6,0)*Tabla4[[#This Row],[TOTAL COBERTURA]]</f>
        <v>4202408</v>
      </c>
      <c r="AO498" s="35">
        <f>VLOOKUP(Tabla4[[#This Row],[SERVICIO 2025]],$J$2:$V$14,8,0)*Tabla4[[#This Row],[TOTAL COBERTURA]]</f>
        <v>0</v>
      </c>
      <c r="AP498" s="35">
        <f>VLOOKUP(Tabla4[[#This Row],[SERVICIO 2025]],$J$2:$V$14,3,0)*Tabla4[[#This Row],[TOTAL COBERTURA]]*8</f>
        <v>156437120</v>
      </c>
      <c r="AQ498" s="35"/>
      <c r="AR498" s="35">
        <f>Tabla4[[#This Row],[VALOR FASE PREPARATORIA DE ALISTAMIENTO]]+Tabla4[[#This Row],[VALOR FASE PREPARATORIA DE CIERRE]]+Tabla4[[#This Row],[DOTACIÓN ÚNICA]]+Tabla4[[#This Row],[VALOR ATENCIÓN]]+Tabla4[[#This Row],[VALOR RACION PREPARADA]]</f>
        <v>165575536</v>
      </c>
      <c r="AS498" s="35">
        <f>+IF(Tabla4[[#This Row],[AGRUPACIONES]]=1,SUMIFS(Tabla4[VALOR TOTAL],Tabla4[ZONA DEFINITIVO],Tabla4[[#This Row],[ZONA DEFINITIVO]])," ")</f>
        <v>2985497126</v>
      </c>
      <c r="AT498" s="27">
        <f>(VLOOKUP(Tabla4[[#This Row],[SERVICIO 2025]],$J$2:$V$14,3,0)*Tabla4[[#This Row],[TOTAL COBERTURA]])+Tabla4[[#This Row],[VALOR FASE PREPARATORIA DE ALISTAMIENTO]]+Tabla4[[#This Row],[DOTACIÓN ÚNICA]]</f>
        <v>24490648</v>
      </c>
      <c r="AU498" s="35">
        <f>(VLOOKUP(Tabla4[[#This Row],[SERVICIO 2025]],$J$2:$V$14,3,0)*Tabla4[[#This Row],[TOTAL COBERTURA]])</f>
        <v>19554640</v>
      </c>
      <c r="AV498" s="35">
        <f>(VLOOKUP(Tabla4[[#This Row],[SERVICIO 2025]],$J$2:$V$14,3,0)*Tabla4[[#This Row],[TOTAL COBERTURA]])</f>
        <v>19554640</v>
      </c>
      <c r="AW498" s="35">
        <f>(VLOOKUP(Tabla4[[#This Row],[SERVICIO 2025]],$J$2:$V$14,3,0)*Tabla4[[#This Row],[TOTAL COBERTURA]])</f>
        <v>19554640</v>
      </c>
      <c r="AX498" s="35">
        <f>(VLOOKUP(Tabla4[[#This Row],[SERVICIO 2025]],$J$2:$V$14,3,0)*Tabla4[[#This Row],[TOTAL COBERTURA]])</f>
        <v>19554640</v>
      </c>
      <c r="AY498" s="35">
        <f>(VLOOKUP(Tabla4[[#This Row],[SERVICIO 2025]],$J$2:$V$14,3,0)*Tabla4[[#This Row],[TOTAL COBERTURA]])</f>
        <v>19554640</v>
      </c>
      <c r="AZ498" s="35">
        <f>(VLOOKUP(Tabla4[[#This Row],[SERVICIO 2025]],$J$2:$V$14,3,0)*Tabla4[[#This Row],[TOTAL COBERTURA]])</f>
        <v>19554640</v>
      </c>
      <c r="BA498" s="35">
        <f>(VLOOKUP(Tabla4[[#This Row],[SERVICIO 2025]],$J$2:$V$14,3,0)*Tabla4[[#This Row],[TOTAL COBERTURA]])+Tabla4[[#This Row],[VALOR FASE PREPARATORIA DE CIERRE]]</f>
        <v>23757048</v>
      </c>
      <c r="BB498" s="35">
        <f>SUM(Tabla4[[#This Row],[DESEMBOLSO 1]:[DESEMBOLSO 8]])</f>
        <v>165575536</v>
      </c>
      <c r="BC498" s="35">
        <f>VLOOKUP(Tabla4[[#This Row],[SERVICIO 2025]],$J$2:$V$14,10,0)*Tabla4[[#This Row],[TOTAL COBERTURA]]*$W$3</f>
        <v>69000064</v>
      </c>
      <c r="BD498" s="47" t="s">
        <v>211</v>
      </c>
      <c r="BE498" s="12" t="b">
        <f>EXACT(Tabla4[[#This Row],[VALOR ATENCIÓN (8 MESES)]],Tabla4[[#This Row],[VALOR TOTAL]])</f>
        <v>1</v>
      </c>
      <c r="BF498" s="23">
        <f>Tabla4[[#This Row],[VALOR ATENCIÓN (8 MESES)]]-Tabla4[[#This Row],[VALOR TOTAL]]</f>
        <v>0</v>
      </c>
      <c r="BG498" s="12" t="b">
        <f>EXACT(Tabla4[[#This Row],[TOTAL DESEMBOLSOS]],Tabla4[[#This Row],[VALOR ATENCIÓN (8 MESES)]])</f>
        <v>1</v>
      </c>
      <c r="BH498" s="29">
        <f>Tabla4[[#This Row],[TOTAL DESEMBOLSOS]]-Tabla4[[#This Row],[VALOR ATENCIÓN (8 MESES)]]</f>
        <v>0</v>
      </c>
      <c r="BI498" t="s">
        <v>98</v>
      </c>
      <c r="BJ498">
        <v>1934</v>
      </c>
    </row>
    <row r="499" spans="1:62">
      <c r="A499" s="13">
        <v>1934</v>
      </c>
      <c r="B499" s="13" t="s">
        <v>1154</v>
      </c>
      <c r="C499" s="12" t="s">
        <v>87</v>
      </c>
      <c r="D499" s="12" t="s">
        <v>987</v>
      </c>
      <c r="E499" s="12" t="s">
        <v>1143</v>
      </c>
      <c r="F499" s="12" t="s">
        <v>15</v>
      </c>
      <c r="G499" s="12" t="s">
        <v>90</v>
      </c>
      <c r="H499" s="12" t="s">
        <v>1159</v>
      </c>
      <c r="I499" s="12">
        <v>51541146462</v>
      </c>
      <c r="J499" s="12" t="s">
        <v>1160</v>
      </c>
      <c r="K499" s="12">
        <v>1</v>
      </c>
      <c r="L499" s="12">
        <v>20</v>
      </c>
      <c r="M499" s="12"/>
      <c r="N499" s="13">
        <v>1934</v>
      </c>
      <c r="O499" s="12" t="s">
        <v>93</v>
      </c>
      <c r="P499" s="12"/>
      <c r="Q499" s="12"/>
      <c r="R499" s="12" t="s">
        <v>94</v>
      </c>
      <c r="S499" s="12">
        <v>10</v>
      </c>
      <c r="T499" s="12" t="s">
        <v>1157</v>
      </c>
      <c r="U499" s="12" t="s">
        <v>1158</v>
      </c>
      <c r="V499" s="12">
        <f>VLOOKUP(Tabla4[[#This Row],[ZONA DEFINITIVO]],Hoja1!$A$1:$D$121,3,0)</f>
        <v>229104</v>
      </c>
      <c r="W499" s="12">
        <f>VLOOKUP(Tabla4[[#This Row],[ZONA DEFINITIVO]],Hoja1!$A$1:$D$121,2,0)</f>
        <v>15189</v>
      </c>
      <c r="X499" s="12">
        <f>VLOOKUP(Tabla4[[#This Row],[ZONA DEFINITIVO]],Hoja1!$A$1:$D$121,4,0)</f>
        <v>82425</v>
      </c>
      <c r="Y499" s="12" t="str">
        <f>+IF(Tabla4[[#This Row],[AGRUPACIONES]]=1,SUMIFS(Tabla4[UDS],Tabla4[ZONA DEFINITIVO],Tabla4[[#This Row],[ZONA DEFINITIVO]])," ")</f>
        <v xml:space="preserve"> </v>
      </c>
      <c r="Z499" s="12" t="str">
        <f>+IF(Tabla4[[#This Row],[AGRUPACIONES]]=1,SUMIFS(Tabla4[TOTAL COBERTURA],Tabla4[ZONA DEFINITIVO],Tabla4[[#This Row],[ZONA DEFINITIVO]])," ")</f>
        <v xml:space="preserve"> </v>
      </c>
      <c r="AA499" s="12"/>
      <c r="AB499" s="38">
        <v>86588040</v>
      </c>
      <c r="AC499" s="37">
        <v>0.02</v>
      </c>
      <c r="AD499" s="38">
        <f t="shared" si="8"/>
        <v>1731760.8</v>
      </c>
      <c r="AE499" s="12"/>
      <c r="AF499" s="12">
        <f>COUNTIF($A$20:A499,A499)</f>
        <v>2</v>
      </c>
      <c r="AG499" s="38">
        <v>86588040</v>
      </c>
      <c r="AH499" s="38">
        <f>Tabla4[[#This Row],[VALOR CONTRAPARTIDA]]+Tabla4[[#This Row],[TOTAL APORTES ICBF]]</f>
        <v>88319800.799999997</v>
      </c>
      <c r="AI499" s="35"/>
      <c r="AJ499" s="38"/>
      <c r="AK499" s="38"/>
      <c r="AL499" s="23"/>
      <c r="AM499" s="35">
        <f>VLOOKUP(Tabla4[[#This Row],[SERVICIO 2025]],$J$2:$V$14,5,0)*Tabla4[[#This Row],[TOTAL COBERTURA]]</f>
        <v>1762860</v>
      </c>
      <c r="AN499" s="35">
        <f>VLOOKUP(Tabla4[[#This Row],[SERVICIO 2025]],$J$2:$V$14,6,0)*Tabla4[[#This Row],[TOTAL COBERTURA]]</f>
        <v>1500860</v>
      </c>
      <c r="AO499" s="35">
        <f>VLOOKUP(Tabla4[[#This Row],[SERVICIO 2025]],$J$2:$V$14,8,0)*Tabla4[[#This Row],[TOTAL COBERTURA]]</f>
        <v>0</v>
      </c>
      <c r="AP499" s="35">
        <f>VLOOKUP(Tabla4[[#This Row],[SERVICIO 2025]],$J$2:$V$14,3,0)*Tabla4[[#This Row],[TOTAL COBERTURA]]*8</f>
        <v>83324320</v>
      </c>
      <c r="AQ499" s="35"/>
      <c r="AR499" s="35">
        <f>Tabla4[[#This Row],[VALOR FASE PREPARATORIA DE ALISTAMIENTO]]+Tabla4[[#This Row],[VALOR FASE PREPARATORIA DE CIERRE]]+Tabla4[[#This Row],[DOTACIÓN ÚNICA]]+Tabla4[[#This Row],[VALOR ATENCIÓN]]+Tabla4[[#This Row],[VALOR RACION PREPARADA]]</f>
        <v>86588040</v>
      </c>
      <c r="AS499" s="35" t="str">
        <f>+IF(Tabla4[[#This Row],[AGRUPACIONES]]=1,SUMIFS(Tabla4[VALOR TOTAL],Tabla4[ZONA DEFINITIVO],Tabla4[[#This Row],[ZONA DEFINITIVO]])," ")</f>
        <v xml:space="preserve"> </v>
      </c>
      <c r="AT499" s="27">
        <f>(VLOOKUP(Tabla4[[#This Row],[SERVICIO 2025]],$J$2:$V$14,3,0)*Tabla4[[#This Row],[TOTAL COBERTURA]])+Tabla4[[#This Row],[VALOR FASE PREPARATORIA DE ALISTAMIENTO]]+Tabla4[[#This Row],[DOTACIÓN ÚNICA]]</f>
        <v>12178400</v>
      </c>
      <c r="AU499" s="35">
        <f>(VLOOKUP(Tabla4[[#This Row],[SERVICIO 2025]],$J$2:$V$14,3,0)*Tabla4[[#This Row],[TOTAL COBERTURA]])</f>
        <v>10415540</v>
      </c>
      <c r="AV499" s="35">
        <f>(VLOOKUP(Tabla4[[#This Row],[SERVICIO 2025]],$J$2:$V$14,3,0)*Tabla4[[#This Row],[TOTAL COBERTURA]])</f>
        <v>10415540</v>
      </c>
      <c r="AW499" s="35">
        <f>(VLOOKUP(Tabla4[[#This Row],[SERVICIO 2025]],$J$2:$V$14,3,0)*Tabla4[[#This Row],[TOTAL COBERTURA]])</f>
        <v>10415540</v>
      </c>
      <c r="AX499" s="35">
        <f>(VLOOKUP(Tabla4[[#This Row],[SERVICIO 2025]],$J$2:$V$14,3,0)*Tabla4[[#This Row],[TOTAL COBERTURA]])</f>
        <v>10415540</v>
      </c>
      <c r="AY499" s="35">
        <f>(VLOOKUP(Tabla4[[#This Row],[SERVICIO 2025]],$J$2:$V$14,3,0)*Tabla4[[#This Row],[TOTAL COBERTURA]])</f>
        <v>10415540</v>
      </c>
      <c r="AZ499" s="35">
        <f>(VLOOKUP(Tabla4[[#This Row],[SERVICIO 2025]],$J$2:$V$14,3,0)*Tabla4[[#This Row],[TOTAL COBERTURA]])</f>
        <v>10415540</v>
      </c>
      <c r="BA499" s="35">
        <f>(VLOOKUP(Tabla4[[#This Row],[SERVICIO 2025]],$J$2:$V$14,3,0)*Tabla4[[#This Row],[TOTAL COBERTURA]])+Tabla4[[#This Row],[VALOR FASE PREPARATORIA DE CIERRE]]</f>
        <v>11916400</v>
      </c>
      <c r="BB499" s="35">
        <f>SUM(Tabla4[[#This Row],[DESEMBOLSO 1]:[DESEMBOLSO 8]])</f>
        <v>86588040</v>
      </c>
      <c r="BC499" s="35">
        <f>VLOOKUP(Tabla4[[#This Row],[SERVICIO 2025]],$J$2:$V$14,10,0)*Tabla4[[#This Row],[TOTAL COBERTURA]]*$W$3</f>
        <v>0</v>
      </c>
      <c r="BD499" s="47" t="s">
        <v>145</v>
      </c>
      <c r="BE499" s="12" t="b">
        <f>EXACT(Tabla4[[#This Row],[VALOR ATENCIÓN (8 MESES)]],Tabla4[[#This Row],[VALOR TOTAL]])</f>
        <v>1</v>
      </c>
      <c r="BF499" s="23">
        <f>Tabla4[[#This Row],[VALOR ATENCIÓN (8 MESES)]]-Tabla4[[#This Row],[VALOR TOTAL]]</f>
        <v>0</v>
      </c>
      <c r="BG499" s="12" t="b">
        <f>EXACT(Tabla4[[#This Row],[TOTAL DESEMBOLSOS]],Tabla4[[#This Row],[VALOR ATENCIÓN (8 MESES)]])</f>
        <v>1</v>
      </c>
      <c r="BH499" s="29">
        <f>Tabla4[[#This Row],[TOTAL DESEMBOLSOS]]-Tabla4[[#This Row],[VALOR ATENCIÓN (8 MESES)]]</f>
        <v>0</v>
      </c>
      <c r="BI499" t="s">
        <v>98</v>
      </c>
      <c r="BJ499">
        <v>1934</v>
      </c>
    </row>
    <row r="500" spans="1:62">
      <c r="A500" s="13">
        <v>1934</v>
      </c>
      <c r="B500" s="13" t="s">
        <v>1154</v>
      </c>
      <c r="C500" s="12" t="s">
        <v>87</v>
      </c>
      <c r="D500" s="12" t="s">
        <v>987</v>
      </c>
      <c r="E500" s="12" t="s">
        <v>1143</v>
      </c>
      <c r="F500" s="12" t="s">
        <v>15</v>
      </c>
      <c r="G500" s="12" t="s">
        <v>90</v>
      </c>
      <c r="H500" s="12" t="s">
        <v>1161</v>
      </c>
      <c r="I500" s="12">
        <v>51541151691</v>
      </c>
      <c r="J500" s="12" t="s">
        <v>1162</v>
      </c>
      <c r="K500" s="12">
        <v>1</v>
      </c>
      <c r="L500" s="12">
        <v>200</v>
      </c>
      <c r="M500" s="12"/>
      <c r="N500" s="13">
        <v>1934</v>
      </c>
      <c r="O500" s="12" t="s">
        <v>93</v>
      </c>
      <c r="P500" s="12"/>
      <c r="Q500" s="12"/>
      <c r="R500" s="12" t="s">
        <v>94</v>
      </c>
      <c r="S500" s="12">
        <v>10</v>
      </c>
      <c r="T500" s="12" t="s">
        <v>1157</v>
      </c>
      <c r="U500" s="12" t="s">
        <v>1158</v>
      </c>
      <c r="V500" s="12">
        <f>VLOOKUP(Tabla4[[#This Row],[ZONA DEFINITIVO]],Hoja1!$A$1:$D$121,3,0)</f>
        <v>229104</v>
      </c>
      <c r="W500" s="12">
        <f>VLOOKUP(Tabla4[[#This Row],[ZONA DEFINITIVO]],Hoja1!$A$1:$D$121,2,0)</f>
        <v>15189</v>
      </c>
      <c r="X500" s="12">
        <f>VLOOKUP(Tabla4[[#This Row],[ZONA DEFINITIVO]],Hoja1!$A$1:$D$121,4,0)</f>
        <v>82425</v>
      </c>
      <c r="Y500" s="12" t="str">
        <f>+IF(Tabla4[[#This Row],[AGRUPACIONES]]=1,SUMIFS(Tabla4[UDS],Tabla4[ZONA DEFINITIVO],Tabla4[[#This Row],[ZONA DEFINITIVO]])," ")</f>
        <v xml:space="preserve"> </v>
      </c>
      <c r="Z500" s="12" t="str">
        <f>+IF(Tabla4[[#This Row],[AGRUPACIONES]]=1,SUMIFS(Tabla4[TOTAL COBERTURA],Tabla4[ZONA DEFINITIVO],Tabla4[[#This Row],[ZONA DEFINITIVO]])," ")</f>
        <v xml:space="preserve"> </v>
      </c>
      <c r="AA500" s="12"/>
      <c r="AB500" s="38">
        <v>865880400</v>
      </c>
      <c r="AC500" s="37">
        <v>0.02</v>
      </c>
      <c r="AD500" s="38">
        <f t="shared" si="8"/>
        <v>17317608</v>
      </c>
      <c r="AE500" s="12"/>
      <c r="AF500" s="12">
        <f>COUNTIF($A$20:A500,A500)</f>
        <v>3</v>
      </c>
      <c r="AG500" s="38">
        <v>865880400</v>
      </c>
      <c r="AH500" s="38">
        <f>Tabla4[[#This Row],[VALOR CONTRAPARTIDA]]+Tabla4[[#This Row],[TOTAL APORTES ICBF]]</f>
        <v>883198008</v>
      </c>
      <c r="AI500" s="35"/>
      <c r="AJ500" s="38"/>
      <c r="AK500" s="38"/>
      <c r="AL500" s="23"/>
      <c r="AM500" s="35">
        <f>VLOOKUP(Tabla4[[#This Row],[SERVICIO 2025]],$J$2:$V$14,5,0)*Tabla4[[#This Row],[TOTAL COBERTURA]]</f>
        <v>17628600</v>
      </c>
      <c r="AN500" s="35">
        <f>VLOOKUP(Tabla4[[#This Row],[SERVICIO 2025]],$J$2:$V$14,6,0)*Tabla4[[#This Row],[TOTAL COBERTURA]]</f>
        <v>15008600</v>
      </c>
      <c r="AO500" s="35">
        <f>VLOOKUP(Tabla4[[#This Row],[SERVICIO 2025]],$J$2:$V$14,8,0)*Tabla4[[#This Row],[TOTAL COBERTURA]]</f>
        <v>0</v>
      </c>
      <c r="AP500" s="35">
        <f>VLOOKUP(Tabla4[[#This Row],[SERVICIO 2025]],$J$2:$V$14,3,0)*Tabla4[[#This Row],[TOTAL COBERTURA]]*8</f>
        <v>833243200</v>
      </c>
      <c r="AQ500" s="35"/>
      <c r="AR500" s="35">
        <f>Tabla4[[#This Row],[VALOR FASE PREPARATORIA DE ALISTAMIENTO]]+Tabla4[[#This Row],[VALOR FASE PREPARATORIA DE CIERRE]]+Tabla4[[#This Row],[DOTACIÓN ÚNICA]]+Tabla4[[#This Row],[VALOR ATENCIÓN]]+Tabla4[[#This Row],[VALOR RACION PREPARADA]]</f>
        <v>865880400</v>
      </c>
      <c r="AS500" s="35" t="str">
        <f>+IF(Tabla4[[#This Row],[AGRUPACIONES]]=1,SUMIFS(Tabla4[VALOR TOTAL],Tabla4[ZONA DEFINITIVO],Tabla4[[#This Row],[ZONA DEFINITIVO]])," ")</f>
        <v xml:space="preserve"> </v>
      </c>
      <c r="AT500" s="27">
        <f>(VLOOKUP(Tabla4[[#This Row],[SERVICIO 2025]],$J$2:$V$14,3,0)*Tabla4[[#This Row],[TOTAL COBERTURA]])+Tabla4[[#This Row],[VALOR FASE PREPARATORIA DE ALISTAMIENTO]]+Tabla4[[#This Row],[DOTACIÓN ÚNICA]]</f>
        <v>121784000</v>
      </c>
      <c r="AU500" s="35">
        <f>(VLOOKUP(Tabla4[[#This Row],[SERVICIO 2025]],$J$2:$V$14,3,0)*Tabla4[[#This Row],[TOTAL COBERTURA]])</f>
        <v>104155400</v>
      </c>
      <c r="AV500" s="35">
        <f>(VLOOKUP(Tabla4[[#This Row],[SERVICIO 2025]],$J$2:$V$14,3,0)*Tabla4[[#This Row],[TOTAL COBERTURA]])</f>
        <v>104155400</v>
      </c>
      <c r="AW500" s="35">
        <f>(VLOOKUP(Tabla4[[#This Row],[SERVICIO 2025]],$J$2:$V$14,3,0)*Tabla4[[#This Row],[TOTAL COBERTURA]])</f>
        <v>104155400</v>
      </c>
      <c r="AX500" s="35">
        <f>(VLOOKUP(Tabla4[[#This Row],[SERVICIO 2025]],$J$2:$V$14,3,0)*Tabla4[[#This Row],[TOTAL COBERTURA]])</f>
        <v>104155400</v>
      </c>
      <c r="AY500" s="35">
        <f>(VLOOKUP(Tabla4[[#This Row],[SERVICIO 2025]],$J$2:$V$14,3,0)*Tabla4[[#This Row],[TOTAL COBERTURA]])</f>
        <v>104155400</v>
      </c>
      <c r="AZ500" s="35">
        <f>(VLOOKUP(Tabla4[[#This Row],[SERVICIO 2025]],$J$2:$V$14,3,0)*Tabla4[[#This Row],[TOTAL COBERTURA]])</f>
        <v>104155400</v>
      </c>
      <c r="BA500" s="35">
        <f>(VLOOKUP(Tabla4[[#This Row],[SERVICIO 2025]],$J$2:$V$14,3,0)*Tabla4[[#This Row],[TOTAL COBERTURA]])+Tabla4[[#This Row],[VALOR FASE PREPARATORIA DE CIERRE]]</f>
        <v>119164000</v>
      </c>
      <c r="BB500" s="35">
        <f>SUM(Tabla4[[#This Row],[DESEMBOLSO 1]:[DESEMBOLSO 8]])</f>
        <v>865880400</v>
      </c>
      <c r="BC500" s="35">
        <f>VLOOKUP(Tabla4[[#This Row],[SERVICIO 2025]],$J$2:$V$14,10,0)*Tabla4[[#This Row],[TOTAL COBERTURA]]*$W$3</f>
        <v>0</v>
      </c>
      <c r="BD500" s="47" t="s">
        <v>145</v>
      </c>
      <c r="BE500" s="12" t="b">
        <f>EXACT(Tabla4[[#This Row],[VALOR ATENCIÓN (8 MESES)]],Tabla4[[#This Row],[VALOR TOTAL]])</f>
        <v>1</v>
      </c>
      <c r="BF500" s="23">
        <f>Tabla4[[#This Row],[VALOR ATENCIÓN (8 MESES)]]-Tabla4[[#This Row],[VALOR TOTAL]]</f>
        <v>0</v>
      </c>
      <c r="BG500" s="12" t="b">
        <f>EXACT(Tabla4[[#This Row],[TOTAL DESEMBOLSOS]],Tabla4[[#This Row],[VALOR ATENCIÓN (8 MESES)]])</f>
        <v>1</v>
      </c>
      <c r="BH500" s="29">
        <f>Tabla4[[#This Row],[TOTAL DESEMBOLSOS]]-Tabla4[[#This Row],[VALOR ATENCIÓN (8 MESES)]]</f>
        <v>0</v>
      </c>
      <c r="BI500" t="s">
        <v>98</v>
      </c>
      <c r="BJ500">
        <v>1934</v>
      </c>
    </row>
    <row r="501" spans="1:62">
      <c r="A501" s="13">
        <v>1934</v>
      </c>
      <c r="B501" s="13" t="s">
        <v>1154</v>
      </c>
      <c r="C501" s="12" t="s">
        <v>87</v>
      </c>
      <c r="D501" s="12" t="s">
        <v>987</v>
      </c>
      <c r="E501" s="12" t="s">
        <v>1143</v>
      </c>
      <c r="F501" s="12" t="s">
        <v>13</v>
      </c>
      <c r="G501" s="12" t="s">
        <v>90</v>
      </c>
      <c r="H501" s="12" t="s">
        <v>1163</v>
      </c>
      <c r="I501" s="12">
        <v>515400066673</v>
      </c>
      <c r="J501" s="12" t="s">
        <v>1164</v>
      </c>
      <c r="K501" s="12">
        <v>1</v>
      </c>
      <c r="L501" s="12">
        <v>62</v>
      </c>
      <c r="M501" s="12"/>
      <c r="N501" s="13">
        <v>1934</v>
      </c>
      <c r="O501" s="12" t="s">
        <v>93</v>
      </c>
      <c r="P501" s="12"/>
      <c r="Q501" s="12"/>
      <c r="R501" s="12" t="s">
        <v>94</v>
      </c>
      <c r="S501" s="12">
        <v>10</v>
      </c>
      <c r="T501" s="12" t="s">
        <v>1157</v>
      </c>
      <c r="U501" s="12" t="s">
        <v>1158</v>
      </c>
      <c r="V501" s="12">
        <f>VLOOKUP(Tabla4[[#This Row],[ZONA DEFINITIVO]],Hoja1!$A$1:$D$121,3,0)</f>
        <v>229104</v>
      </c>
      <c r="W501" s="12">
        <f>VLOOKUP(Tabla4[[#This Row],[ZONA DEFINITIVO]],Hoja1!$A$1:$D$121,2,0)</f>
        <v>15189</v>
      </c>
      <c r="X501" s="12">
        <f>VLOOKUP(Tabla4[[#This Row],[ZONA DEFINITIVO]],Hoja1!$A$1:$D$121,4,0)</f>
        <v>82425</v>
      </c>
      <c r="Y501" s="12" t="str">
        <f>+IF(Tabla4[[#This Row],[AGRUPACIONES]]=1,SUMIFS(Tabla4[UDS],Tabla4[ZONA DEFINITIVO],Tabla4[[#This Row],[ZONA DEFINITIVO]])," ")</f>
        <v xml:space="preserve"> </v>
      </c>
      <c r="Z501" s="12" t="str">
        <f>+IF(Tabla4[[#This Row],[AGRUPACIONES]]=1,SUMIFS(Tabla4[TOTAL COBERTURA],Tabla4[ZONA DEFINITIVO],Tabla4[[#This Row],[ZONA DEFINITIVO]])," ")</f>
        <v xml:space="preserve"> </v>
      </c>
      <c r="AA501" s="12"/>
      <c r="AB501" s="38">
        <v>183315772</v>
      </c>
      <c r="AC501" s="37">
        <v>0.02</v>
      </c>
      <c r="AD501" s="38">
        <f t="shared" si="8"/>
        <v>3666315.44</v>
      </c>
      <c r="AE501" s="12"/>
      <c r="AF501" s="12">
        <f>COUNTIF($A$20:A501,A501)</f>
        <v>4</v>
      </c>
      <c r="AG501" s="38">
        <v>183315772</v>
      </c>
      <c r="AH501" s="38">
        <f>Tabla4[[#This Row],[VALOR CONTRAPARTIDA]]+Tabla4[[#This Row],[TOTAL APORTES ICBF]]</f>
        <v>186982087.44</v>
      </c>
      <c r="AI501" s="35"/>
      <c r="AJ501" s="38"/>
      <c r="AK501" s="38"/>
      <c r="AL501" s="23"/>
      <c r="AM501" s="35">
        <f>VLOOKUP(Tabla4[[#This Row],[SERVICIO 2025]],$J$2:$V$14,5,0)*Tabla4[[#This Row],[TOTAL COBERTURA]]</f>
        <v>5464866</v>
      </c>
      <c r="AN501" s="35">
        <f>VLOOKUP(Tabla4[[#This Row],[SERVICIO 2025]],$J$2:$V$14,6,0)*Tabla4[[#This Row],[TOTAL COBERTURA]]</f>
        <v>4652666</v>
      </c>
      <c r="AO501" s="35">
        <f>VLOOKUP(Tabla4[[#This Row],[SERVICIO 2025]],$J$2:$V$14,8,0)*Tabla4[[#This Row],[TOTAL COBERTURA]]</f>
        <v>0</v>
      </c>
      <c r="AP501" s="35">
        <f>VLOOKUP(Tabla4[[#This Row],[SERVICIO 2025]],$J$2:$V$14,3,0)*Tabla4[[#This Row],[TOTAL COBERTURA]]*8</f>
        <v>173198240</v>
      </c>
      <c r="AQ501" s="35"/>
      <c r="AR501" s="35">
        <f>Tabla4[[#This Row],[VALOR FASE PREPARATORIA DE ALISTAMIENTO]]+Tabla4[[#This Row],[VALOR FASE PREPARATORIA DE CIERRE]]+Tabla4[[#This Row],[DOTACIÓN ÚNICA]]+Tabla4[[#This Row],[VALOR ATENCIÓN]]+Tabla4[[#This Row],[VALOR RACION PREPARADA]]</f>
        <v>183315772</v>
      </c>
      <c r="AS501" s="35" t="str">
        <f>+IF(Tabla4[[#This Row],[AGRUPACIONES]]=1,SUMIFS(Tabla4[VALOR TOTAL],Tabla4[ZONA DEFINITIVO],Tabla4[[#This Row],[ZONA DEFINITIVO]])," ")</f>
        <v xml:space="preserve"> </v>
      </c>
      <c r="AT501" s="27">
        <f>(VLOOKUP(Tabla4[[#This Row],[SERVICIO 2025]],$J$2:$V$14,3,0)*Tabla4[[#This Row],[TOTAL COBERTURA]])+Tabla4[[#This Row],[VALOR FASE PREPARATORIA DE ALISTAMIENTO]]+Tabla4[[#This Row],[DOTACIÓN ÚNICA]]</f>
        <v>27114646</v>
      </c>
      <c r="AU501" s="35">
        <f>(VLOOKUP(Tabla4[[#This Row],[SERVICIO 2025]],$J$2:$V$14,3,0)*Tabla4[[#This Row],[TOTAL COBERTURA]])</f>
        <v>21649780</v>
      </c>
      <c r="AV501" s="35">
        <f>(VLOOKUP(Tabla4[[#This Row],[SERVICIO 2025]],$J$2:$V$14,3,0)*Tabla4[[#This Row],[TOTAL COBERTURA]])</f>
        <v>21649780</v>
      </c>
      <c r="AW501" s="35">
        <f>(VLOOKUP(Tabla4[[#This Row],[SERVICIO 2025]],$J$2:$V$14,3,0)*Tabla4[[#This Row],[TOTAL COBERTURA]])</f>
        <v>21649780</v>
      </c>
      <c r="AX501" s="35">
        <f>(VLOOKUP(Tabla4[[#This Row],[SERVICIO 2025]],$J$2:$V$14,3,0)*Tabla4[[#This Row],[TOTAL COBERTURA]])</f>
        <v>21649780</v>
      </c>
      <c r="AY501" s="35">
        <f>(VLOOKUP(Tabla4[[#This Row],[SERVICIO 2025]],$J$2:$V$14,3,0)*Tabla4[[#This Row],[TOTAL COBERTURA]])</f>
        <v>21649780</v>
      </c>
      <c r="AZ501" s="35">
        <f>(VLOOKUP(Tabla4[[#This Row],[SERVICIO 2025]],$J$2:$V$14,3,0)*Tabla4[[#This Row],[TOTAL COBERTURA]])</f>
        <v>21649780</v>
      </c>
      <c r="BA501" s="35">
        <f>(VLOOKUP(Tabla4[[#This Row],[SERVICIO 2025]],$J$2:$V$14,3,0)*Tabla4[[#This Row],[TOTAL COBERTURA]])+Tabla4[[#This Row],[VALOR FASE PREPARATORIA DE CIERRE]]</f>
        <v>26302446</v>
      </c>
      <c r="BB501" s="35">
        <f>SUM(Tabla4[[#This Row],[DESEMBOLSO 1]:[DESEMBOLSO 8]])</f>
        <v>183315772</v>
      </c>
      <c r="BC501" s="35">
        <f>VLOOKUP(Tabla4[[#This Row],[SERVICIO 2025]],$J$2:$V$14,10,0)*Tabla4[[#This Row],[TOTAL COBERTURA]]*$W$3</f>
        <v>76392928</v>
      </c>
      <c r="BD501" s="47" t="s">
        <v>211</v>
      </c>
      <c r="BE501" s="12" t="b">
        <f>EXACT(Tabla4[[#This Row],[VALOR ATENCIÓN (8 MESES)]],Tabla4[[#This Row],[VALOR TOTAL]])</f>
        <v>1</v>
      </c>
      <c r="BF501" s="23">
        <f>Tabla4[[#This Row],[VALOR ATENCIÓN (8 MESES)]]-Tabla4[[#This Row],[VALOR TOTAL]]</f>
        <v>0</v>
      </c>
      <c r="BG501" s="12" t="b">
        <f>EXACT(Tabla4[[#This Row],[TOTAL DESEMBOLSOS]],Tabla4[[#This Row],[VALOR ATENCIÓN (8 MESES)]])</f>
        <v>1</v>
      </c>
      <c r="BH501" s="29">
        <f>Tabla4[[#This Row],[TOTAL DESEMBOLSOS]]-Tabla4[[#This Row],[VALOR ATENCIÓN (8 MESES)]]</f>
        <v>0</v>
      </c>
      <c r="BI501" t="s">
        <v>98</v>
      </c>
      <c r="BJ501">
        <v>1934</v>
      </c>
    </row>
    <row r="502" spans="1:62">
      <c r="A502" s="13">
        <v>1934</v>
      </c>
      <c r="B502" s="13" t="s">
        <v>1154</v>
      </c>
      <c r="C502" s="12" t="s">
        <v>87</v>
      </c>
      <c r="D502" s="12" t="s">
        <v>987</v>
      </c>
      <c r="E502" s="12" t="s">
        <v>1143</v>
      </c>
      <c r="F502" s="12" t="s">
        <v>15</v>
      </c>
      <c r="G502" s="12" t="s">
        <v>90</v>
      </c>
      <c r="H502" s="12" t="s">
        <v>1165</v>
      </c>
      <c r="I502" s="12">
        <v>515400066714</v>
      </c>
      <c r="J502" s="12" t="s">
        <v>1166</v>
      </c>
      <c r="K502" s="12">
        <v>1</v>
      </c>
      <c r="L502" s="12">
        <v>100</v>
      </c>
      <c r="M502" s="12"/>
      <c r="N502" s="13">
        <v>1934</v>
      </c>
      <c r="O502" s="12" t="s">
        <v>93</v>
      </c>
      <c r="P502" s="12"/>
      <c r="Q502" s="12"/>
      <c r="R502" s="12" t="s">
        <v>94</v>
      </c>
      <c r="S502" s="12">
        <v>10</v>
      </c>
      <c r="T502" s="12" t="s">
        <v>1157</v>
      </c>
      <c r="U502" s="12" t="s">
        <v>1158</v>
      </c>
      <c r="V502" s="12">
        <f>VLOOKUP(Tabla4[[#This Row],[ZONA DEFINITIVO]],Hoja1!$A$1:$D$121,3,0)</f>
        <v>229104</v>
      </c>
      <c r="W502" s="12">
        <f>VLOOKUP(Tabla4[[#This Row],[ZONA DEFINITIVO]],Hoja1!$A$1:$D$121,2,0)</f>
        <v>15189</v>
      </c>
      <c r="X502" s="12">
        <f>VLOOKUP(Tabla4[[#This Row],[ZONA DEFINITIVO]],Hoja1!$A$1:$D$121,4,0)</f>
        <v>82425</v>
      </c>
      <c r="Y502" s="12" t="str">
        <f>+IF(Tabla4[[#This Row],[AGRUPACIONES]]=1,SUMIFS(Tabla4[UDS],Tabla4[ZONA DEFINITIVO],Tabla4[[#This Row],[ZONA DEFINITIVO]])," ")</f>
        <v xml:space="preserve"> </v>
      </c>
      <c r="Z502" s="12" t="str">
        <f>+IF(Tabla4[[#This Row],[AGRUPACIONES]]=1,SUMIFS(Tabla4[TOTAL COBERTURA],Tabla4[ZONA DEFINITIVO],Tabla4[[#This Row],[ZONA DEFINITIVO]])," ")</f>
        <v xml:space="preserve"> </v>
      </c>
      <c r="AA502" s="12"/>
      <c r="AB502" s="38">
        <v>432940200</v>
      </c>
      <c r="AC502" s="37">
        <v>0.02</v>
      </c>
      <c r="AD502" s="38">
        <f t="shared" si="8"/>
        <v>8658804</v>
      </c>
      <c r="AE502" s="12"/>
      <c r="AF502" s="12">
        <f>COUNTIF($A$20:A502,A502)</f>
        <v>5</v>
      </c>
      <c r="AG502" s="38">
        <v>432940200</v>
      </c>
      <c r="AH502" s="38">
        <f>Tabla4[[#This Row],[VALOR CONTRAPARTIDA]]+Tabla4[[#This Row],[TOTAL APORTES ICBF]]</f>
        <v>441599004</v>
      </c>
      <c r="AI502" s="35"/>
      <c r="AJ502" s="38"/>
      <c r="AK502" s="38"/>
      <c r="AL502" s="23"/>
      <c r="AM502" s="35">
        <f>VLOOKUP(Tabla4[[#This Row],[SERVICIO 2025]],$J$2:$V$14,5,0)*Tabla4[[#This Row],[TOTAL COBERTURA]]</f>
        <v>8814300</v>
      </c>
      <c r="AN502" s="35">
        <f>VLOOKUP(Tabla4[[#This Row],[SERVICIO 2025]],$J$2:$V$14,6,0)*Tabla4[[#This Row],[TOTAL COBERTURA]]</f>
        <v>7504300</v>
      </c>
      <c r="AO502" s="35">
        <f>VLOOKUP(Tabla4[[#This Row],[SERVICIO 2025]],$J$2:$V$14,8,0)*Tabla4[[#This Row],[TOTAL COBERTURA]]</f>
        <v>0</v>
      </c>
      <c r="AP502" s="35">
        <f>VLOOKUP(Tabla4[[#This Row],[SERVICIO 2025]],$J$2:$V$14,3,0)*Tabla4[[#This Row],[TOTAL COBERTURA]]*8</f>
        <v>416621600</v>
      </c>
      <c r="AQ502" s="35"/>
      <c r="AR502" s="35">
        <f>Tabla4[[#This Row],[VALOR FASE PREPARATORIA DE ALISTAMIENTO]]+Tabla4[[#This Row],[VALOR FASE PREPARATORIA DE CIERRE]]+Tabla4[[#This Row],[DOTACIÓN ÚNICA]]+Tabla4[[#This Row],[VALOR ATENCIÓN]]+Tabla4[[#This Row],[VALOR RACION PREPARADA]]</f>
        <v>432940200</v>
      </c>
      <c r="AS502" s="35" t="str">
        <f>+IF(Tabla4[[#This Row],[AGRUPACIONES]]=1,SUMIFS(Tabla4[VALOR TOTAL],Tabla4[ZONA DEFINITIVO],Tabla4[[#This Row],[ZONA DEFINITIVO]])," ")</f>
        <v xml:space="preserve"> </v>
      </c>
      <c r="AT502" s="27">
        <f>(VLOOKUP(Tabla4[[#This Row],[SERVICIO 2025]],$J$2:$V$14,3,0)*Tabla4[[#This Row],[TOTAL COBERTURA]])+Tabla4[[#This Row],[VALOR FASE PREPARATORIA DE ALISTAMIENTO]]+Tabla4[[#This Row],[DOTACIÓN ÚNICA]]</f>
        <v>60892000</v>
      </c>
      <c r="AU502" s="35">
        <f>(VLOOKUP(Tabla4[[#This Row],[SERVICIO 2025]],$J$2:$V$14,3,0)*Tabla4[[#This Row],[TOTAL COBERTURA]])</f>
        <v>52077700</v>
      </c>
      <c r="AV502" s="35">
        <f>(VLOOKUP(Tabla4[[#This Row],[SERVICIO 2025]],$J$2:$V$14,3,0)*Tabla4[[#This Row],[TOTAL COBERTURA]])</f>
        <v>52077700</v>
      </c>
      <c r="AW502" s="35">
        <f>(VLOOKUP(Tabla4[[#This Row],[SERVICIO 2025]],$J$2:$V$14,3,0)*Tabla4[[#This Row],[TOTAL COBERTURA]])</f>
        <v>52077700</v>
      </c>
      <c r="AX502" s="35">
        <f>(VLOOKUP(Tabla4[[#This Row],[SERVICIO 2025]],$J$2:$V$14,3,0)*Tabla4[[#This Row],[TOTAL COBERTURA]])</f>
        <v>52077700</v>
      </c>
      <c r="AY502" s="35">
        <f>(VLOOKUP(Tabla4[[#This Row],[SERVICIO 2025]],$J$2:$V$14,3,0)*Tabla4[[#This Row],[TOTAL COBERTURA]])</f>
        <v>52077700</v>
      </c>
      <c r="AZ502" s="35">
        <f>(VLOOKUP(Tabla4[[#This Row],[SERVICIO 2025]],$J$2:$V$14,3,0)*Tabla4[[#This Row],[TOTAL COBERTURA]])</f>
        <v>52077700</v>
      </c>
      <c r="BA502" s="35">
        <f>(VLOOKUP(Tabla4[[#This Row],[SERVICIO 2025]],$J$2:$V$14,3,0)*Tabla4[[#This Row],[TOTAL COBERTURA]])+Tabla4[[#This Row],[VALOR FASE PREPARATORIA DE CIERRE]]</f>
        <v>59582000</v>
      </c>
      <c r="BB502" s="35">
        <f>SUM(Tabla4[[#This Row],[DESEMBOLSO 1]:[DESEMBOLSO 8]])</f>
        <v>432940200</v>
      </c>
      <c r="BC502" s="35">
        <f>VLOOKUP(Tabla4[[#This Row],[SERVICIO 2025]],$J$2:$V$14,10,0)*Tabla4[[#This Row],[TOTAL COBERTURA]]*$W$3</f>
        <v>0</v>
      </c>
      <c r="BD502" s="47" t="s">
        <v>145</v>
      </c>
      <c r="BE502" s="12" t="b">
        <f>EXACT(Tabla4[[#This Row],[VALOR ATENCIÓN (8 MESES)]],Tabla4[[#This Row],[VALOR TOTAL]])</f>
        <v>1</v>
      </c>
      <c r="BF502" s="23">
        <f>Tabla4[[#This Row],[VALOR ATENCIÓN (8 MESES)]]-Tabla4[[#This Row],[VALOR TOTAL]]</f>
        <v>0</v>
      </c>
      <c r="BG502" s="12" t="b">
        <f>EXACT(Tabla4[[#This Row],[TOTAL DESEMBOLSOS]],Tabla4[[#This Row],[VALOR ATENCIÓN (8 MESES)]])</f>
        <v>1</v>
      </c>
      <c r="BH502" s="29">
        <f>Tabla4[[#This Row],[TOTAL DESEMBOLSOS]]-Tabla4[[#This Row],[VALOR ATENCIÓN (8 MESES)]]</f>
        <v>0</v>
      </c>
      <c r="BI502" t="s">
        <v>98</v>
      </c>
      <c r="BJ502">
        <v>1934</v>
      </c>
    </row>
    <row r="503" spans="1:62">
      <c r="A503" s="13">
        <v>1934</v>
      </c>
      <c r="B503" s="13" t="s">
        <v>1154</v>
      </c>
      <c r="C503" s="12" t="s">
        <v>87</v>
      </c>
      <c r="D503" s="12" t="s">
        <v>987</v>
      </c>
      <c r="E503" s="12" t="s">
        <v>1143</v>
      </c>
      <c r="F503" s="12" t="s">
        <v>15</v>
      </c>
      <c r="G503" s="12" t="s">
        <v>90</v>
      </c>
      <c r="H503" s="12" t="s">
        <v>1167</v>
      </c>
      <c r="I503" s="12">
        <v>515400104082</v>
      </c>
      <c r="J503" s="12" t="s">
        <v>1168</v>
      </c>
      <c r="K503" s="12">
        <v>1</v>
      </c>
      <c r="L503" s="12">
        <v>122</v>
      </c>
      <c r="M503" s="12"/>
      <c r="N503" s="13">
        <v>1934</v>
      </c>
      <c r="O503" s="12" t="s">
        <v>93</v>
      </c>
      <c r="P503" s="12"/>
      <c r="Q503" s="12"/>
      <c r="R503" s="12" t="s">
        <v>94</v>
      </c>
      <c r="S503" s="12">
        <v>10</v>
      </c>
      <c r="T503" s="12" t="s">
        <v>1157</v>
      </c>
      <c r="U503" s="12" t="s">
        <v>1158</v>
      </c>
      <c r="V503" s="12">
        <f>VLOOKUP(Tabla4[[#This Row],[ZONA DEFINITIVO]],Hoja1!$A$1:$D$121,3,0)</f>
        <v>229104</v>
      </c>
      <c r="W503" s="12">
        <f>VLOOKUP(Tabla4[[#This Row],[ZONA DEFINITIVO]],Hoja1!$A$1:$D$121,2,0)</f>
        <v>15189</v>
      </c>
      <c r="X503" s="12">
        <f>VLOOKUP(Tabla4[[#This Row],[ZONA DEFINITIVO]],Hoja1!$A$1:$D$121,4,0)</f>
        <v>82425</v>
      </c>
      <c r="Y503" s="12" t="str">
        <f>+IF(Tabla4[[#This Row],[AGRUPACIONES]]=1,SUMIFS(Tabla4[UDS],Tabla4[ZONA DEFINITIVO],Tabla4[[#This Row],[ZONA DEFINITIVO]])," ")</f>
        <v xml:space="preserve"> </v>
      </c>
      <c r="Z503" s="12" t="str">
        <f>+IF(Tabla4[[#This Row],[AGRUPACIONES]]=1,SUMIFS(Tabla4[TOTAL COBERTURA],Tabla4[ZONA DEFINITIVO],Tabla4[[#This Row],[ZONA DEFINITIVO]])," ")</f>
        <v xml:space="preserve"> </v>
      </c>
      <c r="AA503" s="12"/>
      <c r="AB503" s="38">
        <v>528187044</v>
      </c>
      <c r="AC503" s="37">
        <v>0.02</v>
      </c>
      <c r="AD503" s="38">
        <f t="shared" si="8"/>
        <v>10563740.880000001</v>
      </c>
      <c r="AE503" s="12"/>
      <c r="AF503" s="12">
        <f>COUNTIF($A$20:A503,A503)</f>
        <v>6</v>
      </c>
      <c r="AG503" s="38">
        <v>528187044</v>
      </c>
      <c r="AH503" s="38">
        <f>Tabla4[[#This Row],[VALOR CONTRAPARTIDA]]+Tabla4[[#This Row],[TOTAL APORTES ICBF]]</f>
        <v>538750784.88</v>
      </c>
      <c r="AI503" s="35"/>
      <c r="AJ503" s="38"/>
      <c r="AK503" s="38"/>
      <c r="AL503" s="23"/>
      <c r="AM503" s="35">
        <f>VLOOKUP(Tabla4[[#This Row],[SERVICIO 2025]],$J$2:$V$14,5,0)*Tabla4[[#This Row],[TOTAL COBERTURA]]</f>
        <v>10753446</v>
      </c>
      <c r="AN503" s="35">
        <f>VLOOKUP(Tabla4[[#This Row],[SERVICIO 2025]],$J$2:$V$14,6,0)*Tabla4[[#This Row],[TOTAL COBERTURA]]</f>
        <v>9155246</v>
      </c>
      <c r="AO503" s="35">
        <f>VLOOKUP(Tabla4[[#This Row],[SERVICIO 2025]],$J$2:$V$14,8,0)*Tabla4[[#This Row],[TOTAL COBERTURA]]</f>
        <v>0</v>
      </c>
      <c r="AP503" s="35">
        <f>VLOOKUP(Tabla4[[#This Row],[SERVICIO 2025]],$J$2:$V$14,3,0)*Tabla4[[#This Row],[TOTAL COBERTURA]]*8</f>
        <v>508278352</v>
      </c>
      <c r="AQ503" s="35"/>
      <c r="AR503" s="35">
        <f>Tabla4[[#This Row],[VALOR FASE PREPARATORIA DE ALISTAMIENTO]]+Tabla4[[#This Row],[VALOR FASE PREPARATORIA DE CIERRE]]+Tabla4[[#This Row],[DOTACIÓN ÚNICA]]+Tabla4[[#This Row],[VALOR ATENCIÓN]]+Tabla4[[#This Row],[VALOR RACION PREPARADA]]</f>
        <v>528187044</v>
      </c>
      <c r="AS503" s="35" t="str">
        <f>+IF(Tabla4[[#This Row],[AGRUPACIONES]]=1,SUMIFS(Tabla4[VALOR TOTAL],Tabla4[ZONA DEFINITIVO],Tabla4[[#This Row],[ZONA DEFINITIVO]])," ")</f>
        <v xml:space="preserve"> </v>
      </c>
      <c r="AT503" s="27">
        <f>(VLOOKUP(Tabla4[[#This Row],[SERVICIO 2025]],$J$2:$V$14,3,0)*Tabla4[[#This Row],[TOTAL COBERTURA]])+Tabla4[[#This Row],[VALOR FASE PREPARATORIA DE ALISTAMIENTO]]+Tabla4[[#This Row],[DOTACIÓN ÚNICA]]</f>
        <v>74288240</v>
      </c>
      <c r="AU503" s="35">
        <f>(VLOOKUP(Tabla4[[#This Row],[SERVICIO 2025]],$J$2:$V$14,3,0)*Tabla4[[#This Row],[TOTAL COBERTURA]])</f>
        <v>63534794</v>
      </c>
      <c r="AV503" s="35">
        <f>(VLOOKUP(Tabla4[[#This Row],[SERVICIO 2025]],$J$2:$V$14,3,0)*Tabla4[[#This Row],[TOTAL COBERTURA]])</f>
        <v>63534794</v>
      </c>
      <c r="AW503" s="35">
        <f>(VLOOKUP(Tabla4[[#This Row],[SERVICIO 2025]],$J$2:$V$14,3,0)*Tabla4[[#This Row],[TOTAL COBERTURA]])</f>
        <v>63534794</v>
      </c>
      <c r="AX503" s="35">
        <f>(VLOOKUP(Tabla4[[#This Row],[SERVICIO 2025]],$J$2:$V$14,3,0)*Tabla4[[#This Row],[TOTAL COBERTURA]])</f>
        <v>63534794</v>
      </c>
      <c r="AY503" s="35">
        <f>(VLOOKUP(Tabla4[[#This Row],[SERVICIO 2025]],$J$2:$V$14,3,0)*Tabla4[[#This Row],[TOTAL COBERTURA]])</f>
        <v>63534794</v>
      </c>
      <c r="AZ503" s="35">
        <f>(VLOOKUP(Tabla4[[#This Row],[SERVICIO 2025]],$J$2:$V$14,3,0)*Tabla4[[#This Row],[TOTAL COBERTURA]])</f>
        <v>63534794</v>
      </c>
      <c r="BA503" s="35">
        <f>(VLOOKUP(Tabla4[[#This Row],[SERVICIO 2025]],$J$2:$V$14,3,0)*Tabla4[[#This Row],[TOTAL COBERTURA]])+Tabla4[[#This Row],[VALOR FASE PREPARATORIA DE CIERRE]]</f>
        <v>72690040</v>
      </c>
      <c r="BB503" s="35">
        <f>SUM(Tabla4[[#This Row],[DESEMBOLSO 1]:[DESEMBOLSO 8]])</f>
        <v>528187044</v>
      </c>
      <c r="BC503" s="35">
        <f>VLOOKUP(Tabla4[[#This Row],[SERVICIO 2025]],$J$2:$V$14,10,0)*Tabla4[[#This Row],[TOTAL COBERTURA]]*$W$3</f>
        <v>0</v>
      </c>
      <c r="BD503" s="47" t="s">
        <v>145</v>
      </c>
      <c r="BE503" s="12" t="b">
        <f>EXACT(Tabla4[[#This Row],[VALOR ATENCIÓN (8 MESES)]],Tabla4[[#This Row],[VALOR TOTAL]])</f>
        <v>1</v>
      </c>
      <c r="BF503" s="23">
        <f>Tabla4[[#This Row],[VALOR ATENCIÓN (8 MESES)]]-Tabla4[[#This Row],[VALOR TOTAL]]</f>
        <v>0</v>
      </c>
      <c r="BG503" s="12" t="b">
        <f>EXACT(Tabla4[[#This Row],[TOTAL DESEMBOLSOS]],Tabla4[[#This Row],[VALOR ATENCIÓN (8 MESES)]])</f>
        <v>1</v>
      </c>
      <c r="BH503" s="29">
        <f>Tabla4[[#This Row],[TOTAL DESEMBOLSOS]]-Tabla4[[#This Row],[VALOR ATENCIÓN (8 MESES)]]</f>
        <v>0</v>
      </c>
      <c r="BI503" t="s">
        <v>98</v>
      </c>
      <c r="BJ503">
        <v>1934</v>
      </c>
    </row>
    <row r="504" spans="1:62">
      <c r="A504" s="13">
        <v>1934</v>
      </c>
      <c r="B504" s="13" t="s">
        <v>1154</v>
      </c>
      <c r="C504" s="12" t="s">
        <v>87</v>
      </c>
      <c r="D504" s="12" t="s">
        <v>987</v>
      </c>
      <c r="E504" s="12" t="s">
        <v>1143</v>
      </c>
      <c r="F504" s="12" t="s">
        <v>15</v>
      </c>
      <c r="G504" s="12" t="s">
        <v>90</v>
      </c>
      <c r="H504" s="12" t="s">
        <v>1169</v>
      </c>
      <c r="I504" s="12">
        <v>515400105690</v>
      </c>
      <c r="J504" s="12" t="s">
        <v>1170</v>
      </c>
      <c r="K504" s="12">
        <v>1</v>
      </c>
      <c r="L504" s="12">
        <v>167</v>
      </c>
      <c r="M504" s="12"/>
      <c r="N504" s="13">
        <v>1934</v>
      </c>
      <c r="O504" s="12" t="s">
        <v>93</v>
      </c>
      <c r="P504" s="12"/>
      <c r="Q504" s="12"/>
      <c r="R504" s="12" t="s">
        <v>94</v>
      </c>
      <c r="S504" s="12">
        <v>10</v>
      </c>
      <c r="T504" s="12" t="s">
        <v>1157</v>
      </c>
      <c r="U504" s="12" t="s">
        <v>1158</v>
      </c>
      <c r="V504" s="12">
        <f>VLOOKUP(Tabla4[[#This Row],[ZONA DEFINITIVO]],Hoja1!$A$1:$D$121,3,0)</f>
        <v>229104</v>
      </c>
      <c r="W504" s="12">
        <f>VLOOKUP(Tabla4[[#This Row],[ZONA DEFINITIVO]],Hoja1!$A$1:$D$121,2,0)</f>
        <v>15189</v>
      </c>
      <c r="X504" s="12">
        <f>VLOOKUP(Tabla4[[#This Row],[ZONA DEFINITIVO]],Hoja1!$A$1:$D$121,4,0)</f>
        <v>82425</v>
      </c>
      <c r="Y504" s="12" t="str">
        <f>+IF(Tabla4[[#This Row],[AGRUPACIONES]]=1,SUMIFS(Tabla4[UDS],Tabla4[ZONA DEFINITIVO],Tabla4[[#This Row],[ZONA DEFINITIVO]])," ")</f>
        <v xml:space="preserve"> </v>
      </c>
      <c r="Z504" s="12" t="str">
        <f>+IF(Tabla4[[#This Row],[AGRUPACIONES]]=1,SUMIFS(Tabla4[TOTAL COBERTURA],Tabla4[ZONA DEFINITIVO],Tabla4[[#This Row],[ZONA DEFINITIVO]])," ")</f>
        <v xml:space="preserve"> </v>
      </c>
      <c r="AA504" s="12"/>
      <c r="AB504" s="38">
        <v>723010134</v>
      </c>
      <c r="AC504" s="37">
        <v>0.02</v>
      </c>
      <c r="AD504" s="38">
        <f t="shared" si="8"/>
        <v>14460202.68</v>
      </c>
      <c r="AE504" s="12"/>
      <c r="AF504" s="12">
        <f>COUNTIF($A$20:A504,A504)</f>
        <v>7</v>
      </c>
      <c r="AG504" s="38">
        <v>723010134</v>
      </c>
      <c r="AH504" s="38">
        <f>Tabla4[[#This Row],[VALOR CONTRAPARTIDA]]+Tabla4[[#This Row],[TOTAL APORTES ICBF]]</f>
        <v>737470336.67999995</v>
      </c>
      <c r="AI504" s="35"/>
      <c r="AJ504" s="38"/>
      <c r="AK504" s="38"/>
      <c r="AL504" s="23"/>
      <c r="AM504" s="35">
        <f>VLOOKUP(Tabla4[[#This Row],[SERVICIO 2025]],$J$2:$V$14,5,0)*Tabla4[[#This Row],[TOTAL COBERTURA]]</f>
        <v>14719881</v>
      </c>
      <c r="AN504" s="35">
        <f>VLOOKUP(Tabla4[[#This Row],[SERVICIO 2025]],$J$2:$V$14,6,0)*Tabla4[[#This Row],[TOTAL COBERTURA]]</f>
        <v>12532181</v>
      </c>
      <c r="AO504" s="35">
        <f>VLOOKUP(Tabla4[[#This Row],[SERVICIO 2025]],$J$2:$V$14,8,0)*Tabla4[[#This Row],[TOTAL COBERTURA]]</f>
        <v>0</v>
      </c>
      <c r="AP504" s="35">
        <f>VLOOKUP(Tabla4[[#This Row],[SERVICIO 2025]],$J$2:$V$14,3,0)*Tabla4[[#This Row],[TOTAL COBERTURA]]*8</f>
        <v>695758072</v>
      </c>
      <c r="AQ504" s="35"/>
      <c r="AR504" s="35">
        <f>Tabla4[[#This Row],[VALOR FASE PREPARATORIA DE ALISTAMIENTO]]+Tabla4[[#This Row],[VALOR FASE PREPARATORIA DE CIERRE]]+Tabla4[[#This Row],[DOTACIÓN ÚNICA]]+Tabla4[[#This Row],[VALOR ATENCIÓN]]+Tabla4[[#This Row],[VALOR RACION PREPARADA]]</f>
        <v>723010134</v>
      </c>
      <c r="AS504" s="35" t="str">
        <f>+IF(Tabla4[[#This Row],[AGRUPACIONES]]=1,SUMIFS(Tabla4[VALOR TOTAL],Tabla4[ZONA DEFINITIVO],Tabla4[[#This Row],[ZONA DEFINITIVO]])," ")</f>
        <v xml:space="preserve"> </v>
      </c>
      <c r="AT504" s="27">
        <f>(VLOOKUP(Tabla4[[#This Row],[SERVICIO 2025]],$J$2:$V$14,3,0)*Tabla4[[#This Row],[TOTAL COBERTURA]])+Tabla4[[#This Row],[VALOR FASE PREPARATORIA DE ALISTAMIENTO]]+Tabla4[[#This Row],[DOTACIÓN ÚNICA]]</f>
        <v>101689640</v>
      </c>
      <c r="AU504" s="35">
        <f>(VLOOKUP(Tabla4[[#This Row],[SERVICIO 2025]],$J$2:$V$14,3,0)*Tabla4[[#This Row],[TOTAL COBERTURA]])</f>
        <v>86969759</v>
      </c>
      <c r="AV504" s="35">
        <f>(VLOOKUP(Tabla4[[#This Row],[SERVICIO 2025]],$J$2:$V$14,3,0)*Tabla4[[#This Row],[TOTAL COBERTURA]])</f>
        <v>86969759</v>
      </c>
      <c r="AW504" s="35">
        <f>(VLOOKUP(Tabla4[[#This Row],[SERVICIO 2025]],$J$2:$V$14,3,0)*Tabla4[[#This Row],[TOTAL COBERTURA]])</f>
        <v>86969759</v>
      </c>
      <c r="AX504" s="35">
        <f>(VLOOKUP(Tabla4[[#This Row],[SERVICIO 2025]],$J$2:$V$14,3,0)*Tabla4[[#This Row],[TOTAL COBERTURA]])</f>
        <v>86969759</v>
      </c>
      <c r="AY504" s="35">
        <f>(VLOOKUP(Tabla4[[#This Row],[SERVICIO 2025]],$J$2:$V$14,3,0)*Tabla4[[#This Row],[TOTAL COBERTURA]])</f>
        <v>86969759</v>
      </c>
      <c r="AZ504" s="35">
        <f>(VLOOKUP(Tabla4[[#This Row],[SERVICIO 2025]],$J$2:$V$14,3,0)*Tabla4[[#This Row],[TOTAL COBERTURA]])</f>
        <v>86969759</v>
      </c>
      <c r="BA504" s="35">
        <f>(VLOOKUP(Tabla4[[#This Row],[SERVICIO 2025]],$J$2:$V$14,3,0)*Tabla4[[#This Row],[TOTAL COBERTURA]])+Tabla4[[#This Row],[VALOR FASE PREPARATORIA DE CIERRE]]</f>
        <v>99501940</v>
      </c>
      <c r="BB504" s="35">
        <f>SUM(Tabla4[[#This Row],[DESEMBOLSO 1]:[DESEMBOLSO 8]])</f>
        <v>723010134</v>
      </c>
      <c r="BC504" s="35">
        <f>VLOOKUP(Tabla4[[#This Row],[SERVICIO 2025]],$J$2:$V$14,10,0)*Tabla4[[#This Row],[TOTAL COBERTURA]]*$W$3</f>
        <v>0</v>
      </c>
      <c r="BD504" s="47" t="s">
        <v>145</v>
      </c>
      <c r="BE504" s="12" t="b">
        <f>EXACT(Tabla4[[#This Row],[VALOR ATENCIÓN (8 MESES)]],Tabla4[[#This Row],[VALOR TOTAL]])</f>
        <v>1</v>
      </c>
      <c r="BF504" s="23">
        <f>Tabla4[[#This Row],[VALOR ATENCIÓN (8 MESES)]]-Tabla4[[#This Row],[VALOR TOTAL]]</f>
        <v>0</v>
      </c>
      <c r="BG504" s="12" t="b">
        <f>EXACT(Tabla4[[#This Row],[TOTAL DESEMBOLSOS]],Tabla4[[#This Row],[VALOR ATENCIÓN (8 MESES)]])</f>
        <v>1</v>
      </c>
      <c r="BH504" s="29">
        <f>Tabla4[[#This Row],[TOTAL DESEMBOLSOS]]-Tabla4[[#This Row],[VALOR ATENCIÓN (8 MESES)]]</f>
        <v>0</v>
      </c>
      <c r="BI504" t="s">
        <v>98</v>
      </c>
      <c r="BJ504">
        <v>1934</v>
      </c>
    </row>
    <row r="505" spans="1:62">
      <c r="A505" s="13">
        <v>1936</v>
      </c>
      <c r="B505" s="13" t="s">
        <v>1171</v>
      </c>
      <c r="C505" s="12" t="s">
        <v>87</v>
      </c>
      <c r="D505" s="12" t="s">
        <v>462</v>
      </c>
      <c r="E505" s="12" t="s">
        <v>1172</v>
      </c>
      <c r="F505" s="12" t="s">
        <v>14</v>
      </c>
      <c r="G505" s="12" t="s">
        <v>90</v>
      </c>
      <c r="H505" s="12" t="s">
        <v>1173</v>
      </c>
      <c r="I505" s="12">
        <v>51721113618</v>
      </c>
      <c r="J505" s="12" t="s">
        <v>1174</v>
      </c>
      <c r="K505" s="12">
        <v>1</v>
      </c>
      <c r="L505" s="12">
        <v>248</v>
      </c>
      <c r="M505" s="12"/>
      <c r="N505" s="13">
        <v>1936</v>
      </c>
      <c r="O505" s="12" t="s">
        <v>93</v>
      </c>
      <c r="P505" s="12"/>
      <c r="Q505" s="12"/>
      <c r="R505" s="12" t="s">
        <v>94</v>
      </c>
      <c r="S505" s="12">
        <v>10</v>
      </c>
      <c r="T505" s="12"/>
      <c r="U505" s="49" t="s">
        <v>1175</v>
      </c>
      <c r="V505" s="12">
        <f>VLOOKUP(Tabla4[[#This Row],[ZONA DEFINITIVO]],Hoja1!$A$1:$D$121,3,0)</f>
        <v>229105</v>
      </c>
      <c r="W505" s="12">
        <f>VLOOKUP(Tabla4[[#This Row],[ZONA DEFINITIVO]],Hoja1!$A$1:$D$121,2,0)</f>
        <v>15210</v>
      </c>
      <c r="X505" s="12">
        <f>VLOOKUP(Tabla4[[#This Row],[ZONA DEFINITIVO]],Hoja1!$A$1:$D$121,4,0)</f>
        <v>85925</v>
      </c>
      <c r="Y505" s="12">
        <f>+IF(Tabla4[[#This Row],[AGRUPACIONES]]=1,SUMIFS(Tabla4[UDS],Tabla4[ZONA DEFINITIVO],Tabla4[[#This Row],[ZONA DEFINITIVO]])," ")</f>
        <v>3</v>
      </c>
      <c r="Z505" s="12">
        <f>+IF(Tabla4[[#This Row],[AGRUPACIONES]]=1,SUMIFS(Tabla4[TOTAL COBERTURA],Tabla4[ZONA DEFINITIVO],Tabla4[[#This Row],[ZONA DEFINITIVO]])," ")</f>
        <v>608</v>
      </c>
      <c r="AA505" s="12"/>
      <c r="AB505" s="38">
        <v>1038834800</v>
      </c>
      <c r="AC505" s="37">
        <v>0.02</v>
      </c>
      <c r="AD505" s="38">
        <f t="shared" si="8"/>
        <v>20776696</v>
      </c>
      <c r="AE505" s="12"/>
      <c r="AF505" s="12">
        <f>COUNTIF($A$20:A505,A505)</f>
        <v>1</v>
      </c>
      <c r="AG505" s="38">
        <v>1038834800</v>
      </c>
      <c r="AH505" s="38">
        <f>Tabla4[[#This Row],[VALOR CONTRAPARTIDA]]+Tabla4[[#This Row],[TOTAL APORTES ICBF]]</f>
        <v>1059611496</v>
      </c>
      <c r="AI505" s="35">
        <f>ROUND(+IF(Tabla4[[#This Row],[AGRUPACIONES]]=1,SUMIFS(Tabla4[TOTAL APORTES ICBF],Tabla4[ZONA DEFINITIVO],Tabla4[[#This Row],[ZONA DEFINITIVO]])," "),0)</f>
        <v>2546820800</v>
      </c>
      <c r="AJ505" s="38" t="e">
        <f>ROUND(+IF(Tabla43[[#This Row],[AGRUPACIONES]]=1,SUMIFS(Tabla43[VALOR CONTRAPARTIDA],Tabla43[ZONA DEFINITIVO],Tabla43[[#This Row],[ZONA DEFINITIVO]])," "),0)</f>
        <v>#VALUE!</v>
      </c>
      <c r="AK505" s="38" t="e">
        <f>Tabla43[[#This Row],[TOTAL APORTES ICBF AGRUPADO]]+Tabla43[[#This Row],[TOTAL CONTRAPARTIDA AGRUPADO]]</f>
        <v>#VALUE!</v>
      </c>
      <c r="AL505" s="23" t="e">
        <f>Tabla43[[#This Row],[TOTAL APORTES ICBF AGRUPADO]]/$AL$18</f>
        <v>#VALUE!</v>
      </c>
      <c r="AM505" s="35">
        <f>VLOOKUP(Tabla4[[#This Row],[SERVICIO 2025]],$J$2:$V$14,5,0)*Tabla4[[#This Row],[TOTAL COBERTURA]]</f>
        <v>21859464</v>
      </c>
      <c r="AN505" s="35">
        <f>VLOOKUP(Tabla4[[#This Row],[SERVICIO 2025]],$J$2:$V$14,6,0)*Tabla4[[#This Row],[TOTAL COBERTURA]]</f>
        <v>18610664</v>
      </c>
      <c r="AO505" s="35">
        <f>VLOOKUP(Tabla4[[#This Row],[SERVICIO 2025]],$J$2:$V$14,8,0)*Tabla4[[#This Row],[TOTAL COBERTURA]]</f>
        <v>0</v>
      </c>
      <c r="AP505" s="35">
        <f>VLOOKUP(Tabla4[[#This Row],[SERVICIO 2025]],$J$2:$V$14,3,0)*Tabla4[[#This Row],[TOTAL COBERTURA]]*8</f>
        <v>998364672</v>
      </c>
      <c r="AQ505" s="35"/>
      <c r="AR505" s="35">
        <f>Tabla4[[#This Row],[VALOR FASE PREPARATORIA DE ALISTAMIENTO]]+Tabla4[[#This Row],[VALOR FASE PREPARATORIA DE CIERRE]]+Tabla4[[#This Row],[DOTACIÓN ÚNICA]]+Tabla4[[#This Row],[VALOR ATENCIÓN]]+Tabla4[[#This Row],[VALOR RACION PREPARADA]]</f>
        <v>1038834800</v>
      </c>
      <c r="AS505" s="35">
        <f>+IF(Tabla4[[#This Row],[AGRUPACIONES]]=1,SUMIFS(Tabla4[VALOR TOTAL],Tabla4[ZONA DEFINITIVO],Tabla4[[#This Row],[ZONA DEFINITIVO]])," ")</f>
        <v>2546820800</v>
      </c>
      <c r="AT505" s="27">
        <f>(VLOOKUP(Tabla4[[#This Row],[SERVICIO 2025]],$J$2:$V$14,3,0)*Tabla4[[#This Row],[TOTAL COBERTURA]])+Tabla4[[#This Row],[VALOR FASE PREPARATORIA DE ALISTAMIENTO]]+Tabla4[[#This Row],[DOTACIÓN ÚNICA]]</f>
        <v>146655048</v>
      </c>
      <c r="AU505" s="35">
        <f>(VLOOKUP(Tabla4[[#This Row],[SERVICIO 2025]],$J$2:$V$14,3,0)*Tabla4[[#This Row],[TOTAL COBERTURA]])</f>
        <v>124795584</v>
      </c>
      <c r="AV505" s="35">
        <f>(VLOOKUP(Tabla4[[#This Row],[SERVICIO 2025]],$J$2:$V$14,3,0)*Tabla4[[#This Row],[TOTAL COBERTURA]])</f>
        <v>124795584</v>
      </c>
      <c r="AW505" s="35">
        <f>(VLOOKUP(Tabla4[[#This Row],[SERVICIO 2025]],$J$2:$V$14,3,0)*Tabla4[[#This Row],[TOTAL COBERTURA]])</f>
        <v>124795584</v>
      </c>
      <c r="AX505" s="35">
        <f>(VLOOKUP(Tabla4[[#This Row],[SERVICIO 2025]],$J$2:$V$14,3,0)*Tabla4[[#This Row],[TOTAL COBERTURA]])</f>
        <v>124795584</v>
      </c>
      <c r="AY505" s="35">
        <f>(VLOOKUP(Tabla4[[#This Row],[SERVICIO 2025]],$J$2:$V$14,3,0)*Tabla4[[#This Row],[TOTAL COBERTURA]])</f>
        <v>124795584</v>
      </c>
      <c r="AZ505" s="35">
        <f>(VLOOKUP(Tabla4[[#This Row],[SERVICIO 2025]],$J$2:$V$14,3,0)*Tabla4[[#This Row],[TOTAL COBERTURA]])</f>
        <v>124795584</v>
      </c>
      <c r="BA505" s="35">
        <f>(VLOOKUP(Tabla4[[#This Row],[SERVICIO 2025]],$J$2:$V$14,3,0)*Tabla4[[#This Row],[TOTAL COBERTURA]])+Tabla4[[#This Row],[VALOR FASE PREPARATORIA DE CIERRE]]</f>
        <v>143406248</v>
      </c>
      <c r="BB505" s="35">
        <f>SUM(Tabla4[[#This Row],[DESEMBOLSO 1]:[DESEMBOLSO 8]])</f>
        <v>1038834800</v>
      </c>
      <c r="BC505" s="35">
        <f>VLOOKUP(Tabla4[[#This Row],[SERVICIO 2025]],$J$2:$V$14,10,0)*Tabla4[[#This Row],[TOTAL COBERTURA]]*$W$3</f>
        <v>0</v>
      </c>
      <c r="BD505" s="47" t="s">
        <v>145</v>
      </c>
      <c r="BE505" s="12" t="b">
        <f>EXACT(Tabla4[[#This Row],[VALOR ATENCIÓN (8 MESES)]],Tabla4[[#This Row],[VALOR TOTAL]])</f>
        <v>1</v>
      </c>
      <c r="BF505" s="23">
        <f>Tabla4[[#This Row],[VALOR ATENCIÓN (8 MESES)]]-Tabla4[[#This Row],[VALOR TOTAL]]</f>
        <v>0</v>
      </c>
      <c r="BG505" s="12" t="b">
        <f>EXACT(Tabla4[[#This Row],[TOTAL DESEMBOLSOS]],Tabla4[[#This Row],[VALOR ATENCIÓN (8 MESES)]])</f>
        <v>1</v>
      </c>
      <c r="BH505" s="29">
        <f>Tabla4[[#This Row],[TOTAL DESEMBOLSOS]]-Tabla4[[#This Row],[VALOR ATENCIÓN (8 MESES)]]</f>
        <v>0</v>
      </c>
      <c r="BI505" t="s">
        <v>98</v>
      </c>
    </row>
    <row r="506" spans="1:62">
      <c r="A506" s="13">
        <v>1936</v>
      </c>
      <c r="B506" s="13" t="s">
        <v>1171</v>
      </c>
      <c r="C506" s="12" t="s">
        <v>87</v>
      </c>
      <c r="D506" s="12" t="s">
        <v>462</v>
      </c>
      <c r="E506" s="12" t="s">
        <v>1172</v>
      </c>
      <c r="F506" s="12" t="s">
        <v>14</v>
      </c>
      <c r="G506" s="12" t="s">
        <v>90</v>
      </c>
      <c r="H506" s="12" t="s">
        <v>1176</v>
      </c>
      <c r="I506" s="12">
        <v>51721118847</v>
      </c>
      <c r="J506" s="12" t="s">
        <v>1177</v>
      </c>
      <c r="K506" s="12">
        <v>1</v>
      </c>
      <c r="L506" s="12">
        <v>200</v>
      </c>
      <c r="M506" s="12"/>
      <c r="N506" s="13">
        <v>1936</v>
      </c>
      <c r="O506" s="12" t="s">
        <v>93</v>
      </c>
      <c r="P506" s="12"/>
      <c r="Q506" s="12"/>
      <c r="R506" s="12" t="s">
        <v>94</v>
      </c>
      <c r="S506" s="12">
        <v>10</v>
      </c>
      <c r="T506" s="12"/>
      <c r="U506" s="49" t="s">
        <v>1175</v>
      </c>
      <c r="V506" s="12">
        <f>VLOOKUP(Tabla4[[#This Row],[ZONA DEFINITIVO]],Hoja1!$A$1:$D$121,3,0)</f>
        <v>229105</v>
      </c>
      <c r="W506" s="12">
        <f>VLOOKUP(Tabla4[[#This Row],[ZONA DEFINITIVO]],Hoja1!$A$1:$D$121,2,0)</f>
        <v>15210</v>
      </c>
      <c r="X506" s="12">
        <f>VLOOKUP(Tabla4[[#This Row],[ZONA DEFINITIVO]],Hoja1!$A$1:$D$121,4,0)</f>
        <v>85925</v>
      </c>
      <c r="Y506" s="12" t="str">
        <f>+IF(Tabla4[[#This Row],[AGRUPACIONES]]=1,SUMIFS(Tabla4[UDS],Tabla4[ZONA DEFINITIVO],Tabla4[[#This Row],[ZONA DEFINITIVO]])," ")</f>
        <v xml:space="preserve"> </v>
      </c>
      <c r="Z506" s="12" t="str">
        <f>+IF(Tabla4[[#This Row],[AGRUPACIONES]]=1,SUMIFS(Tabla4[TOTAL COBERTURA],Tabla4[ZONA DEFINITIVO],Tabla4[[#This Row],[ZONA DEFINITIVO]])," ")</f>
        <v xml:space="preserve"> </v>
      </c>
      <c r="AA506" s="12"/>
      <c r="AB506" s="38">
        <v>837770000</v>
      </c>
      <c r="AC506" s="37">
        <v>0.02</v>
      </c>
      <c r="AD506" s="38">
        <f t="shared" si="8"/>
        <v>16755400</v>
      </c>
      <c r="AE506" s="12"/>
      <c r="AF506" s="12">
        <f>COUNTIF($A$20:A506,A506)</f>
        <v>2</v>
      </c>
      <c r="AG506" s="38">
        <v>837770000</v>
      </c>
      <c r="AH506" s="38">
        <f>Tabla4[[#This Row],[VALOR CONTRAPARTIDA]]+Tabla4[[#This Row],[TOTAL APORTES ICBF]]</f>
        <v>854525400</v>
      </c>
      <c r="AI506" s="35"/>
      <c r="AJ506" s="38"/>
      <c r="AK506" s="38"/>
      <c r="AL506" s="23"/>
      <c r="AM506" s="35">
        <f>VLOOKUP(Tabla4[[#This Row],[SERVICIO 2025]],$J$2:$V$14,5,0)*Tabla4[[#This Row],[TOTAL COBERTURA]]</f>
        <v>17628600</v>
      </c>
      <c r="AN506" s="35">
        <f>VLOOKUP(Tabla4[[#This Row],[SERVICIO 2025]],$J$2:$V$14,6,0)*Tabla4[[#This Row],[TOTAL COBERTURA]]</f>
        <v>15008600</v>
      </c>
      <c r="AO506" s="35">
        <f>VLOOKUP(Tabla4[[#This Row],[SERVICIO 2025]],$J$2:$V$14,8,0)*Tabla4[[#This Row],[TOTAL COBERTURA]]</f>
        <v>0</v>
      </c>
      <c r="AP506" s="35">
        <f>VLOOKUP(Tabla4[[#This Row],[SERVICIO 2025]],$J$2:$V$14,3,0)*Tabla4[[#This Row],[TOTAL COBERTURA]]*8</f>
        <v>805132800</v>
      </c>
      <c r="AQ506" s="35"/>
      <c r="AR506" s="35">
        <f>Tabla4[[#This Row],[VALOR FASE PREPARATORIA DE ALISTAMIENTO]]+Tabla4[[#This Row],[VALOR FASE PREPARATORIA DE CIERRE]]+Tabla4[[#This Row],[DOTACIÓN ÚNICA]]+Tabla4[[#This Row],[VALOR ATENCIÓN]]+Tabla4[[#This Row],[VALOR RACION PREPARADA]]</f>
        <v>837770000</v>
      </c>
      <c r="AS506" s="35" t="str">
        <f>+IF(Tabla4[[#This Row],[AGRUPACIONES]]=1,SUMIFS(Tabla4[VALOR TOTAL],Tabla4[ZONA DEFINITIVO],Tabla4[[#This Row],[ZONA DEFINITIVO]])," ")</f>
        <v xml:space="preserve"> </v>
      </c>
      <c r="AT506" s="27">
        <f>(VLOOKUP(Tabla4[[#This Row],[SERVICIO 2025]],$J$2:$V$14,3,0)*Tabla4[[#This Row],[TOTAL COBERTURA]])+Tabla4[[#This Row],[VALOR FASE PREPARATORIA DE ALISTAMIENTO]]+Tabla4[[#This Row],[DOTACIÓN ÚNICA]]</f>
        <v>118270200</v>
      </c>
      <c r="AU506" s="35">
        <f>(VLOOKUP(Tabla4[[#This Row],[SERVICIO 2025]],$J$2:$V$14,3,0)*Tabla4[[#This Row],[TOTAL COBERTURA]])</f>
        <v>100641600</v>
      </c>
      <c r="AV506" s="35">
        <f>(VLOOKUP(Tabla4[[#This Row],[SERVICIO 2025]],$J$2:$V$14,3,0)*Tabla4[[#This Row],[TOTAL COBERTURA]])</f>
        <v>100641600</v>
      </c>
      <c r="AW506" s="35">
        <f>(VLOOKUP(Tabla4[[#This Row],[SERVICIO 2025]],$J$2:$V$14,3,0)*Tabla4[[#This Row],[TOTAL COBERTURA]])</f>
        <v>100641600</v>
      </c>
      <c r="AX506" s="35">
        <f>(VLOOKUP(Tabla4[[#This Row],[SERVICIO 2025]],$J$2:$V$14,3,0)*Tabla4[[#This Row],[TOTAL COBERTURA]])</f>
        <v>100641600</v>
      </c>
      <c r="AY506" s="35">
        <f>(VLOOKUP(Tabla4[[#This Row],[SERVICIO 2025]],$J$2:$V$14,3,0)*Tabla4[[#This Row],[TOTAL COBERTURA]])</f>
        <v>100641600</v>
      </c>
      <c r="AZ506" s="35">
        <f>(VLOOKUP(Tabla4[[#This Row],[SERVICIO 2025]],$J$2:$V$14,3,0)*Tabla4[[#This Row],[TOTAL COBERTURA]])</f>
        <v>100641600</v>
      </c>
      <c r="BA506" s="35">
        <f>(VLOOKUP(Tabla4[[#This Row],[SERVICIO 2025]],$J$2:$V$14,3,0)*Tabla4[[#This Row],[TOTAL COBERTURA]])+Tabla4[[#This Row],[VALOR FASE PREPARATORIA DE CIERRE]]</f>
        <v>115650200</v>
      </c>
      <c r="BB506" s="35">
        <f>SUM(Tabla4[[#This Row],[DESEMBOLSO 1]:[DESEMBOLSO 8]])</f>
        <v>837770000</v>
      </c>
      <c r="BC506" s="35">
        <f>VLOOKUP(Tabla4[[#This Row],[SERVICIO 2025]],$J$2:$V$14,10,0)*Tabla4[[#This Row],[TOTAL COBERTURA]]*$W$3</f>
        <v>0</v>
      </c>
      <c r="BD506" s="47" t="s">
        <v>145</v>
      </c>
      <c r="BE506" s="12" t="b">
        <f>EXACT(Tabla4[[#This Row],[VALOR ATENCIÓN (8 MESES)]],Tabla4[[#This Row],[VALOR TOTAL]])</f>
        <v>1</v>
      </c>
      <c r="BF506" s="23">
        <f>Tabla4[[#This Row],[VALOR ATENCIÓN (8 MESES)]]-Tabla4[[#This Row],[VALOR TOTAL]]</f>
        <v>0</v>
      </c>
      <c r="BG506" s="12" t="b">
        <f>EXACT(Tabla4[[#This Row],[TOTAL DESEMBOLSOS]],Tabla4[[#This Row],[VALOR ATENCIÓN (8 MESES)]])</f>
        <v>1</v>
      </c>
      <c r="BH506" s="29">
        <f>Tabla4[[#This Row],[TOTAL DESEMBOLSOS]]-Tabla4[[#This Row],[VALOR ATENCIÓN (8 MESES)]]</f>
        <v>0</v>
      </c>
      <c r="BI506" t="s">
        <v>98</v>
      </c>
    </row>
    <row r="507" spans="1:62">
      <c r="A507" s="13">
        <v>1936</v>
      </c>
      <c r="B507" s="13" t="s">
        <v>1171</v>
      </c>
      <c r="C507" s="12" t="s">
        <v>87</v>
      </c>
      <c r="D507" s="12" t="s">
        <v>462</v>
      </c>
      <c r="E507" s="12" t="s">
        <v>1172</v>
      </c>
      <c r="F507" s="12" t="s">
        <v>14</v>
      </c>
      <c r="G507" s="12" t="s">
        <v>90</v>
      </c>
      <c r="H507" s="12" t="s">
        <v>1178</v>
      </c>
      <c r="I507" s="12">
        <v>517200111683</v>
      </c>
      <c r="J507" s="12" t="s">
        <v>1179</v>
      </c>
      <c r="K507" s="12">
        <v>1</v>
      </c>
      <c r="L507" s="12">
        <v>160</v>
      </c>
      <c r="M507" s="12"/>
      <c r="N507" s="13">
        <v>1936</v>
      </c>
      <c r="O507" s="12" t="s">
        <v>93</v>
      </c>
      <c r="P507" s="12"/>
      <c r="Q507" s="12"/>
      <c r="R507" s="12" t="s">
        <v>94</v>
      </c>
      <c r="S507" s="12">
        <v>10</v>
      </c>
      <c r="T507" s="12"/>
      <c r="U507" s="49" t="s">
        <v>1175</v>
      </c>
      <c r="V507" s="12">
        <f>VLOOKUP(Tabla4[[#This Row],[ZONA DEFINITIVO]],Hoja1!$A$1:$D$121,3,0)</f>
        <v>229105</v>
      </c>
      <c r="W507" s="12">
        <f>VLOOKUP(Tabla4[[#This Row],[ZONA DEFINITIVO]],Hoja1!$A$1:$D$121,2,0)</f>
        <v>15210</v>
      </c>
      <c r="X507" s="12">
        <f>VLOOKUP(Tabla4[[#This Row],[ZONA DEFINITIVO]],Hoja1!$A$1:$D$121,4,0)</f>
        <v>85925</v>
      </c>
      <c r="Y507" s="12" t="str">
        <f>+IF(Tabla4[[#This Row],[AGRUPACIONES]]=1,SUMIFS(Tabla4[UDS],Tabla4[ZONA DEFINITIVO],Tabla4[[#This Row],[ZONA DEFINITIVO]])," ")</f>
        <v xml:space="preserve"> </v>
      </c>
      <c r="Z507" s="12" t="str">
        <f>+IF(Tabla4[[#This Row],[AGRUPACIONES]]=1,SUMIFS(Tabla4[TOTAL COBERTURA],Tabla4[ZONA DEFINITIVO],Tabla4[[#This Row],[ZONA DEFINITIVO]])," ")</f>
        <v xml:space="preserve"> </v>
      </c>
      <c r="AA507" s="12"/>
      <c r="AB507" s="38">
        <v>670216000</v>
      </c>
      <c r="AC507" s="37">
        <v>0.02</v>
      </c>
      <c r="AD507" s="38">
        <f t="shared" si="8"/>
        <v>13404320</v>
      </c>
      <c r="AE507" s="12"/>
      <c r="AF507" s="12">
        <f>COUNTIF($A$20:A507,A507)</f>
        <v>3</v>
      </c>
      <c r="AG507" s="38">
        <v>670216000</v>
      </c>
      <c r="AH507" s="38">
        <f>Tabla4[[#This Row],[VALOR CONTRAPARTIDA]]+Tabla4[[#This Row],[TOTAL APORTES ICBF]]</f>
        <v>683620320</v>
      </c>
      <c r="AI507" s="35"/>
      <c r="AJ507" s="38"/>
      <c r="AK507" s="38"/>
      <c r="AL507" s="23"/>
      <c r="AM507" s="35">
        <f>VLOOKUP(Tabla4[[#This Row],[SERVICIO 2025]],$J$2:$V$14,5,0)*Tabla4[[#This Row],[TOTAL COBERTURA]]</f>
        <v>14102880</v>
      </c>
      <c r="AN507" s="35">
        <f>VLOOKUP(Tabla4[[#This Row],[SERVICIO 2025]],$J$2:$V$14,6,0)*Tabla4[[#This Row],[TOTAL COBERTURA]]</f>
        <v>12006880</v>
      </c>
      <c r="AO507" s="35">
        <f>VLOOKUP(Tabla4[[#This Row],[SERVICIO 2025]],$J$2:$V$14,8,0)*Tabla4[[#This Row],[TOTAL COBERTURA]]</f>
        <v>0</v>
      </c>
      <c r="AP507" s="35">
        <f>VLOOKUP(Tabla4[[#This Row],[SERVICIO 2025]],$J$2:$V$14,3,0)*Tabla4[[#This Row],[TOTAL COBERTURA]]*8</f>
        <v>644106240</v>
      </c>
      <c r="AQ507" s="35"/>
      <c r="AR507" s="35">
        <f>Tabla4[[#This Row],[VALOR FASE PREPARATORIA DE ALISTAMIENTO]]+Tabla4[[#This Row],[VALOR FASE PREPARATORIA DE CIERRE]]+Tabla4[[#This Row],[DOTACIÓN ÚNICA]]+Tabla4[[#This Row],[VALOR ATENCIÓN]]+Tabla4[[#This Row],[VALOR RACION PREPARADA]]</f>
        <v>670216000</v>
      </c>
      <c r="AS507" s="35" t="str">
        <f>+IF(Tabla4[[#This Row],[AGRUPACIONES]]=1,SUMIFS(Tabla4[VALOR TOTAL],Tabla4[ZONA DEFINITIVO],Tabla4[[#This Row],[ZONA DEFINITIVO]])," ")</f>
        <v xml:space="preserve"> </v>
      </c>
      <c r="AT507" s="27">
        <f>(VLOOKUP(Tabla4[[#This Row],[SERVICIO 2025]],$J$2:$V$14,3,0)*Tabla4[[#This Row],[TOTAL COBERTURA]])+Tabla4[[#This Row],[VALOR FASE PREPARATORIA DE ALISTAMIENTO]]+Tabla4[[#This Row],[DOTACIÓN ÚNICA]]</f>
        <v>94616160</v>
      </c>
      <c r="AU507" s="35">
        <f>(VLOOKUP(Tabla4[[#This Row],[SERVICIO 2025]],$J$2:$V$14,3,0)*Tabla4[[#This Row],[TOTAL COBERTURA]])</f>
        <v>80513280</v>
      </c>
      <c r="AV507" s="35">
        <f>(VLOOKUP(Tabla4[[#This Row],[SERVICIO 2025]],$J$2:$V$14,3,0)*Tabla4[[#This Row],[TOTAL COBERTURA]])</f>
        <v>80513280</v>
      </c>
      <c r="AW507" s="35">
        <f>(VLOOKUP(Tabla4[[#This Row],[SERVICIO 2025]],$J$2:$V$14,3,0)*Tabla4[[#This Row],[TOTAL COBERTURA]])</f>
        <v>80513280</v>
      </c>
      <c r="AX507" s="35">
        <f>(VLOOKUP(Tabla4[[#This Row],[SERVICIO 2025]],$J$2:$V$14,3,0)*Tabla4[[#This Row],[TOTAL COBERTURA]])</f>
        <v>80513280</v>
      </c>
      <c r="AY507" s="35">
        <f>(VLOOKUP(Tabla4[[#This Row],[SERVICIO 2025]],$J$2:$V$14,3,0)*Tabla4[[#This Row],[TOTAL COBERTURA]])</f>
        <v>80513280</v>
      </c>
      <c r="AZ507" s="35">
        <f>(VLOOKUP(Tabla4[[#This Row],[SERVICIO 2025]],$J$2:$V$14,3,0)*Tabla4[[#This Row],[TOTAL COBERTURA]])</f>
        <v>80513280</v>
      </c>
      <c r="BA507" s="35">
        <f>(VLOOKUP(Tabla4[[#This Row],[SERVICIO 2025]],$J$2:$V$14,3,0)*Tabla4[[#This Row],[TOTAL COBERTURA]])+Tabla4[[#This Row],[VALOR FASE PREPARATORIA DE CIERRE]]</f>
        <v>92520160</v>
      </c>
      <c r="BB507" s="35">
        <f>SUM(Tabla4[[#This Row],[DESEMBOLSO 1]:[DESEMBOLSO 8]])</f>
        <v>670216000</v>
      </c>
      <c r="BC507" s="35">
        <f>VLOOKUP(Tabla4[[#This Row],[SERVICIO 2025]],$J$2:$V$14,10,0)*Tabla4[[#This Row],[TOTAL COBERTURA]]*$W$3</f>
        <v>0</v>
      </c>
      <c r="BD507" s="47" t="s">
        <v>145</v>
      </c>
      <c r="BE507" s="12" t="b">
        <f>EXACT(Tabla4[[#This Row],[VALOR ATENCIÓN (8 MESES)]],Tabla4[[#This Row],[VALOR TOTAL]])</f>
        <v>1</v>
      </c>
      <c r="BF507" s="23">
        <f>Tabla4[[#This Row],[VALOR ATENCIÓN (8 MESES)]]-Tabla4[[#This Row],[VALOR TOTAL]]</f>
        <v>0</v>
      </c>
      <c r="BG507" s="12" t="b">
        <f>EXACT(Tabla4[[#This Row],[TOTAL DESEMBOLSOS]],Tabla4[[#This Row],[VALOR ATENCIÓN (8 MESES)]])</f>
        <v>1</v>
      </c>
      <c r="BH507" s="29">
        <f>Tabla4[[#This Row],[TOTAL DESEMBOLSOS]]-Tabla4[[#This Row],[VALOR ATENCIÓN (8 MESES)]]</f>
        <v>0</v>
      </c>
      <c r="BI507" t="s">
        <v>98</v>
      </c>
    </row>
    <row r="508" spans="1:62">
      <c r="A508" s="13">
        <v>1937</v>
      </c>
      <c r="B508" s="13" t="s">
        <v>1180</v>
      </c>
      <c r="C508" s="12" t="s">
        <v>87</v>
      </c>
      <c r="D508" s="12" t="s">
        <v>462</v>
      </c>
      <c r="E508" s="12" t="s">
        <v>1172</v>
      </c>
      <c r="F508" s="12" t="s">
        <v>18</v>
      </c>
      <c r="G508" s="12" t="s">
        <v>90</v>
      </c>
      <c r="H508" s="12" t="s">
        <v>1181</v>
      </c>
      <c r="I508" s="12">
        <v>51721113767</v>
      </c>
      <c r="J508" s="12" t="s">
        <v>1182</v>
      </c>
      <c r="K508" s="12">
        <v>1</v>
      </c>
      <c r="L508" s="12">
        <v>52</v>
      </c>
      <c r="M508" s="12"/>
      <c r="N508" s="13">
        <v>1937</v>
      </c>
      <c r="O508" s="12" t="s">
        <v>93</v>
      </c>
      <c r="P508" s="12"/>
      <c r="Q508" s="12"/>
      <c r="R508" s="12" t="s">
        <v>94</v>
      </c>
      <c r="S508" s="12">
        <v>10</v>
      </c>
      <c r="T508" s="12" t="s">
        <v>1183</v>
      </c>
      <c r="U508" s="12" t="s">
        <v>1184</v>
      </c>
      <c r="V508" s="12">
        <f>VLOOKUP(Tabla4[[#This Row],[ZONA DEFINITIVO]],Hoja1!$A$1:$D$121,3,0)</f>
        <v>229106</v>
      </c>
      <c r="W508" s="12">
        <f>VLOOKUP(Tabla4[[#This Row],[ZONA DEFINITIVO]],Hoja1!$A$1:$D$121,2,0)</f>
        <v>15197</v>
      </c>
      <c r="X508" s="12">
        <f>VLOOKUP(Tabla4[[#This Row],[ZONA DEFINITIVO]],Hoja1!$A$1:$D$121,4,0)</f>
        <v>83225</v>
      </c>
      <c r="Y508" s="12">
        <f>+IF(Tabla4[[#This Row],[AGRUPACIONES]]=1,SUMIFS(Tabla4[UDS],Tabla4[ZONA DEFINITIVO],Tabla4[[#This Row],[ZONA DEFINITIVO]])," ")</f>
        <v>32</v>
      </c>
      <c r="Z508" s="12">
        <f>+IF(Tabla4[[#This Row],[AGRUPACIONES]]=1,SUMIFS(Tabla4[TOTAL COBERTURA],Tabla4[ZONA DEFINITIVO],Tabla4[[#This Row],[ZONA DEFINITIVO]])," ")</f>
        <v>1027</v>
      </c>
      <c r="AA508" s="12"/>
      <c r="AB508" s="38">
        <v>113370036</v>
      </c>
      <c r="AC508" s="37">
        <v>0.02</v>
      </c>
      <c r="AD508" s="38">
        <f t="shared" si="8"/>
        <v>2267400.7200000002</v>
      </c>
      <c r="AE508" s="12"/>
      <c r="AF508" s="12">
        <f>COUNTIF($A$20:A508,A508)</f>
        <v>1</v>
      </c>
      <c r="AG508" s="38">
        <v>113370036</v>
      </c>
      <c r="AH508" s="38">
        <f>Tabla4[[#This Row],[VALOR CONTRAPARTIDA]]+Tabla4[[#This Row],[TOTAL APORTES ICBF]]</f>
        <v>115637436.72</v>
      </c>
      <c r="AI508" s="35">
        <f>ROUND(+IF(Tabla4[[#This Row],[AGRUPACIONES]]=1,SUMIFS(Tabla4[TOTAL APORTES ICBF],Tabla4[ZONA DEFINITIVO],Tabla4[[#This Row],[ZONA DEFINITIVO]])," "),0)</f>
        <v>2239058211</v>
      </c>
      <c r="AJ508" s="38">
        <f>ROUND(+IF(Tabla4[[#This Row],[AGRUPACIONES]]=1,SUMIFS(Tabla4[VALOR CONTRAPARTIDA],Tabla4[ZONA DEFINITIVO],Tabla4[[#This Row],[ZONA DEFINITIVO]])," "),0)</f>
        <v>44781164</v>
      </c>
      <c r="AK508" s="38">
        <f>Tabla4[[#This Row],[TOTAL APORTES ICBF AGRUPADO]]+Tabla4[[#This Row],[TOTAL CONTRAPARTIDA AGRUPADO]]</f>
        <v>2283839375</v>
      </c>
      <c r="AL508" s="23">
        <f>Tabla4[[#This Row],[TOTAL APORTES ICBF AGRUPADO]]/$AL$18</f>
        <v>1572.9246301369863</v>
      </c>
      <c r="AM508" s="35">
        <f>VLOOKUP(Tabla4[[#This Row],[SERVICIO 2025]],$J$2:$V$14,5,0)*Tabla4[[#This Row],[TOTAL COBERTURA]]</f>
        <v>2567552</v>
      </c>
      <c r="AN508" s="35">
        <f>VLOOKUP(Tabla4[[#This Row],[SERVICIO 2025]],$J$2:$V$14,6,0)*Tabla4[[#This Row],[TOTAL COBERTURA]]</f>
        <v>2133508</v>
      </c>
      <c r="AO508" s="35">
        <f>VLOOKUP(Tabla4[[#This Row],[SERVICIO 2025]],$J$2:$V$14,8,0)*Tabla4[[#This Row],[TOTAL COBERTURA]]</f>
        <v>1513200</v>
      </c>
      <c r="AP508" s="35">
        <f>VLOOKUP(Tabla4[[#This Row],[SERVICIO 2025]],$J$2:$V$14,3,0)*Tabla4[[#This Row],[TOTAL COBERTURA]]*8</f>
        <v>107155776</v>
      </c>
      <c r="AQ508" s="35"/>
      <c r="AR508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508" s="35">
        <f>+IF(Tabla4[[#This Row],[AGRUPACIONES]]=1,SUMIFS(Tabla4[VALOR TOTAL],Tabla4[ZONA DEFINITIVO],Tabla4[[#This Row],[ZONA DEFINITIVO]])," ")</f>
        <v>2239058211</v>
      </c>
      <c r="AT508" s="27">
        <f>(VLOOKUP(Tabla4[[#This Row],[SERVICIO 2025]],$J$2:$V$14,3,0)*Tabla4[[#This Row],[TOTAL COBERTURA]])+Tabla4[[#This Row],[VALOR FASE PREPARATORIA DE ALISTAMIENTO]]+Tabla4[[#This Row],[DOTACIÓN ÚNICA]]</f>
        <v>17475224</v>
      </c>
      <c r="AU508" s="35">
        <f>(VLOOKUP(Tabla4[[#This Row],[SERVICIO 2025]],$J$2:$V$14,3,0)*Tabla4[[#This Row],[TOTAL COBERTURA]])</f>
        <v>13394472</v>
      </c>
      <c r="AV508" s="35">
        <f>(VLOOKUP(Tabla4[[#This Row],[SERVICIO 2025]],$J$2:$V$14,3,0)*Tabla4[[#This Row],[TOTAL COBERTURA]])</f>
        <v>13394472</v>
      </c>
      <c r="AW508" s="35">
        <f>(VLOOKUP(Tabla4[[#This Row],[SERVICIO 2025]],$J$2:$V$14,3,0)*Tabla4[[#This Row],[TOTAL COBERTURA]])</f>
        <v>13394472</v>
      </c>
      <c r="AX508" s="35">
        <f>(VLOOKUP(Tabla4[[#This Row],[SERVICIO 2025]],$J$2:$V$14,3,0)*Tabla4[[#This Row],[TOTAL COBERTURA]])</f>
        <v>13394472</v>
      </c>
      <c r="AY508" s="35">
        <f>(VLOOKUP(Tabla4[[#This Row],[SERVICIO 2025]],$J$2:$V$14,3,0)*Tabla4[[#This Row],[TOTAL COBERTURA]])</f>
        <v>13394472</v>
      </c>
      <c r="AZ508" s="35">
        <f>(VLOOKUP(Tabla4[[#This Row],[SERVICIO 2025]],$J$2:$V$14,3,0)*Tabla4[[#This Row],[TOTAL COBERTURA]])</f>
        <v>13394472</v>
      </c>
      <c r="BA508" s="35">
        <f>(VLOOKUP(Tabla4[[#This Row],[SERVICIO 2025]],$J$2:$V$14,3,0)*Tabla4[[#This Row],[TOTAL COBERTURA]])+Tabla4[[#This Row],[VALOR FASE PREPARATORIA DE CIERRE]]</f>
        <v>15527980</v>
      </c>
      <c r="BB508" s="35">
        <f>SUM(Tabla4[[#This Row],[DESEMBOLSO 1]:[DESEMBOLSO 8]])</f>
        <v>113370036</v>
      </c>
      <c r="BC508" s="35">
        <f>VLOOKUP(Tabla4[[#This Row],[SERVICIO 2025]],$J$2:$V$14,10,0)*Tabla4[[#This Row],[TOTAL COBERTURA]]*$W$3</f>
        <v>75039328</v>
      </c>
      <c r="BD508" s="47" t="s">
        <v>211</v>
      </c>
      <c r="BE508" s="12" t="b">
        <f>EXACT(Tabla4[[#This Row],[VALOR ATENCIÓN (8 MESES)]],Tabla4[[#This Row],[VALOR TOTAL]])</f>
        <v>1</v>
      </c>
      <c r="BF508" s="23">
        <f>Tabla4[[#This Row],[VALOR ATENCIÓN (8 MESES)]]-Tabla4[[#This Row],[VALOR TOTAL]]</f>
        <v>0</v>
      </c>
      <c r="BG508" s="12" t="b">
        <f>EXACT(Tabla4[[#This Row],[TOTAL DESEMBOLSOS]],Tabla4[[#This Row],[VALOR ATENCIÓN (8 MESES)]])</f>
        <v>1</v>
      </c>
      <c r="BH508" s="29">
        <f>Tabla4[[#This Row],[TOTAL DESEMBOLSOS]]-Tabla4[[#This Row],[VALOR ATENCIÓN (8 MESES)]]</f>
        <v>0</v>
      </c>
      <c r="BI508" t="s">
        <v>98</v>
      </c>
      <c r="BJ508">
        <v>1937</v>
      </c>
    </row>
    <row r="509" spans="1:62">
      <c r="A509" s="13">
        <v>1937</v>
      </c>
      <c r="B509" s="13" t="s">
        <v>1180</v>
      </c>
      <c r="C509" s="12" t="s">
        <v>87</v>
      </c>
      <c r="D509" s="12" t="s">
        <v>462</v>
      </c>
      <c r="E509" s="12" t="s">
        <v>1172</v>
      </c>
      <c r="F509" s="12" t="s">
        <v>18</v>
      </c>
      <c r="G509" s="12" t="s">
        <v>90</v>
      </c>
      <c r="H509" s="12" t="s">
        <v>1185</v>
      </c>
      <c r="I509" s="12">
        <v>51721113857</v>
      </c>
      <c r="J509" s="12" t="s">
        <v>1186</v>
      </c>
      <c r="K509" s="12">
        <v>1</v>
      </c>
      <c r="L509" s="12">
        <v>52</v>
      </c>
      <c r="M509" s="12"/>
      <c r="N509" s="13">
        <v>1937</v>
      </c>
      <c r="O509" s="12" t="s">
        <v>93</v>
      </c>
      <c r="P509" s="12"/>
      <c r="Q509" s="12"/>
      <c r="R509" s="12" t="s">
        <v>94</v>
      </c>
      <c r="S509" s="12">
        <v>10</v>
      </c>
      <c r="T509" s="12" t="s">
        <v>1183</v>
      </c>
      <c r="U509" s="12" t="s">
        <v>1184</v>
      </c>
      <c r="V509" s="12">
        <f>VLOOKUP(Tabla4[[#This Row],[ZONA DEFINITIVO]],Hoja1!$A$1:$D$121,3,0)</f>
        <v>229106</v>
      </c>
      <c r="W509" s="12">
        <f>VLOOKUP(Tabla4[[#This Row],[ZONA DEFINITIVO]],Hoja1!$A$1:$D$121,2,0)</f>
        <v>15197</v>
      </c>
      <c r="X509" s="12">
        <f>VLOOKUP(Tabla4[[#This Row],[ZONA DEFINITIVO]],Hoja1!$A$1:$D$121,4,0)</f>
        <v>83225</v>
      </c>
      <c r="Y509" s="12" t="str">
        <f>+IF(Tabla4[[#This Row],[AGRUPACIONES]]=1,SUMIFS(Tabla4[UDS],Tabla4[ZONA DEFINITIVO],Tabla4[[#This Row],[ZONA DEFINITIVO]])," ")</f>
        <v xml:space="preserve"> </v>
      </c>
      <c r="Z509" s="12" t="str">
        <f>+IF(Tabla4[[#This Row],[AGRUPACIONES]]=1,SUMIFS(Tabla4[TOTAL COBERTURA],Tabla4[ZONA DEFINITIVO],Tabla4[[#This Row],[ZONA DEFINITIVO]])," ")</f>
        <v xml:space="preserve"> </v>
      </c>
      <c r="AA509" s="12"/>
      <c r="AB509" s="38">
        <v>113370036</v>
      </c>
      <c r="AC509" s="37">
        <v>0.02</v>
      </c>
      <c r="AD509" s="38">
        <f t="shared" si="8"/>
        <v>2267400.7200000002</v>
      </c>
      <c r="AE509" s="12"/>
      <c r="AF509" s="12">
        <f>COUNTIF($A$20:A509,A509)</f>
        <v>2</v>
      </c>
      <c r="AG509" s="38">
        <v>113370036</v>
      </c>
      <c r="AH509" s="38">
        <f>Tabla4[[#This Row],[VALOR CONTRAPARTIDA]]+Tabla4[[#This Row],[TOTAL APORTES ICBF]]</f>
        <v>115637436.72</v>
      </c>
      <c r="AI509" s="35"/>
      <c r="AJ509" s="38"/>
      <c r="AK509" s="38"/>
      <c r="AL509" s="23"/>
      <c r="AM509" s="35">
        <f>VLOOKUP(Tabla4[[#This Row],[SERVICIO 2025]],$J$2:$V$14,5,0)*Tabla4[[#This Row],[TOTAL COBERTURA]]</f>
        <v>2567552</v>
      </c>
      <c r="AN509" s="35">
        <f>VLOOKUP(Tabla4[[#This Row],[SERVICIO 2025]],$J$2:$V$14,6,0)*Tabla4[[#This Row],[TOTAL COBERTURA]]</f>
        <v>2133508</v>
      </c>
      <c r="AO509" s="35">
        <f>VLOOKUP(Tabla4[[#This Row],[SERVICIO 2025]],$J$2:$V$14,8,0)*Tabla4[[#This Row],[TOTAL COBERTURA]]</f>
        <v>1513200</v>
      </c>
      <c r="AP509" s="35">
        <f>VLOOKUP(Tabla4[[#This Row],[SERVICIO 2025]],$J$2:$V$14,3,0)*Tabla4[[#This Row],[TOTAL COBERTURA]]*8</f>
        <v>107155776</v>
      </c>
      <c r="AQ509" s="35"/>
      <c r="AR509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509" s="35" t="str">
        <f>+IF(Tabla4[[#This Row],[AGRUPACIONES]]=1,SUMIFS(Tabla4[VALOR TOTAL],Tabla4[ZONA DEFINITIVO],Tabla4[[#This Row],[ZONA DEFINITIVO]])," ")</f>
        <v xml:space="preserve"> </v>
      </c>
      <c r="AT509" s="27">
        <f>(VLOOKUP(Tabla4[[#This Row],[SERVICIO 2025]],$J$2:$V$14,3,0)*Tabla4[[#This Row],[TOTAL COBERTURA]])+Tabla4[[#This Row],[VALOR FASE PREPARATORIA DE ALISTAMIENTO]]+Tabla4[[#This Row],[DOTACIÓN ÚNICA]]</f>
        <v>17475224</v>
      </c>
      <c r="AU509" s="35">
        <f>(VLOOKUP(Tabla4[[#This Row],[SERVICIO 2025]],$J$2:$V$14,3,0)*Tabla4[[#This Row],[TOTAL COBERTURA]])</f>
        <v>13394472</v>
      </c>
      <c r="AV509" s="35">
        <f>(VLOOKUP(Tabla4[[#This Row],[SERVICIO 2025]],$J$2:$V$14,3,0)*Tabla4[[#This Row],[TOTAL COBERTURA]])</f>
        <v>13394472</v>
      </c>
      <c r="AW509" s="35">
        <f>(VLOOKUP(Tabla4[[#This Row],[SERVICIO 2025]],$J$2:$V$14,3,0)*Tabla4[[#This Row],[TOTAL COBERTURA]])</f>
        <v>13394472</v>
      </c>
      <c r="AX509" s="35">
        <f>(VLOOKUP(Tabla4[[#This Row],[SERVICIO 2025]],$J$2:$V$14,3,0)*Tabla4[[#This Row],[TOTAL COBERTURA]])</f>
        <v>13394472</v>
      </c>
      <c r="AY509" s="35">
        <f>(VLOOKUP(Tabla4[[#This Row],[SERVICIO 2025]],$J$2:$V$14,3,0)*Tabla4[[#This Row],[TOTAL COBERTURA]])</f>
        <v>13394472</v>
      </c>
      <c r="AZ509" s="35">
        <f>(VLOOKUP(Tabla4[[#This Row],[SERVICIO 2025]],$J$2:$V$14,3,0)*Tabla4[[#This Row],[TOTAL COBERTURA]])</f>
        <v>13394472</v>
      </c>
      <c r="BA509" s="35">
        <f>(VLOOKUP(Tabla4[[#This Row],[SERVICIO 2025]],$J$2:$V$14,3,0)*Tabla4[[#This Row],[TOTAL COBERTURA]])+Tabla4[[#This Row],[VALOR FASE PREPARATORIA DE CIERRE]]</f>
        <v>15527980</v>
      </c>
      <c r="BB509" s="35">
        <f>SUM(Tabla4[[#This Row],[DESEMBOLSO 1]:[DESEMBOLSO 8]])</f>
        <v>113370036</v>
      </c>
      <c r="BC509" s="35">
        <f>VLOOKUP(Tabla4[[#This Row],[SERVICIO 2025]],$J$2:$V$14,10,0)*Tabla4[[#This Row],[TOTAL COBERTURA]]*$W$3</f>
        <v>75039328</v>
      </c>
      <c r="BD509" s="47" t="s">
        <v>211</v>
      </c>
      <c r="BE509" s="12" t="b">
        <f>EXACT(Tabla4[[#This Row],[VALOR ATENCIÓN (8 MESES)]],Tabla4[[#This Row],[VALOR TOTAL]])</f>
        <v>1</v>
      </c>
      <c r="BF509" s="23">
        <f>Tabla4[[#This Row],[VALOR ATENCIÓN (8 MESES)]]-Tabla4[[#This Row],[VALOR TOTAL]]</f>
        <v>0</v>
      </c>
      <c r="BG509" s="12" t="b">
        <f>EXACT(Tabla4[[#This Row],[TOTAL DESEMBOLSOS]],Tabla4[[#This Row],[VALOR ATENCIÓN (8 MESES)]])</f>
        <v>1</v>
      </c>
      <c r="BH509" s="29">
        <f>Tabla4[[#This Row],[TOTAL DESEMBOLSOS]]-Tabla4[[#This Row],[VALOR ATENCIÓN (8 MESES)]]</f>
        <v>0</v>
      </c>
      <c r="BI509" t="s">
        <v>98</v>
      </c>
      <c r="BJ509">
        <v>1937</v>
      </c>
    </row>
    <row r="510" spans="1:62">
      <c r="A510" s="13">
        <v>1937</v>
      </c>
      <c r="B510" s="13" t="s">
        <v>1180</v>
      </c>
      <c r="C510" s="12" t="s">
        <v>87</v>
      </c>
      <c r="D510" s="12" t="s">
        <v>462</v>
      </c>
      <c r="E510" s="12" t="s">
        <v>1172</v>
      </c>
      <c r="F510" s="12" t="s">
        <v>18</v>
      </c>
      <c r="G510" s="12" t="s">
        <v>90</v>
      </c>
      <c r="H510" s="12" t="s">
        <v>1187</v>
      </c>
      <c r="I510" s="12">
        <v>51721113876</v>
      </c>
      <c r="J510" s="12" t="s">
        <v>1188</v>
      </c>
      <c r="K510" s="12">
        <v>1</v>
      </c>
      <c r="L510" s="12">
        <v>52</v>
      </c>
      <c r="M510" s="12"/>
      <c r="N510" s="13">
        <v>1937</v>
      </c>
      <c r="O510" s="12" t="s">
        <v>93</v>
      </c>
      <c r="P510" s="12"/>
      <c r="Q510" s="12"/>
      <c r="R510" s="12" t="s">
        <v>94</v>
      </c>
      <c r="S510" s="12">
        <v>10</v>
      </c>
      <c r="T510" s="12" t="s">
        <v>1183</v>
      </c>
      <c r="U510" s="12" t="s">
        <v>1184</v>
      </c>
      <c r="V510" s="12">
        <f>VLOOKUP(Tabla4[[#This Row],[ZONA DEFINITIVO]],Hoja1!$A$1:$D$121,3,0)</f>
        <v>229106</v>
      </c>
      <c r="W510" s="12">
        <f>VLOOKUP(Tabla4[[#This Row],[ZONA DEFINITIVO]],Hoja1!$A$1:$D$121,2,0)</f>
        <v>15197</v>
      </c>
      <c r="X510" s="12">
        <f>VLOOKUP(Tabla4[[#This Row],[ZONA DEFINITIVO]],Hoja1!$A$1:$D$121,4,0)</f>
        <v>83225</v>
      </c>
      <c r="Y510" s="12" t="str">
        <f>+IF(Tabla4[[#This Row],[AGRUPACIONES]]=1,SUMIFS(Tabla4[UDS],Tabla4[ZONA DEFINITIVO],Tabla4[[#This Row],[ZONA DEFINITIVO]])," ")</f>
        <v xml:space="preserve"> </v>
      </c>
      <c r="Z510" s="12" t="str">
        <f>+IF(Tabla4[[#This Row],[AGRUPACIONES]]=1,SUMIFS(Tabla4[TOTAL COBERTURA],Tabla4[ZONA DEFINITIVO],Tabla4[[#This Row],[ZONA DEFINITIVO]])," ")</f>
        <v xml:space="preserve"> </v>
      </c>
      <c r="AA510" s="12"/>
      <c r="AB510" s="38">
        <v>113370036</v>
      </c>
      <c r="AC510" s="37">
        <v>0.02</v>
      </c>
      <c r="AD510" s="38">
        <f t="shared" si="8"/>
        <v>2267400.7200000002</v>
      </c>
      <c r="AE510" s="12"/>
      <c r="AF510" s="12">
        <f>COUNTIF($A$20:A510,A510)</f>
        <v>3</v>
      </c>
      <c r="AG510" s="38">
        <v>113370036</v>
      </c>
      <c r="AH510" s="38">
        <f>Tabla4[[#This Row],[VALOR CONTRAPARTIDA]]+Tabla4[[#This Row],[TOTAL APORTES ICBF]]</f>
        <v>115637436.72</v>
      </c>
      <c r="AI510" s="35"/>
      <c r="AJ510" s="38"/>
      <c r="AK510" s="38"/>
      <c r="AL510" s="23"/>
      <c r="AM510" s="35">
        <f>VLOOKUP(Tabla4[[#This Row],[SERVICIO 2025]],$J$2:$V$14,5,0)*Tabla4[[#This Row],[TOTAL COBERTURA]]</f>
        <v>2567552</v>
      </c>
      <c r="AN510" s="35">
        <f>VLOOKUP(Tabla4[[#This Row],[SERVICIO 2025]],$J$2:$V$14,6,0)*Tabla4[[#This Row],[TOTAL COBERTURA]]</f>
        <v>2133508</v>
      </c>
      <c r="AO510" s="35">
        <f>VLOOKUP(Tabla4[[#This Row],[SERVICIO 2025]],$J$2:$V$14,8,0)*Tabla4[[#This Row],[TOTAL COBERTURA]]</f>
        <v>1513200</v>
      </c>
      <c r="AP510" s="35">
        <f>VLOOKUP(Tabla4[[#This Row],[SERVICIO 2025]],$J$2:$V$14,3,0)*Tabla4[[#This Row],[TOTAL COBERTURA]]*8</f>
        <v>107155776</v>
      </c>
      <c r="AQ510" s="35"/>
      <c r="AR510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510" s="35" t="str">
        <f>+IF(Tabla4[[#This Row],[AGRUPACIONES]]=1,SUMIFS(Tabla4[VALOR TOTAL],Tabla4[ZONA DEFINITIVO],Tabla4[[#This Row],[ZONA DEFINITIVO]])," ")</f>
        <v xml:space="preserve"> </v>
      </c>
      <c r="AT510" s="27">
        <f>(VLOOKUP(Tabla4[[#This Row],[SERVICIO 2025]],$J$2:$V$14,3,0)*Tabla4[[#This Row],[TOTAL COBERTURA]])+Tabla4[[#This Row],[VALOR FASE PREPARATORIA DE ALISTAMIENTO]]+Tabla4[[#This Row],[DOTACIÓN ÚNICA]]</f>
        <v>17475224</v>
      </c>
      <c r="AU510" s="35">
        <f>(VLOOKUP(Tabla4[[#This Row],[SERVICIO 2025]],$J$2:$V$14,3,0)*Tabla4[[#This Row],[TOTAL COBERTURA]])</f>
        <v>13394472</v>
      </c>
      <c r="AV510" s="35">
        <f>(VLOOKUP(Tabla4[[#This Row],[SERVICIO 2025]],$J$2:$V$14,3,0)*Tabla4[[#This Row],[TOTAL COBERTURA]])</f>
        <v>13394472</v>
      </c>
      <c r="AW510" s="35">
        <f>(VLOOKUP(Tabla4[[#This Row],[SERVICIO 2025]],$J$2:$V$14,3,0)*Tabla4[[#This Row],[TOTAL COBERTURA]])</f>
        <v>13394472</v>
      </c>
      <c r="AX510" s="35">
        <f>(VLOOKUP(Tabla4[[#This Row],[SERVICIO 2025]],$J$2:$V$14,3,0)*Tabla4[[#This Row],[TOTAL COBERTURA]])</f>
        <v>13394472</v>
      </c>
      <c r="AY510" s="35">
        <f>(VLOOKUP(Tabla4[[#This Row],[SERVICIO 2025]],$J$2:$V$14,3,0)*Tabla4[[#This Row],[TOTAL COBERTURA]])</f>
        <v>13394472</v>
      </c>
      <c r="AZ510" s="35">
        <f>(VLOOKUP(Tabla4[[#This Row],[SERVICIO 2025]],$J$2:$V$14,3,0)*Tabla4[[#This Row],[TOTAL COBERTURA]])</f>
        <v>13394472</v>
      </c>
      <c r="BA510" s="35">
        <f>(VLOOKUP(Tabla4[[#This Row],[SERVICIO 2025]],$J$2:$V$14,3,0)*Tabla4[[#This Row],[TOTAL COBERTURA]])+Tabla4[[#This Row],[VALOR FASE PREPARATORIA DE CIERRE]]</f>
        <v>15527980</v>
      </c>
      <c r="BB510" s="35">
        <f>SUM(Tabla4[[#This Row],[DESEMBOLSO 1]:[DESEMBOLSO 8]])</f>
        <v>113370036</v>
      </c>
      <c r="BC510" s="35">
        <f>VLOOKUP(Tabla4[[#This Row],[SERVICIO 2025]],$J$2:$V$14,10,0)*Tabla4[[#This Row],[TOTAL COBERTURA]]*$W$3</f>
        <v>75039328</v>
      </c>
      <c r="BD510" s="47" t="s">
        <v>211</v>
      </c>
      <c r="BE510" s="12" t="b">
        <f>EXACT(Tabla4[[#This Row],[VALOR ATENCIÓN (8 MESES)]],Tabla4[[#This Row],[VALOR TOTAL]])</f>
        <v>1</v>
      </c>
      <c r="BF510" s="23">
        <f>Tabla4[[#This Row],[VALOR ATENCIÓN (8 MESES)]]-Tabla4[[#This Row],[VALOR TOTAL]]</f>
        <v>0</v>
      </c>
      <c r="BG510" s="12" t="b">
        <f>EXACT(Tabla4[[#This Row],[TOTAL DESEMBOLSOS]],Tabla4[[#This Row],[VALOR ATENCIÓN (8 MESES)]])</f>
        <v>1</v>
      </c>
      <c r="BH510" s="29">
        <f>Tabla4[[#This Row],[TOTAL DESEMBOLSOS]]-Tabla4[[#This Row],[VALOR ATENCIÓN (8 MESES)]]</f>
        <v>0</v>
      </c>
      <c r="BI510" t="s">
        <v>98</v>
      </c>
      <c r="BJ510">
        <v>1937</v>
      </c>
    </row>
    <row r="511" spans="1:62">
      <c r="A511" s="13">
        <v>1937</v>
      </c>
      <c r="B511" s="13" t="s">
        <v>1180</v>
      </c>
      <c r="C511" s="12" t="s">
        <v>87</v>
      </c>
      <c r="D511" s="12" t="s">
        <v>462</v>
      </c>
      <c r="E511" s="12" t="s">
        <v>1172</v>
      </c>
      <c r="F511" s="12" t="s">
        <v>18</v>
      </c>
      <c r="G511" s="12" t="s">
        <v>90</v>
      </c>
      <c r="H511" s="12" t="s">
        <v>1189</v>
      </c>
      <c r="I511" s="12">
        <v>51721113891</v>
      </c>
      <c r="J511" s="12" t="s">
        <v>1190</v>
      </c>
      <c r="K511" s="12">
        <v>1</v>
      </c>
      <c r="L511" s="12">
        <v>52</v>
      </c>
      <c r="M511" s="12"/>
      <c r="N511" s="13">
        <v>1937</v>
      </c>
      <c r="O511" s="12" t="s">
        <v>93</v>
      </c>
      <c r="P511" s="12"/>
      <c r="Q511" s="12"/>
      <c r="R511" s="12" t="s">
        <v>94</v>
      </c>
      <c r="S511" s="12">
        <v>10</v>
      </c>
      <c r="T511" s="12" t="s">
        <v>1183</v>
      </c>
      <c r="U511" s="12" t="s">
        <v>1184</v>
      </c>
      <c r="V511" s="12">
        <f>VLOOKUP(Tabla4[[#This Row],[ZONA DEFINITIVO]],Hoja1!$A$1:$D$121,3,0)</f>
        <v>229106</v>
      </c>
      <c r="W511" s="12">
        <f>VLOOKUP(Tabla4[[#This Row],[ZONA DEFINITIVO]],Hoja1!$A$1:$D$121,2,0)</f>
        <v>15197</v>
      </c>
      <c r="X511" s="12">
        <f>VLOOKUP(Tabla4[[#This Row],[ZONA DEFINITIVO]],Hoja1!$A$1:$D$121,4,0)</f>
        <v>83225</v>
      </c>
      <c r="Y511" s="12" t="str">
        <f>+IF(Tabla4[[#This Row],[AGRUPACIONES]]=1,SUMIFS(Tabla4[UDS],Tabla4[ZONA DEFINITIVO],Tabla4[[#This Row],[ZONA DEFINITIVO]])," ")</f>
        <v xml:space="preserve"> </v>
      </c>
      <c r="Z511" s="12" t="str">
        <f>+IF(Tabla4[[#This Row],[AGRUPACIONES]]=1,SUMIFS(Tabla4[TOTAL COBERTURA],Tabla4[ZONA DEFINITIVO],Tabla4[[#This Row],[ZONA DEFINITIVO]])," ")</f>
        <v xml:space="preserve"> </v>
      </c>
      <c r="AA511" s="12"/>
      <c r="AB511" s="38">
        <v>113370036</v>
      </c>
      <c r="AC511" s="37">
        <v>0.02</v>
      </c>
      <c r="AD511" s="38">
        <f t="shared" si="8"/>
        <v>2267400.7200000002</v>
      </c>
      <c r="AE511" s="12"/>
      <c r="AF511" s="12">
        <f>COUNTIF($A$20:A511,A511)</f>
        <v>4</v>
      </c>
      <c r="AG511" s="38">
        <v>113370036</v>
      </c>
      <c r="AH511" s="38">
        <f>Tabla4[[#This Row],[VALOR CONTRAPARTIDA]]+Tabla4[[#This Row],[TOTAL APORTES ICBF]]</f>
        <v>115637436.72</v>
      </c>
      <c r="AI511" s="35"/>
      <c r="AJ511" s="38"/>
      <c r="AK511" s="38"/>
      <c r="AL511" s="23"/>
      <c r="AM511" s="35">
        <f>VLOOKUP(Tabla4[[#This Row],[SERVICIO 2025]],$J$2:$V$14,5,0)*Tabla4[[#This Row],[TOTAL COBERTURA]]</f>
        <v>2567552</v>
      </c>
      <c r="AN511" s="35">
        <f>VLOOKUP(Tabla4[[#This Row],[SERVICIO 2025]],$J$2:$V$14,6,0)*Tabla4[[#This Row],[TOTAL COBERTURA]]</f>
        <v>2133508</v>
      </c>
      <c r="AO511" s="35">
        <f>VLOOKUP(Tabla4[[#This Row],[SERVICIO 2025]],$J$2:$V$14,8,0)*Tabla4[[#This Row],[TOTAL COBERTURA]]</f>
        <v>1513200</v>
      </c>
      <c r="AP511" s="35">
        <f>VLOOKUP(Tabla4[[#This Row],[SERVICIO 2025]],$J$2:$V$14,3,0)*Tabla4[[#This Row],[TOTAL COBERTURA]]*8</f>
        <v>107155776</v>
      </c>
      <c r="AQ511" s="35"/>
      <c r="AR511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511" s="35" t="str">
        <f>+IF(Tabla4[[#This Row],[AGRUPACIONES]]=1,SUMIFS(Tabla4[VALOR TOTAL],Tabla4[ZONA DEFINITIVO],Tabla4[[#This Row],[ZONA DEFINITIVO]])," ")</f>
        <v xml:space="preserve"> </v>
      </c>
      <c r="AT511" s="27">
        <f>(VLOOKUP(Tabla4[[#This Row],[SERVICIO 2025]],$J$2:$V$14,3,0)*Tabla4[[#This Row],[TOTAL COBERTURA]])+Tabla4[[#This Row],[VALOR FASE PREPARATORIA DE ALISTAMIENTO]]+Tabla4[[#This Row],[DOTACIÓN ÚNICA]]</f>
        <v>17475224</v>
      </c>
      <c r="AU511" s="35">
        <f>(VLOOKUP(Tabla4[[#This Row],[SERVICIO 2025]],$J$2:$V$14,3,0)*Tabla4[[#This Row],[TOTAL COBERTURA]])</f>
        <v>13394472</v>
      </c>
      <c r="AV511" s="35">
        <f>(VLOOKUP(Tabla4[[#This Row],[SERVICIO 2025]],$J$2:$V$14,3,0)*Tabla4[[#This Row],[TOTAL COBERTURA]])</f>
        <v>13394472</v>
      </c>
      <c r="AW511" s="35">
        <f>(VLOOKUP(Tabla4[[#This Row],[SERVICIO 2025]],$J$2:$V$14,3,0)*Tabla4[[#This Row],[TOTAL COBERTURA]])</f>
        <v>13394472</v>
      </c>
      <c r="AX511" s="35">
        <f>(VLOOKUP(Tabla4[[#This Row],[SERVICIO 2025]],$J$2:$V$14,3,0)*Tabla4[[#This Row],[TOTAL COBERTURA]])</f>
        <v>13394472</v>
      </c>
      <c r="AY511" s="35">
        <f>(VLOOKUP(Tabla4[[#This Row],[SERVICIO 2025]],$J$2:$V$14,3,0)*Tabla4[[#This Row],[TOTAL COBERTURA]])</f>
        <v>13394472</v>
      </c>
      <c r="AZ511" s="35">
        <f>(VLOOKUP(Tabla4[[#This Row],[SERVICIO 2025]],$J$2:$V$14,3,0)*Tabla4[[#This Row],[TOTAL COBERTURA]])</f>
        <v>13394472</v>
      </c>
      <c r="BA511" s="35">
        <f>(VLOOKUP(Tabla4[[#This Row],[SERVICIO 2025]],$J$2:$V$14,3,0)*Tabla4[[#This Row],[TOTAL COBERTURA]])+Tabla4[[#This Row],[VALOR FASE PREPARATORIA DE CIERRE]]</f>
        <v>15527980</v>
      </c>
      <c r="BB511" s="35">
        <f>SUM(Tabla4[[#This Row],[DESEMBOLSO 1]:[DESEMBOLSO 8]])</f>
        <v>113370036</v>
      </c>
      <c r="BC511" s="35">
        <f>VLOOKUP(Tabla4[[#This Row],[SERVICIO 2025]],$J$2:$V$14,10,0)*Tabla4[[#This Row],[TOTAL COBERTURA]]*$W$3</f>
        <v>75039328</v>
      </c>
      <c r="BD511" s="47" t="s">
        <v>211</v>
      </c>
      <c r="BE511" s="12" t="b">
        <f>EXACT(Tabla4[[#This Row],[VALOR ATENCIÓN (8 MESES)]],Tabla4[[#This Row],[VALOR TOTAL]])</f>
        <v>1</v>
      </c>
      <c r="BF511" s="23">
        <f>Tabla4[[#This Row],[VALOR ATENCIÓN (8 MESES)]]-Tabla4[[#This Row],[VALOR TOTAL]]</f>
        <v>0</v>
      </c>
      <c r="BG511" s="12" t="b">
        <f>EXACT(Tabla4[[#This Row],[TOTAL DESEMBOLSOS]],Tabla4[[#This Row],[VALOR ATENCIÓN (8 MESES)]])</f>
        <v>1</v>
      </c>
      <c r="BH511" s="29">
        <f>Tabla4[[#This Row],[TOTAL DESEMBOLSOS]]-Tabla4[[#This Row],[VALOR ATENCIÓN (8 MESES)]]</f>
        <v>0</v>
      </c>
      <c r="BI511" t="s">
        <v>98</v>
      </c>
      <c r="BJ511">
        <v>1937</v>
      </c>
    </row>
    <row r="512" spans="1:62">
      <c r="A512" s="13">
        <v>1937</v>
      </c>
      <c r="B512" s="13" t="s">
        <v>1180</v>
      </c>
      <c r="C512" s="12" t="s">
        <v>87</v>
      </c>
      <c r="D512" s="12" t="s">
        <v>462</v>
      </c>
      <c r="E512" s="12" t="s">
        <v>1172</v>
      </c>
      <c r="F512" s="12" t="s">
        <v>18</v>
      </c>
      <c r="G512" s="12" t="s">
        <v>90</v>
      </c>
      <c r="H512" s="12" t="s">
        <v>1191</v>
      </c>
      <c r="I512" s="12">
        <v>51721113909</v>
      </c>
      <c r="J512" s="12" t="s">
        <v>1192</v>
      </c>
      <c r="K512" s="12">
        <v>1</v>
      </c>
      <c r="L512" s="12">
        <v>52</v>
      </c>
      <c r="M512" s="12"/>
      <c r="N512" s="13">
        <v>1937</v>
      </c>
      <c r="O512" s="12" t="s">
        <v>93</v>
      </c>
      <c r="P512" s="12"/>
      <c r="Q512" s="12"/>
      <c r="R512" s="12" t="s">
        <v>94</v>
      </c>
      <c r="S512" s="12">
        <v>10</v>
      </c>
      <c r="T512" s="12" t="s">
        <v>1183</v>
      </c>
      <c r="U512" s="12" t="s">
        <v>1184</v>
      </c>
      <c r="V512" s="12">
        <f>VLOOKUP(Tabla4[[#This Row],[ZONA DEFINITIVO]],Hoja1!$A$1:$D$121,3,0)</f>
        <v>229106</v>
      </c>
      <c r="W512" s="12">
        <f>VLOOKUP(Tabla4[[#This Row],[ZONA DEFINITIVO]],Hoja1!$A$1:$D$121,2,0)</f>
        <v>15197</v>
      </c>
      <c r="X512" s="12">
        <f>VLOOKUP(Tabla4[[#This Row],[ZONA DEFINITIVO]],Hoja1!$A$1:$D$121,4,0)</f>
        <v>83225</v>
      </c>
      <c r="Y512" s="12" t="str">
        <f>+IF(Tabla4[[#This Row],[AGRUPACIONES]]=1,SUMIFS(Tabla4[UDS],Tabla4[ZONA DEFINITIVO],Tabla4[[#This Row],[ZONA DEFINITIVO]])," ")</f>
        <v xml:space="preserve"> </v>
      </c>
      <c r="Z512" s="12" t="str">
        <f>+IF(Tabla4[[#This Row],[AGRUPACIONES]]=1,SUMIFS(Tabla4[TOTAL COBERTURA],Tabla4[ZONA DEFINITIVO],Tabla4[[#This Row],[ZONA DEFINITIVO]])," ")</f>
        <v xml:space="preserve"> </v>
      </c>
      <c r="AA512" s="12"/>
      <c r="AB512" s="38">
        <v>113370036</v>
      </c>
      <c r="AC512" s="37">
        <v>0.02</v>
      </c>
      <c r="AD512" s="38">
        <f t="shared" si="8"/>
        <v>2267400.7200000002</v>
      </c>
      <c r="AE512" s="12"/>
      <c r="AF512" s="12">
        <f>COUNTIF($A$20:A512,A512)</f>
        <v>5</v>
      </c>
      <c r="AG512" s="38">
        <v>113370036</v>
      </c>
      <c r="AH512" s="38">
        <f>Tabla4[[#This Row],[VALOR CONTRAPARTIDA]]+Tabla4[[#This Row],[TOTAL APORTES ICBF]]</f>
        <v>115637436.72</v>
      </c>
      <c r="AI512" s="35"/>
      <c r="AJ512" s="38"/>
      <c r="AK512" s="38"/>
      <c r="AL512" s="23"/>
      <c r="AM512" s="35">
        <f>VLOOKUP(Tabla4[[#This Row],[SERVICIO 2025]],$J$2:$V$14,5,0)*Tabla4[[#This Row],[TOTAL COBERTURA]]</f>
        <v>2567552</v>
      </c>
      <c r="AN512" s="35">
        <f>VLOOKUP(Tabla4[[#This Row],[SERVICIO 2025]],$J$2:$V$14,6,0)*Tabla4[[#This Row],[TOTAL COBERTURA]]</f>
        <v>2133508</v>
      </c>
      <c r="AO512" s="35">
        <f>VLOOKUP(Tabla4[[#This Row],[SERVICIO 2025]],$J$2:$V$14,8,0)*Tabla4[[#This Row],[TOTAL COBERTURA]]</f>
        <v>1513200</v>
      </c>
      <c r="AP512" s="35">
        <f>VLOOKUP(Tabla4[[#This Row],[SERVICIO 2025]],$J$2:$V$14,3,0)*Tabla4[[#This Row],[TOTAL COBERTURA]]*8</f>
        <v>107155776</v>
      </c>
      <c r="AQ512" s="35"/>
      <c r="AR512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512" s="35" t="str">
        <f>+IF(Tabla4[[#This Row],[AGRUPACIONES]]=1,SUMIFS(Tabla4[VALOR TOTAL],Tabla4[ZONA DEFINITIVO],Tabla4[[#This Row],[ZONA DEFINITIVO]])," ")</f>
        <v xml:space="preserve"> </v>
      </c>
      <c r="AT512" s="27">
        <f>(VLOOKUP(Tabla4[[#This Row],[SERVICIO 2025]],$J$2:$V$14,3,0)*Tabla4[[#This Row],[TOTAL COBERTURA]])+Tabla4[[#This Row],[VALOR FASE PREPARATORIA DE ALISTAMIENTO]]+Tabla4[[#This Row],[DOTACIÓN ÚNICA]]</f>
        <v>17475224</v>
      </c>
      <c r="AU512" s="35">
        <f>(VLOOKUP(Tabla4[[#This Row],[SERVICIO 2025]],$J$2:$V$14,3,0)*Tabla4[[#This Row],[TOTAL COBERTURA]])</f>
        <v>13394472</v>
      </c>
      <c r="AV512" s="35">
        <f>(VLOOKUP(Tabla4[[#This Row],[SERVICIO 2025]],$J$2:$V$14,3,0)*Tabla4[[#This Row],[TOTAL COBERTURA]])</f>
        <v>13394472</v>
      </c>
      <c r="AW512" s="35">
        <f>(VLOOKUP(Tabla4[[#This Row],[SERVICIO 2025]],$J$2:$V$14,3,0)*Tabla4[[#This Row],[TOTAL COBERTURA]])</f>
        <v>13394472</v>
      </c>
      <c r="AX512" s="35">
        <f>(VLOOKUP(Tabla4[[#This Row],[SERVICIO 2025]],$J$2:$V$14,3,0)*Tabla4[[#This Row],[TOTAL COBERTURA]])</f>
        <v>13394472</v>
      </c>
      <c r="AY512" s="35">
        <f>(VLOOKUP(Tabla4[[#This Row],[SERVICIO 2025]],$J$2:$V$14,3,0)*Tabla4[[#This Row],[TOTAL COBERTURA]])</f>
        <v>13394472</v>
      </c>
      <c r="AZ512" s="35">
        <f>(VLOOKUP(Tabla4[[#This Row],[SERVICIO 2025]],$J$2:$V$14,3,0)*Tabla4[[#This Row],[TOTAL COBERTURA]])</f>
        <v>13394472</v>
      </c>
      <c r="BA512" s="35">
        <f>(VLOOKUP(Tabla4[[#This Row],[SERVICIO 2025]],$J$2:$V$14,3,0)*Tabla4[[#This Row],[TOTAL COBERTURA]])+Tabla4[[#This Row],[VALOR FASE PREPARATORIA DE CIERRE]]</f>
        <v>15527980</v>
      </c>
      <c r="BB512" s="35">
        <f>SUM(Tabla4[[#This Row],[DESEMBOLSO 1]:[DESEMBOLSO 8]])</f>
        <v>113370036</v>
      </c>
      <c r="BC512" s="35">
        <f>VLOOKUP(Tabla4[[#This Row],[SERVICIO 2025]],$J$2:$V$14,10,0)*Tabla4[[#This Row],[TOTAL COBERTURA]]*$W$3</f>
        <v>75039328</v>
      </c>
      <c r="BD512" s="47" t="s">
        <v>211</v>
      </c>
      <c r="BE512" s="12" t="b">
        <f>EXACT(Tabla4[[#This Row],[VALOR ATENCIÓN (8 MESES)]],Tabla4[[#This Row],[VALOR TOTAL]])</f>
        <v>1</v>
      </c>
      <c r="BF512" s="23">
        <f>Tabla4[[#This Row],[VALOR ATENCIÓN (8 MESES)]]-Tabla4[[#This Row],[VALOR TOTAL]]</f>
        <v>0</v>
      </c>
      <c r="BG512" s="12" t="b">
        <f>EXACT(Tabla4[[#This Row],[TOTAL DESEMBOLSOS]],Tabla4[[#This Row],[VALOR ATENCIÓN (8 MESES)]])</f>
        <v>1</v>
      </c>
      <c r="BH512" s="29">
        <f>Tabla4[[#This Row],[TOTAL DESEMBOLSOS]]-Tabla4[[#This Row],[VALOR ATENCIÓN (8 MESES)]]</f>
        <v>0</v>
      </c>
      <c r="BI512" t="s">
        <v>98</v>
      </c>
      <c r="BJ512">
        <v>1937</v>
      </c>
    </row>
    <row r="513" spans="1:62">
      <c r="A513" s="13">
        <v>1937</v>
      </c>
      <c r="B513" s="13" t="s">
        <v>1180</v>
      </c>
      <c r="C513" s="12" t="s">
        <v>87</v>
      </c>
      <c r="D513" s="12" t="s">
        <v>462</v>
      </c>
      <c r="E513" s="12" t="s">
        <v>1172</v>
      </c>
      <c r="F513" s="12" t="s">
        <v>18</v>
      </c>
      <c r="G513" s="12" t="s">
        <v>90</v>
      </c>
      <c r="H513" s="12" t="s">
        <v>1191</v>
      </c>
      <c r="I513" s="12">
        <v>51721113933</v>
      </c>
      <c r="J513" s="12" t="s">
        <v>1193</v>
      </c>
      <c r="K513" s="12">
        <v>1</v>
      </c>
      <c r="L513" s="12">
        <v>51</v>
      </c>
      <c r="M513" s="12"/>
      <c r="N513" s="13">
        <v>1937</v>
      </c>
      <c r="O513" s="12" t="s">
        <v>93</v>
      </c>
      <c r="P513" s="12"/>
      <c r="Q513" s="12"/>
      <c r="R513" s="12" t="s">
        <v>94</v>
      </c>
      <c r="S513" s="12">
        <v>10</v>
      </c>
      <c r="T513" s="12" t="s">
        <v>1183</v>
      </c>
      <c r="U513" s="12" t="s">
        <v>1184</v>
      </c>
      <c r="V513" s="12">
        <f>VLOOKUP(Tabla4[[#This Row],[ZONA DEFINITIVO]],Hoja1!$A$1:$D$121,3,0)</f>
        <v>229106</v>
      </c>
      <c r="W513" s="12">
        <f>VLOOKUP(Tabla4[[#This Row],[ZONA DEFINITIVO]],Hoja1!$A$1:$D$121,2,0)</f>
        <v>15197</v>
      </c>
      <c r="X513" s="12">
        <f>VLOOKUP(Tabla4[[#This Row],[ZONA DEFINITIVO]],Hoja1!$A$1:$D$121,4,0)</f>
        <v>83225</v>
      </c>
      <c r="Y513" s="12" t="str">
        <f>+IF(Tabla4[[#This Row],[AGRUPACIONES]]=1,SUMIFS(Tabla4[UDS],Tabla4[ZONA DEFINITIVO],Tabla4[[#This Row],[ZONA DEFINITIVO]])," ")</f>
        <v xml:space="preserve"> </v>
      </c>
      <c r="Z513" s="12" t="str">
        <f>+IF(Tabla4[[#This Row],[AGRUPACIONES]]=1,SUMIFS(Tabla4[TOTAL COBERTURA],Tabla4[ZONA DEFINITIVO],Tabla4[[#This Row],[ZONA DEFINITIVO]])," ")</f>
        <v xml:space="preserve"> </v>
      </c>
      <c r="AA513" s="12"/>
      <c r="AB513" s="38">
        <v>111189843</v>
      </c>
      <c r="AC513" s="37">
        <v>0.02</v>
      </c>
      <c r="AD513" s="38">
        <f t="shared" si="8"/>
        <v>2223796.86</v>
      </c>
      <c r="AE513" s="12"/>
      <c r="AF513" s="12">
        <f>COUNTIF($A$20:A513,A513)</f>
        <v>6</v>
      </c>
      <c r="AG513" s="38">
        <v>111189843</v>
      </c>
      <c r="AH513" s="38">
        <f>Tabla4[[#This Row],[VALOR CONTRAPARTIDA]]+Tabla4[[#This Row],[TOTAL APORTES ICBF]]</f>
        <v>113413639.86</v>
      </c>
      <c r="AI513" s="35"/>
      <c r="AJ513" s="38"/>
      <c r="AK513" s="38"/>
      <c r="AL513" s="23"/>
      <c r="AM513" s="35">
        <f>VLOOKUP(Tabla4[[#This Row],[SERVICIO 2025]],$J$2:$V$14,5,0)*Tabla4[[#This Row],[TOTAL COBERTURA]]</f>
        <v>2518176</v>
      </c>
      <c r="AN513" s="35">
        <f>VLOOKUP(Tabla4[[#This Row],[SERVICIO 2025]],$J$2:$V$14,6,0)*Tabla4[[#This Row],[TOTAL COBERTURA]]</f>
        <v>2092479</v>
      </c>
      <c r="AO513" s="35">
        <f>VLOOKUP(Tabla4[[#This Row],[SERVICIO 2025]],$J$2:$V$14,8,0)*Tabla4[[#This Row],[TOTAL COBERTURA]]</f>
        <v>1484100</v>
      </c>
      <c r="AP513" s="35">
        <f>VLOOKUP(Tabla4[[#This Row],[SERVICIO 2025]],$J$2:$V$14,3,0)*Tabla4[[#This Row],[TOTAL COBERTURA]]*8</f>
        <v>105095088</v>
      </c>
      <c r="AQ513" s="35"/>
      <c r="AR513" s="35">
        <f>Tabla4[[#This Row],[VALOR FASE PREPARATORIA DE ALISTAMIENTO]]+Tabla4[[#This Row],[VALOR FASE PREPARATORIA DE CIERRE]]+Tabla4[[#This Row],[DOTACIÓN ÚNICA]]+Tabla4[[#This Row],[VALOR ATENCIÓN]]+Tabla4[[#This Row],[VALOR RACION PREPARADA]]</f>
        <v>111189843</v>
      </c>
      <c r="AS513" s="35" t="str">
        <f>+IF(Tabla4[[#This Row],[AGRUPACIONES]]=1,SUMIFS(Tabla4[VALOR TOTAL],Tabla4[ZONA DEFINITIVO],Tabla4[[#This Row],[ZONA DEFINITIVO]])," ")</f>
        <v xml:space="preserve"> </v>
      </c>
      <c r="AT513" s="27">
        <f>(VLOOKUP(Tabla4[[#This Row],[SERVICIO 2025]],$J$2:$V$14,3,0)*Tabla4[[#This Row],[TOTAL COBERTURA]])+Tabla4[[#This Row],[VALOR FASE PREPARATORIA DE ALISTAMIENTO]]+Tabla4[[#This Row],[DOTACIÓN ÚNICA]]</f>
        <v>17139162</v>
      </c>
      <c r="AU513" s="35">
        <f>(VLOOKUP(Tabla4[[#This Row],[SERVICIO 2025]],$J$2:$V$14,3,0)*Tabla4[[#This Row],[TOTAL COBERTURA]])</f>
        <v>13136886</v>
      </c>
      <c r="AV513" s="35">
        <f>(VLOOKUP(Tabla4[[#This Row],[SERVICIO 2025]],$J$2:$V$14,3,0)*Tabla4[[#This Row],[TOTAL COBERTURA]])</f>
        <v>13136886</v>
      </c>
      <c r="AW513" s="35">
        <f>(VLOOKUP(Tabla4[[#This Row],[SERVICIO 2025]],$J$2:$V$14,3,0)*Tabla4[[#This Row],[TOTAL COBERTURA]])</f>
        <v>13136886</v>
      </c>
      <c r="AX513" s="35">
        <f>(VLOOKUP(Tabla4[[#This Row],[SERVICIO 2025]],$J$2:$V$14,3,0)*Tabla4[[#This Row],[TOTAL COBERTURA]])</f>
        <v>13136886</v>
      </c>
      <c r="AY513" s="35">
        <f>(VLOOKUP(Tabla4[[#This Row],[SERVICIO 2025]],$J$2:$V$14,3,0)*Tabla4[[#This Row],[TOTAL COBERTURA]])</f>
        <v>13136886</v>
      </c>
      <c r="AZ513" s="35">
        <f>(VLOOKUP(Tabla4[[#This Row],[SERVICIO 2025]],$J$2:$V$14,3,0)*Tabla4[[#This Row],[TOTAL COBERTURA]])</f>
        <v>13136886</v>
      </c>
      <c r="BA513" s="35">
        <f>(VLOOKUP(Tabla4[[#This Row],[SERVICIO 2025]],$J$2:$V$14,3,0)*Tabla4[[#This Row],[TOTAL COBERTURA]])+Tabla4[[#This Row],[VALOR FASE PREPARATORIA DE CIERRE]]</f>
        <v>15229365</v>
      </c>
      <c r="BB513" s="35">
        <f>SUM(Tabla4[[#This Row],[DESEMBOLSO 1]:[DESEMBOLSO 8]])</f>
        <v>111189843</v>
      </c>
      <c r="BC513" s="35">
        <f>VLOOKUP(Tabla4[[#This Row],[SERVICIO 2025]],$J$2:$V$14,10,0)*Tabla4[[#This Row],[TOTAL COBERTURA]]*$W$3</f>
        <v>73596264</v>
      </c>
      <c r="BD513" s="47" t="s">
        <v>211</v>
      </c>
      <c r="BE513" s="12" t="b">
        <f>EXACT(Tabla4[[#This Row],[VALOR ATENCIÓN (8 MESES)]],Tabla4[[#This Row],[VALOR TOTAL]])</f>
        <v>1</v>
      </c>
      <c r="BF513" s="23">
        <f>Tabla4[[#This Row],[VALOR ATENCIÓN (8 MESES)]]-Tabla4[[#This Row],[VALOR TOTAL]]</f>
        <v>0</v>
      </c>
      <c r="BG513" s="12" t="b">
        <f>EXACT(Tabla4[[#This Row],[TOTAL DESEMBOLSOS]],Tabla4[[#This Row],[VALOR ATENCIÓN (8 MESES)]])</f>
        <v>1</v>
      </c>
      <c r="BH513" s="29">
        <f>Tabla4[[#This Row],[TOTAL DESEMBOLSOS]]-Tabla4[[#This Row],[VALOR ATENCIÓN (8 MESES)]]</f>
        <v>0</v>
      </c>
      <c r="BI513" t="s">
        <v>98</v>
      </c>
      <c r="BJ513">
        <v>1937</v>
      </c>
    </row>
    <row r="514" spans="1:62">
      <c r="A514" s="13">
        <v>1937</v>
      </c>
      <c r="B514" s="13" t="s">
        <v>1180</v>
      </c>
      <c r="C514" s="12" t="s">
        <v>87</v>
      </c>
      <c r="D514" s="12" t="s">
        <v>462</v>
      </c>
      <c r="E514" s="12" t="s">
        <v>1172</v>
      </c>
      <c r="F514" s="12" t="s">
        <v>18</v>
      </c>
      <c r="G514" s="12" t="s">
        <v>90</v>
      </c>
      <c r="H514" s="12" t="s">
        <v>1194</v>
      </c>
      <c r="I514" s="12">
        <v>51721114432</v>
      </c>
      <c r="J514" s="12" t="s">
        <v>1195</v>
      </c>
      <c r="K514" s="12">
        <v>1</v>
      </c>
      <c r="L514" s="12">
        <v>52</v>
      </c>
      <c r="M514" s="12"/>
      <c r="N514" s="13">
        <v>1937</v>
      </c>
      <c r="O514" s="12" t="s">
        <v>93</v>
      </c>
      <c r="P514" s="12"/>
      <c r="Q514" s="12"/>
      <c r="R514" s="12" t="s">
        <v>94</v>
      </c>
      <c r="S514" s="12">
        <v>10</v>
      </c>
      <c r="T514" s="12" t="s">
        <v>1183</v>
      </c>
      <c r="U514" s="12" t="s">
        <v>1184</v>
      </c>
      <c r="V514" s="12">
        <f>VLOOKUP(Tabla4[[#This Row],[ZONA DEFINITIVO]],Hoja1!$A$1:$D$121,3,0)</f>
        <v>229106</v>
      </c>
      <c r="W514" s="12">
        <f>VLOOKUP(Tabla4[[#This Row],[ZONA DEFINITIVO]],Hoja1!$A$1:$D$121,2,0)</f>
        <v>15197</v>
      </c>
      <c r="X514" s="12">
        <f>VLOOKUP(Tabla4[[#This Row],[ZONA DEFINITIVO]],Hoja1!$A$1:$D$121,4,0)</f>
        <v>83225</v>
      </c>
      <c r="Y514" s="12" t="str">
        <f>+IF(Tabla4[[#This Row],[AGRUPACIONES]]=1,SUMIFS(Tabla4[UDS],Tabla4[ZONA DEFINITIVO],Tabla4[[#This Row],[ZONA DEFINITIVO]])," ")</f>
        <v xml:space="preserve"> </v>
      </c>
      <c r="Z514" s="12" t="str">
        <f>+IF(Tabla4[[#This Row],[AGRUPACIONES]]=1,SUMIFS(Tabla4[TOTAL COBERTURA],Tabla4[ZONA DEFINITIVO],Tabla4[[#This Row],[ZONA DEFINITIVO]])," ")</f>
        <v xml:space="preserve"> </v>
      </c>
      <c r="AA514" s="12"/>
      <c r="AB514" s="38">
        <v>113370036</v>
      </c>
      <c r="AC514" s="37">
        <v>0.02</v>
      </c>
      <c r="AD514" s="38">
        <f t="shared" si="8"/>
        <v>2267400.7200000002</v>
      </c>
      <c r="AE514" s="12"/>
      <c r="AF514" s="12">
        <f>COUNTIF($A$20:A514,A514)</f>
        <v>7</v>
      </c>
      <c r="AG514" s="38">
        <v>113370036</v>
      </c>
      <c r="AH514" s="38">
        <f>Tabla4[[#This Row],[VALOR CONTRAPARTIDA]]+Tabla4[[#This Row],[TOTAL APORTES ICBF]]</f>
        <v>115637436.72</v>
      </c>
      <c r="AI514" s="35"/>
      <c r="AJ514" s="38"/>
      <c r="AK514" s="38"/>
      <c r="AL514" s="23"/>
      <c r="AM514" s="35">
        <f>VLOOKUP(Tabla4[[#This Row],[SERVICIO 2025]],$J$2:$V$14,5,0)*Tabla4[[#This Row],[TOTAL COBERTURA]]</f>
        <v>2567552</v>
      </c>
      <c r="AN514" s="35">
        <f>VLOOKUP(Tabla4[[#This Row],[SERVICIO 2025]],$J$2:$V$14,6,0)*Tabla4[[#This Row],[TOTAL COBERTURA]]</f>
        <v>2133508</v>
      </c>
      <c r="AO514" s="35">
        <f>VLOOKUP(Tabla4[[#This Row],[SERVICIO 2025]],$J$2:$V$14,8,0)*Tabla4[[#This Row],[TOTAL COBERTURA]]</f>
        <v>1513200</v>
      </c>
      <c r="AP514" s="35">
        <f>VLOOKUP(Tabla4[[#This Row],[SERVICIO 2025]],$J$2:$V$14,3,0)*Tabla4[[#This Row],[TOTAL COBERTURA]]*8</f>
        <v>107155776</v>
      </c>
      <c r="AQ514" s="35"/>
      <c r="AR514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514" s="35" t="str">
        <f>+IF(Tabla4[[#This Row],[AGRUPACIONES]]=1,SUMIFS(Tabla4[VALOR TOTAL],Tabla4[ZONA DEFINITIVO],Tabla4[[#This Row],[ZONA DEFINITIVO]])," ")</f>
        <v xml:space="preserve"> </v>
      </c>
      <c r="AT514" s="27">
        <f>(VLOOKUP(Tabla4[[#This Row],[SERVICIO 2025]],$J$2:$V$14,3,0)*Tabla4[[#This Row],[TOTAL COBERTURA]])+Tabla4[[#This Row],[VALOR FASE PREPARATORIA DE ALISTAMIENTO]]+Tabla4[[#This Row],[DOTACIÓN ÚNICA]]</f>
        <v>17475224</v>
      </c>
      <c r="AU514" s="35">
        <f>(VLOOKUP(Tabla4[[#This Row],[SERVICIO 2025]],$J$2:$V$14,3,0)*Tabla4[[#This Row],[TOTAL COBERTURA]])</f>
        <v>13394472</v>
      </c>
      <c r="AV514" s="35">
        <f>(VLOOKUP(Tabla4[[#This Row],[SERVICIO 2025]],$J$2:$V$14,3,0)*Tabla4[[#This Row],[TOTAL COBERTURA]])</f>
        <v>13394472</v>
      </c>
      <c r="AW514" s="35">
        <f>(VLOOKUP(Tabla4[[#This Row],[SERVICIO 2025]],$J$2:$V$14,3,0)*Tabla4[[#This Row],[TOTAL COBERTURA]])</f>
        <v>13394472</v>
      </c>
      <c r="AX514" s="35">
        <f>(VLOOKUP(Tabla4[[#This Row],[SERVICIO 2025]],$J$2:$V$14,3,0)*Tabla4[[#This Row],[TOTAL COBERTURA]])</f>
        <v>13394472</v>
      </c>
      <c r="AY514" s="35">
        <f>(VLOOKUP(Tabla4[[#This Row],[SERVICIO 2025]],$J$2:$V$14,3,0)*Tabla4[[#This Row],[TOTAL COBERTURA]])</f>
        <v>13394472</v>
      </c>
      <c r="AZ514" s="35">
        <f>(VLOOKUP(Tabla4[[#This Row],[SERVICIO 2025]],$J$2:$V$14,3,0)*Tabla4[[#This Row],[TOTAL COBERTURA]])</f>
        <v>13394472</v>
      </c>
      <c r="BA514" s="35">
        <f>(VLOOKUP(Tabla4[[#This Row],[SERVICIO 2025]],$J$2:$V$14,3,0)*Tabla4[[#This Row],[TOTAL COBERTURA]])+Tabla4[[#This Row],[VALOR FASE PREPARATORIA DE CIERRE]]</f>
        <v>15527980</v>
      </c>
      <c r="BB514" s="35">
        <f>SUM(Tabla4[[#This Row],[DESEMBOLSO 1]:[DESEMBOLSO 8]])</f>
        <v>113370036</v>
      </c>
      <c r="BC514" s="35">
        <f>VLOOKUP(Tabla4[[#This Row],[SERVICIO 2025]],$J$2:$V$14,10,0)*Tabla4[[#This Row],[TOTAL COBERTURA]]*$W$3</f>
        <v>75039328</v>
      </c>
      <c r="BD514" s="47" t="s">
        <v>211</v>
      </c>
      <c r="BE514" s="12" t="b">
        <f>EXACT(Tabla4[[#This Row],[VALOR ATENCIÓN (8 MESES)]],Tabla4[[#This Row],[VALOR TOTAL]])</f>
        <v>1</v>
      </c>
      <c r="BF514" s="23">
        <f>Tabla4[[#This Row],[VALOR ATENCIÓN (8 MESES)]]-Tabla4[[#This Row],[VALOR TOTAL]]</f>
        <v>0</v>
      </c>
      <c r="BG514" s="12" t="b">
        <f>EXACT(Tabla4[[#This Row],[TOTAL DESEMBOLSOS]],Tabla4[[#This Row],[VALOR ATENCIÓN (8 MESES)]])</f>
        <v>1</v>
      </c>
      <c r="BH514" s="29">
        <f>Tabla4[[#This Row],[TOTAL DESEMBOLSOS]]-Tabla4[[#This Row],[VALOR ATENCIÓN (8 MESES)]]</f>
        <v>0</v>
      </c>
      <c r="BI514" t="s">
        <v>98</v>
      </c>
      <c r="BJ514">
        <v>1937</v>
      </c>
    </row>
    <row r="515" spans="1:62">
      <c r="A515" s="13">
        <v>1937</v>
      </c>
      <c r="B515" s="13" t="s">
        <v>1180</v>
      </c>
      <c r="C515" s="12" t="s">
        <v>87</v>
      </c>
      <c r="D515" s="12" t="s">
        <v>462</v>
      </c>
      <c r="E515" s="12" t="s">
        <v>1172</v>
      </c>
      <c r="F515" s="12" t="s">
        <v>18</v>
      </c>
      <c r="G515" s="12" t="s">
        <v>90</v>
      </c>
      <c r="H515" s="12" t="s">
        <v>1196</v>
      </c>
      <c r="I515" s="12">
        <v>51721115038</v>
      </c>
      <c r="J515" s="12" t="s">
        <v>1197</v>
      </c>
      <c r="K515" s="12">
        <v>1</v>
      </c>
      <c r="L515" s="12">
        <v>15</v>
      </c>
      <c r="M515" s="12"/>
      <c r="N515" s="13">
        <v>1937</v>
      </c>
      <c r="O515" s="12" t="s">
        <v>93</v>
      </c>
      <c r="P515" s="12"/>
      <c r="Q515" s="12"/>
      <c r="R515" s="12" t="s">
        <v>94</v>
      </c>
      <c r="S515" s="12">
        <v>10</v>
      </c>
      <c r="T515" s="12" t="s">
        <v>1183</v>
      </c>
      <c r="U515" s="12" t="s">
        <v>1184</v>
      </c>
      <c r="V515" s="12">
        <f>VLOOKUP(Tabla4[[#This Row],[ZONA DEFINITIVO]],Hoja1!$A$1:$D$121,3,0)</f>
        <v>229106</v>
      </c>
      <c r="W515" s="12">
        <f>VLOOKUP(Tabla4[[#This Row],[ZONA DEFINITIVO]],Hoja1!$A$1:$D$121,2,0)</f>
        <v>15197</v>
      </c>
      <c r="X515" s="12">
        <f>VLOOKUP(Tabla4[[#This Row],[ZONA DEFINITIVO]],Hoja1!$A$1:$D$121,4,0)</f>
        <v>83225</v>
      </c>
      <c r="Y515" s="12" t="str">
        <f>+IF(Tabla4[[#This Row],[AGRUPACIONES]]=1,SUMIFS(Tabla4[UDS],Tabla4[ZONA DEFINITIVO],Tabla4[[#This Row],[ZONA DEFINITIVO]])," ")</f>
        <v xml:space="preserve"> </v>
      </c>
      <c r="Z515" s="12" t="str">
        <f>+IF(Tabla4[[#This Row],[AGRUPACIONES]]=1,SUMIFS(Tabla4[TOTAL COBERTURA],Tabla4[ZONA DEFINITIVO],Tabla4[[#This Row],[ZONA DEFINITIVO]])," ")</f>
        <v xml:space="preserve"> </v>
      </c>
      <c r="AA515" s="12"/>
      <c r="AB515" s="38">
        <v>32702895</v>
      </c>
      <c r="AC515" s="37">
        <v>0.02</v>
      </c>
      <c r="AD515" s="38">
        <f t="shared" si="8"/>
        <v>654057.9</v>
      </c>
      <c r="AE515" s="12"/>
      <c r="AF515" s="12">
        <f>COUNTIF($A$20:A515,A515)</f>
        <v>8</v>
      </c>
      <c r="AG515" s="38">
        <v>32702895</v>
      </c>
      <c r="AH515" s="38">
        <f>Tabla4[[#This Row],[VALOR CONTRAPARTIDA]]+Tabla4[[#This Row],[TOTAL APORTES ICBF]]</f>
        <v>33356952.899999999</v>
      </c>
      <c r="AI515" s="35"/>
      <c r="AJ515" s="38"/>
      <c r="AK515" s="38"/>
      <c r="AL515" s="23"/>
      <c r="AM515" s="35">
        <f>VLOOKUP(Tabla4[[#This Row],[SERVICIO 2025]],$J$2:$V$14,5,0)*Tabla4[[#This Row],[TOTAL COBERTURA]]</f>
        <v>740640</v>
      </c>
      <c r="AN515" s="35">
        <f>VLOOKUP(Tabla4[[#This Row],[SERVICIO 2025]],$J$2:$V$14,6,0)*Tabla4[[#This Row],[TOTAL COBERTURA]]</f>
        <v>615435</v>
      </c>
      <c r="AO515" s="35">
        <f>VLOOKUP(Tabla4[[#This Row],[SERVICIO 2025]],$J$2:$V$14,8,0)*Tabla4[[#This Row],[TOTAL COBERTURA]]</f>
        <v>436500</v>
      </c>
      <c r="AP515" s="35">
        <f>VLOOKUP(Tabla4[[#This Row],[SERVICIO 2025]],$J$2:$V$14,3,0)*Tabla4[[#This Row],[TOTAL COBERTURA]]*8</f>
        <v>30910320</v>
      </c>
      <c r="AQ515" s="35"/>
      <c r="AR515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515" s="35" t="str">
        <f>+IF(Tabla4[[#This Row],[AGRUPACIONES]]=1,SUMIFS(Tabla4[VALOR TOTAL],Tabla4[ZONA DEFINITIVO],Tabla4[[#This Row],[ZONA DEFINITIVO]])," ")</f>
        <v xml:space="preserve"> </v>
      </c>
      <c r="AT515" s="27">
        <f>(VLOOKUP(Tabla4[[#This Row],[SERVICIO 2025]],$J$2:$V$14,3,0)*Tabla4[[#This Row],[TOTAL COBERTURA]])+Tabla4[[#This Row],[VALOR FASE PREPARATORIA DE ALISTAMIENTO]]+Tabla4[[#This Row],[DOTACIÓN ÚNICA]]</f>
        <v>5040930</v>
      </c>
      <c r="AU515" s="35">
        <f>(VLOOKUP(Tabla4[[#This Row],[SERVICIO 2025]],$J$2:$V$14,3,0)*Tabla4[[#This Row],[TOTAL COBERTURA]])</f>
        <v>3863790</v>
      </c>
      <c r="AV515" s="35">
        <f>(VLOOKUP(Tabla4[[#This Row],[SERVICIO 2025]],$J$2:$V$14,3,0)*Tabla4[[#This Row],[TOTAL COBERTURA]])</f>
        <v>3863790</v>
      </c>
      <c r="AW515" s="35">
        <f>(VLOOKUP(Tabla4[[#This Row],[SERVICIO 2025]],$J$2:$V$14,3,0)*Tabla4[[#This Row],[TOTAL COBERTURA]])</f>
        <v>3863790</v>
      </c>
      <c r="AX515" s="35">
        <f>(VLOOKUP(Tabla4[[#This Row],[SERVICIO 2025]],$J$2:$V$14,3,0)*Tabla4[[#This Row],[TOTAL COBERTURA]])</f>
        <v>3863790</v>
      </c>
      <c r="AY515" s="35">
        <f>(VLOOKUP(Tabla4[[#This Row],[SERVICIO 2025]],$J$2:$V$14,3,0)*Tabla4[[#This Row],[TOTAL COBERTURA]])</f>
        <v>3863790</v>
      </c>
      <c r="AZ515" s="35">
        <f>(VLOOKUP(Tabla4[[#This Row],[SERVICIO 2025]],$J$2:$V$14,3,0)*Tabla4[[#This Row],[TOTAL COBERTURA]])</f>
        <v>3863790</v>
      </c>
      <c r="BA515" s="35">
        <f>(VLOOKUP(Tabla4[[#This Row],[SERVICIO 2025]],$J$2:$V$14,3,0)*Tabla4[[#This Row],[TOTAL COBERTURA]])+Tabla4[[#This Row],[VALOR FASE PREPARATORIA DE CIERRE]]</f>
        <v>4479225</v>
      </c>
      <c r="BB515" s="35">
        <f>SUM(Tabla4[[#This Row],[DESEMBOLSO 1]:[DESEMBOLSO 8]])</f>
        <v>32702895</v>
      </c>
      <c r="BC515" s="35">
        <f>VLOOKUP(Tabla4[[#This Row],[SERVICIO 2025]],$J$2:$V$14,10,0)*Tabla4[[#This Row],[TOTAL COBERTURA]]*$W$3</f>
        <v>21645960</v>
      </c>
      <c r="BD515" s="47" t="s">
        <v>211</v>
      </c>
      <c r="BE515" s="12" t="b">
        <f>EXACT(Tabla4[[#This Row],[VALOR ATENCIÓN (8 MESES)]],Tabla4[[#This Row],[VALOR TOTAL]])</f>
        <v>1</v>
      </c>
      <c r="BF515" s="23">
        <f>Tabla4[[#This Row],[VALOR ATENCIÓN (8 MESES)]]-Tabla4[[#This Row],[VALOR TOTAL]]</f>
        <v>0</v>
      </c>
      <c r="BG515" s="12" t="b">
        <f>EXACT(Tabla4[[#This Row],[TOTAL DESEMBOLSOS]],Tabla4[[#This Row],[VALOR ATENCIÓN (8 MESES)]])</f>
        <v>1</v>
      </c>
      <c r="BH515" s="29">
        <f>Tabla4[[#This Row],[TOTAL DESEMBOLSOS]]-Tabla4[[#This Row],[VALOR ATENCIÓN (8 MESES)]]</f>
        <v>0</v>
      </c>
      <c r="BI515" t="s">
        <v>98</v>
      </c>
      <c r="BJ515">
        <v>1937</v>
      </c>
    </row>
    <row r="516" spans="1:62">
      <c r="A516" s="13">
        <v>1937</v>
      </c>
      <c r="B516" s="13" t="s">
        <v>1180</v>
      </c>
      <c r="C516" s="12" t="s">
        <v>87</v>
      </c>
      <c r="D516" s="12" t="s">
        <v>462</v>
      </c>
      <c r="E516" s="12" t="s">
        <v>1172</v>
      </c>
      <c r="F516" s="12" t="s">
        <v>18</v>
      </c>
      <c r="G516" s="12" t="s">
        <v>90</v>
      </c>
      <c r="H516" s="12" t="s">
        <v>1198</v>
      </c>
      <c r="I516" s="12">
        <v>51721135812</v>
      </c>
      <c r="J516" s="12" t="s">
        <v>1199</v>
      </c>
      <c r="K516" s="12">
        <v>1</v>
      </c>
      <c r="L516" s="12">
        <v>59</v>
      </c>
      <c r="M516" s="12"/>
      <c r="N516" s="13">
        <v>1937</v>
      </c>
      <c r="O516" s="12" t="s">
        <v>93</v>
      </c>
      <c r="P516" s="12"/>
      <c r="Q516" s="12"/>
      <c r="R516" s="12" t="s">
        <v>94</v>
      </c>
      <c r="S516" s="12">
        <v>10</v>
      </c>
      <c r="T516" s="12" t="s">
        <v>1183</v>
      </c>
      <c r="U516" s="12" t="s">
        <v>1184</v>
      </c>
      <c r="V516" s="12">
        <f>VLOOKUP(Tabla4[[#This Row],[ZONA DEFINITIVO]],Hoja1!$A$1:$D$121,3,0)</f>
        <v>229106</v>
      </c>
      <c r="W516" s="12">
        <f>VLOOKUP(Tabla4[[#This Row],[ZONA DEFINITIVO]],Hoja1!$A$1:$D$121,2,0)</f>
        <v>15197</v>
      </c>
      <c r="X516" s="12">
        <f>VLOOKUP(Tabla4[[#This Row],[ZONA DEFINITIVO]],Hoja1!$A$1:$D$121,4,0)</f>
        <v>83225</v>
      </c>
      <c r="Y516" s="12" t="str">
        <f>+IF(Tabla4[[#This Row],[AGRUPACIONES]]=1,SUMIFS(Tabla4[UDS],Tabla4[ZONA DEFINITIVO],Tabla4[[#This Row],[ZONA DEFINITIVO]])," ")</f>
        <v xml:space="preserve"> </v>
      </c>
      <c r="Z516" s="12" t="str">
        <f>+IF(Tabla4[[#This Row],[AGRUPACIONES]]=1,SUMIFS(Tabla4[TOTAL COBERTURA],Tabla4[ZONA DEFINITIVO],Tabla4[[#This Row],[ZONA DEFINITIVO]])," ")</f>
        <v xml:space="preserve"> </v>
      </c>
      <c r="AA516" s="12"/>
      <c r="AB516" s="38">
        <v>128631387</v>
      </c>
      <c r="AC516" s="37">
        <v>0.02</v>
      </c>
      <c r="AD516" s="38">
        <f t="shared" si="8"/>
        <v>2572627.7400000002</v>
      </c>
      <c r="AE516" s="12"/>
      <c r="AF516" s="12">
        <f>COUNTIF($A$20:A516,A516)</f>
        <v>9</v>
      </c>
      <c r="AG516" s="38">
        <v>128631387</v>
      </c>
      <c r="AH516" s="38">
        <f>Tabla4[[#This Row],[VALOR CONTRAPARTIDA]]+Tabla4[[#This Row],[TOTAL APORTES ICBF]]</f>
        <v>131204014.73999999</v>
      </c>
      <c r="AI516" s="35"/>
      <c r="AJ516" s="38"/>
      <c r="AK516" s="38"/>
      <c r="AL516" s="23"/>
      <c r="AM516" s="35">
        <f>VLOOKUP(Tabla4[[#This Row],[SERVICIO 2025]],$J$2:$V$14,5,0)*Tabla4[[#This Row],[TOTAL COBERTURA]]</f>
        <v>2913184</v>
      </c>
      <c r="AN516" s="35">
        <f>VLOOKUP(Tabla4[[#This Row],[SERVICIO 2025]],$J$2:$V$14,6,0)*Tabla4[[#This Row],[TOTAL COBERTURA]]</f>
        <v>2420711</v>
      </c>
      <c r="AO516" s="35">
        <f>VLOOKUP(Tabla4[[#This Row],[SERVICIO 2025]],$J$2:$V$14,8,0)*Tabla4[[#This Row],[TOTAL COBERTURA]]</f>
        <v>1716900</v>
      </c>
      <c r="AP516" s="35">
        <f>VLOOKUP(Tabla4[[#This Row],[SERVICIO 2025]],$J$2:$V$14,3,0)*Tabla4[[#This Row],[TOTAL COBERTURA]]*8</f>
        <v>121580592</v>
      </c>
      <c r="AQ516" s="35"/>
      <c r="AR516" s="35">
        <f>Tabla4[[#This Row],[VALOR FASE PREPARATORIA DE ALISTAMIENTO]]+Tabla4[[#This Row],[VALOR FASE PREPARATORIA DE CIERRE]]+Tabla4[[#This Row],[DOTACIÓN ÚNICA]]+Tabla4[[#This Row],[VALOR ATENCIÓN]]+Tabla4[[#This Row],[VALOR RACION PREPARADA]]</f>
        <v>128631387</v>
      </c>
      <c r="AS516" s="35" t="str">
        <f>+IF(Tabla4[[#This Row],[AGRUPACIONES]]=1,SUMIFS(Tabla4[VALOR TOTAL],Tabla4[ZONA DEFINITIVO],Tabla4[[#This Row],[ZONA DEFINITIVO]])," ")</f>
        <v xml:space="preserve"> </v>
      </c>
      <c r="AT516" s="27">
        <f>(VLOOKUP(Tabla4[[#This Row],[SERVICIO 2025]],$J$2:$V$14,3,0)*Tabla4[[#This Row],[TOTAL COBERTURA]])+Tabla4[[#This Row],[VALOR FASE PREPARATORIA DE ALISTAMIENTO]]+Tabla4[[#This Row],[DOTACIÓN ÚNICA]]</f>
        <v>19827658</v>
      </c>
      <c r="AU516" s="35">
        <f>(VLOOKUP(Tabla4[[#This Row],[SERVICIO 2025]],$J$2:$V$14,3,0)*Tabla4[[#This Row],[TOTAL COBERTURA]])</f>
        <v>15197574</v>
      </c>
      <c r="AV516" s="35">
        <f>(VLOOKUP(Tabla4[[#This Row],[SERVICIO 2025]],$J$2:$V$14,3,0)*Tabla4[[#This Row],[TOTAL COBERTURA]])</f>
        <v>15197574</v>
      </c>
      <c r="AW516" s="35">
        <f>(VLOOKUP(Tabla4[[#This Row],[SERVICIO 2025]],$J$2:$V$14,3,0)*Tabla4[[#This Row],[TOTAL COBERTURA]])</f>
        <v>15197574</v>
      </c>
      <c r="AX516" s="35">
        <f>(VLOOKUP(Tabla4[[#This Row],[SERVICIO 2025]],$J$2:$V$14,3,0)*Tabla4[[#This Row],[TOTAL COBERTURA]])</f>
        <v>15197574</v>
      </c>
      <c r="AY516" s="35">
        <f>(VLOOKUP(Tabla4[[#This Row],[SERVICIO 2025]],$J$2:$V$14,3,0)*Tabla4[[#This Row],[TOTAL COBERTURA]])</f>
        <v>15197574</v>
      </c>
      <c r="AZ516" s="35">
        <f>(VLOOKUP(Tabla4[[#This Row],[SERVICIO 2025]],$J$2:$V$14,3,0)*Tabla4[[#This Row],[TOTAL COBERTURA]])</f>
        <v>15197574</v>
      </c>
      <c r="BA516" s="35">
        <f>(VLOOKUP(Tabla4[[#This Row],[SERVICIO 2025]],$J$2:$V$14,3,0)*Tabla4[[#This Row],[TOTAL COBERTURA]])+Tabla4[[#This Row],[VALOR FASE PREPARATORIA DE CIERRE]]</f>
        <v>17618285</v>
      </c>
      <c r="BB516" s="35">
        <f>SUM(Tabla4[[#This Row],[DESEMBOLSO 1]:[DESEMBOLSO 8]])</f>
        <v>128631387</v>
      </c>
      <c r="BC516" s="35">
        <f>VLOOKUP(Tabla4[[#This Row],[SERVICIO 2025]],$J$2:$V$14,10,0)*Tabla4[[#This Row],[TOTAL COBERTURA]]*$W$3</f>
        <v>85140776</v>
      </c>
      <c r="BD516" s="47" t="s">
        <v>211</v>
      </c>
      <c r="BE516" s="12" t="b">
        <f>EXACT(Tabla4[[#This Row],[VALOR ATENCIÓN (8 MESES)]],Tabla4[[#This Row],[VALOR TOTAL]])</f>
        <v>1</v>
      </c>
      <c r="BF516" s="23">
        <f>Tabla4[[#This Row],[VALOR ATENCIÓN (8 MESES)]]-Tabla4[[#This Row],[VALOR TOTAL]]</f>
        <v>0</v>
      </c>
      <c r="BG516" s="12" t="b">
        <f>EXACT(Tabla4[[#This Row],[TOTAL DESEMBOLSOS]],Tabla4[[#This Row],[VALOR ATENCIÓN (8 MESES)]])</f>
        <v>1</v>
      </c>
      <c r="BH516" s="29">
        <f>Tabla4[[#This Row],[TOTAL DESEMBOLSOS]]-Tabla4[[#This Row],[VALOR ATENCIÓN (8 MESES)]]</f>
        <v>0</v>
      </c>
      <c r="BI516" t="s">
        <v>98</v>
      </c>
      <c r="BJ516">
        <v>1937</v>
      </c>
    </row>
    <row r="517" spans="1:62">
      <c r="A517" s="13">
        <v>1937</v>
      </c>
      <c r="B517" s="13" t="s">
        <v>1180</v>
      </c>
      <c r="C517" s="12" t="s">
        <v>87</v>
      </c>
      <c r="D517" s="12" t="s">
        <v>462</v>
      </c>
      <c r="E517" s="12" t="s">
        <v>1172</v>
      </c>
      <c r="F517" s="12" t="s">
        <v>18</v>
      </c>
      <c r="G517" s="12" t="s">
        <v>90</v>
      </c>
      <c r="H517" s="12" t="s">
        <v>1200</v>
      </c>
      <c r="I517" s="12">
        <v>51721135818</v>
      </c>
      <c r="J517" s="12" t="s">
        <v>1201</v>
      </c>
      <c r="K517" s="12">
        <v>1</v>
      </c>
      <c r="L517" s="12">
        <v>65</v>
      </c>
      <c r="M517" s="12"/>
      <c r="N517" s="13">
        <v>1937</v>
      </c>
      <c r="O517" s="12" t="s">
        <v>93</v>
      </c>
      <c r="P517" s="12"/>
      <c r="Q517" s="12"/>
      <c r="R517" s="12" t="s">
        <v>94</v>
      </c>
      <c r="S517" s="12">
        <v>10</v>
      </c>
      <c r="T517" s="12" t="s">
        <v>1183</v>
      </c>
      <c r="U517" s="12" t="s">
        <v>1184</v>
      </c>
      <c r="V517" s="12">
        <f>VLOOKUP(Tabla4[[#This Row],[ZONA DEFINITIVO]],Hoja1!$A$1:$D$121,3,0)</f>
        <v>229106</v>
      </c>
      <c r="W517" s="12">
        <f>VLOOKUP(Tabla4[[#This Row],[ZONA DEFINITIVO]],Hoja1!$A$1:$D$121,2,0)</f>
        <v>15197</v>
      </c>
      <c r="X517" s="12">
        <f>VLOOKUP(Tabla4[[#This Row],[ZONA DEFINITIVO]],Hoja1!$A$1:$D$121,4,0)</f>
        <v>83225</v>
      </c>
      <c r="Y517" s="12" t="str">
        <f>+IF(Tabla4[[#This Row],[AGRUPACIONES]]=1,SUMIFS(Tabla4[UDS],Tabla4[ZONA DEFINITIVO],Tabla4[[#This Row],[ZONA DEFINITIVO]])," ")</f>
        <v xml:space="preserve"> </v>
      </c>
      <c r="Z517" s="12" t="str">
        <f>+IF(Tabla4[[#This Row],[AGRUPACIONES]]=1,SUMIFS(Tabla4[TOTAL COBERTURA],Tabla4[ZONA DEFINITIVO],Tabla4[[#This Row],[ZONA DEFINITIVO]])," ")</f>
        <v xml:space="preserve"> </v>
      </c>
      <c r="AA517" s="12"/>
      <c r="AB517" s="38">
        <v>141712545</v>
      </c>
      <c r="AC517" s="37">
        <v>0.02</v>
      </c>
      <c r="AD517" s="38">
        <f t="shared" si="8"/>
        <v>2834250.9</v>
      </c>
      <c r="AE517" s="12"/>
      <c r="AF517" s="12">
        <f>COUNTIF($A$20:A517,A517)</f>
        <v>10</v>
      </c>
      <c r="AG517" s="38">
        <v>141712545</v>
      </c>
      <c r="AH517" s="38">
        <f>Tabla4[[#This Row],[VALOR CONTRAPARTIDA]]+Tabla4[[#This Row],[TOTAL APORTES ICBF]]</f>
        <v>144546795.90000001</v>
      </c>
      <c r="AI517" s="35"/>
      <c r="AJ517" s="38"/>
      <c r="AK517" s="38"/>
      <c r="AL517" s="23"/>
      <c r="AM517" s="35">
        <f>VLOOKUP(Tabla4[[#This Row],[SERVICIO 2025]],$J$2:$V$14,5,0)*Tabla4[[#This Row],[TOTAL COBERTURA]]</f>
        <v>3209440</v>
      </c>
      <c r="AN517" s="35">
        <f>VLOOKUP(Tabla4[[#This Row],[SERVICIO 2025]],$J$2:$V$14,6,0)*Tabla4[[#This Row],[TOTAL COBERTURA]]</f>
        <v>2666885</v>
      </c>
      <c r="AO517" s="35">
        <f>VLOOKUP(Tabla4[[#This Row],[SERVICIO 2025]],$J$2:$V$14,8,0)*Tabla4[[#This Row],[TOTAL COBERTURA]]</f>
        <v>1891500</v>
      </c>
      <c r="AP517" s="35">
        <f>VLOOKUP(Tabla4[[#This Row],[SERVICIO 2025]],$J$2:$V$14,3,0)*Tabla4[[#This Row],[TOTAL COBERTURA]]*8</f>
        <v>133944720</v>
      </c>
      <c r="AQ517" s="35"/>
      <c r="AR517" s="35">
        <f>Tabla4[[#This Row],[VALOR FASE PREPARATORIA DE ALISTAMIENTO]]+Tabla4[[#This Row],[VALOR FASE PREPARATORIA DE CIERRE]]+Tabla4[[#This Row],[DOTACIÓN ÚNICA]]+Tabla4[[#This Row],[VALOR ATENCIÓN]]+Tabla4[[#This Row],[VALOR RACION PREPARADA]]</f>
        <v>141712545</v>
      </c>
      <c r="AS517" s="35" t="str">
        <f>+IF(Tabla4[[#This Row],[AGRUPACIONES]]=1,SUMIFS(Tabla4[VALOR TOTAL],Tabla4[ZONA DEFINITIVO],Tabla4[[#This Row],[ZONA DEFINITIVO]])," ")</f>
        <v xml:space="preserve"> </v>
      </c>
      <c r="AT517" s="27">
        <f>(VLOOKUP(Tabla4[[#This Row],[SERVICIO 2025]],$J$2:$V$14,3,0)*Tabla4[[#This Row],[TOTAL COBERTURA]])+Tabla4[[#This Row],[VALOR FASE PREPARATORIA DE ALISTAMIENTO]]+Tabla4[[#This Row],[DOTACIÓN ÚNICA]]</f>
        <v>21844030</v>
      </c>
      <c r="AU517" s="35">
        <f>(VLOOKUP(Tabla4[[#This Row],[SERVICIO 2025]],$J$2:$V$14,3,0)*Tabla4[[#This Row],[TOTAL COBERTURA]])</f>
        <v>16743090</v>
      </c>
      <c r="AV517" s="35">
        <f>(VLOOKUP(Tabla4[[#This Row],[SERVICIO 2025]],$J$2:$V$14,3,0)*Tabla4[[#This Row],[TOTAL COBERTURA]])</f>
        <v>16743090</v>
      </c>
      <c r="AW517" s="35">
        <f>(VLOOKUP(Tabla4[[#This Row],[SERVICIO 2025]],$J$2:$V$14,3,0)*Tabla4[[#This Row],[TOTAL COBERTURA]])</f>
        <v>16743090</v>
      </c>
      <c r="AX517" s="35">
        <f>(VLOOKUP(Tabla4[[#This Row],[SERVICIO 2025]],$J$2:$V$14,3,0)*Tabla4[[#This Row],[TOTAL COBERTURA]])</f>
        <v>16743090</v>
      </c>
      <c r="AY517" s="35">
        <f>(VLOOKUP(Tabla4[[#This Row],[SERVICIO 2025]],$J$2:$V$14,3,0)*Tabla4[[#This Row],[TOTAL COBERTURA]])</f>
        <v>16743090</v>
      </c>
      <c r="AZ517" s="35">
        <f>(VLOOKUP(Tabla4[[#This Row],[SERVICIO 2025]],$J$2:$V$14,3,0)*Tabla4[[#This Row],[TOTAL COBERTURA]])</f>
        <v>16743090</v>
      </c>
      <c r="BA517" s="35">
        <f>(VLOOKUP(Tabla4[[#This Row],[SERVICIO 2025]],$J$2:$V$14,3,0)*Tabla4[[#This Row],[TOTAL COBERTURA]])+Tabla4[[#This Row],[VALOR FASE PREPARATORIA DE CIERRE]]</f>
        <v>19409975</v>
      </c>
      <c r="BB517" s="35">
        <f>SUM(Tabla4[[#This Row],[DESEMBOLSO 1]:[DESEMBOLSO 8]])</f>
        <v>141712545</v>
      </c>
      <c r="BC517" s="35">
        <f>VLOOKUP(Tabla4[[#This Row],[SERVICIO 2025]],$J$2:$V$14,10,0)*Tabla4[[#This Row],[TOTAL COBERTURA]]*$W$3</f>
        <v>93799160</v>
      </c>
      <c r="BD517" s="47" t="s">
        <v>211</v>
      </c>
      <c r="BE517" s="12" t="b">
        <f>EXACT(Tabla4[[#This Row],[VALOR ATENCIÓN (8 MESES)]],Tabla4[[#This Row],[VALOR TOTAL]])</f>
        <v>1</v>
      </c>
      <c r="BF517" s="23">
        <f>Tabla4[[#This Row],[VALOR ATENCIÓN (8 MESES)]]-Tabla4[[#This Row],[VALOR TOTAL]]</f>
        <v>0</v>
      </c>
      <c r="BG517" s="12" t="b">
        <f>EXACT(Tabla4[[#This Row],[TOTAL DESEMBOLSOS]],Tabla4[[#This Row],[VALOR ATENCIÓN (8 MESES)]])</f>
        <v>1</v>
      </c>
      <c r="BH517" s="29">
        <f>Tabla4[[#This Row],[TOTAL DESEMBOLSOS]]-Tabla4[[#This Row],[VALOR ATENCIÓN (8 MESES)]]</f>
        <v>0</v>
      </c>
      <c r="BI517" t="s">
        <v>98</v>
      </c>
      <c r="BJ517">
        <v>1937</v>
      </c>
    </row>
    <row r="518" spans="1:62">
      <c r="A518" s="13">
        <v>1937</v>
      </c>
      <c r="B518" s="13" t="s">
        <v>1180</v>
      </c>
      <c r="C518" s="12" t="s">
        <v>87</v>
      </c>
      <c r="D518" s="12" t="s">
        <v>462</v>
      </c>
      <c r="E518" s="12" t="s">
        <v>1172</v>
      </c>
      <c r="F518" s="12" t="s">
        <v>18</v>
      </c>
      <c r="G518" s="12" t="s">
        <v>90</v>
      </c>
      <c r="H518" s="12" t="s">
        <v>1202</v>
      </c>
      <c r="I518" s="12">
        <v>51721135854</v>
      </c>
      <c r="J518" s="12" t="s">
        <v>1203</v>
      </c>
      <c r="K518" s="12">
        <v>1</v>
      </c>
      <c r="L518" s="12">
        <v>16</v>
      </c>
      <c r="M518" s="12"/>
      <c r="N518" s="13">
        <v>1937</v>
      </c>
      <c r="O518" s="12" t="s">
        <v>93</v>
      </c>
      <c r="P518" s="12"/>
      <c r="Q518" s="12"/>
      <c r="R518" s="12" t="s">
        <v>94</v>
      </c>
      <c r="S518" s="12">
        <v>10</v>
      </c>
      <c r="T518" s="12" t="s">
        <v>1183</v>
      </c>
      <c r="U518" s="12" t="s">
        <v>1184</v>
      </c>
      <c r="V518" s="12">
        <f>VLOOKUP(Tabla4[[#This Row],[ZONA DEFINITIVO]],Hoja1!$A$1:$D$121,3,0)</f>
        <v>229106</v>
      </c>
      <c r="W518" s="12">
        <f>VLOOKUP(Tabla4[[#This Row],[ZONA DEFINITIVO]],Hoja1!$A$1:$D$121,2,0)</f>
        <v>15197</v>
      </c>
      <c r="X518" s="12">
        <f>VLOOKUP(Tabla4[[#This Row],[ZONA DEFINITIVO]],Hoja1!$A$1:$D$121,4,0)</f>
        <v>83225</v>
      </c>
      <c r="Y518" s="12" t="str">
        <f>+IF(Tabla4[[#This Row],[AGRUPACIONES]]=1,SUMIFS(Tabla4[UDS],Tabla4[ZONA DEFINITIVO],Tabla4[[#This Row],[ZONA DEFINITIVO]])," ")</f>
        <v xml:space="preserve"> </v>
      </c>
      <c r="Z518" s="12" t="str">
        <f>+IF(Tabla4[[#This Row],[AGRUPACIONES]]=1,SUMIFS(Tabla4[TOTAL COBERTURA],Tabla4[ZONA DEFINITIVO],Tabla4[[#This Row],[ZONA DEFINITIVO]])," ")</f>
        <v xml:space="preserve"> </v>
      </c>
      <c r="AA518" s="12"/>
      <c r="AB518" s="38">
        <v>34883088</v>
      </c>
      <c r="AC518" s="37">
        <v>0.02</v>
      </c>
      <c r="AD518" s="38">
        <f t="shared" si="8"/>
        <v>697661.76</v>
      </c>
      <c r="AE518" s="12"/>
      <c r="AF518" s="12">
        <f>COUNTIF($A$20:A518,A518)</f>
        <v>11</v>
      </c>
      <c r="AG518" s="38">
        <v>34883088</v>
      </c>
      <c r="AH518" s="38">
        <f>Tabla4[[#This Row],[VALOR CONTRAPARTIDA]]+Tabla4[[#This Row],[TOTAL APORTES ICBF]]</f>
        <v>35580749.759999998</v>
      </c>
      <c r="AI518" s="35"/>
      <c r="AJ518" s="38"/>
      <c r="AK518" s="38"/>
      <c r="AL518" s="23"/>
      <c r="AM518" s="35">
        <f>VLOOKUP(Tabla4[[#This Row],[SERVICIO 2025]],$J$2:$V$14,5,0)*Tabla4[[#This Row],[TOTAL COBERTURA]]</f>
        <v>790016</v>
      </c>
      <c r="AN518" s="35">
        <f>VLOOKUP(Tabla4[[#This Row],[SERVICIO 2025]],$J$2:$V$14,6,0)*Tabla4[[#This Row],[TOTAL COBERTURA]]</f>
        <v>656464</v>
      </c>
      <c r="AO518" s="35">
        <f>VLOOKUP(Tabla4[[#This Row],[SERVICIO 2025]],$J$2:$V$14,8,0)*Tabla4[[#This Row],[TOTAL COBERTURA]]</f>
        <v>465600</v>
      </c>
      <c r="AP518" s="35">
        <f>VLOOKUP(Tabla4[[#This Row],[SERVICIO 2025]],$J$2:$V$14,3,0)*Tabla4[[#This Row],[TOTAL COBERTURA]]*8</f>
        <v>32971008</v>
      </c>
      <c r="AQ518" s="35"/>
      <c r="AR518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518" s="35" t="str">
        <f>+IF(Tabla4[[#This Row],[AGRUPACIONES]]=1,SUMIFS(Tabla4[VALOR TOTAL],Tabla4[ZONA DEFINITIVO],Tabla4[[#This Row],[ZONA DEFINITIVO]])," ")</f>
        <v xml:space="preserve"> </v>
      </c>
      <c r="AT518" s="27">
        <f>(VLOOKUP(Tabla4[[#This Row],[SERVICIO 2025]],$J$2:$V$14,3,0)*Tabla4[[#This Row],[TOTAL COBERTURA]])+Tabla4[[#This Row],[VALOR FASE PREPARATORIA DE ALISTAMIENTO]]+Tabla4[[#This Row],[DOTACIÓN ÚNICA]]</f>
        <v>5376992</v>
      </c>
      <c r="AU518" s="35">
        <f>(VLOOKUP(Tabla4[[#This Row],[SERVICIO 2025]],$J$2:$V$14,3,0)*Tabla4[[#This Row],[TOTAL COBERTURA]])</f>
        <v>4121376</v>
      </c>
      <c r="AV518" s="35">
        <f>(VLOOKUP(Tabla4[[#This Row],[SERVICIO 2025]],$J$2:$V$14,3,0)*Tabla4[[#This Row],[TOTAL COBERTURA]])</f>
        <v>4121376</v>
      </c>
      <c r="AW518" s="35">
        <f>(VLOOKUP(Tabla4[[#This Row],[SERVICIO 2025]],$J$2:$V$14,3,0)*Tabla4[[#This Row],[TOTAL COBERTURA]])</f>
        <v>4121376</v>
      </c>
      <c r="AX518" s="35">
        <f>(VLOOKUP(Tabla4[[#This Row],[SERVICIO 2025]],$J$2:$V$14,3,0)*Tabla4[[#This Row],[TOTAL COBERTURA]])</f>
        <v>4121376</v>
      </c>
      <c r="AY518" s="35">
        <f>(VLOOKUP(Tabla4[[#This Row],[SERVICIO 2025]],$J$2:$V$14,3,0)*Tabla4[[#This Row],[TOTAL COBERTURA]])</f>
        <v>4121376</v>
      </c>
      <c r="AZ518" s="35">
        <f>(VLOOKUP(Tabla4[[#This Row],[SERVICIO 2025]],$J$2:$V$14,3,0)*Tabla4[[#This Row],[TOTAL COBERTURA]])</f>
        <v>4121376</v>
      </c>
      <c r="BA518" s="35">
        <f>(VLOOKUP(Tabla4[[#This Row],[SERVICIO 2025]],$J$2:$V$14,3,0)*Tabla4[[#This Row],[TOTAL COBERTURA]])+Tabla4[[#This Row],[VALOR FASE PREPARATORIA DE CIERRE]]</f>
        <v>4777840</v>
      </c>
      <c r="BB518" s="35">
        <f>SUM(Tabla4[[#This Row],[DESEMBOLSO 1]:[DESEMBOLSO 8]])</f>
        <v>34883088</v>
      </c>
      <c r="BC518" s="35">
        <f>VLOOKUP(Tabla4[[#This Row],[SERVICIO 2025]],$J$2:$V$14,10,0)*Tabla4[[#This Row],[TOTAL COBERTURA]]*$W$3</f>
        <v>23089024</v>
      </c>
      <c r="BD518" s="47" t="s">
        <v>211</v>
      </c>
      <c r="BE518" s="12" t="b">
        <f>EXACT(Tabla4[[#This Row],[VALOR ATENCIÓN (8 MESES)]],Tabla4[[#This Row],[VALOR TOTAL]])</f>
        <v>1</v>
      </c>
      <c r="BF518" s="23">
        <f>Tabla4[[#This Row],[VALOR ATENCIÓN (8 MESES)]]-Tabla4[[#This Row],[VALOR TOTAL]]</f>
        <v>0</v>
      </c>
      <c r="BG518" s="12" t="b">
        <f>EXACT(Tabla4[[#This Row],[TOTAL DESEMBOLSOS]],Tabla4[[#This Row],[VALOR ATENCIÓN (8 MESES)]])</f>
        <v>1</v>
      </c>
      <c r="BH518" s="29">
        <f>Tabla4[[#This Row],[TOTAL DESEMBOLSOS]]-Tabla4[[#This Row],[VALOR ATENCIÓN (8 MESES)]]</f>
        <v>0</v>
      </c>
      <c r="BI518" t="s">
        <v>98</v>
      </c>
      <c r="BJ518">
        <v>1937</v>
      </c>
    </row>
    <row r="519" spans="1:62">
      <c r="A519" s="13">
        <v>1937</v>
      </c>
      <c r="B519" s="13" t="s">
        <v>1180</v>
      </c>
      <c r="C519" s="12" t="s">
        <v>87</v>
      </c>
      <c r="D519" s="12" t="s">
        <v>462</v>
      </c>
      <c r="E519" s="12" t="s">
        <v>1172</v>
      </c>
      <c r="F519" s="12" t="s">
        <v>18</v>
      </c>
      <c r="G519" s="12" t="s">
        <v>90</v>
      </c>
      <c r="H519" s="12" t="s">
        <v>1204</v>
      </c>
      <c r="I519" s="12">
        <v>51721135857</v>
      </c>
      <c r="J519" s="12" t="s">
        <v>1205</v>
      </c>
      <c r="K519" s="12">
        <v>1</v>
      </c>
      <c r="L519" s="12">
        <v>15</v>
      </c>
      <c r="M519" s="12"/>
      <c r="N519" s="13">
        <v>1937</v>
      </c>
      <c r="O519" s="12" t="s">
        <v>93</v>
      </c>
      <c r="P519" s="12"/>
      <c r="Q519" s="12"/>
      <c r="R519" s="12" t="s">
        <v>94</v>
      </c>
      <c r="S519" s="12">
        <v>10</v>
      </c>
      <c r="T519" s="12" t="s">
        <v>1183</v>
      </c>
      <c r="U519" s="12" t="s">
        <v>1184</v>
      </c>
      <c r="V519" s="12">
        <f>VLOOKUP(Tabla4[[#This Row],[ZONA DEFINITIVO]],Hoja1!$A$1:$D$121,3,0)</f>
        <v>229106</v>
      </c>
      <c r="W519" s="12">
        <f>VLOOKUP(Tabla4[[#This Row],[ZONA DEFINITIVO]],Hoja1!$A$1:$D$121,2,0)</f>
        <v>15197</v>
      </c>
      <c r="X519" s="12">
        <f>VLOOKUP(Tabla4[[#This Row],[ZONA DEFINITIVO]],Hoja1!$A$1:$D$121,4,0)</f>
        <v>83225</v>
      </c>
      <c r="Y519" s="12" t="str">
        <f>+IF(Tabla4[[#This Row],[AGRUPACIONES]]=1,SUMIFS(Tabla4[UDS],Tabla4[ZONA DEFINITIVO],Tabla4[[#This Row],[ZONA DEFINITIVO]])," ")</f>
        <v xml:space="preserve"> </v>
      </c>
      <c r="Z519" s="12" t="str">
        <f>+IF(Tabla4[[#This Row],[AGRUPACIONES]]=1,SUMIFS(Tabla4[TOTAL COBERTURA],Tabla4[ZONA DEFINITIVO],Tabla4[[#This Row],[ZONA DEFINITIVO]])," ")</f>
        <v xml:space="preserve"> </v>
      </c>
      <c r="AA519" s="12"/>
      <c r="AB519" s="38">
        <v>32702895</v>
      </c>
      <c r="AC519" s="37">
        <v>0.02</v>
      </c>
      <c r="AD519" s="38">
        <f t="shared" si="8"/>
        <v>654057.9</v>
      </c>
      <c r="AE519" s="12"/>
      <c r="AF519" s="12">
        <f>COUNTIF($A$20:A519,A519)</f>
        <v>12</v>
      </c>
      <c r="AG519" s="38">
        <v>32702895</v>
      </c>
      <c r="AH519" s="38">
        <f>Tabla4[[#This Row],[VALOR CONTRAPARTIDA]]+Tabla4[[#This Row],[TOTAL APORTES ICBF]]</f>
        <v>33356952.899999999</v>
      </c>
      <c r="AI519" s="35"/>
      <c r="AJ519" s="38"/>
      <c r="AK519" s="38"/>
      <c r="AL519" s="23"/>
      <c r="AM519" s="35">
        <f>VLOOKUP(Tabla4[[#This Row],[SERVICIO 2025]],$J$2:$V$14,5,0)*Tabla4[[#This Row],[TOTAL COBERTURA]]</f>
        <v>740640</v>
      </c>
      <c r="AN519" s="35">
        <f>VLOOKUP(Tabla4[[#This Row],[SERVICIO 2025]],$J$2:$V$14,6,0)*Tabla4[[#This Row],[TOTAL COBERTURA]]</f>
        <v>615435</v>
      </c>
      <c r="AO519" s="35">
        <f>VLOOKUP(Tabla4[[#This Row],[SERVICIO 2025]],$J$2:$V$14,8,0)*Tabla4[[#This Row],[TOTAL COBERTURA]]</f>
        <v>436500</v>
      </c>
      <c r="AP519" s="35">
        <f>VLOOKUP(Tabla4[[#This Row],[SERVICIO 2025]],$J$2:$V$14,3,0)*Tabla4[[#This Row],[TOTAL COBERTURA]]*8</f>
        <v>30910320</v>
      </c>
      <c r="AQ519" s="35"/>
      <c r="AR519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519" s="35" t="str">
        <f>+IF(Tabla4[[#This Row],[AGRUPACIONES]]=1,SUMIFS(Tabla4[VALOR TOTAL],Tabla4[ZONA DEFINITIVO],Tabla4[[#This Row],[ZONA DEFINITIVO]])," ")</f>
        <v xml:space="preserve"> </v>
      </c>
      <c r="AT519" s="27">
        <f>(VLOOKUP(Tabla4[[#This Row],[SERVICIO 2025]],$J$2:$V$14,3,0)*Tabla4[[#This Row],[TOTAL COBERTURA]])+Tabla4[[#This Row],[VALOR FASE PREPARATORIA DE ALISTAMIENTO]]+Tabla4[[#This Row],[DOTACIÓN ÚNICA]]</f>
        <v>5040930</v>
      </c>
      <c r="AU519" s="35">
        <f>(VLOOKUP(Tabla4[[#This Row],[SERVICIO 2025]],$J$2:$V$14,3,0)*Tabla4[[#This Row],[TOTAL COBERTURA]])</f>
        <v>3863790</v>
      </c>
      <c r="AV519" s="35">
        <f>(VLOOKUP(Tabla4[[#This Row],[SERVICIO 2025]],$J$2:$V$14,3,0)*Tabla4[[#This Row],[TOTAL COBERTURA]])</f>
        <v>3863790</v>
      </c>
      <c r="AW519" s="35">
        <f>(VLOOKUP(Tabla4[[#This Row],[SERVICIO 2025]],$J$2:$V$14,3,0)*Tabla4[[#This Row],[TOTAL COBERTURA]])</f>
        <v>3863790</v>
      </c>
      <c r="AX519" s="35">
        <f>(VLOOKUP(Tabla4[[#This Row],[SERVICIO 2025]],$J$2:$V$14,3,0)*Tabla4[[#This Row],[TOTAL COBERTURA]])</f>
        <v>3863790</v>
      </c>
      <c r="AY519" s="35">
        <f>(VLOOKUP(Tabla4[[#This Row],[SERVICIO 2025]],$J$2:$V$14,3,0)*Tabla4[[#This Row],[TOTAL COBERTURA]])</f>
        <v>3863790</v>
      </c>
      <c r="AZ519" s="35">
        <f>(VLOOKUP(Tabla4[[#This Row],[SERVICIO 2025]],$J$2:$V$14,3,0)*Tabla4[[#This Row],[TOTAL COBERTURA]])</f>
        <v>3863790</v>
      </c>
      <c r="BA519" s="35">
        <f>(VLOOKUP(Tabla4[[#This Row],[SERVICIO 2025]],$J$2:$V$14,3,0)*Tabla4[[#This Row],[TOTAL COBERTURA]])+Tabla4[[#This Row],[VALOR FASE PREPARATORIA DE CIERRE]]</f>
        <v>4479225</v>
      </c>
      <c r="BB519" s="35">
        <f>SUM(Tabla4[[#This Row],[DESEMBOLSO 1]:[DESEMBOLSO 8]])</f>
        <v>32702895</v>
      </c>
      <c r="BC519" s="35">
        <f>VLOOKUP(Tabla4[[#This Row],[SERVICIO 2025]],$J$2:$V$14,10,0)*Tabla4[[#This Row],[TOTAL COBERTURA]]*$W$3</f>
        <v>21645960</v>
      </c>
      <c r="BD519" s="47" t="s">
        <v>211</v>
      </c>
      <c r="BE519" s="12" t="b">
        <f>EXACT(Tabla4[[#This Row],[VALOR ATENCIÓN (8 MESES)]],Tabla4[[#This Row],[VALOR TOTAL]])</f>
        <v>1</v>
      </c>
      <c r="BF519" s="23">
        <f>Tabla4[[#This Row],[VALOR ATENCIÓN (8 MESES)]]-Tabla4[[#This Row],[VALOR TOTAL]]</f>
        <v>0</v>
      </c>
      <c r="BG519" s="12" t="b">
        <f>EXACT(Tabla4[[#This Row],[TOTAL DESEMBOLSOS]],Tabla4[[#This Row],[VALOR ATENCIÓN (8 MESES)]])</f>
        <v>1</v>
      </c>
      <c r="BH519" s="29">
        <f>Tabla4[[#This Row],[TOTAL DESEMBOLSOS]]-Tabla4[[#This Row],[VALOR ATENCIÓN (8 MESES)]]</f>
        <v>0</v>
      </c>
      <c r="BI519" t="s">
        <v>98</v>
      </c>
      <c r="BJ519">
        <v>1937</v>
      </c>
    </row>
    <row r="520" spans="1:62">
      <c r="A520" s="13">
        <v>1937</v>
      </c>
      <c r="B520" s="13" t="s">
        <v>1180</v>
      </c>
      <c r="C520" s="12" t="s">
        <v>87</v>
      </c>
      <c r="D520" s="12" t="s">
        <v>462</v>
      </c>
      <c r="E520" s="12" t="s">
        <v>1172</v>
      </c>
      <c r="F520" s="12" t="s">
        <v>18</v>
      </c>
      <c r="G520" s="12" t="s">
        <v>90</v>
      </c>
      <c r="H520" s="12" t="s">
        <v>969</v>
      </c>
      <c r="I520" s="12">
        <v>51721135863</v>
      </c>
      <c r="J520" s="12" t="s">
        <v>1206</v>
      </c>
      <c r="K520" s="12">
        <v>1</v>
      </c>
      <c r="L520" s="12">
        <v>16</v>
      </c>
      <c r="M520" s="12"/>
      <c r="N520" s="13">
        <v>1937</v>
      </c>
      <c r="O520" s="12" t="s">
        <v>93</v>
      </c>
      <c r="P520" s="12"/>
      <c r="Q520" s="12"/>
      <c r="R520" s="12" t="s">
        <v>94</v>
      </c>
      <c r="S520" s="12">
        <v>10</v>
      </c>
      <c r="T520" s="12" t="s">
        <v>1183</v>
      </c>
      <c r="U520" s="12" t="s">
        <v>1184</v>
      </c>
      <c r="V520" s="12">
        <f>VLOOKUP(Tabla4[[#This Row],[ZONA DEFINITIVO]],Hoja1!$A$1:$D$121,3,0)</f>
        <v>229106</v>
      </c>
      <c r="W520" s="12">
        <f>VLOOKUP(Tabla4[[#This Row],[ZONA DEFINITIVO]],Hoja1!$A$1:$D$121,2,0)</f>
        <v>15197</v>
      </c>
      <c r="X520" s="12">
        <f>VLOOKUP(Tabla4[[#This Row],[ZONA DEFINITIVO]],Hoja1!$A$1:$D$121,4,0)</f>
        <v>83225</v>
      </c>
      <c r="Y520" s="12" t="str">
        <f>+IF(Tabla4[[#This Row],[AGRUPACIONES]]=1,SUMIFS(Tabla4[UDS],Tabla4[ZONA DEFINITIVO],Tabla4[[#This Row],[ZONA DEFINITIVO]])," ")</f>
        <v xml:space="preserve"> </v>
      </c>
      <c r="Z520" s="12" t="str">
        <f>+IF(Tabla4[[#This Row],[AGRUPACIONES]]=1,SUMIFS(Tabla4[TOTAL COBERTURA],Tabla4[ZONA DEFINITIVO],Tabla4[[#This Row],[ZONA DEFINITIVO]])," ")</f>
        <v xml:space="preserve"> </v>
      </c>
      <c r="AA520" s="12"/>
      <c r="AB520" s="38">
        <v>34883088</v>
      </c>
      <c r="AC520" s="37">
        <v>0.02</v>
      </c>
      <c r="AD520" s="38">
        <f t="shared" si="8"/>
        <v>697661.76</v>
      </c>
      <c r="AE520" s="12"/>
      <c r="AF520" s="12">
        <f>COUNTIF($A$20:A520,A520)</f>
        <v>13</v>
      </c>
      <c r="AG520" s="38">
        <v>34883088</v>
      </c>
      <c r="AH520" s="38">
        <f>Tabla4[[#This Row],[VALOR CONTRAPARTIDA]]+Tabla4[[#This Row],[TOTAL APORTES ICBF]]</f>
        <v>35580749.759999998</v>
      </c>
      <c r="AI520" s="35"/>
      <c r="AJ520" s="38"/>
      <c r="AK520" s="38"/>
      <c r="AL520" s="23"/>
      <c r="AM520" s="35">
        <f>VLOOKUP(Tabla4[[#This Row],[SERVICIO 2025]],$J$2:$V$14,5,0)*Tabla4[[#This Row],[TOTAL COBERTURA]]</f>
        <v>790016</v>
      </c>
      <c r="AN520" s="35">
        <f>VLOOKUP(Tabla4[[#This Row],[SERVICIO 2025]],$J$2:$V$14,6,0)*Tabla4[[#This Row],[TOTAL COBERTURA]]</f>
        <v>656464</v>
      </c>
      <c r="AO520" s="35">
        <f>VLOOKUP(Tabla4[[#This Row],[SERVICIO 2025]],$J$2:$V$14,8,0)*Tabla4[[#This Row],[TOTAL COBERTURA]]</f>
        <v>465600</v>
      </c>
      <c r="AP520" s="35">
        <f>VLOOKUP(Tabla4[[#This Row],[SERVICIO 2025]],$J$2:$V$14,3,0)*Tabla4[[#This Row],[TOTAL COBERTURA]]*8</f>
        <v>32971008</v>
      </c>
      <c r="AQ520" s="35"/>
      <c r="AR520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520" s="35" t="str">
        <f>+IF(Tabla4[[#This Row],[AGRUPACIONES]]=1,SUMIFS(Tabla4[VALOR TOTAL],Tabla4[ZONA DEFINITIVO],Tabla4[[#This Row],[ZONA DEFINITIVO]])," ")</f>
        <v xml:space="preserve"> </v>
      </c>
      <c r="AT520" s="27">
        <f>(VLOOKUP(Tabla4[[#This Row],[SERVICIO 2025]],$J$2:$V$14,3,0)*Tabla4[[#This Row],[TOTAL COBERTURA]])+Tabla4[[#This Row],[VALOR FASE PREPARATORIA DE ALISTAMIENTO]]+Tabla4[[#This Row],[DOTACIÓN ÚNICA]]</f>
        <v>5376992</v>
      </c>
      <c r="AU520" s="35">
        <f>(VLOOKUP(Tabla4[[#This Row],[SERVICIO 2025]],$J$2:$V$14,3,0)*Tabla4[[#This Row],[TOTAL COBERTURA]])</f>
        <v>4121376</v>
      </c>
      <c r="AV520" s="35">
        <f>(VLOOKUP(Tabla4[[#This Row],[SERVICIO 2025]],$J$2:$V$14,3,0)*Tabla4[[#This Row],[TOTAL COBERTURA]])</f>
        <v>4121376</v>
      </c>
      <c r="AW520" s="35">
        <f>(VLOOKUP(Tabla4[[#This Row],[SERVICIO 2025]],$J$2:$V$14,3,0)*Tabla4[[#This Row],[TOTAL COBERTURA]])</f>
        <v>4121376</v>
      </c>
      <c r="AX520" s="35">
        <f>(VLOOKUP(Tabla4[[#This Row],[SERVICIO 2025]],$J$2:$V$14,3,0)*Tabla4[[#This Row],[TOTAL COBERTURA]])</f>
        <v>4121376</v>
      </c>
      <c r="AY520" s="35">
        <f>(VLOOKUP(Tabla4[[#This Row],[SERVICIO 2025]],$J$2:$V$14,3,0)*Tabla4[[#This Row],[TOTAL COBERTURA]])</f>
        <v>4121376</v>
      </c>
      <c r="AZ520" s="35">
        <f>(VLOOKUP(Tabla4[[#This Row],[SERVICIO 2025]],$J$2:$V$14,3,0)*Tabla4[[#This Row],[TOTAL COBERTURA]])</f>
        <v>4121376</v>
      </c>
      <c r="BA520" s="35">
        <f>(VLOOKUP(Tabla4[[#This Row],[SERVICIO 2025]],$J$2:$V$14,3,0)*Tabla4[[#This Row],[TOTAL COBERTURA]])+Tabla4[[#This Row],[VALOR FASE PREPARATORIA DE CIERRE]]</f>
        <v>4777840</v>
      </c>
      <c r="BB520" s="35">
        <f>SUM(Tabla4[[#This Row],[DESEMBOLSO 1]:[DESEMBOLSO 8]])</f>
        <v>34883088</v>
      </c>
      <c r="BC520" s="35">
        <f>VLOOKUP(Tabla4[[#This Row],[SERVICIO 2025]],$J$2:$V$14,10,0)*Tabla4[[#This Row],[TOTAL COBERTURA]]*$W$3</f>
        <v>23089024</v>
      </c>
      <c r="BD520" s="47" t="s">
        <v>211</v>
      </c>
      <c r="BE520" s="12" t="b">
        <f>EXACT(Tabla4[[#This Row],[VALOR ATENCIÓN (8 MESES)]],Tabla4[[#This Row],[VALOR TOTAL]])</f>
        <v>1</v>
      </c>
      <c r="BF520" s="23">
        <f>Tabla4[[#This Row],[VALOR ATENCIÓN (8 MESES)]]-Tabla4[[#This Row],[VALOR TOTAL]]</f>
        <v>0</v>
      </c>
      <c r="BG520" s="12" t="b">
        <f>EXACT(Tabla4[[#This Row],[TOTAL DESEMBOLSOS]],Tabla4[[#This Row],[VALOR ATENCIÓN (8 MESES)]])</f>
        <v>1</v>
      </c>
      <c r="BH520" s="29">
        <f>Tabla4[[#This Row],[TOTAL DESEMBOLSOS]]-Tabla4[[#This Row],[VALOR ATENCIÓN (8 MESES)]]</f>
        <v>0</v>
      </c>
      <c r="BI520" t="s">
        <v>98</v>
      </c>
      <c r="BJ520">
        <v>1937</v>
      </c>
    </row>
    <row r="521" spans="1:62">
      <c r="A521" s="13">
        <v>1937</v>
      </c>
      <c r="B521" s="13" t="s">
        <v>1180</v>
      </c>
      <c r="C521" s="12" t="s">
        <v>87</v>
      </c>
      <c r="D521" s="12" t="s">
        <v>462</v>
      </c>
      <c r="E521" s="12" t="s">
        <v>1172</v>
      </c>
      <c r="F521" s="12" t="s">
        <v>18</v>
      </c>
      <c r="G521" s="12" t="s">
        <v>90</v>
      </c>
      <c r="H521" s="12" t="s">
        <v>1207</v>
      </c>
      <c r="I521" s="12">
        <v>51721135869</v>
      </c>
      <c r="J521" s="12" t="s">
        <v>1208</v>
      </c>
      <c r="K521" s="12">
        <v>1</v>
      </c>
      <c r="L521" s="12">
        <v>20</v>
      </c>
      <c r="M521" s="12"/>
      <c r="N521" s="13">
        <v>1937</v>
      </c>
      <c r="O521" s="12" t="s">
        <v>93</v>
      </c>
      <c r="P521" s="12"/>
      <c r="Q521" s="12"/>
      <c r="R521" s="12" t="s">
        <v>94</v>
      </c>
      <c r="S521" s="12">
        <v>10</v>
      </c>
      <c r="T521" s="12" t="s">
        <v>1183</v>
      </c>
      <c r="U521" s="12" t="s">
        <v>1184</v>
      </c>
      <c r="V521" s="12">
        <f>VLOOKUP(Tabla4[[#This Row],[ZONA DEFINITIVO]],Hoja1!$A$1:$D$121,3,0)</f>
        <v>229106</v>
      </c>
      <c r="W521" s="12">
        <f>VLOOKUP(Tabla4[[#This Row],[ZONA DEFINITIVO]],Hoja1!$A$1:$D$121,2,0)</f>
        <v>15197</v>
      </c>
      <c r="X521" s="12">
        <f>VLOOKUP(Tabla4[[#This Row],[ZONA DEFINITIVO]],Hoja1!$A$1:$D$121,4,0)</f>
        <v>83225</v>
      </c>
      <c r="Y521" s="12" t="str">
        <f>+IF(Tabla4[[#This Row],[AGRUPACIONES]]=1,SUMIFS(Tabla4[UDS],Tabla4[ZONA DEFINITIVO],Tabla4[[#This Row],[ZONA DEFINITIVO]])," ")</f>
        <v xml:space="preserve"> </v>
      </c>
      <c r="Z521" s="12" t="str">
        <f>+IF(Tabla4[[#This Row],[AGRUPACIONES]]=1,SUMIFS(Tabla4[TOTAL COBERTURA],Tabla4[ZONA DEFINITIVO],Tabla4[[#This Row],[ZONA DEFINITIVO]])," ")</f>
        <v xml:space="preserve"> </v>
      </c>
      <c r="AA521" s="12"/>
      <c r="AB521" s="38">
        <v>43603860</v>
      </c>
      <c r="AC521" s="37">
        <v>0.02</v>
      </c>
      <c r="AD521" s="38">
        <f t="shared" si="8"/>
        <v>872077.20000000007</v>
      </c>
      <c r="AE521" s="12"/>
      <c r="AF521" s="12">
        <f>COUNTIF($A$20:A521,A521)</f>
        <v>14</v>
      </c>
      <c r="AG521" s="38">
        <v>43603860</v>
      </c>
      <c r="AH521" s="38">
        <f>Tabla4[[#This Row],[VALOR CONTRAPARTIDA]]+Tabla4[[#This Row],[TOTAL APORTES ICBF]]</f>
        <v>44475937.200000003</v>
      </c>
      <c r="AI521" s="35"/>
      <c r="AJ521" s="38"/>
      <c r="AK521" s="38"/>
      <c r="AL521" s="23"/>
      <c r="AM521" s="35">
        <f>VLOOKUP(Tabla4[[#This Row],[SERVICIO 2025]],$J$2:$V$14,5,0)*Tabla4[[#This Row],[TOTAL COBERTURA]]</f>
        <v>987520</v>
      </c>
      <c r="AN521" s="35">
        <f>VLOOKUP(Tabla4[[#This Row],[SERVICIO 2025]],$J$2:$V$14,6,0)*Tabla4[[#This Row],[TOTAL COBERTURA]]</f>
        <v>820580</v>
      </c>
      <c r="AO521" s="35">
        <f>VLOOKUP(Tabla4[[#This Row],[SERVICIO 2025]],$J$2:$V$14,8,0)*Tabla4[[#This Row],[TOTAL COBERTURA]]</f>
        <v>582000</v>
      </c>
      <c r="AP521" s="35">
        <f>VLOOKUP(Tabla4[[#This Row],[SERVICIO 2025]],$J$2:$V$14,3,0)*Tabla4[[#This Row],[TOTAL COBERTURA]]*8</f>
        <v>41213760</v>
      </c>
      <c r="AQ521" s="35"/>
      <c r="AR521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521" s="35" t="str">
        <f>+IF(Tabla4[[#This Row],[AGRUPACIONES]]=1,SUMIFS(Tabla4[VALOR TOTAL],Tabla4[ZONA DEFINITIVO],Tabla4[[#This Row],[ZONA DEFINITIVO]])," ")</f>
        <v xml:space="preserve"> </v>
      </c>
      <c r="AT521" s="27">
        <f>(VLOOKUP(Tabla4[[#This Row],[SERVICIO 2025]],$J$2:$V$14,3,0)*Tabla4[[#This Row],[TOTAL COBERTURA]])+Tabla4[[#This Row],[VALOR FASE PREPARATORIA DE ALISTAMIENTO]]+Tabla4[[#This Row],[DOTACIÓN ÚNICA]]</f>
        <v>6721240</v>
      </c>
      <c r="AU521" s="35">
        <f>(VLOOKUP(Tabla4[[#This Row],[SERVICIO 2025]],$J$2:$V$14,3,0)*Tabla4[[#This Row],[TOTAL COBERTURA]])</f>
        <v>5151720</v>
      </c>
      <c r="AV521" s="35">
        <f>(VLOOKUP(Tabla4[[#This Row],[SERVICIO 2025]],$J$2:$V$14,3,0)*Tabla4[[#This Row],[TOTAL COBERTURA]])</f>
        <v>5151720</v>
      </c>
      <c r="AW521" s="35">
        <f>(VLOOKUP(Tabla4[[#This Row],[SERVICIO 2025]],$J$2:$V$14,3,0)*Tabla4[[#This Row],[TOTAL COBERTURA]])</f>
        <v>5151720</v>
      </c>
      <c r="AX521" s="35">
        <f>(VLOOKUP(Tabla4[[#This Row],[SERVICIO 2025]],$J$2:$V$14,3,0)*Tabla4[[#This Row],[TOTAL COBERTURA]])</f>
        <v>5151720</v>
      </c>
      <c r="AY521" s="35">
        <f>(VLOOKUP(Tabla4[[#This Row],[SERVICIO 2025]],$J$2:$V$14,3,0)*Tabla4[[#This Row],[TOTAL COBERTURA]])</f>
        <v>5151720</v>
      </c>
      <c r="AZ521" s="35">
        <f>(VLOOKUP(Tabla4[[#This Row],[SERVICIO 2025]],$J$2:$V$14,3,0)*Tabla4[[#This Row],[TOTAL COBERTURA]])</f>
        <v>5151720</v>
      </c>
      <c r="BA521" s="35">
        <f>(VLOOKUP(Tabla4[[#This Row],[SERVICIO 2025]],$J$2:$V$14,3,0)*Tabla4[[#This Row],[TOTAL COBERTURA]])+Tabla4[[#This Row],[VALOR FASE PREPARATORIA DE CIERRE]]</f>
        <v>5972300</v>
      </c>
      <c r="BB521" s="35">
        <f>SUM(Tabla4[[#This Row],[DESEMBOLSO 1]:[DESEMBOLSO 8]])</f>
        <v>43603860</v>
      </c>
      <c r="BC521" s="35">
        <f>VLOOKUP(Tabla4[[#This Row],[SERVICIO 2025]],$J$2:$V$14,10,0)*Tabla4[[#This Row],[TOTAL COBERTURA]]*$W$3</f>
        <v>28861280</v>
      </c>
      <c r="BD521" s="47" t="s">
        <v>211</v>
      </c>
      <c r="BE521" s="12" t="b">
        <f>EXACT(Tabla4[[#This Row],[VALOR ATENCIÓN (8 MESES)]],Tabla4[[#This Row],[VALOR TOTAL]])</f>
        <v>1</v>
      </c>
      <c r="BF521" s="23">
        <f>Tabla4[[#This Row],[VALOR ATENCIÓN (8 MESES)]]-Tabla4[[#This Row],[VALOR TOTAL]]</f>
        <v>0</v>
      </c>
      <c r="BG521" s="12" t="b">
        <f>EXACT(Tabla4[[#This Row],[TOTAL DESEMBOLSOS]],Tabla4[[#This Row],[VALOR ATENCIÓN (8 MESES)]])</f>
        <v>1</v>
      </c>
      <c r="BH521" s="29">
        <f>Tabla4[[#This Row],[TOTAL DESEMBOLSOS]]-Tabla4[[#This Row],[VALOR ATENCIÓN (8 MESES)]]</f>
        <v>0</v>
      </c>
      <c r="BI521" t="s">
        <v>98</v>
      </c>
      <c r="BJ521">
        <v>1937</v>
      </c>
    </row>
    <row r="522" spans="1:62">
      <c r="A522" s="13">
        <v>1937</v>
      </c>
      <c r="B522" s="13" t="s">
        <v>1180</v>
      </c>
      <c r="C522" s="12" t="s">
        <v>87</v>
      </c>
      <c r="D522" s="12" t="s">
        <v>462</v>
      </c>
      <c r="E522" s="12" t="s">
        <v>1172</v>
      </c>
      <c r="F522" s="12" t="s">
        <v>18</v>
      </c>
      <c r="G522" s="12" t="s">
        <v>90</v>
      </c>
      <c r="H522" s="12" t="s">
        <v>1209</v>
      </c>
      <c r="I522" s="12">
        <v>51721135878</v>
      </c>
      <c r="J522" s="12" t="s">
        <v>1210</v>
      </c>
      <c r="K522" s="12">
        <v>1</v>
      </c>
      <c r="L522" s="12">
        <v>15</v>
      </c>
      <c r="M522" s="12"/>
      <c r="N522" s="13">
        <v>1937</v>
      </c>
      <c r="O522" s="12" t="s">
        <v>93</v>
      </c>
      <c r="P522" s="12"/>
      <c r="Q522" s="12"/>
      <c r="R522" s="12" t="s">
        <v>94</v>
      </c>
      <c r="S522" s="12">
        <v>10</v>
      </c>
      <c r="T522" s="12" t="s">
        <v>1183</v>
      </c>
      <c r="U522" s="12" t="s">
        <v>1184</v>
      </c>
      <c r="V522" s="12">
        <f>VLOOKUP(Tabla4[[#This Row],[ZONA DEFINITIVO]],Hoja1!$A$1:$D$121,3,0)</f>
        <v>229106</v>
      </c>
      <c r="W522" s="12">
        <f>VLOOKUP(Tabla4[[#This Row],[ZONA DEFINITIVO]],Hoja1!$A$1:$D$121,2,0)</f>
        <v>15197</v>
      </c>
      <c r="X522" s="12">
        <f>VLOOKUP(Tabla4[[#This Row],[ZONA DEFINITIVO]],Hoja1!$A$1:$D$121,4,0)</f>
        <v>83225</v>
      </c>
      <c r="Y522" s="12" t="str">
        <f>+IF(Tabla4[[#This Row],[AGRUPACIONES]]=1,SUMIFS(Tabla4[UDS],Tabla4[ZONA DEFINITIVO],Tabla4[[#This Row],[ZONA DEFINITIVO]])," ")</f>
        <v xml:space="preserve"> </v>
      </c>
      <c r="Z522" s="12" t="str">
        <f>+IF(Tabla4[[#This Row],[AGRUPACIONES]]=1,SUMIFS(Tabla4[TOTAL COBERTURA],Tabla4[ZONA DEFINITIVO],Tabla4[[#This Row],[ZONA DEFINITIVO]])," ")</f>
        <v xml:space="preserve"> </v>
      </c>
      <c r="AA522" s="12"/>
      <c r="AB522" s="38">
        <v>32702895</v>
      </c>
      <c r="AC522" s="37">
        <v>0.02</v>
      </c>
      <c r="AD522" s="38">
        <f t="shared" si="8"/>
        <v>654057.9</v>
      </c>
      <c r="AE522" s="12"/>
      <c r="AF522" s="12">
        <f>COUNTIF($A$20:A522,A522)</f>
        <v>15</v>
      </c>
      <c r="AG522" s="38">
        <v>32702895</v>
      </c>
      <c r="AH522" s="38">
        <f>Tabla4[[#This Row],[VALOR CONTRAPARTIDA]]+Tabla4[[#This Row],[TOTAL APORTES ICBF]]</f>
        <v>33356952.899999999</v>
      </c>
      <c r="AI522" s="35"/>
      <c r="AJ522" s="38"/>
      <c r="AK522" s="38"/>
      <c r="AL522" s="23"/>
      <c r="AM522" s="35">
        <f>VLOOKUP(Tabla4[[#This Row],[SERVICIO 2025]],$J$2:$V$14,5,0)*Tabla4[[#This Row],[TOTAL COBERTURA]]</f>
        <v>740640</v>
      </c>
      <c r="AN522" s="35">
        <f>VLOOKUP(Tabla4[[#This Row],[SERVICIO 2025]],$J$2:$V$14,6,0)*Tabla4[[#This Row],[TOTAL COBERTURA]]</f>
        <v>615435</v>
      </c>
      <c r="AO522" s="35">
        <f>VLOOKUP(Tabla4[[#This Row],[SERVICIO 2025]],$J$2:$V$14,8,0)*Tabla4[[#This Row],[TOTAL COBERTURA]]</f>
        <v>436500</v>
      </c>
      <c r="AP522" s="35">
        <f>VLOOKUP(Tabla4[[#This Row],[SERVICIO 2025]],$J$2:$V$14,3,0)*Tabla4[[#This Row],[TOTAL COBERTURA]]*8</f>
        <v>30910320</v>
      </c>
      <c r="AQ522" s="35"/>
      <c r="AR522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522" s="35" t="str">
        <f>+IF(Tabla4[[#This Row],[AGRUPACIONES]]=1,SUMIFS(Tabla4[VALOR TOTAL],Tabla4[ZONA DEFINITIVO],Tabla4[[#This Row],[ZONA DEFINITIVO]])," ")</f>
        <v xml:space="preserve"> </v>
      </c>
      <c r="AT522" s="27">
        <f>(VLOOKUP(Tabla4[[#This Row],[SERVICIO 2025]],$J$2:$V$14,3,0)*Tabla4[[#This Row],[TOTAL COBERTURA]])+Tabla4[[#This Row],[VALOR FASE PREPARATORIA DE ALISTAMIENTO]]+Tabla4[[#This Row],[DOTACIÓN ÚNICA]]</f>
        <v>5040930</v>
      </c>
      <c r="AU522" s="35">
        <f>(VLOOKUP(Tabla4[[#This Row],[SERVICIO 2025]],$J$2:$V$14,3,0)*Tabla4[[#This Row],[TOTAL COBERTURA]])</f>
        <v>3863790</v>
      </c>
      <c r="AV522" s="35">
        <f>(VLOOKUP(Tabla4[[#This Row],[SERVICIO 2025]],$J$2:$V$14,3,0)*Tabla4[[#This Row],[TOTAL COBERTURA]])</f>
        <v>3863790</v>
      </c>
      <c r="AW522" s="35">
        <f>(VLOOKUP(Tabla4[[#This Row],[SERVICIO 2025]],$J$2:$V$14,3,0)*Tabla4[[#This Row],[TOTAL COBERTURA]])</f>
        <v>3863790</v>
      </c>
      <c r="AX522" s="35">
        <f>(VLOOKUP(Tabla4[[#This Row],[SERVICIO 2025]],$J$2:$V$14,3,0)*Tabla4[[#This Row],[TOTAL COBERTURA]])</f>
        <v>3863790</v>
      </c>
      <c r="AY522" s="35">
        <f>(VLOOKUP(Tabla4[[#This Row],[SERVICIO 2025]],$J$2:$V$14,3,0)*Tabla4[[#This Row],[TOTAL COBERTURA]])</f>
        <v>3863790</v>
      </c>
      <c r="AZ522" s="35">
        <f>(VLOOKUP(Tabla4[[#This Row],[SERVICIO 2025]],$J$2:$V$14,3,0)*Tabla4[[#This Row],[TOTAL COBERTURA]])</f>
        <v>3863790</v>
      </c>
      <c r="BA522" s="35">
        <f>(VLOOKUP(Tabla4[[#This Row],[SERVICIO 2025]],$J$2:$V$14,3,0)*Tabla4[[#This Row],[TOTAL COBERTURA]])+Tabla4[[#This Row],[VALOR FASE PREPARATORIA DE CIERRE]]</f>
        <v>4479225</v>
      </c>
      <c r="BB522" s="35">
        <f>SUM(Tabla4[[#This Row],[DESEMBOLSO 1]:[DESEMBOLSO 8]])</f>
        <v>32702895</v>
      </c>
      <c r="BC522" s="35">
        <f>VLOOKUP(Tabla4[[#This Row],[SERVICIO 2025]],$J$2:$V$14,10,0)*Tabla4[[#This Row],[TOTAL COBERTURA]]*$W$3</f>
        <v>21645960</v>
      </c>
      <c r="BD522" s="47" t="s">
        <v>211</v>
      </c>
      <c r="BE522" s="12" t="b">
        <f>EXACT(Tabla4[[#This Row],[VALOR ATENCIÓN (8 MESES)]],Tabla4[[#This Row],[VALOR TOTAL]])</f>
        <v>1</v>
      </c>
      <c r="BF522" s="23">
        <f>Tabla4[[#This Row],[VALOR ATENCIÓN (8 MESES)]]-Tabla4[[#This Row],[VALOR TOTAL]]</f>
        <v>0</v>
      </c>
      <c r="BG522" s="12" t="b">
        <f>EXACT(Tabla4[[#This Row],[TOTAL DESEMBOLSOS]],Tabla4[[#This Row],[VALOR ATENCIÓN (8 MESES)]])</f>
        <v>1</v>
      </c>
      <c r="BH522" s="29">
        <f>Tabla4[[#This Row],[TOTAL DESEMBOLSOS]]-Tabla4[[#This Row],[VALOR ATENCIÓN (8 MESES)]]</f>
        <v>0</v>
      </c>
      <c r="BI522" t="s">
        <v>98</v>
      </c>
      <c r="BJ522">
        <v>1937</v>
      </c>
    </row>
    <row r="523" spans="1:62">
      <c r="A523" s="13">
        <v>1937</v>
      </c>
      <c r="B523" s="13" t="s">
        <v>1180</v>
      </c>
      <c r="C523" s="12" t="s">
        <v>87</v>
      </c>
      <c r="D523" s="12" t="s">
        <v>462</v>
      </c>
      <c r="E523" s="12" t="s">
        <v>1172</v>
      </c>
      <c r="F523" s="12" t="s">
        <v>18</v>
      </c>
      <c r="G523" s="12" t="s">
        <v>90</v>
      </c>
      <c r="H523" s="12" t="s">
        <v>1211</v>
      </c>
      <c r="I523" s="12">
        <v>51721135879</v>
      </c>
      <c r="J523" s="12" t="s">
        <v>1212</v>
      </c>
      <c r="K523" s="12">
        <v>1</v>
      </c>
      <c r="L523" s="12">
        <v>34</v>
      </c>
      <c r="M523" s="12"/>
      <c r="N523" s="13">
        <v>1937</v>
      </c>
      <c r="O523" s="12" t="s">
        <v>93</v>
      </c>
      <c r="P523" s="12"/>
      <c r="Q523" s="12"/>
      <c r="R523" s="12" t="s">
        <v>94</v>
      </c>
      <c r="S523" s="12">
        <v>10</v>
      </c>
      <c r="T523" s="12" t="s">
        <v>1183</v>
      </c>
      <c r="U523" s="12" t="s">
        <v>1184</v>
      </c>
      <c r="V523" s="12">
        <f>VLOOKUP(Tabla4[[#This Row],[ZONA DEFINITIVO]],Hoja1!$A$1:$D$121,3,0)</f>
        <v>229106</v>
      </c>
      <c r="W523" s="12">
        <f>VLOOKUP(Tabla4[[#This Row],[ZONA DEFINITIVO]],Hoja1!$A$1:$D$121,2,0)</f>
        <v>15197</v>
      </c>
      <c r="X523" s="12">
        <f>VLOOKUP(Tabla4[[#This Row],[ZONA DEFINITIVO]],Hoja1!$A$1:$D$121,4,0)</f>
        <v>83225</v>
      </c>
      <c r="Y523" s="12" t="str">
        <f>+IF(Tabla4[[#This Row],[AGRUPACIONES]]=1,SUMIFS(Tabla4[UDS],Tabla4[ZONA DEFINITIVO],Tabla4[[#This Row],[ZONA DEFINITIVO]])," ")</f>
        <v xml:space="preserve"> </v>
      </c>
      <c r="Z523" s="12" t="str">
        <f>+IF(Tabla4[[#This Row],[AGRUPACIONES]]=1,SUMIFS(Tabla4[TOTAL COBERTURA],Tabla4[ZONA DEFINITIVO],Tabla4[[#This Row],[ZONA DEFINITIVO]])," ")</f>
        <v xml:space="preserve"> </v>
      </c>
      <c r="AA523" s="12"/>
      <c r="AB523" s="38">
        <v>74126562</v>
      </c>
      <c r="AC523" s="37">
        <v>0.02</v>
      </c>
      <c r="AD523" s="38">
        <f t="shared" si="8"/>
        <v>1482531.24</v>
      </c>
      <c r="AE523" s="12"/>
      <c r="AF523" s="12">
        <f>COUNTIF($A$20:A523,A523)</f>
        <v>16</v>
      </c>
      <c r="AG523" s="38">
        <v>74126562</v>
      </c>
      <c r="AH523" s="38">
        <f>Tabla4[[#This Row],[VALOR CONTRAPARTIDA]]+Tabla4[[#This Row],[TOTAL APORTES ICBF]]</f>
        <v>75609093.239999995</v>
      </c>
      <c r="AI523" s="35"/>
      <c r="AJ523" s="38"/>
      <c r="AK523" s="38"/>
      <c r="AL523" s="23"/>
      <c r="AM523" s="35">
        <f>VLOOKUP(Tabla4[[#This Row],[SERVICIO 2025]],$J$2:$V$14,5,0)*Tabla4[[#This Row],[TOTAL COBERTURA]]</f>
        <v>1678784</v>
      </c>
      <c r="AN523" s="35">
        <f>VLOOKUP(Tabla4[[#This Row],[SERVICIO 2025]],$J$2:$V$14,6,0)*Tabla4[[#This Row],[TOTAL COBERTURA]]</f>
        <v>1394986</v>
      </c>
      <c r="AO523" s="35">
        <f>VLOOKUP(Tabla4[[#This Row],[SERVICIO 2025]],$J$2:$V$14,8,0)*Tabla4[[#This Row],[TOTAL COBERTURA]]</f>
        <v>989400</v>
      </c>
      <c r="AP523" s="35">
        <f>VLOOKUP(Tabla4[[#This Row],[SERVICIO 2025]],$J$2:$V$14,3,0)*Tabla4[[#This Row],[TOTAL COBERTURA]]*8</f>
        <v>70063392</v>
      </c>
      <c r="AQ523" s="35"/>
      <c r="AR523" s="35">
        <f>Tabla4[[#This Row],[VALOR FASE PREPARATORIA DE ALISTAMIENTO]]+Tabla4[[#This Row],[VALOR FASE PREPARATORIA DE CIERRE]]+Tabla4[[#This Row],[DOTACIÓN ÚNICA]]+Tabla4[[#This Row],[VALOR ATENCIÓN]]+Tabla4[[#This Row],[VALOR RACION PREPARADA]]</f>
        <v>74126562</v>
      </c>
      <c r="AS523" s="35" t="str">
        <f>+IF(Tabla4[[#This Row],[AGRUPACIONES]]=1,SUMIFS(Tabla4[VALOR TOTAL],Tabla4[ZONA DEFINITIVO],Tabla4[[#This Row],[ZONA DEFINITIVO]])," ")</f>
        <v xml:space="preserve"> </v>
      </c>
      <c r="AT523" s="27">
        <f>(VLOOKUP(Tabla4[[#This Row],[SERVICIO 2025]],$J$2:$V$14,3,0)*Tabla4[[#This Row],[TOTAL COBERTURA]])+Tabla4[[#This Row],[VALOR FASE PREPARATORIA DE ALISTAMIENTO]]+Tabla4[[#This Row],[DOTACIÓN ÚNICA]]</f>
        <v>11426108</v>
      </c>
      <c r="AU523" s="35">
        <f>(VLOOKUP(Tabla4[[#This Row],[SERVICIO 2025]],$J$2:$V$14,3,0)*Tabla4[[#This Row],[TOTAL COBERTURA]])</f>
        <v>8757924</v>
      </c>
      <c r="AV523" s="35">
        <f>(VLOOKUP(Tabla4[[#This Row],[SERVICIO 2025]],$J$2:$V$14,3,0)*Tabla4[[#This Row],[TOTAL COBERTURA]])</f>
        <v>8757924</v>
      </c>
      <c r="AW523" s="35">
        <f>(VLOOKUP(Tabla4[[#This Row],[SERVICIO 2025]],$J$2:$V$14,3,0)*Tabla4[[#This Row],[TOTAL COBERTURA]])</f>
        <v>8757924</v>
      </c>
      <c r="AX523" s="35">
        <f>(VLOOKUP(Tabla4[[#This Row],[SERVICIO 2025]],$J$2:$V$14,3,0)*Tabla4[[#This Row],[TOTAL COBERTURA]])</f>
        <v>8757924</v>
      </c>
      <c r="AY523" s="35">
        <f>(VLOOKUP(Tabla4[[#This Row],[SERVICIO 2025]],$J$2:$V$14,3,0)*Tabla4[[#This Row],[TOTAL COBERTURA]])</f>
        <v>8757924</v>
      </c>
      <c r="AZ523" s="35">
        <f>(VLOOKUP(Tabla4[[#This Row],[SERVICIO 2025]],$J$2:$V$14,3,0)*Tabla4[[#This Row],[TOTAL COBERTURA]])</f>
        <v>8757924</v>
      </c>
      <c r="BA523" s="35">
        <f>(VLOOKUP(Tabla4[[#This Row],[SERVICIO 2025]],$J$2:$V$14,3,0)*Tabla4[[#This Row],[TOTAL COBERTURA]])+Tabla4[[#This Row],[VALOR FASE PREPARATORIA DE CIERRE]]</f>
        <v>10152910</v>
      </c>
      <c r="BB523" s="35">
        <f>SUM(Tabla4[[#This Row],[DESEMBOLSO 1]:[DESEMBOLSO 8]])</f>
        <v>74126562</v>
      </c>
      <c r="BC523" s="35">
        <f>VLOOKUP(Tabla4[[#This Row],[SERVICIO 2025]],$J$2:$V$14,10,0)*Tabla4[[#This Row],[TOTAL COBERTURA]]*$W$3</f>
        <v>49064176</v>
      </c>
      <c r="BD523" s="47" t="s">
        <v>211</v>
      </c>
      <c r="BE523" s="12" t="b">
        <f>EXACT(Tabla4[[#This Row],[VALOR ATENCIÓN (8 MESES)]],Tabla4[[#This Row],[VALOR TOTAL]])</f>
        <v>1</v>
      </c>
      <c r="BF523" s="23">
        <f>Tabla4[[#This Row],[VALOR ATENCIÓN (8 MESES)]]-Tabla4[[#This Row],[VALOR TOTAL]]</f>
        <v>0</v>
      </c>
      <c r="BG523" s="12" t="b">
        <f>EXACT(Tabla4[[#This Row],[TOTAL DESEMBOLSOS]],Tabla4[[#This Row],[VALOR ATENCIÓN (8 MESES)]])</f>
        <v>1</v>
      </c>
      <c r="BH523" s="29">
        <f>Tabla4[[#This Row],[TOTAL DESEMBOLSOS]]-Tabla4[[#This Row],[VALOR ATENCIÓN (8 MESES)]]</f>
        <v>0</v>
      </c>
      <c r="BI523" t="s">
        <v>98</v>
      </c>
      <c r="BJ523">
        <v>1937</v>
      </c>
    </row>
    <row r="524" spans="1:62">
      <c r="A524" s="13">
        <v>1937</v>
      </c>
      <c r="B524" s="13" t="s">
        <v>1180</v>
      </c>
      <c r="C524" s="12" t="s">
        <v>87</v>
      </c>
      <c r="D524" s="12" t="s">
        <v>462</v>
      </c>
      <c r="E524" s="12" t="s">
        <v>1172</v>
      </c>
      <c r="F524" s="12" t="s">
        <v>18</v>
      </c>
      <c r="G524" s="12" t="s">
        <v>90</v>
      </c>
      <c r="H524" s="12" t="s">
        <v>1213</v>
      </c>
      <c r="I524" s="12">
        <v>51721135888</v>
      </c>
      <c r="J524" s="12" t="s">
        <v>1214</v>
      </c>
      <c r="K524" s="12">
        <v>1</v>
      </c>
      <c r="L524" s="12">
        <v>14</v>
      </c>
      <c r="M524" s="12"/>
      <c r="N524" s="13">
        <v>1937</v>
      </c>
      <c r="O524" s="12" t="s">
        <v>93</v>
      </c>
      <c r="P524" s="12"/>
      <c r="Q524" s="12"/>
      <c r="R524" s="12" t="s">
        <v>94</v>
      </c>
      <c r="S524" s="12">
        <v>10</v>
      </c>
      <c r="T524" s="12" t="s">
        <v>1183</v>
      </c>
      <c r="U524" s="12" t="s">
        <v>1184</v>
      </c>
      <c r="V524" s="12">
        <f>VLOOKUP(Tabla4[[#This Row],[ZONA DEFINITIVO]],Hoja1!$A$1:$D$121,3,0)</f>
        <v>229106</v>
      </c>
      <c r="W524" s="12">
        <f>VLOOKUP(Tabla4[[#This Row],[ZONA DEFINITIVO]],Hoja1!$A$1:$D$121,2,0)</f>
        <v>15197</v>
      </c>
      <c r="X524" s="12">
        <f>VLOOKUP(Tabla4[[#This Row],[ZONA DEFINITIVO]],Hoja1!$A$1:$D$121,4,0)</f>
        <v>83225</v>
      </c>
      <c r="Y524" s="12" t="str">
        <f>+IF(Tabla4[[#This Row],[AGRUPACIONES]]=1,SUMIFS(Tabla4[UDS],Tabla4[ZONA DEFINITIVO],Tabla4[[#This Row],[ZONA DEFINITIVO]])," ")</f>
        <v xml:space="preserve"> </v>
      </c>
      <c r="Z524" s="12" t="str">
        <f>+IF(Tabla4[[#This Row],[AGRUPACIONES]]=1,SUMIFS(Tabla4[TOTAL COBERTURA],Tabla4[ZONA DEFINITIVO],Tabla4[[#This Row],[ZONA DEFINITIVO]])," ")</f>
        <v xml:space="preserve"> </v>
      </c>
      <c r="AA524" s="12"/>
      <c r="AB524" s="38">
        <v>30522702</v>
      </c>
      <c r="AC524" s="37">
        <v>0.02</v>
      </c>
      <c r="AD524" s="38">
        <f t="shared" si="8"/>
        <v>610454.04</v>
      </c>
      <c r="AE524" s="12"/>
      <c r="AF524" s="12">
        <f>COUNTIF($A$20:A524,A524)</f>
        <v>17</v>
      </c>
      <c r="AG524" s="38">
        <v>30522702</v>
      </c>
      <c r="AH524" s="38">
        <f>Tabla4[[#This Row],[VALOR CONTRAPARTIDA]]+Tabla4[[#This Row],[TOTAL APORTES ICBF]]</f>
        <v>31133156.039999999</v>
      </c>
      <c r="AI524" s="35"/>
      <c r="AJ524" s="38"/>
      <c r="AK524" s="38"/>
      <c r="AL524" s="23"/>
      <c r="AM524" s="35">
        <f>VLOOKUP(Tabla4[[#This Row],[SERVICIO 2025]],$J$2:$V$14,5,0)*Tabla4[[#This Row],[TOTAL COBERTURA]]</f>
        <v>691264</v>
      </c>
      <c r="AN524" s="35">
        <f>VLOOKUP(Tabla4[[#This Row],[SERVICIO 2025]],$J$2:$V$14,6,0)*Tabla4[[#This Row],[TOTAL COBERTURA]]</f>
        <v>574406</v>
      </c>
      <c r="AO524" s="35">
        <f>VLOOKUP(Tabla4[[#This Row],[SERVICIO 2025]],$J$2:$V$14,8,0)*Tabla4[[#This Row],[TOTAL COBERTURA]]</f>
        <v>407400</v>
      </c>
      <c r="AP524" s="35">
        <f>VLOOKUP(Tabla4[[#This Row],[SERVICIO 2025]],$J$2:$V$14,3,0)*Tabla4[[#This Row],[TOTAL COBERTURA]]*8</f>
        <v>28849632</v>
      </c>
      <c r="AQ524" s="35"/>
      <c r="AR524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524" s="35" t="str">
        <f>+IF(Tabla4[[#This Row],[AGRUPACIONES]]=1,SUMIFS(Tabla4[VALOR TOTAL],Tabla4[ZONA DEFINITIVO],Tabla4[[#This Row],[ZONA DEFINITIVO]])," ")</f>
        <v xml:space="preserve"> </v>
      </c>
      <c r="AT524" s="27">
        <f>(VLOOKUP(Tabla4[[#This Row],[SERVICIO 2025]],$J$2:$V$14,3,0)*Tabla4[[#This Row],[TOTAL COBERTURA]])+Tabla4[[#This Row],[VALOR FASE PREPARATORIA DE ALISTAMIENTO]]+Tabla4[[#This Row],[DOTACIÓN ÚNICA]]</f>
        <v>4704868</v>
      </c>
      <c r="AU524" s="35">
        <f>(VLOOKUP(Tabla4[[#This Row],[SERVICIO 2025]],$J$2:$V$14,3,0)*Tabla4[[#This Row],[TOTAL COBERTURA]])</f>
        <v>3606204</v>
      </c>
      <c r="AV524" s="35">
        <f>(VLOOKUP(Tabla4[[#This Row],[SERVICIO 2025]],$J$2:$V$14,3,0)*Tabla4[[#This Row],[TOTAL COBERTURA]])</f>
        <v>3606204</v>
      </c>
      <c r="AW524" s="35">
        <f>(VLOOKUP(Tabla4[[#This Row],[SERVICIO 2025]],$J$2:$V$14,3,0)*Tabla4[[#This Row],[TOTAL COBERTURA]])</f>
        <v>3606204</v>
      </c>
      <c r="AX524" s="35">
        <f>(VLOOKUP(Tabla4[[#This Row],[SERVICIO 2025]],$J$2:$V$14,3,0)*Tabla4[[#This Row],[TOTAL COBERTURA]])</f>
        <v>3606204</v>
      </c>
      <c r="AY524" s="35">
        <f>(VLOOKUP(Tabla4[[#This Row],[SERVICIO 2025]],$J$2:$V$14,3,0)*Tabla4[[#This Row],[TOTAL COBERTURA]])</f>
        <v>3606204</v>
      </c>
      <c r="AZ524" s="35">
        <f>(VLOOKUP(Tabla4[[#This Row],[SERVICIO 2025]],$J$2:$V$14,3,0)*Tabla4[[#This Row],[TOTAL COBERTURA]])</f>
        <v>3606204</v>
      </c>
      <c r="BA524" s="35">
        <f>(VLOOKUP(Tabla4[[#This Row],[SERVICIO 2025]],$J$2:$V$14,3,0)*Tabla4[[#This Row],[TOTAL COBERTURA]])+Tabla4[[#This Row],[VALOR FASE PREPARATORIA DE CIERRE]]</f>
        <v>4180610</v>
      </c>
      <c r="BB524" s="35">
        <f>SUM(Tabla4[[#This Row],[DESEMBOLSO 1]:[DESEMBOLSO 8]])</f>
        <v>30522702</v>
      </c>
      <c r="BC524" s="35">
        <f>VLOOKUP(Tabla4[[#This Row],[SERVICIO 2025]],$J$2:$V$14,10,0)*Tabla4[[#This Row],[TOTAL COBERTURA]]*$W$3</f>
        <v>20202896</v>
      </c>
      <c r="BD524" s="47" t="s">
        <v>211</v>
      </c>
      <c r="BE524" s="12" t="b">
        <f>EXACT(Tabla4[[#This Row],[VALOR ATENCIÓN (8 MESES)]],Tabla4[[#This Row],[VALOR TOTAL]])</f>
        <v>1</v>
      </c>
      <c r="BF524" s="23">
        <f>Tabla4[[#This Row],[VALOR ATENCIÓN (8 MESES)]]-Tabla4[[#This Row],[VALOR TOTAL]]</f>
        <v>0</v>
      </c>
      <c r="BG524" s="12" t="b">
        <f>EXACT(Tabla4[[#This Row],[TOTAL DESEMBOLSOS]],Tabla4[[#This Row],[VALOR ATENCIÓN (8 MESES)]])</f>
        <v>1</v>
      </c>
      <c r="BH524" s="29">
        <f>Tabla4[[#This Row],[TOTAL DESEMBOLSOS]]-Tabla4[[#This Row],[VALOR ATENCIÓN (8 MESES)]]</f>
        <v>0</v>
      </c>
      <c r="BI524" t="s">
        <v>98</v>
      </c>
      <c r="BJ524">
        <v>1937</v>
      </c>
    </row>
    <row r="525" spans="1:62">
      <c r="A525" s="13">
        <v>1937</v>
      </c>
      <c r="B525" s="13" t="s">
        <v>1180</v>
      </c>
      <c r="C525" s="12" t="s">
        <v>87</v>
      </c>
      <c r="D525" s="12" t="s">
        <v>462</v>
      </c>
      <c r="E525" s="12" t="s">
        <v>1172</v>
      </c>
      <c r="F525" s="12" t="s">
        <v>18</v>
      </c>
      <c r="G525" s="12" t="s">
        <v>90</v>
      </c>
      <c r="H525" s="12" t="s">
        <v>1215</v>
      </c>
      <c r="I525" s="12">
        <v>51721135896</v>
      </c>
      <c r="J525" s="12" t="s">
        <v>1216</v>
      </c>
      <c r="K525" s="12">
        <v>1</v>
      </c>
      <c r="L525" s="12">
        <v>17</v>
      </c>
      <c r="M525" s="12"/>
      <c r="N525" s="13">
        <v>1937</v>
      </c>
      <c r="O525" s="12" t="s">
        <v>93</v>
      </c>
      <c r="P525" s="12"/>
      <c r="Q525" s="12"/>
      <c r="R525" s="12" t="s">
        <v>94</v>
      </c>
      <c r="S525" s="12">
        <v>10</v>
      </c>
      <c r="T525" s="12" t="s">
        <v>1183</v>
      </c>
      <c r="U525" s="12" t="s">
        <v>1184</v>
      </c>
      <c r="V525" s="12">
        <f>VLOOKUP(Tabla4[[#This Row],[ZONA DEFINITIVO]],Hoja1!$A$1:$D$121,3,0)</f>
        <v>229106</v>
      </c>
      <c r="W525" s="12">
        <f>VLOOKUP(Tabla4[[#This Row],[ZONA DEFINITIVO]],Hoja1!$A$1:$D$121,2,0)</f>
        <v>15197</v>
      </c>
      <c r="X525" s="12">
        <f>VLOOKUP(Tabla4[[#This Row],[ZONA DEFINITIVO]],Hoja1!$A$1:$D$121,4,0)</f>
        <v>83225</v>
      </c>
      <c r="Y525" s="12" t="str">
        <f>+IF(Tabla4[[#This Row],[AGRUPACIONES]]=1,SUMIFS(Tabla4[UDS],Tabla4[ZONA DEFINITIVO],Tabla4[[#This Row],[ZONA DEFINITIVO]])," ")</f>
        <v xml:space="preserve"> </v>
      </c>
      <c r="Z525" s="12" t="str">
        <f>+IF(Tabla4[[#This Row],[AGRUPACIONES]]=1,SUMIFS(Tabla4[TOTAL COBERTURA],Tabla4[ZONA DEFINITIVO],Tabla4[[#This Row],[ZONA DEFINITIVO]])," ")</f>
        <v xml:space="preserve"> </v>
      </c>
      <c r="AA525" s="12"/>
      <c r="AB525" s="38">
        <v>37063281</v>
      </c>
      <c r="AC525" s="37">
        <v>0.02</v>
      </c>
      <c r="AD525" s="38">
        <f t="shared" si="8"/>
        <v>741265.62</v>
      </c>
      <c r="AE525" s="12"/>
      <c r="AF525" s="12">
        <f>COUNTIF($A$20:A525,A525)</f>
        <v>18</v>
      </c>
      <c r="AG525" s="38">
        <v>37063281</v>
      </c>
      <c r="AH525" s="38">
        <f>Tabla4[[#This Row],[VALOR CONTRAPARTIDA]]+Tabla4[[#This Row],[TOTAL APORTES ICBF]]</f>
        <v>37804546.619999997</v>
      </c>
      <c r="AI525" s="35"/>
      <c r="AJ525" s="38"/>
      <c r="AK525" s="38"/>
      <c r="AL525" s="23"/>
      <c r="AM525" s="35">
        <f>VLOOKUP(Tabla4[[#This Row],[SERVICIO 2025]],$J$2:$V$14,5,0)*Tabla4[[#This Row],[TOTAL COBERTURA]]</f>
        <v>839392</v>
      </c>
      <c r="AN525" s="35">
        <f>VLOOKUP(Tabla4[[#This Row],[SERVICIO 2025]],$J$2:$V$14,6,0)*Tabla4[[#This Row],[TOTAL COBERTURA]]</f>
        <v>697493</v>
      </c>
      <c r="AO525" s="35">
        <f>VLOOKUP(Tabla4[[#This Row],[SERVICIO 2025]],$J$2:$V$14,8,0)*Tabla4[[#This Row],[TOTAL COBERTURA]]</f>
        <v>494700</v>
      </c>
      <c r="AP525" s="35">
        <f>VLOOKUP(Tabla4[[#This Row],[SERVICIO 2025]],$J$2:$V$14,3,0)*Tabla4[[#This Row],[TOTAL COBERTURA]]*8</f>
        <v>35031696</v>
      </c>
      <c r="AQ525" s="35"/>
      <c r="AR525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525" s="35" t="str">
        <f>+IF(Tabla4[[#This Row],[AGRUPACIONES]]=1,SUMIFS(Tabla4[VALOR TOTAL],Tabla4[ZONA DEFINITIVO],Tabla4[[#This Row],[ZONA DEFINITIVO]])," ")</f>
        <v xml:space="preserve"> </v>
      </c>
      <c r="AT525" s="27">
        <f>(VLOOKUP(Tabla4[[#This Row],[SERVICIO 2025]],$J$2:$V$14,3,0)*Tabla4[[#This Row],[TOTAL COBERTURA]])+Tabla4[[#This Row],[VALOR FASE PREPARATORIA DE ALISTAMIENTO]]+Tabla4[[#This Row],[DOTACIÓN ÚNICA]]</f>
        <v>5713054</v>
      </c>
      <c r="AU525" s="35">
        <f>(VLOOKUP(Tabla4[[#This Row],[SERVICIO 2025]],$J$2:$V$14,3,0)*Tabla4[[#This Row],[TOTAL COBERTURA]])</f>
        <v>4378962</v>
      </c>
      <c r="AV525" s="35">
        <f>(VLOOKUP(Tabla4[[#This Row],[SERVICIO 2025]],$J$2:$V$14,3,0)*Tabla4[[#This Row],[TOTAL COBERTURA]])</f>
        <v>4378962</v>
      </c>
      <c r="AW525" s="35">
        <f>(VLOOKUP(Tabla4[[#This Row],[SERVICIO 2025]],$J$2:$V$14,3,0)*Tabla4[[#This Row],[TOTAL COBERTURA]])</f>
        <v>4378962</v>
      </c>
      <c r="AX525" s="35">
        <f>(VLOOKUP(Tabla4[[#This Row],[SERVICIO 2025]],$J$2:$V$14,3,0)*Tabla4[[#This Row],[TOTAL COBERTURA]])</f>
        <v>4378962</v>
      </c>
      <c r="AY525" s="35">
        <f>(VLOOKUP(Tabla4[[#This Row],[SERVICIO 2025]],$J$2:$V$14,3,0)*Tabla4[[#This Row],[TOTAL COBERTURA]])</f>
        <v>4378962</v>
      </c>
      <c r="AZ525" s="35">
        <f>(VLOOKUP(Tabla4[[#This Row],[SERVICIO 2025]],$J$2:$V$14,3,0)*Tabla4[[#This Row],[TOTAL COBERTURA]])</f>
        <v>4378962</v>
      </c>
      <c r="BA525" s="35">
        <f>(VLOOKUP(Tabla4[[#This Row],[SERVICIO 2025]],$J$2:$V$14,3,0)*Tabla4[[#This Row],[TOTAL COBERTURA]])+Tabla4[[#This Row],[VALOR FASE PREPARATORIA DE CIERRE]]</f>
        <v>5076455</v>
      </c>
      <c r="BB525" s="35">
        <f>SUM(Tabla4[[#This Row],[DESEMBOLSO 1]:[DESEMBOLSO 8]])</f>
        <v>37063281</v>
      </c>
      <c r="BC525" s="35">
        <f>VLOOKUP(Tabla4[[#This Row],[SERVICIO 2025]],$J$2:$V$14,10,0)*Tabla4[[#This Row],[TOTAL COBERTURA]]*$W$3</f>
        <v>24532088</v>
      </c>
      <c r="BD525" s="47" t="s">
        <v>211</v>
      </c>
      <c r="BE525" s="12" t="b">
        <f>EXACT(Tabla4[[#This Row],[VALOR ATENCIÓN (8 MESES)]],Tabla4[[#This Row],[VALOR TOTAL]])</f>
        <v>1</v>
      </c>
      <c r="BF525" s="23">
        <f>Tabla4[[#This Row],[VALOR ATENCIÓN (8 MESES)]]-Tabla4[[#This Row],[VALOR TOTAL]]</f>
        <v>0</v>
      </c>
      <c r="BG525" s="12" t="b">
        <f>EXACT(Tabla4[[#This Row],[TOTAL DESEMBOLSOS]],Tabla4[[#This Row],[VALOR ATENCIÓN (8 MESES)]])</f>
        <v>1</v>
      </c>
      <c r="BH525" s="29">
        <f>Tabla4[[#This Row],[TOTAL DESEMBOLSOS]]-Tabla4[[#This Row],[VALOR ATENCIÓN (8 MESES)]]</f>
        <v>0</v>
      </c>
      <c r="BI525" t="s">
        <v>98</v>
      </c>
      <c r="BJ525">
        <v>1937</v>
      </c>
    </row>
    <row r="526" spans="1:62">
      <c r="A526" s="13">
        <v>1937</v>
      </c>
      <c r="B526" s="13" t="s">
        <v>1180</v>
      </c>
      <c r="C526" s="12" t="s">
        <v>87</v>
      </c>
      <c r="D526" s="12" t="s">
        <v>462</v>
      </c>
      <c r="E526" s="12" t="s">
        <v>1172</v>
      </c>
      <c r="F526" s="12" t="s">
        <v>18</v>
      </c>
      <c r="G526" s="12" t="s">
        <v>90</v>
      </c>
      <c r="H526" s="12" t="s">
        <v>1217</v>
      </c>
      <c r="I526" s="12">
        <v>51721135899</v>
      </c>
      <c r="J526" s="12" t="s">
        <v>1218</v>
      </c>
      <c r="K526" s="12">
        <v>1</v>
      </c>
      <c r="L526" s="12">
        <v>52</v>
      </c>
      <c r="M526" s="12"/>
      <c r="N526" s="13">
        <v>1937</v>
      </c>
      <c r="O526" s="12" t="s">
        <v>93</v>
      </c>
      <c r="P526" s="12"/>
      <c r="Q526" s="12"/>
      <c r="R526" s="12" t="s">
        <v>94</v>
      </c>
      <c r="S526" s="12">
        <v>10</v>
      </c>
      <c r="T526" s="12" t="s">
        <v>1183</v>
      </c>
      <c r="U526" s="12" t="s">
        <v>1184</v>
      </c>
      <c r="V526" s="12">
        <f>VLOOKUP(Tabla4[[#This Row],[ZONA DEFINITIVO]],Hoja1!$A$1:$D$121,3,0)</f>
        <v>229106</v>
      </c>
      <c r="W526" s="12">
        <f>VLOOKUP(Tabla4[[#This Row],[ZONA DEFINITIVO]],Hoja1!$A$1:$D$121,2,0)</f>
        <v>15197</v>
      </c>
      <c r="X526" s="12">
        <f>VLOOKUP(Tabla4[[#This Row],[ZONA DEFINITIVO]],Hoja1!$A$1:$D$121,4,0)</f>
        <v>83225</v>
      </c>
      <c r="Y526" s="12" t="str">
        <f>+IF(Tabla4[[#This Row],[AGRUPACIONES]]=1,SUMIFS(Tabla4[UDS],Tabla4[ZONA DEFINITIVO],Tabla4[[#This Row],[ZONA DEFINITIVO]])," ")</f>
        <v xml:space="preserve"> </v>
      </c>
      <c r="Z526" s="12" t="str">
        <f>+IF(Tabla4[[#This Row],[AGRUPACIONES]]=1,SUMIFS(Tabla4[TOTAL COBERTURA],Tabla4[ZONA DEFINITIVO],Tabla4[[#This Row],[ZONA DEFINITIVO]])," ")</f>
        <v xml:space="preserve"> </v>
      </c>
      <c r="AA526" s="12"/>
      <c r="AB526" s="38">
        <v>113370036</v>
      </c>
      <c r="AC526" s="37">
        <v>0.02</v>
      </c>
      <c r="AD526" s="38">
        <f t="shared" si="8"/>
        <v>2267400.7200000002</v>
      </c>
      <c r="AE526" s="12"/>
      <c r="AF526" s="12">
        <f>COUNTIF($A$20:A526,A526)</f>
        <v>19</v>
      </c>
      <c r="AG526" s="38">
        <v>113370036</v>
      </c>
      <c r="AH526" s="38">
        <f>Tabla4[[#This Row],[VALOR CONTRAPARTIDA]]+Tabla4[[#This Row],[TOTAL APORTES ICBF]]</f>
        <v>115637436.72</v>
      </c>
      <c r="AI526" s="35"/>
      <c r="AJ526" s="38"/>
      <c r="AK526" s="38"/>
      <c r="AL526" s="23"/>
      <c r="AM526" s="35">
        <f>VLOOKUP(Tabla4[[#This Row],[SERVICIO 2025]],$J$2:$V$14,5,0)*Tabla4[[#This Row],[TOTAL COBERTURA]]</f>
        <v>2567552</v>
      </c>
      <c r="AN526" s="35">
        <f>VLOOKUP(Tabla4[[#This Row],[SERVICIO 2025]],$J$2:$V$14,6,0)*Tabla4[[#This Row],[TOTAL COBERTURA]]</f>
        <v>2133508</v>
      </c>
      <c r="AO526" s="35">
        <f>VLOOKUP(Tabla4[[#This Row],[SERVICIO 2025]],$J$2:$V$14,8,0)*Tabla4[[#This Row],[TOTAL COBERTURA]]</f>
        <v>1513200</v>
      </c>
      <c r="AP526" s="35">
        <f>VLOOKUP(Tabla4[[#This Row],[SERVICIO 2025]],$J$2:$V$14,3,0)*Tabla4[[#This Row],[TOTAL COBERTURA]]*8</f>
        <v>107155776</v>
      </c>
      <c r="AQ526" s="35"/>
      <c r="AR526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526" s="35" t="str">
        <f>+IF(Tabla4[[#This Row],[AGRUPACIONES]]=1,SUMIFS(Tabla4[VALOR TOTAL],Tabla4[ZONA DEFINITIVO],Tabla4[[#This Row],[ZONA DEFINITIVO]])," ")</f>
        <v xml:space="preserve"> </v>
      </c>
      <c r="AT526" s="27">
        <f>(VLOOKUP(Tabla4[[#This Row],[SERVICIO 2025]],$J$2:$V$14,3,0)*Tabla4[[#This Row],[TOTAL COBERTURA]])+Tabla4[[#This Row],[VALOR FASE PREPARATORIA DE ALISTAMIENTO]]+Tabla4[[#This Row],[DOTACIÓN ÚNICA]]</f>
        <v>17475224</v>
      </c>
      <c r="AU526" s="35">
        <f>(VLOOKUP(Tabla4[[#This Row],[SERVICIO 2025]],$J$2:$V$14,3,0)*Tabla4[[#This Row],[TOTAL COBERTURA]])</f>
        <v>13394472</v>
      </c>
      <c r="AV526" s="35">
        <f>(VLOOKUP(Tabla4[[#This Row],[SERVICIO 2025]],$J$2:$V$14,3,0)*Tabla4[[#This Row],[TOTAL COBERTURA]])</f>
        <v>13394472</v>
      </c>
      <c r="AW526" s="35">
        <f>(VLOOKUP(Tabla4[[#This Row],[SERVICIO 2025]],$J$2:$V$14,3,0)*Tabla4[[#This Row],[TOTAL COBERTURA]])</f>
        <v>13394472</v>
      </c>
      <c r="AX526" s="35">
        <f>(VLOOKUP(Tabla4[[#This Row],[SERVICIO 2025]],$J$2:$V$14,3,0)*Tabla4[[#This Row],[TOTAL COBERTURA]])</f>
        <v>13394472</v>
      </c>
      <c r="AY526" s="35">
        <f>(VLOOKUP(Tabla4[[#This Row],[SERVICIO 2025]],$J$2:$V$14,3,0)*Tabla4[[#This Row],[TOTAL COBERTURA]])</f>
        <v>13394472</v>
      </c>
      <c r="AZ526" s="35">
        <f>(VLOOKUP(Tabla4[[#This Row],[SERVICIO 2025]],$J$2:$V$14,3,0)*Tabla4[[#This Row],[TOTAL COBERTURA]])</f>
        <v>13394472</v>
      </c>
      <c r="BA526" s="35">
        <f>(VLOOKUP(Tabla4[[#This Row],[SERVICIO 2025]],$J$2:$V$14,3,0)*Tabla4[[#This Row],[TOTAL COBERTURA]])+Tabla4[[#This Row],[VALOR FASE PREPARATORIA DE CIERRE]]</f>
        <v>15527980</v>
      </c>
      <c r="BB526" s="35">
        <f>SUM(Tabla4[[#This Row],[DESEMBOLSO 1]:[DESEMBOLSO 8]])</f>
        <v>113370036</v>
      </c>
      <c r="BC526" s="35">
        <f>VLOOKUP(Tabla4[[#This Row],[SERVICIO 2025]],$J$2:$V$14,10,0)*Tabla4[[#This Row],[TOTAL COBERTURA]]*$W$3</f>
        <v>75039328</v>
      </c>
      <c r="BD526" s="47" t="s">
        <v>211</v>
      </c>
      <c r="BE526" s="12" t="b">
        <f>EXACT(Tabla4[[#This Row],[VALOR ATENCIÓN (8 MESES)]],Tabla4[[#This Row],[VALOR TOTAL]])</f>
        <v>1</v>
      </c>
      <c r="BF526" s="23">
        <f>Tabla4[[#This Row],[VALOR ATENCIÓN (8 MESES)]]-Tabla4[[#This Row],[VALOR TOTAL]]</f>
        <v>0</v>
      </c>
      <c r="BG526" s="12" t="b">
        <f>EXACT(Tabla4[[#This Row],[TOTAL DESEMBOLSOS]],Tabla4[[#This Row],[VALOR ATENCIÓN (8 MESES)]])</f>
        <v>1</v>
      </c>
      <c r="BH526" s="29">
        <f>Tabla4[[#This Row],[TOTAL DESEMBOLSOS]]-Tabla4[[#This Row],[VALOR ATENCIÓN (8 MESES)]]</f>
        <v>0</v>
      </c>
      <c r="BI526" t="s">
        <v>98</v>
      </c>
      <c r="BJ526">
        <v>1937</v>
      </c>
    </row>
    <row r="527" spans="1:62">
      <c r="A527" s="13">
        <v>1937</v>
      </c>
      <c r="B527" s="13" t="s">
        <v>1180</v>
      </c>
      <c r="C527" s="12" t="s">
        <v>87</v>
      </c>
      <c r="D527" s="12" t="s">
        <v>462</v>
      </c>
      <c r="E527" s="12" t="s">
        <v>1172</v>
      </c>
      <c r="F527" s="12" t="s">
        <v>18</v>
      </c>
      <c r="G527" s="12" t="s">
        <v>90</v>
      </c>
      <c r="H527" s="12" t="s">
        <v>1219</v>
      </c>
      <c r="I527" s="12">
        <v>51721135905</v>
      </c>
      <c r="J527" s="12" t="s">
        <v>1220</v>
      </c>
      <c r="K527" s="12">
        <v>1</v>
      </c>
      <c r="L527" s="12">
        <v>30</v>
      </c>
      <c r="M527" s="12"/>
      <c r="N527" s="13">
        <v>1937</v>
      </c>
      <c r="O527" s="12" t="s">
        <v>93</v>
      </c>
      <c r="P527" s="12"/>
      <c r="Q527" s="12"/>
      <c r="R527" s="12" t="s">
        <v>94</v>
      </c>
      <c r="S527" s="12">
        <v>10</v>
      </c>
      <c r="T527" s="12" t="s">
        <v>1183</v>
      </c>
      <c r="U527" s="12" t="s">
        <v>1184</v>
      </c>
      <c r="V527" s="12">
        <f>VLOOKUP(Tabla4[[#This Row],[ZONA DEFINITIVO]],Hoja1!$A$1:$D$121,3,0)</f>
        <v>229106</v>
      </c>
      <c r="W527" s="12">
        <f>VLOOKUP(Tabla4[[#This Row],[ZONA DEFINITIVO]],Hoja1!$A$1:$D$121,2,0)</f>
        <v>15197</v>
      </c>
      <c r="X527" s="12">
        <f>VLOOKUP(Tabla4[[#This Row],[ZONA DEFINITIVO]],Hoja1!$A$1:$D$121,4,0)</f>
        <v>83225</v>
      </c>
      <c r="Y527" s="12" t="str">
        <f>+IF(Tabla4[[#This Row],[AGRUPACIONES]]=1,SUMIFS(Tabla4[UDS],Tabla4[ZONA DEFINITIVO],Tabla4[[#This Row],[ZONA DEFINITIVO]])," ")</f>
        <v xml:space="preserve"> </v>
      </c>
      <c r="Z527" s="12" t="str">
        <f>+IF(Tabla4[[#This Row],[AGRUPACIONES]]=1,SUMIFS(Tabla4[TOTAL COBERTURA],Tabla4[ZONA DEFINITIVO],Tabla4[[#This Row],[ZONA DEFINITIVO]])," ")</f>
        <v xml:space="preserve"> </v>
      </c>
      <c r="AA527" s="12"/>
      <c r="AB527" s="38">
        <v>65405790</v>
      </c>
      <c r="AC527" s="37">
        <v>0.02</v>
      </c>
      <c r="AD527" s="38">
        <f t="shared" si="8"/>
        <v>1308115.8</v>
      </c>
      <c r="AE527" s="12"/>
      <c r="AF527" s="12">
        <f>COUNTIF($A$20:A527,A527)</f>
        <v>20</v>
      </c>
      <c r="AG527" s="38">
        <v>65405790</v>
      </c>
      <c r="AH527" s="38">
        <f>Tabla4[[#This Row],[VALOR CONTRAPARTIDA]]+Tabla4[[#This Row],[TOTAL APORTES ICBF]]</f>
        <v>66713905.799999997</v>
      </c>
      <c r="AI527" s="35"/>
      <c r="AJ527" s="38"/>
      <c r="AK527" s="38"/>
      <c r="AL527" s="23"/>
      <c r="AM527" s="35">
        <f>VLOOKUP(Tabla4[[#This Row],[SERVICIO 2025]],$J$2:$V$14,5,0)*Tabla4[[#This Row],[TOTAL COBERTURA]]</f>
        <v>1481280</v>
      </c>
      <c r="AN527" s="35">
        <f>VLOOKUP(Tabla4[[#This Row],[SERVICIO 2025]],$J$2:$V$14,6,0)*Tabla4[[#This Row],[TOTAL COBERTURA]]</f>
        <v>1230870</v>
      </c>
      <c r="AO527" s="35">
        <f>VLOOKUP(Tabla4[[#This Row],[SERVICIO 2025]],$J$2:$V$14,8,0)*Tabla4[[#This Row],[TOTAL COBERTURA]]</f>
        <v>873000</v>
      </c>
      <c r="AP527" s="35">
        <f>VLOOKUP(Tabla4[[#This Row],[SERVICIO 2025]],$J$2:$V$14,3,0)*Tabla4[[#This Row],[TOTAL COBERTURA]]*8</f>
        <v>61820640</v>
      </c>
      <c r="AQ527" s="35"/>
      <c r="AR527" s="35">
        <f>Tabla4[[#This Row],[VALOR FASE PREPARATORIA DE ALISTAMIENTO]]+Tabla4[[#This Row],[VALOR FASE PREPARATORIA DE CIERRE]]+Tabla4[[#This Row],[DOTACIÓN ÚNICA]]+Tabla4[[#This Row],[VALOR ATENCIÓN]]+Tabla4[[#This Row],[VALOR RACION PREPARADA]]</f>
        <v>65405790</v>
      </c>
      <c r="AS527" s="35" t="str">
        <f>+IF(Tabla4[[#This Row],[AGRUPACIONES]]=1,SUMIFS(Tabla4[VALOR TOTAL],Tabla4[ZONA DEFINITIVO],Tabla4[[#This Row],[ZONA DEFINITIVO]])," ")</f>
        <v xml:space="preserve"> </v>
      </c>
      <c r="AT527" s="27">
        <f>(VLOOKUP(Tabla4[[#This Row],[SERVICIO 2025]],$J$2:$V$14,3,0)*Tabla4[[#This Row],[TOTAL COBERTURA]])+Tabla4[[#This Row],[VALOR FASE PREPARATORIA DE ALISTAMIENTO]]+Tabla4[[#This Row],[DOTACIÓN ÚNICA]]</f>
        <v>10081860</v>
      </c>
      <c r="AU527" s="35">
        <f>(VLOOKUP(Tabla4[[#This Row],[SERVICIO 2025]],$J$2:$V$14,3,0)*Tabla4[[#This Row],[TOTAL COBERTURA]])</f>
        <v>7727580</v>
      </c>
      <c r="AV527" s="35">
        <f>(VLOOKUP(Tabla4[[#This Row],[SERVICIO 2025]],$J$2:$V$14,3,0)*Tabla4[[#This Row],[TOTAL COBERTURA]])</f>
        <v>7727580</v>
      </c>
      <c r="AW527" s="35">
        <f>(VLOOKUP(Tabla4[[#This Row],[SERVICIO 2025]],$J$2:$V$14,3,0)*Tabla4[[#This Row],[TOTAL COBERTURA]])</f>
        <v>7727580</v>
      </c>
      <c r="AX527" s="35">
        <f>(VLOOKUP(Tabla4[[#This Row],[SERVICIO 2025]],$J$2:$V$14,3,0)*Tabla4[[#This Row],[TOTAL COBERTURA]])</f>
        <v>7727580</v>
      </c>
      <c r="AY527" s="35">
        <f>(VLOOKUP(Tabla4[[#This Row],[SERVICIO 2025]],$J$2:$V$14,3,0)*Tabla4[[#This Row],[TOTAL COBERTURA]])</f>
        <v>7727580</v>
      </c>
      <c r="AZ527" s="35">
        <f>(VLOOKUP(Tabla4[[#This Row],[SERVICIO 2025]],$J$2:$V$14,3,0)*Tabla4[[#This Row],[TOTAL COBERTURA]])</f>
        <v>7727580</v>
      </c>
      <c r="BA527" s="35">
        <f>(VLOOKUP(Tabla4[[#This Row],[SERVICIO 2025]],$J$2:$V$14,3,0)*Tabla4[[#This Row],[TOTAL COBERTURA]])+Tabla4[[#This Row],[VALOR FASE PREPARATORIA DE CIERRE]]</f>
        <v>8958450</v>
      </c>
      <c r="BB527" s="35">
        <f>SUM(Tabla4[[#This Row],[DESEMBOLSO 1]:[DESEMBOLSO 8]])</f>
        <v>65405790</v>
      </c>
      <c r="BC527" s="35">
        <f>VLOOKUP(Tabla4[[#This Row],[SERVICIO 2025]],$J$2:$V$14,10,0)*Tabla4[[#This Row],[TOTAL COBERTURA]]*$W$3</f>
        <v>43291920</v>
      </c>
      <c r="BD527" s="47" t="s">
        <v>211</v>
      </c>
      <c r="BE527" s="12" t="b">
        <f>EXACT(Tabla4[[#This Row],[VALOR ATENCIÓN (8 MESES)]],Tabla4[[#This Row],[VALOR TOTAL]])</f>
        <v>1</v>
      </c>
      <c r="BF527" s="23">
        <f>Tabla4[[#This Row],[VALOR ATENCIÓN (8 MESES)]]-Tabla4[[#This Row],[VALOR TOTAL]]</f>
        <v>0</v>
      </c>
      <c r="BG527" s="12" t="b">
        <f>EXACT(Tabla4[[#This Row],[TOTAL DESEMBOLSOS]],Tabla4[[#This Row],[VALOR ATENCIÓN (8 MESES)]])</f>
        <v>1</v>
      </c>
      <c r="BH527" s="29">
        <f>Tabla4[[#This Row],[TOTAL DESEMBOLSOS]]-Tabla4[[#This Row],[VALOR ATENCIÓN (8 MESES)]]</f>
        <v>0</v>
      </c>
      <c r="BI527" t="s">
        <v>98</v>
      </c>
      <c r="BJ527">
        <v>1937</v>
      </c>
    </row>
    <row r="528" spans="1:62">
      <c r="A528" s="13">
        <v>1937</v>
      </c>
      <c r="B528" s="13" t="s">
        <v>1180</v>
      </c>
      <c r="C528" s="12" t="s">
        <v>87</v>
      </c>
      <c r="D528" s="12" t="s">
        <v>462</v>
      </c>
      <c r="E528" s="12" t="s">
        <v>1172</v>
      </c>
      <c r="F528" s="12" t="s">
        <v>18</v>
      </c>
      <c r="G528" s="12" t="s">
        <v>90</v>
      </c>
      <c r="H528" s="12" t="s">
        <v>1221</v>
      </c>
      <c r="I528" s="12">
        <v>51721135913</v>
      </c>
      <c r="J528" s="12" t="s">
        <v>1222</v>
      </c>
      <c r="K528" s="12">
        <v>1</v>
      </c>
      <c r="L528" s="12">
        <v>28</v>
      </c>
      <c r="M528" s="12"/>
      <c r="N528" s="13">
        <v>1937</v>
      </c>
      <c r="O528" s="12" t="s">
        <v>93</v>
      </c>
      <c r="P528" s="12"/>
      <c r="Q528" s="12"/>
      <c r="R528" s="12" t="s">
        <v>94</v>
      </c>
      <c r="S528" s="12">
        <v>10</v>
      </c>
      <c r="T528" s="12" t="s">
        <v>1183</v>
      </c>
      <c r="U528" s="12" t="s">
        <v>1184</v>
      </c>
      <c r="V528" s="12">
        <f>VLOOKUP(Tabla4[[#This Row],[ZONA DEFINITIVO]],Hoja1!$A$1:$D$121,3,0)</f>
        <v>229106</v>
      </c>
      <c r="W528" s="12">
        <f>VLOOKUP(Tabla4[[#This Row],[ZONA DEFINITIVO]],Hoja1!$A$1:$D$121,2,0)</f>
        <v>15197</v>
      </c>
      <c r="X528" s="12">
        <f>VLOOKUP(Tabla4[[#This Row],[ZONA DEFINITIVO]],Hoja1!$A$1:$D$121,4,0)</f>
        <v>83225</v>
      </c>
      <c r="Y528" s="12" t="str">
        <f>+IF(Tabla4[[#This Row],[AGRUPACIONES]]=1,SUMIFS(Tabla4[UDS],Tabla4[ZONA DEFINITIVO],Tabla4[[#This Row],[ZONA DEFINITIVO]])," ")</f>
        <v xml:space="preserve"> </v>
      </c>
      <c r="Z528" s="12" t="str">
        <f>+IF(Tabla4[[#This Row],[AGRUPACIONES]]=1,SUMIFS(Tabla4[TOTAL COBERTURA],Tabla4[ZONA DEFINITIVO],Tabla4[[#This Row],[ZONA DEFINITIVO]])," ")</f>
        <v xml:space="preserve"> </v>
      </c>
      <c r="AA528" s="12"/>
      <c r="AB528" s="38">
        <v>61045404</v>
      </c>
      <c r="AC528" s="37">
        <v>0.02</v>
      </c>
      <c r="AD528" s="38">
        <f t="shared" si="8"/>
        <v>1220908.08</v>
      </c>
      <c r="AE528" s="12"/>
      <c r="AF528" s="12">
        <f>COUNTIF($A$20:A528,A528)</f>
        <v>21</v>
      </c>
      <c r="AG528" s="38">
        <v>61045404</v>
      </c>
      <c r="AH528" s="38">
        <f>Tabla4[[#This Row],[VALOR CONTRAPARTIDA]]+Tabla4[[#This Row],[TOTAL APORTES ICBF]]</f>
        <v>62266312.079999998</v>
      </c>
      <c r="AI528" s="35"/>
      <c r="AJ528" s="38"/>
      <c r="AK528" s="38"/>
      <c r="AL528" s="23"/>
      <c r="AM528" s="35">
        <f>VLOOKUP(Tabla4[[#This Row],[SERVICIO 2025]],$J$2:$V$14,5,0)*Tabla4[[#This Row],[TOTAL COBERTURA]]</f>
        <v>1382528</v>
      </c>
      <c r="AN528" s="35">
        <f>VLOOKUP(Tabla4[[#This Row],[SERVICIO 2025]],$J$2:$V$14,6,0)*Tabla4[[#This Row],[TOTAL COBERTURA]]</f>
        <v>1148812</v>
      </c>
      <c r="AO528" s="35">
        <f>VLOOKUP(Tabla4[[#This Row],[SERVICIO 2025]],$J$2:$V$14,8,0)*Tabla4[[#This Row],[TOTAL COBERTURA]]</f>
        <v>814800</v>
      </c>
      <c r="AP528" s="35">
        <f>VLOOKUP(Tabla4[[#This Row],[SERVICIO 2025]],$J$2:$V$14,3,0)*Tabla4[[#This Row],[TOTAL COBERTURA]]*8</f>
        <v>57699264</v>
      </c>
      <c r="AQ528" s="35"/>
      <c r="AR528" s="35">
        <f>Tabla4[[#This Row],[VALOR FASE PREPARATORIA DE ALISTAMIENTO]]+Tabla4[[#This Row],[VALOR FASE PREPARATORIA DE CIERRE]]+Tabla4[[#This Row],[DOTACIÓN ÚNICA]]+Tabla4[[#This Row],[VALOR ATENCIÓN]]+Tabla4[[#This Row],[VALOR RACION PREPARADA]]</f>
        <v>61045404</v>
      </c>
      <c r="AS528" s="35" t="str">
        <f>+IF(Tabla4[[#This Row],[AGRUPACIONES]]=1,SUMIFS(Tabla4[VALOR TOTAL],Tabla4[ZONA DEFINITIVO],Tabla4[[#This Row],[ZONA DEFINITIVO]])," ")</f>
        <v xml:space="preserve"> </v>
      </c>
      <c r="AT528" s="27">
        <f>(VLOOKUP(Tabla4[[#This Row],[SERVICIO 2025]],$J$2:$V$14,3,0)*Tabla4[[#This Row],[TOTAL COBERTURA]])+Tabla4[[#This Row],[VALOR FASE PREPARATORIA DE ALISTAMIENTO]]+Tabla4[[#This Row],[DOTACIÓN ÚNICA]]</f>
        <v>9409736</v>
      </c>
      <c r="AU528" s="35">
        <f>(VLOOKUP(Tabla4[[#This Row],[SERVICIO 2025]],$J$2:$V$14,3,0)*Tabla4[[#This Row],[TOTAL COBERTURA]])</f>
        <v>7212408</v>
      </c>
      <c r="AV528" s="35">
        <f>(VLOOKUP(Tabla4[[#This Row],[SERVICIO 2025]],$J$2:$V$14,3,0)*Tabla4[[#This Row],[TOTAL COBERTURA]])</f>
        <v>7212408</v>
      </c>
      <c r="AW528" s="35">
        <f>(VLOOKUP(Tabla4[[#This Row],[SERVICIO 2025]],$J$2:$V$14,3,0)*Tabla4[[#This Row],[TOTAL COBERTURA]])</f>
        <v>7212408</v>
      </c>
      <c r="AX528" s="35">
        <f>(VLOOKUP(Tabla4[[#This Row],[SERVICIO 2025]],$J$2:$V$14,3,0)*Tabla4[[#This Row],[TOTAL COBERTURA]])</f>
        <v>7212408</v>
      </c>
      <c r="AY528" s="35">
        <f>(VLOOKUP(Tabla4[[#This Row],[SERVICIO 2025]],$J$2:$V$14,3,0)*Tabla4[[#This Row],[TOTAL COBERTURA]])</f>
        <v>7212408</v>
      </c>
      <c r="AZ528" s="35">
        <f>(VLOOKUP(Tabla4[[#This Row],[SERVICIO 2025]],$J$2:$V$14,3,0)*Tabla4[[#This Row],[TOTAL COBERTURA]])</f>
        <v>7212408</v>
      </c>
      <c r="BA528" s="35">
        <f>(VLOOKUP(Tabla4[[#This Row],[SERVICIO 2025]],$J$2:$V$14,3,0)*Tabla4[[#This Row],[TOTAL COBERTURA]])+Tabla4[[#This Row],[VALOR FASE PREPARATORIA DE CIERRE]]</f>
        <v>8361220</v>
      </c>
      <c r="BB528" s="35">
        <f>SUM(Tabla4[[#This Row],[DESEMBOLSO 1]:[DESEMBOLSO 8]])</f>
        <v>61045404</v>
      </c>
      <c r="BC528" s="35">
        <f>VLOOKUP(Tabla4[[#This Row],[SERVICIO 2025]],$J$2:$V$14,10,0)*Tabla4[[#This Row],[TOTAL COBERTURA]]*$W$3</f>
        <v>40405792</v>
      </c>
      <c r="BD528" s="47" t="s">
        <v>211</v>
      </c>
      <c r="BE528" s="12" t="b">
        <f>EXACT(Tabla4[[#This Row],[VALOR ATENCIÓN (8 MESES)]],Tabla4[[#This Row],[VALOR TOTAL]])</f>
        <v>1</v>
      </c>
      <c r="BF528" s="23">
        <f>Tabla4[[#This Row],[VALOR ATENCIÓN (8 MESES)]]-Tabla4[[#This Row],[VALOR TOTAL]]</f>
        <v>0</v>
      </c>
      <c r="BG528" s="12" t="b">
        <f>EXACT(Tabla4[[#This Row],[TOTAL DESEMBOLSOS]],Tabla4[[#This Row],[VALOR ATENCIÓN (8 MESES)]])</f>
        <v>1</v>
      </c>
      <c r="BH528" s="29">
        <f>Tabla4[[#This Row],[TOTAL DESEMBOLSOS]]-Tabla4[[#This Row],[VALOR ATENCIÓN (8 MESES)]]</f>
        <v>0</v>
      </c>
      <c r="BI528" t="s">
        <v>98</v>
      </c>
      <c r="BJ528">
        <v>1937</v>
      </c>
    </row>
    <row r="529" spans="1:62">
      <c r="A529" s="13">
        <v>1937</v>
      </c>
      <c r="B529" s="13" t="s">
        <v>1180</v>
      </c>
      <c r="C529" s="12" t="s">
        <v>87</v>
      </c>
      <c r="D529" s="12" t="s">
        <v>462</v>
      </c>
      <c r="E529" s="12" t="s">
        <v>1172</v>
      </c>
      <c r="F529" s="12" t="s">
        <v>18</v>
      </c>
      <c r="G529" s="12" t="s">
        <v>90</v>
      </c>
      <c r="H529" s="12" t="s">
        <v>1223</v>
      </c>
      <c r="I529" s="12">
        <v>51721135918</v>
      </c>
      <c r="J529" s="12" t="s">
        <v>1224</v>
      </c>
      <c r="K529" s="12">
        <v>1</v>
      </c>
      <c r="L529" s="12">
        <v>20</v>
      </c>
      <c r="M529" s="12"/>
      <c r="N529" s="13">
        <v>1937</v>
      </c>
      <c r="O529" s="12" t="s">
        <v>93</v>
      </c>
      <c r="P529" s="12"/>
      <c r="Q529" s="12"/>
      <c r="R529" s="12" t="s">
        <v>94</v>
      </c>
      <c r="S529" s="12">
        <v>10</v>
      </c>
      <c r="T529" s="12" t="s">
        <v>1183</v>
      </c>
      <c r="U529" s="12" t="s">
        <v>1184</v>
      </c>
      <c r="V529" s="12">
        <f>VLOOKUP(Tabla4[[#This Row],[ZONA DEFINITIVO]],Hoja1!$A$1:$D$121,3,0)</f>
        <v>229106</v>
      </c>
      <c r="W529" s="12">
        <f>VLOOKUP(Tabla4[[#This Row],[ZONA DEFINITIVO]],Hoja1!$A$1:$D$121,2,0)</f>
        <v>15197</v>
      </c>
      <c r="X529" s="12">
        <f>VLOOKUP(Tabla4[[#This Row],[ZONA DEFINITIVO]],Hoja1!$A$1:$D$121,4,0)</f>
        <v>83225</v>
      </c>
      <c r="Y529" s="12" t="str">
        <f>+IF(Tabla4[[#This Row],[AGRUPACIONES]]=1,SUMIFS(Tabla4[UDS],Tabla4[ZONA DEFINITIVO],Tabla4[[#This Row],[ZONA DEFINITIVO]])," ")</f>
        <v xml:space="preserve"> </v>
      </c>
      <c r="Z529" s="12" t="str">
        <f>+IF(Tabla4[[#This Row],[AGRUPACIONES]]=1,SUMIFS(Tabla4[TOTAL COBERTURA],Tabla4[ZONA DEFINITIVO],Tabla4[[#This Row],[ZONA DEFINITIVO]])," ")</f>
        <v xml:space="preserve"> </v>
      </c>
      <c r="AA529" s="12"/>
      <c r="AB529" s="38">
        <v>43603860</v>
      </c>
      <c r="AC529" s="37">
        <v>0.02</v>
      </c>
      <c r="AD529" s="38">
        <f t="shared" si="8"/>
        <v>872077.20000000007</v>
      </c>
      <c r="AE529" s="12"/>
      <c r="AF529" s="12">
        <f>COUNTIF($A$20:A529,A529)</f>
        <v>22</v>
      </c>
      <c r="AG529" s="38">
        <v>43603860</v>
      </c>
      <c r="AH529" s="38">
        <f>Tabla4[[#This Row],[VALOR CONTRAPARTIDA]]+Tabla4[[#This Row],[TOTAL APORTES ICBF]]</f>
        <v>44475937.200000003</v>
      </c>
      <c r="AI529" s="35"/>
      <c r="AJ529" s="38"/>
      <c r="AK529" s="38"/>
      <c r="AL529" s="23"/>
      <c r="AM529" s="35">
        <f>VLOOKUP(Tabla4[[#This Row],[SERVICIO 2025]],$J$2:$V$14,5,0)*Tabla4[[#This Row],[TOTAL COBERTURA]]</f>
        <v>987520</v>
      </c>
      <c r="AN529" s="35">
        <f>VLOOKUP(Tabla4[[#This Row],[SERVICIO 2025]],$J$2:$V$14,6,0)*Tabla4[[#This Row],[TOTAL COBERTURA]]</f>
        <v>820580</v>
      </c>
      <c r="AO529" s="35">
        <f>VLOOKUP(Tabla4[[#This Row],[SERVICIO 2025]],$J$2:$V$14,8,0)*Tabla4[[#This Row],[TOTAL COBERTURA]]</f>
        <v>582000</v>
      </c>
      <c r="AP529" s="35">
        <f>VLOOKUP(Tabla4[[#This Row],[SERVICIO 2025]],$J$2:$V$14,3,0)*Tabla4[[#This Row],[TOTAL COBERTURA]]*8</f>
        <v>41213760</v>
      </c>
      <c r="AQ529" s="35"/>
      <c r="AR529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529" s="35" t="str">
        <f>+IF(Tabla4[[#This Row],[AGRUPACIONES]]=1,SUMIFS(Tabla4[VALOR TOTAL],Tabla4[ZONA DEFINITIVO],Tabla4[[#This Row],[ZONA DEFINITIVO]])," ")</f>
        <v xml:space="preserve"> </v>
      </c>
      <c r="AT529" s="27">
        <f>(VLOOKUP(Tabla4[[#This Row],[SERVICIO 2025]],$J$2:$V$14,3,0)*Tabla4[[#This Row],[TOTAL COBERTURA]])+Tabla4[[#This Row],[VALOR FASE PREPARATORIA DE ALISTAMIENTO]]+Tabla4[[#This Row],[DOTACIÓN ÚNICA]]</f>
        <v>6721240</v>
      </c>
      <c r="AU529" s="35">
        <f>(VLOOKUP(Tabla4[[#This Row],[SERVICIO 2025]],$J$2:$V$14,3,0)*Tabla4[[#This Row],[TOTAL COBERTURA]])</f>
        <v>5151720</v>
      </c>
      <c r="AV529" s="35">
        <f>(VLOOKUP(Tabla4[[#This Row],[SERVICIO 2025]],$J$2:$V$14,3,0)*Tabla4[[#This Row],[TOTAL COBERTURA]])</f>
        <v>5151720</v>
      </c>
      <c r="AW529" s="35">
        <f>(VLOOKUP(Tabla4[[#This Row],[SERVICIO 2025]],$J$2:$V$14,3,0)*Tabla4[[#This Row],[TOTAL COBERTURA]])</f>
        <v>5151720</v>
      </c>
      <c r="AX529" s="35">
        <f>(VLOOKUP(Tabla4[[#This Row],[SERVICIO 2025]],$J$2:$V$14,3,0)*Tabla4[[#This Row],[TOTAL COBERTURA]])</f>
        <v>5151720</v>
      </c>
      <c r="AY529" s="35">
        <f>(VLOOKUP(Tabla4[[#This Row],[SERVICIO 2025]],$J$2:$V$14,3,0)*Tabla4[[#This Row],[TOTAL COBERTURA]])</f>
        <v>5151720</v>
      </c>
      <c r="AZ529" s="35">
        <f>(VLOOKUP(Tabla4[[#This Row],[SERVICIO 2025]],$J$2:$V$14,3,0)*Tabla4[[#This Row],[TOTAL COBERTURA]])</f>
        <v>5151720</v>
      </c>
      <c r="BA529" s="35">
        <f>(VLOOKUP(Tabla4[[#This Row],[SERVICIO 2025]],$J$2:$V$14,3,0)*Tabla4[[#This Row],[TOTAL COBERTURA]])+Tabla4[[#This Row],[VALOR FASE PREPARATORIA DE CIERRE]]</f>
        <v>5972300</v>
      </c>
      <c r="BB529" s="35">
        <f>SUM(Tabla4[[#This Row],[DESEMBOLSO 1]:[DESEMBOLSO 8]])</f>
        <v>43603860</v>
      </c>
      <c r="BC529" s="35">
        <f>VLOOKUP(Tabla4[[#This Row],[SERVICIO 2025]],$J$2:$V$14,10,0)*Tabla4[[#This Row],[TOTAL COBERTURA]]*$W$3</f>
        <v>28861280</v>
      </c>
      <c r="BD529" s="47" t="s">
        <v>211</v>
      </c>
      <c r="BE529" s="12" t="b">
        <f>EXACT(Tabla4[[#This Row],[VALOR ATENCIÓN (8 MESES)]],Tabla4[[#This Row],[VALOR TOTAL]])</f>
        <v>1</v>
      </c>
      <c r="BF529" s="23">
        <f>Tabla4[[#This Row],[VALOR ATENCIÓN (8 MESES)]]-Tabla4[[#This Row],[VALOR TOTAL]]</f>
        <v>0</v>
      </c>
      <c r="BG529" s="12" t="b">
        <f>EXACT(Tabla4[[#This Row],[TOTAL DESEMBOLSOS]],Tabla4[[#This Row],[VALOR ATENCIÓN (8 MESES)]])</f>
        <v>1</v>
      </c>
      <c r="BH529" s="29">
        <f>Tabla4[[#This Row],[TOTAL DESEMBOLSOS]]-Tabla4[[#This Row],[VALOR ATENCIÓN (8 MESES)]]</f>
        <v>0</v>
      </c>
      <c r="BI529" t="s">
        <v>98</v>
      </c>
      <c r="BJ529">
        <v>1937</v>
      </c>
    </row>
    <row r="530" spans="1:62">
      <c r="A530" s="13">
        <v>1937</v>
      </c>
      <c r="B530" s="13" t="s">
        <v>1180</v>
      </c>
      <c r="C530" s="12" t="s">
        <v>87</v>
      </c>
      <c r="D530" s="12" t="s">
        <v>462</v>
      </c>
      <c r="E530" s="12" t="s">
        <v>1172</v>
      </c>
      <c r="F530" s="12" t="s">
        <v>18</v>
      </c>
      <c r="G530" s="12" t="s">
        <v>90</v>
      </c>
      <c r="H530" s="12" t="s">
        <v>1225</v>
      </c>
      <c r="I530" s="12">
        <v>51721135919</v>
      </c>
      <c r="J530" s="12" t="s">
        <v>1226</v>
      </c>
      <c r="K530" s="12">
        <v>1</v>
      </c>
      <c r="L530" s="12">
        <v>17</v>
      </c>
      <c r="M530" s="12"/>
      <c r="N530" s="13">
        <v>1937</v>
      </c>
      <c r="O530" s="12" t="s">
        <v>93</v>
      </c>
      <c r="P530" s="12"/>
      <c r="Q530" s="12"/>
      <c r="R530" s="12" t="s">
        <v>94</v>
      </c>
      <c r="S530" s="12">
        <v>10</v>
      </c>
      <c r="T530" s="12" t="s">
        <v>1183</v>
      </c>
      <c r="U530" s="12" t="s">
        <v>1184</v>
      </c>
      <c r="V530" s="12">
        <f>VLOOKUP(Tabla4[[#This Row],[ZONA DEFINITIVO]],Hoja1!$A$1:$D$121,3,0)</f>
        <v>229106</v>
      </c>
      <c r="W530" s="12">
        <f>VLOOKUP(Tabla4[[#This Row],[ZONA DEFINITIVO]],Hoja1!$A$1:$D$121,2,0)</f>
        <v>15197</v>
      </c>
      <c r="X530" s="12">
        <f>VLOOKUP(Tabla4[[#This Row],[ZONA DEFINITIVO]],Hoja1!$A$1:$D$121,4,0)</f>
        <v>83225</v>
      </c>
      <c r="Y530" s="12" t="str">
        <f>+IF(Tabla4[[#This Row],[AGRUPACIONES]]=1,SUMIFS(Tabla4[UDS],Tabla4[ZONA DEFINITIVO],Tabla4[[#This Row],[ZONA DEFINITIVO]])," ")</f>
        <v xml:space="preserve"> </v>
      </c>
      <c r="Z530" s="12" t="str">
        <f>+IF(Tabla4[[#This Row],[AGRUPACIONES]]=1,SUMIFS(Tabla4[TOTAL COBERTURA],Tabla4[ZONA DEFINITIVO],Tabla4[[#This Row],[ZONA DEFINITIVO]])," ")</f>
        <v xml:space="preserve"> </v>
      </c>
      <c r="AA530" s="12"/>
      <c r="AB530" s="38">
        <v>37063281</v>
      </c>
      <c r="AC530" s="37">
        <v>0.02</v>
      </c>
      <c r="AD530" s="38">
        <f t="shared" si="8"/>
        <v>741265.62</v>
      </c>
      <c r="AE530" s="12"/>
      <c r="AF530" s="12">
        <f>COUNTIF($A$20:A530,A530)</f>
        <v>23</v>
      </c>
      <c r="AG530" s="38">
        <v>37063281</v>
      </c>
      <c r="AH530" s="38">
        <f>Tabla4[[#This Row],[VALOR CONTRAPARTIDA]]+Tabla4[[#This Row],[TOTAL APORTES ICBF]]</f>
        <v>37804546.619999997</v>
      </c>
      <c r="AI530" s="35"/>
      <c r="AJ530" s="38"/>
      <c r="AK530" s="38"/>
      <c r="AL530" s="23"/>
      <c r="AM530" s="35">
        <f>VLOOKUP(Tabla4[[#This Row],[SERVICIO 2025]],$J$2:$V$14,5,0)*Tabla4[[#This Row],[TOTAL COBERTURA]]</f>
        <v>839392</v>
      </c>
      <c r="AN530" s="35">
        <f>VLOOKUP(Tabla4[[#This Row],[SERVICIO 2025]],$J$2:$V$14,6,0)*Tabla4[[#This Row],[TOTAL COBERTURA]]</f>
        <v>697493</v>
      </c>
      <c r="AO530" s="35">
        <f>VLOOKUP(Tabla4[[#This Row],[SERVICIO 2025]],$J$2:$V$14,8,0)*Tabla4[[#This Row],[TOTAL COBERTURA]]</f>
        <v>494700</v>
      </c>
      <c r="AP530" s="35">
        <f>VLOOKUP(Tabla4[[#This Row],[SERVICIO 2025]],$J$2:$V$14,3,0)*Tabla4[[#This Row],[TOTAL COBERTURA]]*8</f>
        <v>35031696</v>
      </c>
      <c r="AQ530" s="35"/>
      <c r="AR530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530" s="35" t="str">
        <f>+IF(Tabla4[[#This Row],[AGRUPACIONES]]=1,SUMIFS(Tabla4[VALOR TOTAL],Tabla4[ZONA DEFINITIVO],Tabla4[[#This Row],[ZONA DEFINITIVO]])," ")</f>
        <v xml:space="preserve"> </v>
      </c>
      <c r="AT530" s="27">
        <f>(VLOOKUP(Tabla4[[#This Row],[SERVICIO 2025]],$J$2:$V$14,3,0)*Tabla4[[#This Row],[TOTAL COBERTURA]])+Tabla4[[#This Row],[VALOR FASE PREPARATORIA DE ALISTAMIENTO]]+Tabla4[[#This Row],[DOTACIÓN ÚNICA]]</f>
        <v>5713054</v>
      </c>
      <c r="AU530" s="35">
        <f>(VLOOKUP(Tabla4[[#This Row],[SERVICIO 2025]],$J$2:$V$14,3,0)*Tabla4[[#This Row],[TOTAL COBERTURA]])</f>
        <v>4378962</v>
      </c>
      <c r="AV530" s="35">
        <f>(VLOOKUP(Tabla4[[#This Row],[SERVICIO 2025]],$J$2:$V$14,3,0)*Tabla4[[#This Row],[TOTAL COBERTURA]])</f>
        <v>4378962</v>
      </c>
      <c r="AW530" s="35">
        <f>(VLOOKUP(Tabla4[[#This Row],[SERVICIO 2025]],$J$2:$V$14,3,0)*Tabla4[[#This Row],[TOTAL COBERTURA]])</f>
        <v>4378962</v>
      </c>
      <c r="AX530" s="35">
        <f>(VLOOKUP(Tabla4[[#This Row],[SERVICIO 2025]],$J$2:$V$14,3,0)*Tabla4[[#This Row],[TOTAL COBERTURA]])</f>
        <v>4378962</v>
      </c>
      <c r="AY530" s="35">
        <f>(VLOOKUP(Tabla4[[#This Row],[SERVICIO 2025]],$J$2:$V$14,3,0)*Tabla4[[#This Row],[TOTAL COBERTURA]])</f>
        <v>4378962</v>
      </c>
      <c r="AZ530" s="35">
        <f>(VLOOKUP(Tabla4[[#This Row],[SERVICIO 2025]],$J$2:$V$14,3,0)*Tabla4[[#This Row],[TOTAL COBERTURA]])</f>
        <v>4378962</v>
      </c>
      <c r="BA530" s="35">
        <f>(VLOOKUP(Tabla4[[#This Row],[SERVICIO 2025]],$J$2:$V$14,3,0)*Tabla4[[#This Row],[TOTAL COBERTURA]])+Tabla4[[#This Row],[VALOR FASE PREPARATORIA DE CIERRE]]</f>
        <v>5076455</v>
      </c>
      <c r="BB530" s="35">
        <f>SUM(Tabla4[[#This Row],[DESEMBOLSO 1]:[DESEMBOLSO 8]])</f>
        <v>37063281</v>
      </c>
      <c r="BC530" s="35">
        <f>VLOOKUP(Tabla4[[#This Row],[SERVICIO 2025]],$J$2:$V$14,10,0)*Tabla4[[#This Row],[TOTAL COBERTURA]]*$W$3</f>
        <v>24532088</v>
      </c>
      <c r="BD530" s="47" t="s">
        <v>211</v>
      </c>
      <c r="BE530" s="12" t="b">
        <f>EXACT(Tabla4[[#This Row],[VALOR ATENCIÓN (8 MESES)]],Tabla4[[#This Row],[VALOR TOTAL]])</f>
        <v>1</v>
      </c>
      <c r="BF530" s="23">
        <f>Tabla4[[#This Row],[VALOR ATENCIÓN (8 MESES)]]-Tabla4[[#This Row],[VALOR TOTAL]]</f>
        <v>0</v>
      </c>
      <c r="BG530" s="12" t="b">
        <f>EXACT(Tabla4[[#This Row],[TOTAL DESEMBOLSOS]],Tabla4[[#This Row],[VALOR ATENCIÓN (8 MESES)]])</f>
        <v>1</v>
      </c>
      <c r="BH530" s="29">
        <f>Tabla4[[#This Row],[TOTAL DESEMBOLSOS]]-Tabla4[[#This Row],[VALOR ATENCIÓN (8 MESES)]]</f>
        <v>0</v>
      </c>
      <c r="BI530" t="s">
        <v>98</v>
      </c>
      <c r="BJ530">
        <v>1937</v>
      </c>
    </row>
    <row r="531" spans="1:62">
      <c r="A531" s="13">
        <v>1937</v>
      </c>
      <c r="B531" s="13" t="s">
        <v>1180</v>
      </c>
      <c r="C531" s="12" t="s">
        <v>87</v>
      </c>
      <c r="D531" s="12" t="s">
        <v>462</v>
      </c>
      <c r="E531" s="12" t="s">
        <v>1172</v>
      </c>
      <c r="F531" s="12" t="s">
        <v>18</v>
      </c>
      <c r="G531" s="12" t="s">
        <v>90</v>
      </c>
      <c r="H531" s="12" t="s">
        <v>1227</v>
      </c>
      <c r="I531" s="12">
        <v>51721135920</v>
      </c>
      <c r="J531" s="12" t="s">
        <v>1228</v>
      </c>
      <c r="K531" s="12">
        <v>1</v>
      </c>
      <c r="L531" s="12">
        <v>33</v>
      </c>
      <c r="M531" s="12"/>
      <c r="N531" s="13">
        <v>1937</v>
      </c>
      <c r="O531" s="12" t="s">
        <v>93</v>
      </c>
      <c r="P531" s="12"/>
      <c r="Q531" s="12"/>
      <c r="R531" s="12" t="s">
        <v>94</v>
      </c>
      <c r="S531" s="12">
        <v>10</v>
      </c>
      <c r="T531" s="12" t="s">
        <v>1183</v>
      </c>
      <c r="U531" s="12" t="s">
        <v>1184</v>
      </c>
      <c r="V531" s="12">
        <f>VLOOKUP(Tabla4[[#This Row],[ZONA DEFINITIVO]],Hoja1!$A$1:$D$121,3,0)</f>
        <v>229106</v>
      </c>
      <c r="W531" s="12">
        <f>VLOOKUP(Tabla4[[#This Row],[ZONA DEFINITIVO]],Hoja1!$A$1:$D$121,2,0)</f>
        <v>15197</v>
      </c>
      <c r="X531" s="12">
        <f>VLOOKUP(Tabla4[[#This Row],[ZONA DEFINITIVO]],Hoja1!$A$1:$D$121,4,0)</f>
        <v>83225</v>
      </c>
      <c r="Y531" s="12" t="str">
        <f>+IF(Tabla4[[#This Row],[AGRUPACIONES]]=1,SUMIFS(Tabla4[UDS],Tabla4[ZONA DEFINITIVO],Tabla4[[#This Row],[ZONA DEFINITIVO]])," ")</f>
        <v xml:space="preserve"> </v>
      </c>
      <c r="Z531" s="12" t="str">
        <f>+IF(Tabla4[[#This Row],[AGRUPACIONES]]=1,SUMIFS(Tabla4[TOTAL COBERTURA],Tabla4[ZONA DEFINITIVO],Tabla4[[#This Row],[ZONA DEFINITIVO]])," ")</f>
        <v xml:space="preserve"> </v>
      </c>
      <c r="AA531" s="12"/>
      <c r="AB531" s="38">
        <v>71946369</v>
      </c>
      <c r="AC531" s="37">
        <v>0.02</v>
      </c>
      <c r="AD531" s="38">
        <f t="shared" si="8"/>
        <v>1438927.3800000001</v>
      </c>
      <c r="AE531" s="12"/>
      <c r="AF531" s="12">
        <f>COUNTIF($A$20:A531,A531)</f>
        <v>24</v>
      </c>
      <c r="AG531" s="38">
        <v>71946369</v>
      </c>
      <c r="AH531" s="38">
        <f>Tabla4[[#This Row],[VALOR CONTRAPARTIDA]]+Tabla4[[#This Row],[TOTAL APORTES ICBF]]</f>
        <v>73385296.379999995</v>
      </c>
      <c r="AI531" s="35"/>
      <c r="AJ531" s="38"/>
      <c r="AK531" s="38"/>
      <c r="AL531" s="23"/>
      <c r="AM531" s="35">
        <f>VLOOKUP(Tabla4[[#This Row],[SERVICIO 2025]],$J$2:$V$14,5,0)*Tabla4[[#This Row],[TOTAL COBERTURA]]</f>
        <v>1629408</v>
      </c>
      <c r="AN531" s="35">
        <f>VLOOKUP(Tabla4[[#This Row],[SERVICIO 2025]],$J$2:$V$14,6,0)*Tabla4[[#This Row],[TOTAL COBERTURA]]</f>
        <v>1353957</v>
      </c>
      <c r="AO531" s="35">
        <f>VLOOKUP(Tabla4[[#This Row],[SERVICIO 2025]],$J$2:$V$14,8,0)*Tabla4[[#This Row],[TOTAL COBERTURA]]</f>
        <v>960300</v>
      </c>
      <c r="AP531" s="35">
        <f>VLOOKUP(Tabla4[[#This Row],[SERVICIO 2025]],$J$2:$V$14,3,0)*Tabla4[[#This Row],[TOTAL COBERTURA]]*8</f>
        <v>68002704</v>
      </c>
      <c r="AQ531" s="35"/>
      <c r="AR531" s="35">
        <f>Tabla4[[#This Row],[VALOR FASE PREPARATORIA DE ALISTAMIENTO]]+Tabla4[[#This Row],[VALOR FASE PREPARATORIA DE CIERRE]]+Tabla4[[#This Row],[DOTACIÓN ÚNICA]]+Tabla4[[#This Row],[VALOR ATENCIÓN]]+Tabla4[[#This Row],[VALOR RACION PREPARADA]]</f>
        <v>71946369</v>
      </c>
      <c r="AS531" s="35" t="str">
        <f>+IF(Tabla4[[#This Row],[AGRUPACIONES]]=1,SUMIFS(Tabla4[VALOR TOTAL],Tabla4[ZONA DEFINITIVO],Tabla4[[#This Row],[ZONA DEFINITIVO]])," ")</f>
        <v xml:space="preserve"> </v>
      </c>
      <c r="AT531" s="27">
        <f>(VLOOKUP(Tabla4[[#This Row],[SERVICIO 2025]],$J$2:$V$14,3,0)*Tabla4[[#This Row],[TOTAL COBERTURA]])+Tabla4[[#This Row],[VALOR FASE PREPARATORIA DE ALISTAMIENTO]]+Tabla4[[#This Row],[DOTACIÓN ÚNICA]]</f>
        <v>11090046</v>
      </c>
      <c r="AU531" s="35">
        <f>(VLOOKUP(Tabla4[[#This Row],[SERVICIO 2025]],$J$2:$V$14,3,0)*Tabla4[[#This Row],[TOTAL COBERTURA]])</f>
        <v>8500338</v>
      </c>
      <c r="AV531" s="35">
        <f>(VLOOKUP(Tabla4[[#This Row],[SERVICIO 2025]],$J$2:$V$14,3,0)*Tabla4[[#This Row],[TOTAL COBERTURA]])</f>
        <v>8500338</v>
      </c>
      <c r="AW531" s="35">
        <f>(VLOOKUP(Tabla4[[#This Row],[SERVICIO 2025]],$J$2:$V$14,3,0)*Tabla4[[#This Row],[TOTAL COBERTURA]])</f>
        <v>8500338</v>
      </c>
      <c r="AX531" s="35">
        <f>(VLOOKUP(Tabla4[[#This Row],[SERVICIO 2025]],$J$2:$V$14,3,0)*Tabla4[[#This Row],[TOTAL COBERTURA]])</f>
        <v>8500338</v>
      </c>
      <c r="AY531" s="35">
        <f>(VLOOKUP(Tabla4[[#This Row],[SERVICIO 2025]],$J$2:$V$14,3,0)*Tabla4[[#This Row],[TOTAL COBERTURA]])</f>
        <v>8500338</v>
      </c>
      <c r="AZ531" s="35">
        <f>(VLOOKUP(Tabla4[[#This Row],[SERVICIO 2025]],$J$2:$V$14,3,0)*Tabla4[[#This Row],[TOTAL COBERTURA]])</f>
        <v>8500338</v>
      </c>
      <c r="BA531" s="35">
        <f>(VLOOKUP(Tabla4[[#This Row],[SERVICIO 2025]],$J$2:$V$14,3,0)*Tabla4[[#This Row],[TOTAL COBERTURA]])+Tabla4[[#This Row],[VALOR FASE PREPARATORIA DE CIERRE]]</f>
        <v>9854295</v>
      </c>
      <c r="BB531" s="35">
        <f>SUM(Tabla4[[#This Row],[DESEMBOLSO 1]:[DESEMBOLSO 8]])</f>
        <v>71946369</v>
      </c>
      <c r="BC531" s="35">
        <f>VLOOKUP(Tabla4[[#This Row],[SERVICIO 2025]],$J$2:$V$14,10,0)*Tabla4[[#This Row],[TOTAL COBERTURA]]*$W$3</f>
        <v>47621112</v>
      </c>
      <c r="BD531" s="47" t="s">
        <v>211</v>
      </c>
      <c r="BE531" s="12" t="b">
        <f>EXACT(Tabla4[[#This Row],[VALOR ATENCIÓN (8 MESES)]],Tabla4[[#This Row],[VALOR TOTAL]])</f>
        <v>1</v>
      </c>
      <c r="BF531" s="23">
        <f>Tabla4[[#This Row],[VALOR ATENCIÓN (8 MESES)]]-Tabla4[[#This Row],[VALOR TOTAL]]</f>
        <v>0</v>
      </c>
      <c r="BG531" s="12" t="b">
        <f>EXACT(Tabla4[[#This Row],[TOTAL DESEMBOLSOS]],Tabla4[[#This Row],[VALOR ATENCIÓN (8 MESES)]])</f>
        <v>1</v>
      </c>
      <c r="BH531" s="29">
        <f>Tabla4[[#This Row],[TOTAL DESEMBOLSOS]]-Tabla4[[#This Row],[VALOR ATENCIÓN (8 MESES)]]</f>
        <v>0</v>
      </c>
      <c r="BI531" t="s">
        <v>98</v>
      </c>
      <c r="BJ531">
        <v>1937</v>
      </c>
    </row>
    <row r="532" spans="1:62">
      <c r="A532" s="13">
        <v>1937</v>
      </c>
      <c r="B532" s="13" t="s">
        <v>1180</v>
      </c>
      <c r="C532" s="12" t="s">
        <v>87</v>
      </c>
      <c r="D532" s="12" t="s">
        <v>462</v>
      </c>
      <c r="E532" s="12" t="s">
        <v>1172</v>
      </c>
      <c r="F532" s="12" t="s">
        <v>18</v>
      </c>
      <c r="G532" s="12" t="s">
        <v>90</v>
      </c>
      <c r="H532" s="12" t="s">
        <v>1229</v>
      </c>
      <c r="I532" s="12">
        <v>51721136280</v>
      </c>
      <c r="J532" s="12" t="s">
        <v>1230</v>
      </c>
      <c r="K532" s="12">
        <v>1</v>
      </c>
      <c r="L532" s="12">
        <v>39</v>
      </c>
      <c r="M532" s="12"/>
      <c r="N532" s="13">
        <v>1937</v>
      </c>
      <c r="O532" s="12" t="s">
        <v>93</v>
      </c>
      <c r="P532" s="12"/>
      <c r="Q532" s="12"/>
      <c r="R532" s="12" t="s">
        <v>94</v>
      </c>
      <c r="S532" s="12">
        <v>10</v>
      </c>
      <c r="T532" s="12" t="s">
        <v>1183</v>
      </c>
      <c r="U532" s="12" t="s">
        <v>1184</v>
      </c>
      <c r="V532" s="12">
        <f>VLOOKUP(Tabla4[[#This Row],[ZONA DEFINITIVO]],Hoja1!$A$1:$D$121,3,0)</f>
        <v>229106</v>
      </c>
      <c r="W532" s="12">
        <f>VLOOKUP(Tabla4[[#This Row],[ZONA DEFINITIVO]],Hoja1!$A$1:$D$121,2,0)</f>
        <v>15197</v>
      </c>
      <c r="X532" s="12">
        <f>VLOOKUP(Tabla4[[#This Row],[ZONA DEFINITIVO]],Hoja1!$A$1:$D$121,4,0)</f>
        <v>83225</v>
      </c>
      <c r="Y532" s="12" t="str">
        <f>+IF(Tabla4[[#This Row],[AGRUPACIONES]]=1,SUMIFS(Tabla4[UDS],Tabla4[ZONA DEFINITIVO],Tabla4[[#This Row],[ZONA DEFINITIVO]])," ")</f>
        <v xml:space="preserve"> </v>
      </c>
      <c r="Z532" s="12" t="str">
        <f>+IF(Tabla4[[#This Row],[AGRUPACIONES]]=1,SUMIFS(Tabla4[TOTAL COBERTURA],Tabla4[ZONA DEFINITIVO],Tabla4[[#This Row],[ZONA DEFINITIVO]])," ")</f>
        <v xml:space="preserve"> </v>
      </c>
      <c r="AA532" s="12"/>
      <c r="AB532" s="38">
        <v>85027527</v>
      </c>
      <c r="AC532" s="37">
        <v>0.02</v>
      </c>
      <c r="AD532" s="38">
        <f t="shared" ref="AD532:AD595" si="9">AB532*AC532</f>
        <v>1700550.54</v>
      </c>
      <c r="AE532" s="12"/>
      <c r="AF532" s="12">
        <f>COUNTIF($A$20:A532,A532)</f>
        <v>25</v>
      </c>
      <c r="AG532" s="38">
        <v>85027527</v>
      </c>
      <c r="AH532" s="38">
        <f>Tabla4[[#This Row],[VALOR CONTRAPARTIDA]]+Tabla4[[#This Row],[TOTAL APORTES ICBF]]</f>
        <v>86728077.540000007</v>
      </c>
      <c r="AI532" s="35"/>
      <c r="AJ532" s="38"/>
      <c r="AK532" s="38"/>
      <c r="AL532" s="23"/>
      <c r="AM532" s="35">
        <f>VLOOKUP(Tabla4[[#This Row],[SERVICIO 2025]],$J$2:$V$14,5,0)*Tabla4[[#This Row],[TOTAL COBERTURA]]</f>
        <v>1925664</v>
      </c>
      <c r="AN532" s="35">
        <f>VLOOKUP(Tabla4[[#This Row],[SERVICIO 2025]],$J$2:$V$14,6,0)*Tabla4[[#This Row],[TOTAL COBERTURA]]</f>
        <v>1600131</v>
      </c>
      <c r="AO532" s="35">
        <f>VLOOKUP(Tabla4[[#This Row],[SERVICIO 2025]],$J$2:$V$14,8,0)*Tabla4[[#This Row],[TOTAL COBERTURA]]</f>
        <v>1134900</v>
      </c>
      <c r="AP532" s="35">
        <f>VLOOKUP(Tabla4[[#This Row],[SERVICIO 2025]],$J$2:$V$14,3,0)*Tabla4[[#This Row],[TOTAL COBERTURA]]*8</f>
        <v>80366832</v>
      </c>
      <c r="AQ532" s="35"/>
      <c r="AR532" s="35">
        <f>Tabla4[[#This Row],[VALOR FASE PREPARATORIA DE ALISTAMIENTO]]+Tabla4[[#This Row],[VALOR FASE PREPARATORIA DE CIERRE]]+Tabla4[[#This Row],[DOTACIÓN ÚNICA]]+Tabla4[[#This Row],[VALOR ATENCIÓN]]+Tabla4[[#This Row],[VALOR RACION PREPARADA]]</f>
        <v>85027527</v>
      </c>
      <c r="AS532" s="35" t="str">
        <f>+IF(Tabla4[[#This Row],[AGRUPACIONES]]=1,SUMIFS(Tabla4[VALOR TOTAL],Tabla4[ZONA DEFINITIVO],Tabla4[[#This Row],[ZONA DEFINITIVO]])," ")</f>
        <v xml:space="preserve"> </v>
      </c>
      <c r="AT532" s="27">
        <f>(VLOOKUP(Tabla4[[#This Row],[SERVICIO 2025]],$J$2:$V$14,3,0)*Tabla4[[#This Row],[TOTAL COBERTURA]])+Tabla4[[#This Row],[VALOR FASE PREPARATORIA DE ALISTAMIENTO]]+Tabla4[[#This Row],[DOTACIÓN ÚNICA]]</f>
        <v>13106418</v>
      </c>
      <c r="AU532" s="35">
        <f>(VLOOKUP(Tabla4[[#This Row],[SERVICIO 2025]],$J$2:$V$14,3,0)*Tabla4[[#This Row],[TOTAL COBERTURA]])</f>
        <v>10045854</v>
      </c>
      <c r="AV532" s="35">
        <f>(VLOOKUP(Tabla4[[#This Row],[SERVICIO 2025]],$J$2:$V$14,3,0)*Tabla4[[#This Row],[TOTAL COBERTURA]])</f>
        <v>10045854</v>
      </c>
      <c r="AW532" s="35">
        <f>(VLOOKUP(Tabla4[[#This Row],[SERVICIO 2025]],$J$2:$V$14,3,0)*Tabla4[[#This Row],[TOTAL COBERTURA]])</f>
        <v>10045854</v>
      </c>
      <c r="AX532" s="35">
        <f>(VLOOKUP(Tabla4[[#This Row],[SERVICIO 2025]],$J$2:$V$14,3,0)*Tabla4[[#This Row],[TOTAL COBERTURA]])</f>
        <v>10045854</v>
      </c>
      <c r="AY532" s="35">
        <f>(VLOOKUP(Tabla4[[#This Row],[SERVICIO 2025]],$J$2:$V$14,3,0)*Tabla4[[#This Row],[TOTAL COBERTURA]])</f>
        <v>10045854</v>
      </c>
      <c r="AZ532" s="35">
        <f>(VLOOKUP(Tabla4[[#This Row],[SERVICIO 2025]],$J$2:$V$14,3,0)*Tabla4[[#This Row],[TOTAL COBERTURA]])</f>
        <v>10045854</v>
      </c>
      <c r="BA532" s="35">
        <f>(VLOOKUP(Tabla4[[#This Row],[SERVICIO 2025]],$J$2:$V$14,3,0)*Tabla4[[#This Row],[TOTAL COBERTURA]])+Tabla4[[#This Row],[VALOR FASE PREPARATORIA DE CIERRE]]</f>
        <v>11645985</v>
      </c>
      <c r="BB532" s="35">
        <f>SUM(Tabla4[[#This Row],[DESEMBOLSO 1]:[DESEMBOLSO 8]])</f>
        <v>85027527</v>
      </c>
      <c r="BC532" s="35">
        <f>VLOOKUP(Tabla4[[#This Row],[SERVICIO 2025]],$J$2:$V$14,10,0)*Tabla4[[#This Row],[TOTAL COBERTURA]]*$W$3</f>
        <v>56279496</v>
      </c>
      <c r="BD532" s="47" t="s">
        <v>211</v>
      </c>
      <c r="BE532" s="12" t="b">
        <f>EXACT(Tabla4[[#This Row],[VALOR ATENCIÓN (8 MESES)]],Tabla4[[#This Row],[VALOR TOTAL]])</f>
        <v>1</v>
      </c>
      <c r="BF532" s="23">
        <f>Tabla4[[#This Row],[VALOR ATENCIÓN (8 MESES)]]-Tabla4[[#This Row],[VALOR TOTAL]]</f>
        <v>0</v>
      </c>
      <c r="BG532" s="12" t="b">
        <f>EXACT(Tabla4[[#This Row],[TOTAL DESEMBOLSOS]],Tabla4[[#This Row],[VALOR ATENCIÓN (8 MESES)]])</f>
        <v>1</v>
      </c>
      <c r="BH532" s="29">
        <f>Tabla4[[#This Row],[TOTAL DESEMBOLSOS]]-Tabla4[[#This Row],[VALOR ATENCIÓN (8 MESES)]]</f>
        <v>0</v>
      </c>
      <c r="BI532" t="s">
        <v>98</v>
      </c>
      <c r="BJ532">
        <v>1937</v>
      </c>
    </row>
    <row r="533" spans="1:62">
      <c r="A533" s="13">
        <v>1937</v>
      </c>
      <c r="B533" s="13" t="s">
        <v>1180</v>
      </c>
      <c r="C533" s="12" t="s">
        <v>87</v>
      </c>
      <c r="D533" s="12" t="s">
        <v>462</v>
      </c>
      <c r="E533" s="12" t="s">
        <v>1172</v>
      </c>
      <c r="F533" s="12" t="s">
        <v>18</v>
      </c>
      <c r="G533" s="12" t="s">
        <v>90</v>
      </c>
      <c r="H533" s="12" t="s">
        <v>1231</v>
      </c>
      <c r="I533" s="12">
        <v>51721136293</v>
      </c>
      <c r="J533" s="12" t="s">
        <v>1232</v>
      </c>
      <c r="K533" s="12">
        <v>1</v>
      </c>
      <c r="L533" s="12">
        <v>15</v>
      </c>
      <c r="M533" s="12"/>
      <c r="N533" s="13">
        <v>1937</v>
      </c>
      <c r="O533" s="12" t="s">
        <v>93</v>
      </c>
      <c r="P533" s="12"/>
      <c r="Q533" s="12"/>
      <c r="R533" s="12" t="s">
        <v>94</v>
      </c>
      <c r="S533" s="12">
        <v>10</v>
      </c>
      <c r="T533" s="12" t="s">
        <v>1183</v>
      </c>
      <c r="U533" s="12" t="s">
        <v>1184</v>
      </c>
      <c r="V533" s="12">
        <f>VLOOKUP(Tabla4[[#This Row],[ZONA DEFINITIVO]],Hoja1!$A$1:$D$121,3,0)</f>
        <v>229106</v>
      </c>
      <c r="W533" s="12">
        <f>VLOOKUP(Tabla4[[#This Row],[ZONA DEFINITIVO]],Hoja1!$A$1:$D$121,2,0)</f>
        <v>15197</v>
      </c>
      <c r="X533" s="12">
        <f>VLOOKUP(Tabla4[[#This Row],[ZONA DEFINITIVO]],Hoja1!$A$1:$D$121,4,0)</f>
        <v>83225</v>
      </c>
      <c r="Y533" s="12" t="str">
        <f>+IF(Tabla4[[#This Row],[AGRUPACIONES]]=1,SUMIFS(Tabla4[UDS],Tabla4[ZONA DEFINITIVO],Tabla4[[#This Row],[ZONA DEFINITIVO]])," ")</f>
        <v xml:space="preserve"> </v>
      </c>
      <c r="Z533" s="12" t="str">
        <f>+IF(Tabla4[[#This Row],[AGRUPACIONES]]=1,SUMIFS(Tabla4[TOTAL COBERTURA],Tabla4[ZONA DEFINITIVO],Tabla4[[#This Row],[ZONA DEFINITIVO]])," ")</f>
        <v xml:space="preserve"> </v>
      </c>
      <c r="AA533" s="12"/>
      <c r="AB533" s="38">
        <v>32702895</v>
      </c>
      <c r="AC533" s="37">
        <v>0.02</v>
      </c>
      <c r="AD533" s="38">
        <f t="shared" si="9"/>
        <v>654057.9</v>
      </c>
      <c r="AE533" s="12"/>
      <c r="AF533" s="12">
        <f>COUNTIF($A$20:A533,A533)</f>
        <v>26</v>
      </c>
      <c r="AG533" s="38">
        <v>32702895</v>
      </c>
      <c r="AH533" s="38">
        <f>Tabla4[[#This Row],[VALOR CONTRAPARTIDA]]+Tabla4[[#This Row],[TOTAL APORTES ICBF]]</f>
        <v>33356952.899999999</v>
      </c>
      <c r="AI533" s="35"/>
      <c r="AJ533" s="38"/>
      <c r="AK533" s="38"/>
      <c r="AL533" s="23"/>
      <c r="AM533" s="35">
        <f>VLOOKUP(Tabla4[[#This Row],[SERVICIO 2025]],$J$2:$V$14,5,0)*Tabla4[[#This Row],[TOTAL COBERTURA]]</f>
        <v>740640</v>
      </c>
      <c r="AN533" s="35">
        <f>VLOOKUP(Tabla4[[#This Row],[SERVICIO 2025]],$J$2:$V$14,6,0)*Tabla4[[#This Row],[TOTAL COBERTURA]]</f>
        <v>615435</v>
      </c>
      <c r="AO533" s="35">
        <f>VLOOKUP(Tabla4[[#This Row],[SERVICIO 2025]],$J$2:$V$14,8,0)*Tabla4[[#This Row],[TOTAL COBERTURA]]</f>
        <v>436500</v>
      </c>
      <c r="AP533" s="35">
        <f>VLOOKUP(Tabla4[[#This Row],[SERVICIO 2025]],$J$2:$V$14,3,0)*Tabla4[[#This Row],[TOTAL COBERTURA]]*8</f>
        <v>30910320</v>
      </c>
      <c r="AQ533" s="35"/>
      <c r="AR533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533" s="35" t="str">
        <f>+IF(Tabla4[[#This Row],[AGRUPACIONES]]=1,SUMIFS(Tabla4[VALOR TOTAL],Tabla4[ZONA DEFINITIVO],Tabla4[[#This Row],[ZONA DEFINITIVO]])," ")</f>
        <v xml:space="preserve"> </v>
      </c>
      <c r="AT533" s="27">
        <f>(VLOOKUP(Tabla4[[#This Row],[SERVICIO 2025]],$J$2:$V$14,3,0)*Tabla4[[#This Row],[TOTAL COBERTURA]])+Tabla4[[#This Row],[VALOR FASE PREPARATORIA DE ALISTAMIENTO]]+Tabla4[[#This Row],[DOTACIÓN ÚNICA]]</f>
        <v>5040930</v>
      </c>
      <c r="AU533" s="35">
        <f>(VLOOKUP(Tabla4[[#This Row],[SERVICIO 2025]],$J$2:$V$14,3,0)*Tabla4[[#This Row],[TOTAL COBERTURA]])</f>
        <v>3863790</v>
      </c>
      <c r="AV533" s="35">
        <f>(VLOOKUP(Tabla4[[#This Row],[SERVICIO 2025]],$J$2:$V$14,3,0)*Tabla4[[#This Row],[TOTAL COBERTURA]])</f>
        <v>3863790</v>
      </c>
      <c r="AW533" s="35">
        <f>(VLOOKUP(Tabla4[[#This Row],[SERVICIO 2025]],$J$2:$V$14,3,0)*Tabla4[[#This Row],[TOTAL COBERTURA]])</f>
        <v>3863790</v>
      </c>
      <c r="AX533" s="35">
        <f>(VLOOKUP(Tabla4[[#This Row],[SERVICIO 2025]],$J$2:$V$14,3,0)*Tabla4[[#This Row],[TOTAL COBERTURA]])</f>
        <v>3863790</v>
      </c>
      <c r="AY533" s="35">
        <f>(VLOOKUP(Tabla4[[#This Row],[SERVICIO 2025]],$J$2:$V$14,3,0)*Tabla4[[#This Row],[TOTAL COBERTURA]])</f>
        <v>3863790</v>
      </c>
      <c r="AZ533" s="35">
        <f>(VLOOKUP(Tabla4[[#This Row],[SERVICIO 2025]],$J$2:$V$14,3,0)*Tabla4[[#This Row],[TOTAL COBERTURA]])</f>
        <v>3863790</v>
      </c>
      <c r="BA533" s="35">
        <f>(VLOOKUP(Tabla4[[#This Row],[SERVICIO 2025]],$J$2:$V$14,3,0)*Tabla4[[#This Row],[TOTAL COBERTURA]])+Tabla4[[#This Row],[VALOR FASE PREPARATORIA DE CIERRE]]</f>
        <v>4479225</v>
      </c>
      <c r="BB533" s="35">
        <f>SUM(Tabla4[[#This Row],[DESEMBOLSO 1]:[DESEMBOLSO 8]])</f>
        <v>32702895</v>
      </c>
      <c r="BC533" s="35">
        <f>VLOOKUP(Tabla4[[#This Row],[SERVICIO 2025]],$J$2:$V$14,10,0)*Tabla4[[#This Row],[TOTAL COBERTURA]]*$W$3</f>
        <v>21645960</v>
      </c>
      <c r="BD533" s="47" t="s">
        <v>211</v>
      </c>
      <c r="BE533" s="12" t="b">
        <f>EXACT(Tabla4[[#This Row],[VALOR ATENCIÓN (8 MESES)]],Tabla4[[#This Row],[VALOR TOTAL]])</f>
        <v>1</v>
      </c>
      <c r="BF533" s="23">
        <f>Tabla4[[#This Row],[VALOR ATENCIÓN (8 MESES)]]-Tabla4[[#This Row],[VALOR TOTAL]]</f>
        <v>0</v>
      </c>
      <c r="BG533" s="12" t="b">
        <f>EXACT(Tabla4[[#This Row],[TOTAL DESEMBOLSOS]],Tabla4[[#This Row],[VALOR ATENCIÓN (8 MESES)]])</f>
        <v>1</v>
      </c>
      <c r="BH533" s="29">
        <f>Tabla4[[#This Row],[TOTAL DESEMBOLSOS]]-Tabla4[[#This Row],[VALOR ATENCIÓN (8 MESES)]]</f>
        <v>0</v>
      </c>
      <c r="BI533" t="s">
        <v>98</v>
      </c>
      <c r="BJ533">
        <v>1937</v>
      </c>
    </row>
    <row r="534" spans="1:62">
      <c r="A534" s="13">
        <v>1937</v>
      </c>
      <c r="B534" s="13" t="s">
        <v>1180</v>
      </c>
      <c r="C534" s="12" t="s">
        <v>87</v>
      </c>
      <c r="D534" s="12" t="s">
        <v>462</v>
      </c>
      <c r="E534" s="12" t="s">
        <v>1172</v>
      </c>
      <c r="F534" s="12" t="s">
        <v>18</v>
      </c>
      <c r="G534" s="12" t="s">
        <v>90</v>
      </c>
      <c r="H534" s="12" t="s">
        <v>1233</v>
      </c>
      <c r="I534" s="12">
        <v>51721144835</v>
      </c>
      <c r="J534" s="12" t="s">
        <v>1234</v>
      </c>
      <c r="K534" s="12">
        <v>1</v>
      </c>
      <c r="L534" s="12">
        <v>12</v>
      </c>
      <c r="M534" s="12"/>
      <c r="N534" s="13">
        <v>1937</v>
      </c>
      <c r="O534" s="12" t="s">
        <v>93</v>
      </c>
      <c r="P534" s="12"/>
      <c r="Q534" s="12"/>
      <c r="R534" s="12" t="s">
        <v>94</v>
      </c>
      <c r="S534" s="12">
        <v>10</v>
      </c>
      <c r="T534" s="12" t="s">
        <v>1183</v>
      </c>
      <c r="U534" s="12" t="s">
        <v>1184</v>
      </c>
      <c r="V534" s="12">
        <f>VLOOKUP(Tabla4[[#This Row],[ZONA DEFINITIVO]],Hoja1!$A$1:$D$121,3,0)</f>
        <v>229106</v>
      </c>
      <c r="W534" s="12">
        <f>VLOOKUP(Tabla4[[#This Row],[ZONA DEFINITIVO]],Hoja1!$A$1:$D$121,2,0)</f>
        <v>15197</v>
      </c>
      <c r="X534" s="12">
        <f>VLOOKUP(Tabla4[[#This Row],[ZONA DEFINITIVO]],Hoja1!$A$1:$D$121,4,0)</f>
        <v>83225</v>
      </c>
      <c r="Y534" s="12" t="str">
        <f>+IF(Tabla4[[#This Row],[AGRUPACIONES]]=1,SUMIFS(Tabla4[UDS],Tabla4[ZONA DEFINITIVO],Tabla4[[#This Row],[ZONA DEFINITIVO]])," ")</f>
        <v xml:space="preserve"> </v>
      </c>
      <c r="Z534" s="12" t="str">
        <f>+IF(Tabla4[[#This Row],[AGRUPACIONES]]=1,SUMIFS(Tabla4[TOTAL COBERTURA],Tabla4[ZONA DEFINITIVO],Tabla4[[#This Row],[ZONA DEFINITIVO]])," ")</f>
        <v xml:space="preserve"> </v>
      </c>
      <c r="AA534" s="12"/>
      <c r="AB534" s="38">
        <v>26162316</v>
      </c>
      <c r="AC534" s="37">
        <v>0.02</v>
      </c>
      <c r="AD534" s="38">
        <f t="shared" si="9"/>
        <v>523246.32</v>
      </c>
      <c r="AE534" s="12"/>
      <c r="AF534" s="12">
        <f>COUNTIF($A$20:A534,A534)</f>
        <v>27</v>
      </c>
      <c r="AG534" s="38">
        <v>26162316</v>
      </c>
      <c r="AH534" s="38">
        <f>Tabla4[[#This Row],[VALOR CONTRAPARTIDA]]+Tabla4[[#This Row],[TOTAL APORTES ICBF]]</f>
        <v>26685562.32</v>
      </c>
      <c r="AI534" s="35"/>
      <c r="AJ534" s="38"/>
      <c r="AK534" s="38"/>
      <c r="AL534" s="23"/>
      <c r="AM534" s="35">
        <f>VLOOKUP(Tabla4[[#This Row],[SERVICIO 2025]],$J$2:$V$14,5,0)*Tabla4[[#This Row],[TOTAL COBERTURA]]</f>
        <v>592512</v>
      </c>
      <c r="AN534" s="35">
        <f>VLOOKUP(Tabla4[[#This Row],[SERVICIO 2025]],$J$2:$V$14,6,0)*Tabla4[[#This Row],[TOTAL COBERTURA]]</f>
        <v>492348</v>
      </c>
      <c r="AO534" s="35">
        <f>VLOOKUP(Tabla4[[#This Row],[SERVICIO 2025]],$J$2:$V$14,8,0)*Tabla4[[#This Row],[TOTAL COBERTURA]]</f>
        <v>349200</v>
      </c>
      <c r="AP534" s="35">
        <f>VLOOKUP(Tabla4[[#This Row],[SERVICIO 2025]],$J$2:$V$14,3,0)*Tabla4[[#This Row],[TOTAL COBERTURA]]*8</f>
        <v>24728256</v>
      </c>
      <c r="AQ534" s="35"/>
      <c r="AR534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534" s="35" t="str">
        <f>+IF(Tabla4[[#This Row],[AGRUPACIONES]]=1,SUMIFS(Tabla4[VALOR TOTAL],Tabla4[ZONA DEFINITIVO],Tabla4[[#This Row],[ZONA DEFINITIVO]])," ")</f>
        <v xml:space="preserve"> </v>
      </c>
      <c r="AT534" s="27">
        <f>(VLOOKUP(Tabla4[[#This Row],[SERVICIO 2025]],$J$2:$V$14,3,0)*Tabla4[[#This Row],[TOTAL COBERTURA]])+Tabla4[[#This Row],[VALOR FASE PREPARATORIA DE ALISTAMIENTO]]+Tabla4[[#This Row],[DOTACIÓN ÚNICA]]</f>
        <v>4032744</v>
      </c>
      <c r="AU534" s="35">
        <f>(VLOOKUP(Tabla4[[#This Row],[SERVICIO 2025]],$J$2:$V$14,3,0)*Tabla4[[#This Row],[TOTAL COBERTURA]])</f>
        <v>3091032</v>
      </c>
      <c r="AV534" s="35">
        <f>(VLOOKUP(Tabla4[[#This Row],[SERVICIO 2025]],$J$2:$V$14,3,0)*Tabla4[[#This Row],[TOTAL COBERTURA]])</f>
        <v>3091032</v>
      </c>
      <c r="AW534" s="35">
        <f>(VLOOKUP(Tabla4[[#This Row],[SERVICIO 2025]],$J$2:$V$14,3,0)*Tabla4[[#This Row],[TOTAL COBERTURA]])</f>
        <v>3091032</v>
      </c>
      <c r="AX534" s="35">
        <f>(VLOOKUP(Tabla4[[#This Row],[SERVICIO 2025]],$J$2:$V$14,3,0)*Tabla4[[#This Row],[TOTAL COBERTURA]])</f>
        <v>3091032</v>
      </c>
      <c r="AY534" s="35">
        <f>(VLOOKUP(Tabla4[[#This Row],[SERVICIO 2025]],$J$2:$V$14,3,0)*Tabla4[[#This Row],[TOTAL COBERTURA]])</f>
        <v>3091032</v>
      </c>
      <c r="AZ534" s="35">
        <f>(VLOOKUP(Tabla4[[#This Row],[SERVICIO 2025]],$J$2:$V$14,3,0)*Tabla4[[#This Row],[TOTAL COBERTURA]])</f>
        <v>3091032</v>
      </c>
      <c r="BA534" s="35">
        <f>(VLOOKUP(Tabla4[[#This Row],[SERVICIO 2025]],$J$2:$V$14,3,0)*Tabla4[[#This Row],[TOTAL COBERTURA]])+Tabla4[[#This Row],[VALOR FASE PREPARATORIA DE CIERRE]]</f>
        <v>3583380</v>
      </c>
      <c r="BB534" s="35">
        <f>SUM(Tabla4[[#This Row],[DESEMBOLSO 1]:[DESEMBOLSO 8]])</f>
        <v>26162316</v>
      </c>
      <c r="BC534" s="35">
        <f>VLOOKUP(Tabla4[[#This Row],[SERVICIO 2025]],$J$2:$V$14,10,0)*Tabla4[[#This Row],[TOTAL COBERTURA]]*$W$3</f>
        <v>17316768</v>
      </c>
      <c r="BD534" s="47" t="s">
        <v>211</v>
      </c>
      <c r="BE534" s="12" t="b">
        <f>EXACT(Tabla4[[#This Row],[VALOR ATENCIÓN (8 MESES)]],Tabla4[[#This Row],[VALOR TOTAL]])</f>
        <v>1</v>
      </c>
      <c r="BF534" s="23">
        <f>Tabla4[[#This Row],[VALOR ATENCIÓN (8 MESES)]]-Tabla4[[#This Row],[VALOR TOTAL]]</f>
        <v>0</v>
      </c>
      <c r="BG534" s="12" t="b">
        <f>EXACT(Tabla4[[#This Row],[TOTAL DESEMBOLSOS]],Tabla4[[#This Row],[VALOR ATENCIÓN (8 MESES)]])</f>
        <v>1</v>
      </c>
      <c r="BH534" s="29">
        <f>Tabla4[[#This Row],[TOTAL DESEMBOLSOS]]-Tabla4[[#This Row],[VALOR ATENCIÓN (8 MESES)]]</f>
        <v>0</v>
      </c>
      <c r="BI534" t="s">
        <v>98</v>
      </c>
      <c r="BJ534">
        <v>1937</v>
      </c>
    </row>
    <row r="535" spans="1:62">
      <c r="A535" s="13">
        <v>1937</v>
      </c>
      <c r="B535" s="13" t="s">
        <v>1180</v>
      </c>
      <c r="C535" s="12" t="s">
        <v>87</v>
      </c>
      <c r="D535" s="12" t="s">
        <v>462</v>
      </c>
      <c r="E535" s="12" t="s">
        <v>1172</v>
      </c>
      <c r="F535" s="12" t="s">
        <v>18</v>
      </c>
      <c r="G535" s="12" t="s">
        <v>90</v>
      </c>
      <c r="H535" s="12" t="s">
        <v>1209</v>
      </c>
      <c r="I535" s="12">
        <v>51721152342</v>
      </c>
      <c r="J535" s="12" t="s">
        <v>1235</v>
      </c>
      <c r="K535" s="12">
        <v>1</v>
      </c>
      <c r="L535" s="12">
        <v>20</v>
      </c>
      <c r="M535" s="12"/>
      <c r="N535" s="13">
        <v>1937</v>
      </c>
      <c r="O535" s="12" t="s">
        <v>93</v>
      </c>
      <c r="P535" s="12"/>
      <c r="Q535" s="12"/>
      <c r="R535" s="12" t="s">
        <v>94</v>
      </c>
      <c r="S535" s="12">
        <v>10</v>
      </c>
      <c r="T535" s="12" t="s">
        <v>1183</v>
      </c>
      <c r="U535" s="12" t="s">
        <v>1184</v>
      </c>
      <c r="V535" s="12">
        <f>VLOOKUP(Tabla4[[#This Row],[ZONA DEFINITIVO]],Hoja1!$A$1:$D$121,3,0)</f>
        <v>229106</v>
      </c>
      <c r="W535" s="12">
        <f>VLOOKUP(Tabla4[[#This Row],[ZONA DEFINITIVO]],Hoja1!$A$1:$D$121,2,0)</f>
        <v>15197</v>
      </c>
      <c r="X535" s="12">
        <f>VLOOKUP(Tabla4[[#This Row],[ZONA DEFINITIVO]],Hoja1!$A$1:$D$121,4,0)</f>
        <v>83225</v>
      </c>
      <c r="Y535" s="12" t="str">
        <f>+IF(Tabla4[[#This Row],[AGRUPACIONES]]=1,SUMIFS(Tabla4[UDS],Tabla4[ZONA DEFINITIVO],Tabla4[[#This Row],[ZONA DEFINITIVO]])," ")</f>
        <v xml:space="preserve"> </v>
      </c>
      <c r="Z535" s="12" t="str">
        <f>+IF(Tabla4[[#This Row],[AGRUPACIONES]]=1,SUMIFS(Tabla4[TOTAL COBERTURA],Tabla4[ZONA DEFINITIVO],Tabla4[[#This Row],[ZONA DEFINITIVO]])," ")</f>
        <v xml:space="preserve"> </v>
      </c>
      <c r="AA535" s="12"/>
      <c r="AB535" s="38">
        <v>43603860</v>
      </c>
      <c r="AC535" s="37">
        <v>0.02</v>
      </c>
      <c r="AD535" s="38">
        <f t="shared" si="9"/>
        <v>872077.20000000007</v>
      </c>
      <c r="AE535" s="12"/>
      <c r="AF535" s="12">
        <f>COUNTIF($A$20:A535,A535)</f>
        <v>28</v>
      </c>
      <c r="AG535" s="38">
        <v>43603860</v>
      </c>
      <c r="AH535" s="38">
        <f>Tabla4[[#This Row],[VALOR CONTRAPARTIDA]]+Tabla4[[#This Row],[TOTAL APORTES ICBF]]</f>
        <v>44475937.200000003</v>
      </c>
      <c r="AI535" s="35"/>
      <c r="AJ535" s="38"/>
      <c r="AK535" s="38"/>
      <c r="AL535" s="23"/>
      <c r="AM535" s="35">
        <f>VLOOKUP(Tabla4[[#This Row],[SERVICIO 2025]],$J$2:$V$14,5,0)*Tabla4[[#This Row],[TOTAL COBERTURA]]</f>
        <v>987520</v>
      </c>
      <c r="AN535" s="35">
        <f>VLOOKUP(Tabla4[[#This Row],[SERVICIO 2025]],$J$2:$V$14,6,0)*Tabla4[[#This Row],[TOTAL COBERTURA]]</f>
        <v>820580</v>
      </c>
      <c r="AO535" s="35">
        <f>VLOOKUP(Tabla4[[#This Row],[SERVICIO 2025]],$J$2:$V$14,8,0)*Tabla4[[#This Row],[TOTAL COBERTURA]]</f>
        <v>582000</v>
      </c>
      <c r="AP535" s="35">
        <f>VLOOKUP(Tabla4[[#This Row],[SERVICIO 2025]],$J$2:$V$14,3,0)*Tabla4[[#This Row],[TOTAL COBERTURA]]*8</f>
        <v>41213760</v>
      </c>
      <c r="AQ535" s="35"/>
      <c r="AR535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535" s="35" t="str">
        <f>+IF(Tabla4[[#This Row],[AGRUPACIONES]]=1,SUMIFS(Tabla4[VALOR TOTAL],Tabla4[ZONA DEFINITIVO],Tabla4[[#This Row],[ZONA DEFINITIVO]])," ")</f>
        <v xml:space="preserve"> </v>
      </c>
      <c r="AT535" s="27">
        <f>(VLOOKUP(Tabla4[[#This Row],[SERVICIO 2025]],$J$2:$V$14,3,0)*Tabla4[[#This Row],[TOTAL COBERTURA]])+Tabla4[[#This Row],[VALOR FASE PREPARATORIA DE ALISTAMIENTO]]+Tabla4[[#This Row],[DOTACIÓN ÚNICA]]</f>
        <v>6721240</v>
      </c>
      <c r="AU535" s="35">
        <f>(VLOOKUP(Tabla4[[#This Row],[SERVICIO 2025]],$J$2:$V$14,3,0)*Tabla4[[#This Row],[TOTAL COBERTURA]])</f>
        <v>5151720</v>
      </c>
      <c r="AV535" s="35">
        <f>(VLOOKUP(Tabla4[[#This Row],[SERVICIO 2025]],$J$2:$V$14,3,0)*Tabla4[[#This Row],[TOTAL COBERTURA]])</f>
        <v>5151720</v>
      </c>
      <c r="AW535" s="35">
        <f>(VLOOKUP(Tabla4[[#This Row],[SERVICIO 2025]],$J$2:$V$14,3,0)*Tabla4[[#This Row],[TOTAL COBERTURA]])</f>
        <v>5151720</v>
      </c>
      <c r="AX535" s="35">
        <f>(VLOOKUP(Tabla4[[#This Row],[SERVICIO 2025]],$J$2:$V$14,3,0)*Tabla4[[#This Row],[TOTAL COBERTURA]])</f>
        <v>5151720</v>
      </c>
      <c r="AY535" s="35">
        <f>(VLOOKUP(Tabla4[[#This Row],[SERVICIO 2025]],$J$2:$V$14,3,0)*Tabla4[[#This Row],[TOTAL COBERTURA]])</f>
        <v>5151720</v>
      </c>
      <c r="AZ535" s="35">
        <f>(VLOOKUP(Tabla4[[#This Row],[SERVICIO 2025]],$J$2:$V$14,3,0)*Tabla4[[#This Row],[TOTAL COBERTURA]])</f>
        <v>5151720</v>
      </c>
      <c r="BA535" s="35">
        <f>(VLOOKUP(Tabla4[[#This Row],[SERVICIO 2025]],$J$2:$V$14,3,0)*Tabla4[[#This Row],[TOTAL COBERTURA]])+Tabla4[[#This Row],[VALOR FASE PREPARATORIA DE CIERRE]]</f>
        <v>5972300</v>
      </c>
      <c r="BB535" s="35">
        <f>SUM(Tabla4[[#This Row],[DESEMBOLSO 1]:[DESEMBOLSO 8]])</f>
        <v>43603860</v>
      </c>
      <c r="BC535" s="35">
        <f>VLOOKUP(Tabla4[[#This Row],[SERVICIO 2025]],$J$2:$V$14,10,0)*Tabla4[[#This Row],[TOTAL COBERTURA]]*$W$3</f>
        <v>28861280</v>
      </c>
      <c r="BD535" s="47" t="s">
        <v>211</v>
      </c>
      <c r="BE535" s="12" t="b">
        <f>EXACT(Tabla4[[#This Row],[VALOR ATENCIÓN (8 MESES)]],Tabla4[[#This Row],[VALOR TOTAL]])</f>
        <v>1</v>
      </c>
      <c r="BF535" s="23">
        <f>Tabla4[[#This Row],[VALOR ATENCIÓN (8 MESES)]]-Tabla4[[#This Row],[VALOR TOTAL]]</f>
        <v>0</v>
      </c>
      <c r="BG535" s="12" t="b">
        <f>EXACT(Tabla4[[#This Row],[TOTAL DESEMBOLSOS]],Tabla4[[#This Row],[VALOR ATENCIÓN (8 MESES)]])</f>
        <v>1</v>
      </c>
      <c r="BH535" s="29">
        <f>Tabla4[[#This Row],[TOTAL DESEMBOLSOS]]-Tabla4[[#This Row],[VALOR ATENCIÓN (8 MESES)]]</f>
        <v>0</v>
      </c>
      <c r="BI535" t="s">
        <v>98</v>
      </c>
      <c r="BJ535">
        <v>1937</v>
      </c>
    </row>
    <row r="536" spans="1:62">
      <c r="A536" s="13">
        <v>1937</v>
      </c>
      <c r="B536" s="13" t="s">
        <v>1180</v>
      </c>
      <c r="C536" s="12" t="s">
        <v>87</v>
      </c>
      <c r="D536" s="12" t="s">
        <v>462</v>
      </c>
      <c r="E536" s="12" t="s">
        <v>1172</v>
      </c>
      <c r="F536" s="12" t="s">
        <v>18</v>
      </c>
      <c r="G536" s="12" t="s">
        <v>90</v>
      </c>
      <c r="H536" s="12" t="s">
        <v>1236</v>
      </c>
      <c r="I536" s="12">
        <v>51721152343</v>
      </c>
      <c r="J536" s="12" t="s">
        <v>1237</v>
      </c>
      <c r="K536" s="12">
        <v>1</v>
      </c>
      <c r="L536" s="12">
        <v>20</v>
      </c>
      <c r="M536" s="12"/>
      <c r="N536" s="13">
        <v>1937</v>
      </c>
      <c r="O536" s="12" t="s">
        <v>93</v>
      </c>
      <c r="P536" s="12"/>
      <c r="Q536" s="12"/>
      <c r="R536" s="12" t="s">
        <v>94</v>
      </c>
      <c r="S536" s="12">
        <v>10</v>
      </c>
      <c r="T536" s="12" t="s">
        <v>1183</v>
      </c>
      <c r="U536" s="12" t="s">
        <v>1184</v>
      </c>
      <c r="V536" s="12">
        <f>VLOOKUP(Tabla4[[#This Row],[ZONA DEFINITIVO]],Hoja1!$A$1:$D$121,3,0)</f>
        <v>229106</v>
      </c>
      <c r="W536" s="12">
        <f>VLOOKUP(Tabla4[[#This Row],[ZONA DEFINITIVO]],Hoja1!$A$1:$D$121,2,0)</f>
        <v>15197</v>
      </c>
      <c r="X536" s="12">
        <f>VLOOKUP(Tabla4[[#This Row],[ZONA DEFINITIVO]],Hoja1!$A$1:$D$121,4,0)</f>
        <v>83225</v>
      </c>
      <c r="Y536" s="12" t="str">
        <f>+IF(Tabla4[[#This Row],[AGRUPACIONES]]=1,SUMIFS(Tabla4[UDS],Tabla4[ZONA DEFINITIVO],Tabla4[[#This Row],[ZONA DEFINITIVO]])," ")</f>
        <v xml:space="preserve"> </v>
      </c>
      <c r="Z536" s="12" t="str">
        <f>+IF(Tabla4[[#This Row],[AGRUPACIONES]]=1,SUMIFS(Tabla4[TOTAL COBERTURA],Tabla4[ZONA DEFINITIVO],Tabla4[[#This Row],[ZONA DEFINITIVO]])," ")</f>
        <v xml:space="preserve"> </v>
      </c>
      <c r="AA536" s="12"/>
      <c r="AB536" s="38">
        <v>43603860</v>
      </c>
      <c r="AC536" s="37">
        <v>0.02</v>
      </c>
      <c r="AD536" s="38">
        <f t="shared" si="9"/>
        <v>872077.20000000007</v>
      </c>
      <c r="AE536" s="12"/>
      <c r="AF536" s="12">
        <f>COUNTIF($A$20:A536,A536)</f>
        <v>29</v>
      </c>
      <c r="AG536" s="38">
        <v>43603860</v>
      </c>
      <c r="AH536" s="38">
        <f>Tabla4[[#This Row],[VALOR CONTRAPARTIDA]]+Tabla4[[#This Row],[TOTAL APORTES ICBF]]</f>
        <v>44475937.200000003</v>
      </c>
      <c r="AI536" s="35"/>
      <c r="AJ536" s="38"/>
      <c r="AK536" s="38"/>
      <c r="AL536" s="23"/>
      <c r="AM536" s="35">
        <f>VLOOKUP(Tabla4[[#This Row],[SERVICIO 2025]],$J$2:$V$14,5,0)*Tabla4[[#This Row],[TOTAL COBERTURA]]</f>
        <v>987520</v>
      </c>
      <c r="AN536" s="35">
        <f>VLOOKUP(Tabla4[[#This Row],[SERVICIO 2025]],$J$2:$V$14,6,0)*Tabla4[[#This Row],[TOTAL COBERTURA]]</f>
        <v>820580</v>
      </c>
      <c r="AO536" s="35">
        <f>VLOOKUP(Tabla4[[#This Row],[SERVICIO 2025]],$J$2:$V$14,8,0)*Tabla4[[#This Row],[TOTAL COBERTURA]]</f>
        <v>582000</v>
      </c>
      <c r="AP536" s="35">
        <f>VLOOKUP(Tabla4[[#This Row],[SERVICIO 2025]],$J$2:$V$14,3,0)*Tabla4[[#This Row],[TOTAL COBERTURA]]*8</f>
        <v>41213760</v>
      </c>
      <c r="AQ536" s="35"/>
      <c r="AR536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536" s="35" t="str">
        <f>+IF(Tabla4[[#This Row],[AGRUPACIONES]]=1,SUMIFS(Tabla4[VALOR TOTAL],Tabla4[ZONA DEFINITIVO],Tabla4[[#This Row],[ZONA DEFINITIVO]])," ")</f>
        <v xml:space="preserve"> </v>
      </c>
      <c r="AT536" s="27">
        <f>(VLOOKUP(Tabla4[[#This Row],[SERVICIO 2025]],$J$2:$V$14,3,0)*Tabla4[[#This Row],[TOTAL COBERTURA]])+Tabla4[[#This Row],[VALOR FASE PREPARATORIA DE ALISTAMIENTO]]+Tabla4[[#This Row],[DOTACIÓN ÚNICA]]</f>
        <v>6721240</v>
      </c>
      <c r="AU536" s="35">
        <f>(VLOOKUP(Tabla4[[#This Row],[SERVICIO 2025]],$J$2:$V$14,3,0)*Tabla4[[#This Row],[TOTAL COBERTURA]])</f>
        <v>5151720</v>
      </c>
      <c r="AV536" s="35">
        <f>(VLOOKUP(Tabla4[[#This Row],[SERVICIO 2025]],$J$2:$V$14,3,0)*Tabla4[[#This Row],[TOTAL COBERTURA]])</f>
        <v>5151720</v>
      </c>
      <c r="AW536" s="35">
        <f>(VLOOKUP(Tabla4[[#This Row],[SERVICIO 2025]],$J$2:$V$14,3,0)*Tabla4[[#This Row],[TOTAL COBERTURA]])</f>
        <v>5151720</v>
      </c>
      <c r="AX536" s="35">
        <f>(VLOOKUP(Tabla4[[#This Row],[SERVICIO 2025]],$J$2:$V$14,3,0)*Tabla4[[#This Row],[TOTAL COBERTURA]])</f>
        <v>5151720</v>
      </c>
      <c r="AY536" s="35">
        <f>(VLOOKUP(Tabla4[[#This Row],[SERVICIO 2025]],$J$2:$V$14,3,0)*Tabla4[[#This Row],[TOTAL COBERTURA]])</f>
        <v>5151720</v>
      </c>
      <c r="AZ536" s="35">
        <f>(VLOOKUP(Tabla4[[#This Row],[SERVICIO 2025]],$J$2:$V$14,3,0)*Tabla4[[#This Row],[TOTAL COBERTURA]])</f>
        <v>5151720</v>
      </c>
      <c r="BA536" s="35">
        <f>(VLOOKUP(Tabla4[[#This Row],[SERVICIO 2025]],$J$2:$V$14,3,0)*Tabla4[[#This Row],[TOTAL COBERTURA]])+Tabla4[[#This Row],[VALOR FASE PREPARATORIA DE CIERRE]]</f>
        <v>5972300</v>
      </c>
      <c r="BB536" s="35">
        <f>SUM(Tabla4[[#This Row],[DESEMBOLSO 1]:[DESEMBOLSO 8]])</f>
        <v>43603860</v>
      </c>
      <c r="BC536" s="35">
        <f>VLOOKUP(Tabla4[[#This Row],[SERVICIO 2025]],$J$2:$V$14,10,0)*Tabla4[[#This Row],[TOTAL COBERTURA]]*$W$3</f>
        <v>28861280</v>
      </c>
      <c r="BD536" s="47" t="s">
        <v>211</v>
      </c>
      <c r="BE536" s="12" t="b">
        <f>EXACT(Tabla4[[#This Row],[VALOR ATENCIÓN (8 MESES)]],Tabla4[[#This Row],[VALOR TOTAL]])</f>
        <v>1</v>
      </c>
      <c r="BF536" s="23">
        <f>Tabla4[[#This Row],[VALOR ATENCIÓN (8 MESES)]]-Tabla4[[#This Row],[VALOR TOTAL]]</f>
        <v>0</v>
      </c>
      <c r="BG536" s="12" t="b">
        <f>EXACT(Tabla4[[#This Row],[TOTAL DESEMBOLSOS]],Tabla4[[#This Row],[VALOR ATENCIÓN (8 MESES)]])</f>
        <v>1</v>
      </c>
      <c r="BH536" s="29">
        <f>Tabla4[[#This Row],[TOTAL DESEMBOLSOS]]-Tabla4[[#This Row],[VALOR ATENCIÓN (8 MESES)]]</f>
        <v>0</v>
      </c>
      <c r="BI536" t="s">
        <v>98</v>
      </c>
      <c r="BJ536">
        <v>1937</v>
      </c>
    </row>
    <row r="537" spans="1:62">
      <c r="A537" s="13">
        <v>1937</v>
      </c>
      <c r="B537" s="13" t="s">
        <v>1180</v>
      </c>
      <c r="C537" s="12" t="s">
        <v>87</v>
      </c>
      <c r="D537" s="12" t="s">
        <v>462</v>
      </c>
      <c r="E537" s="12" t="s">
        <v>1172</v>
      </c>
      <c r="F537" s="12" t="s">
        <v>18</v>
      </c>
      <c r="G537" s="12" t="s">
        <v>90</v>
      </c>
      <c r="H537" s="12" t="s">
        <v>1238</v>
      </c>
      <c r="I537" s="12">
        <v>51721152352</v>
      </c>
      <c r="J537" s="12" t="s">
        <v>1239</v>
      </c>
      <c r="K537" s="12">
        <v>1</v>
      </c>
      <c r="L537" s="12">
        <v>20</v>
      </c>
      <c r="M537" s="12"/>
      <c r="N537" s="13">
        <v>1937</v>
      </c>
      <c r="O537" s="12" t="s">
        <v>93</v>
      </c>
      <c r="P537" s="12"/>
      <c r="Q537" s="12"/>
      <c r="R537" s="12" t="s">
        <v>94</v>
      </c>
      <c r="S537" s="12">
        <v>10</v>
      </c>
      <c r="T537" s="12" t="s">
        <v>1183</v>
      </c>
      <c r="U537" s="12" t="s">
        <v>1184</v>
      </c>
      <c r="V537" s="12">
        <f>VLOOKUP(Tabla4[[#This Row],[ZONA DEFINITIVO]],Hoja1!$A$1:$D$121,3,0)</f>
        <v>229106</v>
      </c>
      <c r="W537" s="12">
        <f>VLOOKUP(Tabla4[[#This Row],[ZONA DEFINITIVO]],Hoja1!$A$1:$D$121,2,0)</f>
        <v>15197</v>
      </c>
      <c r="X537" s="12">
        <f>VLOOKUP(Tabla4[[#This Row],[ZONA DEFINITIVO]],Hoja1!$A$1:$D$121,4,0)</f>
        <v>83225</v>
      </c>
      <c r="Y537" s="12" t="str">
        <f>+IF(Tabla4[[#This Row],[AGRUPACIONES]]=1,SUMIFS(Tabla4[UDS],Tabla4[ZONA DEFINITIVO],Tabla4[[#This Row],[ZONA DEFINITIVO]])," ")</f>
        <v xml:space="preserve"> </v>
      </c>
      <c r="Z537" s="12" t="str">
        <f>+IF(Tabla4[[#This Row],[AGRUPACIONES]]=1,SUMIFS(Tabla4[TOTAL COBERTURA],Tabla4[ZONA DEFINITIVO],Tabla4[[#This Row],[ZONA DEFINITIVO]])," ")</f>
        <v xml:space="preserve"> </v>
      </c>
      <c r="AA537" s="12"/>
      <c r="AB537" s="38">
        <v>43603860</v>
      </c>
      <c r="AC537" s="37">
        <v>0.02</v>
      </c>
      <c r="AD537" s="38">
        <f t="shared" si="9"/>
        <v>872077.20000000007</v>
      </c>
      <c r="AE537" s="12"/>
      <c r="AF537" s="12">
        <f>COUNTIF($A$20:A537,A537)</f>
        <v>30</v>
      </c>
      <c r="AG537" s="38">
        <v>43603860</v>
      </c>
      <c r="AH537" s="38">
        <f>Tabla4[[#This Row],[VALOR CONTRAPARTIDA]]+Tabla4[[#This Row],[TOTAL APORTES ICBF]]</f>
        <v>44475937.200000003</v>
      </c>
      <c r="AI537" s="35"/>
      <c r="AJ537" s="38"/>
      <c r="AK537" s="38"/>
      <c r="AL537" s="23"/>
      <c r="AM537" s="35">
        <f>VLOOKUP(Tabla4[[#This Row],[SERVICIO 2025]],$J$2:$V$14,5,0)*Tabla4[[#This Row],[TOTAL COBERTURA]]</f>
        <v>987520</v>
      </c>
      <c r="AN537" s="35">
        <f>VLOOKUP(Tabla4[[#This Row],[SERVICIO 2025]],$J$2:$V$14,6,0)*Tabla4[[#This Row],[TOTAL COBERTURA]]</f>
        <v>820580</v>
      </c>
      <c r="AO537" s="35">
        <f>VLOOKUP(Tabla4[[#This Row],[SERVICIO 2025]],$J$2:$V$14,8,0)*Tabla4[[#This Row],[TOTAL COBERTURA]]</f>
        <v>582000</v>
      </c>
      <c r="AP537" s="35">
        <f>VLOOKUP(Tabla4[[#This Row],[SERVICIO 2025]],$J$2:$V$14,3,0)*Tabla4[[#This Row],[TOTAL COBERTURA]]*8</f>
        <v>41213760</v>
      </c>
      <c r="AQ537" s="35"/>
      <c r="AR537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537" s="35" t="str">
        <f>+IF(Tabla4[[#This Row],[AGRUPACIONES]]=1,SUMIFS(Tabla4[VALOR TOTAL],Tabla4[ZONA DEFINITIVO],Tabla4[[#This Row],[ZONA DEFINITIVO]])," ")</f>
        <v xml:space="preserve"> </v>
      </c>
      <c r="AT537" s="27">
        <f>(VLOOKUP(Tabla4[[#This Row],[SERVICIO 2025]],$J$2:$V$14,3,0)*Tabla4[[#This Row],[TOTAL COBERTURA]])+Tabla4[[#This Row],[VALOR FASE PREPARATORIA DE ALISTAMIENTO]]+Tabla4[[#This Row],[DOTACIÓN ÚNICA]]</f>
        <v>6721240</v>
      </c>
      <c r="AU537" s="35">
        <f>(VLOOKUP(Tabla4[[#This Row],[SERVICIO 2025]],$J$2:$V$14,3,0)*Tabla4[[#This Row],[TOTAL COBERTURA]])</f>
        <v>5151720</v>
      </c>
      <c r="AV537" s="35">
        <f>(VLOOKUP(Tabla4[[#This Row],[SERVICIO 2025]],$J$2:$V$14,3,0)*Tabla4[[#This Row],[TOTAL COBERTURA]])</f>
        <v>5151720</v>
      </c>
      <c r="AW537" s="35">
        <f>(VLOOKUP(Tabla4[[#This Row],[SERVICIO 2025]],$J$2:$V$14,3,0)*Tabla4[[#This Row],[TOTAL COBERTURA]])</f>
        <v>5151720</v>
      </c>
      <c r="AX537" s="35">
        <f>(VLOOKUP(Tabla4[[#This Row],[SERVICIO 2025]],$J$2:$V$14,3,0)*Tabla4[[#This Row],[TOTAL COBERTURA]])</f>
        <v>5151720</v>
      </c>
      <c r="AY537" s="35">
        <f>(VLOOKUP(Tabla4[[#This Row],[SERVICIO 2025]],$J$2:$V$14,3,0)*Tabla4[[#This Row],[TOTAL COBERTURA]])</f>
        <v>5151720</v>
      </c>
      <c r="AZ537" s="35">
        <f>(VLOOKUP(Tabla4[[#This Row],[SERVICIO 2025]],$J$2:$V$14,3,0)*Tabla4[[#This Row],[TOTAL COBERTURA]])</f>
        <v>5151720</v>
      </c>
      <c r="BA537" s="35">
        <f>(VLOOKUP(Tabla4[[#This Row],[SERVICIO 2025]],$J$2:$V$14,3,0)*Tabla4[[#This Row],[TOTAL COBERTURA]])+Tabla4[[#This Row],[VALOR FASE PREPARATORIA DE CIERRE]]</f>
        <v>5972300</v>
      </c>
      <c r="BB537" s="35">
        <f>SUM(Tabla4[[#This Row],[DESEMBOLSO 1]:[DESEMBOLSO 8]])</f>
        <v>43603860</v>
      </c>
      <c r="BC537" s="35">
        <f>VLOOKUP(Tabla4[[#This Row],[SERVICIO 2025]],$J$2:$V$14,10,0)*Tabla4[[#This Row],[TOTAL COBERTURA]]*$W$3</f>
        <v>28861280</v>
      </c>
      <c r="BD537" s="47" t="s">
        <v>211</v>
      </c>
      <c r="BE537" s="12" t="b">
        <f>EXACT(Tabla4[[#This Row],[VALOR ATENCIÓN (8 MESES)]],Tabla4[[#This Row],[VALOR TOTAL]])</f>
        <v>1</v>
      </c>
      <c r="BF537" s="23">
        <f>Tabla4[[#This Row],[VALOR ATENCIÓN (8 MESES)]]-Tabla4[[#This Row],[VALOR TOTAL]]</f>
        <v>0</v>
      </c>
      <c r="BG537" s="12" t="b">
        <f>EXACT(Tabla4[[#This Row],[TOTAL DESEMBOLSOS]],Tabla4[[#This Row],[VALOR ATENCIÓN (8 MESES)]])</f>
        <v>1</v>
      </c>
      <c r="BH537" s="29">
        <f>Tabla4[[#This Row],[TOTAL DESEMBOLSOS]]-Tabla4[[#This Row],[VALOR ATENCIÓN (8 MESES)]]</f>
        <v>0</v>
      </c>
      <c r="BI537" t="s">
        <v>98</v>
      </c>
      <c r="BJ537">
        <v>1937</v>
      </c>
    </row>
    <row r="538" spans="1:62">
      <c r="A538" s="13">
        <v>1937</v>
      </c>
      <c r="B538" s="13" t="s">
        <v>1180</v>
      </c>
      <c r="C538" s="12" t="s">
        <v>87</v>
      </c>
      <c r="D538" s="12" t="s">
        <v>462</v>
      </c>
      <c r="E538" s="12" t="s">
        <v>1172</v>
      </c>
      <c r="F538" s="12" t="s">
        <v>18</v>
      </c>
      <c r="G538" s="12" t="s">
        <v>90</v>
      </c>
      <c r="H538" s="12" t="s">
        <v>1240</v>
      </c>
      <c r="I538" s="12">
        <v>51721152354</v>
      </c>
      <c r="J538" s="12" t="s">
        <v>1241</v>
      </c>
      <c r="K538" s="12">
        <v>1</v>
      </c>
      <c r="L538" s="12">
        <v>20</v>
      </c>
      <c r="M538" s="12"/>
      <c r="N538" s="13">
        <v>1937</v>
      </c>
      <c r="O538" s="12" t="s">
        <v>93</v>
      </c>
      <c r="P538" s="12"/>
      <c r="Q538" s="12"/>
      <c r="R538" s="12" t="s">
        <v>94</v>
      </c>
      <c r="S538" s="12">
        <v>10</v>
      </c>
      <c r="T538" s="12" t="s">
        <v>1183</v>
      </c>
      <c r="U538" s="12" t="s">
        <v>1184</v>
      </c>
      <c r="V538" s="12">
        <f>VLOOKUP(Tabla4[[#This Row],[ZONA DEFINITIVO]],Hoja1!$A$1:$D$121,3,0)</f>
        <v>229106</v>
      </c>
      <c r="W538" s="12">
        <f>VLOOKUP(Tabla4[[#This Row],[ZONA DEFINITIVO]],Hoja1!$A$1:$D$121,2,0)</f>
        <v>15197</v>
      </c>
      <c r="X538" s="12">
        <f>VLOOKUP(Tabla4[[#This Row],[ZONA DEFINITIVO]],Hoja1!$A$1:$D$121,4,0)</f>
        <v>83225</v>
      </c>
      <c r="Y538" s="12" t="str">
        <f>+IF(Tabla4[[#This Row],[AGRUPACIONES]]=1,SUMIFS(Tabla4[UDS],Tabla4[ZONA DEFINITIVO],Tabla4[[#This Row],[ZONA DEFINITIVO]])," ")</f>
        <v xml:space="preserve"> </v>
      </c>
      <c r="Z538" s="12" t="str">
        <f>+IF(Tabla4[[#This Row],[AGRUPACIONES]]=1,SUMIFS(Tabla4[TOTAL COBERTURA],Tabla4[ZONA DEFINITIVO],Tabla4[[#This Row],[ZONA DEFINITIVO]])," ")</f>
        <v xml:space="preserve"> </v>
      </c>
      <c r="AA538" s="12"/>
      <c r="AB538" s="38">
        <v>43603860</v>
      </c>
      <c r="AC538" s="37">
        <v>0.02</v>
      </c>
      <c r="AD538" s="38">
        <f t="shared" si="9"/>
        <v>872077.20000000007</v>
      </c>
      <c r="AE538" s="12"/>
      <c r="AF538" s="12">
        <f>COUNTIF($A$20:A538,A538)</f>
        <v>31</v>
      </c>
      <c r="AG538" s="38">
        <v>43603860</v>
      </c>
      <c r="AH538" s="38">
        <f>Tabla4[[#This Row],[VALOR CONTRAPARTIDA]]+Tabla4[[#This Row],[TOTAL APORTES ICBF]]</f>
        <v>44475937.200000003</v>
      </c>
      <c r="AI538" s="35"/>
      <c r="AJ538" s="38"/>
      <c r="AK538" s="38"/>
      <c r="AL538" s="23"/>
      <c r="AM538" s="35">
        <f>VLOOKUP(Tabla4[[#This Row],[SERVICIO 2025]],$J$2:$V$14,5,0)*Tabla4[[#This Row],[TOTAL COBERTURA]]</f>
        <v>987520</v>
      </c>
      <c r="AN538" s="35">
        <f>VLOOKUP(Tabla4[[#This Row],[SERVICIO 2025]],$J$2:$V$14,6,0)*Tabla4[[#This Row],[TOTAL COBERTURA]]</f>
        <v>820580</v>
      </c>
      <c r="AO538" s="35">
        <f>VLOOKUP(Tabla4[[#This Row],[SERVICIO 2025]],$J$2:$V$14,8,0)*Tabla4[[#This Row],[TOTAL COBERTURA]]</f>
        <v>582000</v>
      </c>
      <c r="AP538" s="35">
        <f>VLOOKUP(Tabla4[[#This Row],[SERVICIO 2025]],$J$2:$V$14,3,0)*Tabla4[[#This Row],[TOTAL COBERTURA]]*8</f>
        <v>41213760</v>
      </c>
      <c r="AQ538" s="35"/>
      <c r="AR538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538" s="35" t="str">
        <f>+IF(Tabla4[[#This Row],[AGRUPACIONES]]=1,SUMIFS(Tabla4[VALOR TOTAL],Tabla4[ZONA DEFINITIVO],Tabla4[[#This Row],[ZONA DEFINITIVO]])," ")</f>
        <v xml:space="preserve"> </v>
      </c>
      <c r="AT538" s="27">
        <f>(VLOOKUP(Tabla4[[#This Row],[SERVICIO 2025]],$J$2:$V$14,3,0)*Tabla4[[#This Row],[TOTAL COBERTURA]])+Tabla4[[#This Row],[VALOR FASE PREPARATORIA DE ALISTAMIENTO]]+Tabla4[[#This Row],[DOTACIÓN ÚNICA]]</f>
        <v>6721240</v>
      </c>
      <c r="AU538" s="35">
        <f>(VLOOKUP(Tabla4[[#This Row],[SERVICIO 2025]],$J$2:$V$14,3,0)*Tabla4[[#This Row],[TOTAL COBERTURA]])</f>
        <v>5151720</v>
      </c>
      <c r="AV538" s="35">
        <f>(VLOOKUP(Tabla4[[#This Row],[SERVICIO 2025]],$J$2:$V$14,3,0)*Tabla4[[#This Row],[TOTAL COBERTURA]])</f>
        <v>5151720</v>
      </c>
      <c r="AW538" s="35">
        <f>(VLOOKUP(Tabla4[[#This Row],[SERVICIO 2025]],$J$2:$V$14,3,0)*Tabla4[[#This Row],[TOTAL COBERTURA]])</f>
        <v>5151720</v>
      </c>
      <c r="AX538" s="35">
        <f>(VLOOKUP(Tabla4[[#This Row],[SERVICIO 2025]],$J$2:$V$14,3,0)*Tabla4[[#This Row],[TOTAL COBERTURA]])</f>
        <v>5151720</v>
      </c>
      <c r="AY538" s="35">
        <f>(VLOOKUP(Tabla4[[#This Row],[SERVICIO 2025]],$J$2:$V$14,3,0)*Tabla4[[#This Row],[TOTAL COBERTURA]])</f>
        <v>5151720</v>
      </c>
      <c r="AZ538" s="35">
        <f>(VLOOKUP(Tabla4[[#This Row],[SERVICIO 2025]],$J$2:$V$14,3,0)*Tabla4[[#This Row],[TOTAL COBERTURA]])</f>
        <v>5151720</v>
      </c>
      <c r="BA538" s="35">
        <f>(VLOOKUP(Tabla4[[#This Row],[SERVICIO 2025]],$J$2:$V$14,3,0)*Tabla4[[#This Row],[TOTAL COBERTURA]])+Tabla4[[#This Row],[VALOR FASE PREPARATORIA DE CIERRE]]</f>
        <v>5972300</v>
      </c>
      <c r="BB538" s="35">
        <f>SUM(Tabla4[[#This Row],[DESEMBOLSO 1]:[DESEMBOLSO 8]])</f>
        <v>43603860</v>
      </c>
      <c r="BC538" s="35">
        <f>VLOOKUP(Tabla4[[#This Row],[SERVICIO 2025]],$J$2:$V$14,10,0)*Tabla4[[#This Row],[TOTAL COBERTURA]]*$W$3</f>
        <v>28861280</v>
      </c>
      <c r="BD538" s="47" t="s">
        <v>211</v>
      </c>
      <c r="BE538" s="12" t="b">
        <f>EXACT(Tabla4[[#This Row],[VALOR ATENCIÓN (8 MESES)]],Tabla4[[#This Row],[VALOR TOTAL]])</f>
        <v>1</v>
      </c>
      <c r="BF538" s="23">
        <f>Tabla4[[#This Row],[VALOR ATENCIÓN (8 MESES)]]-Tabla4[[#This Row],[VALOR TOTAL]]</f>
        <v>0</v>
      </c>
      <c r="BG538" s="12" t="b">
        <f>EXACT(Tabla4[[#This Row],[TOTAL DESEMBOLSOS]],Tabla4[[#This Row],[VALOR ATENCIÓN (8 MESES)]])</f>
        <v>1</v>
      </c>
      <c r="BH538" s="29">
        <f>Tabla4[[#This Row],[TOTAL DESEMBOLSOS]]-Tabla4[[#This Row],[VALOR ATENCIÓN (8 MESES)]]</f>
        <v>0</v>
      </c>
      <c r="BI538" t="s">
        <v>98</v>
      </c>
      <c r="BJ538">
        <v>1937</v>
      </c>
    </row>
    <row r="539" spans="1:62">
      <c r="A539" s="13">
        <v>1937</v>
      </c>
      <c r="B539" s="13" t="s">
        <v>1180</v>
      </c>
      <c r="C539" s="12" t="s">
        <v>87</v>
      </c>
      <c r="D539" s="12" t="s">
        <v>462</v>
      </c>
      <c r="E539" s="12" t="s">
        <v>1172</v>
      </c>
      <c r="F539" s="12" t="s">
        <v>18</v>
      </c>
      <c r="G539" s="12" t="s">
        <v>90</v>
      </c>
      <c r="H539" s="12" t="s">
        <v>1242</v>
      </c>
      <c r="I539" s="12">
        <v>517200115622</v>
      </c>
      <c r="J539" s="12" t="s">
        <v>1243</v>
      </c>
      <c r="K539" s="12">
        <v>1</v>
      </c>
      <c r="L539" s="12">
        <v>52</v>
      </c>
      <c r="M539" s="12"/>
      <c r="N539" s="13">
        <v>1937</v>
      </c>
      <c r="O539" s="12" t="s">
        <v>93</v>
      </c>
      <c r="P539" s="12"/>
      <c r="Q539" s="12"/>
      <c r="R539" s="12" t="s">
        <v>94</v>
      </c>
      <c r="S539" s="12">
        <v>10</v>
      </c>
      <c r="T539" s="12" t="s">
        <v>1183</v>
      </c>
      <c r="U539" s="12" t="s">
        <v>1184</v>
      </c>
      <c r="V539" s="12">
        <f>VLOOKUP(Tabla4[[#This Row],[ZONA DEFINITIVO]],Hoja1!$A$1:$D$121,3,0)</f>
        <v>229106</v>
      </c>
      <c r="W539" s="12">
        <f>VLOOKUP(Tabla4[[#This Row],[ZONA DEFINITIVO]],Hoja1!$A$1:$D$121,2,0)</f>
        <v>15197</v>
      </c>
      <c r="X539" s="12">
        <f>VLOOKUP(Tabla4[[#This Row],[ZONA DEFINITIVO]],Hoja1!$A$1:$D$121,4,0)</f>
        <v>83225</v>
      </c>
      <c r="Y539" s="12" t="str">
        <f>+IF(Tabla4[[#This Row],[AGRUPACIONES]]=1,SUMIFS(Tabla4[UDS],Tabla4[ZONA DEFINITIVO],Tabla4[[#This Row],[ZONA DEFINITIVO]])," ")</f>
        <v xml:space="preserve"> </v>
      </c>
      <c r="Z539" s="12" t="str">
        <f>+IF(Tabla4[[#This Row],[AGRUPACIONES]]=1,SUMIFS(Tabla4[TOTAL COBERTURA],Tabla4[ZONA DEFINITIVO],Tabla4[[#This Row],[ZONA DEFINITIVO]])," ")</f>
        <v xml:space="preserve"> </v>
      </c>
      <c r="AA539" s="12"/>
      <c r="AB539" s="38">
        <v>113370036</v>
      </c>
      <c r="AC539" s="37">
        <v>0.02</v>
      </c>
      <c r="AD539" s="38">
        <f t="shared" si="9"/>
        <v>2267400.7200000002</v>
      </c>
      <c r="AE539" s="12"/>
      <c r="AF539" s="12">
        <f>COUNTIF($A$20:A539,A539)</f>
        <v>32</v>
      </c>
      <c r="AG539" s="38">
        <v>113370036</v>
      </c>
      <c r="AH539" s="38">
        <f>Tabla4[[#This Row],[VALOR CONTRAPARTIDA]]+Tabla4[[#This Row],[TOTAL APORTES ICBF]]</f>
        <v>115637436.72</v>
      </c>
      <c r="AI539" s="35"/>
      <c r="AJ539" s="38"/>
      <c r="AK539" s="38"/>
      <c r="AL539" s="23"/>
      <c r="AM539" s="35">
        <f>VLOOKUP(Tabla4[[#This Row],[SERVICIO 2025]],$J$2:$V$14,5,0)*Tabla4[[#This Row],[TOTAL COBERTURA]]</f>
        <v>2567552</v>
      </c>
      <c r="AN539" s="35">
        <f>VLOOKUP(Tabla4[[#This Row],[SERVICIO 2025]],$J$2:$V$14,6,0)*Tabla4[[#This Row],[TOTAL COBERTURA]]</f>
        <v>2133508</v>
      </c>
      <c r="AO539" s="35">
        <f>VLOOKUP(Tabla4[[#This Row],[SERVICIO 2025]],$J$2:$V$14,8,0)*Tabla4[[#This Row],[TOTAL COBERTURA]]</f>
        <v>1513200</v>
      </c>
      <c r="AP539" s="35">
        <f>VLOOKUP(Tabla4[[#This Row],[SERVICIO 2025]],$J$2:$V$14,3,0)*Tabla4[[#This Row],[TOTAL COBERTURA]]*8</f>
        <v>107155776</v>
      </c>
      <c r="AQ539" s="35"/>
      <c r="AR539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539" s="35" t="str">
        <f>+IF(Tabla4[[#This Row],[AGRUPACIONES]]=1,SUMIFS(Tabla4[VALOR TOTAL],Tabla4[ZONA DEFINITIVO],Tabla4[[#This Row],[ZONA DEFINITIVO]])," ")</f>
        <v xml:space="preserve"> </v>
      </c>
      <c r="AT539" s="27">
        <f>(VLOOKUP(Tabla4[[#This Row],[SERVICIO 2025]],$J$2:$V$14,3,0)*Tabla4[[#This Row],[TOTAL COBERTURA]])+Tabla4[[#This Row],[VALOR FASE PREPARATORIA DE ALISTAMIENTO]]+Tabla4[[#This Row],[DOTACIÓN ÚNICA]]</f>
        <v>17475224</v>
      </c>
      <c r="AU539" s="35">
        <f>(VLOOKUP(Tabla4[[#This Row],[SERVICIO 2025]],$J$2:$V$14,3,0)*Tabla4[[#This Row],[TOTAL COBERTURA]])</f>
        <v>13394472</v>
      </c>
      <c r="AV539" s="35">
        <f>(VLOOKUP(Tabla4[[#This Row],[SERVICIO 2025]],$J$2:$V$14,3,0)*Tabla4[[#This Row],[TOTAL COBERTURA]])</f>
        <v>13394472</v>
      </c>
      <c r="AW539" s="35">
        <f>(VLOOKUP(Tabla4[[#This Row],[SERVICIO 2025]],$J$2:$V$14,3,0)*Tabla4[[#This Row],[TOTAL COBERTURA]])</f>
        <v>13394472</v>
      </c>
      <c r="AX539" s="35">
        <f>(VLOOKUP(Tabla4[[#This Row],[SERVICIO 2025]],$J$2:$V$14,3,0)*Tabla4[[#This Row],[TOTAL COBERTURA]])</f>
        <v>13394472</v>
      </c>
      <c r="AY539" s="35">
        <f>(VLOOKUP(Tabla4[[#This Row],[SERVICIO 2025]],$J$2:$V$14,3,0)*Tabla4[[#This Row],[TOTAL COBERTURA]])</f>
        <v>13394472</v>
      </c>
      <c r="AZ539" s="35">
        <f>(VLOOKUP(Tabla4[[#This Row],[SERVICIO 2025]],$J$2:$V$14,3,0)*Tabla4[[#This Row],[TOTAL COBERTURA]])</f>
        <v>13394472</v>
      </c>
      <c r="BA539" s="35">
        <f>(VLOOKUP(Tabla4[[#This Row],[SERVICIO 2025]],$J$2:$V$14,3,0)*Tabla4[[#This Row],[TOTAL COBERTURA]])+Tabla4[[#This Row],[VALOR FASE PREPARATORIA DE CIERRE]]</f>
        <v>15527980</v>
      </c>
      <c r="BB539" s="35">
        <f>SUM(Tabla4[[#This Row],[DESEMBOLSO 1]:[DESEMBOLSO 8]])</f>
        <v>113370036</v>
      </c>
      <c r="BC539" s="35">
        <f>VLOOKUP(Tabla4[[#This Row],[SERVICIO 2025]],$J$2:$V$14,10,0)*Tabla4[[#This Row],[TOTAL COBERTURA]]*$W$3</f>
        <v>75039328</v>
      </c>
      <c r="BD539" s="47" t="s">
        <v>211</v>
      </c>
      <c r="BE539" s="12" t="b">
        <f>EXACT(Tabla4[[#This Row],[VALOR ATENCIÓN (8 MESES)]],Tabla4[[#This Row],[VALOR TOTAL]])</f>
        <v>1</v>
      </c>
      <c r="BF539" s="23">
        <f>Tabla4[[#This Row],[VALOR ATENCIÓN (8 MESES)]]-Tabla4[[#This Row],[VALOR TOTAL]]</f>
        <v>0</v>
      </c>
      <c r="BG539" s="12" t="b">
        <f>EXACT(Tabla4[[#This Row],[TOTAL DESEMBOLSOS]],Tabla4[[#This Row],[VALOR ATENCIÓN (8 MESES)]])</f>
        <v>1</v>
      </c>
      <c r="BH539" s="29">
        <f>Tabla4[[#This Row],[TOTAL DESEMBOLSOS]]-Tabla4[[#This Row],[VALOR ATENCIÓN (8 MESES)]]</f>
        <v>0</v>
      </c>
      <c r="BI539" t="s">
        <v>98</v>
      </c>
      <c r="BJ539">
        <v>1937</v>
      </c>
    </row>
    <row r="540" spans="1:62">
      <c r="A540" s="13">
        <v>1938</v>
      </c>
      <c r="B540" s="13" t="s">
        <v>1244</v>
      </c>
      <c r="C540" s="12" t="s">
        <v>87</v>
      </c>
      <c r="D540" s="12" t="s">
        <v>462</v>
      </c>
      <c r="E540" s="12" t="s">
        <v>1172</v>
      </c>
      <c r="F540" s="12" t="s">
        <v>19</v>
      </c>
      <c r="G540" s="12" t="s">
        <v>90</v>
      </c>
      <c r="H540" s="12" t="s">
        <v>1245</v>
      </c>
      <c r="I540" s="12">
        <v>51721113881</v>
      </c>
      <c r="J540" s="12" t="s">
        <v>1246</v>
      </c>
      <c r="K540" s="12">
        <v>1</v>
      </c>
      <c r="L540" s="12">
        <v>52</v>
      </c>
      <c r="M540" s="12"/>
      <c r="N540" s="13">
        <v>1938</v>
      </c>
      <c r="O540" s="12" t="s">
        <v>93</v>
      </c>
      <c r="P540" s="12"/>
      <c r="Q540" s="12"/>
      <c r="R540" s="12" t="s">
        <v>94</v>
      </c>
      <c r="S540" s="12">
        <v>10</v>
      </c>
      <c r="T540" s="12" t="s">
        <v>1247</v>
      </c>
      <c r="U540" s="12" t="s">
        <v>1248</v>
      </c>
      <c r="V540" s="12">
        <f>VLOOKUP(Tabla4[[#This Row],[ZONA DEFINITIVO]],Hoja1!$A$1:$D$121,3,0)</f>
        <v>229107</v>
      </c>
      <c r="W540" s="12">
        <f>VLOOKUP(Tabla4[[#This Row],[ZONA DEFINITIVO]],Hoja1!$A$1:$D$121,2,0)</f>
        <v>15191</v>
      </c>
      <c r="X540" s="12">
        <f>VLOOKUP(Tabla4[[#This Row],[ZONA DEFINITIVO]],Hoja1!$A$1:$D$121,4,0)</f>
        <v>82625</v>
      </c>
      <c r="Y540" s="12">
        <f>+IF(Tabla4[[#This Row],[AGRUPACIONES]]=1,SUMIFS(Tabla4[UDS],Tabla4[ZONA DEFINITIVO],Tabla4[[#This Row],[ZONA DEFINITIVO]])," ")</f>
        <v>15</v>
      </c>
      <c r="Z540" s="12">
        <f>+IF(Tabla4[[#This Row],[AGRUPACIONES]]=1,SUMIFS(Tabla4[TOTAL COBERTURA],Tabla4[ZONA DEFINITIVO],Tabla4[[#This Row],[ZONA DEFINITIVO]])," ")</f>
        <v>683</v>
      </c>
      <c r="AA540" s="12"/>
      <c r="AB540" s="38">
        <v>117059852</v>
      </c>
      <c r="AC540" s="37">
        <v>0.02</v>
      </c>
      <c r="AD540" s="38">
        <f t="shared" si="9"/>
        <v>2341197.04</v>
      </c>
      <c r="AE540" s="12"/>
      <c r="AF540" s="12">
        <f>COUNTIF($A$20:A540,A540)</f>
        <v>1</v>
      </c>
      <c r="AG540" s="38">
        <v>117059852</v>
      </c>
      <c r="AH540" s="38">
        <f>Tabla4[[#This Row],[VALOR CONTRAPARTIDA]]+Tabla4[[#This Row],[TOTAL APORTES ICBF]]</f>
        <v>119401049.04000001</v>
      </c>
      <c r="AI540" s="35">
        <f>ROUND(+IF(Tabla4[[#This Row],[AGRUPACIONES]]=1,SUMIFS(Tabla4[TOTAL APORTES ICBF],Tabla4[ZONA DEFINITIVO],Tabla4[[#This Row],[ZONA DEFINITIVO]])," "),0)</f>
        <v>1537536133</v>
      </c>
      <c r="AJ540" s="38">
        <f>ROUND(+IF(Tabla4[[#This Row],[AGRUPACIONES]]=1,SUMIFS(Tabla4[VALOR CONTRAPARTIDA],Tabla4[ZONA DEFINITIVO],Tabla4[[#This Row],[ZONA DEFINITIVO]])," "),0)</f>
        <v>30750723</v>
      </c>
      <c r="AK540" s="38">
        <f>Tabla4[[#This Row],[TOTAL APORTES ICBF AGRUPADO]]+Tabla4[[#This Row],[TOTAL CONTRAPARTIDA AGRUPADO]]</f>
        <v>1568286856</v>
      </c>
      <c r="AL540" s="23">
        <f>Tabla4[[#This Row],[TOTAL APORTES ICBF AGRUPADO]]/$AL$18</f>
        <v>1080.1096824727783</v>
      </c>
      <c r="AM540" s="35">
        <f>VLOOKUP(Tabla4[[#This Row],[SERVICIO 2025]],$J$2:$V$14,5,0)*Tabla4[[#This Row],[TOTAL COBERTURA]]</f>
        <v>2676076</v>
      </c>
      <c r="AN540" s="35">
        <f>VLOOKUP(Tabla4[[#This Row],[SERVICIO 2025]],$J$2:$V$14,6,0)*Tabla4[[#This Row],[TOTAL COBERTURA]]</f>
        <v>2242032</v>
      </c>
      <c r="AO540" s="35">
        <f>VLOOKUP(Tabla4[[#This Row],[SERVICIO 2025]],$J$2:$V$14,8,0)*Tabla4[[#This Row],[TOTAL COBERTURA]]</f>
        <v>1513200</v>
      </c>
      <c r="AP540" s="35">
        <f>VLOOKUP(Tabla4[[#This Row],[SERVICIO 2025]],$J$2:$V$14,3,0)*Tabla4[[#This Row],[TOTAL COBERTURA]]*8</f>
        <v>110628544</v>
      </c>
      <c r="AQ540" s="35"/>
      <c r="AR540" s="35">
        <f>Tabla4[[#This Row],[VALOR FASE PREPARATORIA DE ALISTAMIENTO]]+Tabla4[[#This Row],[VALOR FASE PREPARATORIA DE CIERRE]]+Tabla4[[#This Row],[DOTACIÓN ÚNICA]]+Tabla4[[#This Row],[VALOR ATENCIÓN]]+Tabla4[[#This Row],[VALOR RACION PREPARADA]]</f>
        <v>117059852</v>
      </c>
      <c r="AS540" s="35">
        <f>+IF(Tabla4[[#This Row],[AGRUPACIONES]]=1,SUMIFS(Tabla4[VALOR TOTAL],Tabla4[ZONA DEFINITIVO],Tabla4[[#This Row],[ZONA DEFINITIVO]])," ")</f>
        <v>1537536133</v>
      </c>
      <c r="AT540" s="27">
        <f>(VLOOKUP(Tabla4[[#This Row],[SERVICIO 2025]],$J$2:$V$14,3,0)*Tabla4[[#This Row],[TOTAL COBERTURA]])+Tabla4[[#This Row],[VALOR FASE PREPARATORIA DE ALISTAMIENTO]]+Tabla4[[#This Row],[DOTACIÓN ÚNICA]]</f>
        <v>18017844</v>
      </c>
      <c r="AU540" s="35">
        <f>(VLOOKUP(Tabla4[[#This Row],[SERVICIO 2025]],$J$2:$V$14,3,0)*Tabla4[[#This Row],[TOTAL COBERTURA]])</f>
        <v>13828568</v>
      </c>
      <c r="AV540" s="35">
        <f>(VLOOKUP(Tabla4[[#This Row],[SERVICIO 2025]],$J$2:$V$14,3,0)*Tabla4[[#This Row],[TOTAL COBERTURA]])</f>
        <v>13828568</v>
      </c>
      <c r="AW540" s="35">
        <f>(VLOOKUP(Tabla4[[#This Row],[SERVICIO 2025]],$J$2:$V$14,3,0)*Tabla4[[#This Row],[TOTAL COBERTURA]])</f>
        <v>13828568</v>
      </c>
      <c r="AX540" s="35">
        <f>(VLOOKUP(Tabla4[[#This Row],[SERVICIO 2025]],$J$2:$V$14,3,0)*Tabla4[[#This Row],[TOTAL COBERTURA]])</f>
        <v>13828568</v>
      </c>
      <c r="AY540" s="35">
        <f>(VLOOKUP(Tabla4[[#This Row],[SERVICIO 2025]],$J$2:$V$14,3,0)*Tabla4[[#This Row],[TOTAL COBERTURA]])</f>
        <v>13828568</v>
      </c>
      <c r="AZ540" s="35">
        <f>(VLOOKUP(Tabla4[[#This Row],[SERVICIO 2025]],$J$2:$V$14,3,0)*Tabla4[[#This Row],[TOTAL COBERTURA]])</f>
        <v>13828568</v>
      </c>
      <c r="BA540" s="35">
        <f>(VLOOKUP(Tabla4[[#This Row],[SERVICIO 2025]],$J$2:$V$14,3,0)*Tabla4[[#This Row],[TOTAL COBERTURA]])+Tabla4[[#This Row],[VALOR FASE PREPARATORIA DE CIERRE]]</f>
        <v>16070600</v>
      </c>
      <c r="BB540" s="35">
        <f>SUM(Tabla4[[#This Row],[DESEMBOLSO 1]:[DESEMBOLSO 8]])</f>
        <v>117059852</v>
      </c>
      <c r="BC540" s="35">
        <f>VLOOKUP(Tabla4[[#This Row],[SERVICIO 2025]],$J$2:$V$14,10,0)*Tabla4[[#This Row],[TOTAL COBERTURA]]*$W$3</f>
        <v>75039328</v>
      </c>
      <c r="BD540" s="47" t="s">
        <v>211</v>
      </c>
      <c r="BE540" s="12" t="b">
        <f>EXACT(Tabla4[[#This Row],[VALOR ATENCIÓN (8 MESES)]],Tabla4[[#This Row],[VALOR TOTAL]])</f>
        <v>1</v>
      </c>
      <c r="BF540" s="23">
        <f>Tabla4[[#This Row],[VALOR ATENCIÓN (8 MESES)]]-Tabla4[[#This Row],[VALOR TOTAL]]</f>
        <v>0</v>
      </c>
      <c r="BG540" s="12" t="b">
        <f>EXACT(Tabla4[[#This Row],[TOTAL DESEMBOLSOS]],Tabla4[[#This Row],[VALOR ATENCIÓN (8 MESES)]])</f>
        <v>1</v>
      </c>
      <c r="BH540" s="29">
        <f>Tabla4[[#This Row],[TOTAL DESEMBOLSOS]]-Tabla4[[#This Row],[VALOR ATENCIÓN (8 MESES)]]</f>
        <v>0</v>
      </c>
      <c r="BI540" t="s">
        <v>98</v>
      </c>
      <c r="BJ540">
        <v>1938</v>
      </c>
    </row>
    <row r="541" spans="1:62">
      <c r="A541" s="13">
        <v>1938</v>
      </c>
      <c r="B541" s="13" t="s">
        <v>1244</v>
      </c>
      <c r="C541" s="12" t="s">
        <v>87</v>
      </c>
      <c r="D541" s="12" t="s">
        <v>462</v>
      </c>
      <c r="E541" s="12" t="s">
        <v>1172</v>
      </c>
      <c r="F541" s="12" t="s">
        <v>19</v>
      </c>
      <c r="G541" s="12" t="s">
        <v>90</v>
      </c>
      <c r="H541" s="12" t="s">
        <v>1249</v>
      </c>
      <c r="I541" s="12">
        <v>51721113907</v>
      </c>
      <c r="J541" s="12" t="s">
        <v>1250</v>
      </c>
      <c r="K541" s="12">
        <v>1</v>
      </c>
      <c r="L541" s="12">
        <v>52</v>
      </c>
      <c r="M541" s="12"/>
      <c r="N541" s="13">
        <v>1938</v>
      </c>
      <c r="O541" s="12" t="s">
        <v>93</v>
      </c>
      <c r="P541" s="12"/>
      <c r="Q541" s="12"/>
      <c r="R541" s="12" t="s">
        <v>94</v>
      </c>
      <c r="S541" s="12">
        <v>10</v>
      </c>
      <c r="T541" s="12" t="s">
        <v>1247</v>
      </c>
      <c r="U541" s="12" t="s">
        <v>1248</v>
      </c>
      <c r="V541" s="12">
        <f>VLOOKUP(Tabla4[[#This Row],[ZONA DEFINITIVO]],Hoja1!$A$1:$D$121,3,0)</f>
        <v>229107</v>
      </c>
      <c r="W541" s="12">
        <f>VLOOKUP(Tabla4[[#This Row],[ZONA DEFINITIVO]],Hoja1!$A$1:$D$121,2,0)</f>
        <v>15191</v>
      </c>
      <c r="X541" s="12">
        <f>VLOOKUP(Tabla4[[#This Row],[ZONA DEFINITIVO]],Hoja1!$A$1:$D$121,4,0)</f>
        <v>82625</v>
      </c>
      <c r="Y541" s="12" t="str">
        <f>+IF(Tabla4[[#This Row],[AGRUPACIONES]]=1,SUMIFS(Tabla4[UDS],Tabla4[ZONA DEFINITIVO],Tabla4[[#This Row],[ZONA DEFINITIVO]])," ")</f>
        <v xml:space="preserve"> </v>
      </c>
      <c r="Z541" s="12" t="str">
        <f>+IF(Tabla4[[#This Row],[AGRUPACIONES]]=1,SUMIFS(Tabla4[TOTAL COBERTURA],Tabla4[ZONA DEFINITIVO],Tabla4[[#This Row],[ZONA DEFINITIVO]])," ")</f>
        <v xml:space="preserve"> </v>
      </c>
      <c r="AA541" s="12"/>
      <c r="AB541" s="38">
        <v>117059852</v>
      </c>
      <c r="AC541" s="37">
        <v>0.02</v>
      </c>
      <c r="AD541" s="38">
        <f t="shared" si="9"/>
        <v>2341197.04</v>
      </c>
      <c r="AE541" s="12"/>
      <c r="AF541" s="12">
        <f>COUNTIF($A$20:A541,A541)</f>
        <v>2</v>
      </c>
      <c r="AG541" s="38">
        <v>117059852</v>
      </c>
      <c r="AH541" s="38">
        <f>Tabla4[[#This Row],[VALOR CONTRAPARTIDA]]+Tabla4[[#This Row],[TOTAL APORTES ICBF]]</f>
        <v>119401049.04000001</v>
      </c>
      <c r="AI541" s="35"/>
      <c r="AJ541" s="38"/>
      <c r="AK541" s="38"/>
      <c r="AL541" s="23"/>
      <c r="AM541" s="35">
        <f>VLOOKUP(Tabla4[[#This Row],[SERVICIO 2025]],$J$2:$V$14,5,0)*Tabla4[[#This Row],[TOTAL COBERTURA]]</f>
        <v>2676076</v>
      </c>
      <c r="AN541" s="35">
        <f>VLOOKUP(Tabla4[[#This Row],[SERVICIO 2025]],$J$2:$V$14,6,0)*Tabla4[[#This Row],[TOTAL COBERTURA]]</f>
        <v>2242032</v>
      </c>
      <c r="AO541" s="35">
        <f>VLOOKUP(Tabla4[[#This Row],[SERVICIO 2025]],$J$2:$V$14,8,0)*Tabla4[[#This Row],[TOTAL COBERTURA]]</f>
        <v>1513200</v>
      </c>
      <c r="AP541" s="35">
        <f>VLOOKUP(Tabla4[[#This Row],[SERVICIO 2025]],$J$2:$V$14,3,0)*Tabla4[[#This Row],[TOTAL COBERTURA]]*8</f>
        <v>110628544</v>
      </c>
      <c r="AQ541" s="35"/>
      <c r="AR541" s="35">
        <f>Tabla4[[#This Row],[VALOR FASE PREPARATORIA DE ALISTAMIENTO]]+Tabla4[[#This Row],[VALOR FASE PREPARATORIA DE CIERRE]]+Tabla4[[#This Row],[DOTACIÓN ÚNICA]]+Tabla4[[#This Row],[VALOR ATENCIÓN]]+Tabla4[[#This Row],[VALOR RACION PREPARADA]]</f>
        <v>117059852</v>
      </c>
      <c r="AS541" s="35" t="str">
        <f>+IF(Tabla4[[#This Row],[AGRUPACIONES]]=1,SUMIFS(Tabla4[VALOR TOTAL],Tabla4[ZONA DEFINITIVO],Tabla4[[#This Row],[ZONA DEFINITIVO]])," ")</f>
        <v xml:space="preserve"> </v>
      </c>
      <c r="AT541" s="27">
        <f>(VLOOKUP(Tabla4[[#This Row],[SERVICIO 2025]],$J$2:$V$14,3,0)*Tabla4[[#This Row],[TOTAL COBERTURA]])+Tabla4[[#This Row],[VALOR FASE PREPARATORIA DE ALISTAMIENTO]]+Tabla4[[#This Row],[DOTACIÓN ÚNICA]]</f>
        <v>18017844</v>
      </c>
      <c r="AU541" s="35">
        <f>(VLOOKUP(Tabla4[[#This Row],[SERVICIO 2025]],$J$2:$V$14,3,0)*Tabla4[[#This Row],[TOTAL COBERTURA]])</f>
        <v>13828568</v>
      </c>
      <c r="AV541" s="35">
        <f>(VLOOKUP(Tabla4[[#This Row],[SERVICIO 2025]],$J$2:$V$14,3,0)*Tabla4[[#This Row],[TOTAL COBERTURA]])</f>
        <v>13828568</v>
      </c>
      <c r="AW541" s="35">
        <f>(VLOOKUP(Tabla4[[#This Row],[SERVICIO 2025]],$J$2:$V$14,3,0)*Tabla4[[#This Row],[TOTAL COBERTURA]])</f>
        <v>13828568</v>
      </c>
      <c r="AX541" s="35">
        <f>(VLOOKUP(Tabla4[[#This Row],[SERVICIO 2025]],$J$2:$V$14,3,0)*Tabla4[[#This Row],[TOTAL COBERTURA]])</f>
        <v>13828568</v>
      </c>
      <c r="AY541" s="35">
        <f>(VLOOKUP(Tabla4[[#This Row],[SERVICIO 2025]],$J$2:$V$14,3,0)*Tabla4[[#This Row],[TOTAL COBERTURA]])</f>
        <v>13828568</v>
      </c>
      <c r="AZ541" s="35">
        <f>(VLOOKUP(Tabla4[[#This Row],[SERVICIO 2025]],$J$2:$V$14,3,0)*Tabla4[[#This Row],[TOTAL COBERTURA]])</f>
        <v>13828568</v>
      </c>
      <c r="BA541" s="35">
        <f>(VLOOKUP(Tabla4[[#This Row],[SERVICIO 2025]],$J$2:$V$14,3,0)*Tabla4[[#This Row],[TOTAL COBERTURA]])+Tabla4[[#This Row],[VALOR FASE PREPARATORIA DE CIERRE]]</f>
        <v>16070600</v>
      </c>
      <c r="BB541" s="35">
        <f>SUM(Tabla4[[#This Row],[DESEMBOLSO 1]:[DESEMBOLSO 8]])</f>
        <v>117059852</v>
      </c>
      <c r="BC541" s="35">
        <f>VLOOKUP(Tabla4[[#This Row],[SERVICIO 2025]],$J$2:$V$14,10,0)*Tabla4[[#This Row],[TOTAL COBERTURA]]*$W$3</f>
        <v>75039328</v>
      </c>
      <c r="BD541" s="47" t="s">
        <v>211</v>
      </c>
      <c r="BE541" s="12" t="b">
        <f>EXACT(Tabla4[[#This Row],[VALOR ATENCIÓN (8 MESES)]],Tabla4[[#This Row],[VALOR TOTAL]])</f>
        <v>1</v>
      </c>
      <c r="BF541" s="23">
        <f>Tabla4[[#This Row],[VALOR ATENCIÓN (8 MESES)]]-Tabla4[[#This Row],[VALOR TOTAL]]</f>
        <v>0</v>
      </c>
      <c r="BG541" s="12" t="b">
        <f>EXACT(Tabla4[[#This Row],[TOTAL DESEMBOLSOS]],Tabla4[[#This Row],[VALOR ATENCIÓN (8 MESES)]])</f>
        <v>1</v>
      </c>
      <c r="BH541" s="29">
        <f>Tabla4[[#This Row],[TOTAL DESEMBOLSOS]]-Tabla4[[#This Row],[VALOR ATENCIÓN (8 MESES)]]</f>
        <v>0</v>
      </c>
      <c r="BI541" t="s">
        <v>98</v>
      </c>
      <c r="BJ541">
        <v>1938</v>
      </c>
    </row>
    <row r="542" spans="1:62">
      <c r="A542" s="13">
        <v>1938</v>
      </c>
      <c r="B542" s="13" t="s">
        <v>1244</v>
      </c>
      <c r="C542" s="12" t="s">
        <v>87</v>
      </c>
      <c r="D542" s="12" t="s">
        <v>462</v>
      </c>
      <c r="E542" s="12" t="s">
        <v>1172</v>
      </c>
      <c r="F542" s="12" t="s">
        <v>19</v>
      </c>
      <c r="G542" s="12" t="s">
        <v>90</v>
      </c>
      <c r="H542" s="12" t="s">
        <v>1251</v>
      </c>
      <c r="I542" s="12">
        <v>51721113912</v>
      </c>
      <c r="J542" s="12" t="s">
        <v>1252</v>
      </c>
      <c r="K542" s="12">
        <v>1</v>
      </c>
      <c r="L542" s="12">
        <v>52</v>
      </c>
      <c r="M542" s="12"/>
      <c r="N542" s="13">
        <v>1938</v>
      </c>
      <c r="O542" s="12" t="s">
        <v>93</v>
      </c>
      <c r="P542" s="12"/>
      <c r="Q542" s="12"/>
      <c r="R542" s="12" t="s">
        <v>94</v>
      </c>
      <c r="S542" s="12">
        <v>10</v>
      </c>
      <c r="T542" s="12" t="s">
        <v>1247</v>
      </c>
      <c r="U542" s="12" t="s">
        <v>1248</v>
      </c>
      <c r="V542" s="12">
        <f>VLOOKUP(Tabla4[[#This Row],[ZONA DEFINITIVO]],Hoja1!$A$1:$D$121,3,0)</f>
        <v>229107</v>
      </c>
      <c r="W542" s="12">
        <f>VLOOKUP(Tabla4[[#This Row],[ZONA DEFINITIVO]],Hoja1!$A$1:$D$121,2,0)</f>
        <v>15191</v>
      </c>
      <c r="X542" s="12">
        <f>VLOOKUP(Tabla4[[#This Row],[ZONA DEFINITIVO]],Hoja1!$A$1:$D$121,4,0)</f>
        <v>82625</v>
      </c>
      <c r="Y542" s="12" t="str">
        <f>+IF(Tabla4[[#This Row],[AGRUPACIONES]]=1,SUMIFS(Tabla4[UDS],Tabla4[ZONA DEFINITIVO],Tabla4[[#This Row],[ZONA DEFINITIVO]])," ")</f>
        <v xml:space="preserve"> </v>
      </c>
      <c r="Z542" s="12" t="str">
        <f>+IF(Tabla4[[#This Row],[AGRUPACIONES]]=1,SUMIFS(Tabla4[TOTAL COBERTURA],Tabla4[ZONA DEFINITIVO],Tabla4[[#This Row],[ZONA DEFINITIVO]])," ")</f>
        <v xml:space="preserve"> </v>
      </c>
      <c r="AA542" s="12"/>
      <c r="AB542" s="38">
        <v>117059852</v>
      </c>
      <c r="AC542" s="37">
        <v>0.02</v>
      </c>
      <c r="AD542" s="38">
        <f t="shared" si="9"/>
        <v>2341197.04</v>
      </c>
      <c r="AE542" s="12"/>
      <c r="AF542" s="12">
        <f>COUNTIF($A$20:A542,A542)</f>
        <v>3</v>
      </c>
      <c r="AG542" s="38">
        <v>117059852</v>
      </c>
      <c r="AH542" s="38">
        <f>Tabla4[[#This Row],[VALOR CONTRAPARTIDA]]+Tabla4[[#This Row],[TOTAL APORTES ICBF]]</f>
        <v>119401049.04000001</v>
      </c>
      <c r="AI542" s="35"/>
      <c r="AJ542" s="38"/>
      <c r="AK542" s="38"/>
      <c r="AL542" s="23"/>
      <c r="AM542" s="35">
        <f>VLOOKUP(Tabla4[[#This Row],[SERVICIO 2025]],$J$2:$V$14,5,0)*Tabla4[[#This Row],[TOTAL COBERTURA]]</f>
        <v>2676076</v>
      </c>
      <c r="AN542" s="35">
        <f>VLOOKUP(Tabla4[[#This Row],[SERVICIO 2025]],$J$2:$V$14,6,0)*Tabla4[[#This Row],[TOTAL COBERTURA]]</f>
        <v>2242032</v>
      </c>
      <c r="AO542" s="35">
        <f>VLOOKUP(Tabla4[[#This Row],[SERVICIO 2025]],$J$2:$V$14,8,0)*Tabla4[[#This Row],[TOTAL COBERTURA]]</f>
        <v>1513200</v>
      </c>
      <c r="AP542" s="35">
        <f>VLOOKUP(Tabla4[[#This Row],[SERVICIO 2025]],$J$2:$V$14,3,0)*Tabla4[[#This Row],[TOTAL COBERTURA]]*8</f>
        <v>110628544</v>
      </c>
      <c r="AQ542" s="35"/>
      <c r="AR542" s="35">
        <f>Tabla4[[#This Row],[VALOR FASE PREPARATORIA DE ALISTAMIENTO]]+Tabla4[[#This Row],[VALOR FASE PREPARATORIA DE CIERRE]]+Tabla4[[#This Row],[DOTACIÓN ÚNICA]]+Tabla4[[#This Row],[VALOR ATENCIÓN]]+Tabla4[[#This Row],[VALOR RACION PREPARADA]]</f>
        <v>117059852</v>
      </c>
      <c r="AS542" s="35" t="str">
        <f>+IF(Tabla4[[#This Row],[AGRUPACIONES]]=1,SUMIFS(Tabla4[VALOR TOTAL],Tabla4[ZONA DEFINITIVO],Tabla4[[#This Row],[ZONA DEFINITIVO]])," ")</f>
        <v xml:space="preserve"> </v>
      </c>
      <c r="AT542" s="27">
        <f>(VLOOKUP(Tabla4[[#This Row],[SERVICIO 2025]],$J$2:$V$14,3,0)*Tabla4[[#This Row],[TOTAL COBERTURA]])+Tabla4[[#This Row],[VALOR FASE PREPARATORIA DE ALISTAMIENTO]]+Tabla4[[#This Row],[DOTACIÓN ÚNICA]]</f>
        <v>18017844</v>
      </c>
      <c r="AU542" s="35">
        <f>(VLOOKUP(Tabla4[[#This Row],[SERVICIO 2025]],$J$2:$V$14,3,0)*Tabla4[[#This Row],[TOTAL COBERTURA]])</f>
        <v>13828568</v>
      </c>
      <c r="AV542" s="35">
        <f>(VLOOKUP(Tabla4[[#This Row],[SERVICIO 2025]],$J$2:$V$14,3,0)*Tabla4[[#This Row],[TOTAL COBERTURA]])</f>
        <v>13828568</v>
      </c>
      <c r="AW542" s="35">
        <f>(VLOOKUP(Tabla4[[#This Row],[SERVICIO 2025]],$J$2:$V$14,3,0)*Tabla4[[#This Row],[TOTAL COBERTURA]])</f>
        <v>13828568</v>
      </c>
      <c r="AX542" s="35">
        <f>(VLOOKUP(Tabla4[[#This Row],[SERVICIO 2025]],$J$2:$V$14,3,0)*Tabla4[[#This Row],[TOTAL COBERTURA]])</f>
        <v>13828568</v>
      </c>
      <c r="AY542" s="35">
        <f>(VLOOKUP(Tabla4[[#This Row],[SERVICIO 2025]],$J$2:$V$14,3,0)*Tabla4[[#This Row],[TOTAL COBERTURA]])</f>
        <v>13828568</v>
      </c>
      <c r="AZ542" s="35">
        <f>(VLOOKUP(Tabla4[[#This Row],[SERVICIO 2025]],$J$2:$V$14,3,0)*Tabla4[[#This Row],[TOTAL COBERTURA]])</f>
        <v>13828568</v>
      </c>
      <c r="BA542" s="35">
        <f>(VLOOKUP(Tabla4[[#This Row],[SERVICIO 2025]],$J$2:$V$14,3,0)*Tabla4[[#This Row],[TOTAL COBERTURA]])+Tabla4[[#This Row],[VALOR FASE PREPARATORIA DE CIERRE]]</f>
        <v>16070600</v>
      </c>
      <c r="BB542" s="35">
        <f>SUM(Tabla4[[#This Row],[DESEMBOLSO 1]:[DESEMBOLSO 8]])</f>
        <v>117059852</v>
      </c>
      <c r="BC542" s="35">
        <f>VLOOKUP(Tabla4[[#This Row],[SERVICIO 2025]],$J$2:$V$14,10,0)*Tabla4[[#This Row],[TOTAL COBERTURA]]*$W$3</f>
        <v>75039328</v>
      </c>
      <c r="BD542" s="47" t="s">
        <v>211</v>
      </c>
      <c r="BE542" s="12" t="b">
        <f>EXACT(Tabla4[[#This Row],[VALOR ATENCIÓN (8 MESES)]],Tabla4[[#This Row],[VALOR TOTAL]])</f>
        <v>1</v>
      </c>
      <c r="BF542" s="23">
        <f>Tabla4[[#This Row],[VALOR ATENCIÓN (8 MESES)]]-Tabla4[[#This Row],[VALOR TOTAL]]</f>
        <v>0</v>
      </c>
      <c r="BG542" s="12" t="b">
        <f>EXACT(Tabla4[[#This Row],[TOTAL DESEMBOLSOS]],Tabla4[[#This Row],[VALOR ATENCIÓN (8 MESES)]])</f>
        <v>1</v>
      </c>
      <c r="BH542" s="29">
        <f>Tabla4[[#This Row],[TOTAL DESEMBOLSOS]]-Tabla4[[#This Row],[VALOR ATENCIÓN (8 MESES)]]</f>
        <v>0</v>
      </c>
      <c r="BI542" t="s">
        <v>98</v>
      </c>
      <c r="BJ542">
        <v>1938</v>
      </c>
    </row>
    <row r="543" spans="1:62">
      <c r="A543" s="13">
        <v>1938</v>
      </c>
      <c r="B543" s="13" t="s">
        <v>1244</v>
      </c>
      <c r="C543" s="12" t="s">
        <v>87</v>
      </c>
      <c r="D543" s="12" t="s">
        <v>462</v>
      </c>
      <c r="E543" s="12" t="s">
        <v>1172</v>
      </c>
      <c r="F543" s="12" t="s">
        <v>19</v>
      </c>
      <c r="G543" s="12" t="s">
        <v>90</v>
      </c>
      <c r="H543" s="12" t="s">
        <v>1253</v>
      </c>
      <c r="I543" s="12">
        <v>51721115046</v>
      </c>
      <c r="J543" s="12" t="s">
        <v>1254</v>
      </c>
      <c r="K543" s="12">
        <v>1</v>
      </c>
      <c r="L543" s="12">
        <v>36</v>
      </c>
      <c r="M543" s="12"/>
      <c r="N543" s="13">
        <v>1938</v>
      </c>
      <c r="O543" s="12" t="s">
        <v>93</v>
      </c>
      <c r="P543" s="12"/>
      <c r="Q543" s="12"/>
      <c r="R543" s="12" t="s">
        <v>94</v>
      </c>
      <c r="S543" s="12">
        <v>10</v>
      </c>
      <c r="T543" s="12" t="s">
        <v>1247</v>
      </c>
      <c r="U543" s="12" t="s">
        <v>1248</v>
      </c>
      <c r="V543" s="12">
        <f>VLOOKUP(Tabla4[[#This Row],[ZONA DEFINITIVO]],Hoja1!$A$1:$D$121,3,0)</f>
        <v>229107</v>
      </c>
      <c r="W543" s="12">
        <f>VLOOKUP(Tabla4[[#This Row],[ZONA DEFINITIVO]],Hoja1!$A$1:$D$121,2,0)</f>
        <v>15191</v>
      </c>
      <c r="X543" s="12">
        <f>VLOOKUP(Tabla4[[#This Row],[ZONA DEFINITIVO]],Hoja1!$A$1:$D$121,4,0)</f>
        <v>82625</v>
      </c>
      <c r="Y543" s="12" t="str">
        <f>+IF(Tabla4[[#This Row],[AGRUPACIONES]]=1,SUMIFS(Tabla4[UDS],Tabla4[ZONA DEFINITIVO],Tabla4[[#This Row],[ZONA DEFINITIVO]])," ")</f>
        <v xml:space="preserve"> </v>
      </c>
      <c r="Z543" s="12" t="str">
        <f>+IF(Tabla4[[#This Row],[AGRUPACIONES]]=1,SUMIFS(Tabla4[TOTAL COBERTURA],Tabla4[ZONA DEFINITIVO],Tabla4[[#This Row],[ZONA DEFINITIVO]])," ")</f>
        <v xml:space="preserve"> </v>
      </c>
      <c r="AA543" s="12"/>
      <c r="AB543" s="38">
        <v>81041436</v>
      </c>
      <c r="AC543" s="37">
        <v>0.02</v>
      </c>
      <c r="AD543" s="38">
        <f t="shared" si="9"/>
        <v>1620828.72</v>
      </c>
      <c r="AE543" s="12"/>
      <c r="AF543" s="12">
        <f>COUNTIF($A$20:A543,A543)</f>
        <v>4</v>
      </c>
      <c r="AG543" s="38">
        <v>81041436</v>
      </c>
      <c r="AH543" s="38">
        <f>Tabla4[[#This Row],[VALOR CONTRAPARTIDA]]+Tabla4[[#This Row],[TOTAL APORTES ICBF]]</f>
        <v>82662264.719999999</v>
      </c>
      <c r="AI543" s="35"/>
      <c r="AJ543" s="38"/>
      <c r="AK543" s="38"/>
      <c r="AL543" s="23"/>
      <c r="AM543" s="35">
        <f>VLOOKUP(Tabla4[[#This Row],[SERVICIO 2025]],$J$2:$V$14,5,0)*Tabla4[[#This Row],[TOTAL COBERTURA]]</f>
        <v>1852668</v>
      </c>
      <c r="AN543" s="35">
        <f>VLOOKUP(Tabla4[[#This Row],[SERVICIO 2025]],$J$2:$V$14,6,0)*Tabla4[[#This Row],[TOTAL COBERTURA]]</f>
        <v>1552176</v>
      </c>
      <c r="AO543" s="35">
        <f>VLOOKUP(Tabla4[[#This Row],[SERVICIO 2025]],$J$2:$V$14,8,0)*Tabla4[[#This Row],[TOTAL COBERTURA]]</f>
        <v>1047600</v>
      </c>
      <c r="AP543" s="35">
        <f>VLOOKUP(Tabla4[[#This Row],[SERVICIO 2025]],$J$2:$V$14,3,0)*Tabla4[[#This Row],[TOTAL COBERTURA]]*8</f>
        <v>76588992</v>
      </c>
      <c r="AQ543" s="35"/>
      <c r="AR543" s="35">
        <f>Tabla4[[#This Row],[VALOR FASE PREPARATORIA DE ALISTAMIENTO]]+Tabla4[[#This Row],[VALOR FASE PREPARATORIA DE CIERRE]]+Tabla4[[#This Row],[DOTACIÓN ÚNICA]]+Tabla4[[#This Row],[VALOR ATENCIÓN]]+Tabla4[[#This Row],[VALOR RACION PREPARADA]]</f>
        <v>81041436</v>
      </c>
      <c r="AS543" s="35" t="str">
        <f>+IF(Tabla4[[#This Row],[AGRUPACIONES]]=1,SUMIFS(Tabla4[VALOR TOTAL],Tabla4[ZONA DEFINITIVO],Tabla4[[#This Row],[ZONA DEFINITIVO]])," ")</f>
        <v xml:space="preserve"> </v>
      </c>
      <c r="AT543" s="27">
        <f>(VLOOKUP(Tabla4[[#This Row],[SERVICIO 2025]],$J$2:$V$14,3,0)*Tabla4[[#This Row],[TOTAL COBERTURA]])+Tabla4[[#This Row],[VALOR FASE PREPARATORIA DE ALISTAMIENTO]]+Tabla4[[#This Row],[DOTACIÓN ÚNICA]]</f>
        <v>12473892</v>
      </c>
      <c r="AU543" s="35">
        <f>(VLOOKUP(Tabla4[[#This Row],[SERVICIO 2025]],$J$2:$V$14,3,0)*Tabla4[[#This Row],[TOTAL COBERTURA]])</f>
        <v>9573624</v>
      </c>
      <c r="AV543" s="35">
        <f>(VLOOKUP(Tabla4[[#This Row],[SERVICIO 2025]],$J$2:$V$14,3,0)*Tabla4[[#This Row],[TOTAL COBERTURA]])</f>
        <v>9573624</v>
      </c>
      <c r="AW543" s="35">
        <f>(VLOOKUP(Tabla4[[#This Row],[SERVICIO 2025]],$J$2:$V$14,3,0)*Tabla4[[#This Row],[TOTAL COBERTURA]])</f>
        <v>9573624</v>
      </c>
      <c r="AX543" s="35">
        <f>(VLOOKUP(Tabla4[[#This Row],[SERVICIO 2025]],$J$2:$V$14,3,0)*Tabla4[[#This Row],[TOTAL COBERTURA]])</f>
        <v>9573624</v>
      </c>
      <c r="AY543" s="35">
        <f>(VLOOKUP(Tabla4[[#This Row],[SERVICIO 2025]],$J$2:$V$14,3,0)*Tabla4[[#This Row],[TOTAL COBERTURA]])</f>
        <v>9573624</v>
      </c>
      <c r="AZ543" s="35">
        <f>(VLOOKUP(Tabla4[[#This Row],[SERVICIO 2025]],$J$2:$V$14,3,0)*Tabla4[[#This Row],[TOTAL COBERTURA]])</f>
        <v>9573624</v>
      </c>
      <c r="BA543" s="35">
        <f>(VLOOKUP(Tabla4[[#This Row],[SERVICIO 2025]],$J$2:$V$14,3,0)*Tabla4[[#This Row],[TOTAL COBERTURA]])+Tabla4[[#This Row],[VALOR FASE PREPARATORIA DE CIERRE]]</f>
        <v>11125800</v>
      </c>
      <c r="BB543" s="35">
        <f>SUM(Tabla4[[#This Row],[DESEMBOLSO 1]:[DESEMBOLSO 8]])</f>
        <v>81041436</v>
      </c>
      <c r="BC543" s="35">
        <f>VLOOKUP(Tabla4[[#This Row],[SERVICIO 2025]],$J$2:$V$14,10,0)*Tabla4[[#This Row],[TOTAL COBERTURA]]*$W$3</f>
        <v>51950304</v>
      </c>
      <c r="BD543" s="47" t="s">
        <v>211</v>
      </c>
      <c r="BE543" s="12" t="b">
        <f>EXACT(Tabla4[[#This Row],[VALOR ATENCIÓN (8 MESES)]],Tabla4[[#This Row],[VALOR TOTAL]])</f>
        <v>1</v>
      </c>
      <c r="BF543" s="23">
        <f>Tabla4[[#This Row],[VALOR ATENCIÓN (8 MESES)]]-Tabla4[[#This Row],[VALOR TOTAL]]</f>
        <v>0</v>
      </c>
      <c r="BG543" s="12" t="b">
        <f>EXACT(Tabla4[[#This Row],[TOTAL DESEMBOLSOS]],Tabla4[[#This Row],[VALOR ATENCIÓN (8 MESES)]])</f>
        <v>1</v>
      </c>
      <c r="BH543" s="29">
        <f>Tabla4[[#This Row],[TOTAL DESEMBOLSOS]]-Tabla4[[#This Row],[VALOR ATENCIÓN (8 MESES)]]</f>
        <v>0</v>
      </c>
      <c r="BI543" t="s">
        <v>98</v>
      </c>
      <c r="BJ543">
        <v>1938</v>
      </c>
    </row>
    <row r="544" spans="1:62">
      <c r="A544" s="13">
        <v>1938</v>
      </c>
      <c r="B544" s="13" t="s">
        <v>1244</v>
      </c>
      <c r="C544" s="12" t="s">
        <v>87</v>
      </c>
      <c r="D544" s="12" t="s">
        <v>462</v>
      </c>
      <c r="E544" s="12" t="s">
        <v>1172</v>
      </c>
      <c r="F544" s="12" t="s">
        <v>19</v>
      </c>
      <c r="G544" s="12" t="s">
        <v>90</v>
      </c>
      <c r="H544" s="12" t="s">
        <v>1255</v>
      </c>
      <c r="I544" s="12">
        <v>51721135902</v>
      </c>
      <c r="J544" s="12" t="s">
        <v>1256</v>
      </c>
      <c r="K544" s="12">
        <v>1</v>
      </c>
      <c r="L544" s="12">
        <v>35</v>
      </c>
      <c r="M544" s="12"/>
      <c r="N544" s="13">
        <v>1938</v>
      </c>
      <c r="O544" s="12" t="s">
        <v>93</v>
      </c>
      <c r="P544" s="12"/>
      <c r="Q544" s="12"/>
      <c r="R544" s="12" t="s">
        <v>94</v>
      </c>
      <c r="S544" s="12">
        <v>10</v>
      </c>
      <c r="T544" s="12" t="s">
        <v>1247</v>
      </c>
      <c r="U544" s="12" t="s">
        <v>1248</v>
      </c>
      <c r="V544" s="12">
        <f>VLOOKUP(Tabla4[[#This Row],[ZONA DEFINITIVO]],Hoja1!$A$1:$D$121,3,0)</f>
        <v>229107</v>
      </c>
      <c r="W544" s="12">
        <f>VLOOKUP(Tabla4[[#This Row],[ZONA DEFINITIVO]],Hoja1!$A$1:$D$121,2,0)</f>
        <v>15191</v>
      </c>
      <c r="X544" s="12">
        <f>VLOOKUP(Tabla4[[#This Row],[ZONA DEFINITIVO]],Hoja1!$A$1:$D$121,4,0)</f>
        <v>82625</v>
      </c>
      <c r="Y544" s="12" t="str">
        <f>+IF(Tabla4[[#This Row],[AGRUPACIONES]]=1,SUMIFS(Tabla4[UDS],Tabla4[ZONA DEFINITIVO],Tabla4[[#This Row],[ZONA DEFINITIVO]])," ")</f>
        <v xml:space="preserve"> </v>
      </c>
      <c r="Z544" s="12" t="str">
        <f>+IF(Tabla4[[#This Row],[AGRUPACIONES]]=1,SUMIFS(Tabla4[TOTAL COBERTURA],Tabla4[ZONA DEFINITIVO],Tabla4[[#This Row],[ZONA DEFINITIVO]])," ")</f>
        <v xml:space="preserve"> </v>
      </c>
      <c r="AA544" s="12"/>
      <c r="AB544" s="38">
        <v>78790285</v>
      </c>
      <c r="AC544" s="37">
        <v>0.02</v>
      </c>
      <c r="AD544" s="38">
        <f t="shared" si="9"/>
        <v>1575805.7</v>
      </c>
      <c r="AE544" s="12"/>
      <c r="AF544" s="12">
        <f>COUNTIF($A$20:A544,A544)</f>
        <v>5</v>
      </c>
      <c r="AG544" s="38">
        <v>78790285</v>
      </c>
      <c r="AH544" s="38">
        <f>Tabla4[[#This Row],[VALOR CONTRAPARTIDA]]+Tabla4[[#This Row],[TOTAL APORTES ICBF]]</f>
        <v>80366090.700000003</v>
      </c>
      <c r="AI544" s="35"/>
      <c r="AJ544" s="38"/>
      <c r="AK544" s="38"/>
      <c r="AL544" s="23"/>
      <c r="AM544" s="35">
        <f>VLOOKUP(Tabla4[[#This Row],[SERVICIO 2025]],$J$2:$V$14,5,0)*Tabla4[[#This Row],[TOTAL COBERTURA]]</f>
        <v>1801205</v>
      </c>
      <c r="AN544" s="35">
        <f>VLOOKUP(Tabla4[[#This Row],[SERVICIO 2025]],$J$2:$V$14,6,0)*Tabla4[[#This Row],[TOTAL COBERTURA]]</f>
        <v>1509060</v>
      </c>
      <c r="AO544" s="35">
        <f>VLOOKUP(Tabla4[[#This Row],[SERVICIO 2025]],$J$2:$V$14,8,0)*Tabla4[[#This Row],[TOTAL COBERTURA]]</f>
        <v>1018500</v>
      </c>
      <c r="AP544" s="35">
        <f>VLOOKUP(Tabla4[[#This Row],[SERVICIO 2025]],$J$2:$V$14,3,0)*Tabla4[[#This Row],[TOTAL COBERTURA]]*8</f>
        <v>74461520</v>
      </c>
      <c r="AQ544" s="35"/>
      <c r="AR544" s="35">
        <f>Tabla4[[#This Row],[VALOR FASE PREPARATORIA DE ALISTAMIENTO]]+Tabla4[[#This Row],[VALOR FASE PREPARATORIA DE CIERRE]]+Tabla4[[#This Row],[DOTACIÓN ÚNICA]]+Tabla4[[#This Row],[VALOR ATENCIÓN]]+Tabla4[[#This Row],[VALOR RACION PREPARADA]]</f>
        <v>78790285</v>
      </c>
      <c r="AS544" s="35" t="str">
        <f>+IF(Tabla4[[#This Row],[AGRUPACIONES]]=1,SUMIFS(Tabla4[VALOR TOTAL],Tabla4[ZONA DEFINITIVO],Tabla4[[#This Row],[ZONA DEFINITIVO]])," ")</f>
        <v xml:space="preserve"> </v>
      </c>
      <c r="AT544" s="27">
        <f>(VLOOKUP(Tabla4[[#This Row],[SERVICIO 2025]],$J$2:$V$14,3,0)*Tabla4[[#This Row],[TOTAL COBERTURA]])+Tabla4[[#This Row],[VALOR FASE PREPARATORIA DE ALISTAMIENTO]]+Tabla4[[#This Row],[DOTACIÓN ÚNICA]]</f>
        <v>12127395</v>
      </c>
      <c r="AU544" s="35">
        <f>(VLOOKUP(Tabla4[[#This Row],[SERVICIO 2025]],$J$2:$V$14,3,0)*Tabla4[[#This Row],[TOTAL COBERTURA]])</f>
        <v>9307690</v>
      </c>
      <c r="AV544" s="35">
        <f>(VLOOKUP(Tabla4[[#This Row],[SERVICIO 2025]],$J$2:$V$14,3,0)*Tabla4[[#This Row],[TOTAL COBERTURA]])</f>
        <v>9307690</v>
      </c>
      <c r="AW544" s="35">
        <f>(VLOOKUP(Tabla4[[#This Row],[SERVICIO 2025]],$J$2:$V$14,3,0)*Tabla4[[#This Row],[TOTAL COBERTURA]])</f>
        <v>9307690</v>
      </c>
      <c r="AX544" s="35">
        <f>(VLOOKUP(Tabla4[[#This Row],[SERVICIO 2025]],$J$2:$V$14,3,0)*Tabla4[[#This Row],[TOTAL COBERTURA]])</f>
        <v>9307690</v>
      </c>
      <c r="AY544" s="35">
        <f>(VLOOKUP(Tabla4[[#This Row],[SERVICIO 2025]],$J$2:$V$14,3,0)*Tabla4[[#This Row],[TOTAL COBERTURA]])</f>
        <v>9307690</v>
      </c>
      <c r="AZ544" s="35">
        <f>(VLOOKUP(Tabla4[[#This Row],[SERVICIO 2025]],$J$2:$V$14,3,0)*Tabla4[[#This Row],[TOTAL COBERTURA]])</f>
        <v>9307690</v>
      </c>
      <c r="BA544" s="35">
        <f>(VLOOKUP(Tabla4[[#This Row],[SERVICIO 2025]],$J$2:$V$14,3,0)*Tabla4[[#This Row],[TOTAL COBERTURA]])+Tabla4[[#This Row],[VALOR FASE PREPARATORIA DE CIERRE]]</f>
        <v>10816750</v>
      </c>
      <c r="BB544" s="35">
        <f>SUM(Tabla4[[#This Row],[DESEMBOLSO 1]:[DESEMBOLSO 8]])</f>
        <v>78790285</v>
      </c>
      <c r="BC544" s="35">
        <f>VLOOKUP(Tabla4[[#This Row],[SERVICIO 2025]],$J$2:$V$14,10,0)*Tabla4[[#This Row],[TOTAL COBERTURA]]*$W$3</f>
        <v>50507240</v>
      </c>
      <c r="BD544" s="47" t="s">
        <v>211</v>
      </c>
      <c r="BE544" s="12" t="b">
        <f>EXACT(Tabla4[[#This Row],[VALOR ATENCIÓN (8 MESES)]],Tabla4[[#This Row],[VALOR TOTAL]])</f>
        <v>1</v>
      </c>
      <c r="BF544" s="23">
        <f>Tabla4[[#This Row],[VALOR ATENCIÓN (8 MESES)]]-Tabla4[[#This Row],[VALOR TOTAL]]</f>
        <v>0</v>
      </c>
      <c r="BG544" s="12" t="b">
        <f>EXACT(Tabla4[[#This Row],[TOTAL DESEMBOLSOS]],Tabla4[[#This Row],[VALOR ATENCIÓN (8 MESES)]])</f>
        <v>1</v>
      </c>
      <c r="BH544" s="29">
        <f>Tabla4[[#This Row],[TOTAL DESEMBOLSOS]]-Tabla4[[#This Row],[VALOR ATENCIÓN (8 MESES)]]</f>
        <v>0</v>
      </c>
      <c r="BI544" t="s">
        <v>98</v>
      </c>
      <c r="BJ544">
        <v>1938</v>
      </c>
    </row>
    <row r="545" spans="1:62">
      <c r="A545" s="13">
        <v>1938</v>
      </c>
      <c r="B545" s="13" t="s">
        <v>1244</v>
      </c>
      <c r="C545" s="12" t="s">
        <v>87</v>
      </c>
      <c r="D545" s="12" t="s">
        <v>462</v>
      </c>
      <c r="E545" s="12" t="s">
        <v>1172</v>
      </c>
      <c r="F545" s="12" t="s">
        <v>19</v>
      </c>
      <c r="G545" s="12" t="s">
        <v>90</v>
      </c>
      <c r="H545" s="12" t="s">
        <v>1257</v>
      </c>
      <c r="I545" s="12">
        <v>51721135909</v>
      </c>
      <c r="J545" s="12" t="s">
        <v>1258</v>
      </c>
      <c r="K545" s="12">
        <v>1</v>
      </c>
      <c r="L545" s="12">
        <v>37</v>
      </c>
      <c r="M545" s="12"/>
      <c r="N545" s="13">
        <v>1938</v>
      </c>
      <c r="O545" s="12" t="s">
        <v>93</v>
      </c>
      <c r="P545" s="12"/>
      <c r="Q545" s="12"/>
      <c r="R545" s="12" t="s">
        <v>94</v>
      </c>
      <c r="S545" s="12">
        <v>10</v>
      </c>
      <c r="T545" s="12" t="s">
        <v>1247</v>
      </c>
      <c r="U545" s="12" t="s">
        <v>1248</v>
      </c>
      <c r="V545" s="12">
        <f>VLOOKUP(Tabla4[[#This Row],[ZONA DEFINITIVO]],Hoja1!$A$1:$D$121,3,0)</f>
        <v>229107</v>
      </c>
      <c r="W545" s="12">
        <f>VLOOKUP(Tabla4[[#This Row],[ZONA DEFINITIVO]],Hoja1!$A$1:$D$121,2,0)</f>
        <v>15191</v>
      </c>
      <c r="X545" s="12">
        <f>VLOOKUP(Tabla4[[#This Row],[ZONA DEFINITIVO]],Hoja1!$A$1:$D$121,4,0)</f>
        <v>82625</v>
      </c>
      <c r="Y545" s="12" t="str">
        <f>+IF(Tabla4[[#This Row],[AGRUPACIONES]]=1,SUMIFS(Tabla4[UDS],Tabla4[ZONA DEFINITIVO],Tabla4[[#This Row],[ZONA DEFINITIVO]])," ")</f>
        <v xml:space="preserve"> </v>
      </c>
      <c r="Z545" s="12" t="str">
        <f>+IF(Tabla4[[#This Row],[AGRUPACIONES]]=1,SUMIFS(Tabla4[TOTAL COBERTURA],Tabla4[ZONA DEFINITIVO],Tabla4[[#This Row],[ZONA DEFINITIVO]])," ")</f>
        <v xml:space="preserve"> </v>
      </c>
      <c r="AA545" s="12"/>
      <c r="AB545" s="38">
        <v>83292587</v>
      </c>
      <c r="AC545" s="37">
        <v>0.02</v>
      </c>
      <c r="AD545" s="38">
        <f t="shared" si="9"/>
        <v>1665851.74</v>
      </c>
      <c r="AE545" s="12"/>
      <c r="AF545" s="12">
        <f>COUNTIF($A$20:A545,A545)</f>
        <v>6</v>
      </c>
      <c r="AG545" s="38">
        <v>83292587</v>
      </c>
      <c r="AH545" s="38">
        <f>Tabla4[[#This Row],[VALOR CONTRAPARTIDA]]+Tabla4[[#This Row],[TOTAL APORTES ICBF]]</f>
        <v>84958438.739999995</v>
      </c>
      <c r="AI545" s="35"/>
      <c r="AJ545" s="38"/>
      <c r="AK545" s="38"/>
      <c r="AL545" s="23"/>
      <c r="AM545" s="35">
        <f>VLOOKUP(Tabla4[[#This Row],[SERVICIO 2025]],$J$2:$V$14,5,0)*Tabla4[[#This Row],[TOTAL COBERTURA]]</f>
        <v>1904131</v>
      </c>
      <c r="AN545" s="35">
        <f>VLOOKUP(Tabla4[[#This Row],[SERVICIO 2025]],$J$2:$V$14,6,0)*Tabla4[[#This Row],[TOTAL COBERTURA]]</f>
        <v>1595292</v>
      </c>
      <c r="AO545" s="35">
        <f>VLOOKUP(Tabla4[[#This Row],[SERVICIO 2025]],$J$2:$V$14,8,0)*Tabla4[[#This Row],[TOTAL COBERTURA]]</f>
        <v>1076700</v>
      </c>
      <c r="AP545" s="35">
        <f>VLOOKUP(Tabla4[[#This Row],[SERVICIO 2025]],$J$2:$V$14,3,0)*Tabla4[[#This Row],[TOTAL COBERTURA]]*8</f>
        <v>78716464</v>
      </c>
      <c r="AQ545" s="35"/>
      <c r="AR545" s="35">
        <f>Tabla4[[#This Row],[VALOR FASE PREPARATORIA DE ALISTAMIENTO]]+Tabla4[[#This Row],[VALOR FASE PREPARATORIA DE CIERRE]]+Tabla4[[#This Row],[DOTACIÓN ÚNICA]]+Tabla4[[#This Row],[VALOR ATENCIÓN]]+Tabla4[[#This Row],[VALOR RACION PREPARADA]]</f>
        <v>83292587</v>
      </c>
      <c r="AS545" s="35" t="str">
        <f>+IF(Tabla4[[#This Row],[AGRUPACIONES]]=1,SUMIFS(Tabla4[VALOR TOTAL],Tabla4[ZONA DEFINITIVO],Tabla4[[#This Row],[ZONA DEFINITIVO]])," ")</f>
        <v xml:space="preserve"> </v>
      </c>
      <c r="AT545" s="27">
        <f>(VLOOKUP(Tabla4[[#This Row],[SERVICIO 2025]],$J$2:$V$14,3,0)*Tabla4[[#This Row],[TOTAL COBERTURA]])+Tabla4[[#This Row],[VALOR FASE PREPARATORIA DE ALISTAMIENTO]]+Tabla4[[#This Row],[DOTACIÓN ÚNICA]]</f>
        <v>12820389</v>
      </c>
      <c r="AU545" s="35">
        <f>(VLOOKUP(Tabla4[[#This Row],[SERVICIO 2025]],$J$2:$V$14,3,0)*Tabla4[[#This Row],[TOTAL COBERTURA]])</f>
        <v>9839558</v>
      </c>
      <c r="AV545" s="35">
        <f>(VLOOKUP(Tabla4[[#This Row],[SERVICIO 2025]],$J$2:$V$14,3,0)*Tabla4[[#This Row],[TOTAL COBERTURA]])</f>
        <v>9839558</v>
      </c>
      <c r="AW545" s="35">
        <f>(VLOOKUP(Tabla4[[#This Row],[SERVICIO 2025]],$J$2:$V$14,3,0)*Tabla4[[#This Row],[TOTAL COBERTURA]])</f>
        <v>9839558</v>
      </c>
      <c r="AX545" s="35">
        <f>(VLOOKUP(Tabla4[[#This Row],[SERVICIO 2025]],$J$2:$V$14,3,0)*Tabla4[[#This Row],[TOTAL COBERTURA]])</f>
        <v>9839558</v>
      </c>
      <c r="AY545" s="35">
        <f>(VLOOKUP(Tabla4[[#This Row],[SERVICIO 2025]],$J$2:$V$14,3,0)*Tabla4[[#This Row],[TOTAL COBERTURA]])</f>
        <v>9839558</v>
      </c>
      <c r="AZ545" s="35">
        <f>(VLOOKUP(Tabla4[[#This Row],[SERVICIO 2025]],$J$2:$V$14,3,0)*Tabla4[[#This Row],[TOTAL COBERTURA]])</f>
        <v>9839558</v>
      </c>
      <c r="BA545" s="35">
        <f>(VLOOKUP(Tabla4[[#This Row],[SERVICIO 2025]],$J$2:$V$14,3,0)*Tabla4[[#This Row],[TOTAL COBERTURA]])+Tabla4[[#This Row],[VALOR FASE PREPARATORIA DE CIERRE]]</f>
        <v>11434850</v>
      </c>
      <c r="BB545" s="35">
        <f>SUM(Tabla4[[#This Row],[DESEMBOLSO 1]:[DESEMBOLSO 8]])</f>
        <v>83292587</v>
      </c>
      <c r="BC545" s="35">
        <f>VLOOKUP(Tabla4[[#This Row],[SERVICIO 2025]],$J$2:$V$14,10,0)*Tabla4[[#This Row],[TOTAL COBERTURA]]*$W$3</f>
        <v>53393368</v>
      </c>
      <c r="BD545" s="47" t="s">
        <v>211</v>
      </c>
      <c r="BE545" s="12" t="b">
        <f>EXACT(Tabla4[[#This Row],[VALOR ATENCIÓN (8 MESES)]],Tabla4[[#This Row],[VALOR TOTAL]])</f>
        <v>1</v>
      </c>
      <c r="BF545" s="23">
        <f>Tabla4[[#This Row],[VALOR ATENCIÓN (8 MESES)]]-Tabla4[[#This Row],[VALOR TOTAL]]</f>
        <v>0</v>
      </c>
      <c r="BG545" s="12" t="b">
        <f>EXACT(Tabla4[[#This Row],[TOTAL DESEMBOLSOS]],Tabla4[[#This Row],[VALOR ATENCIÓN (8 MESES)]])</f>
        <v>1</v>
      </c>
      <c r="BH545" s="29">
        <f>Tabla4[[#This Row],[TOTAL DESEMBOLSOS]]-Tabla4[[#This Row],[VALOR ATENCIÓN (8 MESES)]]</f>
        <v>0</v>
      </c>
      <c r="BI545" t="s">
        <v>98</v>
      </c>
      <c r="BJ545">
        <v>1938</v>
      </c>
    </row>
    <row r="546" spans="1:62">
      <c r="A546" s="13">
        <v>1938</v>
      </c>
      <c r="B546" s="13" t="s">
        <v>1244</v>
      </c>
      <c r="C546" s="12" t="s">
        <v>87</v>
      </c>
      <c r="D546" s="12" t="s">
        <v>462</v>
      </c>
      <c r="E546" s="12" t="s">
        <v>1172</v>
      </c>
      <c r="F546" s="12" t="s">
        <v>19</v>
      </c>
      <c r="G546" s="12" t="s">
        <v>90</v>
      </c>
      <c r="H546" s="12" t="s">
        <v>1259</v>
      </c>
      <c r="I546" s="12">
        <v>51721144188</v>
      </c>
      <c r="J546" s="12" t="s">
        <v>1260</v>
      </c>
      <c r="K546" s="12">
        <v>1</v>
      </c>
      <c r="L546" s="12">
        <v>59</v>
      </c>
      <c r="M546" s="12"/>
      <c r="N546" s="13">
        <v>1938</v>
      </c>
      <c r="O546" s="12" t="s">
        <v>93</v>
      </c>
      <c r="P546" s="12"/>
      <c r="Q546" s="12"/>
      <c r="R546" s="12" t="s">
        <v>94</v>
      </c>
      <c r="S546" s="12">
        <v>10</v>
      </c>
      <c r="T546" s="12" t="s">
        <v>1247</v>
      </c>
      <c r="U546" s="12" t="s">
        <v>1248</v>
      </c>
      <c r="V546" s="12">
        <f>VLOOKUP(Tabla4[[#This Row],[ZONA DEFINITIVO]],Hoja1!$A$1:$D$121,3,0)</f>
        <v>229107</v>
      </c>
      <c r="W546" s="12">
        <f>VLOOKUP(Tabla4[[#This Row],[ZONA DEFINITIVO]],Hoja1!$A$1:$D$121,2,0)</f>
        <v>15191</v>
      </c>
      <c r="X546" s="12">
        <f>VLOOKUP(Tabla4[[#This Row],[ZONA DEFINITIVO]],Hoja1!$A$1:$D$121,4,0)</f>
        <v>82625</v>
      </c>
      <c r="Y546" s="12" t="str">
        <f>+IF(Tabla4[[#This Row],[AGRUPACIONES]]=1,SUMIFS(Tabla4[UDS],Tabla4[ZONA DEFINITIVO],Tabla4[[#This Row],[ZONA DEFINITIVO]])," ")</f>
        <v xml:space="preserve"> </v>
      </c>
      <c r="Z546" s="12" t="str">
        <f>+IF(Tabla4[[#This Row],[AGRUPACIONES]]=1,SUMIFS(Tabla4[TOTAL COBERTURA],Tabla4[ZONA DEFINITIVO],Tabla4[[#This Row],[ZONA DEFINITIVO]])," ")</f>
        <v xml:space="preserve"> </v>
      </c>
      <c r="AA546" s="12"/>
      <c r="AB546" s="38">
        <v>132817909</v>
      </c>
      <c r="AC546" s="37">
        <v>0.02</v>
      </c>
      <c r="AD546" s="38">
        <f t="shared" si="9"/>
        <v>2656358.1800000002</v>
      </c>
      <c r="AE546" s="12"/>
      <c r="AF546" s="12">
        <f>COUNTIF($A$20:A546,A546)</f>
        <v>7</v>
      </c>
      <c r="AG546" s="38">
        <v>132817909</v>
      </c>
      <c r="AH546" s="38">
        <f>Tabla4[[#This Row],[VALOR CONTRAPARTIDA]]+Tabla4[[#This Row],[TOTAL APORTES ICBF]]</f>
        <v>135474267.18000001</v>
      </c>
      <c r="AI546" s="35"/>
      <c r="AJ546" s="38"/>
      <c r="AK546" s="38"/>
      <c r="AL546" s="23"/>
      <c r="AM546" s="35">
        <f>VLOOKUP(Tabla4[[#This Row],[SERVICIO 2025]],$J$2:$V$14,5,0)*Tabla4[[#This Row],[TOTAL COBERTURA]]</f>
        <v>3036317</v>
      </c>
      <c r="AN546" s="35">
        <f>VLOOKUP(Tabla4[[#This Row],[SERVICIO 2025]],$J$2:$V$14,6,0)*Tabla4[[#This Row],[TOTAL COBERTURA]]</f>
        <v>2543844</v>
      </c>
      <c r="AO546" s="35">
        <f>VLOOKUP(Tabla4[[#This Row],[SERVICIO 2025]],$J$2:$V$14,8,0)*Tabla4[[#This Row],[TOTAL COBERTURA]]</f>
        <v>1716900</v>
      </c>
      <c r="AP546" s="35">
        <f>VLOOKUP(Tabla4[[#This Row],[SERVICIO 2025]],$J$2:$V$14,3,0)*Tabla4[[#This Row],[TOTAL COBERTURA]]*8</f>
        <v>125520848</v>
      </c>
      <c r="AQ546" s="35"/>
      <c r="AR546" s="35">
        <f>Tabla4[[#This Row],[VALOR FASE PREPARATORIA DE ALISTAMIENTO]]+Tabla4[[#This Row],[VALOR FASE PREPARATORIA DE CIERRE]]+Tabla4[[#This Row],[DOTACIÓN ÚNICA]]+Tabla4[[#This Row],[VALOR ATENCIÓN]]+Tabla4[[#This Row],[VALOR RACION PREPARADA]]</f>
        <v>132817909</v>
      </c>
      <c r="AS546" s="35" t="str">
        <f>+IF(Tabla4[[#This Row],[AGRUPACIONES]]=1,SUMIFS(Tabla4[VALOR TOTAL],Tabla4[ZONA DEFINITIVO],Tabla4[[#This Row],[ZONA DEFINITIVO]])," ")</f>
        <v xml:space="preserve"> </v>
      </c>
      <c r="AT546" s="27">
        <f>(VLOOKUP(Tabla4[[#This Row],[SERVICIO 2025]],$J$2:$V$14,3,0)*Tabla4[[#This Row],[TOTAL COBERTURA]])+Tabla4[[#This Row],[VALOR FASE PREPARATORIA DE ALISTAMIENTO]]+Tabla4[[#This Row],[DOTACIÓN ÚNICA]]</f>
        <v>20443323</v>
      </c>
      <c r="AU546" s="35">
        <f>(VLOOKUP(Tabla4[[#This Row],[SERVICIO 2025]],$J$2:$V$14,3,0)*Tabla4[[#This Row],[TOTAL COBERTURA]])</f>
        <v>15690106</v>
      </c>
      <c r="AV546" s="35">
        <f>(VLOOKUP(Tabla4[[#This Row],[SERVICIO 2025]],$J$2:$V$14,3,0)*Tabla4[[#This Row],[TOTAL COBERTURA]])</f>
        <v>15690106</v>
      </c>
      <c r="AW546" s="35">
        <f>(VLOOKUP(Tabla4[[#This Row],[SERVICIO 2025]],$J$2:$V$14,3,0)*Tabla4[[#This Row],[TOTAL COBERTURA]])</f>
        <v>15690106</v>
      </c>
      <c r="AX546" s="35">
        <f>(VLOOKUP(Tabla4[[#This Row],[SERVICIO 2025]],$J$2:$V$14,3,0)*Tabla4[[#This Row],[TOTAL COBERTURA]])</f>
        <v>15690106</v>
      </c>
      <c r="AY546" s="35">
        <f>(VLOOKUP(Tabla4[[#This Row],[SERVICIO 2025]],$J$2:$V$14,3,0)*Tabla4[[#This Row],[TOTAL COBERTURA]])</f>
        <v>15690106</v>
      </c>
      <c r="AZ546" s="35">
        <f>(VLOOKUP(Tabla4[[#This Row],[SERVICIO 2025]],$J$2:$V$14,3,0)*Tabla4[[#This Row],[TOTAL COBERTURA]])</f>
        <v>15690106</v>
      </c>
      <c r="BA546" s="35">
        <f>(VLOOKUP(Tabla4[[#This Row],[SERVICIO 2025]],$J$2:$V$14,3,0)*Tabla4[[#This Row],[TOTAL COBERTURA]])+Tabla4[[#This Row],[VALOR FASE PREPARATORIA DE CIERRE]]</f>
        <v>18233950</v>
      </c>
      <c r="BB546" s="35">
        <f>SUM(Tabla4[[#This Row],[DESEMBOLSO 1]:[DESEMBOLSO 8]])</f>
        <v>132817909</v>
      </c>
      <c r="BC546" s="35">
        <f>VLOOKUP(Tabla4[[#This Row],[SERVICIO 2025]],$J$2:$V$14,10,0)*Tabla4[[#This Row],[TOTAL COBERTURA]]*$W$3</f>
        <v>85140776</v>
      </c>
      <c r="BD546" s="47" t="s">
        <v>211</v>
      </c>
      <c r="BE546" s="12" t="b">
        <f>EXACT(Tabla4[[#This Row],[VALOR ATENCIÓN (8 MESES)]],Tabla4[[#This Row],[VALOR TOTAL]])</f>
        <v>1</v>
      </c>
      <c r="BF546" s="23">
        <f>Tabla4[[#This Row],[VALOR ATENCIÓN (8 MESES)]]-Tabla4[[#This Row],[VALOR TOTAL]]</f>
        <v>0</v>
      </c>
      <c r="BG546" s="12" t="b">
        <f>EXACT(Tabla4[[#This Row],[TOTAL DESEMBOLSOS]],Tabla4[[#This Row],[VALOR ATENCIÓN (8 MESES)]])</f>
        <v>1</v>
      </c>
      <c r="BH546" s="29">
        <f>Tabla4[[#This Row],[TOTAL DESEMBOLSOS]]-Tabla4[[#This Row],[VALOR ATENCIÓN (8 MESES)]]</f>
        <v>0</v>
      </c>
      <c r="BI546" t="s">
        <v>98</v>
      </c>
      <c r="BJ546">
        <v>1938</v>
      </c>
    </row>
    <row r="547" spans="1:62">
      <c r="A547" s="13">
        <v>1938</v>
      </c>
      <c r="B547" s="13" t="s">
        <v>1244</v>
      </c>
      <c r="C547" s="12" t="s">
        <v>87</v>
      </c>
      <c r="D547" s="12" t="s">
        <v>462</v>
      </c>
      <c r="E547" s="12" t="s">
        <v>1172</v>
      </c>
      <c r="F547" s="12" t="s">
        <v>19</v>
      </c>
      <c r="G547" s="12" t="s">
        <v>90</v>
      </c>
      <c r="H547" s="12" t="s">
        <v>1261</v>
      </c>
      <c r="I547" s="12">
        <v>51721151877</v>
      </c>
      <c r="J547" s="12" t="s">
        <v>1262</v>
      </c>
      <c r="K547" s="12">
        <v>1</v>
      </c>
      <c r="L547" s="12">
        <v>50</v>
      </c>
      <c r="M547" s="12"/>
      <c r="N547" s="13">
        <v>1938</v>
      </c>
      <c r="O547" s="12" t="s">
        <v>93</v>
      </c>
      <c r="P547" s="12"/>
      <c r="Q547" s="12"/>
      <c r="R547" s="12" t="s">
        <v>94</v>
      </c>
      <c r="S547" s="12">
        <v>10</v>
      </c>
      <c r="T547" s="12" t="s">
        <v>1247</v>
      </c>
      <c r="U547" s="12" t="s">
        <v>1248</v>
      </c>
      <c r="V547" s="12">
        <f>VLOOKUP(Tabla4[[#This Row],[ZONA DEFINITIVO]],Hoja1!$A$1:$D$121,3,0)</f>
        <v>229107</v>
      </c>
      <c r="W547" s="12">
        <f>VLOOKUP(Tabla4[[#This Row],[ZONA DEFINITIVO]],Hoja1!$A$1:$D$121,2,0)</f>
        <v>15191</v>
      </c>
      <c r="X547" s="12">
        <f>VLOOKUP(Tabla4[[#This Row],[ZONA DEFINITIVO]],Hoja1!$A$1:$D$121,4,0)</f>
        <v>82625</v>
      </c>
      <c r="Y547" s="12" t="str">
        <f>+IF(Tabla4[[#This Row],[AGRUPACIONES]]=1,SUMIFS(Tabla4[UDS],Tabla4[ZONA DEFINITIVO],Tabla4[[#This Row],[ZONA DEFINITIVO]])," ")</f>
        <v xml:space="preserve"> </v>
      </c>
      <c r="Z547" s="12" t="str">
        <f>+IF(Tabla4[[#This Row],[AGRUPACIONES]]=1,SUMIFS(Tabla4[TOTAL COBERTURA],Tabla4[ZONA DEFINITIVO],Tabla4[[#This Row],[ZONA DEFINITIVO]])," ")</f>
        <v xml:space="preserve"> </v>
      </c>
      <c r="AA547" s="12"/>
      <c r="AB547" s="38">
        <v>112557550</v>
      </c>
      <c r="AC547" s="37">
        <v>0.02</v>
      </c>
      <c r="AD547" s="38">
        <f t="shared" si="9"/>
        <v>2251151</v>
      </c>
      <c r="AE547" s="12"/>
      <c r="AF547" s="12">
        <f>COUNTIF($A$20:A547,A547)</f>
        <v>8</v>
      </c>
      <c r="AG547" s="38">
        <v>112557550</v>
      </c>
      <c r="AH547" s="38">
        <f>Tabla4[[#This Row],[VALOR CONTRAPARTIDA]]+Tabla4[[#This Row],[TOTAL APORTES ICBF]]</f>
        <v>114808701</v>
      </c>
      <c r="AI547" s="35"/>
      <c r="AJ547" s="38"/>
      <c r="AK547" s="38"/>
      <c r="AL547" s="23"/>
      <c r="AM547" s="35">
        <f>VLOOKUP(Tabla4[[#This Row],[SERVICIO 2025]],$J$2:$V$14,5,0)*Tabla4[[#This Row],[TOTAL COBERTURA]]</f>
        <v>2573150</v>
      </c>
      <c r="AN547" s="35">
        <f>VLOOKUP(Tabla4[[#This Row],[SERVICIO 2025]],$J$2:$V$14,6,0)*Tabla4[[#This Row],[TOTAL COBERTURA]]</f>
        <v>2155800</v>
      </c>
      <c r="AO547" s="35">
        <f>VLOOKUP(Tabla4[[#This Row],[SERVICIO 2025]],$J$2:$V$14,8,0)*Tabla4[[#This Row],[TOTAL COBERTURA]]</f>
        <v>1455000</v>
      </c>
      <c r="AP547" s="35">
        <f>VLOOKUP(Tabla4[[#This Row],[SERVICIO 2025]],$J$2:$V$14,3,0)*Tabla4[[#This Row],[TOTAL COBERTURA]]*8</f>
        <v>106373600</v>
      </c>
      <c r="AQ547" s="35"/>
      <c r="AR547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547" s="35" t="str">
        <f>+IF(Tabla4[[#This Row],[AGRUPACIONES]]=1,SUMIFS(Tabla4[VALOR TOTAL],Tabla4[ZONA DEFINITIVO],Tabla4[[#This Row],[ZONA DEFINITIVO]])," ")</f>
        <v xml:space="preserve"> </v>
      </c>
      <c r="AT547" s="27">
        <f>(VLOOKUP(Tabla4[[#This Row],[SERVICIO 2025]],$J$2:$V$14,3,0)*Tabla4[[#This Row],[TOTAL COBERTURA]])+Tabla4[[#This Row],[VALOR FASE PREPARATORIA DE ALISTAMIENTO]]+Tabla4[[#This Row],[DOTACIÓN ÚNICA]]</f>
        <v>17324850</v>
      </c>
      <c r="AU547" s="35">
        <f>(VLOOKUP(Tabla4[[#This Row],[SERVICIO 2025]],$J$2:$V$14,3,0)*Tabla4[[#This Row],[TOTAL COBERTURA]])</f>
        <v>13296700</v>
      </c>
      <c r="AV547" s="35">
        <f>(VLOOKUP(Tabla4[[#This Row],[SERVICIO 2025]],$J$2:$V$14,3,0)*Tabla4[[#This Row],[TOTAL COBERTURA]])</f>
        <v>13296700</v>
      </c>
      <c r="AW547" s="35">
        <f>(VLOOKUP(Tabla4[[#This Row],[SERVICIO 2025]],$J$2:$V$14,3,0)*Tabla4[[#This Row],[TOTAL COBERTURA]])</f>
        <v>13296700</v>
      </c>
      <c r="AX547" s="35">
        <f>(VLOOKUP(Tabla4[[#This Row],[SERVICIO 2025]],$J$2:$V$14,3,0)*Tabla4[[#This Row],[TOTAL COBERTURA]])</f>
        <v>13296700</v>
      </c>
      <c r="AY547" s="35">
        <f>(VLOOKUP(Tabla4[[#This Row],[SERVICIO 2025]],$J$2:$V$14,3,0)*Tabla4[[#This Row],[TOTAL COBERTURA]])</f>
        <v>13296700</v>
      </c>
      <c r="AZ547" s="35">
        <f>(VLOOKUP(Tabla4[[#This Row],[SERVICIO 2025]],$J$2:$V$14,3,0)*Tabla4[[#This Row],[TOTAL COBERTURA]])</f>
        <v>13296700</v>
      </c>
      <c r="BA547" s="35">
        <f>(VLOOKUP(Tabla4[[#This Row],[SERVICIO 2025]],$J$2:$V$14,3,0)*Tabla4[[#This Row],[TOTAL COBERTURA]])+Tabla4[[#This Row],[VALOR FASE PREPARATORIA DE CIERRE]]</f>
        <v>15452500</v>
      </c>
      <c r="BB547" s="35">
        <f>SUM(Tabla4[[#This Row],[DESEMBOLSO 1]:[DESEMBOLSO 8]])</f>
        <v>112557550</v>
      </c>
      <c r="BC547" s="35">
        <f>VLOOKUP(Tabla4[[#This Row],[SERVICIO 2025]],$J$2:$V$14,10,0)*Tabla4[[#This Row],[TOTAL COBERTURA]]*$W$3</f>
        <v>72153200</v>
      </c>
      <c r="BD547" s="47" t="s">
        <v>211</v>
      </c>
      <c r="BE547" s="12" t="b">
        <f>EXACT(Tabla4[[#This Row],[VALOR ATENCIÓN (8 MESES)]],Tabla4[[#This Row],[VALOR TOTAL]])</f>
        <v>1</v>
      </c>
      <c r="BF547" s="23">
        <f>Tabla4[[#This Row],[VALOR ATENCIÓN (8 MESES)]]-Tabla4[[#This Row],[VALOR TOTAL]]</f>
        <v>0</v>
      </c>
      <c r="BG547" s="12" t="b">
        <f>EXACT(Tabla4[[#This Row],[TOTAL DESEMBOLSOS]],Tabla4[[#This Row],[VALOR ATENCIÓN (8 MESES)]])</f>
        <v>1</v>
      </c>
      <c r="BH547" s="29">
        <f>Tabla4[[#This Row],[TOTAL DESEMBOLSOS]]-Tabla4[[#This Row],[VALOR ATENCIÓN (8 MESES)]]</f>
        <v>0</v>
      </c>
      <c r="BI547" t="s">
        <v>98</v>
      </c>
      <c r="BJ547">
        <v>1938</v>
      </c>
    </row>
    <row r="548" spans="1:62">
      <c r="A548" s="13">
        <v>1938</v>
      </c>
      <c r="B548" s="13" t="s">
        <v>1244</v>
      </c>
      <c r="C548" s="12" t="s">
        <v>87</v>
      </c>
      <c r="D548" s="12" t="s">
        <v>462</v>
      </c>
      <c r="E548" s="12" t="s">
        <v>1172</v>
      </c>
      <c r="F548" s="12" t="s">
        <v>19</v>
      </c>
      <c r="G548" s="12" t="s">
        <v>90</v>
      </c>
      <c r="H548" s="12" t="s">
        <v>1263</v>
      </c>
      <c r="I548" s="12">
        <v>51721151879</v>
      </c>
      <c r="J548" s="12" t="s">
        <v>1264</v>
      </c>
      <c r="K548" s="12">
        <v>1</v>
      </c>
      <c r="L548" s="12">
        <v>64</v>
      </c>
      <c r="M548" s="12"/>
      <c r="N548" s="13">
        <v>1938</v>
      </c>
      <c r="O548" s="12" t="s">
        <v>93</v>
      </c>
      <c r="P548" s="12"/>
      <c r="Q548" s="12"/>
      <c r="R548" s="12" t="s">
        <v>94</v>
      </c>
      <c r="S548" s="12">
        <v>10</v>
      </c>
      <c r="T548" s="12" t="s">
        <v>1247</v>
      </c>
      <c r="U548" s="12" t="s">
        <v>1248</v>
      </c>
      <c r="V548" s="12">
        <f>VLOOKUP(Tabla4[[#This Row],[ZONA DEFINITIVO]],Hoja1!$A$1:$D$121,3,0)</f>
        <v>229107</v>
      </c>
      <c r="W548" s="12">
        <f>VLOOKUP(Tabla4[[#This Row],[ZONA DEFINITIVO]],Hoja1!$A$1:$D$121,2,0)</f>
        <v>15191</v>
      </c>
      <c r="X548" s="12">
        <f>VLOOKUP(Tabla4[[#This Row],[ZONA DEFINITIVO]],Hoja1!$A$1:$D$121,4,0)</f>
        <v>82625</v>
      </c>
      <c r="Y548" s="12" t="str">
        <f>+IF(Tabla4[[#This Row],[AGRUPACIONES]]=1,SUMIFS(Tabla4[UDS],Tabla4[ZONA DEFINITIVO],Tabla4[[#This Row],[ZONA DEFINITIVO]])," ")</f>
        <v xml:space="preserve"> </v>
      </c>
      <c r="Z548" s="12" t="str">
        <f>+IF(Tabla4[[#This Row],[AGRUPACIONES]]=1,SUMIFS(Tabla4[TOTAL COBERTURA],Tabla4[ZONA DEFINITIVO],Tabla4[[#This Row],[ZONA DEFINITIVO]])," ")</f>
        <v xml:space="preserve"> </v>
      </c>
      <c r="AA548" s="12"/>
      <c r="AB548" s="38">
        <v>144073664</v>
      </c>
      <c r="AC548" s="37">
        <v>0.02</v>
      </c>
      <c r="AD548" s="38">
        <f t="shared" si="9"/>
        <v>2881473.2800000003</v>
      </c>
      <c r="AE548" s="12"/>
      <c r="AF548" s="12">
        <f>COUNTIF($A$20:A548,A548)</f>
        <v>9</v>
      </c>
      <c r="AG548" s="38">
        <v>144073664</v>
      </c>
      <c r="AH548" s="38">
        <f>Tabla4[[#This Row],[VALOR CONTRAPARTIDA]]+Tabla4[[#This Row],[TOTAL APORTES ICBF]]</f>
        <v>146955137.28</v>
      </c>
      <c r="AI548" s="35"/>
      <c r="AJ548" s="38"/>
      <c r="AK548" s="38"/>
      <c r="AL548" s="23"/>
      <c r="AM548" s="35">
        <f>VLOOKUP(Tabla4[[#This Row],[SERVICIO 2025]],$J$2:$V$14,5,0)*Tabla4[[#This Row],[TOTAL COBERTURA]]</f>
        <v>3293632</v>
      </c>
      <c r="AN548" s="35">
        <f>VLOOKUP(Tabla4[[#This Row],[SERVICIO 2025]],$J$2:$V$14,6,0)*Tabla4[[#This Row],[TOTAL COBERTURA]]</f>
        <v>2759424</v>
      </c>
      <c r="AO548" s="35">
        <f>VLOOKUP(Tabla4[[#This Row],[SERVICIO 2025]],$J$2:$V$14,8,0)*Tabla4[[#This Row],[TOTAL COBERTURA]]</f>
        <v>1862400</v>
      </c>
      <c r="AP548" s="35">
        <f>VLOOKUP(Tabla4[[#This Row],[SERVICIO 2025]],$J$2:$V$14,3,0)*Tabla4[[#This Row],[TOTAL COBERTURA]]*8</f>
        <v>136158208</v>
      </c>
      <c r="AQ548" s="35"/>
      <c r="AR548" s="35">
        <f>Tabla4[[#This Row],[VALOR FASE PREPARATORIA DE ALISTAMIENTO]]+Tabla4[[#This Row],[VALOR FASE PREPARATORIA DE CIERRE]]+Tabla4[[#This Row],[DOTACIÓN ÚNICA]]+Tabla4[[#This Row],[VALOR ATENCIÓN]]+Tabla4[[#This Row],[VALOR RACION PREPARADA]]</f>
        <v>144073664</v>
      </c>
      <c r="AS548" s="35" t="str">
        <f>+IF(Tabla4[[#This Row],[AGRUPACIONES]]=1,SUMIFS(Tabla4[VALOR TOTAL],Tabla4[ZONA DEFINITIVO],Tabla4[[#This Row],[ZONA DEFINITIVO]])," ")</f>
        <v xml:space="preserve"> </v>
      </c>
      <c r="AT548" s="27">
        <f>(VLOOKUP(Tabla4[[#This Row],[SERVICIO 2025]],$J$2:$V$14,3,0)*Tabla4[[#This Row],[TOTAL COBERTURA]])+Tabla4[[#This Row],[VALOR FASE PREPARATORIA DE ALISTAMIENTO]]+Tabla4[[#This Row],[DOTACIÓN ÚNICA]]</f>
        <v>22175808</v>
      </c>
      <c r="AU548" s="35">
        <f>(VLOOKUP(Tabla4[[#This Row],[SERVICIO 2025]],$J$2:$V$14,3,0)*Tabla4[[#This Row],[TOTAL COBERTURA]])</f>
        <v>17019776</v>
      </c>
      <c r="AV548" s="35">
        <f>(VLOOKUP(Tabla4[[#This Row],[SERVICIO 2025]],$J$2:$V$14,3,0)*Tabla4[[#This Row],[TOTAL COBERTURA]])</f>
        <v>17019776</v>
      </c>
      <c r="AW548" s="35">
        <f>(VLOOKUP(Tabla4[[#This Row],[SERVICIO 2025]],$J$2:$V$14,3,0)*Tabla4[[#This Row],[TOTAL COBERTURA]])</f>
        <v>17019776</v>
      </c>
      <c r="AX548" s="35">
        <f>(VLOOKUP(Tabla4[[#This Row],[SERVICIO 2025]],$J$2:$V$14,3,0)*Tabla4[[#This Row],[TOTAL COBERTURA]])</f>
        <v>17019776</v>
      </c>
      <c r="AY548" s="35">
        <f>(VLOOKUP(Tabla4[[#This Row],[SERVICIO 2025]],$J$2:$V$14,3,0)*Tabla4[[#This Row],[TOTAL COBERTURA]])</f>
        <v>17019776</v>
      </c>
      <c r="AZ548" s="35">
        <f>(VLOOKUP(Tabla4[[#This Row],[SERVICIO 2025]],$J$2:$V$14,3,0)*Tabla4[[#This Row],[TOTAL COBERTURA]])</f>
        <v>17019776</v>
      </c>
      <c r="BA548" s="35">
        <f>(VLOOKUP(Tabla4[[#This Row],[SERVICIO 2025]],$J$2:$V$14,3,0)*Tabla4[[#This Row],[TOTAL COBERTURA]])+Tabla4[[#This Row],[VALOR FASE PREPARATORIA DE CIERRE]]</f>
        <v>19779200</v>
      </c>
      <c r="BB548" s="35">
        <f>SUM(Tabla4[[#This Row],[DESEMBOLSO 1]:[DESEMBOLSO 8]])</f>
        <v>144073664</v>
      </c>
      <c r="BC548" s="35">
        <f>VLOOKUP(Tabla4[[#This Row],[SERVICIO 2025]],$J$2:$V$14,10,0)*Tabla4[[#This Row],[TOTAL COBERTURA]]*$W$3</f>
        <v>92356096</v>
      </c>
      <c r="BD548" s="47" t="s">
        <v>211</v>
      </c>
      <c r="BE548" s="12" t="b">
        <f>EXACT(Tabla4[[#This Row],[VALOR ATENCIÓN (8 MESES)]],Tabla4[[#This Row],[VALOR TOTAL]])</f>
        <v>1</v>
      </c>
      <c r="BF548" s="23">
        <f>Tabla4[[#This Row],[VALOR ATENCIÓN (8 MESES)]]-Tabla4[[#This Row],[VALOR TOTAL]]</f>
        <v>0</v>
      </c>
      <c r="BG548" s="12" t="b">
        <f>EXACT(Tabla4[[#This Row],[TOTAL DESEMBOLSOS]],Tabla4[[#This Row],[VALOR ATENCIÓN (8 MESES)]])</f>
        <v>1</v>
      </c>
      <c r="BH548" s="29">
        <f>Tabla4[[#This Row],[TOTAL DESEMBOLSOS]]-Tabla4[[#This Row],[VALOR ATENCIÓN (8 MESES)]]</f>
        <v>0</v>
      </c>
      <c r="BI548" t="s">
        <v>98</v>
      </c>
      <c r="BJ548">
        <v>1938</v>
      </c>
    </row>
    <row r="549" spans="1:62">
      <c r="A549" s="13">
        <v>1938</v>
      </c>
      <c r="B549" s="13" t="s">
        <v>1244</v>
      </c>
      <c r="C549" s="12" t="s">
        <v>87</v>
      </c>
      <c r="D549" s="12" t="s">
        <v>462</v>
      </c>
      <c r="E549" s="12" t="s">
        <v>1172</v>
      </c>
      <c r="F549" s="12" t="s">
        <v>19</v>
      </c>
      <c r="G549" s="12" t="s">
        <v>90</v>
      </c>
      <c r="H549" s="12" t="s">
        <v>1265</v>
      </c>
      <c r="I549" s="12">
        <v>51721151880</v>
      </c>
      <c r="J549" s="12" t="s">
        <v>1266</v>
      </c>
      <c r="K549" s="12">
        <v>1</v>
      </c>
      <c r="L549" s="12">
        <v>40</v>
      </c>
      <c r="M549" s="12"/>
      <c r="N549" s="13">
        <v>1938</v>
      </c>
      <c r="O549" s="12" t="s">
        <v>93</v>
      </c>
      <c r="P549" s="12"/>
      <c r="Q549" s="12"/>
      <c r="R549" s="12" t="s">
        <v>94</v>
      </c>
      <c r="S549" s="12">
        <v>10</v>
      </c>
      <c r="T549" s="12" t="s">
        <v>1247</v>
      </c>
      <c r="U549" s="12" t="s">
        <v>1248</v>
      </c>
      <c r="V549" s="12">
        <f>VLOOKUP(Tabla4[[#This Row],[ZONA DEFINITIVO]],Hoja1!$A$1:$D$121,3,0)</f>
        <v>229107</v>
      </c>
      <c r="W549" s="12">
        <f>VLOOKUP(Tabla4[[#This Row],[ZONA DEFINITIVO]],Hoja1!$A$1:$D$121,2,0)</f>
        <v>15191</v>
      </c>
      <c r="X549" s="12">
        <f>VLOOKUP(Tabla4[[#This Row],[ZONA DEFINITIVO]],Hoja1!$A$1:$D$121,4,0)</f>
        <v>82625</v>
      </c>
      <c r="Y549" s="12" t="str">
        <f>+IF(Tabla4[[#This Row],[AGRUPACIONES]]=1,SUMIFS(Tabla4[UDS],Tabla4[ZONA DEFINITIVO],Tabla4[[#This Row],[ZONA DEFINITIVO]])," ")</f>
        <v xml:space="preserve"> </v>
      </c>
      <c r="Z549" s="12" t="str">
        <f>+IF(Tabla4[[#This Row],[AGRUPACIONES]]=1,SUMIFS(Tabla4[TOTAL COBERTURA],Tabla4[ZONA DEFINITIVO],Tabla4[[#This Row],[ZONA DEFINITIVO]])," ")</f>
        <v xml:space="preserve"> </v>
      </c>
      <c r="AA549" s="12"/>
      <c r="AB549" s="38">
        <v>90046040</v>
      </c>
      <c r="AC549" s="37">
        <v>0.02</v>
      </c>
      <c r="AD549" s="38">
        <f t="shared" si="9"/>
        <v>1800920.8</v>
      </c>
      <c r="AE549" s="12"/>
      <c r="AF549" s="12">
        <f>COUNTIF($A$20:A549,A549)</f>
        <v>10</v>
      </c>
      <c r="AG549" s="38">
        <v>90046040</v>
      </c>
      <c r="AH549" s="38">
        <f>Tabla4[[#This Row],[VALOR CONTRAPARTIDA]]+Tabla4[[#This Row],[TOTAL APORTES ICBF]]</f>
        <v>91846960.799999997</v>
      </c>
      <c r="AI549" s="35"/>
      <c r="AJ549" s="38"/>
      <c r="AK549" s="38"/>
      <c r="AL549" s="23"/>
      <c r="AM549" s="35">
        <f>VLOOKUP(Tabla4[[#This Row],[SERVICIO 2025]],$J$2:$V$14,5,0)*Tabla4[[#This Row],[TOTAL COBERTURA]]</f>
        <v>2058520</v>
      </c>
      <c r="AN549" s="35">
        <f>VLOOKUP(Tabla4[[#This Row],[SERVICIO 2025]],$J$2:$V$14,6,0)*Tabla4[[#This Row],[TOTAL COBERTURA]]</f>
        <v>1724640</v>
      </c>
      <c r="AO549" s="35">
        <f>VLOOKUP(Tabla4[[#This Row],[SERVICIO 2025]],$J$2:$V$14,8,0)*Tabla4[[#This Row],[TOTAL COBERTURA]]</f>
        <v>1164000</v>
      </c>
      <c r="AP549" s="35">
        <f>VLOOKUP(Tabla4[[#This Row],[SERVICIO 2025]],$J$2:$V$14,3,0)*Tabla4[[#This Row],[TOTAL COBERTURA]]*8</f>
        <v>85098880</v>
      </c>
      <c r="AQ549" s="35"/>
      <c r="AR549" s="35">
        <f>Tabla4[[#This Row],[VALOR FASE PREPARATORIA DE ALISTAMIENTO]]+Tabla4[[#This Row],[VALOR FASE PREPARATORIA DE CIERRE]]+Tabla4[[#This Row],[DOTACIÓN ÚNICA]]+Tabla4[[#This Row],[VALOR ATENCIÓN]]+Tabla4[[#This Row],[VALOR RACION PREPARADA]]</f>
        <v>90046040</v>
      </c>
      <c r="AS549" s="35" t="str">
        <f>+IF(Tabla4[[#This Row],[AGRUPACIONES]]=1,SUMIFS(Tabla4[VALOR TOTAL],Tabla4[ZONA DEFINITIVO],Tabla4[[#This Row],[ZONA DEFINITIVO]])," ")</f>
        <v xml:space="preserve"> </v>
      </c>
      <c r="AT549" s="27">
        <f>(VLOOKUP(Tabla4[[#This Row],[SERVICIO 2025]],$J$2:$V$14,3,0)*Tabla4[[#This Row],[TOTAL COBERTURA]])+Tabla4[[#This Row],[VALOR FASE PREPARATORIA DE ALISTAMIENTO]]+Tabla4[[#This Row],[DOTACIÓN ÚNICA]]</f>
        <v>13859880</v>
      </c>
      <c r="AU549" s="35">
        <f>(VLOOKUP(Tabla4[[#This Row],[SERVICIO 2025]],$J$2:$V$14,3,0)*Tabla4[[#This Row],[TOTAL COBERTURA]])</f>
        <v>10637360</v>
      </c>
      <c r="AV549" s="35">
        <f>(VLOOKUP(Tabla4[[#This Row],[SERVICIO 2025]],$J$2:$V$14,3,0)*Tabla4[[#This Row],[TOTAL COBERTURA]])</f>
        <v>10637360</v>
      </c>
      <c r="AW549" s="35">
        <f>(VLOOKUP(Tabla4[[#This Row],[SERVICIO 2025]],$J$2:$V$14,3,0)*Tabla4[[#This Row],[TOTAL COBERTURA]])</f>
        <v>10637360</v>
      </c>
      <c r="AX549" s="35">
        <f>(VLOOKUP(Tabla4[[#This Row],[SERVICIO 2025]],$J$2:$V$14,3,0)*Tabla4[[#This Row],[TOTAL COBERTURA]])</f>
        <v>10637360</v>
      </c>
      <c r="AY549" s="35">
        <f>(VLOOKUP(Tabla4[[#This Row],[SERVICIO 2025]],$J$2:$V$14,3,0)*Tabla4[[#This Row],[TOTAL COBERTURA]])</f>
        <v>10637360</v>
      </c>
      <c r="AZ549" s="35">
        <f>(VLOOKUP(Tabla4[[#This Row],[SERVICIO 2025]],$J$2:$V$14,3,0)*Tabla4[[#This Row],[TOTAL COBERTURA]])</f>
        <v>10637360</v>
      </c>
      <c r="BA549" s="35">
        <f>(VLOOKUP(Tabla4[[#This Row],[SERVICIO 2025]],$J$2:$V$14,3,0)*Tabla4[[#This Row],[TOTAL COBERTURA]])+Tabla4[[#This Row],[VALOR FASE PREPARATORIA DE CIERRE]]</f>
        <v>12362000</v>
      </c>
      <c r="BB549" s="35">
        <f>SUM(Tabla4[[#This Row],[DESEMBOLSO 1]:[DESEMBOLSO 8]])</f>
        <v>90046040</v>
      </c>
      <c r="BC549" s="35">
        <f>VLOOKUP(Tabla4[[#This Row],[SERVICIO 2025]],$J$2:$V$14,10,0)*Tabla4[[#This Row],[TOTAL COBERTURA]]*$W$3</f>
        <v>57722560</v>
      </c>
      <c r="BD549" s="47" t="s">
        <v>211</v>
      </c>
      <c r="BE549" s="12" t="b">
        <f>EXACT(Tabla4[[#This Row],[VALOR ATENCIÓN (8 MESES)]],Tabla4[[#This Row],[VALOR TOTAL]])</f>
        <v>1</v>
      </c>
      <c r="BF549" s="23">
        <f>Tabla4[[#This Row],[VALOR ATENCIÓN (8 MESES)]]-Tabla4[[#This Row],[VALOR TOTAL]]</f>
        <v>0</v>
      </c>
      <c r="BG549" s="12" t="b">
        <f>EXACT(Tabla4[[#This Row],[TOTAL DESEMBOLSOS]],Tabla4[[#This Row],[VALOR ATENCIÓN (8 MESES)]])</f>
        <v>1</v>
      </c>
      <c r="BH549" s="29">
        <f>Tabla4[[#This Row],[TOTAL DESEMBOLSOS]]-Tabla4[[#This Row],[VALOR ATENCIÓN (8 MESES)]]</f>
        <v>0</v>
      </c>
      <c r="BI549" t="s">
        <v>98</v>
      </c>
      <c r="BJ549">
        <v>1938</v>
      </c>
    </row>
    <row r="550" spans="1:62">
      <c r="A550" s="13">
        <v>1938</v>
      </c>
      <c r="B550" s="13" t="s">
        <v>1244</v>
      </c>
      <c r="C550" s="12" t="s">
        <v>87</v>
      </c>
      <c r="D550" s="12" t="s">
        <v>462</v>
      </c>
      <c r="E550" s="12" t="s">
        <v>1172</v>
      </c>
      <c r="F550" s="12" t="s">
        <v>19</v>
      </c>
      <c r="G550" s="12" t="s">
        <v>90</v>
      </c>
      <c r="H550" s="12" t="s">
        <v>1267</v>
      </c>
      <c r="I550" s="12">
        <v>51721151881</v>
      </c>
      <c r="J550" s="12" t="s">
        <v>1268</v>
      </c>
      <c r="K550" s="12">
        <v>1</v>
      </c>
      <c r="L550" s="12">
        <v>21</v>
      </c>
      <c r="M550" s="12"/>
      <c r="N550" s="13">
        <v>1938</v>
      </c>
      <c r="O550" s="12" t="s">
        <v>93</v>
      </c>
      <c r="P550" s="12"/>
      <c r="Q550" s="12"/>
      <c r="R550" s="12" t="s">
        <v>94</v>
      </c>
      <c r="S550" s="12">
        <v>10</v>
      </c>
      <c r="T550" s="12" t="s">
        <v>1247</v>
      </c>
      <c r="U550" s="12" t="s">
        <v>1248</v>
      </c>
      <c r="V550" s="12">
        <f>VLOOKUP(Tabla4[[#This Row],[ZONA DEFINITIVO]],Hoja1!$A$1:$D$121,3,0)</f>
        <v>229107</v>
      </c>
      <c r="W550" s="12">
        <f>VLOOKUP(Tabla4[[#This Row],[ZONA DEFINITIVO]],Hoja1!$A$1:$D$121,2,0)</f>
        <v>15191</v>
      </c>
      <c r="X550" s="12">
        <f>VLOOKUP(Tabla4[[#This Row],[ZONA DEFINITIVO]],Hoja1!$A$1:$D$121,4,0)</f>
        <v>82625</v>
      </c>
      <c r="Y550" s="12" t="str">
        <f>+IF(Tabla4[[#This Row],[AGRUPACIONES]]=1,SUMIFS(Tabla4[UDS],Tabla4[ZONA DEFINITIVO],Tabla4[[#This Row],[ZONA DEFINITIVO]])," ")</f>
        <v xml:space="preserve"> </v>
      </c>
      <c r="Z550" s="12" t="str">
        <f>+IF(Tabla4[[#This Row],[AGRUPACIONES]]=1,SUMIFS(Tabla4[TOTAL COBERTURA],Tabla4[ZONA DEFINITIVO],Tabla4[[#This Row],[ZONA DEFINITIVO]])," ")</f>
        <v xml:space="preserve"> </v>
      </c>
      <c r="AA550" s="12"/>
      <c r="AB550" s="38">
        <v>47274171</v>
      </c>
      <c r="AC550" s="37">
        <v>0.02</v>
      </c>
      <c r="AD550" s="38">
        <f t="shared" si="9"/>
        <v>945483.42</v>
      </c>
      <c r="AE550" s="12"/>
      <c r="AF550" s="12">
        <f>COUNTIF($A$20:A550,A550)</f>
        <v>11</v>
      </c>
      <c r="AG550" s="38">
        <v>47274171</v>
      </c>
      <c r="AH550" s="38">
        <f>Tabla4[[#This Row],[VALOR CONTRAPARTIDA]]+Tabla4[[#This Row],[TOTAL APORTES ICBF]]</f>
        <v>48219654.420000002</v>
      </c>
      <c r="AI550" s="35"/>
      <c r="AJ550" s="38"/>
      <c r="AK550" s="38"/>
      <c r="AL550" s="23"/>
      <c r="AM550" s="35">
        <f>VLOOKUP(Tabla4[[#This Row],[SERVICIO 2025]],$J$2:$V$14,5,0)*Tabla4[[#This Row],[TOTAL COBERTURA]]</f>
        <v>1080723</v>
      </c>
      <c r="AN550" s="35">
        <f>VLOOKUP(Tabla4[[#This Row],[SERVICIO 2025]],$J$2:$V$14,6,0)*Tabla4[[#This Row],[TOTAL COBERTURA]]</f>
        <v>905436</v>
      </c>
      <c r="AO550" s="35">
        <f>VLOOKUP(Tabla4[[#This Row],[SERVICIO 2025]],$J$2:$V$14,8,0)*Tabla4[[#This Row],[TOTAL COBERTURA]]</f>
        <v>611100</v>
      </c>
      <c r="AP550" s="35">
        <f>VLOOKUP(Tabla4[[#This Row],[SERVICIO 2025]],$J$2:$V$14,3,0)*Tabla4[[#This Row],[TOTAL COBERTURA]]*8</f>
        <v>44676912</v>
      </c>
      <c r="AQ550" s="35"/>
      <c r="AR550" s="35">
        <f>Tabla4[[#This Row],[VALOR FASE PREPARATORIA DE ALISTAMIENTO]]+Tabla4[[#This Row],[VALOR FASE PREPARATORIA DE CIERRE]]+Tabla4[[#This Row],[DOTACIÓN ÚNICA]]+Tabla4[[#This Row],[VALOR ATENCIÓN]]+Tabla4[[#This Row],[VALOR RACION PREPARADA]]</f>
        <v>47274171</v>
      </c>
      <c r="AS550" s="35" t="str">
        <f>+IF(Tabla4[[#This Row],[AGRUPACIONES]]=1,SUMIFS(Tabla4[VALOR TOTAL],Tabla4[ZONA DEFINITIVO],Tabla4[[#This Row],[ZONA DEFINITIVO]])," ")</f>
        <v xml:space="preserve"> </v>
      </c>
      <c r="AT550" s="27">
        <f>(VLOOKUP(Tabla4[[#This Row],[SERVICIO 2025]],$J$2:$V$14,3,0)*Tabla4[[#This Row],[TOTAL COBERTURA]])+Tabla4[[#This Row],[VALOR FASE PREPARATORIA DE ALISTAMIENTO]]+Tabla4[[#This Row],[DOTACIÓN ÚNICA]]</f>
        <v>7276437</v>
      </c>
      <c r="AU550" s="35">
        <f>(VLOOKUP(Tabla4[[#This Row],[SERVICIO 2025]],$J$2:$V$14,3,0)*Tabla4[[#This Row],[TOTAL COBERTURA]])</f>
        <v>5584614</v>
      </c>
      <c r="AV550" s="35">
        <f>(VLOOKUP(Tabla4[[#This Row],[SERVICIO 2025]],$J$2:$V$14,3,0)*Tabla4[[#This Row],[TOTAL COBERTURA]])</f>
        <v>5584614</v>
      </c>
      <c r="AW550" s="35">
        <f>(VLOOKUP(Tabla4[[#This Row],[SERVICIO 2025]],$J$2:$V$14,3,0)*Tabla4[[#This Row],[TOTAL COBERTURA]])</f>
        <v>5584614</v>
      </c>
      <c r="AX550" s="35">
        <f>(VLOOKUP(Tabla4[[#This Row],[SERVICIO 2025]],$J$2:$V$14,3,0)*Tabla4[[#This Row],[TOTAL COBERTURA]])</f>
        <v>5584614</v>
      </c>
      <c r="AY550" s="35">
        <f>(VLOOKUP(Tabla4[[#This Row],[SERVICIO 2025]],$J$2:$V$14,3,0)*Tabla4[[#This Row],[TOTAL COBERTURA]])</f>
        <v>5584614</v>
      </c>
      <c r="AZ550" s="35">
        <f>(VLOOKUP(Tabla4[[#This Row],[SERVICIO 2025]],$J$2:$V$14,3,0)*Tabla4[[#This Row],[TOTAL COBERTURA]])</f>
        <v>5584614</v>
      </c>
      <c r="BA550" s="35">
        <f>(VLOOKUP(Tabla4[[#This Row],[SERVICIO 2025]],$J$2:$V$14,3,0)*Tabla4[[#This Row],[TOTAL COBERTURA]])+Tabla4[[#This Row],[VALOR FASE PREPARATORIA DE CIERRE]]</f>
        <v>6490050</v>
      </c>
      <c r="BB550" s="35">
        <f>SUM(Tabla4[[#This Row],[DESEMBOLSO 1]:[DESEMBOLSO 8]])</f>
        <v>47274171</v>
      </c>
      <c r="BC550" s="35">
        <f>VLOOKUP(Tabla4[[#This Row],[SERVICIO 2025]],$J$2:$V$14,10,0)*Tabla4[[#This Row],[TOTAL COBERTURA]]*$W$3</f>
        <v>30304344</v>
      </c>
      <c r="BD550" s="47" t="s">
        <v>211</v>
      </c>
      <c r="BE550" s="12" t="b">
        <f>EXACT(Tabla4[[#This Row],[VALOR ATENCIÓN (8 MESES)]],Tabla4[[#This Row],[VALOR TOTAL]])</f>
        <v>1</v>
      </c>
      <c r="BF550" s="23">
        <f>Tabla4[[#This Row],[VALOR ATENCIÓN (8 MESES)]]-Tabla4[[#This Row],[VALOR TOTAL]]</f>
        <v>0</v>
      </c>
      <c r="BG550" s="12" t="b">
        <f>EXACT(Tabla4[[#This Row],[TOTAL DESEMBOLSOS]],Tabla4[[#This Row],[VALOR ATENCIÓN (8 MESES)]])</f>
        <v>1</v>
      </c>
      <c r="BH550" s="29">
        <f>Tabla4[[#This Row],[TOTAL DESEMBOLSOS]]-Tabla4[[#This Row],[VALOR ATENCIÓN (8 MESES)]]</f>
        <v>0</v>
      </c>
      <c r="BI550" t="s">
        <v>98</v>
      </c>
      <c r="BJ550">
        <v>1938</v>
      </c>
    </row>
    <row r="551" spans="1:62">
      <c r="A551" s="13">
        <v>1938</v>
      </c>
      <c r="B551" s="13" t="s">
        <v>1244</v>
      </c>
      <c r="C551" s="12" t="s">
        <v>87</v>
      </c>
      <c r="D551" s="12" t="s">
        <v>462</v>
      </c>
      <c r="E551" s="12" t="s">
        <v>1172</v>
      </c>
      <c r="F551" s="12" t="s">
        <v>19</v>
      </c>
      <c r="G551" s="12" t="s">
        <v>90</v>
      </c>
      <c r="H551" s="12" t="s">
        <v>1261</v>
      </c>
      <c r="I551" s="12">
        <v>51721151882</v>
      </c>
      <c r="J551" s="12" t="s">
        <v>1269</v>
      </c>
      <c r="K551" s="12">
        <v>1</v>
      </c>
      <c r="L551" s="12">
        <v>27</v>
      </c>
      <c r="M551" s="12"/>
      <c r="N551" s="13">
        <v>1938</v>
      </c>
      <c r="O551" s="12" t="s">
        <v>93</v>
      </c>
      <c r="P551" s="12"/>
      <c r="Q551" s="12"/>
      <c r="R551" s="12" t="s">
        <v>94</v>
      </c>
      <c r="S551" s="12">
        <v>10</v>
      </c>
      <c r="T551" s="12" t="s">
        <v>1247</v>
      </c>
      <c r="U551" s="12" t="s">
        <v>1248</v>
      </c>
      <c r="V551" s="12">
        <f>VLOOKUP(Tabla4[[#This Row],[ZONA DEFINITIVO]],Hoja1!$A$1:$D$121,3,0)</f>
        <v>229107</v>
      </c>
      <c r="W551" s="12">
        <f>VLOOKUP(Tabla4[[#This Row],[ZONA DEFINITIVO]],Hoja1!$A$1:$D$121,2,0)</f>
        <v>15191</v>
      </c>
      <c r="X551" s="12">
        <f>VLOOKUP(Tabla4[[#This Row],[ZONA DEFINITIVO]],Hoja1!$A$1:$D$121,4,0)</f>
        <v>82625</v>
      </c>
      <c r="Y551" s="12" t="str">
        <f>+IF(Tabla4[[#This Row],[AGRUPACIONES]]=1,SUMIFS(Tabla4[UDS],Tabla4[ZONA DEFINITIVO],Tabla4[[#This Row],[ZONA DEFINITIVO]])," ")</f>
        <v xml:space="preserve"> </v>
      </c>
      <c r="Z551" s="12" t="str">
        <f>+IF(Tabla4[[#This Row],[AGRUPACIONES]]=1,SUMIFS(Tabla4[TOTAL COBERTURA],Tabla4[ZONA DEFINITIVO],Tabla4[[#This Row],[ZONA DEFINITIVO]])," ")</f>
        <v xml:space="preserve"> </v>
      </c>
      <c r="AA551" s="12"/>
      <c r="AB551" s="38">
        <v>60781077</v>
      </c>
      <c r="AC551" s="37">
        <v>0.02</v>
      </c>
      <c r="AD551" s="38">
        <f t="shared" si="9"/>
        <v>1215621.54</v>
      </c>
      <c r="AE551" s="12"/>
      <c r="AF551" s="12">
        <f>COUNTIF($A$20:A551,A551)</f>
        <v>12</v>
      </c>
      <c r="AG551" s="38">
        <v>60781077</v>
      </c>
      <c r="AH551" s="38">
        <f>Tabla4[[#This Row],[VALOR CONTRAPARTIDA]]+Tabla4[[#This Row],[TOTAL APORTES ICBF]]</f>
        <v>61996698.539999999</v>
      </c>
      <c r="AI551" s="35"/>
      <c r="AJ551" s="38"/>
      <c r="AK551" s="38"/>
      <c r="AL551" s="23"/>
      <c r="AM551" s="35">
        <f>VLOOKUP(Tabla4[[#This Row],[SERVICIO 2025]],$J$2:$V$14,5,0)*Tabla4[[#This Row],[TOTAL COBERTURA]]</f>
        <v>1389501</v>
      </c>
      <c r="AN551" s="35">
        <f>VLOOKUP(Tabla4[[#This Row],[SERVICIO 2025]],$J$2:$V$14,6,0)*Tabla4[[#This Row],[TOTAL COBERTURA]]</f>
        <v>1164132</v>
      </c>
      <c r="AO551" s="35">
        <f>VLOOKUP(Tabla4[[#This Row],[SERVICIO 2025]],$J$2:$V$14,8,0)*Tabla4[[#This Row],[TOTAL COBERTURA]]</f>
        <v>785700</v>
      </c>
      <c r="AP551" s="35">
        <f>VLOOKUP(Tabla4[[#This Row],[SERVICIO 2025]],$J$2:$V$14,3,0)*Tabla4[[#This Row],[TOTAL COBERTURA]]*8</f>
        <v>57441744</v>
      </c>
      <c r="AQ551" s="35"/>
      <c r="AR551" s="35">
        <f>Tabla4[[#This Row],[VALOR FASE PREPARATORIA DE ALISTAMIENTO]]+Tabla4[[#This Row],[VALOR FASE PREPARATORIA DE CIERRE]]+Tabla4[[#This Row],[DOTACIÓN ÚNICA]]+Tabla4[[#This Row],[VALOR ATENCIÓN]]+Tabla4[[#This Row],[VALOR RACION PREPARADA]]</f>
        <v>60781077</v>
      </c>
      <c r="AS551" s="35" t="str">
        <f>+IF(Tabla4[[#This Row],[AGRUPACIONES]]=1,SUMIFS(Tabla4[VALOR TOTAL],Tabla4[ZONA DEFINITIVO],Tabla4[[#This Row],[ZONA DEFINITIVO]])," ")</f>
        <v xml:space="preserve"> </v>
      </c>
      <c r="AT551" s="27">
        <f>(VLOOKUP(Tabla4[[#This Row],[SERVICIO 2025]],$J$2:$V$14,3,0)*Tabla4[[#This Row],[TOTAL COBERTURA]])+Tabla4[[#This Row],[VALOR FASE PREPARATORIA DE ALISTAMIENTO]]+Tabla4[[#This Row],[DOTACIÓN ÚNICA]]</f>
        <v>9355419</v>
      </c>
      <c r="AU551" s="35">
        <f>(VLOOKUP(Tabla4[[#This Row],[SERVICIO 2025]],$J$2:$V$14,3,0)*Tabla4[[#This Row],[TOTAL COBERTURA]])</f>
        <v>7180218</v>
      </c>
      <c r="AV551" s="35">
        <f>(VLOOKUP(Tabla4[[#This Row],[SERVICIO 2025]],$J$2:$V$14,3,0)*Tabla4[[#This Row],[TOTAL COBERTURA]])</f>
        <v>7180218</v>
      </c>
      <c r="AW551" s="35">
        <f>(VLOOKUP(Tabla4[[#This Row],[SERVICIO 2025]],$J$2:$V$14,3,0)*Tabla4[[#This Row],[TOTAL COBERTURA]])</f>
        <v>7180218</v>
      </c>
      <c r="AX551" s="35">
        <f>(VLOOKUP(Tabla4[[#This Row],[SERVICIO 2025]],$J$2:$V$14,3,0)*Tabla4[[#This Row],[TOTAL COBERTURA]])</f>
        <v>7180218</v>
      </c>
      <c r="AY551" s="35">
        <f>(VLOOKUP(Tabla4[[#This Row],[SERVICIO 2025]],$J$2:$V$14,3,0)*Tabla4[[#This Row],[TOTAL COBERTURA]])</f>
        <v>7180218</v>
      </c>
      <c r="AZ551" s="35">
        <f>(VLOOKUP(Tabla4[[#This Row],[SERVICIO 2025]],$J$2:$V$14,3,0)*Tabla4[[#This Row],[TOTAL COBERTURA]])</f>
        <v>7180218</v>
      </c>
      <c r="BA551" s="35">
        <f>(VLOOKUP(Tabla4[[#This Row],[SERVICIO 2025]],$J$2:$V$14,3,0)*Tabla4[[#This Row],[TOTAL COBERTURA]])+Tabla4[[#This Row],[VALOR FASE PREPARATORIA DE CIERRE]]</f>
        <v>8344350</v>
      </c>
      <c r="BB551" s="35">
        <f>SUM(Tabla4[[#This Row],[DESEMBOLSO 1]:[DESEMBOLSO 8]])</f>
        <v>60781077</v>
      </c>
      <c r="BC551" s="35">
        <f>VLOOKUP(Tabla4[[#This Row],[SERVICIO 2025]],$J$2:$V$14,10,0)*Tabla4[[#This Row],[TOTAL COBERTURA]]*$W$3</f>
        <v>38962728</v>
      </c>
      <c r="BD551" s="47" t="s">
        <v>211</v>
      </c>
      <c r="BE551" s="12" t="b">
        <f>EXACT(Tabla4[[#This Row],[VALOR ATENCIÓN (8 MESES)]],Tabla4[[#This Row],[VALOR TOTAL]])</f>
        <v>1</v>
      </c>
      <c r="BF551" s="23">
        <f>Tabla4[[#This Row],[VALOR ATENCIÓN (8 MESES)]]-Tabla4[[#This Row],[VALOR TOTAL]]</f>
        <v>0</v>
      </c>
      <c r="BG551" s="12" t="b">
        <f>EXACT(Tabla4[[#This Row],[TOTAL DESEMBOLSOS]],Tabla4[[#This Row],[VALOR ATENCIÓN (8 MESES)]])</f>
        <v>1</v>
      </c>
      <c r="BH551" s="29">
        <f>Tabla4[[#This Row],[TOTAL DESEMBOLSOS]]-Tabla4[[#This Row],[VALOR ATENCIÓN (8 MESES)]]</f>
        <v>0</v>
      </c>
      <c r="BI551" t="s">
        <v>98</v>
      </c>
      <c r="BJ551">
        <v>1938</v>
      </c>
    </row>
    <row r="552" spans="1:62">
      <c r="A552" s="13">
        <v>1938</v>
      </c>
      <c r="B552" s="13" t="s">
        <v>1244</v>
      </c>
      <c r="C552" s="12" t="s">
        <v>87</v>
      </c>
      <c r="D552" s="12" t="s">
        <v>462</v>
      </c>
      <c r="E552" s="12" t="s">
        <v>1172</v>
      </c>
      <c r="F552" s="12" t="s">
        <v>19</v>
      </c>
      <c r="G552" s="12" t="s">
        <v>90</v>
      </c>
      <c r="H552" s="12" t="s">
        <v>1187</v>
      </c>
      <c r="I552" s="12">
        <v>517200115623</v>
      </c>
      <c r="J552" s="12" t="s">
        <v>1270</v>
      </c>
      <c r="K552" s="12">
        <v>1</v>
      </c>
      <c r="L552" s="12">
        <v>52</v>
      </c>
      <c r="M552" s="12"/>
      <c r="N552" s="13">
        <v>1938</v>
      </c>
      <c r="O552" s="12" t="s">
        <v>93</v>
      </c>
      <c r="P552" s="12"/>
      <c r="Q552" s="12"/>
      <c r="R552" s="12" t="s">
        <v>94</v>
      </c>
      <c r="S552" s="12">
        <v>10</v>
      </c>
      <c r="T552" s="12" t="s">
        <v>1247</v>
      </c>
      <c r="U552" s="12" t="s">
        <v>1248</v>
      </c>
      <c r="V552" s="12">
        <f>VLOOKUP(Tabla4[[#This Row],[ZONA DEFINITIVO]],Hoja1!$A$1:$D$121,3,0)</f>
        <v>229107</v>
      </c>
      <c r="W552" s="12">
        <f>VLOOKUP(Tabla4[[#This Row],[ZONA DEFINITIVO]],Hoja1!$A$1:$D$121,2,0)</f>
        <v>15191</v>
      </c>
      <c r="X552" s="12">
        <f>VLOOKUP(Tabla4[[#This Row],[ZONA DEFINITIVO]],Hoja1!$A$1:$D$121,4,0)</f>
        <v>82625</v>
      </c>
      <c r="Y552" s="12" t="str">
        <f>+IF(Tabla4[[#This Row],[AGRUPACIONES]]=1,SUMIFS(Tabla4[UDS],Tabla4[ZONA DEFINITIVO],Tabla4[[#This Row],[ZONA DEFINITIVO]])," ")</f>
        <v xml:space="preserve"> </v>
      </c>
      <c r="Z552" s="12" t="str">
        <f>+IF(Tabla4[[#This Row],[AGRUPACIONES]]=1,SUMIFS(Tabla4[TOTAL COBERTURA],Tabla4[ZONA DEFINITIVO],Tabla4[[#This Row],[ZONA DEFINITIVO]])," ")</f>
        <v xml:space="preserve"> </v>
      </c>
      <c r="AA552" s="12"/>
      <c r="AB552" s="38">
        <v>117059852</v>
      </c>
      <c r="AC552" s="37">
        <v>0.02</v>
      </c>
      <c r="AD552" s="38">
        <f t="shared" si="9"/>
        <v>2341197.04</v>
      </c>
      <c r="AE552" s="12"/>
      <c r="AF552" s="12">
        <f>COUNTIF($A$20:A552,A552)</f>
        <v>13</v>
      </c>
      <c r="AG552" s="38">
        <v>117059852</v>
      </c>
      <c r="AH552" s="38">
        <f>Tabla4[[#This Row],[VALOR CONTRAPARTIDA]]+Tabla4[[#This Row],[TOTAL APORTES ICBF]]</f>
        <v>119401049.04000001</v>
      </c>
      <c r="AI552" s="35"/>
      <c r="AJ552" s="38"/>
      <c r="AK552" s="38"/>
      <c r="AL552" s="23"/>
      <c r="AM552" s="35">
        <f>VLOOKUP(Tabla4[[#This Row],[SERVICIO 2025]],$J$2:$V$14,5,0)*Tabla4[[#This Row],[TOTAL COBERTURA]]</f>
        <v>2676076</v>
      </c>
      <c r="AN552" s="35">
        <f>VLOOKUP(Tabla4[[#This Row],[SERVICIO 2025]],$J$2:$V$14,6,0)*Tabla4[[#This Row],[TOTAL COBERTURA]]</f>
        <v>2242032</v>
      </c>
      <c r="AO552" s="35">
        <f>VLOOKUP(Tabla4[[#This Row],[SERVICIO 2025]],$J$2:$V$14,8,0)*Tabla4[[#This Row],[TOTAL COBERTURA]]</f>
        <v>1513200</v>
      </c>
      <c r="AP552" s="35">
        <f>VLOOKUP(Tabla4[[#This Row],[SERVICIO 2025]],$J$2:$V$14,3,0)*Tabla4[[#This Row],[TOTAL COBERTURA]]*8</f>
        <v>110628544</v>
      </c>
      <c r="AQ552" s="35"/>
      <c r="AR552" s="35">
        <f>Tabla4[[#This Row],[VALOR FASE PREPARATORIA DE ALISTAMIENTO]]+Tabla4[[#This Row],[VALOR FASE PREPARATORIA DE CIERRE]]+Tabla4[[#This Row],[DOTACIÓN ÚNICA]]+Tabla4[[#This Row],[VALOR ATENCIÓN]]+Tabla4[[#This Row],[VALOR RACION PREPARADA]]</f>
        <v>117059852</v>
      </c>
      <c r="AS552" s="35" t="str">
        <f>+IF(Tabla4[[#This Row],[AGRUPACIONES]]=1,SUMIFS(Tabla4[VALOR TOTAL],Tabla4[ZONA DEFINITIVO],Tabla4[[#This Row],[ZONA DEFINITIVO]])," ")</f>
        <v xml:space="preserve"> </v>
      </c>
      <c r="AT552" s="27">
        <f>(VLOOKUP(Tabla4[[#This Row],[SERVICIO 2025]],$J$2:$V$14,3,0)*Tabla4[[#This Row],[TOTAL COBERTURA]])+Tabla4[[#This Row],[VALOR FASE PREPARATORIA DE ALISTAMIENTO]]+Tabla4[[#This Row],[DOTACIÓN ÚNICA]]</f>
        <v>18017844</v>
      </c>
      <c r="AU552" s="35">
        <f>(VLOOKUP(Tabla4[[#This Row],[SERVICIO 2025]],$J$2:$V$14,3,0)*Tabla4[[#This Row],[TOTAL COBERTURA]])</f>
        <v>13828568</v>
      </c>
      <c r="AV552" s="35">
        <f>(VLOOKUP(Tabla4[[#This Row],[SERVICIO 2025]],$J$2:$V$14,3,0)*Tabla4[[#This Row],[TOTAL COBERTURA]])</f>
        <v>13828568</v>
      </c>
      <c r="AW552" s="35">
        <f>(VLOOKUP(Tabla4[[#This Row],[SERVICIO 2025]],$J$2:$V$14,3,0)*Tabla4[[#This Row],[TOTAL COBERTURA]])</f>
        <v>13828568</v>
      </c>
      <c r="AX552" s="35">
        <f>(VLOOKUP(Tabla4[[#This Row],[SERVICIO 2025]],$J$2:$V$14,3,0)*Tabla4[[#This Row],[TOTAL COBERTURA]])</f>
        <v>13828568</v>
      </c>
      <c r="AY552" s="35">
        <f>(VLOOKUP(Tabla4[[#This Row],[SERVICIO 2025]],$J$2:$V$14,3,0)*Tabla4[[#This Row],[TOTAL COBERTURA]])</f>
        <v>13828568</v>
      </c>
      <c r="AZ552" s="35">
        <f>(VLOOKUP(Tabla4[[#This Row],[SERVICIO 2025]],$J$2:$V$14,3,0)*Tabla4[[#This Row],[TOTAL COBERTURA]])</f>
        <v>13828568</v>
      </c>
      <c r="BA552" s="35">
        <f>(VLOOKUP(Tabla4[[#This Row],[SERVICIO 2025]],$J$2:$V$14,3,0)*Tabla4[[#This Row],[TOTAL COBERTURA]])+Tabla4[[#This Row],[VALOR FASE PREPARATORIA DE CIERRE]]</f>
        <v>16070600</v>
      </c>
      <c r="BB552" s="35">
        <f>SUM(Tabla4[[#This Row],[DESEMBOLSO 1]:[DESEMBOLSO 8]])</f>
        <v>117059852</v>
      </c>
      <c r="BC552" s="35">
        <f>VLOOKUP(Tabla4[[#This Row],[SERVICIO 2025]],$J$2:$V$14,10,0)*Tabla4[[#This Row],[TOTAL COBERTURA]]*$W$3</f>
        <v>75039328</v>
      </c>
      <c r="BD552" s="47" t="s">
        <v>211</v>
      </c>
      <c r="BE552" s="12" t="b">
        <f>EXACT(Tabla4[[#This Row],[VALOR ATENCIÓN (8 MESES)]],Tabla4[[#This Row],[VALOR TOTAL]])</f>
        <v>1</v>
      </c>
      <c r="BF552" s="23">
        <f>Tabla4[[#This Row],[VALOR ATENCIÓN (8 MESES)]]-Tabla4[[#This Row],[VALOR TOTAL]]</f>
        <v>0</v>
      </c>
      <c r="BG552" s="12" t="b">
        <f>EXACT(Tabla4[[#This Row],[TOTAL DESEMBOLSOS]],Tabla4[[#This Row],[VALOR ATENCIÓN (8 MESES)]])</f>
        <v>1</v>
      </c>
      <c r="BH552" s="29">
        <f>Tabla4[[#This Row],[TOTAL DESEMBOLSOS]]-Tabla4[[#This Row],[VALOR ATENCIÓN (8 MESES)]]</f>
        <v>0</v>
      </c>
      <c r="BI552" t="s">
        <v>98</v>
      </c>
      <c r="BJ552">
        <v>1938</v>
      </c>
    </row>
    <row r="553" spans="1:62">
      <c r="A553" s="13">
        <v>1938</v>
      </c>
      <c r="B553" s="13" t="s">
        <v>1244</v>
      </c>
      <c r="C553" s="12" t="s">
        <v>87</v>
      </c>
      <c r="D553" s="12" t="s">
        <v>462</v>
      </c>
      <c r="E553" s="12" t="s">
        <v>1172</v>
      </c>
      <c r="F553" s="12" t="s">
        <v>19</v>
      </c>
      <c r="G553" s="12" t="s">
        <v>90</v>
      </c>
      <c r="H553" s="12" t="s">
        <v>1271</v>
      </c>
      <c r="I553" s="12">
        <v>517200115627</v>
      </c>
      <c r="J553" s="12" t="s">
        <v>1272</v>
      </c>
      <c r="K553" s="12">
        <v>1</v>
      </c>
      <c r="L553" s="12">
        <v>52</v>
      </c>
      <c r="M553" s="12"/>
      <c r="N553" s="13">
        <v>1938</v>
      </c>
      <c r="O553" s="12" t="s">
        <v>93</v>
      </c>
      <c r="P553" s="12"/>
      <c r="Q553" s="12"/>
      <c r="R553" s="12" t="s">
        <v>94</v>
      </c>
      <c r="S553" s="12">
        <v>10</v>
      </c>
      <c r="T553" s="12" t="s">
        <v>1247</v>
      </c>
      <c r="U553" s="12" t="s">
        <v>1248</v>
      </c>
      <c r="V553" s="12">
        <f>VLOOKUP(Tabla4[[#This Row],[ZONA DEFINITIVO]],Hoja1!$A$1:$D$121,3,0)</f>
        <v>229107</v>
      </c>
      <c r="W553" s="12">
        <f>VLOOKUP(Tabla4[[#This Row],[ZONA DEFINITIVO]],Hoja1!$A$1:$D$121,2,0)</f>
        <v>15191</v>
      </c>
      <c r="X553" s="12">
        <f>VLOOKUP(Tabla4[[#This Row],[ZONA DEFINITIVO]],Hoja1!$A$1:$D$121,4,0)</f>
        <v>82625</v>
      </c>
      <c r="Y553" s="12" t="str">
        <f>+IF(Tabla4[[#This Row],[AGRUPACIONES]]=1,SUMIFS(Tabla4[UDS],Tabla4[ZONA DEFINITIVO],Tabla4[[#This Row],[ZONA DEFINITIVO]])," ")</f>
        <v xml:space="preserve"> </v>
      </c>
      <c r="Z553" s="12" t="str">
        <f>+IF(Tabla4[[#This Row],[AGRUPACIONES]]=1,SUMIFS(Tabla4[TOTAL COBERTURA],Tabla4[ZONA DEFINITIVO],Tabla4[[#This Row],[ZONA DEFINITIVO]])," ")</f>
        <v xml:space="preserve"> </v>
      </c>
      <c r="AA553" s="12"/>
      <c r="AB553" s="38">
        <v>117059852</v>
      </c>
      <c r="AC553" s="37">
        <v>0.02</v>
      </c>
      <c r="AD553" s="38">
        <f t="shared" si="9"/>
        <v>2341197.04</v>
      </c>
      <c r="AE553" s="12"/>
      <c r="AF553" s="12">
        <f>COUNTIF($A$20:A553,A553)</f>
        <v>14</v>
      </c>
      <c r="AG553" s="38">
        <v>117059852</v>
      </c>
      <c r="AH553" s="38">
        <f>Tabla4[[#This Row],[VALOR CONTRAPARTIDA]]+Tabla4[[#This Row],[TOTAL APORTES ICBF]]</f>
        <v>119401049.04000001</v>
      </c>
      <c r="AI553" s="35"/>
      <c r="AJ553" s="38"/>
      <c r="AK553" s="38"/>
      <c r="AL553" s="23"/>
      <c r="AM553" s="35">
        <f>VLOOKUP(Tabla4[[#This Row],[SERVICIO 2025]],$J$2:$V$14,5,0)*Tabla4[[#This Row],[TOTAL COBERTURA]]</f>
        <v>2676076</v>
      </c>
      <c r="AN553" s="35">
        <f>VLOOKUP(Tabla4[[#This Row],[SERVICIO 2025]],$J$2:$V$14,6,0)*Tabla4[[#This Row],[TOTAL COBERTURA]]</f>
        <v>2242032</v>
      </c>
      <c r="AO553" s="35">
        <f>VLOOKUP(Tabla4[[#This Row],[SERVICIO 2025]],$J$2:$V$14,8,0)*Tabla4[[#This Row],[TOTAL COBERTURA]]</f>
        <v>1513200</v>
      </c>
      <c r="AP553" s="35">
        <f>VLOOKUP(Tabla4[[#This Row],[SERVICIO 2025]],$J$2:$V$14,3,0)*Tabla4[[#This Row],[TOTAL COBERTURA]]*8</f>
        <v>110628544</v>
      </c>
      <c r="AQ553" s="35"/>
      <c r="AR553" s="35">
        <f>Tabla4[[#This Row],[VALOR FASE PREPARATORIA DE ALISTAMIENTO]]+Tabla4[[#This Row],[VALOR FASE PREPARATORIA DE CIERRE]]+Tabla4[[#This Row],[DOTACIÓN ÚNICA]]+Tabla4[[#This Row],[VALOR ATENCIÓN]]+Tabla4[[#This Row],[VALOR RACION PREPARADA]]</f>
        <v>117059852</v>
      </c>
      <c r="AS553" s="35" t="str">
        <f>+IF(Tabla4[[#This Row],[AGRUPACIONES]]=1,SUMIFS(Tabla4[VALOR TOTAL],Tabla4[ZONA DEFINITIVO],Tabla4[[#This Row],[ZONA DEFINITIVO]])," ")</f>
        <v xml:space="preserve"> </v>
      </c>
      <c r="AT553" s="27">
        <f>(VLOOKUP(Tabla4[[#This Row],[SERVICIO 2025]],$J$2:$V$14,3,0)*Tabla4[[#This Row],[TOTAL COBERTURA]])+Tabla4[[#This Row],[VALOR FASE PREPARATORIA DE ALISTAMIENTO]]+Tabla4[[#This Row],[DOTACIÓN ÚNICA]]</f>
        <v>18017844</v>
      </c>
      <c r="AU553" s="35">
        <f>(VLOOKUP(Tabla4[[#This Row],[SERVICIO 2025]],$J$2:$V$14,3,0)*Tabla4[[#This Row],[TOTAL COBERTURA]])</f>
        <v>13828568</v>
      </c>
      <c r="AV553" s="35">
        <f>(VLOOKUP(Tabla4[[#This Row],[SERVICIO 2025]],$J$2:$V$14,3,0)*Tabla4[[#This Row],[TOTAL COBERTURA]])</f>
        <v>13828568</v>
      </c>
      <c r="AW553" s="35">
        <f>(VLOOKUP(Tabla4[[#This Row],[SERVICIO 2025]],$J$2:$V$14,3,0)*Tabla4[[#This Row],[TOTAL COBERTURA]])</f>
        <v>13828568</v>
      </c>
      <c r="AX553" s="35">
        <f>(VLOOKUP(Tabla4[[#This Row],[SERVICIO 2025]],$J$2:$V$14,3,0)*Tabla4[[#This Row],[TOTAL COBERTURA]])</f>
        <v>13828568</v>
      </c>
      <c r="AY553" s="35">
        <f>(VLOOKUP(Tabla4[[#This Row],[SERVICIO 2025]],$J$2:$V$14,3,0)*Tabla4[[#This Row],[TOTAL COBERTURA]])</f>
        <v>13828568</v>
      </c>
      <c r="AZ553" s="35">
        <f>(VLOOKUP(Tabla4[[#This Row],[SERVICIO 2025]],$J$2:$V$14,3,0)*Tabla4[[#This Row],[TOTAL COBERTURA]])</f>
        <v>13828568</v>
      </c>
      <c r="BA553" s="35">
        <f>(VLOOKUP(Tabla4[[#This Row],[SERVICIO 2025]],$J$2:$V$14,3,0)*Tabla4[[#This Row],[TOTAL COBERTURA]])+Tabla4[[#This Row],[VALOR FASE PREPARATORIA DE CIERRE]]</f>
        <v>16070600</v>
      </c>
      <c r="BB553" s="35">
        <f>SUM(Tabla4[[#This Row],[DESEMBOLSO 1]:[DESEMBOLSO 8]])</f>
        <v>117059852</v>
      </c>
      <c r="BC553" s="35">
        <f>VLOOKUP(Tabla4[[#This Row],[SERVICIO 2025]],$J$2:$V$14,10,0)*Tabla4[[#This Row],[TOTAL COBERTURA]]*$W$3</f>
        <v>75039328</v>
      </c>
      <c r="BD553" s="47" t="s">
        <v>211</v>
      </c>
      <c r="BE553" s="12" t="b">
        <f>EXACT(Tabla4[[#This Row],[VALOR ATENCIÓN (8 MESES)]],Tabla4[[#This Row],[VALOR TOTAL]])</f>
        <v>1</v>
      </c>
      <c r="BF553" s="23">
        <f>Tabla4[[#This Row],[VALOR ATENCIÓN (8 MESES)]]-Tabla4[[#This Row],[VALOR TOTAL]]</f>
        <v>0</v>
      </c>
      <c r="BG553" s="12" t="b">
        <f>EXACT(Tabla4[[#This Row],[TOTAL DESEMBOLSOS]],Tabla4[[#This Row],[VALOR ATENCIÓN (8 MESES)]])</f>
        <v>1</v>
      </c>
      <c r="BH553" s="29">
        <f>Tabla4[[#This Row],[TOTAL DESEMBOLSOS]]-Tabla4[[#This Row],[VALOR ATENCIÓN (8 MESES)]]</f>
        <v>0</v>
      </c>
      <c r="BI553" t="s">
        <v>98</v>
      </c>
      <c r="BJ553">
        <v>1938</v>
      </c>
    </row>
    <row r="554" spans="1:62">
      <c r="A554" s="13">
        <v>1938</v>
      </c>
      <c r="B554" s="13" t="s">
        <v>1244</v>
      </c>
      <c r="C554" s="12" t="s">
        <v>87</v>
      </c>
      <c r="D554" s="12" t="s">
        <v>462</v>
      </c>
      <c r="E554" s="12" t="s">
        <v>1172</v>
      </c>
      <c r="F554" s="12" t="s">
        <v>19</v>
      </c>
      <c r="G554" s="12" t="s">
        <v>90</v>
      </c>
      <c r="H554" s="12" t="s">
        <v>1273</v>
      </c>
      <c r="I554" s="12">
        <v>517200115630</v>
      </c>
      <c r="J554" s="12" t="s">
        <v>1274</v>
      </c>
      <c r="K554" s="12">
        <v>1</v>
      </c>
      <c r="L554" s="12">
        <v>54</v>
      </c>
      <c r="M554" s="12"/>
      <c r="N554" s="13">
        <v>1938</v>
      </c>
      <c r="O554" s="12" t="s">
        <v>93</v>
      </c>
      <c r="P554" s="12"/>
      <c r="Q554" s="12"/>
      <c r="R554" s="12" t="s">
        <v>94</v>
      </c>
      <c r="S554" s="12">
        <v>10</v>
      </c>
      <c r="T554" s="12" t="s">
        <v>1247</v>
      </c>
      <c r="U554" s="12" t="s">
        <v>1248</v>
      </c>
      <c r="V554" s="12">
        <f>VLOOKUP(Tabla4[[#This Row],[ZONA DEFINITIVO]],Hoja1!$A$1:$D$121,3,0)</f>
        <v>229107</v>
      </c>
      <c r="W554" s="12">
        <f>VLOOKUP(Tabla4[[#This Row],[ZONA DEFINITIVO]],Hoja1!$A$1:$D$121,2,0)</f>
        <v>15191</v>
      </c>
      <c r="X554" s="12">
        <f>VLOOKUP(Tabla4[[#This Row],[ZONA DEFINITIVO]],Hoja1!$A$1:$D$121,4,0)</f>
        <v>82625</v>
      </c>
      <c r="Y554" s="12" t="str">
        <f>+IF(Tabla4[[#This Row],[AGRUPACIONES]]=1,SUMIFS(Tabla4[UDS],Tabla4[ZONA DEFINITIVO],Tabla4[[#This Row],[ZONA DEFINITIVO]])," ")</f>
        <v xml:space="preserve"> </v>
      </c>
      <c r="Z554" s="12" t="str">
        <f>+IF(Tabla4[[#This Row],[AGRUPACIONES]]=1,SUMIFS(Tabla4[TOTAL COBERTURA],Tabla4[ZONA DEFINITIVO],Tabla4[[#This Row],[ZONA DEFINITIVO]])," ")</f>
        <v xml:space="preserve"> </v>
      </c>
      <c r="AA554" s="12"/>
      <c r="AB554" s="38">
        <v>121562154</v>
      </c>
      <c r="AC554" s="37">
        <v>0.02</v>
      </c>
      <c r="AD554" s="38">
        <f t="shared" si="9"/>
        <v>2431243.08</v>
      </c>
      <c r="AE554" s="12"/>
      <c r="AF554" s="12">
        <f>COUNTIF($A$20:A554,A554)</f>
        <v>15</v>
      </c>
      <c r="AG554" s="38">
        <v>121562154</v>
      </c>
      <c r="AH554" s="38">
        <f>Tabla4[[#This Row],[VALOR CONTRAPARTIDA]]+Tabla4[[#This Row],[TOTAL APORTES ICBF]]</f>
        <v>123993397.08</v>
      </c>
      <c r="AI554" s="35"/>
      <c r="AJ554" s="38"/>
      <c r="AK554" s="38"/>
      <c r="AL554" s="23"/>
      <c r="AM554" s="35">
        <f>VLOOKUP(Tabla4[[#This Row],[SERVICIO 2025]],$J$2:$V$14,5,0)*Tabla4[[#This Row],[TOTAL COBERTURA]]</f>
        <v>2779002</v>
      </c>
      <c r="AN554" s="35">
        <f>VLOOKUP(Tabla4[[#This Row],[SERVICIO 2025]],$J$2:$V$14,6,0)*Tabla4[[#This Row],[TOTAL COBERTURA]]</f>
        <v>2328264</v>
      </c>
      <c r="AO554" s="35">
        <f>VLOOKUP(Tabla4[[#This Row],[SERVICIO 2025]],$J$2:$V$14,8,0)*Tabla4[[#This Row],[TOTAL COBERTURA]]</f>
        <v>1571400</v>
      </c>
      <c r="AP554" s="35">
        <f>VLOOKUP(Tabla4[[#This Row],[SERVICIO 2025]],$J$2:$V$14,3,0)*Tabla4[[#This Row],[TOTAL COBERTURA]]*8</f>
        <v>114883488</v>
      </c>
      <c r="AQ554" s="35"/>
      <c r="AR554" s="35">
        <f>Tabla4[[#This Row],[VALOR FASE PREPARATORIA DE ALISTAMIENTO]]+Tabla4[[#This Row],[VALOR FASE PREPARATORIA DE CIERRE]]+Tabla4[[#This Row],[DOTACIÓN ÚNICA]]+Tabla4[[#This Row],[VALOR ATENCIÓN]]+Tabla4[[#This Row],[VALOR RACION PREPARADA]]</f>
        <v>121562154</v>
      </c>
      <c r="AS554" s="35" t="str">
        <f>+IF(Tabla4[[#This Row],[AGRUPACIONES]]=1,SUMIFS(Tabla4[VALOR TOTAL],Tabla4[ZONA DEFINITIVO],Tabla4[[#This Row],[ZONA DEFINITIVO]])," ")</f>
        <v xml:space="preserve"> </v>
      </c>
      <c r="AT554" s="27">
        <f>(VLOOKUP(Tabla4[[#This Row],[SERVICIO 2025]],$J$2:$V$14,3,0)*Tabla4[[#This Row],[TOTAL COBERTURA]])+Tabla4[[#This Row],[VALOR FASE PREPARATORIA DE ALISTAMIENTO]]+Tabla4[[#This Row],[DOTACIÓN ÚNICA]]</f>
        <v>18710838</v>
      </c>
      <c r="AU554" s="35">
        <f>(VLOOKUP(Tabla4[[#This Row],[SERVICIO 2025]],$J$2:$V$14,3,0)*Tabla4[[#This Row],[TOTAL COBERTURA]])</f>
        <v>14360436</v>
      </c>
      <c r="AV554" s="35">
        <f>(VLOOKUP(Tabla4[[#This Row],[SERVICIO 2025]],$J$2:$V$14,3,0)*Tabla4[[#This Row],[TOTAL COBERTURA]])</f>
        <v>14360436</v>
      </c>
      <c r="AW554" s="35">
        <f>(VLOOKUP(Tabla4[[#This Row],[SERVICIO 2025]],$J$2:$V$14,3,0)*Tabla4[[#This Row],[TOTAL COBERTURA]])</f>
        <v>14360436</v>
      </c>
      <c r="AX554" s="35">
        <f>(VLOOKUP(Tabla4[[#This Row],[SERVICIO 2025]],$J$2:$V$14,3,0)*Tabla4[[#This Row],[TOTAL COBERTURA]])</f>
        <v>14360436</v>
      </c>
      <c r="AY554" s="35">
        <f>(VLOOKUP(Tabla4[[#This Row],[SERVICIO 2025]],$J$2:$V$14,3,0)*Tabla4[[#This Row],[TOTAL COBERTURA]])</f>
        <v>14360436</v>
      </c>
      <c r="AZ554" s="35">
        <f>(VLOOKUP(Tabla4[[#This Row],[SERVICIO 2025]],$J$2:$V$14,3,0)*Tabla4[[#This Row],[TOTAL COBERTURA]])</f>
        <v>14360436</v>
      </c>
      <c r="BA554" s="35">
        <f>(VLOOKUP(Tabla4[[#This Row],[SERVICIO 2025]],$J$2:$V$14,3,0)*Tabla4[[#This Row],[TOTAL COBERTURA]])+Tabla4[[#This Row],[VALOR FASE PREPARATORIA DE CIERRE]]</f>
        <v>16688700</v>
      </c>
      <c r="BB554" s="35">
        <f>SUM(Tabla4[[#This Row],[DESEMBOLSO 1]:[DESEMBOLSO 8]])</f>
        <v>121562154</v>
      </c>
      <c r="BC554" s="35">
        <f>VLOOKUP(Tabla4[[#This Row],[SERVICIO 2025]],$J$2:$V$14,10,0)*Tabla4[[#This Row],[TOTAL COBERTURA]]*$W$3</f>
        <v>77925456</v>
      </c>
      <c r="BD554" s="47" t="s">
        <v>211</v>
      </c>
      <c r="BE554" s="12" t="b">
        <f>EXACT(Tabla4[[#This Row],[VALOR ATENCIÓN (8 MESES)]],Tabla4[[#This Row],[VALOR TOTAL]])</f>
        <v>1</v>
      </c>
      <c r="BF554" s="23">
        <f>Tabla4[[#This Row],[VALOR ATENCIÓN (8 MESES)]]-Tabla4[[#This Row],[VALOR TOTAL]]</f>
        <v>0</v>
      </c>
      <c r="BG554" s="12" t="b">
        <f>EXACT(Tabla4[[#This Row],[TOTAL DESEMBOLSOS]],Tabla4[[#This Row],[VALOR ATENCIÓN (8 MESES)]])</f>
        <v>1</v>
      </c>
      <c r="BH554" s="29">
        <f>Tabla4[[#This Row],[TOTAL DESEMBOLSOS]]-Tabla4[[#This Row],[VALOR ATENCIÓN (8 MESES)]]</f>
        <v>0</v>
      </c>
      <c r="BI554" t="s">
        <v>98</v>
      </c>
      <c r="BJ554">
        <v>1938</v>
      </c>
    </row>
    <row r="555" spans="1:62">
      <c r="A555" s="13">
        <v>1939</v>
      </c>
      <c r="B555" s="13" t="s">
        <v>1275</v>
      </c>
      <c r="C555" s="12" t="s">
        <v>87</v>
      </c>
      <c r="D555" s="12" t="s">
        <v>673</v>
      </c>
      <c r="E555" s="12" t="s">
        <v>1276</v>
      </c>
      <c r="F555" s="12" t="s">
        <v>21</v>
      </c>
      <c r="G555" s="12" t="s">
        <v>90</v>
      </c>
      <c r="H555" s="12" t="s">
        <v>1277</v>
      </c>
      <c r="I555" s="12">
        <v>51901118895</v>
      </c>
      <c r="J555" s="12" t="s">
        <v>1278</v>
      </c>
      <c r="K555" s="12">
        <v>1</v>
      </c>
      <c r="L555" s="12">
        <v>19</v>
      </c>
      <c r="M555" s="12"/>
      <c r="N555" s="13">
        <v>1939</v>
      </c>
      <c r="O555" s="12" t="s">
        <v>93</v>
      </c>
      <c r="P555" s="12"/>
      <c r="Q555" s="12"/>
      <c r="R555" s="12" t="s">
        <v>94</v>
      </c>
      <c r="S555" s="12">
        <v>10</v>
      </c>
      <c r="T555" s="12" t="s">
        <v>390</v>
      </c>
      <c r="U555" s="12" t="s">
        <v>391</v>
      </c>
      <c r="V555" s="12">
        <f>VLOOKUP(Tabla4[[#This Row],[ZONA DEFINITIVO]],Hoja1!$A$1:$D$121,3,0)</f>
        <v>229109</v>
      </c>
      <c r="W555" s="12">
        <f>VLOOKUP(Tabla4[[#This Row],[ZONA DEFINITIVO]],Hoja1!$A$1:$D$121,2,0)</f>
        <v>15215</v>
      </c>
      <c r="X555" s="12">
        <f>VLOOKUP(Tabla4[[#This Row],[ZONA DEFINITIVO]],Hoja1!$A$1:$D$121,4,0)</f>
        <v>86425</v>
      </c>
      <c r="Y555" s="12">
        <f>+IF(Tabla4[[#This Row],[AGRUPACIONES]]=1,SUMIFS(Tabla4[UDS],Tabla4[ZONA DEFINITIVO],Tabla4[[#This Row],[ZONA DEFINITIVO]])," ")</f>
        <v>8</v>
      </c>
      <c r="Z555" s="12">
        <f>+IF(Tabla4[[#This Row],[AGRUPACIONES]]=1,SUMIFS(Tabla4[TOTAL COBERTURA],Tabla4[ZONA DEFINITIVO],Tabla4[[#This Row],[ZONA DEFINITIVO]])," ")</f>
        <v>330</v>
      </c>
      <c r="AA555" s="12"/>
      <c r="AB555" s="38">
        <v>28866795</v>
      </c>
      <c r="AC555" s="37">
        <v>0.02</v>
      </c>
      <c r="AD555" s="38">
        <f t="shared" si="9"/>
        <v>577335.9</v>
      </c>
      <c r="AE555" s="12"/>
      <c r="AF555" s="12">
        <f>COUNTIF($A$20:A555,A555)</f>
        <v>1</v>
      </c>
      <c r="AG555" s="38">
        <v>28866795</v>
      </c>
      <c r="AH555" s="38">
        <f>Tabla4[[#This Row],[VALOR CONTRAPARTIDA]]+Tabla4[[#This Row],[TOTAL APORTES ICBF]]</f>
        <v>29444130.899999999</v>
      </c>
      <c r="AI555" s="35">
        <f>ROUND(+IF(Tabla4[[#This Row],[AGRUPACIONES]]=1,SUMIFS(Tabla4[TOTAL APORTES ICBF],Tabla4[ZONA DEFINITIVO],Tabla4[[#This Row],[ZONA DEFINITIVO]])," "),0)</f>
        <v>501370650</v>
      </c>
      <c r="AJ555" s="38">
        <f>ROUND(+IF(Tabla4[[#This Row],[AGRUPACIONES]]=1,SUMIFS(Tabla4[VALOR CONTRAPARTIDA],Tabla4[ZONA DEFINITIVO],Tabla4[[#This Row],[ZONA DEFINITIVO]])," "),0)</f>
        <v>10027413</v>
      </c>
      <c r="AK555" s="38">
        <f>Tabla4[[#This Row],[TOTAL APORTES ICBF AGRUPADO]]+Tabla4[[#This Row],[TOTAL CONTRAPARTIDA AGRUPADO]]</f>
        <v>511398063</v>
      </c>
      <c r="AL555" s="23">
        <f>Tabla4[[#This Row],[TOTAL APORTES ICBF AGRUPADO]]/$AL$18</f>
        <v>352.20979978925186</v>
      </c>
      <c r="AM555" s="35">
        <f>VLOOKUP(Tabla4[[#This Row],[SERVICIO 2025]],$J$2:$V$14,5,0)*Tabla4[[#This Row],[TOTAL COBERTURA]]</f>
        <v>888136</v>
      </c>
      <c r="AN555" s="35">
        <f>VLOOKUP(Tabla4[[#This Row],[SERVICIO 2025]],$J$2:$V$14,6,0)*Tabla4[[#This Row],[TOTAL COBERTURA]]</f>
        <v>718979</v>
      </c>
      <c r="AO555" s="35">
        <f>VLOOKUP(Tabla4[[#This Row],[SERVICIO 2025]],$J$2:$V$14,8,0)*Tabla4[[#This Row],[TOTAL COBERTURA]]</f>
        <v>0</v>
      </c>
      <c r="AP555" s="35">
        <f>VLOOKUP(Tabla4[[#This Row],[SERVICIO 2025]],$J$2:$V$14,3,0)*Tabla4[[#This Row],[TOTAL COBERTURA]]*8</f>
        <v>27259680</v>
      </c>
      <c r="AQ555" s="35"/>
      <c r="AR555" s="35">
        <f>Tabla4[[#This Row],[VALOR FASE PREPARATORIA DE ALISTAMIENTO]]+Tabla4[[#This Row],[VALOR FASE PREPARATORIA DE CIERRE]]+Tabla4[[#This Row],[DOTACIÓN ÚNICA]]+Tabla4[[#This Row],[VALOR ATENCIÓN]]+Tabla4[[#This Row],[VALOR RACION PREPARADA]]</f>
        <v>28866795</v>
      </c>
      <c r="AS555" s="35">
        <f>+IF(Tabla4[[#This Row],[AGRUPACIONES]]=1,SUMIFS(Tabla4[VALOR TOTAL],Tabla4[ZONA DEFINITIVO],Tabla4[[#This Row],[ZONA DEFINITIVO]])," ")</f>
        <v>501370650</v>
      </c>
      <c r="AT555" s="27">
        <f>(VLOOKUP(Tabla4[[#This Row],[SERVICIO 2025]],$J$2:$V$14,3,0)*Tabla4[[#This Row],[TOTAL COBERTURA]])+Tabla4[[#This Row],[VALOR FASE PREPARATORIA DE ALISTAMIENTO]]+Tabla4[[#This Row],[DOTACIÓN ÚNICA]]</f>
        <v>4295596</v>
      </c>
      <c r="AU555" s="35">
        <f>(VLOOKUP(Tabla4[[#This Row],[SERVICIO 2025]],$J$2:$V$14,3,0)*Tabla4[[#This Row],[TOTAL COBERTURA]])</f>
        <v>3407460</v>
      </c>
      <c r="AV555" s="35">
        <f>(VLOOKUP(Tabla4[[#This Row],[SERVICIO 2025]],$J$2:$V$14,3,0)*Tabla4[[#This Row],[TOTAL COBERTURA]])</f>
        <v>3407460</v>
      </c>
      <c r="AW555" s="35">
        <f>(VLOOKUP(Tabla4[[#This Row],[SERVICIO 2025]],$J$2:$V$14,3,0)*Tabla4[[#This Row],[TOTAL COBERTURA]])</f>
        <v>3407460</v>
      </c>
      <c r="AX555" s="35">
        <f>(VLOOKUP(Tabla4[[#This Row],[SERVICIO 2025]],$J$2:$V$14,3,0)*Tabla4[[#This Row],[TOTAL COBERTURA]])</f>
        <v>3407460</v>
      </c>
      <c r="AY555" s="35">
        <f>(VLOOKUP(Tabla4[[#This Row],[SERVICIO 2025]],$J$2:$V$14,3,0)*Tabla4[[#This Row],[TOTAL COBERTURA]])</f>
        <v>3407460</v>
      </c>
      <c r="AZ555" s="35">
        <f>(VLOOKUP(Tabla4[[#This Row],[SERVICIO 2025]],$J$2:$V$14,3,0)*Tabla4[[#This Row],[TOTAL COBERTURA]])</f>
        <v>3407460</v>
      </c>
      <c r="BA555" s="35">
        <f>(VLOOKUP(Tabla4[[#This Row],[SERVICIO 2025]],$J$2:$V$14,3,0)*Tabla4[[#This Row],[TOTAL COBERTURA]])+Tabla4[[#This Row],[VALOR FASE PREPARATORIA DE CIERRE]]</f>
        <v>4126439</v>
      </c>
      <c r="BB555" s="35">
        <f>SUM(Tabla4[[#This Row],[DESEMBOLSO 1]:[DESEMBOLSO 8]])</f>
        <v>28866795</v>
      </c>
      <c r="BC555" s="35">
        <f>VLOOKUP(Tabla4[[#This Row],[SERVICIO 2025]],$J$2:$V$14,10,0)*Tabla4[[#This Row],[TOTAL COBERTURA]]*$W$3</f>
        <v>28624792</v>
      </c>
      <c r="BD555" s="47" t="s">
        <v>211</v>
      </c>
      <c r="BE555" s="12" t="b">
        <f>EXACT(Tabla4[[#This Row],[VALOR ATENCIÓN (8 MESES)]],Tabla4[[#This Row],[VALOR TOTAL]])</f>
        <v>1</v>
      </c>
      <c r="BF555" s="23">
        <f>Tabla4[[#This Row],[VALOR ATENCIÓN (8 MESES)]]-Tabla4[[#This Row],[VALOR TOTAL]]</f>
        <v>0</v>
      </c>
      <c r="BG555" s="12" t="b">
        <f>EXACT(Tabla4[[#This Row],[TOTAL DESEMBOLSOS]],Tabla4[[#This Row],[VALOR ATENCIÓN (8 MESES)]])</f>
        <v>1</v>
      </c>
      <c r="BH555" s="29">
        <f>Tabla4[[#This Row],[TOTAL DESEMBOLSOS]]-Tabla4[[#This Row],[VALOR ATENCIÓN (8 MESES)]]</f>
        <v>0</v>
      </c>
      <c r="BI555" t="s">
        <v>98</v>
      </c>
      <c r="BJ555">
        <v>1939</v>
      </c>
    </row>
    <row r="556" spans="1:62">
      <c r="A556" s="13">
        <v>1939</v>
      </c>
      <c r="B556" s="13" t="s">
        <v>1275</v>
      </c>
      <c r="C556" s="12" t="s">
        <v>87</v>
      </c>
      <c r="D556" s="12" t="s">
        <v>673</v>
      </c>
      <c r="E556" s="12" t="s">
        <v>1276</v>
      </c>
      <c r="F556" s="12" t="s">
        <v>21</v>
      </c>
      <c r="G556" s="12" t="s">
        <v>90</v>
      </c>
      <c r="H556" s="12" t="s">
        <v>1279</v>
      </c>
      <c r="I556" s="12">
        <v>51901118898</v>
      </c>
      <c r="J556" s="12" t="s">
        <v>1280</v>
      </c>
      <c r="K556" s="12">
        <v>1</v>
      </c>
      <c r="L556" s="12">
        <v>7</v>
      </c>
      <c r="M556" s="12"/>
      <c r="N556" s="13">
        <v>1939</v>
      </c>
      <c r="O556" s="12" t="s">
        <v>93</v>
      </c>
      <c r="P556" s="12"/>
      <c r="Q556" s="12"/>
      <c r="R556" s="12" t="s">
        <v>94</v>
      </c>
      <c r="S556" s="12">
        <v>10</v>
      </c>
      <c r="T556" s="12" t="s">
        <v>390</v>
      </c>
      <c r="U556" s="12" t="s">
        <v>391</v>
      </c>
      <c r="V556" s="12">
        <f>VLOOKUP(Tabla4[[#This Row],[ZONA DEFINITIVO]],Hoja1!$A$1:$D$121,3,0)</f>
        <v>229109</v>
      </c>
      <c r="W556" s="12">
        <f>VLOOKUP(Tabla4[[#This Row],[ZONA DEFINITIVO]],Hoja1!$A$1:$D$121,2,0)</f>
        <v>15215</v>
      </c>
      <c r="X556" s="12">
        <f>VLOOKUP(Tabla4[[#This Row],[ZONA DEFINITIVO]],Hoja1!$A$1:$D$121,4,0)</f>
        <v>86425</v>
      </c>
      <c r="Y556" s="12" t="str">
        <f>+IF(Tabla4[[#This Row],[AGRUPACIONES]]=1,SUMIFS(Tabla4[UDS],Tabla4[ZONA DEFINITIVO],Tabla4[[#This Row],[ZONA DEFINITIVO]])," ")</f>
        <v xml:space="preserve"> </v>
      </c>
      <c r="Z556" s="12" t="str">
        <f>+IF(Tabla4[[#This Row],[AGRUPACIONES]]=1,SUMIFS(Tabla4[TOTAL COBERTURA],Tabla4[ZONA DEFINITIVO],Tabla4[[#This Row],[ZONA DEFINITIVO]])," ")</f>
        <v xml:space="preserve"> </v>
      </c>
      <c r="AA556" s="12"/>
      <c r="AB556" s="38">
        <v>10635135</v>
      </c>
      <c r="AC556" s="37">
        <v>0.02</v>
      </c>
      <c r="AD556" s="38">
        <f t="shared" si="9"/>
        <v>212702.7</v>
      </c>
      <c r="AE556" s="12"/>
      <c r="AF556" s="12">
        <f>COUNTIF($A$20:A556,A556)</f>
        <v>2</v>
      </c>
      <c r="AG556" s="38">
        <v>10635135</v>
      </c>
      <c r="AH556" s="38">
        <f>Tabla4[[#This Row],[VALOR CONTRAPARTIDA]]+Tabla4[[#This Row],[TOTAL APORTES ICBF]]</f>
        <v>10847837.699999999</v>
      </c>
      <c r="AI556" s="35"/>
      <c r="AJ556" s="38"/>
      <c r="AK556" s="38"/>
      <c r="AL556" s="23"/>
      <c r="AM556" s="35">
        <f>VLOOKUP(Tabla4[[#This Row],[SERVICIO 2025]],$J$2:$V$14,5,0)*Tabla4[[#This Row],[TOTAL COBERTURA]]</f>
        <v>327208</v>
      </c>
      <c r="AN556" s="35">
        <f>VLOOKUP(Tabla4[[#This Row],[SERVICIO 2025]],$J$2:$V$14,6,0)*Tabla4[[#This Row],[TOTAL COBERTURA]]</f>
        <v>264887</v>
      </c>
      <c r="AO556" s="35">
        <f>VLOOKUP(Tabla4[[#This Row],[SERVICIO 2025]],$J$2:$V$14,8,0)*Tabla4[[#This Row],[TOTAL COBERTURA]]</f>
        <v>0</v>
      </c>
      <c r="AP556" s="35">
        <f>VLOOKUP(Tabla4[[#This Row],[SERVICIO 2025]],$J$2:$V$14,3,0)*Tabla4[[#This Row],[TOTAL COBERTURA]]*8</f>
        <v>10043040</v>
      </c>
      <c r="AQ556" s="35"/>
      <c r="AR556" s="35">
        <f>Tabla4[[#This Row],[VALOR FASE PREPARATORIA DE ALISTAMIENTO]]+Tabla4[[#This Row],[VALOR FASE PREPARATORIA DE CIERRE]]+Tabla4[[#This Row],[DOTACIÓN ÚNICA]]+Tabla4[[#This Row],[VALOR ATENCIÓN]]+Tabla4[[#This Row],[VALOR RACION PREPARADA]]</f>
        <v>10635135</v>
      </c>
      <c r="AS556" s="35" t="str">
        <f>+IF(Tabla4[[#This Row],[AGRUPACIONES]]=1,SUMIFS(Tabla4[VALOR TOTAL],Tabla4[ZONA DEFINITIVO],Tabla4[[#This Row],[ZONA DEFINITIVO]])," ")</f>
        <v xml:space="preserve"> </v>
      </c>
      <c r="AT556" s="27">
        <f>(VLOOKUP(Tabla4[[#This Row],[SERVICIO 2025]],$J$2:$V$14,3,0)*Tabla4[[#This Row],[TOTAL COBERTURA]])+Tabla4[[#This Row],[VALOR FASE PREPARATORIA DE ALISTAMIENTO]]+Tabla4[[#This Row],[DOTACIÓN ÚNICA]]</f>
        <v>1582588</v>
      </c>
      <c r="AU556" s="35">
        <f>(VLOOKUP(Tabla4[[#This Row],[SERVICIO 2025]],$J$2:$V$14,3,0)*Tabla4[[#This Row],[TOTAL COBERTURA]])</f>
        <v>1255380</v>
      </c>
      <c r="AV556" s="35">
        <f>(VLOOKUP(Tabla4[[#This Row],[SERVICIO 2025]],$J$2:$V$14,3,0)*Tabla4[[#This Row],[TOTAL COBERTURA]])</f>
        <v>1255380</v>
      </c>
      <c r="AW556" s="35">
        <f>(VLOOKUP(Tabla4[[#This Row],[SERVICIO 2025]],$J$2:$V$14,3,0)*Tabla4[[#This Row],[TOTAL COBERTURA]])</f>
        <v>1255380</v>
      </c>
      <c r="AX556" s="35">
        <f>(VLOOKUP(Tabla4[[#This Row],[SERVICIO 2025]],$J$2:$V$14,3,0)*Tabla4[[#This Row],[TOTAL COBERTURA]])</f>
        <v>1255380</v>
      </c>
      <c r="AY556" s="35">
        <f>(VLOOKUP(Tabla4[[#This Row],[SERVICIO 2025]],$J$2:$V$14,3,0)*Tabla4[[#This Row],[TOTAL COBERTURA]])</f>
        <v>1255380</v>
      </c>
      <c r="AZ556" s="35">
        <f>(VLOOKUP(Tabla4[[#This Row],[SERVICIO 2025]],$J$2:$V$14,3,0)*Tabla4[[#This Row],[TOTAL COBERTURA]])</f>
        <v>1255380</v>
      </c>
      <c r="BA556" s="35">
        <f>(VLOOKUP(Tabla4[[#This Row],[SERVICIO 2025]],$J$2:$V$14,3,0)*Tabla4[[#This Row],[TOTAL COBERTURA]])+Tabla4[[#This Row],[VALOR FASE PREPARATORIA DE CIERRE]]</f>
        <v>1520267</v>
      </c>
      <c r="BB556" s="35">
        <f>SUM(Tabla4[[#This Row],[DESEMBOLSO 1]:[DESEMBOLSO 8]])</f>
        <v>10635135</v>
      </c>
      <c r="BC556" s="35">
        <f>VLOOKUP(Tabla4[[#This Row],[SERVICIO 2025]],$J$2:$V$14,10,0)*Tabla4[[#This Row],[TOTAL COBERTURA]]*$W$3</f>
        <v>10545976</v>
      </c>
      <c r="BD556" s="47" t="s">
        <v>211</v>
      </c>
      <c r="BE556" s="12" t="b">
        <f>EXACT(Tabla4[[#This Row],[VALOR ATENCIÓN (8 MESES)]],Tabla4[[#This Row],[VALOR TOTAL]])</f>
        <v>1</v>
      </c>
      <c r="BF556" s="23">
        <f>Tabla4[[#This Row],[VALOR ATENCIÓN (8 MESES)]]-Tabla4[[#This Row],[VALOR TOTAL]]</f>
        <v>0</v>
      </c>
      <c r="BG556" s="12" t="b">
        <f>EXACT(Tabla4[[#This Row],[TOTAL DESEMBOLSOS]],Tabla4[[#This Row],[VALOR ATENCIÓN (8 MESES)]])</f>
        <v>1</v>
      </c>
      <c r="BH556" s="29">
        <f>Tabla4[[#This Row],[TOTAL DESEMBOLSOS]]-Tabla4[[#This Row],[VALOR ATENCIÓN (8 MESES)]]</f>
        <v>0</v>
      </c>
      <c r="BI556" t="s">
        <v>98</v>
      </c>
      <c r="BJ556">
        <v>1939</v>
      </c>
    </row>
    <row r="557" spans="1:62">
      <c r="A557" s="13">
        <v>1939</v>
      </c>
      <c r="B557" s="13" t="s">
        <v>1275</v>
      </c>
      <c r="C557" s="12" t="s">
        <v>87</v>
      </c>
      <c r="D557" s="12" t="s">
        <v>673</v>
      </c>
      <c r="E557" s="12" t="s">
        <v>1276</v>
      </c>
      <c r="F557" s="12" t="s">
        <v>21</v>
      </c>
      <c r="G557" s="12" t="s">
        <v>90</v>
      </c>
      <c r="H557" s="12" t="s">
        <v>1221</v>
      </c>
      <c r="I557" s="12">
        <v>51901134896</v>
      </c>
      <c r="J557" s="12" t="s">
        <v>1281</v>
      </c>
      <c r="K557" s="12">
        <v>1</v>
      </c>
      <c r="L557" s="12">
        <v>19</v>
      </c>
      <c r="M557" s="12"/>
      <c r="N557" s="13">
        <v>1939</v>
      </c>
      <c r="O557" s="12" t="s">
        <v>93</v>
      </c>
      <c r="P557" s="12"/>
      <c r="Q557" s="12"/>
      <c r="R557" s="12" t="s">
        <v>94</v>
      </c>
      <c r="S557" s="12">
        <v>10</v>
      </c>
      <c r="T557" s="12" t="s">
        <v>390</v>
      </c>
      <c r="U557" s="12" t="s">
        <v>391</v>
      </c>
      <c r="V557" s="12">
        <f>VLOOKUP(Tabla4[[#This Row],[ZONA DEFINITIVO]],Hoja1!$A$1:$D$121,3,0)</f>
        <v>229109</v>
      </c>
      <c r="W557" s="12">
        <f>VLOOKUP(Tabla4[[#This Row],[ZONA DEFINITIVO]],Hoja1!$A$1:$D$121,2,0)</f>
        <v>15215</v>
      </c>
      <c r="X557" s="12">
        <f>VLOOKUP(Tabla4[[#This Row],[ZONA DEFINITIVO]],Hoja1!$A$1:$D$121,4,0)</f>
        <v>86425</v>
      </c>
      <c r="Y557" s="12" t="str">
        <f>+IF(Tabla4[[#This Row],[AGRUPACIONES]]=1,SUMIFS(Tabla4[UDS],Tabla4[ZONA DEFINITIVO],Tabla4[[#This Row],[ZONA DEFINITIVO]])," ")</f>
        <v xml:space="preserve"> </v>
      </c>
      <c r="Z557" s="12" t="str">
        <f>+IF(Tabla4[[#This Row],[AGRUPACIONES]]=1,SUMIFS(Tabla4[TOTAL COBERTURA],Tabla4[ZONA DEFINITIVO],Tabla4[[#This Row],[ZONA DEFINITIVO]])," ")</f>
        <v xml:space="preserve"> </v>
      </c>
      <c r="AA557" s="12"/>
      <c r="AB557" s="38">
        <v>28866795</v>
      </c>
      <c r="AC557" s="37">
        <v>0.02</v>
      </c>
      <c r="AD557" s="38">
        <f t="shared" si="9"/>
        <v>577335.9</v>
      </c>
      <c r="AE557" s="12"/>
      <c r="AF557" s="12">
        <f>COUNTIF($A$20:A557,A557)</f>
        <v>3</v>
      </c>
      <c r="AG557" s="38">
        <v>28866795</v>
      </c>
      <c r="AH557" s="38">
        <f>Tabla4[[#This Row],[VALOR CONTRAPARTIDA]]+Tabla4[[#This Row],[TOTAL APORTES ICBF]]</f>
        <v>29444130.899999999</v>
      </c>
      <c r="AI557" s="35"/>
      <c r="AJ557" s="38"/>
      <c r="AK557" s="38"/>
      <c r="AL557" s="23"/>
      <c r="AM557" s="35">
        <f>VLOOKUP(Tabla4[[#This Row],[SERVICIO 2025]],$J$2:$V$14,5,0)*Tabla4[[#This Row],[TOTAL COBERTURA]]</f>
        <v>888136</v>
      </c>
      <c r="AN557" s="35">
        <f>VLOOKUP(Tabla4[[#This Row],[SERVICIO 2025]],$J$2:$V$14,6,0)*Tabla4[[#This Row],[TOTAL COBERTURA]]</f>
        <v>718979</v>
      </c>
      <c r="AO557" s="35">
        <f>VLOOKUP(Tabla4[[#This Row],[SERVICIO 2025]],$J$2:$V$14,8,0)*Tabla4[[#This Row],[TOTAL COBERTURA]]</f>
        <v>0</v>
      </c>
      <c r="AP557" s="35">
        <f>VLOOKUP(Tabla4[[#This Row],[SERVICIO 2025]],$J$2:$V$14,3,0)*Tabla4[[#This Row],[TOTAL COBERTURA]]*8</f>
        <v>27259680</v>
      </c>
      <c r="AQ557" s="35"/>
      <c r="AR557" s="35">
        <f>Tabla4[[#This Row],[VALOR FASE PREPARATORIA DE ALISTAMIENTO]]+Tabla4[[#This Row],[VALOR FASE PREPARATORIA DE CIERRE]]+Tabla4[[#This Row],[DOTACIÓN ÚNICA]]+Tabla4[[#This Row],[VALOR ATENCIÓN]]+Tabla4[[#This Row],[VALOR RACION PREPARADA]]</f>
        <v>28866795</v>
      </c>
      <c r="AS557" s="35" t="str">
        <f>+IF(Tabla4[[#This Row],[AGRUPACIONES]]=1,SUMIFS(Tabla4[VALOR TOTAL],Tabla4[ZONA DEFINITIVO],Tabla4[[#This Row],[ZONA DEFINITIVO]])," ")</f>
        <v xml:space="preserve"> </v>
      </c>
      <c r="AT557" s="27">
        <f>(VLOOKUP(Tabla4[[#This Row],[SERVICIO 2025]],$J$2:$V$14,3,0)*Tabla4[[#This Row],[TOTAL COBERTURA]])+Tabla4[[#This Row],[VALOR FASE PREPARATORIA DE ALISTAMIENTO]]+Tabla4[[#This Row],[DOTACIÓN ÚNICA]]</f>
        <v>4295596</v>
      </c>
      <c r="AU557" s="35">
        <f>(VLOOKUP(Tabla4[[#This Row],[SERVICIO 2025]],$J$2:$V$14,3,0)*Tabla4[[#This Row],[TOTAL COBERTURA]])</f>
        <v>3407460</v>
      </c>
      <c r="AV557" s="35">
        <f>(VLOOKUP(Tabla4[[#This Row],[SERVICIO 2025]],$J$2:$V$14,3,0)*Tabla4[[#This Row],[TOTAL COBERTURA]])</f>
        <v>3407460</v>
      </c>
      <c r="AW557" s="35">
        <f>(VLOOKUP(Tabla4[[#This Row],[SERVICIO 2025]],$J$2:$V$14,3,0)*Tabla4[[#This Row],[TOTAL COBERTURA]])</f>
        <v>3407460</v>
      </c>
      <c r="AX557" s="35">
        <f>(VLOOKUP(Tabla4[[#This Row],[SERVICIO 2025]],$J$2:$V$14,3,0)*Tabla4[[#This Row],[TOTAL COBERTURA]])</f>
        <v>3407460</v>
      </c>
      <c r="AY557" s="35">
        <f>(VLOOKUP(Tabla4[[#This Row],[SERVICIO 2025]],$J$2:$V$14,3,0)*Tabla4[[#This Row],[TOTAL COBERTURA]])</f>
        <v>3407460</v>
      </c>
      <c r="AZ557" s="35">
        <f>(VLOOKUP(Tabla4[[#This Row],[SERVICIO 2025]],$J$2:$V$14,3,0)*Tabla4[[#This Row],[TOTAL COBERTURA]])</f>
        <v>3407460</v>
      </c>
      <c r="BA557" s="35">
        <f>(VLOOKUP(Tabla4[[#This Row],[SERVICIO 2025]],$J$2:$V$14,3,0)*Tabla4[[#This Row],[TOTAL COBERTURA]])+Tabla4[[#This Row],[VALOR FASE PREPARATORIA DE CIERRE]]</f>
        <v>4126439</v>
      </c>
      <c r="BB557" s="35">
        <f>SUM(Tabla4[[#This Row],[DESEMBOLSO 1]:[DESEMBOLSO 8]])</f>
        <v>28866795</v>
      </c>
      <c r="BC557" s="35">
        <f>VLOOKUP(Tabla4[[#This Row],[SERVICIO 2025]],$J$2:$V$14,10,0)*Tabla4[[#This Row],[TOTAL COBERTURA]]*$W$3</f>
        <v>28624792</v>
      </c>
      <c r="BD557" s="47" t="s">
        <v>211</v>
      </c>
      <c r="BE557" s="12" t="b">
        <f>EXACT(Tabla4[[#This Row],[VALOR ATENCIÓN (8 MESES)]],Tabla4[[#This Row],[VALOR TOTAL]])</f>
        <v>1</v>
      </c>
      <c r="BF557" s="23">
        <f>Tabla4[[#This Row],[VALOR ATENCIÓN (8 MESES)]]-Tabla4[[#This Row],[VALOR TOTAL]]</f>
        <v>0</v>
      </c>
      <c r="BG557" s="12" t="b">
        <f>EXACT(Tabla4[[#This Row],[TOTAL DESEMBOLSOS]],Tabla4[[#This Row],[VALOR ATENCIÓN (8 MESES)]])</f>
        <v>1</v>
      </c>
      <c r="BH557" s="29">
        <f>Tabla4[[#This Row],[TOTAL DESEMBOLSOS]]-Tabla4[[#This Row],[VALOR ATENCIÓN (8 MESES)]]</f>
        <v>0</v>
      </c>
      <c r="BI557" t="s">
        <v>98</v>
      </c>
      <c r="BJ557">
        <v>1939</v>
      </c>
    </row>
    <row r="558" spans="1:62">
      <c r="A558" s="13">
        <v>1939</v>
      </c>
      <c r="B558" s="13" t="s">
        <v>1275</v>
      </c>
      <c r="C558" s="12" t="s">
        <v>87</v>
      </c>
      <c r="D558" s="12" t="s">
        <v>673</v>
      </c>
      <c r="E558" s="12" t="s">
        <v>1276</v>
      </c>
      <c r="F558" s="12" t="s">
        <v>21</v>
      </c>
      <c r="G558" s="12" t="s">
        <v>90</v>
      </c>
      <c r="H558" s="12" t="s">
        <v>1282</v>
      </c>
      <c r="I558" s="12">
        <v>51901134898</v>
      </c>
      <c r="J558" s="12" t="s">
        <v>1283</v>
      </c>
      <c r="K558" s="12">
        <v>1</v>
      </c>
      <c r="L558" s="12">
        <v>6</v>
      </c>
      <c r="M558" s="12"/>
      <c r="N558" s="13">
        <v>1939</v>
      </c>
      <c r="O558" s="12" t="s">
        <v>93</v>
      </c>
      <c r="P558" s="12"/>
      <c r="Q558" s="12"/>
      <c r="R558" s="12" t="s">
        <v>94</v>
      </c>
      <c r="S558" s="12">
        <v>10</v>
      </c>
      <c r="T558" s="12" t="s">
        <v>390</v>
      </c>
      <c r="U558" s="12" t="s">
        <v>391</v>
      </c>
      <c r="V558" s="12">
        <f>VLOOKUP(Tabla4[[#This Row],[ZONA DEFINITIVO]],Hoja1!$A$1:$D$121,3,0)</f>
        <v>229109</v>
      </c>
      <c r="W558" s="12">
        <f>VLOOKUP(Tabla4[[#This Row],[ZONA DEFINITIVO]],Hoja1!$A$1:$D$121,2,0)</f>
        <v>15215</v>
      </c>
      <c r="X558" s="12">
        <f>VLOOKUP(Tabla4[[#This Row],[ZONA DEFINITIVO]],Hoja1!$A$1:$D$121,4,0)</f>
        <v>86425</v>
      </c>
      <c r="Y558" s="12" t="str">
        <f>+IF(Tabla4[[#This Row],[AGRUPACIONES]]=1,SUMIFS(Tabla4[UDS],Tabla4[ZONA DEFINITIVO],Tabla4[[#This Row],[ZONA DEFINITIVO]])," ")</f>
        <v xml:space="preserve"> </v>
      </c>
      <c r="Z558" s="12" t="str">
        <f>+IF(Tabla4[[#This Row],[AGRUPACIONES]]=1,SUMIFS(Tabla4[TOTAL COBERTURA],Tabla4[ZONA DEFINITIVO],Tabla4[[#This Row],[ZONA DEFINITIVO]])," ")</f>
        <v xml:space="preserve"> </v>
      </c>
      <c r="AA558" s="12"/>
      <c r="AB558" s="38">
        <v>9115830</v>
      </c>
      <c r="AC558" s="37">
        <v>0.02</v>
      </c>
      <c r="AD558" s="38">
        <f t="shared" si="9"/>
        <v>182316.6</v>
      </c>
      <c r="AE558" s="12"/>
      <c r="AF558" s="12">
        <f>COUNTIF($A$20:A558,A558)</f>
        <v>4</v>
      </c>
      <c r="AG558" s="38">
        <v>9115830</v>
      </c>
      <c r="AH558" s="38">
        <f>Tabla4[[#This Row],[VALOR CONTRAPARTIDA]]+Tabla4[[#This Row],[TOTAL APORTES ICBF]]</f>
        <v>9298146.5999999996</v>
      </c>
      <c r="AI558" s="35"/>
      <c r="AJ558" s="38"/>
      <c r="AK558" s="38"/>
      <c r="AL558" s="23"/>
      <c r="AM558" s="35">
        <f>VLOOKUP(Tabla4[[#This Row],[SERVICIO 2025]],$J$2:$V$14,5,0)*Tabla4[[#This Row],[TOTAL COBERTURA]]</f>
        <v>280464</v>
      </c>
      <c r="AN558" s="35">
        <f>VLOOKUP(Tabla4[[#This Row],[SERVICIO 2025]],$J$2:$V$14,6,0)*Tabla4[[#This Row],[TOTAL COBERTURA]]</f>
        <v>227046</v>
      </c>
      <c r="AO558" s="35">
        <f>VLOOKUP(Tabla4[[#This Row],[SERVICIO 2025]],$J$2:$V$14,8,0)*Tabla4[[#This Row],[TOTAL COBERTURA]]</f>
        <v>0</v>
      </c>
      <c r="AP558" s="35">
        <f>VLOOKUP(Tabla4[[#This Row],[SERVICIO 2025]],$J$2:$V$14,3,0)*Tabla4[[#This Row],[TOTAL COBERTURA]]*8</f>
        <v>8608320</v>
      </c>
      <c r="AQ558" s="35"/>
      <c r="AR558" s="35">
        <f>Tabla4[[#This Row],[VALOR FASE PREPARATORIA DE ALISTAMIENTO]]+Tabla4[[#This Row],[VALOR FASE PREPARATORIA DE CIERRE]]+Tabla4[[#This Row],[DOTACIÓN ÚNICA]]+Tabla4[[#This Row],[VALOR ATENCIÓN]]+Tabla4[[#This Row],[VALOR RACION PREPARADA]]</f>
        <v>9115830</v>
      </c>
      <c r="AS558" s="35" t="str">
        <f>+IF(Tabla4[[#This Row],[AGRUPACIONES]]=1,SUMIFS(Tabla4[VALOR TOTAL],Tabla4[ZONA DEFINITIVO],Tabla4[[#This Row],[ZONA DEFINITIVO]])," ")</f>
        <v xml:space="preserve"> </v>
      </c>
      <c r="AT558" s="27">
        <f>(VLOOKUP(Tabla4[[#This Row],[SERVICIO 2025]],$J$2:$V$14,3,0)*Tabla4[[#This Row],[TOTAL COBERTURA]])+Tabla4[[#This Row],[VALOR FASE PREPARATORIA DE ALISTAMIENTO]]+Tabla4[[#This Row],[DOTACIÓN ÚNICA]]</f>
        <v>1356504</v>
      </c>
      <c r="AU558" s="35">
        <f>(VLOOKUP(Tabla4[[#This Row],[SERVICIO 2025]],$J$2:$V$14,3,0)*Tabla4[[#This Row],[TOTAL COBERTURA]])</f>
        <v>1076040</v>
      </c>
      <c r="AV558" s="35">
        <f>(VLOOKUP(Tabla4[[#This Row],[SERVICIO 2025]],$J$2:$V$14,3,0)*Tabla4[[#This Row],[TOTAL COBERTURA]])</f>
        <v>1076040</v>
      </c>
      <c r="AW558" s="35">
        <f>(VLOOKUP(Tabla4[[#This Row],[SERVICIO 2025]],$J$2:$V$14,3,0)*Tabla4[[#This Row],[TOTAL COBERTURA]])</f>
        <v>1076040</v>
      </c>
      <c r="AX558" s="35">
        <f>(VLOOKUP(Tabla4[[#This Row],[SERVICIO 2025]],$J$2:$V$14,3,0)*Tabla4[[#This Row],[TOTAL COBERTURA]])</f>
        <v>1076040</v>
      </c>
      <c r="AY558" s="35">
        <f>(VLOOKUP(Tabla4[[#This Row],[SERVICIO 2025]],$J$2:$V$14,3,0)*Tabla4[[#This Row],[TOTAL COBERTURA]])</f>
        <v>1076040</v>
      </c>
      <c r="AZ558" s="35">
        <f>(VLOOKUP(Tabla4[[#This Row],[SERVICIO 2025]],$J$2:$V$14,3,0)*Tabla4[[#This Row],[TOTAL COBERTURA]])</f>
        <v>1076040</v>
      </c>
      <c r="BA558" s="35">
        <f>(VLOOKUP(Tabla4[[#This Row],[SERVICIO 2025]],$J$2:$V$14,3,0)*Tabla4[[#This Row],[TOTAL COBERTURA]])+Tabla4[[#This Row],[VALOR FASE PREPARATORIA DE CIERRE]]</f>
        <v>1303086</v>
      </c>
      <c r="BB558" s="35">
        <f>SUM(Tabla4[[#This Row],[DESEMBOLSO 1]:[DESEMBOLSO 8]])</f>
        <v>9115830</v>
      </c>
      <c r="BC558" s="35">
        <f>VLOOKUP(Tabla4[[#This Row],[SERVICIO 2025]],$J$2:$V$14,10,0)*Tabla4[[#This Row],[TOTAL COBERTURA]]*$W$3</f>
        <v>9039408</v>
      </c>
      <c r="BD558" s="47" t="s">
        <v>211</v>
      </c>
      <c r="BE558" s="12" t="b">
        <f>EXACT(Tabla4[[#This Row],[VALOR ATENCIÓN (8 MESES)]],Tabla4[[#This Row],[VALOR TOTAL]])</f>
        <v>1</v>
      </c>
      <c r="BF558" s="23">
        <f>Tabla4[[#This Row],[VALOR ATENCIÓN (8 MESES)]]-Tabla4[[#This Row],[VALOR TOTAL]]</f>
        <v>0</v>
      </c>
      <c r="BG558" s="12" t="b">
        <f>EXACT(Tabla4[[#This Row],[TOTAL DESEMBOLSOS]],Tabla4[[#This Row],[VALOR ATENCIÓN (8 MESES)]])</f>
        <v>1</v>
      </c>
      <c r="BH558" s="29">
        <f>Tabla4[[#This Row],[TOTAL DESEMBOLSOS]]-Tabla4[[#This Row],[VALOR ATENCIÓN (8 MESES)]]</f>
        <v>0</v>
      </c>
      <c r="BI558" t="s">
        <v>98</v>
      </c>
      <c r="BJ558">
        <v>1939</v>
      </c>
    </row>
    <row r="559" spans="1:62">
      <c r="A559" s="13">
        <v>1939</v>
      </c>
      <c r="B559" s="13" t="s">
        <v>1275</v>
      </c>
      <c r="C559" s="12" t="s">
        <v>87</v>
      </c>
      <c r="D559" s="12" t="s">
        <v>673</v>
      </c>
      <c r="E559" s="12" t="s">
        <v>1276</v>
      </c>
      <c r="F559" s="12" t="s">
        <v>21</v>
      </c>
      <c r="G559" s="12" t="s">
        <v>90</v>
      </c>
      <c r="H559" s="12" t="s">
        <v>1284</v>
      </c>
      <c r="I559" s="12">
        <v>51901148643</v>
      </c>
      <c r="J559" s="12" t="s">
        <v>1285</v>
      </c>
      <c r="K559" s="12">
        <v>1</v>
      </c>
      <c r="L559" s="12">
        <v>14</v>
      </c>
      <c r="M559" s="12"/>
      <c r="N559" s="13">
        <v>1939</v>
      </c>
      <c r="O559" s="12" t="s">
        <v>93</v>
      </c>
      <c r="P559" s="12"/>
      <c r="Q559" s="12"/>
      <c r="R559" s="12" t="s">
        <v>94</v>
      </c>
      <c r="S559" s="12">
        <v>10</v>
      </c>
      <c r="T559" s="12" t="s">
        <v>390</v>
      </c>
      <c r="U559" s="12" t="s">
        <v>391</v>
      </c>
      <c r="V559" s="12">
        <f>VLOOKUP(Tabla4[[#This Row],[ZONA DEFINITIVO]],Hoja1!$A$1:$D$121,3,0)</f>
        <v>229109</v>
      </c>
      <c r="W559" s="12">
        <f>VLOOKUP(Tabla4[[#This Row],[ZONA DEFINITIVO]],Hoja1!$A$1:$D$121,2,0)</f>
        <v>15215</v>
      </c>
      <c r="X559" s="12">
        <f>VLOOKUP(Tabla4[[#This Row],[ZONA DEFINITIVO]],Hoja1!$A$1:$D$121,4,0)</f>
        <v>86425</v>
      </c>
      <c r="Y559" s="12" t="str">
        <f>+IF(Tabla4[[#This Row],[AGRUPACIONES]]=1,SUMIFS(Tabla4[UDS],Tabla4[ZONA DEFINITIVO],Tabla4[[#This Row],[ZONA DEFINITIVO]])," ")</f>
        <v xml:space="preserve"> </v>
      </c>
      <c r="Z559" s="12" t="str">
        <f>+IF(Tabla4[[#This Row],[AGRUPACIONES]]=1,SUMIFS(Tabla4[TOTAL COBERTURA],Tabla4[ZONA DEFINITIVO],Tabla4[[#This Row],[ZONA DEFINITIVO]])," ")</f>
        <v xml:space="preserve"> </v>
      </c>
      <c r="AA559" s="12"/>
      <c r="AB559" s="38">
        <v>21270270</v>
      </c>
      <c r="AC559" s="37">
        <v>0.02</v>
      </c>
      <c r="AD559" s="38">
        <f t="shared" si="9"/>
        <v>425405.4</v>
      </c>
      <c r="AE559" s="12"/>
      <c r="AF559" s="12">
        <f>COUNTIF($A$20:A559,A559)</f>
        <v>5</v>
      </c>
      <c r="AG559" s="38">
        <v>21270270</v>
      </c>
      <c r="AH559" s="38">
        <f>Tabla4[[#This Row],[VALOR CONTRAPARTIDA]]+Tabla4[[#This Row],[TOTAL APORTES ICBF]]</f>
        <v>21695675.399999999</v>
      </c>
      <c r="AI559" s="35"/>
      <c r="AJ559" s="38"/>
      <c r="AK559" s="38"/>
      <c r="AL559" s="23"/>
      <c r="AM559" s="35">
        <f>VLOOKUP(Tabla4[[#This Row],[SERVICIO 2025]],$J$2:$V$14,5,0)*Tabla4[[#This Row],[TOTAL COBERTURA]]</f>
        <v>654416</v>
      </c>
      <c r="AN559" s="35">
        <f>VLOOKUP(Tabla4[[#This Row],[SERVICIO 2025]],$J$2:$V$14,6,0)*Tabla4[[#This Row],[TOTAL COBERTURA]]</f>
        <v>529774</v>
      </c>
      <c r="AO559" s="35">
        <f>VLOOKUP(Tabla4[[#This Row],[SERVICIO 2025]],$J$2:$V$14,8,0)*Tabla4[[#This Row],[TOTAL COBERTURA]]</f>
        <v>0</v>
      </c>
      <c r="AP559" s="35">
        <f>VLOOKUP(Tabla4[[#This Row],[SERVICIO 2025]],$J$2:$V$14,3,0)*Tabla4[[#This Row],[TOTAL COBERTURA]]*8</f>
        <v>20086080</v>
      </c>
      <c r="AQ559" s="35"/>
      <c r="AR559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559" s="35" t="str">
        <f>+IF(Tabla4[[#This Row],[AGRUPACIONES]]=1,SUMIFS(Tabla4[VALOR TOTAL],Tabla4[ZONA DEFINITIVO],Tabla4[[#This Row],[ZONA DEFINITIVO]])," ")</f>
        <v xml:space="preserve"> </v>
      </c>
      <c r="AT559" s="27">
        <f>(VLOOKUP(Tabla4[[#This Row],[SERVICIO 2025]],$J$2:$V$14,3,0)*Tabla4[[#This Row],[TOTAL COBERTURA]])+Tabla4[[#This Row],[VALOR FASE PREPARATORIA DE ALISTAMIENTO]]+Tabla4[[#This Row],[DOTACIÓN ÚNICA]]</f>
        <v>3165176</v>
      </c>
      <c r="AU559" s="35">
        <f>(VLOOKUP(Tabla4[[#This Row],[SERVICIO 2025]],$J$2:$V$14,3,0)*Tabla4[[#This Row],[TOTAL COBERTURA]])</f>
        <v>2510760</v>
      </c>
      <c r="AV559" s="35">
        <f>(VLOOKUP(Tabla4[[#This Row],[SERVICIO 2025]],$J$2:$V$14,3,0)*Tabla4[[#This Row],[TOTAL COBERTURA]])</f>
        <v>2510760</v>
      </c>
      <c r="AW559" s="35">
        <f>(VLOOKUP(Tabla4[[#This Row],[SERVICIO 2025]],$J$2:$V$14,3,0)*Tabla4[[#This Row],[TOTAL COBERTURA]])</f>
        <v>2510760</v>
      </c>
      <c r="AX559" s="35">
        <f>(VLOOKUP(Tabla4[[#This Row],[SERVICIO 2025]],$J$2:$V$14,3,0)*Tabla4[[#This Row],[TOTAL COBERTURA]])</f>
        <v>2510760</v>
      </c>
      <c r="AY559" s="35">
        <f>(VLOOKUP(Tabla4[[#This Row],[SERVICIO 2025]],$J$2:$V$14,3,0)*Tabla4[[#This Row],[TOTAL COBERTURA]])</f>
        <v>2510760</v>
      </c>
      <c r="AZ559" s="35">
        <f>(VLOOKUP(Tabla4[[#This Row],[SERVICIO 2025]],$J$2:$V$14,3,0)*Tabla4[[#This Row],[TOTAL COBERTURA]])</f>
        <v>2510760</v>
      </c>
      <c r="BA559" s="35">
        <f>(VLOOKUP(Tabla4[[#This Row],[SERVICIO 2025]],$J$2:$V$14,3,0)*Tabla4[[#This Row],[TOTAL COBERTURA]])+Tabla4[[#This Row],[VALOR FASE PREPARATORIA DE CIERRE]]</f>
        <v>3040534</v>
      </c>
      <c r="BB559" s="35">
        <f>SUM(Tabla4[[#This Row],[DESEMBOLSO 1]:[DESEMBOLSO 8]])</f>
        <v>21270270</v>
      </c>
      <c r="BC559" s="35">
        <f>VLOOKUP(Tabla4[[#This Row],[SERVICIO 2025]],$J$2:$V$14,10,0)*Tabla4[[#This Row],[TOTAL COBERTURA]]*$W$3</f>
        <v>21091952</v>
      </c>
      <c r="BD559" s="47" t="s">
        <v>211</v>
      </c>
      <c r="BE559" s="12" t="b">
        <f>EXACT(Tabla4[[#This Row],[VALOR ATENCIÓN (8 MESES)]],Tabla4[[#This Row],[VALOR TOTAL]])</f>
        <v>1</v>
      </c>
      <c r="BF559" s="23">
        <f>Tabla4[[#This Row],[VALOR ATENCIÓN (8 MESES)]]-Tabla4[[#This Row],[VALOR TOTAL]]</f>
        <v>0</v>
      </c>
      <c r="BG559" s="12" t="b">
        <f>EXACT(Tabla4[[#This Row],[TOTAL DESEMBOLSOS]],Tabla4[[#This Row],[VALOR ATENCIÓN (8 MESES)]])</f>
        <v>1</v>
      </c>
      <c r="BH559" s="29">
        <f>Tabla4[[#This Row],[TOTAL DESEMBOLSOS]]-Tabla4[[#This Row],[VALOR ATENCIÓN (8 MESES)]]</f>
        <v>0</v>
      </c>
      <c r="BI559" t="s">
        <v>98</v>
      </c>
      <c r="BJ559">
        <v>1939</v>
      </c>
    </row>
    <row r="560" spans="1:62">
      <c r="A560" s="13">
        <v>1939</v>
      </c>
      <c r="B560" s="13" t="s">
        <v>1275</v>
      </c>
      <c r="C560" s="12" t="s">
        <v>87</v>
      </c>
      <c r="D560" s="12" t="s">
        <v>673</v>
      </c>
      <c r="E560" s="12" t="s">
        <v>1276</v>
      </c>
      <c r="F560" s="12" t="s">
        <v>21</v>
      </c>
      <c r="G560" s="12" t="s">
        <v>90</v>
      </c>
      <c r="H560" s="12" t="s">
        <v>1286</v>
      </c>
      <c r="I560" s="12">
        <v>51901148751</v>
      </c>
      <c r="J560" s="12" t="s">
        <v>1287</v>
      </c>
      <c r="K560" s="12">
        <v>1</v>
      </c>
      <c r="L560" s="12">
        <v>237</v>
      </c>
      <c r="M560" s="12"/>
      <c r="N560" s="13">
        <v>1939</v>
      </c>
      <c r="O560" s="12" t="s">
        <v>93</v>
      </c>
      <c r="P560" s="12"/>
      <c r="Q560" s="12"/>
      <c r="R560" s="12" t="s">
        <v>94</v>
      </c>
      <c r="S560" s="12">
        <v>10</v>
      </c>
      <c r="T560" s="12" t="s">
        <v>390</v>
      </c>
      <c r="U560" s="12" t="s">
        <v>391</v>
      </c>
      <c r="V560" s="12">
        <f>VLOOKUP(Tabla4[[#This Row],[ZONA DEFINITIVO]],Hoja1!$A$1:$D$121,3,0)</f>
        <v>229109</v>
      </c>
      <c r="W560" s="12">
        <f>VLOOKUP(Tabla4[[#This Row],[ZONA DEFINITIVO]],Hoja1!$A$1:$D$121,2,0)</f>
        <v>15215</v>
      </c>
      <c r="X560" s="12">
        <f>VLOOKUP(Tabla4[[#This Row],[ZONA DEFINITIVO]],Hoja1!$A$1:$D$121,4,0)</f>
        <v>86425</v>
      </c>
      <c r="Y560" s="12" t="str">
        <f>+IF(Tabla4[[#This Row],[AGRUPACIONES]]=1,SUMIFS(Tabla4[UDS],Tabla4[ZONA DEFINITIVO],Tabla4[[#This Row],[ZONA DEFINITIVO]])," ")</f>
        <v xml:space="preserve"> </v>
      </c>
      <c r="Z560" s="12" t="str">
        <f>+IF(Tabla4[[#This Row],[AGRUPACIONES]]=1,SUMIFS(Tabla4[TOTAL COBERTURA],Tabla4[ZONA DEFINITIVO],Tabla4[[#This Row],[ZONA DEFINITIVO]])," ")</f>
        <v xml:space="preserve"> </v>
      </c>
      <c r="AA560" s="12"/>
      <c r="AB560" s="38">
        <v>360075285</v>
      </c>
      <c r="AC560" s="37">
        <v>0.02</v>
      </c>
      <c r="AD560" s="38">
        <f t="shared" si="9"/>
        <v>7201505.7000000002</v>
      </c>
      <c r="AE560" s="12"/>
      <c r="AF560" s="12">
        <f>COUNTIF($A$20:A560,A560)</f>
        <v>6</v>
      </c>
      <c r="AG560" s="38">
        <v>360075285</v>
      </c>
      <c r="AH560" s="38">
        <f>Tabla4[[#This Row],[VALOR CONTRAPARTIDA]]+Tabla4[[#This Row],[TOTAL APORTES ICBF]]</f>
        <v>367276790.69999999</v>
      </c>
      <c r="AI560" s="35"/>
      <c r="AJ560" s="38"/>
      <c r="AK560" s="38"/>
      <c r="AL560" s="23"/>
      <c r="AM560" s="35">
        <f>VLOOKUP(Tabla4[[#This Row],[SERVICIO 2025]],$J$2:$V$14,5,0)*Tabla4[[#This Row],[TOTAL COBERTURA]]</f>
        <v>11078328</v>
      </c>
      <c r="AN560" s="35">
        <f>VLOOKUP(Tabla4[[#This Row],[SERVICIO 2025]],$J$2:$V$14,6,0)*Tabla4[[#This Row],[TOTAL COBERTURA]]</f>
        <v>8968317</v>
      </c>
      <c r="AO560" s="35">
        <f>VLOOKUP(Tabla4[[#This Row],[SERVICIO 2025]],$J$2:$V$14,8,0)*Tabla4[[#This Row],[TOTAL COBERTURA]]</f>
        <v>0</v>
      </c>
      <c r="AP560" s="35">
        <f>VLOOKUP(Tabla4[[#This Row],[SERVICIO 2025]],$J$2:$V$14,3,0)*Tabla4[[#This Row],[TOTAL COBERTURA]]*8</f>
        <v>340028640</v>
      </c>
      <c r="AQ560" s="35"/>
      <c r="AR560" s="35">
        <f>Tabla4[[#This Row],[VALOR FASE PREPARATORIA DE ALISTAMIENTO]]+Tabla4[[#This Row],[VALOR FASE PREPARATORIA DE CIERRE]]+Tabla4[[#This Row],[DOTACIÓN ÚNICA]]+Tabla4[[#This Row],[VALOR ATENCIÓN]]+Tabla4[[#This Row],[VALOR RACION PREPARADA]]</f>
        <v>360075285</v>
      </c>
      <c r="AS560" s="35" t="str">
        <f>+IF(Tabla4[[#This Row],[AGRUPACIONES]]=1,SUMIFS(Tabla4[VALOR TOTAL],Tabla4[ZONA DEFINITIVO],Tabla4[[#This Row],[ZONA DEFINITIVO]])," ")</f>
        <v xml:space="preserve"> </v>
      </c>
      <c r="AT560" s="27">
        <f>(VLOOKUP(Tabla4[[#This Row],[SERVICIO 2025]],$J$2:$V$14,3,0)*Tabla4[[#This Row],[TOTAL COBERTURA]])+Tabla4[[#This Row],[VALOR FASE PREPARATORIA DE ALISTAMIENTO]]+Tabla4[[#This Row],[DOTACIÓN ÚNICA]]</f>
        <v>53581908</v>
      </c>
      <c r="AU560" s="35">
        <f>(VLOOKUP(Tabla4[[#This Row],[SERVICIO 2025]],$J$2:$V$14,3,0)*Tabla4[[#This Row],[TOTAL COBERTURA]])</f>
        <v>42503580</v>
      </c>
      <c r="AV560" s="35">
        <f>(VLOOKUP(Tabla4[[#This Row],[SERVICIO 2025]],$J$2:$V$14,3,0)*Tabla4[[#This Row],[TOTAL COBERTURA]])</f>
        <v>42503580</v>
      </c>
      <c r="AW560" s="35">
        <f>(VLOOKUP(Tabla4[[#This Row],[SERVICIO 2025]],$J$2:$V$14,3,0)*Tabla4[[#This Row],[TOTAL COBERTURA]])</f>
        <v>42503580</v>
      </c>
      <c r="AX560" s="35">
        <f>(VLOOKUP(Tabla4[[#This Row],[SERVICIO 2025]],$J$2:$V$14,3,0)*Tabla4[[#This Row],[TOTAL COBERTURA]])</f>
        <v>42503580</v>
      </c>
      <c r="AY560" s="35">
        <f>(VLOOKUP(Tabla4[[#This Row],[SERVICIO 2025]],$J$2:$V$14,3,0)*Tabla4[[#This Row],[TOTAL COBERTURA]])</f>
        <v>42503580</v>
      </c>
      <c r="AZ560" s="35">
        <f>(VLOOKUP(Tabla4[[#This Row],[SERVICIO 2025]],$J$2:$V$14,3,0)*Tabla4[[#This Row],[TOTAL COBERTURA]])</f>
        <v>42503580</v>
      </c>
      <c r="BA560" s="35">
        <f>(VLOOKUP(Tabla4[[#This Row],[SERVICIO 2025]],$J$2:$V$14,3,0)*Tabla4[[#This Row],[TOTAL COBERTURA]])+Tabla4[[#This Row],[VALOR FASE PREPARATORIA DE CIERRE]]</f>
        <v>51471897</v>
      </c>
      <c r="BB560" s="35">
        <f>SUM(Tabla4[[#This Row],[DESEMBOLSO 1]:[DESEMBOLSO 8]])</f>
        <v>360075285</v>
      </c>
      <c r="BC560" s="35">
        <f>VLOOKUP(Tabla4[[#This Row],[SERVICIO 2025]],$J$2:$V$14,10,0)*Tabla4[[#This Row],[TOTAL COBERTURA]]*$W$3</f>
        <v>357056616</v>
      </c>
      <c r="BD560" s="47" t="s">
        <v>211</v>
      </c>
      <c r="BE560" s="12" t="b">
        <f>EXACT(Tabla4[[#This Row],[VALOR ATENCIÓN (8 MESES)]],Tabla4[[#This Row],[VALOR TOTAL]])</f>
        <v>1</v>
      </c>
      <c r="BF560" s="23">
        <f>Tabla4[[#This Row],[VALOR ATENCIÓN (8 MESES)]]-Tabla4[[#This Row],[VALOR TOTAL]]</f>
        <v>0</v>
      </c>
      <c r="BG560" s="12" t="b">
        <f>EXACT(Tabla4[[#This Row],[TOTAL DESEMBOLSOS]],Tabla4[[#This Row],[VALOR ATENCIÓN (8 MESES)]])</f>
        <v>1</v>
      </c>
      <c r="BH560" s="29">
        <f>Tabla4[[#This Row],[TOTAL DESEMBOLSOS]]-Tabla4[[#This Row],[VALOR ATENCIÓN (8 MESES)]]</f>
        <v>0</v>
      </c>
      <c r="BI560" t="s">
        <v>98</v>
      </c>
      <c r="BJ560">
        <v>1939</v>
      </c>
    </row>
    <row r="561" spans="1:62">
      <c r="A561" s="13">
        <v>1939</v>
      </c>
      <c r="B561" s="13" t="s">
        <v>1275</v>
      </c>
      <c r="C561" s="12" t="s">
        <v>87</v>
      </c>
      <c r="D561" s="12" t="s">
        <v>673</v>
      </c>
      <c r="E561" s="12" t="s">
        <v>1276</v>
      </c>
      <c r="F561" s="12" t="s">
        <v>21</v>
      </c>
      <c r="G561" s="12" t="s">
        <v>90</v>
      </c>
      <c r="H561" s="12" t="s">
        <v>1288</v>
      </c>
      <c r="I561" s="12">
        <v>51901152031</v>
      </c>
      <c r="J561" s="12" t="s">
        <v>1289</v>
      </c>
      <c r="K561" s="12">
        <v>1</v>
      </c>
      <c r="L561" s="12">
        <v>3</v>
      </c>
      <c r="M561" s="12"/>
      <c r="N561" s="13">
        <v>1939</v>
      </c>
      <c r="O561" s="12" t="s">
        <v>93</v>
      </c>
      <c r="P561" s="12"/>
      <c r="Q561" s="12"/>
      <c r="R561" s="12" t="s">
        <v>94</v>
      </c>
      <c r="S561" s="12">
        <v>10</v>
      </c>
      <c r="T561" s="12" t="s">
        <v>390</v>
      </c>
      <c r="U561" s="12" t="s">
        <v>391</v>
      </c>
      <c r="V561" s="12">
        <f>VLOOKUP(Tabla4[[#This Row],[ZONA DEFINITIVO]],Hoja1!$A$1:$D$121,3,0)</f>
        <v>229109</v>
      </c>
      <c r="W561" s="12">
        <f>VLOOKUP(Tabla4[[#This Row],[ZONA DEFINITIVO]],Hoja1!$A$1:$D$121,2,0)</f>
        <v>15215</v>
      </c>
      <c r="X561" s="12">
        <f>VLOOKUP(Tabla4[[#This Row],[ZONA DEFINITIVO]],Hoja1!$A$1:$D$121,4,0)</f>
        <v>86425</v>
      </c>
      <c r="Y561" s="12" t="str">
        <f>+IF(Tabla4[[#This Row],[AGRUPACIONES]]=1,SUMIFS(Tabla4[UDS],Tabla4[ZONA DEFINITIVO],Tabla4[[#This Row],[ZONA DEFINITIVO]])," ")</f>
        <v xml:space="preserve"> </v>
      </c>
      <c r="Z561" s="12" t="str">
        <f>+IF(Tabla4[[#This Row],[AGRUPACIONES]]=1,SUMIFS(Tabla4[TOTAL COBERTURA],Tabla4[ZONA DEFINITIVO],Tabla4[[#This Row],[ZONA DEFINITIVO]])," ")</f>
        <v xml:space="preserve"> </v>
      </c>
      <c r="AA561" s="12"/>
      <c r="AB561" s="38">
        <v>4557915</v>
      </c>
      <c r="AC561" s="37">
        <v>0.02</v>
      </c>
      <c r="AD561" s="38">
        <f t="shared" si="9"/>
        <v>91158.3</v>
      </c>
      <c r="AE561" s="12"/>
      <c r="AF561" s="12">
        <f>COUNTIF($A$20:A561,A561)</f>
        <v>7</v>
      </c>
      <c r="AG561" s="38">
        <v>4557915</v>
      </c>
      <c r="AH561" s="38">
        <f>Tabla4[[#This Row],[VALOR CONTRAPARTIDA]]+Tabla4[[#This Row],[TOTAL APORTES ICBF]]</f>
        <v>4649073.3</v>
      </c>
      <c r="AI561" s="35"/>
      <c r="AJ561" s="38"/>
      <c r="AK561" s="38"/>
      <c r="AL561" s="23"/>
      <c r="AM561" s="35">
        <f>VLOOKUP(Tabla4[[#This Row],[SERVICIO 2025]],$J$2:$V$14,5,0)*Tabla4[[#This Row],[TOTAL COBERTURA]]</f>
        <v>140232</v>
      </c>
      <c r="AN561" s="35">
        <f>VLOOKUP(Tabla4[[#This Row],[SERVICIO 2025]],$J$2:$V$14,6,0)*Tabla4[[#This Row],[TOTAL COBERTURA]]</f>
        <v>113523</v>
      </c>
      <c r="AO561" s="35">
        <f>VLOOKUP(Tabla4[[#This Row],[SERVICIO 2025]],$J$2:$V$14,8,0)*Tabla4[[#This Row],[TOTAL COBERTURA]]</f>
        <v>0</v>
      </c>
      <c r="AP561" s="35">
        <f>VLOOKUP(Tabla4[[#This Row],[SERVICIO 2025]],$J$2:$V$14,3,0)*Tabla4[[#This Row],[TOTAL COBERTURA]]*8</f>
        <v>4304160</v>
      </c>
      <c r="AQ561" s="35"/>
      <c r="AR561" s="35">
        <f>Tabla4[[#This Row],[VALOR FASE PREPARATORIA DE ALISTAMIENTO]]+Tabla4[[#This Row],[VALOR FASE PREPARATORIA DE CIERRE]]+Tabla4[[#This Row],[DOTACIÓN ÚNICA]]+Tabla4[[#This Row],[VALOR ATENCIÓN]]+Tabla4[[#This Row],[VALOR RACION PREPARADA]]</f>
        <v>4557915</v>
      </c>
      <c r="AS561" s="35" t="str">
        <f>+IF(Tabla4[[#This Row],[AGRUPACIONES]]=1,SUMIFS(Tabla4[VALOR TOTAL],Tabla4[ZONA DEFINITIVO],Tabla4[[#This Row],[ZONA DEFINITIVO]])," ")</f>
        <v xml:space="preserve"> </v>
      </c>
      <c r="AT561" s="27">
        <f>(VLOOKUP(Tabla4[[#This Row],[SERVICIO 2025]],$J$2:$V$14,3,0)*Tabla4[[#This Row],[TOTAL COBERTURA]])+Tabla4[[#This Row],[VALOR FASE PREPARATORIA DE ALISTAMIENTO]]+Tabla4[[#This Row],[DOTACIÓN ÚNICA]]</f>
        <v>678252</v>
      </c>
      <c r="AU561" s="35">
        <f>(VLOOKUP(Tabla4[[#This Row],[SERVICIO 2025]],$J$2:$V$14,3,0)*Tabla4[[#This Row],[TOTAL COBERTURA]])</f>
        <v>538020</v>
      </c>
      <c r="AV561" s="35">
        <f>(VLOOKUP(Tabla4[[#This Row],[SERVICIO 2025]],$J$2:$V$14,3,0)*Tabla4[[#This Row],[TOTAL COBERTURA]])</f>
        <v>538020</v>
      </c>
      <c r="AW561" s="35">
        <f>(VLOOKUP(Tabla4[[#This Row],[SERVICIO 2025]],$J$2:$V$14,3,0)*Tabla4[[#This Row],[TOTAL COBERTURA]])</f>
        <v>538020</v>
      </c>
      <c r="AX561" s="35">
        <f>(VLOOKUP(Tabla4[[#This Row],[SERVICIO 2025]],$J$2:$V$14,3,0)*Tabla4[[#This Row],[TOTAL COBERTURA]])</f>
        <v>538020</v>
      </c>
      <c r="AY561" s="35">
        <f>(VLOOKUP(Tabla4[[#This Row],[SERVICIO 2025]],$J$2:$V$14,3,0)*Tabla4[[#This Row],[TOTAL COBERTURA]])</f>
        <v>538020</v>
      </c>
      <c r="AZ561" s="35">
        <f>(VLOOKUP(Tabla4[[#This Row],[SERVICIO 2025]],$J$2:$V$14,3,0)*Tabla4[[#This Row],[TOTAL COBERTURA]])</f>
        <v>538020</v>
      </c>
      <c r="BA561" s="35">
        <f>(VLOOKUP(Tabla4[[#This Row],[SERVICIO 2025]],$J$2:$V$14,3,0)*Tabla4[[#This Row],[TOTAL COBERTURA]])+Tabla4[[#This Row],[VALOR FASE PREPARATORIA DE CIERRE]]</f>
        <v>651543</v>
      </c>
      <c r="BB561" s="35">
        <f>SUM(Tabla4[[#This Row],[DESEMBOLSO 1]:[DESEMBOLSO 8]])</f>
        <v>4557915</v>
      </c>
      <c r="BC561" s="35">
        <f>VLOOKUP(Tabla4[[#This Row],[SERVICIO 2025]],$J$2:$V$14,10,0)*Tabla4[[#This Row],[TOTAL COBERTURA]]*$W$3</f>
        <v>4519704</v>
      </c>
      <c r="BD561" s="47" t="s">
        <v>211</v>
      </c>
      <c r="BE561" s="12" t="b">
        <f>EXACT(Tabla4[[#This Row],[VALOR ATENCIÓN (8 MESES)]],Tabla4[[#This Row],[VALOR TOTAL]])</f>
        <v>1</v>
      </c>
      <c r="BF561" s="23">
        <f>Tabla4[[#This Row],[VALOR ATENCIÓN (8 MESES)]]-Tabla4[[#This Row],[VALOR TOTAL]]</f>
        <v>0</v>
      </c>
      <c r="BG561" s="12" t="b">
        <f>EXACT(Tabla4[[#This Row],[TOTAL DESEMBOLSOS]],Tabla4[[#This Row],[VALOR ATENCIÓN (8 MESES)]])</f>
        <v>1</v>
      </c>
      <c r="BH561" s="29">
        <f>Tabla4[[#This Row],[TOTAL DESEMBOLSOS]]-Tabla4[[#This Row],[VALOR ATENCIÓN (8 MESES)]]</f>
        <v>0</v>
      </c>
      <c r="BI561" t="s">
        <v>98</v>
      </c>
      <c r="BJ561">
        <v>1939</v>
      </c>
    </row>
    <row r="562" spans="1:62">
      <c r="A562" s="13">
        <v>1939</v>
      </c>
      <c r="B562" s="13" t="s">
        <v>1275</v>
      </c>
      <c r="C562" s="12" t="s">
        <v>87</v>
      </c>
      <c r="D562" s="12" t="s">
        <v>673</v>
      </c>
      <c r="E562" s="12" t="s">
        <v>1276</v>
      </c>
      <c r="F562" s="12" t="s">
        <v>21</v>
      </c>
      <c r="G562" s="12" t="s">
        <v>90</v>
      </c>
      <c r="H562" s="12" t="s">
        <v>1290</v>
      </c>
      <c r="I562" s="12">
        <v>51901152032</v>
      </c>
      <c r="J562" s="12" t="s">
        <v>1291</v>
      </c>
      <c r="K562" s="12">
        <v>1</v>
      </c>
      <c r="L562" s="12">
        <v>25</v>
      </c>
      <c r="M562" s="12"/>
      <c r="N562" s="13">
        <v>1939</v>
      </c>
      <c r="O562" s="12" t="s">
        <v>93</v>
      </c>
      <c r="P562" s="12"/>
      <c r="Q562" s="12"/>
      <c r="R562" s="12" t="s">
        <v>94</v>
      </c>
      <c r="S562" s="12">
        <v>10</v>
      </c>
      <c r="T562" s="12" t="s">
        <v>390</v>
      </c>
      <c r="U562" s="12" t="s">
        <v>391</v>
      </c>
      <c r="V562" s="12">
        <f>VLOOKUP(Tabla4[[#This Row],[ZONA DEFINITIVO]],Hoja1!$A$1:$D$121,3,0)</f>
        <v>229109</v>
      </c>
      <c r="W562" s="12">
        <f>VLOOKUP(Tabla4[[#This Row],[ZONA DEFINITIVO]],Hoja1!$A$1:$D$121,2,0)</f>
        <v>15215</v>
      </c>
      <c r="X562" s="12">
        <f>VLOOKUP(Tabla4[[#This Row],[ZONA DEFINITIVO]],Hoja1!$A$1:$D$121,4,0)</f>
        <v>86425</v>
      </c>
      <c r="Y562" s="12" t="str">
        <f>+IF(Tabla4[[#This Row],[AGRUPACIONES]]=1,SUMIFS(Tabla4[UDS],Tabla4[ZONA DEFINITIVO],Tabla4[[#This Row],[ZONA DEFINITIVO]])," ")</f>
        <v xml:space="preserve"> </v>
      </c>
      <c r="Z562" s="12" t="str">
        <f>+IF(Tabla4[[#This Row],[AGRUPACIONES]]=1,SUMIFS(Tabla4[TOTAL COBERTURA],Tabla4[ZONA DEFINITIVO],Tabla4[[#This Row],[ZONA DEFINITIVO]])," ")</f>
        <v xml:space="preserve"> </v>
      </c>
      <c r="AA562" s="12"/>
      <c r="AB562" s="38">
        <v>37982625</v>
      </c>
      <c r="AC562" s="37">
        <v>0.02</v>
      </c>
      <c r="AD562" s="38">
        <f t="shared" si="9"/>
        <v>759652.5</v>
      </c>
      <c r="AE562" s="12"/>
      <c r="AF562" s="12">
        <f>COUNTIF($A$20:A562,A562)</f>
        <v>8</v>
      </c>
      <c r="AG562" s="38">
        <v>37982625</v>
      </c>
      <c r="AH562" s="38">
        <f>Tabla4[[#This Row],[VALOR CONTRAPARTIDA]]+Tabla4[[#This Row],[TOTAL APORTES ICBF]]</f>
        <v>38742277.5</v>
      </c>
      <c r="AI562" s="35"/>
      <c r="AJ562" s="38"/>
      <c r="AK562" s="38"/>
      <c r="AL562" s="23"/>
      <c r="AM562" s="35">
        <f>VLOOKUP(Tabla4[[#This Row],[SERVICIO 2025]],$J$2:$V$14,5,0)*Tabla4[[#This Row],[TOTAL COBERTURA]]</f>
        <v>1168600</v>
      </c>
      <c r="AN562" s="35">
        <f>VLOOKUP(Tabla4[[#This Row],[SERVICIO 2025]],$J$2:$V$14,6,0)*Tabla4[[#This Row],[TOTAL COBERTURA]]</f>
        <v>946025</v>
      </c>
      <c r="AO562" s="35">
        <f>VLOOKUP(Tabla4[[#This Row],[SERVICIO 2025]],$J$2:$V$14,8,0)*Tabla4[[#This Row],[TOTAL COBERTURA]]</f>
        <v>0</v>
      </c>
      <c r="AP562" s="35">
        <f>VLOOKUP(Tabla4[[#This Row],[SERVICIO 2025]],$J$2:$V$14,3,0)*Tabla4[[#This Row],[TOTAL COBERTURA]]*8</f>
        <v>35868000</v>
      </c>
      <c r="AQ562" s="35"/>
      <c r="AR562" s="35">
        <f>Tabla4[[#This Row],[VALOR FASE PREPARATORIA DE ALISTAMIENTO]]+Tabla4[[#This Row],[VALOR FASE PREPARATORIA DE CIERRE]]+Tabla4[[#This Row],[DOTACIÓN ÚNICA]]+Tabla4[[#This Row],[VALOR ATENCIÓN]]+Tabla4[[#This Row],[VALOR RACION PREPARADA]]</f>
        <v>37982625</v>
      </c>
      <c r="AS562" s="35" t="str">
        <f>+IF(Tabla4[[#This Row],[AGRUPACIONES]]=1,SUMIFS(Tabla4[VALOR TOTAL],Tabla4[ZONA DEFINITIVO],Tabla4[[#This Row],[ZONA DEFINITIVO]])," ")</f>
        <v xml:space="preserve"> </v>
      </c>
      <c r="AT562" s="27">
        <f>(VLOOKUP(Tabla4[[#This Row],[SERVICIO 2025]],$J$2:$V$14,3,0)*Tabla4[[#This Row],[TOTAL COBERTURA]])+Tabla4[[#This Row],[VALOR FASE PREPARATORIA DE ALISTAMIENTO]]+Tabla4[[#This Row],[DOTACIÓN ÚNICA]]</f>
        <v>5652100</v>
      </c>
      <c r="AU562" s="35">
        <f>(VLOOKUP(Tabla4[[#This Row],[SERVICIO 2025]],$J$2:$V$14,3,0)*Tabla4[[#This Row],[TOTAL COBERTURA]])</f>
        <v>4483500</v>
      </c>
      <c r="AV562" s="35">
        <f>(VLOOKUP(Tabla4[[#This Row],[SERVICIO 2025]],$J$2:$V$14,3,0)*Tabla4[[#This Row],[TOTAL COBERTURA]])</f>
        <v>4483500</v>
      </c>
      <c r="AW562" s="35">
        <f>(VLOOKUP(Tabla4[[#This Row],[SERVICIO 2025]],$J$2:$V$14,3,0)*Tabla4[[#This Row],[TOTAL COBERTURA]])</f>
        <v>4483500</v>
      </c>
      <c r="AX562" s="35">
        <f>(VLOOKUP(Tabla4[[#This Row],[SERVICIO 2025]],$J$2:$V$14,3,0)*Tabla4[[#This Row],[TOTAL COBERTURA]])</f>
        <v>4483500</v>
      </c>
      <c r="AY562" s="35">
        <f>(VLOOKUP(Tabla4[[#This Row],[SERVICIO 2025]],$J$2:$V$14,3,0)*Tabla4[[#This Row],[TOTAL COBERTURA]])</f>
        <v>4483500</v>
      </c>
      <c r="AZ562" s="35">
        <f>(VLOOKUP(Tabla4[[#This Row],[SERVICIO 2025]],$J$2:$V$14,3,0)*Tabla4[[#This Row],[TOTAL COBERTURA]])</f>
        <v>4483500</v>
      </c>
      <c r="BA562" s="35">
        <f>(VLOOKUP(Tabla4[[#This Row],[SERVICIO 2025]],$J$2:$V$14,3,0)*Tabla4[[#This Row],[TOTAL COBERTURA]])+Tabla4[[#This Row],[VALOR FASE PREPARATORIA DE CIERRE]]</f>
        <v>5429525</v>
      </c>
      <c r="BB562" s="35">
        <f>SUM(Tabla4[[#This Row],[DESEMBOLSO 1]:[DESEMBOLSO 8]])</f>
        <v>37982625</v>
      </c>
      <c r="BC562" s="35">
        <f>VLOOKUP(Tabla4[[#This Row],[SERVICIO 2025]],$J$2:$V$14,10,0)*Tabla4[[#This Row],[TOTAL COBERTURA]]*$W$3</f>
        <v>37664200</v>
      </c>
      <c r="BD562" s="47" t="s">
        <v>211</v>
      </c>
      <c r="BE562" s="12" t="b">
        <f>EXACT(Tabla4[[#This Row],[VALOR ATENCIÓN (8 MESES)]],Tabla4[[#This Row],[VALOR TOTAL]])</f>
        <v>1</v>
      </c>
      <c r="BF562" s="23">
        <f>Tabla4[[#This Row],[VALOR ATENCIÓN (8 MESES)]]-Tabla4[[#This Row],[VALOR TOTAL]]</f>
        <v>0</v>
      </c>
      <c r="BG562" s="12" t="b">
        <f>EXACT(Tabla4[[#This Row],[TOTAL DESEMBOLSOS]],Tabla4[[#This Row],[VALOR ATENCIÓN (8 MESES)]])</f>
        <v>1</v>
      </c>
      <c r="BH562" s="29">
        <f>Tabla4[[#This Row],[TOTAL DESEMBOLSOS]]-Tabla4[[#This Row],[VALOR ATENCIÓN (8 MESES)]]</f>
        <v>0</v>
      </c>
      <c r="BI562" t="s">
        <v>98</v>
      </c>
      <c r="BJ562">
        <v>1939</v>
      </c>
    </row>
    <row r="563" spans="1:62">
      <c r="A563" s="13">
        <v>1940</v>
      </c>
      <c r="B563" s="13" t="s">
        <v>1292</v>
      </c>
      <c r="C563" s="12" t="s">
        <v>87</v>
      </c>
      <c r="D563" s="12" t="s">
        <v>1293</v>
      </c>
      <c r="E563" s="12" t="s">
        <v>1294</v>
      </c>
      <c r="F563" s="12" t="s">
        <v>18</v>
      </c>
      <c r="G563" s="12" t="s">
        <v>90</v>
      </c>
      <c r="H563" s="12" t="s">
        <v>1295</v>
      </c>
      <c r="I563" s="12">
        <v>51971115162</v>
      </c>
      <c r="J563" s="12" t="s">
        <v>1296</v>
      </c>
      <c r="K563" s="12">
        <v>1</v>
      </c>
      <c r="L563" s="12">
        <v>50</v>
      </c>
      <c r="M563" s="12"/>
      <c r="N563" s="13">
        <v>1940</v>
      </c>
      <c r="O563" s="12" t="s">
        <v>93</v>
      </c>
      <c r="P563" s="12"/>
      <c r="Q563" s="12"/>
      <c r="R563" s="12" t="s">
        <v>94</v>
      </c>
      <c r="S563" s="12">
        <v>10</v>
      </c>
      <c r="T563" s="12" t="s">
        <v>466</v>
      </c>
      <c r="U563" s="12" t="s">
        <v>467</v>
      </c>
      <c r="V563" s="12">
        <f>VLOOKUP(Tabla4[[#This Row],[ZONA DEFINITIVO]],Hoja1!$A$1:$D$121,3,0)</f>
        <v>229110</v>
      </c>
      <c r="W563" s="12">
        <f>VLOOKUP(Tabla4[[#This Row],[ZONA DEFINITIVO]],Hoja1!$A$1:$D$121,2,0)</f>
        <v>15201</v>
      </c>
      <c r="X563" s="12">
        <f>VLOOKUP(Tabla4[[#This Row],[ZONA DEFINITIVO]],Hoja1!$A$1:$D$121,4,0)</f>
        <v>83525</v>
      </c>
      <c r="Y563" s="12">
        <f>+IF(Tabla4[[#This Row],[AGRUPACIONES]]=1,SUMIFS(Tabla4[UDS],Tabla4[ZONA DEFINITIVO],Tabla4[[#This Row],[ZONA DEFINITIVO]])," ")</f>
        <v>7</v>
      </c>
      <c r="Z563" s="12">
        <f>+IF(Tabla4[[#This Row],[AGRUPACIONES]]=1,SUMIFS(Tabla4[TOTAL COBERTURA],Tabla4[ZONA DEFINITIVO],Tabla4[[#This Row],[ZONA DEFINITIVO]])," ")</f>
        <v>504</v>
      </c>
      <c r="AA563" s="12"/>
      <c r="AB563" s="38">
        <v>109009650</v>
      </c>
      <c r="AC563" s="37">
        <v>0.02</v>
      </c>
      <c r="AD563" s="38">
        <f t="shared" si="9"/>
        <v>2180193</v>
      </c>
      <c r="AE563" s="12"/>
      <c r="AF563" s="12">
        <f>COUNTIF($A$20:A563,A563)</f>
        <v>1</v>
      </c>
      <c r="AG563" s="38">
        <v>109009650</v>
      </c>
      <c r="AH563" s="38">
        <f>Tabla4[[#This Row],[VALOR CONTRAPARTIDA]]+Tabla4[[#This Row],[TOTAL APORTES ICBF]]</f>
        <v>111189843</v>
      </c>
      <c r="AI563" s="35">
        <f>ROUND(+IF(Tabla4[[#This Row],[AGRUPACIONES]]=1,SUMIFS(Tabla4[TOTAL APORTES ICBF],Tabla4[ZONA DEFINITIVO],Tabla4[[#This Row],[ZONA DEFINITIVO]])," "),0)</f>
        <v>1724066408</v>
      </c>
      <c r="AJ563" s="38">
        <f>ROUND(+IF(Tabla4[[#This Row],[AGRUPACIONES]]=1,SUMIFS(Tabla4[VALOR CONTRAPARTIDA],Tabla4[ZONA DEFINITIVO],Tabla4[[#This Row],[ZONA DEFINITIVO]])," "),0)</f>
        <v>34481328</v>
      </c>
      <c r="AK563" s="38">
        <f>Tabla4[[#This Row],[TOTAL APORTES ICBF AGRUPADO]]+Tabla4[[#This Row],[TOTAL CONTRAPARTIDA AGRUPADO]]</f>
        <v>1758547736</v>
      </c>
      <c r="AL563" s="23">
        <f>Tabla4[[#This Row],[TOTAL APORTES ICBF AGRUPADO]]/$AL$18</f>
        <v>1211.1460540920266</v>
      </c>
      <c r="AM563" s="35">
        <f>VLOOKUP(Tabla4[[#This Row],[SERVICIO 2025]],$J$2:$V$14,5,0)*Tabla4[[#This Row],[TOTAL COBERTURA]]</f>
        <v>2468800</v>
      </c>
      <c r="AN563" s="35">
        <f>VLOOKUP(Tabla4[[#This Row],[SERVICIO 2025]],$J$2:$V$14,6,0)*Tabla4[[#This Row],[TOTAL COBERTURA]]</f>
        <v>2051450</v>
      </c>
      <c r="AO563" s="35">
        <f>VLOOKUP(Tabla4[[#This Row],[SERVICIO 2025]],$J$2:$V$14,8,0)*Tabla4[[#This Row],[TOTAL COBERTURA]]</f>
        <v>1455000</v>
      </c>
      <c r="AP563" s="35">
        <f>VLOOKUP(Tabla4[[#This Row],[SERVICIO 2025]],$J$2:$V$14,3,0)*Tabla4[[#This Row],[TOTAL COBERTURA]]*8</f>
        <v>103034400</v>
      </c>
      <c r="AQ563" s="35"/>
      <c r="AR563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563" s="35">
        <f>+IF(Tabla4[[#This Row],[AGRUPACIONES]]=1,SUMIFS(Tabla4[VALOR TOTAL],Tabla4[ZONA DEFINITIVO],Tabla4[[#This Row],[ZONA DEFINITIVO]])," ")</f>
        <v>1724066408</v>
      </c>
      <c r="AT563" s="27">
        <f>(VLOOKUP(Tabla4[[#This Row],[SERVICIO 2025]],$J$2:$V$14,3,0)*Tabla4[[#This Row],[TOTAL COBERTURA]])+Tabla4[[#This Row],[VALOR FASE PREPARATORIA DE ALISTAMIENTO]]+Tabla4[[#This Row],[DOTACIÓN ÚNICA]]</f>
        <v>16803100</v>
      </c>
      <c r="AU563" s="35">
        <f>(VLOOKUP(Tabla4[[#This Row],[SERVICIO 2025]],$J$2:$V$14,3,0)*Tabla4[[#This Row],[TOTAL COBERTURA]])</f>
        <v>12879300</v>
      </c>
      <c r="AV563" s="35">
        <f>(VLOOKUP(Tabla4[[#This Row],[SERVICIO 2025]],$J$2:$V$14,3,0)*Tabla4[[#This Row],[TOTAL COBERTURA]])</f>
        <v>12879300</v>
      </c>
      <c r="AW563" s="35">
        <f>(VLOOKUP(Tabla4[[#This Row],[SERVICIO 2025]],$J$2:$V$14,3,0)*Tabla4[[#This Row],[TOTAL COBERTURA]])</f>
        <v>12879300</v>
      </c>
      <c r="AX563" s="35">
        <f>(VLOOKUP(Tabla4[[#This Row],[SERVICIO 2025]],$J$2:$V$14,3,0)*Tabla4[[#This Row],[TOTAL COBERTURA]])</f>
        <v>12879300</v>
      </c>
      <c r="AY563" s="35">
        <f>(VLOOKUP(Tabla4[[#This Row],[SERVICIO 2025]],$J$2:$V$14,3,0)*Tabla4[[#This Row],[TOTAL COBERTURA]])</f>
        <v>12879300</v>
      </c>
      <c r="AZ563" s="35">
        <f>(VLOOKUP(Tabla4[[#This Row],[SERVICIO 2025]],$J$2:$V$14,3,0)*Tabla4[[#This Row],[TOTAL COBERTURA]])</f>
        <v>12879300</v>
      </c>
      <c r="BA563" s="35">
        <f>(VLOOKUP(Tabla4[[#This Row],[SERVICIO 2025]],$J$2:$V$14,3,0)*Tabla4[[#This Row],[TOTAL COBERTURA]])+Tabla4[[#This Row],[VALOR FASE PREPARATORIA DE CIERRE]]</f>
        <v>14930750</v>
      </c>
      <c r="BB563" s="35">
        <f>SUM(Tabla4[[#This Row],[DESEMBOLSO 1]:[DESEMBOLSO 8]])</f>
        <v>109009650</v>
      </c>
      <c r="BC563" s="35">
        <f>VLOOKUP(Tabla4[[#This Row],[SERVICIO 2025]],$J$2:$V$14,10,0)*Tabla4[[#This Row],[TOTAL COBERTURA]]*$W$3</f>
        <v>72153200</v>
      </c>
      <c r="BD563" s="47" t="s">
        <v>211</v>
      </c>
      <c r="BE563" s="12" t="b">
        <f>EXACT(Tabla4[[#This Row],[VALOR ATENCIÓN (8 MESES)]],Tabla4[[#This Row],[VALOR TOTAL]])</f>
        <v>1</v>
      </c>
      <c r="BF563" s="23">
        <f>Tabla4[[#This Row],[VALOR ATENCIÓN (8 MESES)]]-Tabla4[[#This Row],[VALOR TOTAL]]</f>
        <v>0</v>
      </c>
      <c r="BG563" s="12" t="b">
        <f>EXACT(Tabla4[[#This Row],[TOTAL DESEMBOLSOS]],Tabla4[[#This Row],[VALOR ATENCIÓN (8 MESES)]])</f>
        <v>1</v>
      </c>
      <c r="BH563" s="29">
        <f>Tabla4[[#This Row],[TOTAL DESEMBOLSOS]]-Tabla4[[#This Row],[VALOR ATENCIÓN (8 MESES)]]</f>
        <v>0</v>
      </c>
      <c r="BI563" t="s">
        <v>98</v>
      </c>
      <c r="BJ563">
        <v>1940</v>
      </c>
    </row>
    <row r="564" spans="1:62">
      <c r="A564" s="13">
        <v>1940</v>
      </c>
      <c r="B564" s="13" t="s">
        <v>1292</v>
      </c>
      <c r="C564" s="12" t="s">
        <v>87</v>
      </c>
      <c r="D564" s="12" t="s">
        <v>1293</v>
      </c>
      <c r="E564" s="12" t="s">
        <v>1294</v>
      </c>
      <c r="F564" s="12" t="s">
        <v>18</v>
      </c>
      <c r="G564" s="12" t="s">
        <v>90</v>
      </c>
      <c r="H564" s="12" t="s">
        <v>1297</v>
      </c>
      <c r="I564" s="12">
        <v>51971135994</v>
      </c>
      <c r="J564" s="12" t="s">
        <v>1298</v>
      </c>
      <c r="K564" s="12">
        <v>1</v>
      </c>
      <c r="L564" s="12">
        <v>50</v>
      </c>
      <c r="M564" s="12"/>
      <c r="N564" s="13">
        <v>1940</v>
      </c>
      <c r="O564" s="12" t="s">
        <v>93</v>
      </c>
      <c r="P564" s="12"/>
      <c r="Q564" s="12"/>
      <c r="R564" s="12" t="s">
        <v>94</v>
      </c>
      <c r="S564" s="12">
        <v>10</v>
      </c>
      <c r="T564" s="12" t="s">
        <v>466</v>
      </c>
      <c r="U564" s="12" t="s">
        <v>467</v>
      </c>
      <c r="V564" s="12">
        <f>VLOOKUP(Tabla4[[#This Row],[ZONA DEFINITIVO]],Hoja1!$A$1:$D$121,3,0)</f>
        <v>229110</v>
      </c>
      <c r="W564" s="12">
        <f>VLOOKUP(Tabla4[[#This Row],[ZONA DEFINITIVO]],Hoja1!$A$1:$D$121,2,0)</f>
        <v>15201</v>
      </c>
      <c r="X564" s="12">
        <f>VLOOKUP(Tabla4[[#This Row],[ZONA DEFINITIVO]],Hoja1!$A$1:$D$121,4,0)</f>
        <v>83525</v>
      </c>
      <c r="Y564" s="12" t="str">
        <f>+IF(Tabla4[[#This Row],[AGRUPACIONES]]=1,SUMIFS(Tabla4[UDS],Tabla4[ZONA DEFINITIVO],Tabla4[[#This Row],[ZONA DEFINITIVO]])," ")</f>
        <v xml:space="preserve"> </v>
      </c>
      <c r="Z564" s="12" t="str">
        <f>+IF(Tabla4[[#This Row],[AGRUPACIONES]]=1,SUMIFS(Tabla4[TOTAL COBERTURA],Tabla4[ZONA DEFINITIVO],Tabla4[[#This Row],[ZONA DEFINITIVO]])," ")</f>
        <v xml:space="preserve"> </v>
      </c>
      <c r="AA564" s="12"/>
      <c r="AB564" s="38">
        <v>109009650</v>
      </c>
      <c r="AC564" s="37">
        <v>0.02</v>
      </c>
      <c r="AD564" s="38">
        <f t="shared" si="9"/>
        <v>2180193</v>
      </c>
      <c r="AE564" s="12"/>
      <c r="AF564" s="12">
        <f>COUNTIF($A$20:A564,A564)</f>
        <v>2</v>
      </c>
      <c r="AG564" s="38">
        <v>109009650</v>
      </c>
      <c r="AH564" s="38">
        <f>Tabla4[[#This Row],[VALOR CONTRAPARTIDA]]+Tabla4[[#This Row],[TOTAL APORTES ICBF]]</f>
        <v>111189843</v>
      </c>
      <c r="AI564" s="35"/>
      <c r="AJ564" s="38"/>
      <c r="AK564" s="38"/>
      <c r="AL564" s="23"/>
      <c r="AM564" s="35">
        <f>VLOOKUP(Tabla4[[#This Row],[SERVICIO 2025]],$J$2:$V$14,5,0)*Tabla4[[#This Row],[TOTAL COBERTURA]]</f>
        <v>2468800</v>
      </c>
      <c r="AN564" s="35">
        <f>VLOOKUP(Tabla4[[#This Row],[SERVICIO 2025]],$J$2:$V$14,6,0)*Tabla4[[#This Row],[TOTAL COBERTURA]]</f>
        <v>2051450</v>
      </c>
      <c r="AO564" s="35">
        <f>VLOOKUP(Tabla4[[#This Row],[SERVICIO 2025]],$J$2:$V$14,8,0)*Tabla4[[#This Row],[TOTAL COBERTURA]]</f>
        <v>1455000</v>
      </c>
      <c r="AP564" s="35">
        <f>VLOOKUP(Tabla4[[#This Row],[SERVICIO 2025]],$J$2:$V$14,3,0)*Tabla4[[#This Row],[TOTAL COBERTURA]]*8</f>
        <v>103034400</v>
      </c>
      <c r="AQ564" s="35"/>
      <c r="AR564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564" s="35" t="str">
        <f>+IF(Tabla4[[#This Row],[AGRUPACIONES]]=1,SUMIFS(Tabla4[VALOR TOTAL],Tabla4[ZONA DEFINITIVO],Tabla4[[#This Row],[ZONA DEFINITIVO]])," ")</f>
        <v xml:space="preserve"> </v>
      </c>
      <c r="AT564" s="27">
        <f>(VLOOKUP(Tabla4[[#This Row],[SERVICIO 2025]],$J$2:$V$14,3,0)*Tabla4[[#This Row],[TOTAL COBERTURA]])+Tabla4[[#This Row],[VALOR FASE PREPARATORIA DE ALISTAMIENTO]]+Tabla4[[#This Row],[DOTACIÓN ÚNICA]]</f>
        <v>16803100</v>
      </c>
      <c r="AU564" s="35">
        <f>(VLOOKUP(Tabla4[[#This Row],[SERVICIO 2025]],$J$2:$V$14,3,0)*Tabla4[[#This Row],[TOTAL COBERTURA]])</f>
        <v>12879300</v>
      </c>
      <c r="AV564" s="35">
        <f>(VLOOKUP(Tabla4[[#This Row],[SERVICIO 2025]],$J$2:$V$14,3,0)*Tabla4[[#This Row],[TOTAL COBERTURA]])</f>
        <v>12879300</v>
      </c>
      <c r="AW564" s="35">
        <f>(VLOOKUP(Tabla4[[#This Row],[SERVICIO 2025]],$J$2:$V$14,3,0)*Tabla4[[#This Row],[TOTAL COBERTURA]])</f>
        <v>12879300</v>
      </c>
      <c r="AX564" s="35">
        <f>(VLOOKUP(Tabla4[[#This Row],[SERVICIO 2025]],$J$2:$V$14,3,0)*Tabla4[[#This Row],[TOTAL COBERTURA]])</f>
        <v>12879300</v>
      </c>
      <c r="AY564" s="35">
        <f>(VLOOKUP(Tabla4[[#This Row],[SERVICIO 2025]],$J$2:$V$14,3,0)*Tabla4[[#This Row],[TOTAL COBERTURA]])</f>
        <v>12879300</v>
      </c>
      <c r="AZ564" s="35">
        <f>(VLOOKUP(Tabla4[[#This Row],[SERVICIO 2025]],$J$2:$V$14,3,0)*Tabla4[[#This Row],[TOTAL COBERTURA]])</f>
        <v>12879300</v>
      </c>
      <c r="BA564" s="35">
        <f>(VLOOKUP(Tabla4[[#This Row],[SERVICIO 2025]],$J$2:$V$14,3,0)*Tabla4[[#This Row],[TOTAL COBERTURA]])+Tabla4[[#This Row],[VALOR FASE PREPARATORIA DE CIERRE]]</f>
        <v>14930750</v>
      </c>
      <c r="BB564" s="35">
        <f>SUM(Tabla4[[#This Row],[DESEMBOLSO 1]:[DESEMBOLSO 8]])</f>
        <v>109009650</v>
      </c>
      <c r="BC564" s="35">
        <f>VLOOKUP(Tabla4[[#This Row],[SERVICIO 2025]],$J$2:$V$14,10,0)*Tabla4[[#This Row],[TOTAL COBERTURA]]*$W$3</f>
        <v>72153200</v>
      </c>
      <c r="BD564" s="47" t="s">
        <v>211</v>
      </c>
      <c r="BE564" s="12" t="b">
        <f>EXACT(Tabla4[[#This Row],[VALOR ATENCIÓN (8 MESES)]],Tabla4[[#This Row],[VALOR TOTAL]])</f>
        <v>1</v>
      </c>
      <c r="BF564" s="23">
        <f>Tabla4[[#This Row],[VALOR ATENCIÓN (8 MESES)]]-Tabla4[[#This Row],[VALOR TOTAL]]</f>
        <v>0</v>
      </c>
      <c r="BG564" s="12" t="b">
        <f>EXACT(Tabla4[[#This Row],[TOTAL DESEMBOLSOS]],Tabla4[[#This Row],[VALOR ATENCIÓN (8 MESES)]])</f>
        <v>1</v>
      </c>
      <c r="BH564" s="29">
        <f>Tabla4[[#This Row],[TOTAL DESEMBOLSOS]]-Tabla4[[#This Row],[VALOR ATENCIÓN (8 MESES)]]</f>
        <v>0</v>
      </c>
      <c r="BI564" t="s">
        <v>98</v>
      </c>
      <c r="BJ564">
        <v>1940</v>
      </c>
    </row>
    <row r="565" spans="1:62">
      <c r="A565" s="13">
        <v>1940</v>
      </c>
      <c r="B565" s="13" t="s">
        <v>1292</v>
      </c>
      <c r="C565" s="12" t="s">
        <v>87</v>
      </c>
      <c r="D565" s="12" t="s">
        <v>1293</v>
      </c>
      <c r="E565" s="12" t="s">
        <v>1294</v>
      </c>
      <c r="F565" s="12" t="s">
        <v>18</v>
      </c>
      <c r="G565" s="12" t="s">
        <v>90</v>
      </c>
      <c r="H565" s="12" t="s">
        <v>1299</v>
      </c>
      <c r="I565" s="12">
        <v>51971136089</v>
      </c>
      <c r="J565" s="12" t="s">
        <v>1300</v>
      </c>
      <c r="K565" s="12">
        <v>1</v>
      </c>
      <c r="L565" s="12">
        <v>50</v>
      </c>
      <c r="M565" s="12"/>
      <c r="N565" s="13">
        <v>1940</v>
      </c>
      <c r="O565" s="12" t="s">
        <v>93</v>
      </c>
      <c r="P565" s="12"/>
      <c r="Q565" s="12"/>
      <c r="R565" s="12" t="s">
        <v>94</v>
      </c>
      <c r="S565" s="12">
        <v>10</v>
      </c>
      <c r="T565" s="12" t="s">
        <v>466</v>
      </c>
      <c r="U565" s="12" t="s">
        <v>467</v>
      </c>
      <c r="V565" s="12">
        <f>VLOOKUP(Tabla4[[#This Row],[ZONA DEFINITIVO]],Hoja1!$A$1:$D$121,3,0)</f>
        <v>229110</v>
      </c>
      <c r="W565" s="12">
        <f>VLOOKUP(Tabla4[[#This Row],[ZONA DEFINITIVO]],Hoja1!$A$1:$D$121,2,0)</f>
        <v>15201</v>
      </c>
      <c r="X565" s="12">
        <f>VLOOKUP(Tabla4[[#This Row],[ZONA DEFINITIVO]],Hoja1!$A$1:$D$121,4,0)</f>
        <v>83525</v>
      </c>
      <c r="Y565" s="12" t="str">
        <f>+IF(Tabla4[[#This Row],[AGRUPACIONES]]=1,SUMIFS(Tabla4[UDS],Tabla4[ZONA DEFINITIVO],Tabla4[[#This Row],[ZONA DEFINITIVO]])," ")</f>
        <v xml:space="preserve"> </v>
      </c>
      <c r="Z565" s="12" t="str">
        <f>+IF(Tabla4[[#This Row],[AGRUPACIONES]]=1,SUMIFS(Tabla4[TOTAL COBERTURA],Tabla4[ZONA DEFINITIVO],Tabla4[[#This Row],[ZONA DEFINITIVO]])," ")</f>
        <v xml:space="preserve"> </v>
      </c>
      <c r="AA565" s="12"/>
      <c r="AB565" s="38">
        <v>109009650</v>
      </c>
      <c r="AC565" s="37">
        <v>0.02</v>
      </c>
      <c r="AD565" s="38">
        <f t="shared" si="9"/>
        <v>2180193</v>
      </c>
      <c r="AE565" s="12"/>
      <c r="AF565" s="12">
        <f>COUNTIF($A$20:A565,A565)</f>
        <v>3</v>
      </c>
      <c r="AG565" s="38">
        <v>109009650</v>
      </c>
      <c r="AH565" s="38">
        <f>Tabla4[[#This Row],[VALOR CONTRAPARTIDA]]+Tabla4[[#This Row],[TOTAL APORTES ICBF]]</f>
        <v>111189843</v>
      </c>
      <c r="AI565" s="35"/>
      <c r="AJ565" s="38"/>
      <c r="AK565" s="38"/>
      <c r="AL565" s="23"/>
      <c r="AM565" s="35">
        <f>VLOOKUP(Tabla4[[#This Row],[SERVICIO 2025]],$J$2:$V$14,5,0)*Tabla4[[#This Row],[TOTAL COBERTURA]]</f>
        <v>2468800</v>
      </c>
      <c r="AN565" s="35">
        <f>VLOOKUP(Tabla4[[#This Row],[SERVICIO 2025]],$J$2:$V$14,6,0)*Tabla4[[#This Row],[TOTAL COBERTURA]]</f>
        <v>2051450</v>
      </c>
      <c r="AO565" s="35">
        <f>VLOOKUP(Tabla4[[#This Row],[SERVICIO 2025]],$J$2:$V$14,8,0)*Tabla4[[#This Row],[TOTAL COBERTURA]]</f>
        <v>1455000</v>
      </c>
      <c r="AP565" s="35">
        <f>VLOOKUP(Tabla4[[#This Row],[SERVICIO 2025]],$J$2:$V$14,3,0)*Tabla4[[#This Row],[TOTAL COBERTURA]]*8</f>
        <v>103034400</v>
      </c>
      <c r="AQ565" s="35"/>
      <c r="AR565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565" s="35" t="str">
        <f>+IF(Tabla4[[#This Row],[AGRUPACIONES]]=1,SUMIFS(Tabla4[VALOR TOTAL],Tabla4[ZONA DEFINITIVO],Tabla4[[#This Row],[ZONA DEFINITIVO]])," ")</f>
        <v xml:space="preserve"> </v>
      </c>
      <c r="AT565" s="27">
        <f>(VLOOKUP(Tabla4[[#This Row],[SERVICIO 2025]],$J$2:$V$14,3,0)*Tabla4[[#This Row],[TOTAL COBERTURA]])+Tabla4[[#This Row],[VALOR FASE PREPARATORIA DE ALISTAMIENTO]]+Tabla4[[#This Row],[DOTACIÓN ÚNICA]]</f>
        <v>16803100</v>
      </c>
      <c r="AU565" s="35">
        <f>(VLOOKUP(Tabla4[[#This Row],[SERVICIO 2025]],$J$2:$V$14,3,0)*Tabla4[[#This Row],[TOTAL COBERTURA]])</f>
        <v>12879300</v>
      </c>
      <c r="AV565" s="35">
        <f>(VLOOKUP(Tabla4[[#This Row],[SERVICIO 2025]],$J$2:$V$14,3,0)*Tabla4[[#This Row],[TOTAL COBERTURA]])</f>
        <v>12879300</v>
      </c>
      <c r="AW565" s="35">
        <f>(VLOOKUP(Tabla4[[#This Row],[SERVICIO 2025]],$J$2:$V$14,3,0)*Tabla4[[#This Row],[TOTAL COBERTURA]])</f>
        <v>12879300</v>
      </c>
      <c r="AX565" s="35">
        <f>(VLOOKUP(Tabla4[[#This Row],[SERVICIO 2025]],$J$2:$V$14,3,0)*Tabla4[[#This Row],[TOTAL COBERTURA]])</f>
        <v>12879300</v>
      </c>
      <c r="AY565" s="35">
        <f>(VLOOKUP(Tabla4[[#This Row],[SERVICIO 2025]],$J$2:$V$14,3,0)*Tabla4[[#This Row],[TOTAL COBERTURA]])</f>
        <v>12879300</v>
      </c>
      <c r="AZ565" s="35">
        <f>(VLOOKUP(Tabla4[[#This Row],[SERVICIO 2025]],$J$2:$V$14,3,0)*Tabla4[[#This Row],[TOTAL COBERTURA]])</f>
        <v>12879300</v>
      </c>
      <c r="BA565" s="35">
        <f>(VLOOKUP(Tabla4[[#This Row],[SERVICIO 2025]],$J$2:$V$14,3,0)*Tabla4[[#This Row],[TOTAL COBERTURA]])+Tabla4[[#This Row],[VALOR FASE PREPARATORIA DE CIERRE]]</f>
        <v>14930750</v>
      </c>
      <c r="BB565" s="35">
        <f>SUM(Tabla4[[#This Row],[DESEMBOLSO 1]:[DESEMBOLSO 8]])</f>
        <v>109009650</v>
      </c>
      <c r="BC565" s="35">
        <f>VLOOKUP(Tabla4[[#This Row],[SERVICIO 2025]],$J$2:$V$14,10,0)*Tabla4[[#This Row],[TOTAL COBERTURA]]*$W$3</f>
        <v>72153200</v>
      </c>
      <c r="BD565" s="47" t="s">
        <v>211</v>
      </c>
      <c r="BE565" s="12" t="b">
        <f>EXACT(Tabla4[[#This Row],[VALOR ATENCIÓN (8 MESES)]],Tabla4[[#This Row],[VALOR TOTAL]])</f>
        <v>1</v>
      </c>
      <c r="BF565" s="23">
        <f>Tabla4[[#This Row],[VALOR ATENCIÓN (8 MESES)]]-Tabla4[[#This Row],[VALOR TOTAL]]</f>
        <v>0</v>
      </c>
      <c r="BG565" s="12" t="b">
        <f>EXACT(Tabla4[[#This Row],[TOTAL DESEMBOLSOS]],Tabla4[[#This Row],[VALOR ATENCIÓN (8 MESES)]])</f>
        <v>1</v>
      </c>
      <c r="BH565" s="29">
        <f>Tabla4[[#This Row],[TOTAL DESEMBOLSOS]]-Tabla4[[#This Row],[VALOR ATENCIÓN (8 MESES)]]</f>
        <v>0</v>
      </c>
      <c r="BI565" t="s">
        <v>98</v>
      </c>
      <c r="BJ565">
        <v>1940</v>
      </c>
    </row>
    <row r="566" spans="1:62">
      <c r="A566" s="13">
        <v>1940</v>
      </c>
      <c r="B566" s="13" t="s">
        <v>1292</v>
      </c>
      <c r="C566" s="12" t="s">
        <v>87</v>
      </c>
      <c r="D566" s="12" t="s">
        <v>1293</v>
      </c>
      <c r="E566" s="12" t="s">
        <v>1294</v>
      </c>
      <c r="F566" s="12" t="s">
        <v>14</v>
      </c>
      <c r="G566" s="12" t="s">
        <v>90</v>
      </c>
      <c r="H566" s="12" t="s">
        <v>1301</v>
      </c>
      <c r="I566" s="12">
        <v>519700023613</v>
      </c>
      <c r="J566" s="12" t="s">
        <v>1302</v>
      </c>
      <c r="K566" s="12">
        <v>1</v>
      </c>
      <c r="L566" s="12">
        <v>143</v>
      </c>
      <c r="M566" s="12"/>
      <c r="N566" s="13">
        <v>1940</v>
      </c>
      <c r="O566" s="12" t="s">
        <v>93</v>
      </c>
      <c r="P566" s="12"/>
      <c r="Q566" s="12"/>
      <c r="R566" s="12" t="s">
        <v>94</v>
      </c>
      <c r="S566" s="12">
        <v>10</v>
      </c>
      <c r="T566" s="12" t="s">
        <v>466</v>
      </c>
      <c r="U566" s="12" t="s">
        <v>467</v>
      </c>
      <c r="V566" s="12">
        <f>VLOOKUP(Tabla4[[#This Row],[ZONA DEFINITIVO]],Hoja1!$A$1:$D$121,3,0)</f>
        <v>229110</v>
      </c>
      <c r="W566" s="12">
        <f>VLOOKUP(Tabla4[[#This Row],[ZONA DEFINITIVO]],Hoja1!$A$1:$D$121,2,0)</f>
        <v>15201</v>
      </c>
      <c r="X566" s="12">
        <f>VLOOKUP(Tabla4[[#This Row],[ZONA DEFINITIVO]],Hoja1!$A$1:$D$121,4,0)</f>
        <v>83525</v>
      </c>
      <c r="Y566" s="12" t="str">
        <f>+IF(Tabla4[[#This Row],[AGRUPACIONES]]=1,SUMIFS(Tabla4[UDS],Tabla4[ZONA DEFINITIVO],Tabla4[[#This Row],[ZONA DEFINITIVO]])," ")</f>
        <v xml:space="preserve"> </v>
      </c>
      <c r="Z566" s="12" t="str">
        <f>+IF(Tabla4[[#This Row],[AGRUPACIONES]]=1,SUMIFS(Tabla4[TOTAL COBERTURA],Tabla4[ZONA DEFINITIVO],Tabla4[[#This Row],[ZONA DEFINITIVO]])," ")</f>
        <v xml:space="preserve"> </v>
      </c>
      <c r="AA566" s="12"/>
      <c r="AB566" s="38">
        <v>599005550</v>
      </c>
      <c r="AC566" s="37">
        <v>0.02</v>
      </c>
      <c r="AD566" s="38">
        <f t="shared" si="9"/>
        <v>11980111</v>
      </c>
      <c r="AE566" s="12"/>
      <c r="AF566" s="12">
        <f>COUNTIF($A$20:A566,A566)</f>
        <v>4</v>
      </c>
      <c r="AG566" s="38">
        <v>599005550</v>
      </c>
      <c r="AH566" s="38">
        <f>Tabla4[[#This Row],[VALOR CONTRAPARTIDA]]+Tabla4[[#This Row],[TOTAL APORTES ICBF]]</f>
        <v>610985661</v>
      </c>
      <c r="AI566" s="35"/>
      <c r="AJ566" s="38"/>
      <c r="AK566" s="38"/>
      <c r="AL566" s="23"/>
      <c r="AM566" s="35">
        <f>VLOOKUP(Tabla4[[#This Row],[SERVICIO 2025]],$J$2:$V$14,5,0)*Tabla4[[#This Row],[TOTAL COBERTURA]]</f>
        <v>12604449</v>
      </c>
      <c r="AN566" s="35">
        <f>VLOOKUP(Tabla4[[#This Row],[SERVICIO 2025]],$J$2:$V$14,6,0)*Tabla4[[#This Row],[TOTAL COBERTURA]]</f>
        <v>10731149</v>
      </c>
      <c r="AO566" s="35">
        <f>VLOOKUP(Tabla4[[#This Row],[SERVICIO 2025]],$J$2:$V$14,8,0)*Tabla4[[#This Row],[TOTAL COBERTURA]]</f>
        <v>0</v>
      </c>
      <c r="AP566" s="35">
        <f>VLOOKUP(Tabla4[[#This Row],[SERVICIO 2025]],$J$2:$V$14,3,0)*Tabla4[[#This Row],[TOTAL COBERTURA]]*8</f>
        <v>575669952</v>
      </c>
      <c r="AQ566" s="35"/>
      <c r="AR566" s="35">
        <f>Tabla4[[#This Row],[VALOR FASE PREPARATORIA DE ALISTAMIENTO]]+Tabla4[[#This Row],[VALOR FASE PREPARATORIA DE CIERRE]]+Tabla4[[#This Row],[DOTACIÓN ÚNICA]]+Tabla4[[#This Row],[VALOR ATENCIÓN]]+Tabla4[[#This Row],[VALOR RACION PREPARADA]]</f>
        <v>599005550</v>
      </c>
      <c r="AS566" s="35" t="str">
        <f>+IF(Tabla4[[#This Row],[AGRUPACIONES]]=1,SUMIFS(Tabla4[VALOR TOTAL],Tabla4[ZONA DEFINITIVO],Tabla4[[#This Row],[ZONA DEFINITIVO]])," ")</f>
        <v xml:space="preserve"> </v>
      </c>
      <c r="AT566" s="27">
        <f>(VLOOKUP(Tabla4[[#This Row],[SERVICIO 2025]],$J$2:$V$14,3,0)*Tabla4[[#This Row],[TOTAL COBERTURA]])+Tabla4[[#This Row],[VALOR FASE PREPARATORIA DE ALISTAMIENTO]]+Tabla4[[#This Row],[DOTACIÓN ÚNICA]]</f>
        <v>84563193</v>
      </c>
      <c r="AU566" s="35">
        <f>(VLOOKUP(Tabla4[[#This Row],[SERVICIO 2025]],$J$2:$V$14,3,0)*Tabla4[[#This Row],[TOTAL COBERTURA]])</f>
        <v>71958744</v>
      </c>
      <c r="AV566" s="35">
        <f>(VLOOKUP(Tabla4[[#This Row],[SERVICIO 2025]],$J$2:$V$14,3,0)*Tabla4[[#This Row],[TOTAL COBERTURA]])</f>
        <v>71958744</v>
      </c>
      <c r="AW566" s="35">
        <f>(VLOOKUP(Tabla4[[#This Row],[SERVICIO 2025]],$J$2:$V$14,3,0)*Tabla4[[#This Row],[TOTAL COBERTURA]])</f>
        <v>71958744</v>
      </c>
      <c r="AX566" s="35">
        <f>(VLOOKUP(Tabla4[[#This Row],[SERVICIO 2025]],$J$2:$V$14,3,0)*Tabla4[[#This Row],[TOTAL COBERTURA]])</f>
        <v>71958744</v>
      </c>
      <c r="AY566" s="35">
        <f>(VLOOKUP(Tabla4[[#This Row],[SERVICIO 2025]],$J$2:$V$14,3,0)*Tabla4[[#This Row],[TOTAL COBERTURA]])</f>
        <v>71958744</v>
      </c>
      <c r="AZ566" s="35">
        <f>(VLOOKUP(Tabla4[[#This Row],[SERVICIO 2025]],$J$2:$V$14,3,0)*Tabla4[[#This Row],[TOTAL COBERTURA]])</f>
        <v>71958744</v>
      </c>
      <c r="BA566" s="35">
        <f>(VLOOKUP(Tabla4[[#This Row],[SERVICIO 2025]],$J$2:$V$14,3,0)*Tabla4[[#This Row],[TOTAL COBERTURA]])+Tabla4[[#This Row],[VALOR FASE PREPARATORIA DE CIERRE]]</f>
        <v>82689893</v>
      </c>
      <c r="BB566" s="35">
        <f>SUM(Tabla4[[#This Row],[DESEMBOLSO 1]:[DESEMBOLSO 8]])</f>
        <v>599005550</v>
      </c>
      <c r="BC566" s="35">
        <f>VLOOKUP(Tabla4[[#This Row],[SERVICIO 2025]],$J$2:$V$14,10,0)*Tabla4[[#This Row],[TOTAL COBERTURA]]*$W$3</f>
        <v>0</v>
      </c>
      <c r="BD566" s="47" t="s">
        <v>145</v>
      </c>
      <c r="BE566" s="12" t="b">
        <f>EXACT(Tabla4[[#This Row],[VALOR ATENCIÓN (8 MESES)]],Tabla4[[#This Row],[VALOR TOTAL]])</f>
        <v>1</v>
      </c>
      <c r="BF566" s="23">
        <f>Tabla4[[#This Row],[VALOR ATENCIÓN (8 MESES)]]-Tabla4[[#This Row],[VALOR TOTAL]]</f>
        <v>0</v>
      </c>
      <c r="BG566" s="12" t="b">
        <f>EXACT(Tabla4[[#This Row],[TOTAL DESEMBOLSOS]],Tabla4[[#This Row],[VALOR ATENCIÓN (8 MESES)]])</f>
        <v>1</v>
      </c>
      <c r="BH566" s="29">
        <f>Tabla4[[#This Row],[TOTAL DESEMBOLSOS]]-Tabla4[[#This Row],[VALOR ATENCIÓN (8 MESES)]]</f>
        <v>0</v>
      </c>
      <c r="BI566" t="s">
        <v>98</v>
      </c>
      <c r="BJ566">
        <v>1940</v>
      </c>
    </row>
    <row r="567" spans="1:62">
      <c r="A567" s="13">
        <v>1940</v>
      </c>
      <c r="B567" s="13" t="s">
        <v>1292</v>
      </c>
      <c r="C567" s="12" t="s">
        <v>87</v>
      </c>
      <c r="D567" s="12" t="s">
        <v>1293</v>
      </c>
      <c r="E567" s="12" t="s">
        <v>1294</v>
      </c>
      <c r="F567" s="12" t="s">
        <v>14</v>
      </c>
      <c r="G567" s="12" t="s">
        <v>90</v>
      </c>
      <c r="H567" s="12" t="s">
        <v>1303</v>
      </c>
      <c r="I567" s="12">
        <v>519700023653</v>
      </c>
      <c r="J567" s="12" t="s">
        <v>1304</v>
      </c>
      <c r="K567" s="12">
        <v>1</v>
      </c>
      <c r="L567" s="12">
        <v>57</v>
      </c>
      <c r="M567" s="12"/>
      <c r="N567" s="13">
        <v>1940</v>
      </c>
      <c r="O567" s="12" t="s">
        <v>93</v>
      </c>
      <c r="P567" s="12"/>
      <c r="Q567" s="12"/>
      <c r="R567" s="12" t="s">
        <v>94</v>
      </c>
      <c r="S567" s="12">
        <v>10</v>
      </c>
      <c r="T567" s="12" t="s">
        <v>466</v>
      </c>
      <c r="U567" s="12" t="s">
        <v>467</v>
      </c>
      <c r="V567" s="12">
        <f>VLOOKUP(Tabla4[[#This Row],[ZONA DEFINITIVO]],Hoja1!$A$1:$D$121,3,0)</f>
        <v>229110</v>
      </c>
      <c r="W567" s="12">
        <f>VLOOKUP(Tabla4[[#This Row],[ZONA DEFINITIVO]],Hoja1!$A$1:$D$121,2,0)</f>
        <v>15201</v>
      </c>
      <c r="X567" s="12">
        <f>VLOOKUP(Tabla4[[#This Row],[ZONA DEFINITIVO]],Hoja1!$A$1:$D$121,4,0)</f>
        <v>83525</v>
      </c>
      <c r="Y567" s="12" t="str">
        <f>+IF(Tabla4[[#This Row],[AGRUPACIONES]]=1,SUMIFS(Tabla4[UDS],Tabla4[ZONA DEFINITIVO],Tabla4[[#This Row],[ZONA DEFINITIVO]])," ")</f>
        <v xml:space="preserve"> </v>
      </c>
      <c r="Z567" s="12" t="str">
        <f>+IF(Tabla4[[#This Row],[AGRUPACIONES]]=1,SUMIFS(Tabla4[TOTAL COBERTURA],Tabla4[ZONA DEFINITIVO],Tabla4[[#This Row],[ZONA DEFINITIVO]])," ")</f>
        <v xml:space="preserve"> </v>
      </c>
      <c r="AA567" s="12"/>
      <c r="AB567" s="38">
        <v>238764450</v>
      </c>
      <c r="AC567" s="37">
        <v>0.02</v>
      </c>
      <c r="AD567" s="38">
        <f t="shared" si="9"/>
        <v>4775289</v>
      </c>
      <c r="AE567" s="12"/>
      <c r="AF567" s="12">
        <f>COUNTIF($A$20:A567,A567)</f>
        <v>5</v>
      </c>
      <c r="AG567" s="38">
        <v>238764450</v>
      </c>
      <c r="AH567" s="38">
        <f>Tabla4[[#This Row],[VALOR CONTRAPARTIDA]]+Tabla4[[#This Row],[TOTAL APORTES ICBF]]</f>
        <v>243539739</v>
      </c>
      <c r="AI567" s="35"/>
      <c r="AJ567" s="38"/>
      <c r="AK567" s="38"/>
      <c r="AL567" s="23"/>
      <c r="AM567" s="35">
        <f>VLOOKUP(Tabla4[[#This Row],[SERVICIO 2025]],$J$2:$V$14,5,0)*Tabla4[[#This Row],[TOTAL COBERTURA]]</f>
        <v>5024151</v>
      </c>
      <c r="AN567" s="35">
        <f>VLOOKUP(Tabla4[[#This Row],[SERVICIO 2025]],$J$2:$V$14,6,0)*Tabla4[[#This Row],[TOTAL COBERTURA]]</f>
        <v>4277451</v>
      </c>
      <c r="AO567" s="35">
        <f>VLOOKUP(Tabla4[[#This Row],[SERVICIO 2025]],$J$2:$V$14,8,0)*Tabla4[[#This Row],[TOTAL COBERTURA]]</f>
        <v>0</v>
      </c>
      <c r="AP567" s="35">
        <f>VLOOKUP(Tabla4[[#This Row],[SERVICIO 2025]],$J$2:$V$14,3,0)*Tabla4[[#This Row],[TOTAL COBERTURA]]*8</f>
        <v>229462848</v>
      </c>
      <c r="AQ567" s="35"/>
      <c r="AR567" s="35">
        <f>Tabla4[[#This Row],[VALOR FASE PREPARATORIA DE ALISTAMIENTO]]+Tabla4[[#This Row],[VALOR FASE PREPARATORIA DE CIERRE]]+Tabla4[[#This Row],[DOTACIÓN ÚNICA]]+Tabla4[[#This Row],[VALOR ATENCIÓN]]+Tabla4[[#This Row],[VALOR RACION PREPARADA]]</f>
        <v>238764450</v>
      </c>
      <c r="AS567" s="35" t="str">
        <f>+IF(Tabla4[[#This Row],[AGRUPACIONES]]=1,SUMIFS(Tabla4[VALOR TOTAL],Tabla4[ZONA DEFINITIVO],Tabla4[[#This Row],[ZONA DEFINITIVO]])," ")</f>
        <v xml:space="preserve"> </v>
      </c>
      <c r="AT567" s="27">
        <f>(VLOOKUP(Tabla4[[#This Row],[SERVICIO 2025]],$J$2:$V$14,3,0)*Tabla4[[#This Row],[TOTAL COBERTURA]])+Tabla4[[#This Row],[VALOR FASE PREPARATORIA DE ALISTAMIENTO]]+Tabla4[[#This Row],[DOTACIÓN ÚNICA]]</f>
        <v>33707007</v>
      </c>
      <c r="AU567" s="35">
        <f>(VLOOKUP(Tabla4[[#This Row],[SERVICIO 2025]],$J$2:$V$14,3,0)*Tabla4[[#This Row],[TOTAL COBERTURA]])</f>
        <v>28682856</v>
      </c>
      <c r="AV567" s="35">
        <f>(VLOOKUP(Tabla4[[#This Row],[SERVICIO 2025]],$J$2:$V$14,3,0)*Tabla4[[#This Row],[TOTAL COBERTURA]])</f>
        <v>28682856</v>
      </c>
      <c r="AW567" s="35">
        <f>(VLOOKUP(Tabla4[[#This Row],[SERVICIO 2025]],$J$2:$V$14,3,0)*Tabla4[[#This Row],[TOTAL COBERTURA]])</f>
        <v>28682856</v>
      </c>
      <c r="AX567" s="35">
        <f>(VLOOKUP(Tabla4[[#This Row],[SERVICIO 2025]],$J$2:$V$14,3,0)*Tabla4[[#This Row],[TOTAL COBERTURA]])</f>
        <v>28682856</v>
      </c>
      <c r="AY567" s="35">
        <f>(VLOOKUP(Tabla4[[#This Row],[SERVICIO 2025]],$J$2:$V$14,3,0)*Tabla4[[#This Row],[TOTAL COBERTURA]])</f>
        <v>28682856</v>
      </c>
      <c r="AZ567" s="35">
        <f>(VLOOKUP(Tabla4[[#This Row],[SERVICIO 2025]],$J$2:$V$14,3,0)*Tabla4[[#This Row],[TOTAL COBERTURA]])</f>
        <v>28682856</v>
      </c>
      <c r="BA567" s="35">
        <f>(VLOOKUP(Tabla4[[#This Row],[SERVICIO 2025]],$J$2:$V$14,3,0)*Tabla4[[#This Row],[TOTAL COBERTURA]])+Tabla4[[#This Row],[VALOR FASE PREPARATORIA DE CIERRE]]</f>
        <v>32960307</v>
      </c>
      <c r="BB567" s="35">
        <f>SUM(Tabla4[[#This Row],[DESEMBOLSO 1]:[DESEMBOLSO 8]])</f>
        <v>238764450</v>
      </c>
      <c r="BC567" s="35">
        <f>VLOOKUP(Tabla4[[#This Row],[SERVICIO 2025]],$J$2:$V$14,10,0)*Tabla4[[#This Row],[TOTAL COBERTURA]]*$W$3</f>
        <v>0</v>
      </c>
      <c r="BD567" s="47" t="s">
        <v>145</v>
      </c>
      <c r="BE567" s="12" t="b">
        <f>EXACT(Tabla4[[#This Row],[VALOR ATENCIÓN (8 MESES)]],Tabla4[[#This Row],[VALOR TOTAL]])</f>
        <v>1</v>
      </c>
      <c r="BF567" s="23">
        <f>Tabla4[[#This Row],[VALOR ATENCIÓN (8 MESES)]]-Tabla4[[#This Row],[VALOR TOTAL]]</f>
        <v>0</v>
      </c>
      <c r="BG567" s="12" t="b">
        <f>EXACT(Tabla4[[#This Row],[TOTAL DESEMBOLSOS]],Tabla4[[#This Row],[VALOR ATENCIÓN (8 MESES)]])</f>
        <v>1</v>
      </c>
      <c r="BH567" s="29">
        <f>Tabla4[[#This Row],[TOTAL DESEMBOLSOS]]-Tabla4[[#This Row],[VALOR ATENCIÓN (8 MESES)]]</f>
        <v>0</v>
      </c>
      <c r="BI567" t="s">
        <v>98</v>
      </c>
      <c r="BJ567">
        <v>1940</v>
      </c>
    </row>
    <row r="568" spans="1:62">
      <c r="A568" s="13">
        <v>1940</v>
      </c>
      <c r="B568" s="13" t="s">
        <v>1292</v>
      </c>
      <c r="C568" s="12" t="s">
        <v>87</v>
      </c>
      <c r="D568" s="12" t="s">
        <v>1293</v>
      </c>
      <c r="E568" s="12" t="s">
        <v>1294</v>
      </c>
      <c r="F568" s="12" t="s">
        <v>18</v>
      </c>
      <c r="G568" s="12" t="s">
        <v>90</v>
      </c>
      <c r="H568" s="12" t="s">
        <v>1305</v>
      </c>
      <c r="I568" s="12">
        <v>519700059457</v>
      </c>
      <c r="J568" s="12" t="s">
        <v>1306</v>
      </c>
      <c r="K568" s="12">
        <v>1</v>
      </c>
      <c r="L568" s="12">
        <v>50</v>
      </c>
      <c r="M568" s="12"/>
      <c r="N568" s="13">
        <v>1940</v>
      </c>
      <c r="O568" s="12" t="s">
        <v>93</v>
      </c>
      <c r="P568" s="12"/>
      <c r="Q568" s="12"/>
      <c r="R568" s="12" t="s">
        <v>94</v>
      </c>
      <c r="S568" s="12">
        <v>10</v>
      </c>
      <c r="T568" s="12" t="s">
        <v>466</v>
      </c>
      <c r="U568" s="12" t="s">
        <v>467</v>
      </c>
      <c r="V568" s="12">
        <f>VLOOKUP(Tabla4[[#This Row],[ZONA DEFINITIVO]],Hoja1!$A$1:$D$121,3,0)</f>
        <v>229110</v>
      </c>
      <c r="W568" s="12">
        <f>VLOOKUP(Tabla4[[#This Row],[ZONA DEFINITIVO]],Hoja1!$A$1:$D$121,2,0)</f>
        <v>15201</v>
      </c>
      <c r="X568" s="12">
        <f>VLOOKUP(Tabla4[[#This Row],[ZONA DEFINITIVO]],Hoja1!$A$1:$D$121,4,0)</f>
        <v>83525</v>
      </c>
      <c r="Y568" s="12" t="str">
        <f>+IF(Tabla4[[#This Row],[AGRUPACIONES]]=1,SUMIFS(Tabla4[UDS],Tabla4[ZONA DEFINITIVO],Tabla4[[#This Row],[ZONA DEFINITIVO]])," ")</f>
        <v xml:space="preserve"> </v>
      </c>
      <c r="Z568" s="12" t="str">
        <f>+IF(Tabla4[[#This Row],[AGRUPACIONES]]=1,SUMIFS(Tabla4[TOTAL COBERTURA],Tabla4[ZONA DEFINITIVO],Tabla4[[#This Row],[ZONA DEFINITIVO]])," ")</f>
        <v xml:space="preserve"> </v>
      </c>
      <c r="AA568" s="12"/>
      <c r="AB568" s="38">
        <v>109009650</v>
      </c>
      <c r="AC568" s="37">
        <v>0.02</v>
      </c>
      <c r="AD568" s="38">
        <f t="shared" si="9"/>
        <v>2180193</v>
      </c>
      <c r="AE568" s="12"/>
      <c r="AF568" s="12">
        <f>COUNTIF($A$20:A568,A568)</f>
        <v>6</v>
      </c>
      <c r="AG568" s="38">
        <v>109009650</v>
      </c>
      <c r="AH568" s="38">
        <f>Tabla4[[#This Row],[VALOR CONTRAPARTIDA]]+Tabla4[[#This Row],[TOTAL APORTES ICBF]]</f>
        <v>111189843</v>
      </c>
      <c r="AI568" s="35"/>
      <c r="AJ568" s="38"/>
      <c r="AK568" s="38"/>
      <c r="AL568" s="23"/>
      <c r="AM568" s="35">
        <f>VLOOKUP(Tabla4[[#This Row],[SERVICIO 2025]],$J$2:$V$14,5,0)*Tabla4[[#This Row],[TOTAL COBERTURA]]</f>
        <v>2468800</v>
      </c>
      <c r="AN568" s="35">
        <f>VLOOKUP(Tabla4[[#This Row],[SERVICIO 2025]],$J$2:$V$14,6,0)*Tabla4[[#This Row],[TOTAL COBERTURA]]</f>
        <v>2051450</v>
      </c>
      <c r="AO568" s="35">
        <f>VLOOKUP(Tabla4[[#This Row],[SERVICIO 2025]],$J$2:$V$14,8,0)*Tabla4[[#This Row],[TOTAL COBERTURA]]</f>
        <v>1455000</v>
      </c>
      <c r="AP568" s="35">
        <f>VLOOKUP(Tabla4[[#This Row],[SERVICIO 2025]],$J$2:$V$14,3,0)*Tabla4[[#This Row],[TOTAL COBERTURA]]*8</f>
        <v>103034400</v>
      </c>
      <c r="AQ568" s="35"/>
      <c r="AR568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568" s="35" t="str">
        <f>+IF(Tabla4[[#This Row],[AGRUPACIONES]]=1,SUMIFS(Tabla4[VALOR TOTAL],Tabla4[ZONA DEFINITIVO],Tabla4[[#This Row],[ZONA DEFINITIVO]])," ")</f>
        <v xml:space="preserve"> </v>
      </c>
      <c r="AT568" s="27">
        <f>(VLOOKUP(Tabla4[[#This Row],[SERVICIO 2025]],$J$2:$V$14,3,0)*Tabla4[[#This Row],[TOTAL COBERTURA]])+Tabla4[[#This Row],[VALOR FASE PREPARATORIA DE ALISTAMIENTO]]+Tabla4[[#This Row],[DOTACIÓN ÚNICA]]</f>
        <v>16803100</v>
      </c>
      <c r="AU568" s="35">
        <f>(VLOOKUP(Tabla4[[#This Row],[SERVICIO 2025]],$J$2:$V$14,3,0)*Tabla4[[#This Row],[TOTAL COBERTURA]])</f>
        <v>12879300</v>
      </c>
      <c r="AV568" s="35">
        <f>(VLOOKUP(Tabla4[[#This Row],[SERVICIO 2025]],$J$2:$V$14,3,0)*Tabla4[[#This Row],[TOTAL COBERTURA]])</f>
        <v>12879300</v>
      </c>
      <c r="AW568" s="35">
        <f>(VLOOKUP(Tabla4[[#This Row],[SERVICIO 2025]],$J$2:$V$14,3,0)*Tabla4[[#This Row],[TOTAL COBERTURA]])</f>
        <v>12879300</v>
      </c>
      <c r="AX568" s="35">
        <f>(VLOOKUP(Tabla4[[#This Row],[SERVICIO 2025]],$J$2:$V$14,3,0)*Tabla4[[#This Row],[TOTAL COBERTURA]])</f>
        <v>12879300</v>
      </c>
      <c r="AY568" s="35">
        <f>(VLOOKUP(Tabla4[[#This Row],[SERVICIO 2025]],$J$2:$V$14,3,0)*Tabla4[[#This Row],[TOTAL COBERTURA]])</f>
        <v>12879300</v>
      </c>
      <c r="AZ568" s="35">
        <f>(VLOOKUP(Tabla4[[#This Row],[SERVICIO 2025]],$J$2:$V$14,3,0)*Tabla4[[#This Row],[TOTAL COBERTURA]])</f>
        <v>12879300</v>
      </c>
      <c r="BA568" s="35">
        <f>(VLOOKUP(Tabla4[[#This Row],[SERVICIO 2025]],$J$2:$V$14,3,0)*Tabla4[[#This Row],[TOTAL COBERTURA]])+Tabla4[[#This Row],[VALOR FASE PREPARATORIA DE CIERRE]]</f>
        <v>14930750</v>
      </c>
      <c r="BB568" s="35">
        <f>SUM(Tabla4[[#This Row],[DESEMBOLSO 1]:[DESEMBOLSO 8]])</f>
        <v>109009650</v>
      </c>
      <c r="BC568" s="35">
        <f>VLOOKUP(Tabla4[[#This Row],[SERVICIO 2025]],$J$2:$V$14,10,0)*Tabla4[[#This Row],[TOTAL COBERTURA]]*$W$3</f>
        <v>72153200</v>
      </c>
      <c r="BD568" s="47" t="s">
        <v>211</v>
      </c>
      <c r="BE568" s="12" t="b">
        <f>EXACT(Tabla4[[#This Row],[VALOR ATENCIÓN (8 MESES)]],Tabla4[[#This Row],[VALOR TOTAL]])</f>
        <v>1</v>
      </c>
      <c r="BF568" s="23">
        <f>Tabla4[[#This Row],[VALOR ATENCIÓN (8 MESES)]]-Tabla4[[#This Row],[VALOR TOTAL]]</f>
        <v>0</v>
      </c>
      <c r="BG568" s="12" t="b">
        <f>EXACT(Tabla4[[#This Row],[TOTAL DESEMBOLSOS]],Tabla4[[#This Row],[VALOR ATENCIÓN (8 MESES)]])</f>
        <v>1</v>
      </c>
      <c r="BH568" s="29">
        <f>Tabla4[[#This Row],[TOTAL DESEMBOLSOS]]-Tabla4[[#This Row],[VALOR ATENCIÓN (8 MESES)]]</f>
        <v>0</v>
      </c>
      <c r="BI568" t="s">
        <v>98</v>
      </c>
      <c r="BJ568">
        <v>1940</v>
      </c>
    </row>
    <row r="569" spans="1:62">
      <c r="A569" s="13">
        <v>1940</v>
      </c>
      <c r="B569" s="13" t="s">
        <v>1292</v>
      </c>
      <c r="C569" s="12" t="s">
        <v>87</v>
      </c>
      <c r="D569" s="12" t="s">
        <v>1293</v>
      </c>
      <c r="E569" s="12" t="s">
        <v>1294</v>
      </c>
      <c r="F569" s="12" t="s">
        <v>15</v>
      </c>
      <c r="G569" s="12" t="s">
        <v>90</v>
      </c>
      <c r="H569" s="12" t="s">
        <v>1307</v>
      </c>
      <c r="I569" s="12">
        <v>519700072638</v>
      </c>
      <c r="J569" s="12" t="s">
        <v>1308</v>
      </c>
      <c r="K569" s="12">
        <v>1</v>
      </c>
      <c r="L569" s="12">
        <v>104</v>
      </c>
      <c r="M569" s="12"/>
      <c r="N569" s="13">
        <v>1940</v>
      </c>
      <c r="O569" s="12" t="s">
        <v>93</v>
      </c>
      <c r="P569" s="12"/>
      <c r="Q569" s="12"/>
      <c r="R569" s="12" t="s">
        <v>94</v>
      </c>
      <c r="S569" s="12">
        <v>10</v>
      </c>
      <c r="T569" s="12" t="s">
        <v>466</v>
      </c>
      <c r="U569" s="12" t="s">
        <v>467</v>
      </c>
      <c r="V569" s="12">
        <f>VLOOKUP(Tabla4[[#This Row],[ZONA DEFINITIVO]],Hoja1!$A$1:$D$121,3,0)</f>
        <v>229110</v>
      </c>
      <c r="W569" s="12">
        <f>VLOOKUP(Tabla4[[#This Row],[ZONA DEFINITIVO]],Hoja1!$A$1:$D$121,2,0)</f>
        <v>15201</v>
      </c>
      <c r="X569" s="12">
        <f>VLOOKUP(Tabla4[[#This Row],[ZONA DEFINITIVO]],Hoja1!$A$1:$D$121,4,0)</f>
        <v>83525</v>
      </c>
      <c r="Y569" s="12" t="str">
        <f>+IF(Tabla4[[#This Row],[AGRUPACIONES]]=1,SUMIFS(Tabla4[UDS],Tabla4[ZONA DEFINITIVO],Tabla4[[#This Row],[ZONA DEFINITIVO]])," ")</f>
        <v xml:space="preserve"> </v>
      </c>
      <c r="Z569" s="12" t="str">
        <f>+IF(Tabla4[[#This Row],[AGRUPACIONES]]=1,SUMIFS(Tabla4[TOTAL COBERTURA],Tabla4[ZONA DEFINITIVO],Tabla4[[#This Row],[ZONA DEFINITIVO]])," ")</f>
        <v xml:space="preserve"> </v>
      </c>
      <c r="AA569" s="12"/>
      <c r="AB569" s="38">
        <v>450257808</v>
      </c>
      <c r="AC569" s="37">
        <v>0.02</v>
      </c>
      <c r="AD569" s="38">
        <f t="shared" si="9"/>
        <v>9005156.1600000001</v>
      </c>
      <c r="AE569" s="12"/>
      <c r="AF569" s="12">
        <f>COUNTIF($A$20:A569,A569)</f>
        <v>7</v>
      </c>
      <c r="AG569" s="38">
        <v>450257808</v>
      </c>
      <c r="AH569" s="38">
        <f>Tabla4[[#This Row],[VALOR CONTRAPARTIDA]]+Tabla4[[#This Row],[TOTAL APORTES ICBF]]</f>
        <v>459262964.16000003</v>
      </c>
      <c r="AI569" s="35"/>
      <c r="AJ569" s="38"/>
      <c r="AK569" s="38"/>
      <c r="AL569" s="23"/>
      <c r="AM569" s="35">
        <f>VLOOKUP(Tabla4[[#This Row],[SERVICIO 2025]],$J$2:$V$14,5,0)*Tabla4[[#This Row],[TOTAL COBERTURA]]</f>
        <v>9166872</v>
      </c>
      <c r="AN569" s="35">
        <f>VLOOKUP(Tabla4[[#This Row],[SERVICIO 2025]],$J$2:$V$14,6,0)*Tabla4[[#This Row],[TOTAL COBERTURA]]</f>
        <v>7804472</v>
      </c>
      <c r="AO569" s="35">
        <f>VLOOKUP(Tabla4[[#This Row],[SERVICIO 2025]],$J$2:$V$14,8,0)*Tabla4[[#This Row],[TOTAL COBERTURA]]</f>
        <v>0</v>
      </c>
      <c r="AP569" s="35">
        <f>VLOOKUP(Tabla4[[#This Row],[SERVICIO 2025]],$J$2:$V$14,3,0)*Tabla4[[#This Row],[TOTAL COBERTURA]]*8</f>
        <v>433286464</v>
      </c>
      <c r="AQ569" s="35"/>
      <c r="AR569" s="35">
        <f>Tabla4[[#This Row],[VALOR FASE PREPARATORIA DE ALISTAMIENTO]]+Tabla4[[#This Row],[VALOR FASE PREPARATORIA DE CIERRE]]+Tabla4[[#This Row],[DOTACIÓN ÚNICA]]+Tabla4[[#This Row],[VALOR ATENCIÓN]]+Tabla4[[#This Row],[VALOR RACION PREPARADA]]</f>
        <v>450257808</v>
      </c>
      <c r="AS569" s="35" t="str">
        <f>+IF(Tabla4[[#This Row],[AGRUPACIONES]]=1,SUMIFS(Tabla4[VALOR TOTAL],Tabla4[ZONA DEFINITIVO],Tabla4[[#This Row],[ZONA DEFINITIVO]])," ")</f>
        <v xml:space="preserve"> </v>
      </c>
      <c r="AT569" s="27">
        <f>(VLOOKUP(Tabla4[[#This Row],[SERVICIO 2025]],$J$2:$V$14,3,0)*Tabla4[[#This Row],[TOTAL COBERTURA]])+Tabla4[[#This Row],[VALOR FASE PREPARATORIA DE ALISTAMIENTO]]+Tabla4[[#This Row],[DOTACIÓN ÚNICA]]</f>
        <v>63327680</v>
      </c>
      <c r="AU569" s="35">
        <f>(VLOOKUP(Tabla4[[#This Row],[SERVICIO 2025]],$J$2:$V$14,3,0)*Tabla4[[#This Row],[TOTAL COBERTURA]])</f>
        <v>54160808</v>
      </c>
      <c r="AV569" s="35">
        <f>(VLOOKUP(Tabla4[[#This Row],[SERVICIO 2025]],$J$2:$V$14,3,0)*Tabla4[[#This Row],[TOTAL COBERTURA]])</f>
        <v>54160808</v>
      </c>
      <c r="AW569" s="35">
        <f>(VLOOKUP(Tabla4[[#This Row],[SERVICIO 2025]],$J$2:$V$14,3,0)*Tabla4[[#This Row],[TOTAL COBERTURA]])</f>
        <v>54160808</v>
      </c>
      <c r="AX569" s="35">
        <f>(VLOOKUP(Tabla4[[#This Row],[SERVICIO 2025]],$J$2:$V$14,3,0)*Tabla4[[#This Row],[TOTAL COBERTURA]])</f>
        <v>54160808</v>
      </c>
      <c r="AY569" s="35">
        <f>(VLOOKUP(Tabla4[[#This Row],[SERVICIO 2025]],$J$2:$V$14,3,0)*Tabla4[[#This Row],[TOTAL COBERTURA]])</f>
        <v>54160808</v>
      </c>
      <c r="AZ569" s="35">
        <f>(VLOOKUP(Tabla4[[#This Row],[SERVICIO 2025]],$J$2:$V$14,3,0)*Tabla4[[#This Row],[TOTAL COBERTURA]])</f>
        <v>54160808</v>
      </c>
      <c r="BA569" s="35">
        <f>(VLOOKUP(Tabla4[[#This Row],[SERVICIO 2025]],$J$2:$V$14,3,0)*Tabla4[[#This Row],[TOTAL COBERTURA]])+Tabla4[[#This Row],[VALOR FASE PREPARATORIA DE CIERRE]]</f>
        <v>61965280</v>
      </c>
      <c r="BB569" s="35">
        <f>SUM(Tabla4[[#This Row],[DESEMBOLSO 1]:[DESEMBOLSO 8]])</f>
        <v>450257808</v>
      </c>
      <c r="BC569" s="35">
        <f>VLOOKUP(Tabla4[[#This Row],[SERVICIO 2025]],$J$2:$V$14,10,0)*Tabla4[[#This Row],[TOTAL COBERTURA]]*$W$3</f>
        <v>0</v>
      </c>
      <c r="BD569" s="47" t="s">
        <v>145</v>
      </c>
      <c r="BE569" s="12" t="b">
        <f>EXACT(Tabla4[[#This Row],[VALOR ATENCIÓN (8 MESES)]],Tabla4[[#This Row],[VALOR TOTAL]])</f>
        <v>1</v>
      </c>
      <c r="BF569" s="23">
        <f>Tabla4[[#This Row],[VALOR ATENCIÓN (8 MESES)]]-Tabla4[[#This Row],[VALOR TOTAL]]</f>
        <v>0</v>
      </c>
      <c r="BG569" s="12" t="b">
        <f>EXACT(Tabla4[[#This Row],[TOTAL DESEMBOLSOS]],Tabla4[[#This Row],[VALOR ATENCIÓN (8 MESES)]])</f>
        <v>1</v>
      </c>
      <c r="BH569" s="29">
        <f>Tabla4[[#This Row],[TOTAL DESEMBOLSOS]]-Tabla4[[#This Row],[VALOR ATENCIÓN (8 MESES)]]</f>
        <v>0</v>
      </c>
      <c r="BI569" t="s">
        <v>98</v>
      </c>
      <c r="BJ569">
        <v>1940</v>
      </c>
    </row>
    <row r="570" spans="1:62">
      <c r="A570" s="13">
        <v>1942</v>
      </c>
      <c r="B570" s="13" t="s">
        <v>1309</v>
      </c>
      <c r="C570" s="12" t="s">
        <v>87</v>
      </c>
      <c r="D570" s="12" t="s">
        <v>266</v>
      </c>
      <c r="E570" s="12" t="s">
        <v>1310</v>
      </c>
      <c r="F570" s="12" t="s">
        <v>14</v>
      </c>
      <c r="G570" s="12" t="s">
        <v>90</v>
      </c>
      <c r="H570" s="12" t="s">
        <v>1311</v>
      </c>
      <c r="I570" s="12">
        <v>52091113292</v>
      </c>
      <c r="J570" s="12" t="s">
        <v>1312</v>
      </c>
      <c r="K570" s="12">
        <v>1</v>
      </c>
      <c r="L570" s="12">
        <v>17</v>
      </c>
      <c r="M570" s="12"/>
      <c r="N570" s="13">
        <v>1942</v>
      </c>
      <c r="O570" s="12" t="s">
        <v>93</v>
      </c>
      <c r="P570" s="12"/>
      <c r="Q570" s="12"/>
      <c r="R570" s="12" t="s">
        <v>94</v>
      </c>
      <c r="S570" s="12">
        <v>10</v>
      </c>
      <c r="T570" s="12" t="s">
        <v>390</v>
      </c>
      <c r="U570" s="12" t="s">
        <v>391</v>
      </c>
      <c r="V570" s="12">
        <f>VLOOKUP(Tabla4[[#This Row],[ZONA DEFINITIVO]],Hoja1!$A$1:$D$121,3,0)</f>
        <v>229112</v>
      </c>
      <c r="W570" s="12">
        <f>VLOOKUP(Tabla4[[#This Row],[ZONA DEFINITIVO]],Hoja1!$A$1:$D$121,2,0)</f>
        <v>15194</v>
      </c>
      <c r="X570" s="12">
        <f>VLOOKUP(Tabla4[[#This Row],[ZONA DEFINITIVO]],Hoja1!$A$1:$D$121,4,0)</f>
        <v>82925</v>
      </c>
      <c r="Y570" s="12">
        <f>+IF(Tabla4[[#This Row],[AGRUPACIONES]]=1,SUMIFS(Tabla4[UDS],Tabla4[ZONA DEFINITIVO],Tabla4[[#This Row],[ZONA DEFINITIVO]])," ")</f>
        <v>26</v>
      </c>
      <c r="Z570" s="12">
        <f>+IF(Tabla4[[#This Row],[AGRUPACIONES]]=1,SUMIFS(Tabla4[TOTAL COBERTURA],Tabla4[ZONA DEFINITIVO],Tabla4[[#This Row],[ZONA DEFINITIVO]])," ")</f>
        <v>623</v>
      </c>
      <c r="AA570" s="12"/>
      <c r="AB570" s="38">
        <v>71210450</v>
      </c>
      <c r="AC570" s="37">
        <v>0.02</v>
      </c>
      <c r="AD570" s="38">
        <f t="shared" si="9"/>
        <v>1424209</v>
      </c>
      <c r="AE570" s="12"/>
      <c r="AF570" s="12">
        <f>COUNTIF($A$20:A570,A570)</f>
        <v>1</v>
      </c>
      <c r="AG570" s="38">
        <v>71210450</v>
      </c>
      <c r="AH570" s="38">
        <f>Tabla4[[#This Row],[VALOR CONTRAPARTIDA]]+Tabla4[[#This Row],[TOTAL APORTES ICBF]]</f>
        <v>72634659</v>
      </c>
      <c r="AI570" s="35">
        <f>ROUND(+IF(Tabla4[[#This Row],[AGRUPACIONES]]=1,SUMIFS(Tabla4[TOTAL APORTES ICBF],Tabla4[ZONA DEFINITIVO],Tabla4[[#This Row],[ZONA DEFINITIVO]])," "),0)</f>
        <v>1675628045</v>
      </c>
      <c r="AJ570" s="38">
        <f>ROUND(+IF(Tabla4[[#This Row],[AGRUPACIONES]]=1,SUMIFS(Tabla4[VALOR CONTRAPARTIDA],Tabla4[ZONA DEFINITIVO],Tabla4[[#This Row],[ZONA DEFINITIVO]])," "),0)</f>
        <v>33512561</v>
      </c>
      <c r="AK570" s="38">
        <f>Tabla4[[#This Row],[TOTAL APORTES ICBF AGRUPADO]]+Tabla4[[#This Row],[TOTAL CONTRAPARTIDA AGRUPADO]]</f>
        <v>1709140606</v>
      </c>
      <c r="AL570" s="23">
        <f>Tabla4[[#This Row],[TOTAL APORTES ICBF AGRUPADO]]/$AL$18</f>
        <v>1177.1184018264839</v>
      </c>
      <c r="AM570" s="35">
        <f>VLOOKUP(Tabla4[[#This Row],[SERVICIO 2025]],$J$2:$V$14,5,0)*Tabla4[[#This Row],[TOTAL COBERTURA]]</f>
        <v>1498431</v>
      </c>
      <c r="AN570" s="35">
        <f>VLOOKUP(Tabla4[[#This Row],[SERVICIO 2025]],$J$2:$V$14,6,0)*Tabla4[[#This Row],[TOTAL COBERTURA]]</f>
        <v>1275731</v>
      </c>
      <c r="AO570" s="35">
        <f>VLOOKUP(Tabla4[[#This Row],[SERVICIO 2025]],$J$2:$V$14,8,0)*Tabla4[[#This Row],[TOTAL COBERTURA]]</f>
        <v>0</v>
      </c>
      <c r="AP570" s="35">
        <f>VLOOKUP(Tabla4[[#This Row],[SERVICIO 2025]],$J$2:$V$14,3,0)*Tabla4[[#This Row],[TOTAL COBERTURA]]*8</f>
        <v>68436288</v>
      </c>
      <c r="AQ570" s="35"/>
      <c r="AR570" s="35">
        <f>Tabla4[[#This Row],[VALOR FASE PREPARATORIA DE ALISTAMIENTO]]+Tabla4[[#This Row],[VALOR FASE PREPARATORIA DE CIERRE]]+Tabla4[[#This Row],[DOTACIÓN ÚNICA]]+Tabla4[[#This Row],[VALOR ATENCIÓN]]+Tabla4[[#This Row],[VALOR RACION PREPARADA]]</f>
        <v>71210450</v>
      </c>
      <c r="AS570" s="35">
        <f>+IF(Tabla4[[#This Row],[AGRUPACIONES]]=1,SUMIFS(Tabla4[VALOR TOTAL],Tabla4[ZONA DEFINITIVO],Tabla4[[#This Row],[ZONA DEFINITIVO]])," ")</f>
        <v>1675628045</v>
      </c>
      <c r="AT570" s="27">
        <f>(VLOOKUP(Tabla4[[#This Row],[SERVICIO 2025]],$J$2:$V$14,3,0)*Tabla4[[#This Row],[TOTAL COBERTURA]])+Tabla4[[#This Row],[VALOR FASE PREPARATORIA DE ALISTAMIENTO]]+Tabla4[[#This Row],[DOTACIÓN ÚNICA]]</f>
        <v>10052967</v>
      </c>
      <c r="AU570" s="35">
        <f>(VLOOKUP(Tabla4[[#This Row],[SERVICIO 2025]],$J$2:$V$14,3,0)*Tabla4[[#This Row],[TOTAL COBERTURA]])</f>
        <v>8554536</v>
      </c>
      <c r="AV570" s="35">
        <f>(VLOOKUP(Tabla4[[#This Row],[SERVICIO 2025]],$J$2:$V$14,3,0)*Tabla4[[#This Row],[TOTAL COBERTURA]])</f>
        <v>8554536</v>
      </c>
      <c r="AW570" s="35">
        <f>(VLOOKUP(Tabla4[[#This Row],[SERVICIO 2025]],$J$2:$V$14,3,0)*Tabla4[[#This Row],[TOTAL COBERTURA]])</f>
        <v>8554536</v>
      </c>
      <c r="AX570" s="35">
        <f>(VLOOKUP(Tabla4[[#This Row],[SERVICIO 2025]],$J$2:$V$14,3,0)*Tabla4[[#This Row],[TOTAL COBERTURA]])</f>
        <v>8554536</v>
      </c>
      <c r="AY570" s="35">
        <f>(VLOOKUP(Tabla4[[#This Row],[SERVICIO 2025]],$J$2:$V$14,3,0)*Tabla4[[#This Row],[TOTAL COBERTURA]])</f>
        <v>8554536</v>
      </c>
      <c r="AZ570" s="35">
        <f>(VLOOKUP(Tabla4[[#This Row],[SERVICIO 2025]],$J$2:$V$14,3,0)*Tabla4[[#This Row],[TOTAL COBERTURA]])</f>
        <v>8554536</v>
      </c>
      <c r="BA570" s="35">
        <f>(VLOOKUP(Tabla4[[#This Row],[SERVICIO 2025]],$J$2:$V$14,3,0)*Tabla4[[#This Row],[TOTAL COBERTURA]])+Tabla4[[#This Row],[VALOR FASE PREPARATORIA DE CIERRE]]</f>
        <v>9830267</v>
      </c>
      <c r="BB570" s="35">
        <f>SUM(Tabla4[[#This Row],[DESEMBOLSO 1]:[DESEMBOLSO 8]])</f>
        <v>71210450</v>
      </c>
      <c r="BC570" s="35">
        <f>VLOOKUP(Tabla4[[#This Row],[SERVICIO 2025]],$J$2:$V$14,10,0)*Tabla4[[#This Row],[TOTAL COBERTURA]]*$W$3</f>
        <v>0</v>
      </c>
      <c r="BD570" s="47" t="s">
        <v>145</v>
      </c>
      <c r="BE570" s="12" t="b">
        <f>EXACT(Tabla4[[#This Row],[VALOR ATENCIÓN (8 MESES)]],Tabla4[[#This Row],[VALOR TOTAL]])</f>
        <v>1</v>
      </c>
      <c r="BF570" s="23">
        <f>Tabla4[[#This Row],[VALOR ATENCIÓN (8 MESES)]]-Tabla4[[#This Row],[VALOR TOTAL]]</f>
        <v>0</v>
      </c>
      <c r="BG570" s="12" t="b">
        <f>EXACT(Tabla4[[#This Row],[TOTAL DESEMBOLSOS]],Tabla4[[#This Row],[VALOR ATENCIÓN (8 MESES)]])</f>
        <v>1</v>
      </c>
      <c r="BH570" s="29">
        <f>Tabla4[[#This Row],[TOTAL DESEMBOLSOS]]-Tabla4[[#This Row],[VALOR ATENCIÓN (8 MESES)]]</f>
        <v>0</v>
      </c>
      <c r="BI570" t="s">
        <v>98</v>
      </c>
    </row>
    <row r="571" spans="1:62">
      <c r="A571" s="13">
        <v>1942</v>
      </c>
      <c r="B571" s="13" t="s">
        <v>1309</v>
      </c>
      <c r="C571" s="12" t="s">
        <v>87</v>
      </c>
      <c r="D571" s="12" t="s">
        <v>266</v>
      </c>
      <c r="E571" s="12" t="s">
        <v>1310</v>
      </c>
      <c r="F571" s="12" t="s">
        <v>14</v>
      </c>
      <c r="G571" s="12" t="s">
        <v>90</v>
      </c>
      <c r="H571" s="12" t="s">
        <v>1313</v>
      </c>
      <c r="I571" s="12">
        <v>52091113295</v>
      </c>
      <c r="J571" s="12" t="s">
        <v>1314</v>
      </c>
      <c r="K571" s="12">
        <v>1</v>
      </c>
      <c r="L571" s="12">
        <v>78</v>
      </c>
      <c r="M571" s="12"/>
      <c r="N571" s="13">
        <v>1942</v>
      </c>
      <c r="O571" s="12" t="s">
        <v>93</v>
      </c>
      <c r="P571" s="12"/>
      <c r="Q571" s="12"/>
      <c r="R571" s="12" t="s">
        <v>94</v>
      </c>
      <c r="S571" s="12">
        <v>10</v>
      </c>
      <c r="T571" s="12" t="s">
        <v>390</v>
      </c>
      <c r="U571" s="12" t="s">
        <v>391</v>
      </c>
      <c r="V571" s="12">
        <f>VLOOKUP(Tabla4[[#This Row],[ZONA DEFINITIVO]],Hoja1!$A$1:$D$121,3,0)</f>
        <v>229112</v>
      </c>
      <c r="W571" s="12">
        <f>VLOOKUP(Tabla4[[#This Row],[ZONA DEFINITIVO]],Hoja1!$A$1:$D$121,2,0)</f>
        <v>15194</v>
      </c>
      <c r="X571" s="12">
        <f>VLOOKUP(Tabla4[[#This Row],[ZONA DEFINITIVO]],Hoja1!$A$1:$D$121,4,0)</f>
        <v>82925</v>
      </c>
      <c r="Y571" s="12" t="str">
        <f>+IF(Tabla4[[#This Row],[AGRUPACIONES]]=1,SUMIFS(Tabla4[UDS],Tabla4[ZONA DEFINITIVO],Tabla4[[#This Row],[ZONA DEFINITIVO]])," ")</f>
        <v xml:space="preserve"> </v>
      </c>
      <c r="Z571" s="12" t="str">
        <f>+IF(Tabla4[[#This Row],[AGRUPACIONES]]=1,SUMIFS(Tabla4[TOTAL COBERTURA],Tabla4[ZONA DEFINITIVO],Tabla4[[#This Row],[ZONA DEFINITIVO]])," ")</f>
        <v xml:space="preserve"> </v>
      </c>
      <c r="AA571" s="12"/>
      <c r="AB571" s="38">
        <v>326730300</v>
      </c>
      <c r="AC571" s="37">
        <v>0.02</v>
      </c>
      <c r="AD571" s="38">
        <f t="shared" si="9"/>
        <v>6534606</v>
      </c>
      <c r="AE571" s="12"/>
      <c r="AF571" s="12">
        <f>COUNTIF($A$20:A571,A571)</f>
        <v>2</v>
      </c>
      <c r="AG571" s="38">
        <v>326730300</v>
      </c>
      <c r="AH571" s="38">
        <f>Tabla4[[#This Row],[VALOR CONTRAPARTIDA]]+Tabla4[[#This Row],[TOTAL APORTES ICBF]]</f>
        <v>333264906</v>
      </c>
      <c r="AI571" s="35"/>
      <c r="AJ571" s="38"/>
      <c r="AK571" s="38"/>
      <c r="AL571" s="23"/>
      <c r="AM571" s="35">
        <f>VLOOKUP(Tabla4[[#This Row],[SERVICIO 2025]],$J$2:$V$14,5,0)*Tabla4[[#This Row],[TOTAL COBERTURA]]</f>
        <v>6875154</v>
      </c>
      <c r="AN571" s="35">
        <f>VLOOKUP(Tabla4[[#This Row],[SERVICIO 2025]],$J$2:$V$14,6,0)*Tabla4[[#This Row],[TOTAL COBERTURA]]</f>
        <v>5853354</v>
      </c>
      <c r="AO571" s="35">
        <f>VLOOKUP(Tabla4[[#This Row],[SERVICIO 2025]],$J$2:$V$14,8,0)*Tabla4[[#This Row],[TOTAL COBERTURA]]</f>
        <v>0</v>
      </c>
      <c r="AP571" s="35">
        <f>VLOOKUP(Tabla4[[#This Row],[SERVICIO 2025]],$J$2:$V$14,3,0)*Tabla4[[#This Row],[TOTAL COBERTURA]]*8</f>
        <v>314001792</v>
      </c>
      <c r="AQ571" s="35"/>
      <c r="AR571" s="35">
        <f>Tabla4[[#This Row],[VALOR FASE PREPARATORIA DE ALISTAMIENTO]]+Tabla4[[#This Row],[VALOR FASE PREPARATORIA DE CIERRE]]+Tabla4[[#This Row],[DOTACIÓN ÚNICA]]+Tabla4[[#This Row],[VALOR ATENCIÓN]]+Tabla4[[#This Row],[VALOR RACION PREPARADA]]</f>
        <v>326730300</v>
      </c>
      <c r="AS571" s="35" t="str">
        <f>+IF(Tabla4[[#This Row],[AGRUPACIONES]]=1,SUMIFS(Tabla4[VALOR TOTAL],Tabla4[ZONA DEFINITIVO],Tabla4[[#This Row],[ZONA DEFINITIVO]])," ")</f>
        <v xml:space="preserve"> </v>
      </c>
      <c r="AT571" s="27">
        <f>(VLOOKUP(Tabla4[[#This Row],[SERVICIO 2025]],$J$2:$V$14,3,0)*Tabla4[[#This Row],[TOTAL COBERTURA]])+Tabla4[[#This Row],[VALOR FASE PREPARATORIA DE ALISTAMIENTO]]+Tabla4[[#This Row],[DOTACIÓN ÚNICA]]</f>
        <v>46125378</v>
      </c>
      <c r="AU571" s="35">
        <f>(VLOOKUP(Tabla4[[#This Row],[SERVICIO 2025]],$J$2:$V$14,3,0)*Tabla4[[#This Row],[TOTAL COBERTURA]])</f>
        <v>39250224</v>
      </c>
      <c r="AV571" s="35">
        <f>(VLOOKUP(Tabla4[[#This Row],[SERVICIO 2025]],$J$2:$V$14,3,0)*Tabla4[[#This Row],[TOTAL COBERTURA]])</f>
        <v>39250224</v>
      </c>
      <c r="AW571" s="35">
        <f>(VLOOKUP(Tabla4[[#This Row],[SERVICIO 2025]],$J$2:$V$14,3,0)*Tabla4[[#This Row],[TOTAL COBERTURA]])</f>
        <v>39250224</v>
      </c>
      <c r="AX571" s="35">
        <f>(VLOOKUP(Tabla4[[#This Row],[SERVICIO 2025]],$J$2:$V$14,3,0)*Tabla4[[#This Row],[TOTAL COBERTURA]])</f>
        <v>39250224</v>
      </c>
      <c r="AY571" s="35">
        <f>(VLOOKUP(Tabla4[[#This Row],[SERVICIO 2025]],$J$2:$V$14,3,0)*Tabla4[[#This Row],[TOTAL COBERTURA]])</f>
        <v>39250224</v>
      </c>
      <c r="AZ571" s="35">
        <f>(VLOOKUP(Tabla4[[#This Row],[SERVICIO 2025]],$J$2:$V$14,3,0)*Tabla4[[#This Row],[TOTAL COBERTURA]])</f>
        <v>39250224</v>
      </c>
      <c r="BA571" s="35">
        <f>(VLOOKUP(Tabla4[[#This Row],[SERVICIO 2025]],$J$2:$V$14,3,0)*Tabla4[[#This Row],[TOTAL COBERTURA]])+Tabla4[[#This Row],[VALOR FASE PREPARATORIA DE CIERRE]]</f>
        <v>45103578</v>
      </c>
      <c r="BB571" s="35">
        <f>SUM(Tabla4[[#This Row],[DESEMBOLSO 1]:[DESEMBOLSO 8]])</f>
        <v>326730300</v>
      </c>
      <c r="BC571" s="35">
        <f>VLOOKUP(Tabla4[[#This Row],[SERVICIO 2025]],$J$2:$V$14,10,0)*Tabla4[[#This Row],[TOTAL COBERTURA]]*$W$3</f>
        <v>0</v>
      </c>
      <c r="BD571" s="47" t="s">
        <v>145</v>
      </c>
      <c r="BE571" s="12" t="b">
        <f>EXACT(Tabla4[[#This Row],[VALOR ATENCIÓN (8 MESES)]],Tabla4[[#This Row],[VALOR TOTAL]])</f>
        <v>1</v>
      </c>
      <c r="BF571" s="23">
        <f>Tabla4[[#This Row],[VALOR ATENCIÓN (8 MESES)]]-Tabla4[[#This Row],[VALOR TOTAL]]</f>
        <v>0</v>
      </c>
      <c r="BG571" s="12" t="b">
        <f>EXACT(Tabla4[[#This Row],[TOTAL DESEMBOLSOS]],Tabla4[[#This Row],[VALOR ATENCIÓN (8 MESES)]])</f>
        <v>1</v>
      </c>
      <c r="BH571" s="29">
        <f>Tabla4[[#This Row],[TOTAL DESEMBOLSOS]]-Tabla4[[#This Row],[VALOR ATENCIÓN (8 MESES)]]</f>
        <v>0</v>
      </c>
      <c r="BI571" t="s">
        <v>98</v>
      </c>
    </row>
    <row r="572" spans="1:62">
      <c r="A572" s="13">
        <v>1942</v>
      </c>
      <c r="B572" s="13" t="s">
        <v>1309</v>
      </c>
      <c r="C572" s="12" t="s">
        <v>87</v>
      </c>
      <c r="D572" s="12" t="s">
        <v>266</v>
      </c>
      <c r="E572" s="12" t="s">
        <v>1310</v>
      </c>
      <c r="F572" s="12" t="s">
        <v>18</v>
      </c>
      <c r="G572" s="12" t="s">
        <v>90</v>
      </c>
      <c r="H572" s="12" t="s">
        <v>369</v>
      </c>
      <c r="I572" s="12">
        <v>52091119638</v>
      </c>
      <c r="J572" s="12" t="s">
        <v>370</v>
      </c>
      <c r="K572" s="12">
        <v>1</v>
      </c>
      <c r="L572" s="12">
        <v>9</v>
      </c>
      <c r="M572" s="12"/>
      <c r="N572" s="13">
        <v>1942</v>
      </c>
      <c r="O572" s="12" t="s">
        <v>93</v>
      </c>
      <c r="P572" s="12"/>
      <c r="Q572" s="12"/>
      <c r="R572" s="12" t="s">
        <v>94</v>
      </c>
      <c r="S572" s="12">
        <v>10</v>
      </c>
      <c r="T572" s="12" t="s">
        <v>390</v>
      </c>
      <c r="U572" s="12" t="s">
        <v>391</v>
      </c>
      <c r="V572" s="12">
        <f>VLOOKUP(Tabla4[[#This Row],[ZONA DEFINITIVO]],Hoja1!$A$1:$D$121,3,0)</f>
        <v>229112</v>
      </c>
      <c r="W572" s="12">
        <f>VLOOKUP(Tabla4[[#This Row],[ZONA DEFINITIVO]],Hoja1!$A$1:$D$121,2,0)</f>
        <v>15194</v>
      </c>
      <c r="X572" s="12">
        <f>VLOOKUP(Tabla4[[#This Row],[ZONA DEFINITIVO]],Hoja1!$A$1:$D$121,4,0)</f>
        <v>82925</v>
      </c>
      <c r="Y572" s="12" t="str">
        <f>+IF(Tabla4[[#This Row],[AGRUPACIONES]]=1,SUMIFS(Tabla4[UDS],Tabla4[ZONA DEFINITIVO],Tabla4[[#This Row],[ZONA DEFINITIVO]])," ")</f>
        <v xml:space="preserve"> </v>
      </c>
      <c r="Z572" s="12" t="str">
        <f>+IF(Tabla4[[#This Row],[AGRUPACIONES]]=1,SUMIFS(Tabla4[TOTAL COBERTURA],Tabla4[ZONA DEFINITIVO],Tabla4[[#This Row],[ZONA DEFINITIVO]])," ")</f>
        <v xml:space="preserve"> </v>
      </c>
      <c r="AA572" s="12"/>
      <c r="AB572" s="38">
        <v>19621737</v>
      </c>
      <c r="AC572" s="37">
        <v>0.02</v>
      </c>
      <c r="AD572" s="38">
        <f t="shared" si="9"/>
        <v>392434.74</v>
      </c>
      <c r="AE572" s="12"/>
      <c r="AF572" s="12">
        <f>COUNTIF($A$20:A572,A572)</f>
        <v>3</v>
      </c>
      <c r="AG572" s="38">
        <v>19621737</v>
      </c>
      <c r="AH572" s="38">
        <f>Tabla4[[#This Row],[VALOR CONTRAPARTIDA]]+Tabla4[[#This Row],[TOTAL APORTES ICBF]]</f>
        <v>20014171.739999998</v>
      </c>
      <c r="AI572" s="35"/>
      <c r="AJ572" s="38"/>
      <c r="AK572" s="38"/>
      <c r="AL572" s="23"/>
      <c r="AM572" s="35">
        <f>VLOOKUP(Tabla4[[#This Row],[SERVICIO 2025]],$J$2:$V$14,5,0)*Tabla4[[#This Row],[TOTAL COBERTURA]]</f>
        <v>444384</v>
      </c>
      <c r="AN572" s="35">
        <f>VLOOKUP(Tabla4[[#This Row],[SERVICIO 2025]],$J$2:$V$14,6,0)*Tabla4[[#This Row],[TOTAL COBERTURA]]</f>
        <v>369261</v>
      </c>
      <c r="AO572" s="35">
        <f>VLOOKUP(Tabla4[[#This Row],[SERVICIO 2025]],$J$2:$V$14,8,0)*Tabla4[[#This Row],[TOTAL COBERTURA]]</f>
        <v>261900</v>
      </c>
      <c r="AP572" s="35">
        <f>VLOOKUP(Tabla4[[#This Row],[SERVICIO 2025]],$J$2:$V$14,3,0)*Tabla4[[#This Row],[TOTAL COBERTURA]]*8</f>
        <v>18546192</v>
      </c>
      <c r="AQ572" s="35"/>
      <c r="AR572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572" s="35" t="str">
        <f>+IF(Tabla4[[#This Row],[AGRUPACIONES]]=1,SUMIFS(Tabla4[VALOR TOTAL],Tabla4[ZONA DEFINITIVO],Tabla4[[#This Row],[ZONA DEFINITIVO]])," ")</f>
        <v xml:space="preserve"> </v>
      </c>
      <c r="AT572" s="27">
        <f>(VLOOKUP(Tabla4[[#This Row],[SERVICIO 2025]],$J$2:$V$14,3,0)*Tabla4[[#This Row],[TOTAL COBERTURA]])+Tabla4[[#This Row],[VALOR FASE PREPARATORIA DE ALISTAMIENTO]]+Tabla4[[#This Row],[DOTACIÓN ÚNICA]]</f>
        <v>3024558</v>
      </c>
      <c r="AU572" s="35">
        <f>(VLOOKUP(Tabla4[[#This Row],[SERVICIO 2025]],$J$2:$V$14,3,0)*Tabla4[[#This Row],[TOTAL COBERTURA]])</f>
        <v>2318274</v>
      </c>
      <c r="AV572" s="35">
        <f>(VLOOKUP(Tabla4[[#This Row],[SERVICIO 2025]],$J$2:$V$14,3,0)*Tabla4[[#This Row],[TOTAL COBERTURA]])</f>
        <v>2318274</v>
      </c>
      <c r="AW572" s="35">
        <f>(VLOOKUP(Tabla4[[#This Row],[SERVICIO 2025]],$J$2:$V$14,3,0)*Tabla4[[#This Row],[TOTAL COBERTURA]])</f>
        <v>2318274</v>
      </c>
      <c r="AX572" s="35">
        <f>(VLOOKUP(Tabla4[[#This Row],[SERVICIO 2025]],$J$2:$V$14,3,0)*Tabla4[[#This Row],[TOTAL COBERTURA]])</f>
        <v>2318274</v>
      </c>
      <c r="AY572" s="35">
        <f>(VLOOKUP(Tabla4[[#This Row],[SERVICIO 2025]],$J$2:$V$14,3,0)*Tabla4[[#This Row],[TOTAL COBERTURA]])</f>
        <v>2318274</v>
      </c>
      <c r="AZ572" s="35">
        <f>(VLOOKUP(Tabla4[[#This Row],[SERVICIO 2025]],$J$2:$V$14,3,0)*Tabla4[[#This Row],[TOTAL COBERTURA]])</f>
        <v>2318274</v>
      </c>
      <c r="BA572" s="35">
        <f>(VLOOKUP(Tabla4[[#This Row],[SERVICIO 2025]],$J$2:$V$14,3,0)*Tabla4[[#This Row],[TOTAL COBERTURA]])+Tabla4[[#This Row],[VALOR FASE PREPARATORIA DE CIERRE]]</f>
        <v>2687535</v>
      </c>
      <c r="BB572" s="35">
        <f>SUM(Tabla4[[#This Row],[DESEMBOLSO 1]:[DESEMBOLSO 8]])</f>
        <v>19621737</v>
      </c>
      <c r="BC572" s="35"/>
      <c r="BD572" s="47" t="s">
        <v>97</v>
      </c>
      <c r="BE572" s="12" t="b">
        <f>EXACT(Tabla4[[#This Row],[VALOR ATENCIÓN (8 MESES)]],Tabla4[[#This Row],[VALOR TOTAL]])</f>
        <v>1</v>
      </c>
      <c r="BF572" s="23">
        <f>Tabla4[[#This Row],[VALOR ATENCIÓN (8 MESES)]]-Tabla4[[#This Row],[VALOR TOTAL]]</f>
        <v>0</v>
      </c>
      <c r="BG572" s="12" t="b">
        <f>EXACT(Tabla4[[#This Row],[TOTAL DESEMBOLSOS]],Tabla4[[#This Row],[VALOR ATENCIÓN (8 MESES)]])</f>
        <v>1</v>
      </c>
      <c r="BH572" s="29">
        <f>Tabla4[[#This Row],[TOTAL DESEMBOLSOS]]-Tabla4[[#This Row],[VALOR ATENCIÓN (8 MESES)]]</f>
        <v>0</v>
      </c>
      <c r="BI572" t="s">
        <v>98</v>
      </c>
    </row>
    <row r="573" spans="1:62">
      <c r="A573" s="13">
        <v>1942</v>
      </c>
      <c r="B573" s="13" t="s">
        <v>1309</v>
      </c>
      <c r="C573" s="12" t="s">
        <v>87</v>
      </c>
      <c r="D573" s="12" t="s">
        <v>266</v>
      </c>
      <c r="E573" s="12" t="s">
        <v>1310</v>
      </c>
      <c r="F573" s="12" t="s">
        <v>18</v>
      </c>
      <c r="G573" s="12" t="s">
        <v>90</v>
      </c>
      <c r="H573" s="12" t="s">
        <v>1315</v>
      </c>
      <c r="I573" s="12">
        <v>52091119639</v>
      </c>
      <c r="J573" s="12" t="s">
        <v>1316</v>
      </c>
      <c r="K573" s="12">
        <v>1</v>
      </c>
      <c r="L573" s="12">
        <v>31</v>
      </c>
      <c r="M573" s="12"/>
      <c r="N573" s="13">
        <v>1942</v>
      </c>
      <c r="O573" s="12" t="s">
        <v>93</v>
      </c>
      <c r="P573" s="12"/>
      <c r="Q573" s="12"/>
      <c r="R573" s="12" t="s">
        <v>94</v>
      </c>
      <c r="S573" s="12">
        <v>10</v>
      </c>
      <c r="T573" s="12" t="s">
        <v>390</v>
      </c>
      <c r="U573" s="12" t="s">
        <v>391</v>
      </c>
      <c r="V573" s="12">
        <f>VLOOKUP(Tabla4[[#This Row],[ZONA DEFINITIVO]],Hoja1!$A$1:$D$121,3,0)</f>
        <v>229112</v>
      </c>
      <c r="W573" s="12">
        <f>VLOOKUP(Tabla4[[#This Row],[ZONA DEFINITIVO]],Hoja1!$A$1:$D$121,2,0)</f>
        <v>15194</v>
      </c>
      <c r="X573" s="12">
        <f>VLOOKUP(Tabla4[[#This Row],[ZONA DEFINITIVO]],Hoja1!$A$1:$D$121,4,0)</f>
        <v>82925</v>
      </c>
      <c r="Y573" s="12" t="str">
        <f>+IF(Tabla4[[#This Row],[AGRUPACIONES]]=1,SUMIFS(Tabla4[UDS],Tabla4[ZONA DEFINITIVO],Tabla4[[#This Row],[ZONA DEFINITIVO]])," ")</f>
        <v xml:space="preserve"> </v>
      </c>
      <c r="Z573" s="12" t="str">
        <f>+IF(Tabla4[[#This Row],[AGRUPACIONES]]=1,SUMIFS(Tabla4[TOTAL COBERTURA],Tabla4[ZONA DEFINITIVO],Tabla4[[#This Row],[ZONA DEFINITIVO]])," ")</f>
        <v xml:space="preserve"> </v>
      </c>
      <c r="AA573" s="12"/>
      <c r="AB573" s="38">
        <v>67585983</v>
      </c>
      <c r="AC573" s="37">
        <v>0.02</v>
      </c>
      <c r="AD573" s="38">
        <f t="shared" si="9"/>
        <v>1351719.66</v>
      </c>
      <c r="AE573" s="12"/>
      <c r="AF573" s="12">
        <f>COUNTIF($A$20:A573,A573)</f>
        <v>4</v>
      </c>
      <c r="AG573" s="38">
        <v>67585983</v>
      </c>
      <c r="AH573" s="38">
        <f>Tabla4[[#This Row],[VALOR CONTRAPARTIDA]]+Tabla4[[#This Row],[TOTAL APORTES ICBF]]</f>
        <v>68937702.659999996</v>
      </c>
      <c r="AI573" s="35"/>
      <c r="AJ573" s="38"/>
      <c r="AK573" s="38"/>
      <c r="AL573" s="23"/>
      <c r="AM573" s="35">
        <f>VLOOKUP(Tabla4[[#This Row],[SERVICIO 2025]],$J$2:$V$14,5,0)*Tabla4[[#This Row],[TOTAL COBERTURA]]</f>
        <v>1530656</v>
      </c>
      <c r="AN573" s="35">
        <f>VLOOKUP(Tabla4[[#This Row],[SERVICIO 2025]],$J$2:$V$14,6,0)*Tabla4[[#This Row],[TOTAL COBERTURA]]</f>
        <v>1271899</v>
      </c>
      <c r="AO573" s="35">
        <f>VLOOKUP(Tabla4[[#This Row],[SERVICIO 2025]],$J$2:$V$14,8,0)*Tabla4[[#This Row],[TOTAL COBERTURA]]</f>
        <v>902100</v>
      </c>
      <c r="AP573" s="35">
        <f>VLOOKUP(Tabla4[[#This Row],[SERVICIO 2025]],$J$2:$V$14,3,0)*Tabla4[[#This Row],[TOTAL COBERTURA]]*8</f>
        <v>63881328</v>
      </c>
      <c r="AQ573" s="35"/>
      <c r="AR573" s="35">
        <f>Tabla4[[#This Row],[VALOR FASE PREPARATORIA DE ALISTAMIENTO]]+Tabla4[[#This Row],[VALOR FASE PREPARATORIA DE CIERRE]]+Tabla4[[#This Row],[DOTACIÓN ÚNICA]]+Tabla4[[#This Row],[VALOR ATENCIÓN]]+Tabla4[[#This Row],[VALOR RACION PREPARADA]]</f>
        <v>67585983</v>
      </c>
      <c r="AS573" s="35" t="str">
        <f>+IF(Tabla4[[#This Row],[AGRUPACIONES]]=1,SUMIFS(Tabla4[VALOR TOTAL],Tabla4[ZONA DEFINITIVO],Tabla4[[#This Row],[ZONA DEFINITIVO]])," ")</f>
        <v xml:space="preserve"> </v>
      </c>
      <c r="AT573" s="27">
        <f>(VLOOKUP(Tabla4[[#This Row],[SERVICIO 2025]],$J$2:$V$14,3,0)*Tabla4[[#This Row],[TOTAL COBERTURA]])+Tabla4[[#This Row],[VALOR FASE PREPARATORIA DE ALISTAMIENTO]]+Tabla4[[#This Row],[DOTACIÓN ÚNICA]]</f>
        <v>10417922</v>
      </c>
      <c r="AU573" s="35">
        <f>(VLOOKUP(Tabla4[[#This Row],[SERVICIO 2025]],$J$2:$V$14,3,0)*Tabla4[[#This Row],[TOTAL COBERTURA]])</f>
        <v>7985166</v>
      </c>
      <c r="AV573" s="35">
        <f>(VLOOKUP(Tabla4[[#This Row],[SERVICIO 2025]],$J$2:$V$14,3,0)*Tabla4[[#This Row],[TOTAL COBERTURA]])</f>
        <v>7985166</v>
      </c>
      <c r="AW573" s="35">
        <f>(VLOOKUP(Tabla4[[#This Row],[SERVICIO 2025]],$J$2:$V$14,3,0)*Tabla4[[#This Row],[TOTAL COBERTURA]])</f>
        <v>7985166</v>
      </c>
      <c r="AX573" s="35">
        <f>(VLOOKUP(Tabla4[[#This Row],[SERVICIO 2025]],$J$2:$V$14,3,0)*Tabla4[[#This Row],[TOTAL COBERTURA]])</f>
        <v>7985166</v>
      </c>
      <c r="AY573" s="35">
        <f>(VLOOKUP(Tabla4[[#This Row],[SERVICIO 2025]],$J$2:$V$14,3,0)*Tabla4[[#This Row],[TOTAL COBERTURA]])</f>
        <v>7985166</v>
      </c>
      <c r="AZ573" s="35">
        <f>(VLOOKUP(Tabla4[[#This Row],[SERVICIO 2025]],$J$2:$V$14,3,0)*Tabla4[[#This Row],[TOTAL COBERTURA]])</f>
        <v>7985166</v>
      </c>
      <c r="BA573" s="35">
        <f>(VLOOKUP(Tabla4[[#This Row],[SERVICIO 2025]],$J$2:$V$14,3,0)*Tabla4[[#This Row],[TOTAL COBERTURA]])+Tabla4[[#This Row],[VALOR FASE PREPARATORIA DE CIERRE]]</f>
        <v>9257065</v>
      </c>
      <c r="BB573" s="35">
        <f>SUM(Tabla4[[#This Row],[DESEMBOLSO 1]:[DESEMBOLSO 8]])</f>
        <v>67585983</v>
      </c>
      <c r="BC573" s="35"/>
      <c r="BD573" s="47" t="s">
        <v>97</v>
      </c>
      <c r="BE573" s="12" t="b">
        <f>EXACT(Tabla4[[#This Row],[VALOR ATENCIÓN (8 MESES)]],Tabla4[[#This Row],[VALOR TOTAL]])</f>
        <v>1</v>
      </c>
      <c r="BF573" s="23">
        <f>Tabla4[[#This Row],[VALOR ATENCIÓN (8 MESES)]]-Tabla4[[#This Row],[VALOR TOTAL]]</f>
        <v>0</v>
      </c>
      <c r="BG573" s="12" t="b">
        <f>EXACT(Tabla4[[#This Row],[TOTAL DESEMBOLSOS]],Tabla4[[#This Row],[VALOR ATENCIÓN (8 MESES)]])</f>
        <v>1</v>
      </c>
      <c r="BH573" s="29">
        <f>Tabla4[[#This Row],[TOTAL DESEMBOLSOS]]-Tabla4[[#This Row],[VALOR ATENCIÓN (8 MESES)]]</f>
        <v>0</v>
      </c>
      <c r="BI573" t="s">
        <v>98</v>
      </c>
    </row>
    <row r="574" spans="1:62">
      <c r="A574" s="13">
        <v>1942</v>
      </c>
      <c r="B574" s="13" t="s">
        <v>1309</v>
      </c>
      <c r="C574" s="12" t="s">
        <v>87</v>
      </c>
      <c r="D574" s="12" t="s">
        <v>266</v>
      </c>
      <c r="E574" s="12" t="s">
        <v>1310</v>
      </c>
      <c r="F574" s="12" t="s">
        <v>18</v>
      </c>
      <c r="G574" s="12" t="s">
        <v>90</v>
      </c>
      <c r="H574" s="12" t="s">
        <v>1317</v>
      </c>
      <c r="I574" s="12">
        <v>52091119641</v>
      </c>
      <c r="J574" s="12" t="s">
        <v>1318</v>
      </c>
      <c r="K574" s="12">
        <v>1</v>
      </c>
      <c r="L574" s="12">
        <v>18</v>
      </c>
      <c r="M574" s="12"/>
      <c r="N574" s="13">
        <v>1942</v>
      </c>
      <c r="O574" s="12" t="s">
        <v>93</v>
      </c>
      <c r="P574" s="12"/>
      <c r="Q574" s="12"/>
      <c r="R574" s="12" t="s">
        <v>94</v>
      </c>
      <c r="S574" s="12">
        <v>10</v>
      </c>
      <c r="T574" s="12" t="s">
        <v>390</v>
      </c>
      <c r="U574" s="12" t="s">
        <v>391</v>
      </c>
      <c r="V574" s="12">
        <f>VLOOKUP(Tabla4[[#This Row],[ZONA DEFINITIVO]],Hoja1!$A$1:$D$121,3,0)</f>
        <v>229112</v>
      </c>
      <c r="W574" s="12">
        <f>VLOOKUP(Tabla4[[#This Row],[ZONA DEFINITIVO]],Hoja1!$A$1:$D$121,2,0)</f>
        <v>15194</v>
      </c>
      <c r="X574" s="12">
        <f>VLOOKUP(Tabla4[[#This Row],[ZONA DEFINITIVO]],Hoja1!$A$1:$D$121,4,0)</f>
        <v>82925</v>
      </c>
      <c r="Y574" s="12" t="str">
        <f>+IF(Tabla4[[#This Row],[AGRUPACIONES]]=1,SUMIFS(Tabla4[UDS],Tabla4[ZONA DEFINITIVO],Tabla4[[#This Row],[ZONA DEFINITIVO]])," ")</f>
        <v xml:space="preserve"> </v>
      </c>
      <c r="Z574" s="12" t="str">
        <f>+IF(Tabla4[[#This Row],[AGRUPACIONES]]=1,SUMIFS(Tabla4[TOTAL COBERTURA],Tabla4[ZONA DEFINITIVO],Tabla4[[#This Row],[ZONA DEFINITIVO]])," ")</f>
        <v xml:space="preserve"> </v>
      </c>
      <c r="AA574" s="12"/>
      <c r="AB574" s="38">
        <v>39243474</v>
      </c>
      <c r="AC574" s="37">
        <v>0.02</v>
      </c>
      <c r="AD574" s="38">
        <f t="shared" si="9"/>
        <v>784869.48</v>
      </c>
      <c r="AE574" s="12"/>
      <c r="AF574" s="12">
        <f>COUNTIF($A$20:A574,A574)</f>
        <v>5</v>
      </c>
      <c r="AG574" s="38">
        <v>39243474</v>
      </c>
      <c r="AH574" s="38">
        <f>Tabla4[[#This Row],[VALOR CONTRAPARTIDA]]+Tabla4[[#This Row],[TOTAL APORTES ICBF]]</f>
        <v>40028343.479999997</v>
      </c>
      <c r="AI574" s="35"/>
      <c r="AJ574" s="38"/>
      <c r="AK574" s="38"/>
      <c r="AL574" s="23"/>
      <c r="AM574" s="35">
        <f>VLOOKUP(Tabla4[[#This Row],[SERVICIO 2025]],$J$2:$V$14,5,0)*Tabla4[[#This Row],[TOTAL COBERTURA]]</f>
        <v>888768</v>
      </c>
      <c r="AN574" s="35">
        <f>VLOOKUP(Tabla4[[#This Row],[SERVICIO 2025]],$J$2:$V$14,6,0)*Tabla4[[#This Row],[TOTAL COBERTURA]]</f>
        <v>738522</v>
      </c>
      <c r="AO574" s="35">
        <f>VLOOKUP(Tabla4[[#This Row],[SERVICIO 2025]],$J$2:$V$14,8,0)*Tabla4[[#This Row],[TOTAL COBERTURA]]</f>
        <v>523800</v>
      </c>
      <c r="AP574" s="35">
        <f>VLOOKUP(Tabla4[[#This Row],[SERVICIO 2025]],$J$2:$V$14,3,0)*Tabla4[[#This Row],[TOTAL COBERTURA]]*8</f>
        <v>37092384</v>
      </c>
      <c r="AQ574" s="35"/>
      <c r="AR574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574" s="35" t="str">
        <f>+IF(Tabla4[[#This Row],[AGRUPACIONES]]=1,SUMIFS(Tabla4[VALOR TOTAL],Tabla4[ZONA DEFINITIVO],Tabla4[[#This Row],[ZONA DEFINITIVO]])," ")</f>
        <v xml:space="preserve"> </v>
      </c>
      <c r="AT574" s="27">
        <f>(VLOOKUP(Tabla4[[#This Row],[SERVICIO 2025]],$J$2:$V$14,3,0)*Tabla4[[#This Row],[TOTAL COBERTURA]])+Tabla4[[#This Row],[VALOR FASE PREPARATORIA DE ALISTAMIENTO]]+Tabla4[[#This Row],[DOTACIÓN ÚNICA]]</f>
        <v>6049116</v>
      </c>
      <c r="AU574" s="35">
        <f>(VLOOKUP(Tabla4[[#This Row],[SERVICIO 2025]],$J$2:$V$14,3,0)*Tabla4[[#This Row],[TOTAL COBERTURA]])</f>
        <v>4636548</v>
      </c>
      <c r="AV574" s="35">
        <f>(VLOOKUP(Tabla4[[#This Row],[SERVICIO 2025]],$J$2:$V$14,3,0)*Tabla4[[#This Row],[TOTAL COBERTURA]])</f>
        <v>4636548</v>
      </c>
      <c r="AW574" s="35">
        <f>(VLOOKUP(Tabla4[[#This Row],[SERVICIO 2025]],$J$2:$V$14,3,0)*Tabla4[[#This Row],[TOTAL COBERTURA]])</f>
        <v>4636548</v>
      </c>
      <c r="AX574" s="35">
        <f>(VLOOKUP(Tabla4[[#This Row],[SERVICIO 2025]],$J$2:$V$14,3,0)*Tabla4[[#This Row],[TOTAL COBERTURA]])</f>
        <v>4636548</v>
      </c>
      <c r="AY574" s="35">
        <f>(VLOOKUP(Tabla4[[#This Row],[SERVICIO 2025]],$J$2:$V$14,3,0)*Tabla4[[#This Row],[TOTAL COBERTURA]])</f>
        <v>4636548</v>
      </c>
      <c r="AZ574" s="35">
        <f>(VLOOKUP(Tabla4[[#This Row],[SERVICIO 2025]],$J$2:$V$14,3,0)*Tabla4[[#This Row],[TOTAL COBERTURA]])</f>
        <v>4636548</v>
      </c>
      <c r="BA574" s="35">
        <f>(VLOOKUP(Tabla4[[#This Row],[SERVICIO 2025]],$J$2:$V$14,3,0)*Tabla4[[#This Row],[TOTAL COBERTURA]])+Tabla4[[#This Row],[VALOR FASE PREPARATORIA DE CIERRE]]</f>
        <v>5375070</v>
      </c>
      <c r="BB574" s="35">
        <f>SUM(Tabla4[[#This Row],[DESEMBOLSO 1]:[DESEMBOLSO 8]])</f>
        <v>39243474</v>
      </c>
      <c r="BC574" s="35"/>
      <c r="BD574" s="47" t="s">
        <v>97</v>
      </c>
      <c r="BE574" s="12" t="b">
        <f>EXACT(Tabla4[[#This Row],[VALOR ATENCIÓN (8 MESES)]],Tabla4[[#This Row],[VALOR TOTAL]])</f>
        <v>1</v>
      </c>
      <c r="BF574" s="23">
        <f>Tabla4[[#This Row],[VALOR ATENCIÓN (8 MESES)]]-Tabla4[[#This Row],[VALOR TOTAL]]</f>
        <v>0</v>
      </c>
      <c r="BG574" s="12" t="b">
        <f>EXACT(Tabla4[[#This Row],[TOTAL DESEMBOLSOS]],Tabla4[[#This Row],[VALOR ATENCIÓN (8 MESES)]])</f>
        <v>1</v>
      </c>
      <c r="BH574" s="29">
        <f>Tabla4[[#This Row],[TOTAL DESEMBOLSOS]]-Tabla4[[#This Row],[VALOR ATENCIÓN (8 MESES)]]</f>
        <v>0</v>
      </c>
      <c r="BI574" t="s">
        <v>98</v>
      </c>
    </row>
    <row r="575" spans="1:62">
      <c r="A575" s="13">
        <v>1942</v>
      </c>
      <c r="B575" s="13" t="s">
        <v>1309</v>
      </c>
      <c r="C575" s="12" t="s">
        <v>87</v>
      </c>
      <c r="D575" s="12" t="s">
        <v>266</v>
      </c>
      <c r="E575" s="12" t="s">
        <v>1310</v>
      </c>
      <c r="F575" s="12" t="s">
        <v>18</v>
      </c>
      <c r="G575" s="12" t="s">
        <v>90</v>
      </c>
      <c r="H575" s="12" t="s">
        <v>1319</v>
      </c>
      <c r="I575" s="12">
        <v>52091119644</v>
      </c>
      <c r="J575" s="12" t="s">
        <v>1320</v>
      </c>
      <c r="K575" s="12">
        <v>1</v>
      </c>
      <c r="L575" s="12">
        <v>15</v>
      </c>
      <c r="M575" s="12"/>
      <c r="N575" s="13">
        <v>1942</v>
      </c>
      <c r="O575" s="12" t="s">
        <v>93</v>
      </c>
      <c r="P575" s="12"/>
      <c r="Q575" s="12"/>
      <c r="R575" s="12" t="s">
        <v>94</v>
      </c>
      <c r="S575" s="12">
        <v>10</v>
      </c>
      <c r="T575" s="12" t="s">
        <v>390</v>
      </c>
      <c r="U575" s="12" t="s">
        <v>391</v>
      </c>
      <c r="V575" s="12">
        <f>VLOOKUP(Tabla4[[#This Row],[ZONA DEFINITIVO]],Hoja1!$A$1:$D$121,3,0)</f>
        <v>229112</v>
      </c>
      <c r="W575" s="12">
        <f>VLOOKUP(Tabla4[[#This Row],[ZONA DEFINITIVO]],Hoja1!$A$1:$D$121,2,0)</f>
        <v>15194</v>
      </c>
      <c r="X575" s="12">
        <f>VLOOKUP(Tabla4[[#This Row],[ZONA DEFINITIVO]],Hoja1!$A$1:$D$121,4,0)</f>
        <v>82925</v>
      </c>
      <c r="Y575" s="12" t="str">
        <f>+IF(Tabla4[[#This Row],[AGRUPACIONES]]=1,SUMIFS(Tabla4[UDS],Tabla4[ZONA DEFINITIVO],Tabla4[[#This Row],[ZONA DEFINITIVO]])," ")</f>
        <v xml:space="preserve"> </v>
      </c>
      <c r="Z575" s="12" t="str">
        <f>+IF(Tabla4[[#This Row],[AGRUPACIONES]]=1,SUMIFS(Tabla4[TOTAL COBERTURA],Tabla4[ZONA DEFINITIVO],Tabla4[[#This Row],[ZONA DEFINITIVO]])," ")</f>
        <v xml:space="preserve"> </v>
      </c>
      <c r="AA575" s="12"/>
      <c r="AB575" s="38">
        <v>32702895</v>
      </c>
      <c r="AC575" s="37">
        <v>0.02</v>
      </c>
      <c r="AD575" s="38">
        <f t="shared" si="9"/>
        <v>654057.9</v>
      </c>
      <c r="AE575" s="12"/>
      <c r="AF575" s="12">
        <f>COUNTIF($A$20:A575,A575)</f>
        <v>6</v>
      </c>
      <c r="AG575" s="38">
        <v>32702895</v>
      </c>
      <c r="AH575" s="38">
        <f>Tabla4[[#This Row],[VALOR CONTRAPARTIDA]]+Tabla4[[#This Row],[TOTAL APORTES ICBF]]</f>
        <v>33356952.899999999</v>
      </c>
      <c r="AI575" s="35"/>
      <c r="AJ575" s="38"/>
      <c r="AK575" s="38"/>
      <c r="AL575" s="23"/>
      <c r="AM575" s="35">
        <f>VLOOKUP(Tabla4[[#This Row],[SERVICIO 2025]],$J$2:$V$14,5,0)*Tabla4[[#This Row],[TOTAL COBERTURA]]</f>
        <v>740640</v>
      </c>
      <c r="AN575" s="35">
        <f>VLOOKUP(Tabla4[[#This Row],[SERVICIO 2025]],$J$2:$V$14,6,0)*Tabla4[[#This Row],[TOTAL COBERTURA]]</f>
        <v>615435</v>
      </c>
      <c r="AO575" s="35">
        <f>VLOOKUP(Tabla4[[#This Row],[SERVICIO 2025]],$J$2:$V$14,8,0)*Tabla4[[#This Row],[TOTAL COBERTURA]]</f>
        <v>436500</v>
      </c>
      <c r="AP575" s="35">
        <f>VLOOKUP(Tabla4[[#This Row],[SERVICIO 2025]],$J$2:$V$14,3,0)*Tabla4[[#This Row],[TOTAL COBERTURA]]*8</f>
        <v>30910320</v>
      </c>
      <c r="AQ575" s="35"/>
      <c r="AR575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575" s="35" t="str">
        <f>+IF(Tabla4[[#This Row],[AGRUPACIONES]]=1,SUMIFS(Tabla4[VALOR TOTAL],Tabla4[ZONA DEFINITIVO],Tabla4[[#This Row],[ZONA DEFINITIVO]])," ")</f>
        <v xml:space="preserve"> </v>
      </c>
      <c r="AT575" s="27">
        <f>(VLOOKUP(Tabla4[[#This Row],[SERVICIO 2025]],$J$2:$V$14,3,0)*Tabla4[[#This Row],[TOTAL COBERTURA]])+Tabla4[[#This Row],[VALOR FASE PREPARATORIA DE ALISTAMIENTO]]+Tabla4[[#This Row],[DOTACIÓN ÚNICA]]</f>
        <v>5040930</v>
      </c>
      <c r="AU575" s="35">
        <f>(VLOOKUP(Tabla4[[#This Row],[SERVICIO 2025]],$J$2:$V$14,3,0)*Tabla4[[#This Row],[TOTAL COBERTURA]])</f>
        <v>3863790</v>
      </c>
      <c r="AV575" s="35">
        <f>(VLOOKUP(Tabla4[[#This Row],[SERVICIO 2025]],$J$2:$V$14,3,0)*Tabla4[[#This Row],[TOTAL COBERTURA]])</f>
        <v>3863790</v>
      </c>
      <c r="AW575" s="35">
        <f>(VLOOKUP(Tabla4[[#This Row],[SERVICIO 2025]],$J$2:$V$14,3,0)*Tabla4[[#This Row],[TOTAL COBERTURA]])</f>
        <v>3863790</v>
      </c>
      <c r="AX575" s="35">
        <f>(VLOOKUP(Tabla4[[#This Row],[SERVICIO 2025]],$J$2:$V$14,3,0)*Tabla4[[#This Row],[TOTAL COBERTURA]])</f>
        <v>3863790</v>
      </c>
      <c r="AY575" s="35">
        <f>(VLOOKUP(Tabla4[[#This Row],[SERVICIO 2025]],$J$2:$V$14,3,0)*Tabla4[[#This Row],[TOTAL COBERTURA]])</f>
        <v>3863790</v>
      </c>
      <c r="AZ575" s="35">
        <f>(VLOOKUP(Tabla4[[#This Row],[SERVICIO 2025]],$J$2:$V$14,3,0)*Tabla4[[#This Row],[TOTAL COBERTURA]])</f>
        <v>3863790</v>
      </c>
      <c r="BA575" s="35">
        <f>(VLOOKUP(Tabla4[[#This Row],[SERVICIO 2025]],$J$2:$V$14,3,0)*Tabla4[[#This Row],[TOTAL COBERTURA]])+Tabla4[[#This Row],[VALOR FASE PREPARATORIA DE CIERRE]]</f>
        <v>4479225</v>
      </c>
      <c r="BB575" s="35">
        <f>SUM(Tabla4[[#This Row],[DESEMBOLSO 1]:[DESEMBOLSO 8]])</f>
        <v>32702895</v>
      </c>
      <c r="BC575" s="35"/>
      <c r="BD575" s="47" t="s">
        <v>97</v>
      </c>
      <c r="BE575" s="12" t="b">
        <f>EXACT(Tabla4[[#This Row],[VALOR ATENCIÓN (8 MESES)]],Tabla4[[#This Row],[VALOR TOTAL]])</f>
        <v>1</v>
      </c>
      <c r="BF575" s="23">
        <f>Tabla4[[#This Row],[VALOR ATENCIÓN (8 MESES)]]-Tabla4[[#This Row],[VALOR TOTAL]]</f>
        <v>0</v>
      </c>
      <c r="BG575" s="12" t="b">
        <f>EXACT(Tabla4[[#This Row],[TOTAL DESEMBOLSOS]],Tabla4[[#This Row],[VALOR ATENCIÓN (8 MESES)]])</f>
        <v>1</v>
      </c>
      <c r="BH575" s="29">
        <f>Tabla4[[#This Row],[TOTAL DESEMBOLSOS]]-Tabla4[[#This Row],[VALOR ATENCIÓN (8 MESES)]]</f>
        <v>0</v>
      </c>
      <c r="BI575" t="s">
        <v>98</v>
      </c>
    </row>
    <row r="576" spans="1:62">
      <c r="A576" s="13">
        <v>1942</v>
      </c>
      <c r="B576" s="13" t="s">
        <v>1309</v>
      </c>
      <c r="C576" s="12" t="s">
        <v>87</v>
      </c>
      <c r="D576" s="12" t="s">
        <v>266</v>
      </c>
      <c r="E576" s="12" t="s">
        <v>1310</v>
      </c>
      <c r="F576" s="12" t="s">
        <v>18</v>
      </c>
      <c r="G576" s="12" t="s">
        <v>90</v>
      </c>
      <c r="H576" s="12" t="s">
        <v>1321</v>
      </c>
      <c r="I576" s="12">
        <v>52091119646</v>
      </c>
      <c r="J576" s="12" t="s">
        <v>1322</v>
      </c>
      <c r="K576" s="12">
        <v>1</v>
      </c>
      <c r="L576" s="12">
        <v>31</v>
      </c>
      <c r="M576" s="12"/>
      <c r="N576" s="13">
        <v>1942</v>
      </c>
      <c r="O576" s="12" t="s">
        <v>93</v>
      </c>
      <c r="P576" s="12"/>
      <c r="Q576" s="12"/>
      <c r="R576" s="12" t="s">
        <v>94</v>
      </c>
      <c r="S576" s="12">
        <v>10</v>
      </c>
      <c r="T576" s="12" t="s">
        <v>390</v>
      </c>
      <c r="U576" s="12" t="s">
        <v>391</v>
      </c>
      <c r="V576" s="12">
        <f>VLOOKUP(Tabla4[[#This Row],[ZONA DEFINITIVO]],Hoja1!$A$1:$D$121,3,0)</f>
        <v>229112</v>
      </c>
      <c r="W576" s="12">
        <f>VLOOKUP(Tabla4[[#This Row],[ZONA DEFINITIVO]],Hoja1!$A$1:$D$121,2,0)</f>
        <v>15194</v>
      </c>
      <c r="X576" s="12">
        <f>VLOOKUP(Tabla4[[#This Row],[ZONA DEFINITIVO]],Hoja1!$A$1:$D$121,4,0)</f>
        <v>82925</v>
      </c>
      <c r="Y576" s="12" t="str">
        <f>+IF(Tabla4[[#This Row],[AGRUPACIONES]]=1,SUMIFS(Tabla4[UDS],Tabla4[ZONA DEFINITIVO],Tabla4[[#This Row],[ZONA DEFINITIVO]])," ")</f>
        <v xml:space="preserve"> </v>
      </c>
      <c r="Z576" s="12" t="str">
        <f>+IF(Tabla4[[#This Row],[AGRUPACIONES]]=1,SUMIFS(Tabla4[TOTAL COBERTURA],Tabla4[ZONA DEFINITIVO],Tabla4[[#This Row],[ZONA DEFINITIVO]])," ")</f>
        <v xml:space="preserve"> </v>
      </c>
      <c r="AA576" s="12"/>
      <c r="AB576" s="38">
        <v>67585983</v>
      </c>
      <c r="AC576" s="37">
        <v>0.02</v>
      </c>
      <c r="AD576" s="38">
        <f t="shared" si="9"/>
        <v>1351719.66</v>
      </c>
      <c r="AE576" s="12"/>
      <c r="AF576" s="12">
        <f>COUNTIF($A$20:A576,A576)</f>
        <v>7</v>
      </c>
      <c r="AG576" s="38">
        <v>67585983</v>
      </c>
      <c r="AH576" s="38">
        <f>Tabla4[[#This Row],[VALOR CONTRAPARTIDA]]+Tabla4[[#This Row],[TOTAL APORTES ICBF]]</f>
        <v>68937702.659999996</v>
      </c>
      <c r="AI576" s="35"/>
      <c r="AJ576" s="38"/>
      <c r="AK576" s="38"/>
      <c r="AL576" s="23"/>
      <c r="AM576" s="35">
        <f>VLOOKUP(Tabla4[[#This Row],[SERVICIO 2025]],$J$2:$V$14,5,0)*Tabla4[[#This Row],[TOTAL COBERTURA]]</f>
        <v>1530656</v>
      </c>
      <c r="AN576" s="35">
        <f>VLOOKUP(Tabla4[[#This Row],[SERVICIO 2025]],$J$2:$V$14,6,0)*Tabla4[[#This Row],[TOTAL COBERTURA]]</f>
        <v>1271899</v>
      </c>
      <c r="AO576" s="35">
        <f>VLOOKUP(Tabla4[[#This Row],[SERVICIO 2025]],$J$2:$V$14,8,0)*Tabla4[[#This Row],[TOTAL COBERTURA]]</f>
        <v>902100</v>
      </c>
      <c r="AP576" s="35">
        <f>VLOOKUP(Tabla4[[#This Row],[SERVICIO 2025]],$J$2:$V$14,3,0)*Tabla4[[#This Row],[TOTAL COBERTURA]]*8</f>
        <v>63881328</v>
      </c>
      <c r="AQ576" s="35"/>
      <c r="AR576" s="35">
        <f>Tabla4[[#This Row],[VALOR FASE PREPARATORIA DE ALISTAMIENTO]]+Tabla4[[#This Row],[VALOR FASE PREPARATORIA DE CIERRE]]+Tabla4[[#This Row],[DOTACIÓN ÚNICA]]+Tabla4[[#This Row],[VALOR ATENCIÓN]]+Tabla4[[#This Row],[VALOR RACION PREPARADA]]</f>
        <v>67585983</v>
      </c>
      <c r="AS576" s="35" t="str">
        <f>+IF(Tabla4[[#This Row],[AGRUPACIONES]]=1,SUMIFS(Tabla4[VALOR TOTAL],Tabla4[ZONA DEFINITIVO],Tabla4[[#This Row],[ZONA DEFINITIVO]])," ")</f>
        <v xml:space="preserve"> </v>
      </c>
      <c r="AT576" s="27">
        <f>(VLOOKUP(Tabla4[[#This Row],[SERVICIO 2025]],$J$2:$V$14,3,0)*Tabla4[[#This Row],[TOTAL COBERTURA]])+Tabla4[[#This Row],[VALOR FASE PREPARATORIA DE ALISTAMIENTO]]+Tabla4[[#This Row],[DOTACIÓN ÚNICA]]</f>
        <v>10417922</v>
      </c>
      <c r="AU576" s="35">
        <f>(VLOOKUP(Tabla4[[#This Row],[SERVICIO 2025]],$J$2:$V$14,3,0)*Tabla4[[#This Row],[TOTAL COBERTURA]])</f>
        <v>7985166</v>
      </c>
      <c r="AV576" s="35">
        <f>(VLOOKUP(Tabla4[[#This Row],[SERVICIO 2025]],$J$2:$V$14,3,0)*Tabla4[[#This Row],[TOTAL COBERTURA]])</f>
        <v>7985166</v>
      </c>
      <c r="AW576" s="35">
        <f>(VLOOKUP(Tabla4[[#This Row],[SERVICIO 2025]],$J$2:$V$14,3,0)*Tabla4[[#This Row],[TOTAL COBERTURA]])</f>
        <v>7985166</v>
      </c>
      <c r="AX576" s="35">
        <f>(VLOOKUP(Tabla4[[#This Row],[SERVICIO 2025]],$J$2:$V$14,3,0)*Tabla4[[#This Row],[TOTAL COBERTURA]])</f>
        <v>7985166</v>
      </c>
      <c r="AY576" s="35">
        <f>(VLOOKUP(Tabla4[[#This Row],[SERVICIO 2025]],$J$2:$V$14,3,0)*Tabla4[[#This Row],[TOTAL COBERTURA]])</f>
        <v>7985166</v>
      </c>
      <c r="AZ576" s="35">
        <f>(VLOOKUP(Tabla4[[#This Row],[SERVICIO 2025]],$J$2:$V$14,3,0)*Tabla4[[#This Row],[TOTAL COBERTURA]])</f>
        <v>7985166</v>
      </c>
      <c r="BA576" s="35">
        <f>(VLOOKUP(Tabla4[[#This Row],[SERVICIO 2025]],$J$2:$V$14,3,0)*Tabla4[[#This Row],[TOTAL COBERTURA]])+Tabla4[[#This Row],[VALOR FASE PREPARATORIA DE CIERRE]]</f>
        <v>9257065</v>
      </c>
      <c r="BB576" s="35">
        <f>SUM(Tabla4[[#This Row],[DESEMBOLSO 1]:[DESEMBOLSO 8]])</f>
        <v>67585983</v>
      </c>
      <c r="BC576" s="35"/>
      <c r="BD576" s="47" t="s">
        <v>97</v>
      </c>
      <c r="BE576" s="12" t="b">
        <f>EXACT(Tabla4[[#This Row],[VALOR ATENCIÓN (8 MESES)]],Tabla4[[#This Row],[VALOR TOTAL]])</f>
        <v>1</v>
      </c>
      <c r="BF576" s="23">
        <f>Tabla4[[#This Row],[VALOR ATENCIÓN (8 MESES)]]-Tabla4[[#This Row],[VALOR TOTAL]]</f>
        <v>0</v>
      </c>
      <c r="BG576" s="12" t="b">
        <f>EXACT(Tabla4[[#This Row],[TOTAL DESEMBOLSOS]],Tabla4[[#This Row],[VALOR ATENCIÓN (8 MESES)]])</f>
        <v>1</v>
      </c>
      <c r="BH576" s="29">
        <f>Tabla4[[#This Row],[TOTAL DESEMBOLSOS]]-Tabla4[[#This Row],[VALOR ATENCIÓN (8 MESES)]]</f>
        <v>0</v>
      </c>
      <c r="BI576" t="s">
        <v>98</v>
      </c>
    </row>
    <row r="577" spans="1:61">
      <c r="A577" s="13">
        <v>1942</v>
      </c>
      <c r="B577" s="13" t="s">
        <v>1309</v>
      </c>
      <c r="C577" s="12" t="s">
        <v>87</v>
      </c>
      <c r="D577" s="12" t="s">
        <v>266</v>
      </c>
      <c r="E577" s="12" t="s">
        <v>1310</v>
      </c>
      <c r="F577" s="12" t="s">
        <v>18</v>
      </c>
      <c r="G577" s="12" t="s">
        <v>90</v>
      </c>
      <c r="H577" s="12" t="s">
        <v>1323</v>
      </c>
      <c r="I577" s="12">
        <v>52091135630</v>
      </c>
      <c r="J577" s="12" t="s">
        <v>1324</v>
      </c>
      <c r="K577" s="12">
        <v>1</v>
      </c>
      <c r="L577" s="12">
        <v>17</v>
      </c>
      <c r="M577" s="12"/>
      <c r="N577" s="13">
        <v>1942</v>
      </c>
      <c r="O577" s="12" t="s">
        <v>93</v>
      </c>
      <c r="P577" s="12"/>
      <c r="Q577" s="12"/>
      <c r="R577" s="12" t="s">
        <v>94</v>
      </c>
      <c r="S577" s="12">
        <v>10</v>
      </c>
      <c r="T577" s="12" t="s">
        <v>390</v>
      </c>
      <c r="U577" s="12" t="s">
        <v>391</v>
      </c>
      <c r="V577" s="12">
        <f>VLOOKUP(Tabla4[[#This Row],[ZONA DEFINITIVO]],Hoja1!$A$1:$D$121,3,0)</f>
        <v>229112</v>
      </c>
      <c r="W577" s="12">
        <f>VLOOKUP(Tabla4[[#This Row],[ZONA DEFINITIVO]],Hoja1!$A$1:$D$121,2,0)</f>
        <v>15194</v>
      </c>
      <c r="X577" s="12">
        <f>VLOOKUP(Tabla4[[#This Row],[ZONA DEFINITIVO]],Hoja1!$A$1:$D$121,4,0)</f>
        <v>82925</v>
      </c>
      <c r="Y577" s="12" t="str">
        <f>+IF(Tabla4[[#This Row],[AGRUPACIONES]]=1,SUMIFS(Tabla4[UDS],Tabla4[ZONA DEFINITIVO],Tabla4[[#This Row],[ZONA DEFINITIVO]])," ")</f>
        <v xml:space="preserve"> </v>
      </c>
      <c r="Z577" s="12" t="str">
        <f>+IF(Tabla4[[#This Row],[AGRUPACIONES]]=1,SUMIFS(Tabla4[TOTAL COBERTURA],Tabla4[ZONA DEFINITIVO],Tabla4[[#This Row],[ZONA DEFINITIVO]])," ")</f>
        <v xml:space="preserve"> </v>
      </c>
      <c r="AA577" s="12"/>
      <c r="AB577" s="38">
        <v>37063281</v>
      </c>
      <c r="AC577" s="37">
        <v>0.02</v>
      </c>
      <c r="AD577" s="38">
        <f t="shared" si="9"/>
        <v>741265.62</v>
      </c>
      <c r="AE577" s="12"/>
      <c r="AF577" s="12">
        <f>COUNTIF($A$20:A577,A577)</f>
        <v>8</v>
      </c>
      <c r="AG577" s="38">
        <v>37063281</v>
      </c>
      <c r="AH577" s="38">
        <f>Tabla4[[#This Row],[VALOR CONTRAPARTIDA]]+Tabla4[[#This Row],[TOTAL APORTES ICBF]]</f>
        <v>37804546.619999997</v>
      </c>
      <c r="AI577" s="35"/>
      <c r="AJ577" s="38"/>
      <c r="AK577" s="38"/>
      <c r="AL577" s="23"/>
      <c r="AM577" s="35">
        <f>VLOOKUP(Tabla4[[#This Row],[SERVICIO 2025]],$J$2:$V$14,5,0)*Tabla4[[#This Row],[TOTAL COBERTURA]]</f>
        <v>839392</v>
      </c>
      <c r="AN577" s="35">
        <f>VLOOKUP(Tabla4[[#This Row],[SERVICIO 2025]],$J$2:$V$14,6,0)*Tabla4[[#This Row],[TOTAL COBERTURA]]</f>
        <v>697493</v>
      </c>
      <c r="AO577" s="35">
        <f>VLOOKUP(Tabla4[[#This Row],[SERVICIO 2025]],$J$2:$V$14,8,0)*Tabla4[[#This Row],[TOTAL COBERTURA]]</f>
        <v>494700</v>
      </c>
      <c r="AP577" s="35">
        <f>VLOOKUP(Tabla4[[#This Row],[SERVICIO 2025]],$J$2:$V$14,3,0)*Tabla4[[#This Row],[TOTAL COBERTURA]]*8</f>
        <v>35031696</v>
      </c>
      <c r="AQ577" s="35"/>
      <c r="AR577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577" s="35" t="str">
        <f>+IF(Tabla4[[#This Row],[AGRUPACIONES]]=1,SUMIFS(Tabla4[VALOR TOTAL],Tabla4[ZONA DEFINITIVO],Tabla4[[#This Row],[ZONA DEFINITIVO]])," ")</f>
        <v xml:space="preserve"> </v>
      </c>
      <c r="AT577" s="27">
        <f>(VLOOKUP(Tabla4[[#This Row],[SERVICIO 2025]],$J$2:$V$14,3,0)*Tabla4[[#This Row],[TOTAL COBERTURA]])+Tabla4[[#This Row],[VALOR FASE PREPARATORIA DE ALISTAMIENTO]]+Tabla4[[#This Row],[DOTACIÓN ÚNICA]]</f>
        <v>5713054</v>
      </c>
      <c r="AU577" s="35">
        <f>(VLOOKUP(Tabla4[[#This Row],[SERVICIO 2025]],$J$2:$V$14,3,0)*Tabla4[[#This Row],[TOTAL COBERTURA]])</f>
        <v>4378962</v>
      </c>
      <c r="AV577" s="35">
        <f>(VLOOKUP(Tabla4[[#This Row],[SERVICIO 2025]],$J$2:$V$14,3,0)*Tabla4[[#This Row],[TOTAL COBERTURA]])</f>
        <v>4378962</v>
      </c>
      <c r="AW577" s="35">
        <f>(VLOOKUP(Tabla4[[#This Row],[SERVICIO 2025]],$J$2:$V$14,3,0)*Tabla4[[#This Row],[TOTAL COBERTURA]])</f>
        <v>4378962</v>
      </c>
      <c r="AX577" s="35">
        <f>(VLOOKUP(Tabla4[[#This Row],[SERVICIO 2025]],$J$2:$V$14,3,0)*Tabla4[[#This Row],[TOTAL COBERTURA]])</f>
        <v>4378962</v>
      </c>
      <c r="AY577" s="35">
        <f>(VLOOKUP(Tabla4[[#This Row],[SERVICIO 2025]],$J$2:$V$14,3,0)*Tabla4[[#This Row],[TOTAL COBERTURA]])</f>
        <v>4378962</v>
      </c>
      <c r="AZ577" s="35">
        <f>(VLOOKUP(Tabla4[[#This Row],[SERVICIO 2025]],$J$2:$V$14,3,0)*Tabla4[[#This Row],[TOTAL COBERTURA]])</f>
        <v>4378962</v>
      </c>
      <c r="BA577" s="35">
        <f>(VLOOKUP(Tabla4[[#This Row],[SERVICIO 2025]],$J$2:$V$14,3,0)*Tabla4[[#This Row],[TOTAL COBERTURA]])+Tabla4[[#This Row],[VALOR FASE PREPARATORIA DE CIERRE]]</f>
        <v>5076455</v>
      </c>
      <c r="BB577" s="35">
        <f>SUM(Tabla4[[#This Row],[DESEMBOLSO 1]:[DESEMBOLSO 8]])</f>
        <v>37063281</v>
      </c>
      <c r="BC577" s="35"/>
      <c r="BD577" s="47" t="s">
        <v>97</v>
      </c>
      <c r="BE577" s="12" t="b">
        <f>EXACT(Tabla4[[#This Row],[VALOR ATENCIÓN (8 MESES)]],Tabla4[[#This Row],[VALOR TOTAL]])</f>
        <v>1</v>
      </c>
      <c r="BF577" s="23">
        <f>Tabla4[[#This Row],[VALOR ATENCIÓN (8 MESES)]]-Tabla4[[#This Row],[VALOR TOTAL]]</f>
        <v>0</v>
      </c>
      <c r="BG577" s="12" t="b">
        <f>EXACT(Tabla4[[#This Row],[TOTAL DESEMBOLSOS]],Tabla4[[#This Row],[VALOR ATENCIÓN (8 MESES)]])</f>
        <v>1</v>
      </c>
      <c r="BH577" s="29">
        <f>Tabla4[[#This Row],[TOTAL DESEMBOLSOS]]-Tabla4[[#This Row],[VALOR ATENCIÓN (8 MESES)]]</f>
        <v>0</v>
      </c>
      <c r="BI577" t="s">
        <v>98</v>
      </c>
    </row>
    <row r="578" spans="1:61">
      <c r="A578" s="13">
        <v>1942</v>
      </c>
      <c r="B578" s="13" t="s">
        <v>1309</v>
      </c>
      <c r="C578" s="12" t="s">
        <v>87</v>
      </c>
      <c r="D578" s="12" t="s">
        <v>266</v>
      </c>
      <c r="E578" s="12" t="s">
        <v>1310</v>
      </c>
      <c r="F578" s="12" t="s">
        <v>18</v>
      </c>
      <c r="G578" s="12" t="s">
        <v>90</v>
      </c>
      <c r="H578" s="12" t="s">
        <v>1325</v>
      </c>
      <c r="I578" s="12">
        <v>52091135636</v>
      </c>
      <c r="J578" s="12" t="s">
        <v>1326</v>
      </c>
      <c r="K578" s="12">
        <v>1</v>
      </c>
      <c r="L578" s="12">
        <v>42</v>
      </c>
      <c r="M578" s="12"/>
      <c r="N578" s="13">
        <v>1942</v>
      </c>
      <c r="O578" s="12" t="s">
        <v>93</v>
      </c>
      <c r="P578" s="12"/>
      <c r="Q578" s="12"/>
      <c r="R578" s="12" t="s">
        <v>94</v>
      </c>
      <c r="S578" s="12">
        <v>10</v>
      </c>
      <c r="T578" s="12" t="s">
        <v>390</v>
      </c>
      <c r="U578" s="12" t="s">
        <v>391</v>
      </c>
      <c r="V578" s="12">
        <f>VLOOKUP(Tabla4[[#This Row],[ZONA DEFINITIVO]],Hoja1!$A$1:$D$121,3,0)</f>
        <v>229112</v>
      </c>
      <c r="W578" s="12">
        <f>VLOOKUP(Tabla4[[#This Row],[ZONA DEFINITIVO]],Hoja1!$A$1:$D$121,2,0)</f>
        <v>15194</v>
      </c>
      <c r="X578" s="12">
        <f>VLOOKUP(Tabla4[[#This Row],[ZONA DEFINITIVO]],Hoja1!$A$1:$D$121,4,0)</f>
        <v>82925</v>
      </c>
      <c r="Y578" s="12" t="str">
        <f>+IF(Tabla4[[#This Row],[AGRUPACIONES]]=1,SUMIFS(Tabla4[UDS],Tabla4[ZONA DEFINITIVO],Tabla4[[#This Row],[ZONA DEFINITIVO]])," ")</f>
        <v xml:space="preserve"> </v>
      </c>
      <c r="Z578" s="12" t="str">
        <f>+IF(Tabla4[[#This Row],[AGRUPACIONES]]=1,SUMIFS(Tabla4[TOTAL COBERTURA],Tabla4[ZONA DEFINITIVO],Tabla4[[#This Row],[ZONA DEFINITIVO]])," ")</f>
        <v xml:space="preserve"> </v>
      </c>
      <c r="AA578" s="12"/>
      <c r="AB578" s="38">
        <v>91568106</v>
      </c>
      <c r="AC578" s="37">
        <v>0.02</v>
      </c>
      <c r="AD578" s="38">
        <f t="shared" si="9"/>
        <v>1831362.12</v>
      </c>
      <c r="AE578" s="12"/>
      <c r="AF578" s="12">
        <f>COUNTIF($A$20:A578,A578)</f>
        <v>9</v>
      </c>
      <c r="AG578" s="38">
        <v>91568106</v>
      </c>
      <c r="AH578" s="38">
        <f>Tabla4[[#This Row],[VALOR CONTRAPARTIDA]]+Tabla4[[#This Row],[TOTAL APORTES ICBF]]</f>
        <v>93399468.120000005</v>
      </c>
      <c r="AI578" s="35"/>
      <c r="AJ578" s="38"/>
      <c r="AK578" s="38"/>
      <c r="AL578" s="23"/>
      <c r="AM578" s="35">
        <f>VLOOKUP(Tabla4[[#This Row],[SERVICIO 2025]],$J$2:$V$14,5,0)*Tabla4[[#This Row],[TOTAL COBERTURA]]</f>
        <v>2073792</v>
      </c>
      <c r="AN578" s="35">
        <f>VLOOKUP(Tabla4[[#This Row],[SERVICIO 2025]],$J$2:$V$14,6,0)*Tabla4[[#This Row],[TOTAL COBERTURA]]</f>
        <v>1723218</v>
      </c>
      <c r="AO578" s="35">
        <f>VLOOKUP(Tabla4[[#This Row],[SERVICIO 2025]],$J$2:$V$14,8,0)*Tabla4[[#This Row],[TOTAL COBERTURA]]</f>
        <v>1222200</v>
      </c>
      <c r="AP578" s="35">
        <f>VLOOKUP(Tabla4[[#This Row],[SERVICIO 2025]],$J$2:$V$14,3,0)*Tabla4[[#This Row],[TOTAL COBERTURA]]*8</f>
        <v>86548896</v>
      </c>
      <c r="AQ578" s="35"/>
      <c r="AR578" s="35">
        <f>Tabla4[[#This Row],[VALOR FASE PREPARATORIA DE ALISTAMIENTO]]+Tabla4[[#This Row],[VALOR FASE PREPARATORIA DE CIERRE]]+Tabla4[[#This Row],[DOTACIÓN ÚNICA]]+Tabla4[[#This Row],[VALOR ATENCIÓN]]+Tabla4[[#This Row],[VALOR RACION PREPARADA]]</f>
        <v>91568106</v>
      </c>
      <c r="AS578" s="35" t="str">
        <f>+IF(Tabla4[[#This Row],[AGRUPACIONES]]=1,SUMIFS(Tabla4[VALOR TOTAL],Tabla4[ZONA DEFINITIVO],Tabla4[[#This Row],[ZONA DEFINITIVO]])," ")</f>
        <v xml:space="preserve"> </v>
      </c>
      <c r="AT578" s="27">
        <f>(VLOOKUP(Tabla4[[#This Row],[SERVICIO 2025]],$J$2:$V$14,3,0)*Tabla4[[#This Row],[TOTAL COBERTURA]])+Tabla4[[#This Row],[VALOR FASE PREPARATORIA DE ALISTAMIENTO]]+Tabla4[[#This Row],[DOTACIÓN ÚNICA]]</f>
        <v>14114604</v>
      </c>
      <c r="AU578" s="35">
        <f>(VLOOKUP(Tabla4[[#This Row],[SERVICIO 2025]],$J$2:$V$14,3,0)*Tabla4[[#This Row],[TOTAL COBERTURA]])</f>
        <v>10818612</v>
      </c>
      <c r="AV578" s="35">
        <f>(VLOOKUP(Tabla4[[#This Row],[SERVICIO 2025]],$J$2:$V$14,3,0)*Tabla4[[#This Row],[TOTAL COBERTURA]])</f>
        <v>10818612</v>
      </c>
      <c r="AW578" s="35">
        <f>(VLOOKUP(Tabla4[[#This Row],[SERVICIO 2025]],$J$2:$V$14,3,0)*Tabla4[[#This Row],[TOTAL COBERTURA]])</f>
        <v>10818612</v>
      </c>
      <c r="AX578" s="35">
        <f>(VLOOKUP(Tabla4[[#This Row],[SERVICIO 2025]],$J$2:$V$14,3,0)*Tabla4[[#This Row],[TOTAL COBERTURA]])</f>
        <v>10818612</v>
      </c>
      <c r="AY578" s="35">
        <f>(VLOOKUP(Tabla4[[#This Row],[SERVICIO 2025]],$J$2:$V$14,3,0)*Tabla4[[#This Row],[TOTAL COBERTURA]])</f>
        <v>10818612</v>
      </c>
      <c r="AZ578" s="35">
        <f>(VLOOKUP(Tabla4[[#This Row],[SERVICIO 2025]],$J$2:$V$14,3,0)*Tabla4[[#This Row],[TOTAL COBERTURA]])</f>
        <v>10818612</v>
      </c>
      <c r="BA578" s="35">
        <f>(VLOOKUP(Tabla4[[#This Row],[SERVICIO 2025]],$J$2:$V$14,3,0)*Tabla4[[#This Row],[TOTAL COBERTURA]])+Tabla4[[#This Row],[VALOR FASE PREPARATORIA DE CIERRE]]</f>
        <v>12541830</v>
      </c>
      <c r="BB578" s="35">
        <f>SUM(Tabla4[[#This Row],[DESEMBOLSO 1]:[DESEMBOLSO 8]])</f>
        <v>91568106</v>
      </c>
      <c r="BC578" s="35"/>
      <c r="BD578" s="47" t="s">
        <v>97</v>
      </c>
      <c r="BE578" s="12" t="b">
        <f>EXACT(Tabla4[[#This Row],[VALOR ATENCIÓN (8 MESES)]],Tabla4[[#This Row],[VALOR TOTAL]])</f>
        <v>1</v>
      </c>
      <c r="BF578" s="23">
        <f>Tabla4[[#This Row],[VALOR ATENCIÓN (8 MESES)]]-Tabla4[[#This Row],[VALOR TOTAL]]</f>
        <v>0</v>
      </c>
      <c r="BG578" s="12" t="b">
        <f>EXACT(Tabla4[[#This Row],[TOTAL DESEMBOLSOS]],Tabla4[[#This Row],[VALOR ATENCIÓN (8 MESES)]])</f>
        <v>1</v>
      </c>
      <c r="BH578" s="29">
        <f>Tabla4[[#This Row],[TOTAL DESEMBOLSOS]]-Tabla4[[#This Row],[VALOR ATENCIÓN (8 MESES)]]</f>
        <v>0</v>
      </c>
      <c r="BI578" t="s">
        <v>98</v>
      </c>
    </row>
    <row r="579" spans="1:61">
      <c r="A579" s="13">
        <v>1942</v>
      </c>
      <c r="B579" s="13" t="s">
        <v>1309</v>
      </c>
      <c r="C579" s="12" t="s">
        <v>87</v>
      </c>
      <c r="D579" s="12" t="s">
        <v>266</v>
      </c>
      <c r="E579" s="12" t="s">
        <v>1310</v>
      </c>
      <c r="F579" s="12" t="s">
        <v>18</v>
      </c>
      <c r="G579" s="12" t="s">
        <v>90</v>
      </c>
      <c r="H579" s="12" t="s">
        <v>1327</v>
      </c>
      <c r="I579" s="12">
        <v>52091135654</v>
      </c>
      <c r="J579" s="12" t="s">
        <v>1328</v>
      </c>
      <c r="K579" s="12">
        <v>1</v>
      </c>
      <c r="L579" s="12">
        <v>25</v>
      </c>
      <c r="M579" s="12"/>
      <c r="N579" s="13">
        <v>1942</v>
      </c>
      <c r="O579" s="12" t="s">
        <v>93</v>
      </c>
      <c r="P579" s="12"/>
      <c r="Q579" s="12"/>
      <c r="R579" s="12" t="s">
        <v>94</v>
      </c>
      <c r="S579" s="12">
        <v>10</v>
      </c>
      <c r="T579" s="12" t="s">
        <v>390</v>
      </c>
      <c r="U579" s="12" t="s">
        <v>391</v>
      </c>
      <c r="V579" s="12">
        <f>VLOOKUP(Tabla4[[#This Row],[ZONA DEFINITIVO]],Hoja1!$A$1:$D$121,3,0)</f>
        <v>229112</v>
      </c>
      <c r="W579" s="12">
        <f>VLOOKUP(Tabla4[[#This Row],[ZONA DEFINITIVO]],Hoja1!$A$1:$D$121,2,0)</f>
        <v>15194</v>
      </c>
      <c r="X579" s="12">
        <f>VLOOKUP(Tabla4[[#This Row],[ZONA DEFINITIVO]],Hoja1!$A$1:$D$121,4,0)</f>
        <v>82925</v>
      </c>
      <c r="Y579" s="12" t="str">
        <f>+IF(Tabla4[[#This Row],[AGRUPACIONES]]=1,SUMIFS(Tabla4[UDS],Tabla4[ZONA DEFINITIVO],Tabla4[[#This Row],[ZONA DEFINITIVO]])," ")</f>
        <v xml:space="preserve"> </v>
      </c>
      <c r="Z579" s="12" t="str">
        <f>+IF(Tabla4[[#This Row],[AGRUPACIONES]]=1,SUMIFS(Tabla4[TOTAL COBERTURA],Tabla4[ZONA DEFINITIVO],Tabla4[[#This Row],[ZONA DEFINITIVO]])," ")</f>
        <v xml:space="preserve"> </v>
      </c>
      <c r="AA579" s="12"/>
      <c r="AB579" s="38">
        <v>54504825</v>
      </c>
      <c r="AC579" s="37">
        <v>0.02</v>
      </c>
      <c r="AD579" s="38">
        <f t="shared" si="9"/>
        <v>1090096.5</v>
      </c>
      <c r="AE579" s="12"/>
      <c r="AF579" s="12">
        <f>COUNTIF($A$20:A579,A579)</f>
        <v>10</v>
      </c>
      <c r="AG579" s="38">
        <v>54504825</v>
      </c>
      <c r="AH579" s="38">
        <f>Tabla4[[#This Row],[VALOR CONTRAPARTIDA]]+Tabla4[[#This Row],[TOTAL APORTES ICBF]]</f>
        <v>55594921.5</v>
      </c>
      <c r="AI579" s="35"/>
      <c r="AJ579" s="38"/>
      <c r="AK579" s="38"/>
      <c r="AL579" s="23"/>
      <c r="AM579" s="35">
        <f>VLOOKUP(Tabla4[[#This Row],[SERVICIO 2025]],$J$2:$V$14,5,0)*Tabla4[[#This Row],[TOTAL COBERTURA]]</f>
        <v>1234400</v>
      </c>
      <c r="AN579" s="35">
        <f>VLOOKUP(Tabla4[[#This Row],[SERVICIO 2025]],$J$2:$V$14,6,0)*Tabla4[[#This Row],[TOTAL COBERTURA]]</f>
        <v>1025725</v>
      </c>
      <c r="AO579" s="35">
        <f>VLOOKUP(Tabla4[[#This Row],[SERVICIO 2025]],$J$2:$V$14,8,0)*Tabla4[[#This Row],[TOTAL COBERTURA]]</f>
        <v>727500</v>
      </c>
      <c r="AP579" s="35">
        <f>VLOOKUP(Tabla4[[#This Row],[SERVICIO 2025]],$J$2:$V$14,3,0)*Tabla4[[#This Row],[TOTAL COBERTURA]]*8</f>
        <v>51517200</v>
      </c>
      <c r="AQ579" s="35"/>
      <c r="AR579" s="35">
        <f>Tabla4[[#This Row],[VALOR FASE PREPARATORIA DE ALISTAMIENTO]]+Tabla4[[#This Row],[VALOR FASE PREPARATORIA DE CIERRE]]+Tabla4[[#This Row],[DOTACIÓN ÚNICA]]+Tabla4[[#This Row],[VALOR ATENCIÓN]]+Tabla4[[#This Row],[VALOR RACION PREPARADA]]</f>
        <v>54504825</v>
      </c>
      <c r="AS579" s="35" t="str">
        <f>+IF(Tabla4[[#This Row],[AGRUPACIONES]]=1,SUMIFS(Tabla4[VALOR TOTAL],Tabla4[ZONA DEFINITIVO],Tabla4[[#This Row],[ZONA DEFINITIVO]])," ")</f>
        <v xml:space="preserve"> </v>
      </c>
      <c r="AT579" s="27">
        <f>(VLOOKUP(Tabla4[[#This Row],[SERVICIO 2025]],$J$2:$V$14,3,0)*Tabla4[[#This Row],[TOTAL COBERTURA]])+Tabla4[[#This Row],[VALOR FASE PREPARATORIA DE ALISTAMIENTO]]+Tabla4[[#This Row],[DOTACIÓN ÚNICA]]</f>
        <v>8401550</v>
      </c>
      <c r="AU579" s="35">
        <f>(VLOOKUP(Tabla4[[#This Row],[SERVICIO 2025]],$J$2:$V$14,3,0)*Tabla4[[#This Row],[TOTAL COBERTURA]])</f>
        <v>6439650</v>
      </c>
      <c r="AV579" s="35">
        <f>(VLOOKUP(Tabla4[[#This Row],[SERVICIO 2025]],$J$2:$V$14,3,0)*Tabla4[[#This Row],[TOTAL COBERTURA]])</f>
        <v>6439650</v>
      </c>
      <c r="AW579" s="35">
        <f>(VLOOKUP(Tabla4[[#This Row],[SERVICIO 2025]],$J$2:$V$14,3,0)*Tabla4[[#This Row],[TOTAL COBERTURA]])</f>
        <v>6439650</v>
      </c>
      <c r="AX579" s="35">
        <f>(VLOOKUP(Tabla4[[#This Row],[SERVICIO 2025]],$J$2:$V$14,3,0)*Tabla4[[#This Row],[TOTAL COBERTURA]])</f>
        <v>6439650</v>
      </c>
      <c r="AY579" s="35">
        <f>(VLOOKUP(Tabla4[[#This Row],[SERVICIO 2025]],$J$2:$V$14,3,0)*Tabla4[[#This Row],[TOTAL COBERTURA]])</f>
        <v>6439650</v>
      </c>
      <c r="AZ579" s="35">
        <f>(VLOOKUP(Tabla4[[#This Row],[SERVICIO 2025]],$J$2:$V$14,3,0)*Tabla4[[#This Row],[TOTAL COBERTURA]])</f>
        <v>6439650</v>
      </c>
      <c r="BA579" s="35">
        <f>(VLOOKUP(Tabla4[[#This Row],[SERVICIO 2025]],$J$2:$V$14,3,0)*Tabla4[[#This Row],[TOTAL COBERTURA]])+Tabla4[[#This Row],[VALOR FASE PREPARATORIA DE CIERRE]]</f>
        <v>7465375</v>
      </c>
      <c r="BB579" s="35">
        <f>SUM(Tabla4[[#This Row],[DESEMBOLSO 1]:[DESEMBOLSO 8]])</f>
        <v>54504825</v>
      </c>
      <c r="BC579" s="35"/>
      <c r="BD579" s="47" t="s">
        <v>97</v>
      </c>
      <c r="BE579" s="12" t="b">
        <f>EXACT(Tabla4[[#This Row],[VALOR ATENCIÓN (8 MESES)]],Tabla4[[#This Row],[VALOR TOTAL]])</f>
        <v>1</v>
      </c>
      <c r="BF579" s="23">
        <f>Tabla4[[#This Row],[VALOR ATENCIÓN (8 MESES)]]-Tabla4[[#This Row],[VALOR TOTAL]]</f>
        <v>0</v>
      </c>
      <c r="BG579" s="12" t="b">
        <f>EXACT(Tabla4[[#This Row],[TOTAL DESEMBOLSOS]],Tabla4[[#This Row],[VALOR ATENCIÓN (8 MESES)]])</f>
        <v>1</v>
      </c>
      <c r="BH579" s="29">
        <f>Tabla4[[#This Row],[TOTAL DESEMBOLSOS]]-Tabla4[[#This Row],[VALOR ATENCIÓN (8 MESES)]]</f>
        <v>0</v>
      </c>
      <c r="BI579" t="s">
        <v>98</v>
      </c>
    </row>
    <row r="580" spans="1:61">
      <c r="A580" s="13">
        <v>1942</v>
      </c>
      <c r="B580" s="13" t="s">
        <v>1309</v>
      </c>
      <c r="C580" s="12" t="s">
        <v>87</v>
      </c>
      <c r="D580" s="12" t="s">
        <v>266</v>
      </c>
      <c r="E580" s="12" t="s">
        <v>1310</v>
      </c>
      <c r="F580" s="12" t="s">
        <v>18</v>
      </c>
      <c r="G580" s="12" t="s">
        <v>90</v>
      </c>
      <c r="H580" s="12" t="s">
        <v>1329</v>
      </c>
      <c r="I580" s="12">
        <v>52091135655</v>
      </c>
      <c r="J580" s="12" t="s">
        <v>1330</v>
      </c>
      <c r="K580" s="12">
        <v>1</v>
      </c>
      <c r="L580" s="12">
        <v>14</v>
      </c>
      <c r="M580" s="12"/>
      <c r="N580" s="13">
        <v>1942</v>
      </c>
      <c r="O580" s="12" t="s">
        <v>93</v>
      </c>
      <c r="P580" s="12"/>
      <c r="Q580" s="12"/>
      <c r="R580" s="12" t="s">
        <v>94</v>
      </c>
      <c r="S580" s="12">
        <v>10</v>
      </c>
      <c r="T580" s="12" t="s">
        <v>390</v>
      </c>
      <c r="U580" s="12" t="s">
        <v>391</v>
      </c>
      <c r="V580" s="12">
        <f>VLOOKUP(Tabla4[[#This Row],[ZONA DEFINITIVO]],Hoja1!$A$1:$D$121,3,0)</f>
        <v>229112</v>
      </c>
      <c r="W580" s="12">
        <f>VLOOKUP(Tabla4[[#This Row],[ZONA DEFINITIVO]],Hoja1!$A$1:$D$121,2,0)</f>
        <v>15194</v>
      </c>
      <c r="X580" s="12">
        <f>VLOOKUP(Tabla4[[#This Row],[ZONA DEFINITIVO]],Hoja1!$A$1:$D$121,4,0)</f>
        <v>82925</v>
      </c>
      <c r="Y580" s="12" t="str">
        <f>+IF(Tabla4[[#This Row],[AGRUPACIONES]]=1,SUMIFS(Tabla4[UDS],Tabla4[ZONA DEFINITIVO],Tabla4[[#This Row],[ZONA DEFINITIVO]])," ")</f>
        <v xml:space="preserve"> </v>
      </c>
      <c r="Z580" s="12" t="str">
        <f>+IF(Tabla4[[#This Row],[AGRUPACIONES]]=1,SUMIFS(Tabla4[TOTAL COBERTURA],Tabla4[ZONA DEFINITIVO],Tabla4[[#This Row],[ZONA DEFINITIVO]])," ")</f>
        <v xml:space="preserve"> </v>
      </c>
      <c r="AA580" s="12"/>
      <c r="AB580" s="38">
        <v>30522702</v>
      </c>
      <c r="AC580" s="37">
        <v>0.02</v>
      </c>
      <c r="AD580" s="38">
        <f t="shared" si="9"/>
        <v>610454.04</v>
      </c>
      <c r="AE580" s="12"/>
      <c r="AF580" s="12">
        <f>COUNTIF($A$20:A580,A580)</f>
        <v>11</v>
      </c>
      <c r="AG580" s="38">
        <v>30522702</v>
      </c>
      <c r="AH580" s="38">
        <f>Tabla4[[#This Row],[VALOR CONTRAPARTIDA]]+Tabla4[[#This Row],[TOTAL APORTES ICBF]]</f>
        <v>31133156.039999999</v>
      </c>
      <c r="AI580" s="35"/>
      <c r="AJ580" s="38"/>
      <c r="AK580" s="38"/>
      <c r="AL580" s="23"/>
      <c r="AM580" s="35">
        <f>VLOOKUP(Tabla4[[#This Row],[SERVICIO 2025]],$J$2:$V$14,5,0)*Tabla4[[#This Row],[TOTAL COBERTURA]]</f>
        <v>691264</v>
      </c>
      <c r="AN580" s="35">
        <f>VLOOKUP(Tabla4[[#This Row],[SERVICIO 2025]],$J$2:$V$14,6,0)*Tabla4[[#This Row],[TOTAL COBERTURA]]</f>
        <v>574406</v>
      </c>
      <c r="AO580" s="35">
        <f>VLOOKUP(Tabla4[[#This Row],[SERVICIO 2025]],$J$2:$V$14,8,0)*Tabla4[[#This Row],[TOTAL COBERTURA]]</f>
        <v>407400</v>
      </c>
      <c r="AP580" s="35">
        <f>VLOOKUP(Tabla4[[#This Row],[SERVICIO 2025]],$J$2:$V$14,3,0)*Tabla4[[#This Row],[TOTAL COBERTURA]]*8</f>
        <v>28849632</v>
      </c>
      <c r="AQ580" s="35"/>
      <c r="AR580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580" s="35" t="str">
        <f>+IF(Tabla4[[#This Row],[AGRUPACIONES]]=1,SUMIFS(Tabla4[VALOR TOTAL],Tabla4[ZONA DEFINITIVO],Tabla4[[#This Row],[ZONA DEFINITIVO]])," ")</f>
        <v xml:space="preserve"> </v>
      </c>
      <c r="AT580" s="27">
        <f>(VLOOKUP(Tabla4[[#This Row],[SERVICIO 2025]],$J$2:$V$14,3,0)*Tabla4[[#This Row],[TOTAL COBERTURA]])+Tabla4[[#This Row],[VALOR FASE PREPARATORIA DE ALISTAMIENTO]]+Tabla4[[#This Row],[DOTACIÓN ÚNICA]]</f>
        <v>4704868</v>
      </c>
      <c r="AU580" s="35">
        <f>(VLOOKUP(Tabla4[[#This Row],[SERVICIO 2025]],$J$2:$V$14,3,0)*Tabla4[[#This Row],[TOTAL COBERTURA]])</f>
        <v>3606204</v>
      </c>
      <c r="AV580" s="35">
        <f>(VLOOKUP(Tabla4[[#This Row],[SERVICIO 2025]],$J$2:$V$14,3,0)*Tabla4[[#This Row],[TOTAL COBERTURA]])</f>
        <v>3606204</v>
      </c>
      <c r="AW580" s="35">
        <f>(VLOOKUP(Tabla4[[#This Row],[SERVICIO 2025]],$J$2:$V$14,3,0)*Tabla4[[#This Row],[TOTAL COBERTURA]])</f>
        <v>3606204</v>
      </c>
      <c r="AX580" s="35">
        <f>(VLOOKUP(Tabla4[[#This Row],[SERVICIO 2025]],$J$2:$V$14,3,0)*Tabla4[[#This Row],[TOTAL COBERTURA]])</f>
        <v>3606204</v>
      </c>
      <c r="AY580" s="35">
        <f>(VLOOKUP(Tabla4[[#This Row],[SERVICIO 2025]],$J$2:$V$14,3,0)*Tabla4[[#This Row],[TOTAL COBERTURA]])</f>
        <v>3606204</v>
      </c>
      <c r="AZ580" s="35">
        <f>(VLOOKUP(Tabla4[[#This Row],[SERVICIO 2025]],$J$2:$V$14,3,0)*Tabla4[[#This Row],[TOTAL COBERTURA]])</f>
        <v>3606204</v>
      </c>
      <c r="BA580" s="35">
        <f>(VLOOKUP(Tabla4[[#This Row],[SERVICIO 2025]],$J$2:$V$14,3,0)*Tabla4[[#This Row],[TOTAL COBERTURA]])+Tabla4[[#This Row],[VALOR FASE PREPARATORIA DE CIERRE]]</f>
        <v>4180610</v>
      </c>
      <c r="BB580" s="35">
        <f>SUM(Tabla4[[#This Row],[DESEMBOLSO 1]:[DESEMBOLSO 8]])</f>
        <v>30522702</v>
      </c>
      <c r="BC580" s="35"/>
      <c r="BD580" s="47" t="s">
        <v>97</v>
      </c>
      <c r="BE580" s="12" t="b">
        <f>EXACT(Tabla4[[#This Row],[VALOR ATENCIÓN (8 MESES)]],Tabla4[[#This Row],[VALOR TOTAL]])</f>
        <v>1</v>
      </c>
      <c r="BF580" s="23">
        <f>Tabla4[[#This Row],[VALOR ATENCIÓN (8 MESES)]]-Tabla4[[#This Row],[VALOR TOTAL]]</f>
        <v>0</v>
      </c>
      <c r="BG580" s="12" t="b">
        <f>EXACT(Tabla4[[#This Row],[TOTAL DESEMBOLSOS]],Tabla4[[#This Row],[VALOR ATENCIÓN (8 MESES)]])</f>
        <v>1</v>
      </c>
      <c r="BH580" s="29">
        <f>Tabla4[[#This Row],[TOTAL DESEMBOLSOS]]-Tabla4[[#This Row],[VALOR ATENCIÓN (8 MESES)]]</f>
        <v>0</v>
      </c>
      <c r="BI580" t="s">
        <v>98</v>
      </c>
    </row>
    <row r="581" spans="1:61">
      <c r="A581" s="13">
        <v>1942</v>
      </c>
      <c r="B581" s="13" t="s">
        <v>1309</v>
      </c>
      <c r="C581" s="12" t="s">
        <v>87</v>
      </c>
      <c r="D581" s="12" t="s">
        <v>266</v>
      </c>
      <c r="E581" s="12" t="s">
        <v>1310</v>
      </c>
      <c r="F581" s="12" t="s">
        <v>18</v>
      </c>
      <c r="G581" s="12" t="s">
        <v>90</v>
      </c>
      <c r="H581" s="12" t="s">
        <v>1331</v>
      </c>
      <c r="I581" s="12">
        <v>52091135657</v>
      </c>
      <c r="J581" s="12" t="s">
        <v>1332</v>
      </c>
      <c r="K581" s="12">
        <v>1</v>
      </c>
      <c r="L581" s="12">
        <v>15</v>
      </c>
      <c r="M581" s="12"/>
      <c r="N581" s="13">
        <v>1942</v>
      </c>
      <c r="O581" s="12" t="s">
        <v>93</v>
      </c>
      <c r="P581" s="12"/>
      <c r="Q581" s="12"/>
      <c r="R581" s="12" t="s">
        <v>94</v>
      </c>
      <c r="S581" s="12">
        <v>10</v>
      </c>
      <c r="T581" s="12" t="s">
        <v>390</v>
      </c>
      <c r="U581" s="12" t="s">
        <v>391</v>
      </c>
      <c r="V581" s="12">
        <f>VLOOKUP(Tabla4[[#This Row],[ZONA DEFINITIVO]],Hoja1!$A$1:$D$121,3,0)</f>
        <v>229112</v>
      </c>
      <c r="W581" s="12">
        <f>VLOOKUP(Tabla4[[#This Row],[ZONA DEFINITIVO]],Hoja1!$A$1:$D$121,2,0)</f>
        <v>15194</v>
      </c>
      <c r="X581" s="12">
        <f>VLOOKUP(Tabla4[[#This Row],[ZONA DEFINITIVO]],Hoja1!$A$1:$D$121,4,0)</f>
        <v>82925</v>
      </c>
      <c r="Y581" s="12" t="str">
        <f>+IF(Tabla4[[#This Row],[AGRUPACIONES]]=1,SUMIFS(Tabla4[UDS],Tabla4[ZONA DEFINITIVO],Tabla4[[#This Row],[ZONA DEFINITIVO]])," ")</f>
        <v xml:space="preserve"> </v>
      </c>
      <c r="Z581" s="12" t="str">
        <f>+IF(Tabla4[[#This Row],[AGRUPACIONES]]=1,SUMIFS(Tabla4[TOTAL COBERTURA],Tabla4[ZONA DEFINITIVO],Tabla4[[#This Row],[ZONA DEFINITIVO]])," ")</f>
        <v xml:space="preserve"> </v>
      </c>
      <c r="AA581" s="12"/>
      <c r="AB581" s="38">
        <v>32702895</v>
      </c>
      <c r="AC581" s="37">
        <v>0.02</v>
      </c>
      <c r="AD581" s="38">
        <f t="shared" si="9"/>
        <v>654057.9</v>
      </c>
      <c r="AE581" s="12"/>
      <c r="AF581" s="12">
        <f>COUNTIF($A$20:A581,A581)</f>
        <v>12</v>
      </c>
      <c r="AG581" s="38">
        <v>32702895</v>
      </c>
      <c r="AH581" s="38">
        <f>Tabla4[[#This Row],[VALOR CONTRAPARTIDA]]+Tabla4[[#This Row],[TOTAL APORTES ICBF]]</f>
        <v>33356952.899999999</v>
      </c>
      <c r="AI581" s="35"/>
      <c r="AJ581" s="38"/>
      <c r="AK581" s="38"/>
      <c r="AL581" s="23"/>
      <c r="AM581" s="35">
        <f>VLOOKUP(Tabla4[[#This Row],[SERVICIO 2025]],$J$2:$V$14,5,0)*Tabla4[[#This Row],[TOTAL COBERTURA]]</f>
        <v>740640</v>
      </c>
      <c r="AN581" s="35">
        <f>VLOOKUP(Tabla4[[#This Row],[SERVICIO 2025]],$J$2:$V$14,6,0)*Tabla4[[#This Row],[TOTAL COBERTURA]]</f>
        <v>615435</v>
      </c>
      <c r="AO581" s="35">
        <f>VLOOKUP(Tabla4[[#This Row],[SERVICIO 2025]],$J$2:$V$14,8,0)*Tabla4[[#This Row],[TOTAL COBERTURA]]</f>
        <v>436500</v>
      </c>
      <c r="AP581" s="35">
        <f>VLOOKUP(Tabla4[[#This Row],[SERVICIO 2025]],$J$2:$V$14,3,0)*Tabla4[[#This Row],[TOTAL COBERTURA]]*8</f>
        <v>30910320</v>
      </c>
      <c r="AQ581" s="35"/>
      <c r="AR581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581" s="35" t="str">
        <f>+IF(Tabla4[[#This Row],[AGRUPACIONES]]=1,SUMIFS(Tabla4[VALOR TOTAL],Tabla4[ZONA DEFINITIVO],Tabla4[[#This Row],[ZONA DEFINITIVO]])," ")</f>
        <v xml:space="preserve"> </v>
      </c>
      <c r="AT581" s="27">
        <f>(VLOOKUP(Tabla4[[#This Row],[SERVICIO 2025]],$J$2:$V$14,3,0)*Tabla4[[#This Row],[TOTAL COBERTURA]])+Tabla4[[#This Row],[VALOR FASE PREPARATORIA DE ALISTAMIENTO]]+Tabla4[[#This Row],[DOTACIÓN ÚNICA]]</f>
        <v>5040930</v>
      </c>
      <c r="AU581" s="35">
        <f>(VLOOKUP(Tabla4[[#This Row],[SERVICIO 2025]],$J$2:$V$14,3,0)*Tabla4[[#This Row],[TOTAL COBERTURA]])</f>
        <v>3863790</v>
      </c>
      <c r="AV581" s="35">
        <f>(VLOOKUP(Tabla4[[#This Row],[SERVICIO 2025]],$J$2:$V$14,3,0)*Tabla4[[#This Row],[TOTAL COBERTURA]])</f>
        <v>3863790</v>
      </c>
      <c r="AW581" s="35">
        <f>(VLOOKUP(Tabla4[[#This Row],[SERVICIO 2025]],$J$2:$V$14,3,0)*Tabla4[[#This Row],[TOTAL COBERTURA]])</f>
        <v>3863790</v>
      </c>
      <c r="AX581" s="35">
        <f>(VLOOKUP(Tabla4[[#This Row],[SERVICIO 2025]],$J$2:$V$14,3,0)*Tabla4[[#This Row],[TOTAL COBERTURA]])</f>
        <v>3863790</v>
      </c>
      <c r="AY581" s="35">
        <f>(VLOOKUP(Tabla4[[#This Row],[SERVICIO 2025]],$J$2:$V$14,3,0)*Tabla4[[#This Row],[TOTAL COBERTURA]])</f>
        <v>3863790</v>
      </c>
      <c r="AZ581" s="35">
        <f>(VLOOKUP(Tabla4[[#This Row],[SERVICIO 2025]],$J$2:$V$14,3,0)*Tabla4[[#This Row],[TOTAL COBERTURA]])</f>
        <v>3863790</v>
      </c>
      <c r="BA581" s="35">
        <f>(VLOOKUP(Tabla4[[#This Row],[SERVICIO 2025]],$J$2:$V$14,3,0)*Tabla4[[#This Row],[TOTAL COBERTURA]])+Tabla4[[#This Row],[VALOR FASE PREPARATORIA DE CIERRE]]</f>
        <v>4479225</v>
      </c>
      <c r="BB581" s="35">
        <f>SUM(Tabla4[[#This Row],[DESEMBOLSO 1]:[DESEMBOLSO 8]])</f>
        <v>32702895</v>
      </c>
      <c r="BC581" s="35"/>
      <c r="BD581" s="47" t="s">
        <v>97</v>
      </c>
      <c r="BE581" s="12" t="b">
        <f>EXACT(Tabla4[[#This Row],[VALOR ATENCIÓN (8 MESES)]],Tabla4[[#This Row],[VALOR TOTAL]])</f>
        <v>1</v>
      </c>
      <c r="BF581" s="23">
        <f>Tabla4[[#This Row],[VALOR ATENCIÓN (8 MESES)]]-Tabla4[[#This Row],[VALOR TOTAL]]</f>
        <v>0</v>
      </c>
      <c r="BG581" s="12" t="b">
        <f>EXACT(Tabla4[[#This Row],[TOTAL DESEMBOLSOS]],Tabla4[[#This Row],[VALOR ATENCIÓN (8 MESES)]])</f>
        <v>1</v>
      </c>
      <c r="BH581" s="29">
        <f>Tabla4[[#This Row],[TOTAL DESEMBOLSOS]]-Tabla4[[#This Row],[VALOR ATENCIÓN (8 MESES)]]</f>
        <v>0</v>
      </c>
      <c r="BI581" t="s">
        <v>98</v>
      </c>
    </row>
    <row r="582" spans="1:61">
      <c r="A582" s="13">
        <v>1942</v>
      </c>
      <c r="B582" s="13" t="s">
        <v>1309</v>
      </c>
      <c r="C582" s="12" t="s">
        <v>87</v>
      </c>
      <c r="D582" s="12" t="s">
        <v>266</v>
      </c>
      <c r="E582" s="12" t="s">
        <v>1310</v>
      </c>
      <c r="F582" s="12" t="s">
        <v>18</v>
      </c>
      <c r="G582" s="12" t="s">
        <v>90</v>
      </c>
      <c r="H582" s="12" t="s">
        <v>1333</v>
      </c>
      <c r="I582" s="12">
        <v>52091135659</v>
      </c>
      <c r="J582" s="12" t="s">
        <v>1334</v>
      </c>
      <c r="K582" s="12">
        <v>1</v>
      </c>
      <c r="L582" s="12">
        <v>17</v>
      </c>
      <c r="M582" s="12"/>
      <c r="N582" s="13">
        <v>1942</v>
      </c>
      <c r="O582" s="12" t="s">
        <v>93</v>
      </c>
      <c r="P582" s="12"/>
      <c r="Q582" s="12"/>
      <c r="R582" s="12" t="s">
        <v>94</v>
      </c>
      <c r="S582" s="12">
        <v>10</v>
      </c>
      <c r="T582" s="12" t="s">
        <v>390</v>
      </c>
      <c r="U582" s="12" t="s">
        <v>391</v>
      </c>
      <c r="V582" s="12">
        <f>VLOOKUP(Tabla4[[#This Row],[ZONA DEFINITIVO]],Hoja1!$A$1:$D$121,3,0)</f>
        <v>229112</v>
      </c>
      <c r="W582" s="12">
        <f>VLOOKUP(Tabla4[[#This Row],[ZONA DEFINITIVO]],Hoja1!$A$1:$D$121,2,0)</f>
        <v>15194</v>
      </c>
      <c r="X582" s="12">
        <f>VLOOKUP(Tabla4[[#This Row],[ZONA DEFINITIVO]],Hoja1!$A$1:$D$121,4,0)</f>
        <v>82925</v>
      </c>
      <c r="Y582" s="12" t="str">
        <f>+IF(Tabla4[[#This Row],[AGRUPACIONES]]=1,SUMIFS(Tabla4[UDS],Tabla4[ZONA DEFINITIVO],Tabla4[[#This Row],[ZONA DEFINITIVO]])," ")</f>
        <v xml:space="preserve"> </v>
      </c>
      <c r="Z582" s="12" t="str">
        <f>+IF(Tabla4[[#This Row],[AGRUPACIONES]]=1,SUMIFS(Tabla4[TOTAL COBERTURA],Tabla4[ZONA DEFINITIVO],Tabla4[[#This Row],[ZONA DEFINITIVO]])," ")</f>
        <v xml:space="preserve"> </v>
      </c>
      <c r="AA582" s="12"/>
      <c r="AB582" s="38">
        <v>37063281</v>
      </c>
      <c r="AC582" s="37">
        <v>0.02</v>
      </c>
      <c r="AD582" s="38">
        <f t="shared" si="9"/>
        <v>741265.62</v>
      </c>
      <c r="AE582" s="12"/>
      <c r="AF582" s="12">
        <f>COUNTIF($A$20:A582,A582)</f>
        <v>13</v>
      </c>
      <c r="AG582" s="38">
        <v>37063281</v>
      </c>
      <c r="AH582" s="38">
        <f>Tabla4[[#This Row],[VALOR CONTRAPARTIDA]]+Tabla4[[#This Row],[TOTAL APORTES ICBF]]</f>
        <v>37804546.619999997</v>
      </c>
      <c r="AI582" s="35"/>
      <c r="AJ582" s="38"/>
      <c r="AK582" s="38"/>
      <c r="AL582" s="23"/>
      <c r="AM582" s="35">
        <f>VLOOKUP(Tabla4[[#This Row],[SERVICIO 2025]],$J$2:$V$14,5,0)*Tabla4[[#This Row],[TOTAL COBERTURA]]</f>
        <v>839392</v>
      </c>
      <c r="AN582" s="35">
        <f>VLOOKUP(Tabla4[[#This Row],[SERVICIO 2025]],$J$2:$V$14,6,0)*Tabla4[[#This Row],[TOTAL COBERTURA]]</f>
        <v>697493</v>
      </c>
      <c r="AO582" s="35">
        <f>VLOOKUP(Tabla4[[#This Row],[SERVICIO 2025]],$J$2:$V$14,8,0)*Tabla4[[#This Row],[TOTAL COBERTURA]]</f>
        <v>494700</v>
      </c>
      <c r="AP582" s="35">
        <f>VLOOKUP(Tabla4[[#This Row],[SERVICIO 2025]],$J$2:$V$14,3,0)*Tabla4[[#This Row],[TOTAL COBERTURA]]*8</f>
        <v>35031696</v>
      </c>
      <c r="AQ582" s="35"/>
      <c r="AR582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582" s="35" t="str">
        <f>+IF(Tabla4[[#This Row],[AGRUPACIONES]]=1,SUMIFS(Tabla4[VALOR TOTAL],Tabla4[ZONA DEFINITIVO],Tabla4[[#This Row],[ZONA DEFINITIVO]])," ")</f>
        <v xml:space="preserve"> </v>
      </c>
      <c r="AT582" s="27">
        <f>(VLOOKUP(Tabla4[[#This Row],[SERVICIO 2025]],$J$2:$V$14,3,0)*Tabla4[[#This Row],[TOTAL COBERTURA]])+Tabla4[[#This Row],[VALOR FASE PREPARATORIA DE ALISTAMIENTO]]+Tabla4[[#This Row],[DOTACIÓN ÚNICA]]</f>
        <v>5713054</v>
      </c>
      <c r="AU582" s="35">
        <f>(VLOOKUP(Tabla4[[#This Row],[SERVICIO 2025]],$J$2:$V$14,3,0)*Tabla4[[#This Row],[TOTAL COBERTURA]])</f>
        <v>4378962</v>
      </c>
      <c r="AV582" s="35">
        <f>(VLOOKUP(Tabla4[[#This Row],[SERVICIO 2025]],$J$2:$V$14,3,0)*Tabla4[[#This Row],[TOTAL COBERTURA]])</f>
        <v>4378962</v>
      </c>
      <c r="AW582" s="35">
        <f>(VLOOKUP(Tabla4[[#This Row],[SERVICIO 2025]],$J$2:$V$14,3,0)*Tabla4[[#This Row],[TOTAL COBERTURA]])</f>
        <v>4378962</v>
      </c>
      <c r="AX582" s="35">
        <f>(VLOOKUP(Tabla4[[#This Row],[SERVICIO 2025]],$J$2:$V$14,3,0)*Tabla4[[#This Row],[TOTAL COBERTURA]])</f>
        <v>4378962</v>
      </c>
      <c r="AY582" s="35">
        <f>(VLOOKUP(Tabla4[[#This Row],[SERVICIO 2025]],$J$2:$V$14,3,0)*Tabla4[[#This Row],[TOTAL COBERTURA]])</f>
        <v>4378962</v>
      </c>
      <c r="AZ582" s="35">
        <f>(VLOOKUP(Tabla4[[#This Row],[SERVICIO 2025]],$J$2:$V$14,3,0)*Tabla4[[#This Row],[TOTAL COBERTURA]])</f>
        <v>4378962</v>
      </c>
      <c r="BA582" s="35">
        <f>(VLOOKUP(Tabla4[[#This Row],[SERVICIO 2025]],$J$2:$V$14,3,0)*Tabla4[[#This Row],[TOTAL COBERTURA]])+Tabla4[[#This Row],[VALOR FASE PREPARATORIA DE CIERRE]]</f>
        <v>5076455</v>
      </c>
      <c r="BB582" s="35">
        <f>SUM(Tabla4[[#This Row],[DESEMBOLSO 1]:[DESEMBOLSO 8]])</f>
        <v>37063281</v>
      </c>
      <c r="BC582" s="35"/>
      <c r="BD582" s="47" t="s">
        <v>97</v>
      </c>
      <c r="BE582" s="12" t="b">
        <f>EXACT(Tabla4[[#This Row],[VALOR ATENCIÓN (8 MESES)]],Tabla4[[#This Row],[VALOR TOTAL]])</f>
        <v>1</v>
      </c>
      <c r="BF582" s="23">
        <f>Tabla4[[#This Row],[VALOR ATENCIÓN (8 MESES)]]-Tabla4[[#This Row],[VALOR TOTAL]]</f>
        <v>0</v>
      </c>
      <c r="BG582" s="12" t="b">
        <f>EXACT(Tabla4[[#This Row],[TOTAL DESEMBOLSOS]],Tabla4[[#This Row],[VALOR ATENCIÓN (8 MESES)]])</f>
        <v>1</v>
      </c>
      <c r="BH582" s="29">
        <f>Tabla4[[#This Row],[TOTAL DESEMBOLSOS]]-Tabla4[[#This Row],[VALOR ATENCIÓN (8 MESES)]]</f>
        <v>0</v>
      </c>
      <c r="BI582" t="s">
        <v>98</v>
      </c>
    </row>
    <row r="583" spans="1:61">
      <c r="A583" s="13">
        <v>1942</v>
      </c>
      <c r="B583" s="13" t="s">
        <v>1309</v>
      </c>
      <c r="C583" s="12" t="s">
        <v>87</v>
      </c>
      <c r="D583" s="12" t="s">
        <v>266</v>
      </c>
      <c r="E583" s="12" t="s">
        <v>1310</v>
      </c>
      <c r="F583" s="12" t="s">
        <v>18</v>
      </c>
      <c r="G583" s="12" t="s">
        <v>90</v>
      </c>
      <c r="H583" s="12" t="s">
        <v>1335</v>
      </c>
      <c r="I583" s="12">
        <v>52091135663</v>
      </c>
      <c r="J583" s="12" t="s">
        <v>1336</v>
      </c>
      <c r="K583" s="12">
        <v>1</v>
      </c>
      <c r="L583" s="12">
        <v>21</v>
      </c>
      <c r="M583" s="12"/>
      <c r="N583" s="13">
        <v>1942</v>
      </c>
      <c r="O583" s="12" t="s">
        <v>93</v>
      </c>
      <c r="P583" s="12"/>
      <c r="Q583" s="12"/>
      <c r="R583" s="12" t="s">
        <v>94</v>
      </c>
      <c r="S583" s="12">
        <v>10</v>
      </c>
      <c r="T583" s="12" t="s">
        <v>390</v>
      </c>
      <c r="U583" s="12" t="s">
        <v>391</v>
      </c>
      <c r="V583" s="12">
        <f>VLOOKUP(Tabla4[[#This Row],[ZONA DEFINITIVO]],Hoja1!$A$1:$D$121,3,0)</f>
        <v>229112</v>
      </c>
      <c r="W583" s="12">
        <f>VLOOKUP(Tabla4[[#This Row],[ZONA DEFINITIVO]],Hoja1!$A$1:$D$121,2,0)</f>
        <v>15194</v>
      </c>
      <c r="X583" s="12">
        <f>VLOOKUP(Tabla4[[#This Row],[ZONA DEFINITIVO]],Hoja1!$A$1:$D$121,4,0)</f>
        <v>82925</v>
      </c>
      <c r="Y583" s="12" t="str">
        <f>+IF(Tabla4[[#This Row],[AGRUPACIONES]]=1,SUMIFS(Tabla4[UDS],Tabla4[ZONA DEFINITIVO],Tabla4[[#This Row],[ZONA DEFINITIVO]])," ")</f>
        <v xml:space="preserve"> </v>
      </c>
      <c r="Z583" s="12" t="str">
        <f>+IF(Tabla4[[#This Row],[AGRUPACIONES]]=1,SUMIFS(Tabla4[TOTAL COBERTURA],Tabla4[ZONA DEFINITIVO],Tabla4[[#This Row],[ZONA DEFINITIVO]])," ")</f>
        <v xml:space="preserve"> </v>
      </c>
      <c r="AA583" s="12"/>
      <c r="AB583" s="38">
        <v>45784053</v>
      </c>
      <c r="AC583" s="37">
        <v>0.02</v>
      </c>
      <c r="AD583" s="38">
        <f t="shared" si="9"/>
        <v>915681.06</v>
      </c>
      <c r="AE583" s="12"/>
      <c r="AF583" s="12">
        <f>COUNTIF($A$20:A583,A583)</f>
        <v>14</v>
      </c>
      <c r="AG583" s="38">
        <v>45784053</v>
      </c>
      <c r="AH583" s="38">
        <f>Tabla4[[#This Row],[VALOR CONTRAPARTIDA]]+Tabla4[[#This Row],[TOTAL APORTES ICBF]]</f>
        <v>46699734.060000002</v>
      </c>
      <c r="AI583" s="35"/>
      <c r="AJ583" s="38"/>
      <c r="AK583" s="38"/>
      <c r="AL583" s="23"/>
      <c r="AM583" s="35">
        <f>VLOOKUP(Tabla4[[#This Row],[SERVICIO 2025]],$J$2:$V$14,5,0)*Tabla4[[#This Row],[TOTAL COBERTURA]]</f>
        <v>1036896</v>
      </c>
      <c r="AN583" s="35">
        <f>VLOOKUP(Tabla4[[#This Row],[SERVICIO 2025]],$J$2:$V$14,6,0)*Tabla4[[#This Row],[TOTAL COBERTURA]]</f>
        <v>861609</v>
      </c>
      <c r="AO583" s="35">
        <f>VLOOKUP(Tabla4[[#This Row],[SERVICIO 2025]],$J$2:$V$14,8,0)*Tabla4[[#This Row],[TOTAL COBERTURA]]</f>
        <v>611100</v>
      </c>
      <c r="AP583" s="35">
        <f>VLOOKUP(Tabla4[[#This Row],[SERVICIO 2025]],$J$2:$V$14,3,0)*Tabla4[[#This Row],[TOTAL COBERTURA]]*8</f>
        <v>43274448</v>
      </c>
      <c r="AQ583" s="35"/>
      <c r="AR583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583" s="35" t="str">
        <f>+IF(Tabla4[[#This Row],[AGRUPACIONES]]=1,SUMIFS(Tabla4[VALOR TOTAL],Tabla4[ZONA DEFINITIVO],Tabla4[[#This Row],[ZONA DEFINITIVO]])," ")</f>
        <v xml:space="preserve"> </v>
      </c>
      <c r="AT583" s="27">
        <f>(VLOOKUP(Tabla4[[#This Row],[SERVICIO 2025]],$J$2:$V$14,3,0)*Tabla4[[#This Row],[TOTAL COBERTURA]])+Tabla4[[#This Row],[VALOR FASE PREPARATORIA DE ALISTAMIENTO]]+Tabla4[[#This Row],[DOTACIÓN ÚNICA]]</f>
        <v>7057302</v>
      </c>
      <c r="AU583" s="35">
        <f>(VLOOKUP(Tabla4[[#This Row],[SERVICIO 2025]],$J$2:$V$14,3,0)*Tabla4[[#This Row],[TOTAL COBERTURA]])</f>
        <v>5409306</v>
      </c>
      <c r="AV583" s="35">
        <f>(VLOOKUP(Tabla4[[#This Row],[SERVICIO 2025]],$J$2:$V$14,3,0)*Tabla4[[#This Row],[TOTAL COBERTURA]])</f>
        <v>5409306</v>
      </c>
      <c r="AW583" s="35">
        <f>(VLOOKUP(Tabla4[[#This Row],[SERVICIO 2025]],$J$2:$V$14,3,0)*Tabla4[[#This Row],[TOTAL COBERTURA]])</f>
        <v>5409306</v>
      </c>
      <c r="AX583" s="35">
        <f>(VLOOKUP(Tabla4[[#This Row],[SERVICIO 2025]],$J$2:$V$14,3,0)*Tabla4[[#This Row],[TOTAL COBERTURA]])</f>
        <v>5409306</v>
      </c>
      <c r="AY583" s="35">
        <f>(VLOOKUP(Tabla4[[#This Row],[SERVICIO 2025]],$J$2:$V$14,3,0)*Tabla4[[#This Row],[TOTAL COBERTURA]])</f>
        <v>5409306</v>
      </c>
      <c r="AZ583" s="35">
        <f>(VLOOKUP(Tabla4[[#This Row],[SERVICIO 2025]],$J$2:$V$14,3,0)*Tabla4[[#This Row],[TOTAL COBERTURA]])</f>
        <v>5409306</v>
      </c>
      <c r="BA583" s="35">
        <f>(VLOOKUP(Tabla4[[#This Row],[SERVICIO 2025]],$J$2:$V$14,3,0)*Tabla4[[#This Row],[TOTAL COBERTURA]])+Tabla4[[#This Row],[VALOR FASE PREPARATORIA DE CIERRE]]</f>
        <v>6270915</v>
      </c>
      <c r="BB583" s="35">
        <f>SUM(Tabla4[[#This Row],[DESEMBOLSO 1]:[DESEMBOLSO 8]])</f>
        <v>45784053</v>
      </c>
      <c r="BC583" s="35"/>
      <c r="BD583" s="47" t="s">
        <v>97</v>
      </c>
      <c r="BE583" s="12" t="b">
        <f>EXACT(Tabla4[[#This Row],[VALOR ATENCIÓN (8 MESES)]],Tabla4[[#This Row],[VALOR TOTAL]])</f>
        <v>1</v>
      </c>
      <c r="BF583" s="23">
        <f>Tabla4[[#This Row],[VALOR ATENCIÓN (8 MESES)]]-Tabla4[[#This Row],[VALOR TOTAL]]</f>
        <v>0</v>
      </c>
      <c r="BG583" s="12" t="b">
        <f>EXACT(Tabla4[[#This Row],[TOTAL DESEMBOLSOS]],Tabla4[[#This Row],[VALOR ATENCIÓN (8 MESES)]])</f>
        <v>1</v>
      </c>
      <c r="BH583" s="29">
        <f>Tabla4[[#This Row],[TOTAL DESEMBOLSOS]]-Tabla4[[#This Row],[VALOR ATENCIÓN (8 MESES)]]</f>
        <v>0</v>
      </c>
      <c r="BI583" t="s">
        <v>98</v>
      </c>
    </row>
    <row r="584" spans="1:61">
      <c r="A584" s="13">
        <v>1942</v>
      </c>
      <c r="B584" s="13" t="s">
        <v>1309</v>
      </c>
      <c r="C584" s="12" t="s">
        <v>87</v>
      </c>
      <c r="D584" s="12" t="s">
        <v>266</v>
      </c>
      <c r="E584" s="12" t="s">
        <v>1310</v>
      </c>
      <c r="F584" s="12" t="s">
        <v>18</v>
      </c>
      <c r="G584" s="12" t="s">
        <v>90</v>
      </c>
      <c r="H584" s="12" t="s">
        <v>1337</v>
      </c>
      <c r="I584" s="12">
        <v>52091135669</v>
      </c>
      <c r="J584" s="12" t="s">
        <v>1338</v>
      </c>
      <c r="K584" s="12">
        <v>1</v>
      </c>
      <c r="L584" s="12">
        <v>36</v>
      </c>
      <c r="M584" s="12"/>
      <c r="N584" s="13">
        <v>1942</v>
      </c>
      <c r="O584" s="12" t="s">
        <v>93</v>
      </c>
      <c r="P584" s="12"/>
      <c r="Q584" s="12"/>
      <c r="R584" s="12" t="s">
        <v>94</v>
      </c>
      <c r="S584" s="12">
        <v>10</v>
      </c>
      <c r="T584" s="12" t="s">
        <v>390</v>
      </c>
      <c r="U584" s="12" t="s">
        <v>391</v>
      </c>
      <c r="V584" s="12">
        <f>VLOOKUP(Tabla4[[#This Row],[ZONA DEFINITIVO]],Hoja1!$A$1:$D$121,3,0)</f>
        <v>229112</v>
      </c>
      <c r="W584" s="12">
        <f>VLOOKUP(Tabla4[[#This Row],[ZONA DEFINITIVO]],Hoja1!$A$1:$D$121,2,0)</f>
        <v>15194</v>
      </c>
      <c r="X584" s="12">
        <f>VLOOKUP(Tabla4[[#This Row],[ZONA DEFINITIVO]],Hoja1!$A$1:$D$121,4,0)</f>
        <v>82925</v>
      </c>
      <c r="Y584" s="12" t="str">
        <f>+IF(Tabla4[[#This Row],[AGRUPACIONES]]=1,SUMIFS(Tabla4[UDS],Tabla4[ZONA DEFINITIVO],Tabla4[[#This Row],[ZONA DEFINITIVO]])," ")</f>
        <v xml:space="preserve"> </v>
      </c>
      <c r="Z584" s="12" t="str">
        <f>+IF(Tabla4[[#This Row],[AGRUPACIONES]]=1,SUMIFS(Tabla4[TOTAL COBERTURA],Tabla4[ZONA DEFINITIVO],Tabla4[[#This Row],[ZONA DEFINITIVO]])," ")</f>
        <v xml:space="preserve"> </v>
      </c>
      <c r="AA584" s="12"/>
      <c r="AB584" s="38">
        <v>78486948</v>
      </c>
      <c r="AC584" s="37">
        <v>0.02</v>
      </c>
      <c r="AD584" s="38">
        <f t="shared" si="9"/>
        <v>1569738.96</v>
      </c>
      <c r="AE584" s="12"/>
      <c r="AF584" s="12">
        <f>COUNTIF($A$20:A584,A584)</f>
        <v>15</v>
      </c>
      <c r="AG584" s="38">
        <v>78486948</v>
      </c>
      <c r="AH584" s="38">
        <f>Tabla4[[#This Row],[VALOR CONTRAPARTIDA]]+Tabla4[[#This Row],[TOTAL APORTES ICBF]]</f>
        <v>80056686.959999993</v>
      </c>
      <c r="AI584" s="35"/>
      <c r="AJ584" s="38"/>
      <c r="AK584" s="38"/>
      <c r="AL584" s="23"/>
      <c r="AM584" s="35">
        <f>VLOOKUP(Tabla4[[#This Row],[SERVICIO 2025]],$J$2:$V$14,5,0)*Tabla4[[#This Row],[TOTAL COBERTURA]]</f>
        <v>1777536</v>
      </c>
      <c r="AN584" s="35">
        <f>VLOOKUP(Tabla4[[#This Row],[SERVICIO 2025]],$J$2:$V$14,6,0)*Tabla4[[#This Row],[TOTAL COBERTURA]]</f>
        <v>1477044</v>
      </c>
      <c r="AO584" s="35">
        <f>VLOOKUP(Tabla4[[#This Row],[SERVICIO 2025]],$J$2:$V$14,8,0)*Tabla4[[#This Row],[TOTAL COBERTURA]]</f>
        <v>1047600</v>
      </c>
      <c r="AP584" s="35">
        <f>VLOOKUP(Tabla4[[#This Row],[SERVICIO 2025]],$J$2:$V$14,3,0)*Tabla4[[#This Row],[TOTAL COBERTURA]]*8</f>
        <v>74184768</v>
      </c>
      <c r="AQ584" s="35"/>
      <c r="AR584" s="35">
        <f>Tabla4[[#This Row],[VALOR FASE PREPARATORIA DE ALISTAMIENTO]]+Tabla4[[#This Row],[VALOR FASE PREPARATORIA DE CIERRE]]+Tabla4[[#This Row],[DOTACIÓN ÚNICA]]+Tabla4[[#This Row],[VALOR ATENCIÓN]]+Tabla4[[#This Row],[VALOR RACION PREPARADA]]</f>
        <v>78486948</v>
      </c>
      <c r="AS584" s="35" t="str">
        <f>+IF(Tabla4[[#This Row],[AGRUPACIONES]]=1,SUMIFS(Tabla4[VALOR TOTAL],Tabla4[ZONA DEFINITIVO],Tabla4[[#This Row],[ZONA DEFINITIVO]])," ")</f>
        <v xml:space="preserve"> </v>
      </c>
      <c r="AT584" s="27">
        <f>(VLOOKUP(Tabla4[[#This Row],[SERVICIO 2025]],$J$2:$V$14,3,0)*Tabla4[[#This Row],[TOTAL COBERTURA]])+Tabla4[[#This Row],[VALOR FASE PREPARATORIA DE ALISTAMIENTO]]+Tabla4[[#This Row],[DOTACIÓN ÚNICA]]</f>
        <v>12098232</v>
      </c>
      <c r="AU584" s="35">
        <f>(VLOOKUP(Tabla4[[#This Row],[SERVICIO 2025]],$J$2:$V$14,3,0)*Tabla4[[#This Row],[TOTAL COBERTURA]])</f>
        <v>9273096</v>
      </c>
      <c r="AV584" s="35">
        <f>(VLOOKUP(Tabla4[[#This Row],[SERVICIO 2025]],$J$2:$V$14,3,0)*Tabla4[[#This Row],[TOTAL COBERTURA]])</f>
        <v>9273096</v>
      </c>
      <c r="AW584" s="35">
        <f>(VLOOKUP(Tabla4[[#This Row],[SERVICIO 2025]],$J$2:$V$14,3,0)*Tabla4[[#This Row],[TOTAL COBERTURA]])</f>
        <v>9273096</v>
      </c>
      <c r="AX584" s="35">
        <f>(VLOOKUP(Tabla4[[#This Row],[SERVICIO 2025]],$J$2:$V$14,3,0)*Tabla4[[#This Row],[TOTAL COBERTURA]])</f>
        <v>9273096</v>
      </c>
      <c r="AY584" s="35">
        <f>(VLOOKUP(Tabla4[[#This Row],[SERVICIO 2025]],$J$2:$V$14,3,0)*Tabla4[[#This Row],[TOTAL COBERTURA]])</f>
        <v>9273096</v>
      </c>
      <c r="AZ584" s="35">
        <f>(VLOOKUP(Tabla4[[#This Row],[SERVICIO 2025]],$J$2:$V$14,3,0)*Tabla4[[#This Row],[TOTAL COBERTURA]])</f>
        <v>9273096</v>
      </c>
      <c r="BA584" s="35">
        <f>(VLOOKUP(Tabla4[[#This Row],[SERVICIO 2025]],$J$2:$V$14,3,0)*Tabla4[[#This Row],[TOTAL COBERTURA]])+Tabla4[[#This Row],[VALOR FASE PREPARATORIA DE CIERRE]]</f>
        <v>10750140</v>
      </c>
      <c r="BB584" s="35">
        <f>SUM(Tabla4[[#This Row],[DESEMBOLSO 1]:[DESEMBOLSO 8]])</f>
        <v>78486948</v>
      </c>
      <c r="BC584" s="35"/>
      <c r="BD584" s="47" t="s">
        <v>97</v>
      </c>
      <c r="BE584" s="12" t="b">
        <f>EXACT(Tabla4[[#This Row],[VALOR ATENCIÓN (8 MESES)]],Tabla4[[#This Row],[VALOR TOTAL]])</f>
        <v>1</v>
      </c>
      <c r="BF584" s="23">
        <f>Tabla4[[#This Row],[VALOR ATENCIÓN (8 MESES)]]-Tabla4[[#This Row],[VALOR TOTAL]]</f>
        <v>0</v>
      </c>
      <c r="BG584" s="12" t="b">
        <f>EXACT(Tabla4[[#This Row],[TOTAL DESEMBOLSOS]],Tabla4[[#This Row],[VALOR ATENCIÓN (8 MESES)]])</f>
        <v>1</v>
      </c>
      <c r="BH584" s="29">
        <f>Tabla4[[#This Row],[TOTAL DESEMBOLSOS]]-Tabla4[[#This Row],[VALOR ATENCIÓN (8 MESES)]]</f>
        <v>0</v>
      </c>
      <c r="BI584" t="s">
        <v>98</v>
      </c>
    </row>
    <row r="585" spans="1:61">
      <c r="A585" s="13">
        <v>1942</v>
      </c>
      <c r="B585" s="13" t="s">
        <v>1309</v>
      </c>
      <c r="C585" s="12" t="s">
        <v>87</v>
      </c>
      <c r="D585" s="12" t="s">
        <v>266</v>
      </c>
      <c r="E585" s="12" t="s">
        <v>1310</v>
      </c>
      <c r="F585" s="12" t="s">
        <v>18</v>
      </c>
      <c r="G585" s="12" t="s">
        <v>90</v>
      </c>
      <c r="H585" s="12" t="s">
        <v>1323</v>
      </c>
      <c r="I585" s="12">
        <v>52091135673</v>
      </c>
      <c r="J585" s="12" t="s">
        <v>1339</v>
      </c>
      <c r="K585" s="12">
        <v>1</v>
      </c>
      <c r="L585" s="12">
        <v>19</v>
      </c>
      <c r="M585" s="12"/>
      <c r="N585" s="13">
        <v>1942</v>
      </c>
      <c r="O585" s="12" t="s">
        <v>93</v>
      </c>
      <c r="P585" s="12"/>
      <c r="Q585" s="12"/>
      <c r="R585" s="12" t="s">
        <v>94</v>
      </c>
      <c r="S585" s="12">
        <v>10</v>
      </c>
      <c r="T585" s="12" t="s">
        <v>390</v>
      </c>
      <c r="U585" s="12" t="s">
        <v>391</v>
      </c>
      <c r="V585" s="12">
        <f>VLOOKUP(Tabla4[[#This Row],[ZONA DEFINITIVO]],Hoja1!$A$1:$D$121,3,0)</f>
        <v>229112</v>
      </c>
      <c r="W585" s="12">
        <f>VLOOKUP(Tabla4[[#This Row],[ZONA DEFINITIVO]],Hoja1!$A$1:$D$121,2,0)</f>
        <v>15194</v>
      </c>
      <c r="X585" s="12">
        <f>VLOOKUP(Tabla4[[#This Row],[ZONA DEFINITIVO]],Hoja1!$A$1:$D$121,4,0)</f>
        <v>82925</v>
      </c>
      <c r="Y585" s="12" t="str">
        <f>+IF(Tabla4[[#This Row],[AGRUPACIONES]]=1,SUMIFS(Tabla4[UDS],Tabla4[ZONA DEFINITIVO],Tabla4[[#This Row],[ZONA DEFINITIVO]])," ")</f>
        <v xml:space="preserve"> </v>
      </c>
      <c r="Z585" s="12" t="str">
        <f>+IF(Tabla4[[#This Row],[AGRUPACIONES]]=1,SUMIFS(Tabla4[TOTAL COBERTURA],Tabla4[ZONA DEFINITIVO],Tabla4[[#This Row],[ZONA DEFINITIVO]])," ")</f>
        <v xml:space="preserve"> </v>
      </c>
      <c r="AA585" s="12"/>
      <c r="AB585" s="38">
        <v>41423667</v>
      </c>
      <c r="AC585" s="37">
        <v>0.02</v>
      </c>
      <c r="AD585" s="38">
        <f t="shared" si="9"/>
        <v>828473.34</v>
      </c>
      <c r="AE585" s="12"/>
      <c r="AF585" s="12">
        <f>COUNTIF($A$20:A585,A585)</f>
        <v>16</v>
      </c>
      <c r="AG585" s="38">
        <v>41423667</v>
      </c>
      <c r="AH585" s="38">
        <f>Tabla4[[#This Row],[VALOR CONTRAPARTIDA]]+Tabla4[[#This Row],[TOTAL APORTES ICBF]]</f>
        <v>42252140.340000004</v>
      </c>
      <c r="AI585" s="35"/>
      <c r="AJ585" s="38"/>
      <c r="AK585" s="38"/>
      <c r="AL585" s="23"/>
      <c r="AM585" s="35">
        <f>VLOOKUP(Tabla4[[#This Row],[SERVICIO 2025]],$J$2:$V$14,5,0)*Tabla4[[#This Row],[TOTAL COBERTURA]]</f>
        <v>938144</v>
      </c>
      <c r="AN585" s="35">
        <f>VLOOKUP(Tabla4[[#This Row],[SERVICIO 2025]],$J$2:$V$14,6,0)*Tabla4[[#This Row],[TOTAL COBERTURA]]</f>
        <v>779551</v>
      </c>
      <c r="AO585" s="35">
        <f>VLOOKUP(Tabla4[[#This Row],[SERVICIO 2025]],$J$2:$V$14,8,0)*Tabla4[[#This Row],[TOTAL COBERTURA]]</f>
        <v>552900</v>
      </c>
      <c r="AP585" s="35">
        <f>VLOOKUP(Tabla4[[#This Row],[SERVICIO 2025]],$J$2:$V$14,3,0)*Tabla4[[#This Row],[TOTAL COBERTURA]]*8</f>
        <v>39153072</v>
      </c>
      <c r="AQ585" s="35"/>
      <c r="AR585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585" s="35" t="str">
        <f>+IF(Tabla4[[#This Row],[AGRUPACIONES]]=1,SUMIFS(Tabla4[VALOR TOTAL],Tabla4[ZONA DEFINITIVO],Tabla4[[#This Row],[ZONA DEFINITIVO]])," ")</f>
        <v xml:space="preserve"> </v>
      </c>
      <c r="AT585" s="27">
        <f>(VLOOKUP(Tabla4[[#This Row],[SERVICIO 2025]],$J$2:$V$14,3,0)*Tabla4[[#This Row],[TOTAL COBERTURA]])+Tabla4[[#This Row],[VALOR FASE PREPARATORIA DE ALISTAMIENTO]]+Tabla4[[#This Row],[DOTACIÓN ÚNICA]]</f>
        <v>6385178</v>
      </c>
      <c r="AU585" s="35">
        <f>(VLOOKUP(Tabla4[[#This Row],[SERVICIO 2025]],$J$2:$V$14,3,0)*Tabla4[[#This Row],[TOTAL COBERTURA]])</f>
        <v>4894134</v>
      </c>
      <c r="AV585" s="35">
        <f>(VLOOKUP(Tabla4[[#This Row],[SERVICIO 2025]],$J$2:$V$14,3,0)*Tabla4[[#This Row],[TOTAL COBERTURA]])</f>
        <v>4894134</v>
      </c>
      <c r="AW585" s="35">
        <f>(VLOOKUP(Tabla4[[#This Row],[SERVICIO 2025]],$J$2:$V$14,3,0)*Tabla4[[#This Row],[TOTAL COBERTURA]])</f>
        <v>4894134</v>
      </c>
      <c r="AX585" s="35">
        <f>(VLOOKUP(Tabla4[[#This Row],[SERVICIO 2025]],$J$2:$V$14,3,0)*Tabla4[[#This Row],[TOTAL COBERTURA]])</f>
        <v>4894134</v>
      </c>
      <c r="AY585" s="35">
        <f>(VLOOKUP(Tabla4[[#This Row],[SERVICIO 2025]],$J$2:$V$14,3,0)*Tabla4[[#This Row],[TOTAL COBERTURA]])</f>
        <v>4894134</v>
      </c>
      <c r="AZ585" s="35">
        <f>(VLOOKUP(Tabla4[[#This Row],[SERVICIO 2025]],$J$2:$V$14,3,0)*Tabla4[[#This Row],[TOTAL COBERTURA]])</f>
        <v>4894134</v>
      </c>
      <c r="BA585" s="35">
        <f>(VLOOKUP(Tabla4[[#This Row],[SERVICIO 2025]],$J$2:$V$14,3,0)*Tabla4[[#This Row],[TOTAL COBERTURA]])+Tabla4[[#This Row],[VALOR FASE PREPARATORIA DE CIERRE]]</f>
        <v>5673685</v>
      </c>
      <c r="BB585" s="35">
        <f>SUM(Tabla4[[#This Row],[DESEMBOLSO 1]:[DESEMBOLSO 8]])</f>
        <v>41423667</v>
      </c>
      <c r="BC585" s="35"/>
      <c r="BD585" s="47" t="s">
        <v>97</v>
      </c>
      <c r="BE585" s="12" t="b">
        <f>EXACT(Tabla4[[#This Row],[VALOR ATENCIÓN (8 MESES)]],Tabla4[[#This Row],[VALOR TOTAL]])</f>
        <v>1</v>
      </c>
      <c r="BF585" s="23">
        <f>Tabla4[[#This Row],[VALOR ATENCIÓN (8 MESES)]]-Tabla4[[#This Row],[VALOR TOTAL]]</f>
        <v>0</v>
      </c>
      <c r="BG585" s="12" t="b">
        <f>EXACT(Tabla4[[#This Row],[TOTAL DESEMBOLSOS]],Tabla4[[#This Row],[VALOR ATENCIÓN (8 MESES)]])</f>
        <v>1</v>
      </c>
      <c r="BH585" s="29">
        <f>Tabla4[[#This Row],[TOTAL DESEMBOLSOS]]-Tabla4[[#This Row],[VALOR ATENCIÓN (8 MESES)]]</f>
        <v>0</v>
      </c>
      <c r="BI585" t="s">
        <v>98</v>
      </c>
    </row>
    <row r="586" spans="1:61">
      <c r="A586" s="13">
        <v>1942</v>
      </c>
      <c r="B586" s="13" t="s">
        <v>1309</v>
      </c>
      <c r="C586" s="12" t="s">
        <v>87</v>
      </c>
      <c r="D586" s="12" t="s">
        <v>266</v>
      </c>
      <c r="E586" s="12" t="s">
        <v>1310</v>
      </c>
      <c r="F586" s="12" t="s">
        <v>18</v>
      </c>
      <c r="G586" s="12" t="s">
        <v>90</v>
      </c>
      <c r="H586" s="12" t="s">
        <v>1340</v>
      </c>
      <c r="I586" s="12">
        <v>52091135675</v>
      </c>
      <c r="J586" s="12" t="s">
        <v>1341</v>
      </c>
      <c r="K586" s="12">
        <v>1</v>
      </c>
      <c r="L586" s="12">
        <v>45</v>
      </c>
      <c r="M586" s="12"/>
      <c r="N586" s="13">
        <v>1942</v>
      </c>
      <c r="O586" s="12" t="s">
        <v>93</v>
      </c>
      <c r="P586" s="12"/>
      <c r="Q586" s="12"/>
      <c r="R586" s="12" t="s">
        <v>94</v>
      </c>
      <c r="S586" s="12">
        <v>10</v>
      </c>
      <c r="T586" s="12" t="s">
        <v>390</v>
      </c>
      <c r="U586" s="12" t="s">
        <v>391</v>
      </c>
      <c r="V586" s="12">
        <f>VLOOKUP(Tabla4[[#This Row],[ZONA DEFINITIVO]],Hoja1!$A$1:$D$121,3,0)</f>
        <v>229112</v>
      </c>
      <c r="W586" s="12">
        <f>VLOOKUP(Tabla4[[#This Row],[ZONA DEFINITIVO]],Hoja1!$A$1:$D$121,2,0)</f>
        <v>15194</v>
      </c>
      <c r="X586" s="12">
        <f>VLOOKUP(Tabla4[[#This Row],[ZONA DEFINITIVO]],Hoja1!$A$1:$D$121,4,0)</f>
        <v>82925</v>
      </c>
      <c r="Y586" s="12" t="str">
        <f>+IF(Tabla4[[#This Row],[AGRUPACIONES]]=1,SUMIFS(Tabla4[UDS],Tabla4[ZONA DEFINITIVO],Tabla4[[#This Row],[ZONA DEFINITIVO]])," ")</f>
        <v xml:space="preserve"> </v>
      </c>
      <c r="Z586" s="12" t="str">
        <f>+IF(Tabla4[[#This Row],[AGRUPACIONES]]=1,SUMIFS(Tabla4[TOTAL COBERTURA],Tabla4[ZONA DEFINITIVO],Tabla4[[#This Row],[ZONA DEFINITIVO]])," ")</f>
        <v xml:space="preserve"> </v>
      </c>
      <c r="AA586" s="12"/>
      <c r="AB586" s="38">
        <v>98108685</v>
      </c>
      <c r="AC586" s="37">
        <v>0.02</v>
      </c>
      <c r="AD586" s="38">
        <f t="shared" si="9"/>
        <v>1962173.7</v>
      </c>
      <c r="AE586" s="12"/>
      <c r="AF586" s="12">
        <f>COUNTIF($A$20:A586,A586)</f>
        <v>17</v>
      </c>
      <c r="AG586" s="38">
        <v>98108685</v>
      </c>
      <c r="AH586" s="38">
        <f>Tabla4[[#This Row],[VALOR CONTRAPARTIDA]]+Tabla4[[#This Row],[TOTAL APORTES ICBF]]</f>
        <v>100070858.7</v>
      </c>
      <c r="AI586" s="35"/>
      <c r="AJ586" s="38"/>
      <c r="AK586" s="38"/>
      <c r="AL586" s="23"/>
      <c r="AM586" s="35">
        <f>VLOOKUP(Tabla4[[#This Row],[SERVICIO 2025]],$J$2:$V$14,5,0)*Tabla4[[#This Row],[TOTAL COBERTURA]]</f>
        <v>2221920</v>
      </c>
      <c r="AN586" s="35">
        <f>VLOOKUP(Tabla4[[#This Row],[SERVICIO 2025]],$J$2:$V$14,6,0)*Tabla4[[#This Row],[TOTAL COBERTURA]]</f>
        <v>1846305</v>
      </c>
      <c r="AO586" s="35">
        <f>VLOOKUP(Tabla4[[#This Row],[SERVICIO 2025]],$J$2:$V$14,8,0)*Tabla4[[#This Row],[TOTAL COBERTURA]]</f>
        <v>1309500</v>
      </c>
      <c r="AP586" s="35">
        <f>VLOOKUP(Tabla4[[#This Row],[SERVICIO 2025]],$J$2:$V$14,3,0)*Tabla4[[#This Row],[TOTAL COBERTURA]]*8</f>
        <v>92730960</v>
      </c>
      <c r="AQ586" s="35"/>
      <c r="AR586" s="35">
        <f>Tabla4[[#This Row],[VALOR FASE PREPARATORIA DE ALISTAMIENTO]]+Tabla4[[#This Row],[VALOR FASE PREPARATORIA DE CIERRE]]+Tabla4[[#This Row],[DOTACIÓN ÚNICA]]+Tabla4[[#This Row],[VALOR ATENCIÓN]]+Tabla4[[#This Row],[VALOR RACION PREPARADA]]</f>
        <v>98108685</v>
      </c>
      <c r="AS586" s="35" t="str">
        <f>+IF(Tabla4[[#This Row],[AGRUPACIONES]]=1,SUMIFS(Tabla4[VALOR TOTAL],Tabla4[ZONA DEFINITIVO],Tabla4[[#This Row],[ZONA DEFINITIVO]])," ")</f>
        <v xml:space="preserve"> </v>
      </c>
      <c r="AT586" s="27">
        <f>(VLOOKUP(Tabla4[[#This Row],[SERVICIO 2025]],$J$2:$V$14,3,0)*Tabla4[[#This Row],[TOTAL COBERTURA]])+Tabla4[[#This Row],[VALOR FASE PREPARATORIA DE ALISTAMIENTO]]+Tabla4[[#This Row],[DOTACIÓN ÚNICA]]</f>
        <v>15122790</v>
      </c>
      <c r="AU586" s="35">
        <f>(VLOOKUP(Tabla4[[#This Row],[SERVICIO 2025]],$J$2:$V$14,3,0)*Tabla4[[#This Row],[TOTAL COBERTURA]])</f>
        <v>11591370</v>
      </c>
      <c r="AV586" s="35">
        <f>(VLOOKUP(Tabla4[[#This Row],[SERVICIO 2025]],$J$2:$V$14,3,0)*Tabla4[[#This Row],[TOTAL COBERTURA]])</f>
        <v>11591370</v>
      </c>
      <c r="AW586" s="35">
        <f>(VLOOKUP(Tabla4[[#This Row],[SERVICIO 2025]],$J$2:$V$14,3,0)*Tabla4[[#This Row],[TOTAL COBERTURA]])</f>
        <v>11591370</v>
      </c>
      <c r="AX586" s="35">
        <f>(VLOOKUP(Tabla4[[#This Row],[SERVICIO 2025]],$J$2:$V$14,3,0)*Tabla4[[#This Row],[TOTAL COBERTURA]])</f>
        <v>11591370</v>
      </c>
      <c r="AY586" s="35">
        <f>(VLOOKUP(Tabla4[[#This Row],[SERVICIO 2025]],$J$2:$V$14,3,0)*Tabla4[[#This Row],[TOTAL COBERTURA]])</f>
        <v>11591370</v>
      </c>
      <c r="AZ586" s="35">
        <f>(VLOOKUP(Tabla4[[#This Row],[SERVICIO 2025]],$J$2:$V$14,3,0)*Tabla4[[#This Row],[TOTAL COBERTURA]])</f>
        <v>11591370</v>
      </c>
      <c r="BA586" s="35">
        <f>(VLOOKUP(Tabla4[[#This Row],[SERVICIO 2025]],$J$2:$V$14,3,0)*Tabla4[[#This Row],[TOTAL COBERTURA]])+Tabla4[[#This Row],[VALOR FASE PREPARATORIA DE CIERRE]]</f>
        <v>13437675</v>
      </c>
      <c r="BB586" s="35">
        <f>SUM(Tabla4[[#This Row],[DESEMBOLSO 1]:[DESEMBOLSO 8]])</f>
        <v>98108685</v>
      </c>
      <c r="BC586" s="35"/>
      <c r="BD586" s="47" t="s">
        <v>97</v>
      </c>
      <c r="BE586" s="12" t="b">
        <f>EXACT(Tabla4[[#This Row],[VALOR ATENCIÓN (8 MESES)]],Tabla4[[#This Row],[VALOR TOTAL]])</f>
        <v>1</v>
      </c>
      <c r="BF586" s="23">
        <f>Tabla4[[#This Row],[VALOR ATENCIÓN (8 MESES)]]-Tabla4[[#This Row],[VALOR TOTAL]]</f>
        <v>0</v>
      </c>
      <c r="BG586" s="12" t="b">
        <f>EXACT(Tabla4[[#This Row],[TOTAL DESEMBOLSOS]],Tabla4[[#This Row],[VALOR ATENCIÓN (8 MESES)]])</f>
        <v>1</v>
      </c>
      <c r="BH586" s="29">
        <f>Tabla4[[#This Row],[TOTAL DESEMBOLSOS]]-Tabla4[[#This Row],[VALOR ATENCIÓN (8 MESES)]]</f>
        <v>0</v>
      </c>
      <c r="BI586" t="s">
        <v>98</v>
      </c>
    </row>
    <row r="587" spans="1:61">
      <c r="A587" s="13">
        <v>1942</v>
      </c>
      <c r="B587" s="13" t="s">
        <v>1309</v>
      </c>
      <c r="C587" s="12" t="s">
        <v>87</v>
      </c>
      <c r="D587" s="12" t="s">
        <v>266</v>
      </c>
      <c r="E587" s="12" t="s">
        <v>1310</v>
      </c>
      <c r="F587" s="12" t="s">
        <v>18</v>
      </c>
      <c r="G587" s="12" t="s">
        <v>90</v>
      </c>
      <c r="H587" s="12" t="s">
        <v>1342</v>
      </c>
      <c r="I587" s="12">
        <v>52091135678</v>
      </c>
      <c r="J587" s="12" t="s">
        <v>1343</v>
      </c>
      <c r="K587" s="12">
        <v>1</v>
      </c>
      <c r="L587" s="12">
        <v>14</v>
      </c>
      <c r="M587" s="12"/>
      <c r="N587" s="13">
        <v>1942</v>
      </c>
      <c r="O587" s="12" t="s">
        <v>93</v>
      </c>
      <c r="P587" s="12"/>
      <c r="Q587" s="12"/>
      <c r="R587" s="12" t="s">
        <v>94</v>
      </c>
      <c r="S587" s="12">
        <v>10</v>
      </c>
      <c r="T587" s="12" t="s">
        <v>390</v>
      </c>
      <c r="U587" s="12" t="s">
        <v>391</v>
      </c>
      <c r="V587" s="12">
        <f>VLOOKUP(Tabla4[[#This Row],[ZONA DEFINITIVO]],Hoja1!$A$1:$D$121,3,0)</f>
        <v>229112</v>
      </c>
      <c r="W587" s="12">
        <f>VLOOKUP(Tabla4[[#This Row],[ZONA DEFINITIVO]],Hoja1!$A$1:$D$121,2,0)</f>
        <v>15194</v>
      </c>
      <c r="X587" s="12">
        <f>VLOOKUP(Tabla4[[#This Row],[ZONA DEFINITIVO]],Hoja1!$A$1:$D$121,4,0)</f>
        <v>82925</v>
      </c>
      <c r="Y587" s="12" t="str">
        <f>+IF(Tabla4[[#This Row],[AGRUPACIONES]]=1,SUMIFS(Tabla4[UDS],Tabla4[ZONA DEFINITIVO],Tabla4[[#This Row],[ZONA DEFINITIVO]])," ")</f>
        <v xml:space="preserve"> </v>
      </c>
      <c r="Z587" s="12" t="str">
        <f>+IF(Tabla4[[#This Row],[AGRUPACIONES]]=1,SUMIFS(Tabla4[TOTAL COBERTURA],Tabla4[ZONA DEFINITIVO],Tabla4[[#This Row],[ZONA DEFINITIVO]])," ")</f>
        <v xml:space="preserve"> </v>
      </c>
      <c r="AA587" s="12"/>
      <c r="AB587" s="38">
        <v>30522702</v>
      </c>
      <c r="AC587" s="37">
        <v>0.02</v>
      </c>
      <c r="AD587" s="38">
        <f t="shared" si="9"/>
        <v>610454.04</v>
      </c>
      <c r="AE587" s="12"/>
      <c r="AF587" s="12">
        <f>COUNTIF($A$20:A587,A587)</f>
        <v>18</v>
      </c>
      <c r="AG587" s="38">
        <v>30522702</v>
      </c>
      <c r="AH587" s="38">
        <f>Tabla4[[#This Row],[VALOR CONTRAPARTIDA]]+Tabla4[[#This Row],[TOTAL APORTES ICBF]]</f>
        <v>31133156.039999999</v>
      </c>
      <c r="AI587" s="35"/>
      <c r="AJ587" s="38"/>
      <c r="AK587" s="38"/>
      <c r="AL587" s="23"/>
      <c r="AM587" s="35">
        <f>VLOOKUP(Tabla4[[#This Row],[SERVICIO 2025]],$J$2:$V$14,5,0)*Tabla4[[#This Row],[TOTAL COBERTURA]]</f>
        <v>691264</v>
      </c>
      <c r="AN587" s="35">
        <f>VLOOKUP(Tabla4[[#This Row],[SERVICIO 2025]],$J$2:$V$14,6,0)*Tabla4[[#This Row],[TOTAL COBERTURA]]</f>
        <v>574406</v>
      </c>
      <c r="AO587" s="35">
        <f>VLOOKUP(Tabla4[[#This Row],[SERVICIO 2025]],$J$2:$V$14,8,0)*Tabla4[[#This Row],[TOTAL COBERTURA]]</f>
        <v>407400</v>
      </c>
      <c r="AP587" s="35">
        <f>VLOOKUP(Tabla4[[#This Row],[SERVICIO 2025]],$J$2:$V$14,3,0)*Tabla4[[#This Row],[TOTAL COBERTURA]]*8</f>
        <v>28849632</v>
      </c>
      <c r="AQ587" s="35"/>
      <c r="AR587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587" s="35" t="str">
        <f>+IF(Tabla4[[#This Row],[AGRUPACIONES]]=1,SUMIFS(Tabla4[VALOR TOTAL],Tabla4[ZONA DEFINITIVO],Tabla4[[#This Row],[ZONA DEFINITIVO]])," ")</f>
        <v xml:space="preserve"> </v>
      </c>
      <c r="AT587" s="27">
        <f>(VLOOKUP(Tabla4[[#This Row],[SERVICIO 2025]],$J$2:$V$14,3,0)*Tabla4[[#This Row],[TOTAL COBERTURA]])+Tabla4[[#This Row],[VALOR FASE PREPARATORIA DE ALISTAMIENTO]]+Tabla4[[#This Row],[DOTACIÓN ÚNICA]]</f>
        <v>4704868</v>
      </c>
      <c r="AU587" s="35">
        <f>(VLOOKUP(Tabla4[[#This Row],[SERVICIO 2025]],$J$2:$V$14,3,0)*Tabla4[[#This Row],[TOTAL COBERTURA]])</f>
        <v>3606204</v>
      </c>
      <c r="AV587" s="35">
        <f>(VLOOKUP(Tabla4[[#This Row],[SERVICIO 2025]],$J$2:$V$14,3,0)*Tabla4[[#This Row],[TOTAL COBERTURA]])</f>
        <v>3606204</v>
      </c>
      <c r="AW587" s="35">
        <f>(VLOOKUP(Tabla4[[#This Row],[SERVICIO 2025]],$J$2:$V$14,3,0)*Tabla4[[#This Row],[TOTAL COBERTURA]])</f>
        <v>3606204</v>
      </c>
      <c r="AX587" s="35">
        <f>(VLOOKUP(Tabla4[[#This Row],[SERVICIO 2025]],$J$2:$V$14,3,0)*Tabla4[[#This Row],[TOTAL COBERTURA]])</f>
        <v>3606204</v>
      </c>
      <c r="AY587" s="35">
        <f>(VLOOKUP(Tabla4[[#This Row],[SERVICIO 2025]],$J$2:$V$14,3,0)*Tabla4[[#This Row],[TOTAL COBERTURA]])</f>
        <v>3606204</v>
      </c>
      <c r="AZ587" s="35">
        <f>(VLOOKUP(Tabla4[[#This Row],[SERVICIO 2025]],$J$2:$V$14,3,0)*Tabla4[[#This Row],[TOTAL COBERTURA]])</f>
        <v>3606204</v>
      </c>
      <c r="BA587" s="35">
        <f>(VLOOKUP(Tabla4[[#This Row],[SERVICIO 2025]],$J$2:$V$14,3,0)*Tabla4[[#This Row],[TOTAL COBERTURA]])+Tabla4[[#This Row],[VALOR FASE PREPARATORIA DE CIERRE]]</f>
        <v>4180610</v>
      </c>
      <c r="BB587" s="35">
        <f>SUM(Tabla4[[#This Row],[DESEMBOLSO 1]:[DESEMBOLSO 8]])</f>
        <v>30522702</v>
      </c>
      <c r="BC587" s="35"/>
      <c r="BD587" s="47" t="s">
        <v>97</v>
      </c>
      <c r="BE587" s="12" t="b">
        <f>EXACT(Tabla4[[#This Row],[VALOR ATENCIÓN (8 MESES)]],Tabla4[[#This Row],[VALOR TOTAL]])</f>
        <v>1</v>
      </c>
      <c r="BF587" s="23">
        <f>Tabla4[[#This Row],[VALOR ATENCIÓN (8 MESES)]]-Tabla4[[#This Row],[VALOR TOTAL]]</f>
        <v>0</v>
      </c>
      <c r="BG587" s="12" t="b">
        <f>EXACT(Tabla4[[#This Row],[TOTAL DESEMBOLSOS]],Tabla4[[#This Row],[VALOR ATENCIÓN (8 MESES)]])</f>
        <v>1</v>
      </c>
      <c r="BH587" s="29">
        <f>Tabla4[[#This Row],[TOTAL DESEMBOLSOS]]-Tabla4[[#This Row],[VALOR ATENCIÓN (8 MESES)]]</f>
        <v>0</v>
      </c>
      <c r="BI587" t="s">
        <v>98</v>
      </c>
    </row>
    <row r="588" spans="1:61">
      <c r="A588" s="13">
        <v>1942</v>
      </c>
      <c r="B588" s="13" t="s">
        <v>1309</v>
      </c>
      <c r="C588" s="12" t="s">
        <v>87</v>
      </c>
      <c r="D588" s="12" t="s">
        <v>266</v>
      </c>
      <c r="E588" s="12" t="s">
        <v>1310</v>
      </c>
      <c r="F588" s="12" t="s">
        <v>18</v>
      </c>
      <c r="G588" s="12" t="s">
        <v>90</v>
      </c>
      <c r="H588" s="12" t="s">
        <v>1344</v>
      </c>
      <c r="I588" s="12">
        <v>52091135680</v>
      </c>
      <c r="J588" s="12" t="s">
        <v>1345</v>
      </c>
      <c r="K588" s="12">
        <v>1</v>
      </c>
      <c r="L588" s="12">
        <v>18</v>
      </c>
      <c r="M588" s="12"/>
      <c r="N588" s="13">
        <v>1942</v>
      </c>
      <c r="O588" s="12" t="s">
        <v>93</v>
      </c>
      <c r="P588" s="12"/>
      <c r="Q588" s="12"/>
      <c r="R588" s="12" t="s">
        <v>94</v>
      </c>
      <c r="S588" s="12">
        <v>10</v>
      </c>
      <c r="T588" s="12" t="s">
        <v>390</v>
      </c>
      <c r="U588" s="12" t="s">
        <v>391</v>
      </c>
      <c r="V588" s="12">
        <f>VLOOKUP(Tabla4[[#This Row],[ZONA DEFINITIVO]],Hoja1!$A$1:$D$121,3,0)</f>
        <v>229112</v>
      </c>
      <c r="W588" s="12">
        <f>VLOOKUP(Tabla4[[#This Row],[ZONA DEFINITIVO]],Hoja1!$A$1:$D$121,2,0)</f>
        <v>15194</v>
      </c>
      <c r="X588" s="12">
        <f>VLOOKUP(Tabla4[[#This Row],[ZONA DEFINITIVO]],Hoja1!$A$1:$D$121,4,0)</f>
        <v>82925</v>
      </c>
      <c r="Y588" s="12" t="str">
        <f>+IF(Tabla4[[#This Row],[AGRUPACIONES]]=1,SUMIFS(Tabla4[UDS],Tabla4[ZONA DEFINITIVO],Tabla4[[#This Row],[ZONA DEFINITIVO]])," ")</f>
        <v xml:space="preserve"> </v>
      </c>
      <c r="Z588" s="12" t="str">
        <f>+IF(Tabla4[[#This Row],[AGRUPACIONES]]=1,SUMIFS(Tabla4[TOTAL COBERTURA],Tabla4[ZONA DEFINITIVO],Tabla4[[#This Row],[ZONA DEFINITIVO]])," ")</f>
        <v xml:space="preserve"> </v>
      </c>
      <c r="AA588" s="12"/>
      <c r="AB588" s="38">
        <v>39243474</v>
      </c>
      <c r="AC588" s="37">
        <v>0.02</v>
      </c>
      <c r="AD588" s="38">
        <f t="shared" si="9"/>
        <v>784869.48</v>
      </c>
      <c r="AE588" s="12"/>
      <c r="AF588" s="12">
        <f>COUNTIF($A$20:A588,A588)</f>
        <v>19</v>
      </c>
      <c r="AG588" s="38">
        <v>39243474</v>
      </c>
      <c r="AH588" s="38">
        <f>Tabla4[[#This Row],[VALOR CONTRAPARTIDA]]+Tabla4[[#This Row],[TOTAL APORTES ICBF]]</f>
        <v>40028343.479999997</v>
      </c>
      <c r="AI588" s="35"/>
      <c r="AJ588" s="38"/>
      <c r="AK588" s="38"/>
      <c r="AL588" s="23"/>
      <c r="AM588" s="35">
        <f>VLOOKUP(Tabla4[[#This Row],[SERVICIO 2025]],$J$2:$V$14,5,0)*Tabla4[[#This Row],[TOTAL COBERTURA]]</f>
        <v>888768</v>
      </c>
      <c r="AN588" s="35">
        <f>VLOOKUP(Tabla4[[#This Row],[SERVICIO 2025]],$J$2:$V$14,6,0)*Tabla4[[#This Row],[TOTAL COBERTURA]]</f>
        <v>738522</v>
      </c>
      <c r="AO588" s="35">
        <f>VLOOKUP(Tabla4[[#This Row],[SERVICIO 2025]],$J$2:$V$14,8,0)*Tabla4[[#This Row],[TOTAL COBERTURA]]</f>
        <v>523800</v>
      </c>
      <c r="AP588" s="35">
        <f>VLOOKUP(Tabla4[[#This Row],[SERVICIO 2025]],$J$2:$V$14,3,0)*Tabla4[[#This Row],[TOTAL COBERTURA]]*8</f>
        <v>37092384</v>
      </c>
      <c r="AQ588" s="35"/>
      <c r="AR588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588" s="35" t="str">
        <f>+IF(Tabla4[[#This Row],[AGRUPACIONES]]=1,SUMIFS(Tabla4[VALOR TOTAL],Tabla4[ZONA DEFINITIVO],Tabla4[[#This Row],[ZONA DEFINITIVO]])," ")</f>
        <v xml:space="preserve"> </v>
      </c>
      <c r="AT588" s="27">
        <f>(VLOOKUP(Tabla4[[#This Row],[SERVICIO 2025]],$J$2:$V$14,3,0)*Tabla4[[#This Row],[TOTAL COBERTURA]])+Tabla4[[#This Row],[VALOR FASE PREPARATORIA DE ALISTAMIENTO]]+Tabla4[[#This Row],[DOTACIÓN ÚNICA]]</f>
        <v>6049116</v>
      </c>
      <c r="AU588" s="35">
        <f>(VLOOKUP(Tabla4[[#This Row],[SERVICIO 2025]],$J$2:$V$14,3,0)*Tabla4[[#This Row],[TOTAL COBERTURA]])</f>
        <v>4636548</v>
      </c>
      <c r="AV588" s="35">
        <f>(VLOOKUP(Tabla4[[#This Row],[SERVICIO 2025]],$J$2:$V$14,3,0)*Tabla4[[#This Row],[TOTAL COBERTURA]])</f>
        <v>4636548</v>
      </c>
      <c r="AW588" s="35">
        <f>(VLOOKUP(Tabla4[[#This Row],[SERVICIO 2025]],$J$2:$V$14,3,0)*Tabla4[[#This Row],[TOTAL COBERTURA]])</f>
        <v>4636548</v>
      </c>
      <c r="AX588" s="35">
        <f>(VLOOKUP(Tabla4[[#This Row],[SERVICIO 2025]],$J$2:$V$14,3,0)*Tabla4[[#This Row],[TOTAL COBERTURA]])</f>
        <v>4636548</v>
      </c>
      <c r="AY588" s="35">
        <f>(VLOOKUP(Tabla4[[#This Row],[SERVICIO 2025]],$J$2:$V$14,3,0)*Tabla4[[#This Row],[TOTAL COBERTURA]])</f>
        <v>4636548</v>
      </c>
      <c r="AZ588" s="35">
        <f>(VLOOKUP(Tabla4[[#This Row],[SERVICIO 2025]],$J$2:$V$14,3,0)*Tabla4[[#This Row],[TOTAL COBERTURA]])</f>
        <v>4636548</v>
      </c>
      <c r="BA588" s="35">
        <f>(VLOOKUP(Tabla4[[#This Row],[SERVICIO 2025]],$J$2:$V$14,3,0)*Tabla4[[#This Row],[TOTAL COBERTURA]])+Tabla4[[#This Row],[VALOR FASE PREPARATORIA DE CIERRE]]</f>
        <v>5375070</v>
      </c>
      <c r="BB588" s="35">
        <f>SUM(Tabla4[[#This Row],[DESEMBOLSO 1]:[DESEMBOLSO 8]])</f>
        <v>39243474</v>
      </c>
      <c r="BC588" s="35"/>
      <c r="BD588" s="47" t="s">
        <v>97</v>
      </c>
      <c r="BE588" s="12" t="b">
        <f>EXACT(Tabla4[[#This Row],[VALOR ATENCIÓN (8 MESES)]],Tabla4[[#This Row],[VALOR TOTAL]])</f>
        <v>1</v>
      </c>
      <c r="BF588" s="23">
        <f>Tabla4[[#This Row],[VALOR ATENCIÓN (8 MESES)]]-Tabla4[[#This Row],[VALOR TOTAL]]</f>
        <v>0</v>
      </c>
      <c r="BG588" s="12" t="b">
        <f>EXACT(Tabla4[[#This Row],[TOTAL DESEMBOLSOS]],Tabla4[[#This Row],[VALOR ATENCIÓN (8 MESES)]])</f>
        <v>1</v>
      </c>
      <c r="BH588" s="29">
        <f>Tabla4[[#This Row],[TOTAL DESEMBOLSOS]]-Tabla4[[#This Row],[VALOR ATENCIÓN (8 MESES)]]</f>
        <v>0</v>
      </c>
      <c r="BI588" t="s">
        <v>98</v>
      </c>
    </row>
    <row r="589" spans="1:61">
      <c r="A589" s="13">
        <v>1942</v>
      </c>
      <c r="B589" s="13" t="s">
        <v>1309</v>
      </c>
      <c r="C589" s="12" t="s">
        <v>87</v>
      </c>
      <c r="D589" s="12" t="s">
        <v>266</v>
      </c>
      <c r="E589" s="12" t="s">
        <v>1310</v>
      </c>
      <c r="F589" s="12" t="s">
        <v>18</v>
      </c>
      <c r="G589" s="12" t="s">
        <v>90</v>
      </c>
      <c r="H589" s="12" t="s">
        <v>1346</v>
      </c>
      <c r="I589" s="12">
        <v>52091135684</v>
      </c>
      <c r="J589" s="12" t="s">
        <v>1347</v>
      </c>
      <c r="K589" s="12">
        <v>1</v>
      </c>
      <c r="L589" s="12">
        <v>14</v>
      </c>
      <c r="M589" s="12"/>
      <c r="N589" s="13">
        <v>1942</v>
      </c>
      <c r="O589" s="12" t="s">
        <v>93</v>
      </c>
      <c r="P589" s="12"/>
      <c r="Q589" s="12"/>
      <c r="R589" s="12" t="s">
        <v>94</v>
      </c>
      <c r="S589" s="12">
        <v>10</v>
      </c>
      <c r="T589" s="12" t="s">
        <v>390</v>
      </c>
      <c r="U589" s="12" t="s">
        <v>391</v>
      </c>
      <c r="V589" s="12">
        <f>VLOOKUP(Tabla4[[#This Row],[ZONA DEFINITIVO]],Hoja1!$A$1:$D$121,3,0)</f>
        <v>229112</v>
      </c>
      <c r="W589" s="12">
        <f>VLOOKUP(Tabla4[[#This Row],[ZONA DEFINITIVO]],Hoja1!$A$1:$D$121,2,0)</f>
        <v>15194</v>
      </c>
      <c r="X589" s="12">
        <f>VLOOKUP(Tabla4[[#This Row],[ZONA DEFINITIVO]],Hoja1!$A$1:$D$121,4,0)</f>
        <v>82925</v>
      </c>
      <c r="Y589" s="12" t="str">
        <f>+IF(Tabla4[[#This Row],[AGRUPACIONES]]=1,SUMIFS(Tabla4[UDS],Tabla4[ZONA DEFINITIVO],Tabla4[[#This Row],[ZONA DEFINITIVO]])," ")</f>
        <v xml:space="preserve"> </v>
      </c>
      <c r="Z589" s="12" t="str">
        <f>+IF(Tabla4[[#This Row],[AGRUPACIONES]]=1,SUMIFS(Tabla4[TOTAL COBERTURA],Tabla4[ZONA DEFINITIVO],Tabla4[[#This Row],[ZONA DEFINITIVO]])," ")</f>
        <v xml:space="preserve"> </v>
      </c>
      <c r="AA589" s="12"/>
      <c r="AB589" s="38">
        <v>30522702</v>
      </c>
      <c r="AC589" s="37">
        <v>0.02</v>
      </c>
      <c r="AD589" s="38">
        <f t="shared" si="9"/>
        <v>610454.04</v>
      </c>
      <c r="AE589" s="12"/>
      <c r="AF589" s="12">
        <f>COUNTIF($A$20:A589,A589)</f>
        <v>20</v>
      </c>
      <c r="AG589" s="38">
        <v>30522702</v>
      </c>
      <c r="AH589" s="38">
        <f>Tabla4[[#This Row],[VALOR CONTRAPARTIDA]]+Tabla4[[#This Row],[TOTAL APORTES ICBF]]</f>
        <v>31133156.039999999</v>
      </c>
      <c r="AI589" s="35"/>
      <c r="AJ589" s="38"/>
      <c r="AK589" s="38"/>
      <c r="AL589" s="23"/>
      <c r="AM589" s="35">
        <f>VLOOKUP(Tabla4[[#This Row],[SERVICIO 2025]],$J$2:$V$14,5,0)*Tabla4[[#This Row],[TOTAL COBERTURA]]</f>
        <v>691264</v>
      </c>
      <c r="AN589" s="35">
        <f>VLOOKUP(Tabla4[[#This Row],[SERVICIO 2025]],$J$2:$V$14,6,0)*Tabla4[[#This Row],[TOTAL COBERTURA]]</f>
        <v>574406</v>
      </c>
      <c r="AO589" s="35">
        <f>VLOOKUP(Tabla4[[#This Row],[SERVICIO 2025]],$J$2:$V$14,8,0)*Tabla4[[#This Row],[TOTAL COBERTURA]]</f>
        <v>407400</v>
      </c>
      <c r="AP589" s="35">
        <f>VLOOKUP(Tabla4[[#This Row],[SERVICIO 2025]],$J$2:$V$14,3,0)*Tabla4[[#This Row],[TOTAL COBERTURA]]*8</f>
        <v>28849632</v>
      </c>
      <c r="AQ589" s="35"/>
      <c r="AR589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589" s="35" t="str">
        <f>+IF(Tabla4[[#This Row],[AGRUPACIONES]]=1,SUMIFS(Tabla4[VALOR TOTAL],Tabla4[ZONA DEFINITIVO],Tabla4[[#This Row],[ZONA DEFINITIVO]])," ")</f>
        <v xml:space="preserve"> </v>
      </c>
      <c r="AT589" s="27">
        <f>(VLOOKUP(Tabla4[[#This Row],[SERVICIO 2025]],$J$2:$V$14,3,0)*Tabla4[[#This Row],[TOTAL COBERTURA]])+Tabla4[[#This Row],[VALOR FASE PREPARATORIA DE ALISTAMIENTO]]+Tabla4[[#This Row],[DOTACIÓN ÚNICA]]</f>
        <v>4704868</v>
      </c>
      <c r="AU589" s="35">
        <f>(VLOOKUP(Tabla4[[#This Row],[SERVICIO 2025]],$J$2:$V$14,3,0)*Tabla4[[#This Row],[TOTAL COBERTURA]])</f>
        <v>3606204</v>
      </c>
      <c r="AV589" s="35">
        <f>(VLOOKUP(Tabla4[[#This Row],[SERVICIO 2025]],$J$2:$V$14,3,0)*Tabla4[[#This Row],[TOTAL COBERTURA]])</f>
        <v>3606204</v>
      </c>
      <c r="AW589" s="35">
        <f>(VLOOKUP(Tabla4[[#This Row],[SERVICIO 2025]],$J$2:$V$14,3,0)*Tabla4[[#This Row],[TOTAL COBERTURA]])</f>
        <v>3606204</v>
      </c>
      <c r="AX589" s="35">
        <f>(VLOOKUP(Tabla4[[#This Row],[SERVICIO 2025]],$J$2:$V$14,3,0)*Tabla4[[#This Row],[TOTAL COBERTURA]])</f>
        <v>3606204</v>
      </c>
      <c r="AY589" s="35">
        <f>(VLOOKUP(Tabla4[[#This Row],[SERVICIO 2025]],$J$2:$V$14,3,0)*Tabla4[[#This Row],[TOTAL COBERTURA]])</f>
        <v>3606204</v>
      </c>
      <c r="AZ589" s="35">
        <f>(VLOOKUP(Tabla4[[#This Row],[SERVICIO 2025]],$J$2:$V$14,3,0)*Tabla4[[#This Row],[TOTAL COBERTURA]])</f>
        <v>3606204</v>
      </c>
      <c r="BA589" s="35">
        <f>(VLOOKUP(Tabla4[[#This Row],[SERVICIO 2025]],$J$2:$V$14,3,0)*Tabla4[[#This Row],[TOTAL COBERTURA]])+Tabla4[[#This Row],[VALOR FASE PREPARATORIA DE CIERRE]]</f>
        <v>4180610</v>
      </c>
      <c r="BB589" s="35">
        <f>SUM(Tabla4[[#This Row],[DESEMBOLSO 1]:[DESEMBOLSO 8]])</f>
        <v>30522702</v>
      </c>
      <c r="BC589" s="35"/>
      <c r="BD589" s="47" t="s">
        <v>97</v>
      </c>
      <c r="BE589" s="12" t="b">
        <f>EXACT(Tabla4[[#This Row],[VALOR ATENCIÓN (8 MESES)]],Tabla4[[#This Row],[VALOR TOTAL]])</f>
        <v>1</v>
      </c>
      <c r="BF589" s="23">
        <f>Tabla4[[#This Row],[VALOR ATENCIÓN (8 MESES)]]-Tabla4[[#This Row],[VALOR TOTAL]]</f>
        <v>0</v>
      </c>
      <c r="BG589" s="12" t="b">
        <f>EXACT(Tabla4[[#This Row],[TOTAL DESEMBOLSOS]],Tabla4[[#This Row],[VALOR ATENCIÓN (8 MESES)]])</f>
        <v>1</v>
      </c>
      <c r="BH589" s="29">
        <f>Tabla4[[#This Row],[TOTAL DESEMBOLSOS]]-Tabla4[[#This Row],[VALOR ATENCIÓN (8 MESES)]]</f>
        <v>0</v>
      </c>
      <c r="BI589" t="s">
        <v>98</v>
      </c>
    </row>
    <row r="590" spans="1:61">
      <c r="A590" s="13">
        <v>1942</v>
      </c>
      <c r="B590" s="13" t="s">
        <v>1309</v>
      </c>
      <c r="C590" s="12" t="s">
        <v>87</v>
      </c>
      <c r="D590" s="12" t="s">
        <v>266</v>
      </c>
      <c r="E590" s="12" t="s">
        <v>1310</v>
      </c>
      <c r="F590" s="12" t="s">
        <v>18</v>
      </c>
      <c r="G590" s="12" t="s">
        <v>90</v>
      </c>
      <c r="H590" s="12" t="s">
        <v>1348</v>
      </c>
      <c r="I590" s="12">
        <v>52091135685</v>
      </c>
      <c r="J590" s="12" t="s">
        <v>1349</v>
      </c>
      <c r="K590" s="12">
        <v>1</v>
      </c>
      <c r="L590" s="12">
        <v>9</v>
      </c>
      <c r="M590" s="12"/>
      <c r="N590" s="13">
        <v>1942</v>
      </c>
      <c r="O590" s="12" t="s">
        <v>93</v>
      </c>
      <c r="P590" s="12"/>
      <c r="Q590" s="12"/>
      <c r="R590" s="12" t="s">
        <v>94</v>
      </c>
      <c r="S590" s="12">
        <v>10</v>
      </c>
      <c r="T590" s="12" t="s">
        <v>390</v>
      </c>
      <c r="U590" s="12" t="s">
        <v>391</v>
      </c>
      <c r="V590" s="12">
        <f>VLOOKUP(Tabla4[[#This Row],[ZONA DEFINITIVO]],Hoja1!$A$1:$D$121,3,0)</f>
        <v>229112</v>
      </c>
      <c r="W590" s="12">
        <f>VLOOKUP(Tabla4[[#This Row],[ZONA DEFINITIVO]],Hoja1!$A$1:$D$121,2,0)</f>
        <v>15194</v>
      </c>
      <c r="X590" s="12">
        <f>VLOOKUP(Tabla4[[#This Row],[ZONA DEFINITIVO]],Hoja1!$A$1:$D$121,4,0)</f>
        <v>82925</v>
      </c>
      <c r="Y590" s="12" t="str">
        <f>+IF(Tabla4[[#This Row],[AGRUPACIONES]]=1,SUMIFS(Tabla4[UDS],Tabla4[ZONA DEFINITIVO],Tabla4[[#This Row],[ZONA DEFINITIVO]])," ")</f>
        <v xml:space="preserve"> </v>
      </c>
      <c r="Z590" s="12" t="str">
        <f>+IF(Tabla4[[#This Row],[AGRUPACIONES]]=1,SUMIFS(Tabla4[TOTAL COBERTURA],Tabla4[ZONA DEFINITIVO],Tabla4[[#This Row],[ZONA DEFINITIVO]])," ")</f>
        <v xml:space="preserve"> </v>
      </c>
      <c r="AA590" s="12"/>
      <c r="AB590" s="38">
        <v>19621737</v>
      </c>
      <c r="AC590" s="37">
        <v>0.02</v>
      </c>
      <c r="AD590" s="38">
        <f t="shared" si="9"/>
        <v>392434.74</v>
      </c>
      <c r="AE590" s="12"/>
      <c r="AF590" s="12">
        <f>COUNTIF($A$20:A590,A590)</f>
        <v>21</v>
      </c>
      <c r="AG590" s="38">
        <v>19621737</v>
      </c>
      <c r="AH590" s="38">
        <f>Tabla4[[#This Row],[VALOR CONTRAPARTIDA]]+Tabla4[[#This Row],[TOTAL APORTES ICBF]]</f>
        <v>20014171.739999998</v>
      </c>
      <c r="AI590" s="35"/>
      <c r="AJ590" s="38"/>
      <c r="AK590" s="38"/>
      <c r="AL590" s="23"/>
      <c r="AM590" s="35">
        <f>VLOOKUP(Tabla4[[#This Row],[SERVICIO 2025]],$J$2:$V$14,5,0)*Tabla4[[#This Row],[TOTAL COBERTURA]]</f>
        <v>444384</v>
      </c>
      <c r="AN590" s="35">
        <f>VLOOKUP(Tabla4[[#This Row],[SERVICIO 2025]],$J$2:$V$14,6,0)*Tabla4[[#This Row],[TOTAL COBERTURA]]</f>
        <v>369261</v>
      </c>
      <c r="AO590" s="35">
        <f>VLOOKUP(Tabla4[[#This Row],[SERVICIO 2025]],$J$2:$V$14,8,0)*Tabla4[[#This Row],[TOTAL COBERTURA]]</f>
        <v>261900</v>
      </c>
      <c r="AP590" s="35">
        <f>VLOOKUP(Tabla4[[#This Row],[SERVICIO 2025]],$J$2:$V$14,3,0)*Tabla4[[#This Row],[TOTAL COBERTURA]]*8</f>
        <v>18546192</v>
      </c>
      <c r="AQ590" s="35"/>
      <c r="AR590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590" s="35" t="str">
        <f>+IF(Tabla4[[#This Row],[AGRUPACIONES]]=1,SUMIFS(Tabla4[VALOR TOTAL],Tabla4[ZONA DEFINITIVO],Tabla4[[#This Row],[ZONA DEFINITIVO]])," ")</f>
        <v xml:space="preserve"> </v>
      </c>
      <c r="AT590" s="27">
        <f>(VLOOKUP(Tabla4[[#This Row],[SERVICIO 2025]],$J$2:$V$14,3,0)*Tabla4[[#This Row],[TOTAL COBERTURA]])+Tabla4[[#This Row],[VALOR FASE PREPARATORIA DE ALISTAMIENTO]]+Tabla4[[#This Row],[DOTACIÓN ÚNICA]]</f>
        <v>3024558</v>
      </c>
      <c r="AU590" s="35">
        <f>(VLOOKUP(Tabla4[[#This Row],[SERVICIO 2025]],$J$2:$V$14,3,0)*Tabla4[[#This Row],[TOTAL COBERTURA]])</f>
        <v>2318274</v>
      </c>
      <c r="AV590" s="35">
        <f>(VLOOKUP(Tabla4[[#This Row],[SERVICIO 2025]],$J$2:$V$14,3,0)*Tabla4[[#This Row],[TOTAL COBERTURA]])</f>
        <v>2318274</v>
      </c>
      <c r="AW590" s="35">
        <f>(VLOOKUP(Tabla4[[#This Row],[SERVICIO 2025]],$J$2:$V$14,3,0)*Tabla4[[#This Row],[TOTAL COBERTURA]])</f>
        <v>2318274</v>
      </c>
      <c r="AX590" s="35">
        <f>(VLOOKUP(Tabla4[[#This Row],[SERVICIO 2025]],$J$2:$V$14,3,0)*Tabla4[[#This Row],[TOTAL COBERTURA]])</f>
        <v>2318274</v>
      </c>
      <c r="AY590" s="35">
        <f>(VLOOKUP(Tabla4[[#This Row],[SERVICIO 2025]],$J$2:$V$14,3,0)*Tabla4[[#This Row],[TOTAL COBERTURA]])</f>
        <v>2318274</v>
      </c>
      <c r="AZ590" s="35">
        <f>(VLOOKUP(Tabla4[[#This Row],[SERVICIO 2025]],$J$2:$V$14,3,0)*Tabla4[[#This Row],[TOTAL COBERTURA]])</f>
        <v>2318274</v>
      </c>
      <c r="BA590" s="35">
        <f>(VLOOKUP(Tabla4[[#This Row],[SERVICIO 2025]],$J$2:$V$14,3,0)*Tabla4[[#This Row],[TOTAL COBERTURA]])+Tabla4[[#This Row],[VALOR FASE PREPARATORIA DE CIERRE]]</f>
        <v>2687535</v>
      </c>
      <c r="BB590" s="35">
        <f>SUM(Tabla4[[#This Row],[DESEMBOLSO 1]:[DESEMBOLSO 8]])</f>
        <v>19621737</v>
      </c>
      <c r="BC590" s="35"/>
      <c r="BD590" s="47" t="s">
        <v>97</v>
      </c>
      <c r="BE590" s="12" t="b">
        <f>EXACT(Tabla4[[#This Row],[VALOR ATENCIÓN (8 MESES)]],Tabla4[[#This Row],[VALOR TOTAL]])</f>
        <v>1</v>
      </c>
      <c r="BF590" s="23">
        <f>Tabla4[[#This Row],[VALOR ATENCIÓN (8 MESES)]]-Tabla4[[#This Row],[VALOR TOTAL]]</f>
        <v>0</v>
      </c>
      <c r="BG590" s="12" t="b">
        <f>EXACT(Tabla4[[#This Row],[TOTAL DESEMBOLSOS]],Tabla4[[#This Row],[VALOR ATENCIÓN (8 MESES)]])</f>
        <v>1</v>
      </c>
      <c r="BH590" s="29">
        <f>Tabla4[[#This Row],[TOTAL DESEMBOLSOS]]-Tabla4[[#This Row],[VALOR ATENCIÓN (8 MESES)]]</f>
        <v>0</v>
      </c>
      <c r="BI590" t="s">
        <v>98</v>
      </c>
    </row>
    <row r="591" spans="1:61">
      <c r="A591" s="13">
        <v>1942</v>
      </c>
      <c r="B591" s="13" t="s">
        <v>1309</v>
      </c>
      <c r="C591" s="12" t="s">
        <v>87</v>
      </c>
      <c r="D591" s="12" t="s">
        <v>266</v>
      </c>
      <c r="E591" s="12" t="s">
        <v>1310</v>
      </c>
      <c r="F591" s="12" t="s">
        <v>18</v>
      </c>
      <c r="G591" s="12" t="s">
        <v>90</v>
      </c>
      <c r="H591" s="12" t="s">
        <v>1350</v>
      </c>
      <c r="I591" s="12">
        <v>52091148685</v>
      </c>
      <c r="J591" s="12" t="s">
        <v>1351</v>
      </c>
      <c r="K591" s="12">
        <v>1</v>
      </c>
      <c r="L591" s="12">
        <v>9</v>
      </c>
      <c r="M591" s="12"/>
      <c r="N591" s="13">
        <v>1942</v>
      </c>
      <c r="O591" s="12" t="s">
        <v>93</v>
      </c>
      <c r="P591" s="12"/>
      <c r="Q591" s="12"/>
      <c r="R591" s="12" t="s">
        <v>94</v>
      </c>
      <c r="S591" s="12">
        <v>10</v>
      </c>
      <c r="T591" s="12" t="s">
        <v>390</v>
      </c>
      <c r="U591" s="12" t="s">
        <v>391</v>
      </c>
      <c r="V591" s="12">
        <f>VLOOKUP(Tabla4[[#This Row],[ZONA DEFINITIVO]],Hoja1!$A$1:$D$121,3,0)</f>
        <v>229112</v>
      </c>
      <c r="W591" s="12">
        <f>VLOOKUP(Tabla4[[#This Row],[ZONA DEFINITIVO]],Hoja1!$A$1:$D$121,2,0)</f>
        <v>15194</v>
      </c>
      <c r="X591" s="12">
        <f>VLOOKUP(Tabla4[[#This Row],[ZONA DEFINITIVO]],Hoja1!$A$1:$D$121,4,0)</f>
        <v>82925</v>
      </c>
      <c r="Y591" s="12" t="str">
        <f>+IF(Tabla4[[#This Row],[AGRUPACIONES]]=1,SUMIFS(Tabla4[UDS],Tabla4[ZONA DEFINITIVO],Tabla4[[#This Row],[ZONA DEFINITIVO]])," ")</f>
        <v xml:space="preserve"> </v>
      </c>
      <c r="Z591" s="12" t="str">
        <f>+IF(Tabla4[[#This Row],[AGRUPACIONES]]=1,SUMIFS(Tabla4[TOTAL COBERTURA],Tabla4[ZONA DEFINITIVO],Tabla4[[#This Row],[ZONA DEFINITIVO]])," ")</f>
        <v xml:space="preserve"> </v>
      </c>
      <c r="AA591" s="12"/>
      <c r="AB591" s="38">
        <v>19621737</v>
      </c>
      <c r="AC591" s="37">
        <v>0.02</v>
      </c>
      <c r="AD591" s="38">
        <f t="shared" si="9"/>
        <v>392434.74</v>
      </c>
      <c r="AE591" s="12"/>
      <c r="AF591" s="12">
        <f>COUNTIF($A$20:A591,A591)</f>
        <v>22</v>
      </c>
      <c r="AG591" s="38">
        <v>19621737</v>
      </c>
      <c r="AH591" s="38">
        <f>Tabla4[[#This Row],[VALOR CONTRAPARTIDA]]+Tabla4[[#This Row],[TOTAL APORTES ICBF]]</f>
        <v>20014171.739999998</v>
      </c>
      <c r="AI591" s="35"/>
      <c r="AJ591" s="38"/>
      <c r="AK591" s="38"/>
      <c r="AL591" s="23"/>
      <c r="AM591" s="35">
        <f>VLOOKUP(Tabla4[[#This Row],[SERVICIO 2025]],$J$2:$V$14,5,0)*Tabla4[[#This Row],[TOTAL COBERTURA]]</f>
        <v>444384</v>
      </c>
      <c r="AN591" s="35">
        <f>VLOOKUP(Tabla4[[#This Row],[SERVICIO 2025]],$J$2:$V$14,6,0)*Tabla4[[#This Row],[TOTAL COBERTURA]]</f>
        <v>369261</v>
      </c>
      <c r="AO591" s="35">
        <f>VLOOKUP(Tabla4[[#This Row],[SERVICIO 2025]],$J$2:$V$14,8,0)*Tabla4[[#This Row],[TOTAL COBERTURA]]</f>
        <v>261900</v>
      </c>
      <c r="AP591" s="35">
        <f>VLOOKUP(Tabla4[[#This Row],[SERVICIO 2025]],$J$2:$V$14,3,0)*Tabla4[[#This Row],[TOTAL COBERTURA]]*8</f>
        <v>18546192</v>
      </c>
      <c r="AQ591" s="35"/>
      <c r="AR591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591" s="35" t="str">
        <f>+IF(Tabla4[[#This Row],[AGRUPACIONES]]=1,SUMIFS(Tabla4[VALOR TOTAL],Tabla4[ZONA DEFINITIVO],Tabla4[[#This Row],[ZONA DEFINITIVO]])," ")</f>
        <v xml:space="preserve"> </v>
      </c>
      <c r="AT591" s="27">
        <f>(VLOOKUP(Tabla4[[#This Row],[SERVICIO 2025]],$J$2:$V$14,3,0)*Tabla4[[#This Row],[TOTAL COBERTURA]])+Tabla4[[#This Row],[VALOR FASE PREPARATORIA DE ALISTAMIENTO]]+Tabla4[[#This Row],[DOTACIÓN ÚNICA]]</f>
        <v>3024558</v>
      </c>
      <c r="AU591" s="35">
        <f>(VLOOKUP(Tabla4[[#This Row],[SERVICIO 2025]],$J$2:$V$14,3,0)*Tabla4[[#This Row],[TOTAL COBERTURA]])</f>
        <v>2318274</v>
      </c>
      <c r="AV591" s="35">
        <f>(VLOOKUP(Tabla4[[#This Row],[SERVICIO 2025]],$J$2:$V$14,3,0)*Tabla4[[#This Row],[TOTAL COBERTURA]])</f>
        <v>2318274</v>
      </c>
      <c r="AW591" s="35">
        <f>(VLOOKUP(Tabla4[[#This Row],[SERVICIO 2025]],$J$2:$V$14,3,0)*Tabla4[[#This Row],[TOTAL COBERTURA]])</f>
        <v>2318274</v>
      </c>
      <c r="AX591" s="35">
        <f>(VLOOKUP(Tabla4[[#This Row],[SERVICIO 2025]],$J$2:$V$14,3,0)*Tabla4[[#This Row],[TOTAL COBERTURA]])</f>
        <v>2318274</v>
      </c>
      <c r="AY591" s="35">
        <f>(VLOOKUP(Tabla4[[#This Row],[SERVICIO 2025]],$J$2:$V$14,3,0)*Tabla4[[#This Row],[TOTAL COBERTURA]])</f>
        <v>2318274</v>
      </c>
      <c r="AZ591" s="35">
        <f>(VLOOKUP(Tabla4[[#This Row],[SERVICIO 2025]],$J$2:$V$14,3,0)*Tabla4[[#This Row],[TOTAL COBERTURA]])</f>
        <v>2318274</v>
      </c>
      <c r="BA591" s="35">
        <f>(VLOOKUP(Tabla4[[#This Row],[SERVICIO 2025]],$J$2:$V$14,3,0)*Tabla4[[#This Row],[TOTAL COBERTURA]])+Tabla4[[#This Row],[VALOR FASE PREPARATORIA DE CIERRE]]</f>
        <v>2687535</v>
      </c>
      <c r="BB591" s="35">
        <f>SUM(Tabla4[[#This Row],[DESEMBOLSO 1]:[DESEMBOLSO 8]])</f>
        <v>19621737</v>
      </c>
      <c r="BC591" s="35"/>
      <c r="BD591" s="47" t="s">
        <v>97</v>
      </c>
      <c r="BE591" s="12" t="b">
        <f>EXACT(Tabla4[[#This Row],[VALOR ATENCIÓN (8 MESES)]],Tabla4[[#This Row],[VALOR TOTAL]])</f>
        <v>1</v>
      </c>
      <c r="BF591" s="23">
        <f>Tabla4[[#This Row],[VALOR ATENCIÓN (8 MESES)]]-Tabla4[[#This Row],[VALOR TOTAL]]</f>
        <v>0</v>
      </c>
      <c r="BG591" s="12" t="b">
        <f>EXACT(Tabla4[[#This Row],[TOTAL DESEMBOLSOS]],Tabla4[[#This Row],[VALOR ATENCIÓN (8 MESES)]])</f>
        <v>1</v>
      </c>
      <c r="BH591" s="29">
        <f>Tabla4[[#This Row],[TOTAL DESEMBOLSOS]]-Tabla4[[#This Row],[VALOR ATENCIÓN (8 MESES)]]</f>
        <v>0</v>
      </c>
      <c r="BI591" t="s">
        <v>98</v>
      </c>
    </row>
    <row r="592" spans="1:61">
      <c r="A592" s="13">
        <v>1942</v>
      </c>
      <c r="B592" s="13" t="s">
        <v>1309</v>
      </c>
      <c r="C592" s="12" t="s">
        <v>87</v>
      </c>
      <c r="D592" s="12" t="s">
        <v>266</v>
      </c>
      <c r="E592" s="12" t="s">
        <v>1310</v>
      </c>
      <c r="F592" s="12" t="s">
        <v>18</v>
      </c>
      <c r="G592" s="12" t="s">
        <v>90</v>
      </c>
      <c r="H592" s="12" t="s">
        <v>1352</v>
      </c>
      <c r="I592" s="12">
        <v>52091154499</v>
      </c>
      <c r="J592" s="12" t="s">
        <v>1353</v>
      </c>
      <c r="K592" s="12">
        <v>1</v>
      </c>
      <c r="L592" s="12">
        <v>13</v>
      </c>
      <c r="M592" s="12"/>
      <c r="N592" s="13">
        <v>1942</v>
      </c>
      <c r="O592" s="12" t="s">
        <v>93</v>
      </c>
      <c r="P592" s="12"/>
      <c r="Q592" s="12"/>
      <c r="R592" s="12" t="s">
        <v>94</v>
      </c>
      <c r="S592" s="12">
        <v>10</v>
      </c>
      <c r="T592" s="12" t="s">
        <v>390</v>
      </c>
      <c r="U592" s="12" t="s">
        <v>391</v>
      </c>
      <c r="V592" s="12">
        <f>VLOOKUP(Tabla4[[#This Row],[ZONA DEFINITIVO]],Hoja1!$A$1:$D$121,3,0)</f>
        <v>229112</v>
      </c>
      <c r="W592" s="12">
        <f>VLOOKUP(Tabla4[[#This Row],[ZONA DEFINITIVO]],Hoja1!$A$1:$D$121,2,0)</f>
        <v>15194</v>
      </c>
      <c r="X592" s="12">
        <f>VLOOKUP(Tabla4[[#This Row],[ZONA DEFINITIVO]],Hoja1!$A$1:$D$121,4,0)</f>
        <v>82925</v>
      </c>
      <c r="Y592" s="12" t="str">
        <f>+IF(Tabla4[[#This Row],[AGRUPACIONES]]=1,SUMIFS(Tabla4[UDS],Tabla4[ZONA DEFINITIVO],Tabla4[[#This Row],[ZONA DEFINITIVO]])," ")</f>
        <v xml:space="preserve"> </v>
      </c>
      <c r="Z592" s="12" t="str">
        <f>+IF(Tabla4[[#This Row],[AGRUPACIONES]]=1,SUMIFS(Tabla4[TOTAL COBERTURA],Tabla4[ZONA DEFINITIVO],Tabla4[[#This Row],[ZONA DEFINITIVO]])," ")</f>
        <v xml:space="preserve"> </v>
      </c>
      <c r="AA592" s="12"/>
      <c r="AB592" s="38">
        <v>28342509</v>
      </c>
      <c r="AC592" s="37">
        <v>0.02</v>
      </c>
      <c r="AD592" s="38">
        <f t="shared" si="9"/>
        <v>566850.18000000005</v>
      </c>
      <c r="AE592" s="12"/>
      <c r="AF592" s="12">
        <f>COUNTIF($A$20:A592,A592)</f>
        <v>23</v>
      </c>
      <c r="AG592" s="38">
        <v>28342509</v>
      </c>
      <c r="AH592" s="38">
        <f>Tabla4[[#This Row],[VALOR CONTRAPARTIDA]]+Tabla4[[#This Row],[TOTAL APORTES ICBF]]</f>
        <v>28909359.18</v>
      </c>
      <c r="AI592" s="35"/>
      <c r="AJ592" s="38"/>
      <c r="AK592" s="38"/>
      <c r="AL592" s="23"/>
      <c r="AM592" s="35">
        <f>VLOOKUP(Tabla4[[#This Row],[SERVICIO 2025]],$J$2:$V$14,5,0)*Tabla4[[#This Row],[TOTAL COBERTURA]]</f>
        <v>641888</v>
      </c>
      <c r="AN592" s="35">
        <f>VLOOKUP(Tabla4[[#This Row],[SERVICIO 2025]],$J$2:$V$14,6,0)*Tabla4[[#This Row],[TOTAL COBERTURA]]</f>
        <v>533377</v>
      </c>
      <c r="AO592" s="35">
        <f>VLOOKUP(Tabla4[[#This Row],[SERVICIO 2025]],$J$2:$V$14,8,0)*Tabla4[[#This Row],[TOTAL COBERTURA]]</f>
        <v>378300</v>
      </c>
      <c r="AP592" s="35">
        <f>VLOOKUP(Tabla4[[#This Row],[SERVICIO 2025]],$J$2:$V$14,3,0)*Tabla4[[#This Row],[TOTAL COBERTURA]]*8</f>
        <v>26788944</v>
      </c>
      <c r="AQ592" s="35"/>
      <c r="AR592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592" s="35" t="str">
        <f>+IF(Tabla4[[#This Row],[AGRUPACIONES]]=1,SUMIFS(Tabla4[VALOR TOTAL],Tabla4[ZONA DEFINITIVO],Tabla4[[#This Row],[ZONA DEFINITIVO]])," ")</f>
        <v xml:space="preserve"> </v>
      </c>
      <c r="AT592" s="27">
        <f>(VLOOKUP(Tabla4[[#This Row],[SERVICIO 2025]],$J$2:$V$14,3,0)*Tabla4[[#This Row],[TOTAL COBERTURA]])+Tabla4[[#This Row],[VALOR FASE PREPARATORIA DE ALISTAMIENTO]]+Tabla4[[#This Row],[DOTACIÓN ÚNICA]]</f>
        <v>4368806</v>
      </c>
      <c r="AU592" s="35">
        <f>(VLOOKUP(Tabla4[[#This Row],[SERVICIO 2025]],$J$2:$V$14,3,0)*Tabla4[[#This Row],[TOTAL COBERTURA]])</f>
        <v>3348618</v>
      </c>
      <c r="AV592" s="35">
        <f>(VLOOKUP(Tabla4[[#This Row],[SERVICIO 2025]],$J$2:$V$14,3,0)*Tabla4[[#This Row],[TOTAL COBERTURA]])</f>
        <v>3348618</v>
      </c>
      <c r="AW592" s="35">
        <f>(VLOOKUP(Tabla4[[#This Row],[SERVICIO 2025]],$J$2:$V$14,3,0)*Tabla4[[#This Row],[TOTAL COBERTURA]])</f>
        <v>3348618</v>
      </c>
      <c r="AX592" s="35">
        <f>(VLOOKUP(Tabla4[[#This Row],[SERVICIO 2025]],$J$2:$V$14,3,0)*Tabla4[[#This Row],[TOTAL COBERTURA]])</f>
        <v>3348618</v>
      </c>
      <c r="AY592" s="35">
        <f>(VLOOKUP(Tabla4[[#This Row],[SERVICIO 2025]],$J$2:$V$14,3,0)*Tabla4[[#This Row],[TOTAL COBERTURA]])</f>
        <v>3348618</v>
      </c>
      <c r="AZ592" s="35">
        <f>(VLOOKUP(Tabla4[[#This Row],[SERVICIO 2025]],$J$2:$V$14,3,0)*Tabla4[[#This Row],[TOTAL COBERTURA]])</f>
        <v>3348618</v>
      </c>
      <c r="BA592" s="35">
        <f>(VLOOKUP(Tabla4[[#This Row],[SERVICIO 2025]],$J$2:$V$14,3,0)*Tabla4[[#This Row],[TOTAL COBERTURA]])+Tabla4[[#This Row],[VALOR FASE PREPARATORIA DE CIERRE]]</f>
        <v>3881995</v>
      </c>
      <c r="BB592" s="35">
        <f>SUM(Tabla4[[#This Row],[DESEMBOLSO 1]:[DESEMBOLSO 8]])</f>
        <v>28342509</v>
      </c>
      <c r="BC592" s="35"/>
      <c r="BD592" s="47" t="s">
        <v>97</v>
      </c>
      <c r="BE592" s="12" t="b">
        <f>EXACT(Tabla4[[#This Row],[VALOR ATENCIÓN (8 MESES)]],Tabla4[[#This Row],[VALOR TOTAL]])</f>
        <v>1</v>
      </c>
      <c r="BF592" s="23">
        <f>Tabla4[[#This Row],[VALOR ATENCIÓN (8 MESES)]]-Tabla4[[#This Row],[VALOR TOTAL]]</f>
        <v>0</v>
      </c>
      <c r="BG592" s="12" t="b">
        <f>EXACT(Tabla4[[#This Row],[TOTAL DESEMBOLSOS]],Tabla4[[#This Row],[VALOR ATENCIÓN (8 MESES)]])</f>
        <v>1</v>
      </c>
      <c r="BH592" s="29">
        <f>Tabla4[[#This Row],[TOTAL DESEMBOLSOS]]-Tabla4[[#This Row],[VALOR ATENCIÓN (8 MESES)]]</f>
        <v>0</v>
      </c>
      <c r="BI592" t="s">
        <v>98</v>
      </c>
    </row>
    <row r="593" spans="1:62">
      <c r="A593" s="13">
        <v>1942</v>
      </c>
      <c r="B593" s="13" t="s">
        <v>1309</v>
      </c>
      <c r="C593" s="12" t="s">
        <v>87</v>
      </c>
      <c r="D593" s="12" t="s">
        <v>266</v>
      </c>
      <c r="E593" s="12" t="s">
        <v>1310</v>
      </c>
      <c r="F593" s="12" t="s">
        <v>18</v>
      </c>
      <c r="G593" s="12" t="s">
        <v>90</v>
      </c>
      <c r="H593" s="12" t="s">
        <v>312</v>
      </c>
      <c r="I593" s="12">
        <v>520900077343</v>
      </c>
      <c r="J593" s="12" t="s">
        <v>1354</v>
      </c>
      <c r="K593" s="12">
        <v>1</v>
      </c>
      <c r="L593" s="12">
        <v>25</v>
      </c>
      <c r="M593" s="12"/>
      <c r="N593" s="13">
        <v>1942</v>
      </c>
      <c r="O593" s="12" t="s">
        <v>93</v>
      </c>
      <c r="P593" s="12"/>
      <c r="Q593" s="12"/>
      <c r="R593" s="12" t="s">
        <v>94</v>
      </c>
      <c r="S593" s="12">
        <v>10</v>
      </c>
      <c r="T593" s="12" t="s">
        <v>390</v>
      </c>
      <c r="U593" s="12" t="s">
        <v>391</v>
      </c>
      <c r="V593" s="12">
        <f>VLOOKUP(Tabla4[[#This Row],[ZONA DEFINITIVO]],Hoja1!$A$1:$D$121,3,0)</f>
        <v>229112</v>
      </c>
      <c r="W593" s="12">
        <f>VLOOKUP(Tabla4[[#This Row],[ZONA DEFINITIVO]],Hoja1!$A$1:$D$121,2,0)</f>
        <v>15194</v>
      </c>
      <c r="X593" s="12">
        <f>VLOOKUP(Tabla4[[#This Row],[ZONA DEFINITIVO]],Hoja1!$A$1:$D$121,4,0)</f>
        <v>82925</v>
      </c>
      <c r="Y593" s="12" t="str">
        <f>+IF(Tabla4[[#This Row],[AGRUPACIONES]]=1,SUMIFS(Tabla4[UDS],Tabla4[ZONA DEFINITIVO],Tabla4[[#This Row],[ZONA DEFINITIVO]])," ")</f>
        <v xml:space="preserve"> </v>
      </c>
      <c r="Z593" s="12" t="str">
        <f>+IF(Tabla4[[#This Row],[AGRUPACIONES]]=1,SUMIFS(Tabla4[TOTAL COBERTURA],Tabla4[ZONA DEFINITIVO],Tabla4[[#This Row],[ZONA DEFINITIVO]])," ")</f>
        <v xml:space="preserve"> </v>
      </c>
      <c r="AA593" s="12"/>
      <c r="AB593" s="38">
        <v>54504825</v>
      </c>
      <c r="AC593" s="37">
        <v>0.02</v>
      </c>
      <c r="AD593" s="38">
        <f t="shared" si="9"/>
        <v>1090096.5</v>
      </c>
      <c r="AE593" s="12"/>
      <c r="AF593" s="12">
        <f>COUNTIF($A$20:A593,A593)</f>
        <v>24</v>
      </c>
      <c r="AG593" s="38">
        <v>54504825</v>
      </c>
      <c r="AH593" s="38">
        <f>Tabla4[[#This Row],[VALOR CONTRAPARTIDA]]+Tabla4[[#This Row],[TOTAL APORTES ICBF]]</f>
        <v>55594921.5</v>
      </c>
      <c r="AI593" s="35"/>
      <c r="AJ593" s="38"/>
      <c r="AK593" s="38"/>
      <c r="AL593" s="23"/>
      <c r="AM593" s="35">
        <f>VLOOKUP(Tabla4[[#This Row],[SERVICIO 2025]],$J$2:$V$14,5,0)*Tabla4[[#This Row],[TOTAL COBERTURA]]</f>
        <v>1234400</v>
      </c>
      <c r="AN593" s="35">
        <f>VLOOKUP(Tabla4[[#This Row],[SERVICIO 2025]],$J$2:$V$14,6,0)*Tabla4[[#This Row],[TOTAL COBERTURA]]</f>
        <v>1025725</v>
      </c>
      <c r="AO593" s="35">
        <f>VLOOKUP(Tabla4[[#This Row],[SERVICIO 2025]],$J$2:$V$14,8,0)*Tabla4[[#This Row],[TOTAL COBERTURA]]</f>
        <v>727500</v>
      </c>
      <c r="AP593" s="35">
        <f>VLOOKUP(Tabla4[[#This Row],[SERVICIO 2025]],$J$2:$V$14,3,0)*Tabla4[[#This Row],[TOTAL COBERTURA]]*8</f>
        <v>51517200</v>
      </c>
      <c r="AQ593" s="35"/>
      <c r="AR593" s="35">
        <f>Tabla4[[#This Row],[VALOR FASE PREPARATORIA DE ALISTAMIENTO]]+Tabla4[[#This Row],[VALOR FASE PREPARATORIA DE CIERRE]]+Tabla4[[#This Row],[DOTACIÓN ÚNICA]]+Tabla4[[#This Row],[VALOR ATENCIÓN]]+Tabla4[[#This Row],[VALOR RACION PREPARADA]]</f>
        <v>54504825</v>
      </c>
      <c r="AS593" s="35" t="str">
        <f>+IF(Tabla4[[#This Row],[AGRUPACIONES]]=1,SUMIFS(Tabla4[VALOR TOTAL],Tabla4[ZONA DEFINITIVO],Tabla4[[#This Row],[ZONA DEFINITIVO]])," ")</f>
        <v xml:space="preserve"> </v>
      </c>
      <c r="AT593" s="27">
        <f>(VLOOKUP(Tabla4[[#This Row],[SERVICIO 2025]],$J$2:$V$14,3,0)*Tabla4[[#This Row],[TOTAL COBERTURA]])+Tabla4[[#This Row],[VALOR FASE PREPARATORIA DE ALISTAMIENTO]]+Tabla4[[#This Row],[DOTACIÓN ÚNICA]]</f>
        <v>8401550</v>
      </c>
      <c r="AU593" s="35">
        <f>(VLOOKUP(Tabla4[[#This Row],[SERVICIO 2025]],$J$2:$V$14,3,0)*Tabla4[[#This Row],[TOTAL COBERTURA]])</f>
        <v>6439650</v>
      </c>
      <c r="AV593" s="35">
        <f>(VLOOKUP(Tabla4[[#This Row],[SERVICIO 2025]],$J$2:$V$14,3,0)*Tabla4[[#This Row],[TOTAL COBERTURA]])</f>
        <v>6439650</v>
      </c>
      <c r="AW593" s="35">
        <f>(VLOOKUP(Tabla4[[#This Row],[SERVICIO 2025]],$J$2:$V$14,3,0)*Tabla4[[#This Row],[TOTAL COBERTURA]])</f>
        <v>6439650</v>
      </c>
      <c r="AX593" s="35">
        <f>(VLOOKUP(Tabla4[[#This Row],[SERVICIO 2025]],$J$2:$V$14,3,0)*Tabla4[[#This Row],[TOTAL COBERTURA]])</f>
        <v>6439650</v>
      </c>
      <c r="AY593" s="35">
        <f>(VLOOKUP(Tabla4[[#This Row],[SERVICIO 2025]],$J$2:$V$14,3,0)*Tabla4[[#This Row],[TOTAL COBERTURA]])</f>
        <v>6439650</v>
      </c>
      <c r="AZ593" s="35">
        <f>(VLOOKUP(Tabla4[[#This Row],[SERVICIO 2025]],$J$2:$V$14,3,0)*Tabla4[[#This Row],[TOTAL COBERTURA]])</f>
        <v>6439650</v>
      </c>
      <c r="BA593" s="35">
        <f>(VLOOKUP(Tabla4[[#This Row],[SERVICIO 2025]],$J$2:$V$14,3,0)*Tabla4[[#This Row],[TOTAL COBERTURA]])+Tabla4[[#This Row],[VALOR FASE PREPARATORIA DE CIERRE]]</f>
        <v>7465375</v>
      </c>
      <c r="BB593" s="35">
        <f>SUM(Tabla4[[#This Row],[DESEMBOLSO 1]:[DESEMBOLSO 8]])</f>
        <v>54504825</v>
      </c>
      <c r="BC593" s="35"/>
      <c r="BD593" s="47" t="s">
        <v>97</v>
      </c>
      <c r="BE593" s="12" t="b">
        <f>EXACT(Tabla4[[#This Row],[VALOR ATENCIÓN (8 MESES)]],Tabla4[[#This Row],[VALOR TOTAL]])</f>
        <v>1</v>
      </c>
      <c r="BF593" s="23">
        <f>Tabla4[[#This Row],[VALOR ATENCIÓN (8 MESES)]]-Tabla4[[#This Row],[VALOR TOTAL]]</f>
        <v>0</v>
      </c>
      <c r="BG593" s="12" t="b">
        <f>EXACT(Tabla4[[#This Row],[TOTAL DESEMBOLSOS]],Tabla4[[#This Row],[VALOR ATENCIÓN (8 MESES)]])</f>
        <v>1</v>
      </c>
      <c r="BH593" s="29">
        <f>Tabla4[[#This Row],[TOTAL DESEMBOLSOS]]-Tabla4[[#This Row],[VALOR ATENCIÓN (8 MESES)]]</f>
        <v>0</v>
      </c>
      <c r="BI593" t="s">
        <v>98</v>
      </c>
    </row>
    <row r="594" spans="1:62">
      <c r="A594" s="13">
        <v>1942</v>
      </c>
      <c r="B594" s="13" t="s">
        <v>1309</v>
      </c>
      <c r="C594" s="12" t="s">
        <v>87</v>
      </c>
      <c r="D594" s="12" t="s">
        <v>266</v>
      </c>
      <c r="E594" s="12" t="s">
        <v>1310</v>
      </c>
      <c r="F594" s="12" t="s">
        <v>14</v>
      </c>
      <c r="G594" s="12" t="s">
        <v>90</v>
      </c>
      <c r="H594" s="12" t="s">
        <v>1355</v>
      </c>
      <c r="I594" s="12">
        <v>520900078989</v>
      </c>
      <c r="J594" s="12" t="s">
        <v>1356</v>
      </c>
      <c r="K594" s="12">
        <v>1</v>
      </c>
      <c r="L594" s="12">
        <v>63</v>
      </c>
      <c r="M594" s="12"/>
      <c r="N594" s="13">
        <v>1942</v>
      </c>
      <c r="O594" s="12" t="s">
        <v>93</v>
      </c>
      <c r="P594" s="12"/>
      <c r="Q594" s="12"/>
      <c r="R594" s="12" t="s">
        <v>94</v>
      </c>
      <c r="S594" s="12">
        <v>10</v>
      </c>
      <c r="T594" s="12" t="s">
        <v>390</v>
      </c>
      <c r="U594" s="12" t="s">
        <v>391</v>
      </c>
      <c r="V594" s="12">
        <f>VLOOKUP(Tabla4[[#This Row],[ZONA DEFINITIVO]],Hoja1!$A$1:$D$121,3,0)</f>
        <v>229112</v>
      </c>
      <c r="W594" s="12">
        <f>VLOOKUP(Tabla4[[#This Row],[ZONA DEFINITIVO]],Hoja1!$A$1:$D$121,2,0)</f>
        <v>15194</v>
      </c>
      <c r="X594" s="12">
        <f>VLOOKUP(Tabla4[[#This Row],[ZONA DEFINITIVO]],Hoja1!$A$1:$D$121,4,0)</f>
        <v>82925</v>
      </c>
      <c r="Y594" s="12" t="str">
        <f>+IF(Tabla4[[#This Row],[AGRUPACIONES]]=1,SUMIFS(Tabla4[UDS],Tabla4[ZONA DEFINITIVO],Tabla4[[#This Row],[ZONA DEFINITIVO]])," ")</f>
        <v xml:space="preserve"> </v>
      </c>
      <c r="Z594" s="12" t="str">
        <f>+IF(Tabla4[[#This Row],[AGRUPACIONES]]=1,SUMIFS(Tabla4[TOTAL COBERTURA],Tabla4[ZONA DEFINITIVO],Tabla4[[#This Row],[ZONA DEFINITIVO]])," ")</f>
        <v xml:space="preserve"> </v>
      </c>
      <c r="AA594" s="12"/>
      <c r="AB594" s="38">
        <v>263897550</v>
      </c>
      <c r="AC594" s="37">
        <v>0.02</v>
      </c>
      <c r="AD594" s="38">
        <f t="shared" si="9"/>
        <v>5277951</v>
      </c>
      <c r="AE594" s="12"/>
      <c r="AF594" s="12">
        <f>COUNTIF($A$20:A594,A594)</f>
        <v>25</v>
      </c>
      <c r="AG594" s="38">
        <v>263897550</v>
      </c>
      <c r="AH594" s="38">
        <f>Tabla4[[#This Row],[VALOR CONTRAPARTIDA]]+Tabla4[[#This Row],[TOTAL APORTES ICBF]]</f>
        <v>269175501</v>
      </c>
      <c r="AI594" s="35"/>
      <c r="AJ594" s="38"/>
      <c r="AK594" s="38"/>
      <c r="AL594" s="23"/>
      <c r="AM594" s="35">
        <f>VLOOKUP(Tabla4[[#This Row],[SERVICIO 2025]],$J$2:$V$14,5,0)*Tabla4[[#This Row],[TOTAL COBERTURA]]</f>
        <v>5553009</v>
      </c>
      <c r="AN594" s="35">
        <f>VLOOKUP(Tabla4[[#This Row],[SERVICIO 2025]],$J$2:$V$14,6,0)*Tabla4[[#This Row],[TOTAL COBERTURA]]</f>
        <v>4727709</v>
      </c>
      <c r="AO594" s="35">
        <f>VLOOKUP(Tabla4[[#This Row],[SERVICIO 2025]],$J$2:$V$14,8,0)*Tabla4[[#This Row],[TOTAL COBERTURA]]</f>
        <v>0</v>
      </c>
      <c r="AP594" s="35">
        <f>VLOOKUP(Tabla4[[#This Row],[SERVICIO 2025]],$J$2:$V$14,3,0)*Tabla4[[#This Row],[TOTAL COBERTURA]]*8</f>
        <v>253616832</v>
      </c>
      <c r="AQ594" s="35"/>
      <c r="AR594" s="35">
        <f>Tabla4[[#This Row],[VALOR FASE PREPARATORIA DE ALISTAMIENTO]]+Tabla4[[#This Row],[VALOR FASE PREPARATORIA DE CIERRE]]+Tabla4[[#This Row],[DOTACIÓN ÚNICA]]+Tabla4[[#This Row],[VALOR ATENCIÓN]]+Tabla4[[#This Row],[VALOR RACION PREPARADA]]</f>
        <v>263897550</v>
      </c>
      <c r="AS594" s="35" t="str">
        <f>+IF(Tabla4[[#This Row],[AGRUPACIONES]]=1,SUMIFS(Tabla4[VALOR TOTAL],Tabla4[ZONA DEFINITIVO],Tabla4[[#This Row],[ZONA DEFINITIVO]])," ")</f>
        <v xml:space="preserve"> </v>
      </c>
      <c r="AT594" s="27">
        <f>(VLOOKUP(Tabla4[[#This Row],[SERVICIO 2025]],$J$2:$V$14,3,0)*Tabla4[[#This Row],[TOTAL COBERTURA]])+Tabla4[[#This Row],[VALOR FASE PREPARATORIA DE ALISTAMIENTO]]+Tabla4[[#This Row],[DOTACIÓN ÚNICA]]</f>
        <v>37255113</v>
      </c>
      <c r="AU594" s="35">
        <f>(VLOOKUP(Tabla4[[#This Row],[SERVICIO 2025]],$J$2:$V$14,3,0)*Tabla4[[#This Row],[TOTAL COBERTURA]])</f>
        <v>31702104</v>
      </c>
      <c r="AV594" s="35">
        <f>(VLOOKUP(Tabla4[[#This Row],[SERVICIO 2025]],$J$2:$V$14,3,0)*Tabla4[[#This Row],[TOTAL COBERTURA]])</f>
        <v>31702104</v>
      </c>
      <c r="AW594" s="35">
        <f>(VLOOKUP(Tabla4[[#This Row],[SERVICIO 2025]],$J$2:$V$14,3,0)*Tabla4[[#This Row],[TOTAL COBERTURA]])</f>
        <v>31702104</v>
      </c>
      <c r="AX594" s="35">
        <f>(VLOOKUP(Tabla4[[#This Row],[SERVICIO 2025]],$J$2:$V$14,3,0)*Tabla4[[#This Row],[TOTAL COBERTURA]])</f>
        <v>31702104</v>
      </c>
      <c r="AY594" s="35">
        <f>(VLOOKUP(Tabla4[[#This Row],[SERVICIO 2025]],$J$2:$V$14,3,0)*Tabla4[[#This Row],[TOTAL COBERTURA]])</f>
        <v>31702104</v>
      </c>
      <c r="AZ594" s="35">
        <f>(VLOOKUP(Tabla4[[#This Row],[SERVICIO 2025]],$J$2:$V$14,3,0)*Tabla4[[#This Row],[TOTAL COBERTURA]])</f>
        <v>31702104</v>
      </c>
      <c r="BA594" s="35">
        <f>(VLOOKUP(Tabla4[[#This Row],[SERVICIO 2025]],$J$2:$V$14,3,0)*Tabla4[[#This Row],[TOTAL COBERTURA]])+Tabla4[[#This Row],[VALOR FASE PREPARATORIA DE CIERRE]]</f>
        <v>36429813</v>
      </c>
      <c r="BB594" s="35">
        <f>SUM(Tabla4[[#This Row],[DESEMBOLSO 1]:[DESEMBOLSO 8]])</f>
        <v>263897550</v>
      </c>
      <c r="BC594" s="35">
        <f>VLOOKUP(Tabla4[[#This Row],[SERVICIO 2025]],$J$2:$V$14,10,0)*Tabla4[[#This Row],[TOTAL COBERTURA]]*$W$3</f>
        <v>0</v>
      </c>
      <c r="BD594" s="47" t="s">
        <v>145</v>
      </c>
      <c r="BE594" s="12" t="b">
        <f>EXACT(Tabla4[[#This Row],[VALOR ATENCIÓN (8 MESES)]],Tabla4[[#This Row],[VALOR TOTAL]])</f>
        <v>1</v>
      </c>
      <c r="BF594" s="23">
        <f>Tabla4[[#This Row],[VALOR ATENCIÓN (8 MESES)]]-Tabla4[[#This Row],[VALOR TOTAL]]</f>
        <v>0</v>
      </c>
      <c r="BG594" s="12" t="b">
        <f>EXACT(Tabla4[[#This Row],[TOTAL DESEMBOLSOS]],Tabla4[[#This Row],[VALOR ATENCIÓN (8 MESES)]])</f>
        <v>1</v>
      </c>
      <c r="BH594" s="29">
        <f>Tabla4[[#This Row],[TOTAL DESEMBOLSOS]]-Tabla4[[#This Row],[VALOR ATENCIÓN (8 MESES)]]</f>
        <v>0</v>
      </c>
      <c r="BI594" t="s">
        <v>98</v>
      </c>
    </row>
    <row r="595" spans="1:62">
      <c r="A595" s="13">
        <v>1942</v>
      </c>
      <c r="B595" s="13" t="s">
        <v>1309</v>
      </c>
      <c r="C595" s="12" t="s">
        <v>87</v>
      </c>
      <c r="D595" s="12" t="s">
        <v>266</v>
      </c>
      <c r="E595" s="12" t="s">
        <v>1310</v>
      </c>
      <c r="F595" s="12" t="s">
        <v>18</v>
      </c>
      <c r="G595" s="12" t="s">
        <v>90</v>
      </c>
      <c r="H595" s="12" t="s">
        <v>1357</v>
      </c>
      <c r="I595" s="12">
        <v>520900101963</v>
      </c>
      <c r="J595" s="12" t="s">
        <v>1358</v>
      </c>
      <c r="K595" s="12">
        <v>1</v>
      </c>
      <c r="L595" s="12">
        <v>8</v>
      </c>
      <c r="M595" s="12"/>
      <c r="N595" s="13">
        <v>1942</v>
      </c>
      <c r="O595" s="12" t="s">
        <v>93</v>
      </c>
      <c r="P595" s="12"/>
      <c r="Q595" s="12"/>
      <c r="R595" s="12" t="s">
        <v>94</v>
      </c>
      <c r="S595" s="12">
        <v>10</v>
      </c>
      <c r="T595" s="12" t="s">
        <v>390</v>
      </c>
      <c r="U595" s="12" t="s">
        <v>391</v>
      </c>
      <c r="V595" s="12">
        <f>VLOOKUP(Tabla4[[#This Row],[ZONA DEFINITIVO]],Hoja1!$A$1:$D$121,3,0)</f>
        <v>229112</v>
      </c>
      <c r="W595" s="12">
        <f>VLOOKUP(Tabla4[[#This Row],[ZONA DEFINITIVO]],Hoja1!$A$1:$D$121,2,0)</f>
        <v>15194</v>
      </c>
      <c r="X595" s="12">
        <f>VLOOKUP(Tabla4[[#This Row],[ZONA DEFINITIVO]],Hoja1!$A$1:$D$121,4,0)</f>
        <v>82925</v>
      </c>
      <c r="Y595" s="12" t="str">
        <f>+IF(Tabla4[[#This Row],[AGRUPACIONES]]=1,SUMIFS(Tabla4[UDS],Tabla4[ZONA DEFINITIVO],Tabla4[[#This Row],[ZONA DEFINITIVO]])," ")</f>
        <v xml:space="preserve"> </v>
      </c>
      <c r="Z595" s="12" t="str">
        <f>+IF(Tabla4[[#This Row],[AGRUPACIONES]]=1,SUMIFS(Tabla4[TOTAL COBERTURA],Tabla4[ZONA DEFINITIVO],Tabla4[[#This Row],[ZONA DEFINITIVO]])," ")</f>
        <v xml:space="preserve"> </v>
      </c>
      <c r="AA595" s="12"/>
      <c r="AB595" s="38">
        <v>17441544</v>
      </c>
      <c r="AC595" s="37">
        <v>0.02</v>
      </c>
      <c r="AD595" s="38">
        <f t="shared" si="9"/>
        <v>348830.88</v>
      </c>
      <c r="AE595" s="12"/>
      <c r="AF595" s="12">
        <f>COUNTIF($A$20:A595,A595)</f>
        <v>26</v>
      </c>
      <c r="AG595" s="38">
        <v>17441544</v>
      </c>
      <c r="AH595" s="38">
        <f>Tabla4[[#This Row],[VALOR CONTRAPARTIDA]]+Tabla4[[#This Row],[TOTAL APORTES ICBF]]</f>
        <v>17790374.879999999</v>
      </c>
      <c r="AI595" s="35"/>
      <c r="AJ595" s="38"/>
      <c r="AK595" s="38"/>
      <c r="AL595" s="23"/>
      <c r="AM595" s="35">
        <f>VLOOKUP(Tabla4[[#This Row],[SERVICIO 2025]],$J$2:$V$14,5,0)*Tabla4[[#This Row],[TOTAL COBERTURA]]</f>
        <v>395008</v>
      </c>
      <c r="AN595" s="35">
        <f>VLOOKUP(Tabla4[[#This Row],[SERVICIO 2025]],$J$2:$V$14,6,0)*Tabla4[[#This Row],[TOTAL COBERTURA]]</f>
        <v>328232</v>
      </c>
      <c r="AO595" s="35">
        <f>VLOOKUP(Tabla4[[#This Row],[SERVICIO 2025]],$J$2:$V$14,8,0)*Tabla4[[#This Row],[TOTAL COBERTURA]]</f>
        <v>232800</v>
      </c>
      <c r="AP595" s="35">
        <f>VLOOKUP(Tabla4[[#This Row],[SERVICIO 2025]],$J$2:$V$14,3,0)*Tabla4[[#This Row],[TOTAL COBERTURA]]*8</f>
        <v>16485504</v>
      </c>
      <c r="AQ595" s="35"/>
      <c r="AR595" s="35">
        <f>Tabla4[[#This Row],[VALOR FASE PREPARATORIA DE ALISTAMIENTO]]+Tabla4[[#This Row],[VALOR FASE PREPARATORIA DE CIERRE]]+Tabla4[[#This Row],[DOTACIÓN ÚNICA]]+Tabla4[[#This Row],[VALOR ATENCIÓN]]+Tabla4[[#This Row],[VALOR RACION PREPARADA]]</f>
        <v>17441544</v>
      </c>
      <c r="AS595" s="35" t="str">
        <f>+IF(Tabla4[[#This Row],[AGRUPACIONES]]=1,SUMIFS(Tabla4[VALOR TOTAL],Tabla4[ZONA DEFINITIVO],Tabla4[[#This Row],[ZONA DEFINITIVO]])," ")</f>
        <v xml:space="preserve"> </v>
      </c>
      <c r="AT595" s="27">
        <f>(VLOOKUP(Tabla4[[#This Row],[SERVICIO 2025]],$J$2:$V$14,3,0)*Tabla4[[#This Row],[TOTAL COBERTURA]])+Tabla4[[#This Row],[VALOR FASE PREPARATORIA DE ALISTAMIENTO]]+Tabla4[[#This Row],[DOTACIÓN ÚNICA]]</f>
        <v>2688496</v>
      </c>
      <c r="AU595" s="35">
        <f>(VLOOKUP(Tabla4[[#This Row],[SERVICIO 2025]],$J$2:$V$14,3,0)*Tabla4[[#This Row],[TOTAL COBERTURA]])</f>
        <v>2060688</v>
      </c>
      <c r="AV595" s="35">
        <f>(VLOOKUP(Tabla4[[#This Row],[SERVICIO 2025]],$J$2:$V$14,3,0)*Tabla4[[#This Row],[TOTAL COBERTURA]])</f>
        <v>2060688</v>
      </c>
      <c r="AW595" s="35">
        <f>(VLOOKUP(Tabla4[[#This Row],[SERVICIO 2025]],$J$2:$V$14,3,0)*Tabla4[[#This Row],[TOTAL COBERTURA]])</f>
        <v>2060688</v>
      </c>
      <c r="AX595" s="35">
        <f>(VLOOKUP(Tabla4[[#This Row],[SERVICIO 2025]],$J$2:$V$14,3,0)*Tabla4[[#This Row],[TOTAL COBERTURA]])</f>
        <v>2060688</v>
      </c>
      <c r="AY595" s="35">
        <f>(VLOOKUP(Tabla4[[#This Row],[SERVICIO 2025]],$J$2:$V$14,3,0)*Tabla4[[#This Row],[TOTAL COBERTURA]])</f>
        <v>2060688</v>
      </c>
      <c r="AZ595" s="35">
        <f>(VLOOKUP(Tabla4[[#This Row],[SERVICIO 2025]],$J$2:$V$14,3,0)*Tabla4[[#This Row],[TOTAL COBERTURA]])</f>
        <v>2060688</v>
      </c>
      <c r="BA595" s="35">
        <f>(VLOOKUP(Tabla4[[#This Row],[SERVICIO 2025]],$J$2:$V$14,3,0)*Tabla4[[#This Row],[TOTAL COBERTURA]])+Tabla4[[#This Row],[VALOR FASE PREPARATORIA DE CIERRE]]</f>
        <v>2388920</v>
      </c>
      <c r="BB595" s="35">
        <f>SUM(Tabla4[[#This Row],[DESEMBOLSO 1]:[DESEMBOLSO 8]])</f>
        <v>17441544</v>
      </c>
      <c r="BC595" s="35"/>
      <c r="BD595" s="47" t="s">
        <v>97</v>
      </c>
      <c r="BE595" s="12" t="b">
        <f>EXACT(Tabla4[[#This Row],[VALOR ATENCIÓN (8 MESES)]],Tabla4[[#This Row],[VALOR TOTAL]])</f>
        <v>1</v>
      </c>
      <c r="BF595" s="23">
        <f>Tabla4[[#This Row],[VALOR ATENCIÓN (8 MESES)]]-Tabla4[[#This Row],[VALOR TOTAL]]</f>
        <v>0</v>
      </c>
      <c r="BG595" s="12" t="b">
        <f>EXACT(Tabla4[[#This Row],[TOTAL DESEMBOLSOS]],Tabla4[[#This Row],[VALOR ATENCIÓN (8 MESES)]])</f>
        <v>1</v>
      </c>
      <c r="BH595" s="29">
        <f>Tabla4[[#This Row],[TOTAL DESEMBOLSOS]]-Tabla4[[#This Row],[VALOR ATENCIÓN (8 MESES)]]</f>
        <v>0</v>
      </c>
      <c r="BI595" t="s">
        <v>98</v>
      </c>
    </row>
    <row r="596" spans="1:62">
      <c r="A596" s="13">
        <v>1944</v>
      </c>
      <c r="B596" s="13" t="s">
        <v>1359</v>
      </c>
      <c r="C596" s="12" t="s">
        <v>87</v>
      </c>
      <c r="D596" s="12" t="s">
        <v>88</v>
      </c>
      <c r="E596" s="12" t="s">
        <v>1360</v>
      </c>
      <c r="F596" s="12" t="s">
        <v>15</v>
      </c>
      <c r="G596" s="12" t="s">
        <v>90</v>
      </c>
      <c r="H596" s="12" t="s">
        <v>1361</v>
      </c>
      <c r="I596" s="12">
        <v>52371117526</v>
      </c>
      <c r="J596" s="12" t="s">
        <v>1362</v>
      </c>
      <c r="K596" s="12">
        <v>1</v>
      </c>
      <c r="L596" s="12">
        <v>83</v>
      </c>
      <c r="M596" s="12"/>
      <c r="N596" s="13">
        <v>1944</v>
      </c>
      <c r="O596" s="12" t="s">
        <v>93</v>
      </c>
      <c r="P596" s="12"/>
      <c r="Q596" s="12"/>
      <c r="R596" s="12" t="s">
        <v>94</v>
      </c>
      <c r="S596" s="12">
        <v>10</v>
      </c>
      <c r="T596" s="12" t="s">
        <v>1363</v>
      </c>
      <c r="U596" s="12" t="s">
        <v>1364</v>
      </c>
      <c r="V596" s="12">
        <f>VLOOKUP(Tabla4[[#This Row],[ZONA DEFINITIVO]],Hoja1!$A$1:$D$121,3,0)</f>
        <v>229113</v>
      </c>
      <c r="W596" s="12">
        <f>VLOOKUP(Tabla4[[#This Row],[ZONA DEFINITIVO]],Hoja1!$A$1:$D$121,2,0)</f>
        <v>15219</v>
      </c>
      <c r="X596" s="12">
        <f>VLOOKUP(Tabla4[[#This Row],[ZONA DEFINITIVO]],Hoja1!$A$1:$D$121,4,0)</f>
        <v>86725</v>
      </c>
      <c r="Y596" s="12">
        <f>+IF(Tabla4[[#This Row],[AGRUPACIONES]]=1,SUMIFS(Tabla4[UDS],Tabla4[ZONA DEFINITIVO],Tabla4[[#This Row],[ZONA DEFINITIVO]])," ")</f>
        <v>21</v>
      </c>
      <c r="Z596" s="12">
        <f>+IF(Tabla4[[#This Row],[AGRUPACIONES]]=1,SUMIFS(Tabla4[TOTAL COBERTURA],Tabla4[ZONA DEFINITIVO],Tabla4[[#This Row],[ZONA DEFINITIVO]])," ")</f>
        <v>635</v>
      </c>
      <c r="AA596" s="12"/>
      <c r="AB596" s="38">
        <v>359340366</v>
      </c>
      <c r="AC596" s="37">
        <v>0.02</v>
      </c>
      <c r="AD596" s="38">
        <f t="shared" ref="AD596:AD659" si="10">AB596*AC596</f>
        <v>7186807.3200000003</v>
      </c>
      <c r="AE596" s="12"/>
      <c r="AF596" s="12">
        <f>COUNTIF($A$20:A596,A596)</f>
        <v>1</v>
      </c>
      <c r="AG596" s="38">
        <v>359340366</v>
      </c>
      <c r="AH596" s="38">
        <f>Tabla4[[#This Row],[VALOR CONTRAPARTIDA]]+Tabla4[[#This Row],[TOTAL APORTES ICBF]]</f>
        <v>366527173.31999999</v>
      </c>
      <c r="AI596" s="35">
        <f>ROUND(+IF(Tabla4[[#This Row],[AGRUPACIONES]]=1,SUMIFS(Tabla4[TOTAL APORTES ICBF],Tabla4[ZONA DEFINITIVO],Tabla4[[#This Row],[ZONA DEFINITIVO]])," "),0)</f>
        <v>1823236236</v>
      </c>
      <c r="AJ596" s="38">
        <f>ROUND(+IF(Tabla4[[#This Row],[AGRUPACIONES]]=1,SUMIFS(Tabla4[VALOR CONTRAPARTIDA],Tabla4[ZONA DEFINITIVO],Tabla4[[#This Row],[ZONA DEFINITIVO]])," "),0)</f>
        <v>36464725</v>
      </c>
      <c r="AK596" s="38">
        <f>Tabla4[[#This Row],[TOTAL APORTES ICBF AGRUPADO]]+Tabla4[[#This Row],[TOTAL CONTRAPARTIDA AGRUPADO]]</f>
        <v>1859700961</v>
      </c>
      <c r="AL596" s="23">
        <f>Tabla4[[#This Row],[TOTAL APORTES ICBF AGRUPADO]]/$AL$18</f>
        <v>1280.812248682824</v>
      </c>
      <c r="AM596" s="35">
        <f>VLOOKUP(Tabla4[[#This Row],[SERVICIO 2025]],$J$2:$V$14,5,0)*Tabla4[[#This Row],[TOTAL COBERTURA]]</f>
        <v>7315869</v>
      </c>
      <c r="AN596" s="35">
        <f>VLOOKUP(Tabla4[[#This Row],[SERVICIO 2025]],$J$2:$V$14,6,0)*Tabla4[[#This Row],[TOTAL COBERTURA]]</f>
        <v>6228569</v>
      </c>
      <c r="AO596" s="35">
        <f>VLOOKUP(Tabla4[[#This Row],[SERVICIO 2025]],$J$2:$V$14,8,0)*Tabla4[[#This Row],[TOTAL COBERTURA]]</f>
        <v>0</v>
      </c>
      <c r="AP596" s="35">
        <f>VLOOKUP(Tabla4[[#This Row],[SERVICIO 2025]],$J$2:$V$14,3,0)*Tabla4[[#This Row],[TOTAL COBERTURA]]*8</f>
        <v>345795928</v>
      </c>
      <c r="AQ596" s="35"/>
      <c r="AR596" s="35">
        <f>Tabla4[[#This Row],[VALOR FASE PREPARATORIA DE ALISTAMIENTO]]+Tabla4[[#This Row],[VALOR FASE PREPARATORIA DE CIERRE]]+Tabla4[[#This Row],[DOTACIÓN ÚNICA]]+Tabla4[[#This Row],[VALOR ATENCIÓN]]+Tabla4[[#This Row],[VALOR RACION PREPARADA]]</f>
        <v>359340366</v>
      </c>
      <c r="AS596" s="35">
        <f>+IF(Tabla4[[#This Row],[AGRUPACIONES]]=1,SUMIFS(Tabla4[VALOR TOTAL],Tabla4[ZONA DEFINITIVO],Tabla4[[#This Row],[ZONA DEFINITIVO]])," ")</f>
        <v>1823236236</v>
      </c>
      <c r="AT596" s="27">
        <f>(VLOOKUP(Tabla4[[#This Row],[SERVICIO 2025]],$J$2:$V$14,3,0)*Tabla4[[#This Row],[TOTAL COBERTURA]])+Tabla4[[#This Row],[VALOR FASE PREPARATORIA DE ALISTAMIENTO]]+Tabla4[[#This Row],[DOTACIÓN ÚNICA]]</f>
        <v>50540360</v>
      </c>
      <c r="AU596" s="35">
        <f>(VLOOKUP(Tabla4[[#This Row],[SERVICIO 2025]],$J$2:$V$14,3,0)*Tabla4[[#This Row],[TOTAL COBERTURA]])</f>
        <v>43224491</v>
      </c>
      <c r="AV596" s="35">
        <f>(VLOOKUP(Tabla4[[#This Row],[SERVICIO 2025]],$J$2:$V$14,3,0)*Tabla4[[#This Row],[TOTAL COBERTURA]])</f>
        <v>43224491</v>
      </c>
      <c r="AW596" s="35">
        <f>(VLOOKUP(Tabla4[[#This Row],[SERVICIO 2025]],$J$2:$V$14,3,0)*Tabla4[[#This Row],[TOTAL COBERTURA]])</f>
        <v>43224491</v>
      </c>
      <c r="AX596" s="35">
        <f>(VLOOKUP(Tabla4[[#This Row],[SERVICIO 2025]],$J$2:$V$14,3,0)*Tabla4[[#This Row],[TOTAL COBERTURA]])</f>
        <v>43224491</v>
      </c>
      <c r="AY596" s="35">
        <f>(VLOOKUP(Tabla4[[#This Row],[SERVICIO 2025]],$J$2:$V$14,3,0)*Tabla4[[#This Row],[TOTAL COBERTURA]])</f>
        <v>43224491</v>
      </c>
      <c r="AZ596" s="35">
        <f>(VLOOKUP(Tabla4[[#This Row],[SERVICIO 2025]],$J$2:$V$14,3,0)*Tabla4[[#This Row],[TOTAL COBERTURA]])</f>
        <v>43224491</v>
      </c>
      <c r="BA596" s="35">
        <f>(VLOOKUP(Tabla4[[#This Row],[SERVICIO 2025]],$J$2:$V$14,3,0)*Tabla4[[#This Row],[TOTAL COBERTURA]])+Tabla4[[#This Row],[VALOR FASE PREPARATORIA DE CIERRE]]</f>
        <v>49453060</v>
      </c>
      <c r="BB596" s="35">
        <f>SUM(Tabla4[[#This Row],[DESEMBOLSO 1]:[DESEMBOLSO 8]])</f>
        <v>359340366</v>
      </c>
      <c r="BC596" s="35">
        <f>VLOOKUP(Tabla4[[#This Row],[SERVICIO 2025]],$J$2:$V$14,10,0)*Tabla4[[#This Row],[TOTAL COBERTURA]]*$W$3</f>
        <v>0</v>
      </c>
      <c r="BD596" s="47" t="s">
        <v>145</v>
      </c>
      <c r="BE596" s="12" t="b">
        <f>EXACT(Tabla4[[#This Row],[VALOR ATENCIÓN (8 MESES)]],Tabla4[[#This Row],[VALOR TOTAL]])</f>
        <v>1</v>
      </c>
      <c r="BF596" s="23">
        <f>Tabla4[[#This Row],[VALOR ATENCIÓN (8 MESES)]]-Tabla4[[#This Row],[VALOR TOTAL]]</f>
        <v>0</v>
      </c>
      <c r="BG596" s="12" t="b">
        <f>EXACT(Tabla4[[#This Row],[TOTAL DESEMBOLSOS]],Tabla4[[#This Row],[VALOR ATENCIÓN (8 MESES)]])</f>
        <v>1</v>
      </c>
      <c r="BH596" s="29">
        <f>Tabla4[[#This Row],[TOTAL DESEMBOLSOS]]-Tabla4[[#This Row],[VALOR ATENCIÓN (8 MESES)]]</f>
        <v>0</v>
      </c>
      <c r="BI596" t="s">
        <v>98</v>
      </c>
      <c r="BJ596">
        <v>1944</v>
      </c>
    </row>
    <row r="597" spans="1:62">
      <c r="A597" s="13">
        <v>1944</v>
      </c>
      <c r="B597" s="13" t="s">
        <v>1359</v>
      </c>
      <c r="C597" s="12" t="s">
        <v>87</v>
      </c>
      <c r="D597" s="12" t="s">
        <v>88</v>
      </c>
      <c r="E597" s="12" t="s">
        <v>1360</v>
      </c>
      <c r="F597" s="12" t="s">
        <v>21</v>
      </c>
      <c r="G597" s="12" t="s">
        <v>90</v>
      </c>
      <c r="H597" s="12" t="s">
        <v>1365</v>
      </c>
      <c r="I597" s="12">
        <v>52371118968</v>
      </c>
      <c r="J597" s="12" t="s">
        <v>1366</v>
      </c>
      <c r="K597" s="12">
        <v>1</v>
      </c>
      <c r="L597" s="12">
        <v>27</v>
      </c>
      <c r="M597" s="12"/>
      <c r="N597" s="13">
        <v>1944</v>
      </c>
      <c r="O597" s="12" t="s">
        <v>93</v>
      </c>
      <c r="P597" s="12"/>
      <c r="Q597" s="12"/>
      <c r="R597" s="12" t="s">
        <v>94</v>
      </c>
      <c r="S597" s="12">
        <v>10</v>
      </c>
      <c r="T597" s="12" t="s">
        <v>1363</v>
      </c>
      <c r="U597" s="12" t="s">
        <v>1364</v>
      </c>
      <c r="V597" s="12">
        <f>VLOOKUP(Tabla4[[#This Row],[ZONA DEFINITIVO]],Hoja1!$A$1:$D$121,3,0)</f>
        <v>229113</v>
      </c>
      <c r="W597" s="12">
        <f>VLOOKUP(Tabla4[[#This Row],[ZONA DEFINITIVO]],Hoja1!$A$1:$D$121,2,0)</f>
        <v>15219</v>
      </c>
      <c r="X597" s="12">
        <f>VLOOKUP(Tabla4[[#This Row],[ZONA DEFINITIVO]],Hoja1!$A$1:$D$121,4,0)</f>
        <v>86725</v>
      </c>
      <c r="Y597" s="12" t="str">
        <f>+IF(Tabla4[[#This Row],[AGRUPACIONES]]=1,SUMIFS(Tabla4[UDS],Tabla4[ZONA DEFINITIVO],Tabla4[[#This Row],[ZONA DEFINITIVO]])," ")</f>
        <v xml:space="preserve"> </v>
      </c>
      <c r="Z597" s="12" t="str">
        <f>+IF(Tabla4[[#This Row],[AGRUPACIONES]]=1,SUMIFS(Tabla4[TOTAL COBERTURA],Tabla4[ZONA DEFINITIVO],Tabla4[[#This Row],[ZONA DEFINITIVO]])," ")</f>
        <v xml:space="preserve"> </v>
      </c>
      <c r="AA597" s="12"/>
      <c r="AB597" s="38">
        <v>41021235</v>
      </c>
      <c r="AC597" s="37">
        <v>0.02</v>
      </c>
      <c r="AD597" s="38">
        <f t="shared" si="10"/>
        <v>820424.70000000007</v>
      </c>
      <c r="AE597" s="12"/>
      <c r="AF597" s="12">
        <f>COUNTIF($A$20:A597,A597)</f>
        <v>2</v>
      </c>
      <c r="AG597" s="38">
        <v>41021235</v>
      </c>
      <c r="AH597" s="38">
        <f>Tabla4[[#This Row],[VALOR CONTRAPARTIDA]]+Tabla4[[#This Row],[TOTAL APORTES ICBF]]</f>
        <v>41841659.700000003</v>
      </c>
      <c r="AI597" s="35"/>
      <c r="AJ597" s="38"/>
      <c r="AK597" s="38"/>
      <c r="AL597" s="23"/>
      <c r="AM597" s="35">
        <f>VLOOKUP(Tabla4[[#This Row],[SERVICIO 2025]],$J$2:$V$14,5,0)*Tabla4[[#This Row],[TOTAL COBERTURA]]</f>
        <v>1262088</v>
      </c>
      <c r="AN597" s="35">
        <f>VLOOKUP(Tabla4[[#This Row],[SERVICIO 2025]],$J$2:$V$14,6,0)*Tabla4[[#This Row],[TOTAL COBERTURA]]</f>
        <v>1021707</v>
      </c>
      <c r="AO597" s="35">
        <f>VLOOKUP(Tabla4[[#This Row],[SERVICIO 2025]],$J$2:$V$14,8,0)*Tabla4[[#This Row],[TOTAL COBERTURA]]</f>
        <v>0</v>
      </c>
      <c r="AP597" s="35">
        <f>VLOOKUP(Tabla4[[#This Row],[SERVICIO 2025]],$J$2:$V$14,3,0)*Tabla4[[#This Row],[TOTAL COBERTURA]]*8</f>
        <v>38737440</v>
      </c>
      <c r="AQ597" s="35"/>
      <c r="AR597" s="35">
        <f>Tabla4[[#This Row],[VALOR FASE PREPARATORIA DE ALISTAMIENTO]]+Tabla4[[#This Row],[VALOR FASE PREPARATORIA DE CIERRE]]+Tabla4[[#This Row],[DOTACIÓN ÚNICA]]+Tabla4[[#This Row],[VALOR ATENCIÓN]]+Tabla4[[#This Row],[VALOR RACION PREPARADA]]</f>
        <v>41021235</v>
      </c>
      <c r="AS597" s="35" t="str">
        <f>+IF(Tabla4[[#This Row],[AGRUPACIONES]]=1,SUMIFS(Tabla4[VALOR TOTAL],Tabla4[ZONA DEFINITIVO],Tabla4[[#This Row],[ZONA DEFINITIVO]])," ")</f>
        <v xml:space="preserve"> </v>
      </c>
      <c r="AT597" s="27">
        <f>(VLOOKUP(Tabla4[[#This Row],[SERVICIO 2025]],$J$2:$V$14,3,0)*Tabla4[[#This Row],[TOTAL COBERTURA]])+Tabla4[[#This Row],[VALOR FASE PREPARATORIA DE ALISTAMIENTO]]+Tabla4[[#This Row],[DOTACIÓN ÚNICA]]</f>
        <v>6104268</v>
      </c>
      <c r="AU597" s="35">
        <f>(VLOOKUP(Tabla4[[#This Row],[SERVICIO 2025]],$J$2:$V$14,3,0)*Tabla4[[#This Row],[TOTAL COBERTURA]])</f>
        <v>4842180</v>
      </c>
      <c r="AV597" s="35">
        <f>(VLOOKUP(Tabla4[[#This Row],[SERVICIO 2025]],$J$2:$V$14,3,0)*Tabla4[[#This Row],[TOTAL COBERTURA]])</f>
        <v>4842180</v>
      </c>
      <c r="AW597" s="35">
        <f>(VLOOKUP(Tabla4[[#This Row],[SERVICIO 2025]],$J$2:$V$14,3,0)*Tabla4[[#This Row],[TOTAL COBERTURA]])</f>
        <v>4842180</v>
      </c>
      <c r="AX597" s="35">
        <f>(VLOOKUP(Tabla4[[#This Row],[SERVICIO 2025]],$J$2:$V$14,3,0)*Tabla4[[#This Row],[TOTAL COBERTURA]])</f>
        <v>4842180</v>
      </c>
      <c r="AY597" s="35">
        <f>(VLOOKUP(Tabla4[[#This Row],[SERVICIO 2025]],$J$2:$V$14,3,0)*Tabla4[[#This Row],[TOTAL COBERTURA]])</f>
        <v>4842180</v>
      </c>
      <c r="AZ597" s="35">
        <f>(VLOOKUP(Tabla4[[#This Row],[SERVICIO 2025]],$J$2:$V$14,3,0)*Tabla4[[#This Row],[TOTAL COBERTURA]])</f>
        <v>4842180</v>
      </c>
      <c r="BA597" s="35">
        <f>(VLOOKUP(Tabla4[[#This Row],[SERVICIO 2025]],$J$2:$V$14,3,0)*Tabla4[[#This Row],[TOTAL COBERTURA]])+Tabla4[[#This Row],[VALOR FASE PREPARATORIA DE CIERRE]]</f>
        <v>5863887</v>
      </c>
      <c r="BB597" s="35">
        <f>SUM(Tabla4[[#This Row],[DESEMBOLSO 1]:[DESEMBOLSO 8]])</f>
        <v>41021235</v>
      </c>
      <c r="BC597" s="35">
        <f>VLOOKUP(Tabla4[[#This Row],[SERVICIO 2025]],$J$2:$V$14,10,0)*Tabla4[[#This Row],[TOTAL COBERTURA]]*$W$3</f>
        <v>40677336</v>
      </c>
      <c r="BD597" s="47" t="s">
        <v>211</v>
      </c>
      <c r="BE597" s="12" t="b">
        <f>EXACT(Tabla4[[#This Row],[VALOR ATENCIÓN (8 MESES)]],Tabla4[[#This Row],[VALOR TOTAL]])</f>
        <v>1</v>
      </c>
      <c r="BF597" s="23">
        <f>Tabla4[[#This Row],[VALOR ATENCIÓN (8 MESES)]]-Tabla4[[#This Row],[VALOR TOTAL]]</f>
        <v>0</v>
      </c>
      <c r="BG597" s="12" t="b">
        <f>EXACT(Tabla4[[#This Row],[TOTAL DESEMBOLSOS]],Tabla4[[#This Row],[VALOR ATENCIÓN (8 MESES)]])</f>
        <v>1</v>
      </c>
      <c r="BH597" s="29">
        <f>Tabla4[[#This Row],[TOTAL DESEMBOLSOS]]-Tabla4[[#This Row],[VALOR ATENCIÓN (8 MESES)]]</f>
        <v>0</v>
      </c>
      <c r="BI597" t="s">
        <v>98</v>
      </c>
      <c r="BJ597">
        <v>1944</v>
      </c>
    </row>
    <row r="598" spans="1:62">
      <c r="A598" s="13">
        <v>1944</v>
      </c>
      <c r="B598" s="13" t="s">
        <v>1359</v>
      </c>
      <c r="C598" s="12" t="s">
        <v>87</v>
      </c>
      <c r="D598" s="12" t="s">
        <v>88</v>
      </c>
      <c r="E598" s="12" t="s">
        <v>1360</v>
      </c>
      <c r="F598" s="12" t="s">
        <v>21</v>
      </c>
      <c r="G598" s="12" t="s">
        <v>90</v>
      </c>
      <c r="H598" s="12" t="s">
        <v>769</v>
      </c>
      <c r="I598" s="12">
        <v>52371118969</v>
      </c>
      <c r="J598" s="12" t="s">
        <v>1367</v>
      </c>
      <c r="K598" s="12">
        <v>1</v>
      </c>
      <c r="L598" s="12">
        <v>7</v>
      </c>
      <c r="M598" s="12"/>
      <c r="N598" s="13">
        <v>1944</v>
      </c>
      <c r="O598" s="12" t="s">
        <v>93</v>
      </c>
      <c r="P598" s="12"/>
      <c r="Q598" s="12"/>
      <c r="R598" s="12" t="s">
        <v>94</v>
      </c>
      <c r="S598" s="12">
        <v>10</v>
      </c>
      <c r="T598" s="12" t="s">
        <v>1363</v>
      </c>
      <c r="U598" s="12" t="s">
        <v>1364</v>
      </c>
      <c r="V598" s="12">
        <f>VLOOKUP(Tabla4[[#This Row],[ZONA DEFINITIVO]],Hoja1!$A$1:$D$121,3,0)</f>
        <v>229113</v>
      </c>
      <c r="W598" s="12">
        <f>VLOOKUP(Tabla4[[#This Row],[ZONA DEFINITIVO]],Hoja1!$A$1:$D$121,2,0)</f>
        <v>15219</v>
      </c>
      <c r="X598" s="12">
        <f>VLOOKUP(Tabla4[[#This Row],[ZONA DEFINITIVO]],Hoja1!$A$1:$D$121,4,0)</f>
        <v>86725</v>
      </c>
      <c r="Y598" s="12" t="str">
        <f>+IF(Tabla4[[#This Row],[AGRUPACIONES]]=1,SUMIFS(Tabla4[UDS],Tabla4[ZONA DEFINITIVO],Tabla4[[#This Row],[ZONA DEFINITIVO]])," ")</f>
        <v xml:space="preserve"> </v>
      </c>
      <c r="Z598" s="12" t="str">
        <f>+IF(Tabla4[[#This Row],[AGRUPACIONES]]=1,SUMIFS(Tabla4[TOTAL COBERTURA],Tabla4[ZONA DEFINITIVO],Tabla4[[#This Row],[ZONA DEFINITIVO]])," ")</f>
        <v xml:space="preserve"> </v>
      </c>
      <c r="AA598" s="12"/>
      <c r="AB598" s="38">
        <v>10635135</v>
      </c>
      <c r="AC598" s="37">
        <v>0.02</v>
      </c>
      <c r="AD598" s="38">
        <f t="shared" si="10"/>
        <v>212702.7</v>
      </c>
      <c r="AE598" s="12"/>
      <c r="AF598" s="12">
        <f>COUNTIF($A$20:A598,A598)</f>
        <v>3</v>
      </c>
      <c r="AG598" s="38">
        <v>10635135</v>
      </c>
      <c r="AH598" s="38">
        <f>Tabla4[[#This Row],[VALOR CONTRAPARTIDA]]+Tabla4[[#This Row],[TOTAL APORTES ICBF]]</f>
        <v>10847837.699999999</v>
      </c>
      <c r="AI598" s="35"/>
      <c r="AJ598" s="38"/>
      <c r="AK598" s="38"/>
      <c r="AL598" s="23"/>
      <c r="AM598" s="35">
        <f>VLOOKUP(Tabla4[[#This Row],[SERVICIO 2025]],$J$2:$V$14,5,0)*Tabla4[[#This Row],[TOTAL COBERTURA]]</f>
        <v>327208</v>
      </c>
      <c r="AN598" s="35">
        <f>VLOOKUP(Tabla4[[#This Row],[SERVICIO 2025]],$J$2:$V$14,6,0)*Tabla4[[#This Row],[TOTAL COBERTURA]]</f>
        <v>264887</v>
      </c>
      <c r="AO598" s="35">
        <f>VLOOKUP(Tabla4[[#This Row],[SERVICIO 2025]],$J$2:$V$14,8,0)*Tabla4[[#This Row],[TOTAL COBERTURA]]</f>
        <v>0</v>
      </c>
      <c r="AP598" s="35">
        <f>VLOOKUP(Tabla4[[#This Row],[SERVICIO 2025]],$J$2:$V$14,3,0)*Tabla4[[#This Row],[TOTAL COBERTURA]]*8</f>
        <v>10043040</v>
      </c>
      <c r="AQ598" s="35"/>
      <c r="AR598" s="35">
        <f>Tabla4[[#This Row],[VALOR FASE PREPARATORIA DE ALISTAMIENTO]]+Tabla4[[#This Row],[VALOR FASE PREPARATORIA DE CIERRE]]+Tabla4[[#This Row],[DOTACIÓN ÚNICA]]+Tabla4[[#This Row],[VALOR ATENCIÓN]]+Tabla4[[#This Row],[VALOR RACION PREPARADA]]</f>
        <v>10635135</v>
      </c>
      <c r="AS598" s="35" t="str">
        <f>+IF(Tabla4[[#This Row],[AGRUPACIONES]]=1,SUMIFS(Tabla4[VALOR TOTAL],Tabla4[ZONA DEFINITIVO],Tabla4[[#This Row],[ZONA DEFINITIVO]])," ")</f>
        <v xml:space="preserve"> </v>
      </c>
      <c r="AT598" s="27">
        <f>(VLOOKUP(Tabla4[[#This Row],[SERVICIO 2025]],$J$2:$V$14,3,0)*Tabla4[[#This Row],[TOTAL COBERTURA]])+Tabla4[[#This Row],[VALOR FASE PREPARATORIA DE ALISTAMIENTO]]+Tabla4[[#This Row],[DOTACIÓN ÚNICA]]</f>
        <v>1582588</v>
      </c>
      <c r="AU598" s="35">
        <f>(VLOOKUP(Tabla4[[#This Row],[SERVICIO 2025]],$J$2:$V$14,3,0)*Tabla4[[#This Row],[TOTAL COBERTURA]])</f>
        <v>1255380</v>
      </c>
      <c r="AV598" s="35">
        <f>(VLOOKUP(Tabla4[[#This Row],[SERVICIO 2025]],$J$2:$V$14,3,0)*Tabla4[[#This Row],[TOTAL COBERTURA]])</f>
        <v>1255380</v>
      </c>
      <c r="AW598" s="35">
        <f>(VLOOKUP(Tabla4[[#This Row],[SERVICIO 2025]],$J$2:$V$14,3,0)*Tabla4[[#This Row],[TOTAL COBERTURA]])</f>
        <v>1255380</v>
      </c>
      <c r="AX598" s="35">
        <f>(VLOOKUP(Tabla4[[#This Row],[SERVICIO 2025]],$J$2:$V$14,3,0)*Tabla4[[#This Row],[TOTAL COBERTURA]])</f>
        <v>1255380</v>
      </c>
      <c r="AY598" s="35">
        <f>(VLOOKUP(Tabla4[[#This Row],[SERVICIO 2025]],$J$2:$V$14,3,0)*Tabla4[[#This Row],[TOTAL COBERTURA]])</f>
        <v>1255380</v>
      </c>
      <c r="AZ598" s="35">
        <f>(VLOOKUP(Tabla4[[#This Row],[SERVICIO 2025]],$J$2:$V$14,3,0)*Tabla4[[#This Row],[TOTAL COBERTURA]])</f>
        <v>1255380</v>
      </c>
      <c r="BA598" s="35">
        <f>(VLOOKUP(Tabla4[[#This Row],[SERVICIO 2025]],$J$2:$V$14,3,0)*Tabla4[[#This Row],[TOTAL COBERTURA]])+Tabla4[[#This Row],[VALOR FASE PREPARATORIA DE CIERRE]]</f>
        <v>1520267</v>
      </c>
      <c r="BB598" s="35">
        <f>SUM(Tabla4[[#This Row],[DESEMBOLSO 1]:[DESEMBOLSO 8]])</f>
        <v>10635135</v>
      </c>
      <c r="BC598" s="35">
        <f>VLOOKUP(Tabla4[[#This Row],[SERVICIO 2025]],$J$2:$V$14,10,0)*Tabla4[[#This Row],[TOTAL COBERTURA]]*$W$3</f>
        <v>10545976</v>
      </c>
      <c r="BD598" s="47" t="s">
        <v>211</v>
      </c>
      <c r="BE598" s="12" t="b">
        <f>EXACT(Tabla4[[#This Row],[VALOR ATENCIÓN (8 MESES)]],Tabla4[[#This Row],[VALOR TOTAL]])</f>
        <v>1</v>
      </c>
      <c r="BF598" s="23">
        <f>Tabla4[[#This Row],[VALOR ATENCIÓN (8 MESES)]]-Tabla4[[#This Row],[VALOR TOTAL]]</f>
        <v>0</v>
      </c>
      <c r="BG598" s="12" t="b">
        <f>EXACT(Tabla4[[#This Row],[TOTAL DESEMBOLSOS]],Tabla4[[#This Row],[VALOR ATENCIÓN (8 MESES)]])</f>
        <v>1</v>
      </c>
      <c r="BH598" s="29">
        <f>Tabla4[[#This Row],[TOTAL DESEMBOLSOS]]-Tabla4[[#This Row],[VALOR ATENCIÓN (8 MESES)]]</f>
        <v>0</v>
      </c>
      <c r="BI598" t="s">
        <v>98</v>
      </c>
      <c r="BJ598">
        <v>1944</v>
      </c>
    </row>
    <row r="599" spans="1:62">
      <c r="A599" s="13">
        <v>1944</v>
      </c>
      <c r="B599" s="13" t="s">
        <v>1359</v>
      </c>
      <c r="C599" s="12" t="s">
        <v>87</v>
      </c>
      <c r="D599" s="12" t="s">
        <v>88</v>
      </c>
      <c r="E599" s="12" t="s">
        <v>1360</v>
      </c>
      <c r="F599" s="12" t="s">
        <v>21</v>
      </c>
      <c r="G599" s="12" t="s">
        <v>90</v>
      </c>
      <c r="H599" s="12" t="s">
        <v>1368</v>
      </c>
      <c r="I599" s="12">
        <v>52371118970</v>
      </c>
      <c r="J599" s="12" t="s">
        <v>1369</v>
      </c>
      <c r="K599" s="12">
        <v>1</v>
      </c>
      <c r="L599" s="12">
        <v>24</v>
      </c>
      <c r="M599" s="12"/>
      <c r="N599" s="13">
        <v>1944</v>
      </c>
      <c r="O599" s="12" t="s">
        <v>93</v>
      </c>
      <c r="P599" s="12"/>
      <c r="Q599" s="12"/>
      <c r="R599" s="12" t="s">
        <v>94</v>
      </c>
      <c r="S599" s="12">
        <v>10</v>
      </c>
      <c r="T599" s="12" t="s">
        <v>1363</v>
      </c>
      <c r="U599" s="12" t="s">
        <v>1364</v>
      </c>
      <c r="V599" s="12">
        <f>VLOOKUP(Tabla4[[#This Row],[ZONA DEFINITIVO]],Hoja1!$A$1:$D$121,3,0)</f>
        <v>229113</v>
      </c>
      <c r="W599" s="12">
        <f>VLOOKUP(Tabla4[[#This Row],[ZONA DEFINITIVO]],Hoja1!$A$1:$D$121,2,0)</f>
        <v>15219</v>
      </c>
      <c r="X599" s="12">
        <f>VLOOKUP(Tabla4[[#This Row],[ZONA DEFINITIVO]],Hoja1!$A$1:$D$121,4,0)</f>
        <v>86725</v>
      </c>
      <c r="Y599" s="12" t="str">
        <f>+IF(Tabla4[[#This Row],[AGRUPACIONES]]=1,SUMIFS(Tabla4[UDS],Tabla4[ZONA DEFINITIVO],Tabla4[[#This Row],[ZONA DEFINITIVO]])," ")</f>
        <v xml:space="preserve"> </v>
      </c>
      <c r="Z599" s="12" t="str">
        <f>+IF(Tabla4[[#This Row],[AGRUPACIONES]]=1,SUMIFS(Tabla4[TOTAL COBERTURA],Tabla4[ZONA DEFINITIVO],Tabla4[[#This Row],[ZONA DEFINITIVO]])," ")</f>
        <v xml:space="preserve"> </v>
      </c>
      <c r="AA599" s="12"/>
      <c r="AB599" s="38">
        <v>36463320</v>
      </c>
      <c r="AC599" s="37">
        <v>0.02</v>
      </c>
      <c r="AD599" s="38">
        <f t="shared" si="10"/>
        <v>729266.4</v>
      </c>
      <c r="AE599" s="12"/>
      <c r="AF599" s="12">
        <f>COUNTIF($A$20:A599,A599)</f>
        <v>4</v>
      </c>
      <c r="AG599" s="38">
        <v>36463320</v>
      </c>
      <c r="AH599" s="38">
        <f>Tabla4[[#This Row],[VALOR CONTRAPARTIDA]]+Tabla4[[#This Row],[TOTAL APORTES ICBF]]</f>
        <v>37192586.399999999</v>
      </c>
      <c r="AI599" s="35"/>
      <c r="AJ599" s="38"/>
      <c r="AK599" s="38"/>
      <c r="AL599" s="23"/>
      <c r="AM599" s="35">
        <f>VLOOKUP(Tabla4[[#This Row],[SERVICIO 2025]],$J$2:$V$14,5,0)*Tabla4[[#This Row],[TOTAL COBERTURA]]</f>
        <v>1121856</v>
      </c>
      <c r="AN599" s="35">
        <f>VLOOKUP(Tabla4[[#This Row],[SERVICIO 2025]],$J$2:$V$14,6,0)*Tabla4[[#This Row],[TOTAL COBERTURA]]</f>
        <v>908184</v>
      </c>
      <c r="AO599" s="35">
        <f>VLOOKUP(Tabla4[[#This Row],[SERVICIO 2025]],$J$2:$V$14,8,0)*Tabla4[[#This Row],[TOTAL COBERTURA]]</f>
        <v>0</v>
      </c>
      <c r="AP599" s="35">
        <f>VLOOKUP(Tabla4[[#This Row],[SERVICIO 2025]],$J$2:$V$14,3,0)*Tabla4[[#This Row],[TOTAL COBERTURA]]*8</f>
        <v>34433280</v>
      </c>
      <c r="AQ599" s="35"/>
      <c r="AR599" s="35">
        <f>Tabla4[[#This Row],[VALOR FASE PREPARATORIA DE ALISTAMIENTO]]+Tabla4[[#This Row],[VALOR FASE PREPARATORIA DE CIERRE]]+Tabla4[[#This Row],[DOTACIÓN ÚNICA]]+Tabla4[[#This Row],[VALOR ATENCIÓN]]+Tabla4[[#This Row],[VALOR RACION PREPARADA]]</f>
        <v>36463320</v>
      </c>
      <c r="AS599" s="35" t="str">
        <f>+IF(Tabla4[[#This Row],[AGRUPACIONES]]=1,SUMIFS(Tabla4[VALOR TOTAL],Tabla4[ZONA DEFINITIVO],Tabla4[[#This Row],[ZONA DEFINITIVO]])," ")</f>
        <v xml:space="preserve"> </v>
      </c>
      <c r="AT599" s="27">
        <f>(VLOOKUP(Tabla4[[#This Row],[SERVICIO 2025]],$J$2:$V$14,3,0)*Tabla4[[#This Row],[TOTAL COBERTURA]])+Tabla4[[#This Row],[VALOR FASE PREPARATORIA DE ALISTAMIENTO]]+Tabla4[[#This Row],[DOTACIÓN ÚNICA]]</f>
        <v>5426016</v>
      </c>
      <c r="AU599" s="35">
        <f>(VLOOKUP(Tabla4[[#This Row],[SERVICIO 2025]],$J$2:$V$14,3,0)*Tabla4[[#This Row],[TOTAL COBERTURA]])</f>
        <v>4304160</v>
      </c>
      <c r="AV599" s="35">
        <f>(VLOOKUP(Tabla4[[#This Row],[SERVICIO 2025]],$J$2:$V$14,3,0)*Tabla4[[#This Row],[TOTAL COBERTURA]])</f>
        <v>4304160</v>
      </c>
      <c r="AW599" s="35">
        <f>(VLOOKUP(Tabla4[[#This Row],[SERVICIO 2025]],$J$2:$V$14,3,0)*Tabla4[[#This Row],[TOTAL COBERTURA]])</f>
        <v>4304160</v>
      </c>
      <c r="AX599" s="35">
        <f>(VLOOKUP(Tabla4[[#This Row],[SERVICIO 2025]],$J$2:$V$14,3,0)*Tabla4[[#This Row],[TOTAL COBERTURA]])</f>
        <v>4304160</v>
      </c>
      <c r="AY599" s="35">
        <f>(VLOOKUP(Tabla4[[#This Row],[SERVICIO 2025]],$J$2:$V$14,3,0)*Tabla4[[#This Row],[TOTAL COBERTURA]])</f>
        <v>4304160</v>
      </c>
      <c r="AZ599" s="35">
        <f>(VLOOKUP(Tabla4[[#This Row],[SERVICIO 2025]],$J$2:$V$14,3,0)*Tabla4[[#This Row],[TOTAL COBERTURA]])</f>
        <v>4304160</v>
      </c>
      <c r="BA599" s="35">
        <f>(VLOOKUP(Tabla4[[#This Row],[SERVICIO 2025]],$J$2:$V$14,3,0)*Tabla4[[#This Row],[TOTAL COBERTURA]])+Tabla4[[#This Row],[VALOR FASE PREPARATORIA DE CIERRE]]</f>
        <v>5212344</v>
      </c>
      <c r="BB599" s="35">
        <f>SUM(Tabla4[[#This Row],[DESEMBOLSO 1]:[DESEMBOLSO 8]])</f>
        <v>36463320</v>
      </c>
      <c r="BC599" s="35">
        <f>VLOOKUP(Tabla4[[#This Row],[SERVICIO 2025]],$J$2:$V$14,10,0)*Tabla4[[#This Row],[TOTAL COBERTURA]]*$W$3</f>
        <v>36157632</v>
      </c>
      <c r="BD599" s="47" t="s">
        <v>211</v>
      </c>
      <c r="BE599" s="12" t="b">
        <f>EXACT(Tabla4[[#This Row],[VALOR ATENCIÓN (8 MESES)]],Tabla4[[#This Row],[VALOR TOTAL]])</f>
        <v>1</v>
      </c>
      <c r="BF599" s="23">
        <f>Tabla4[[#This Row],[VALOR ATENCIÓN (8 MESES)]]-Tabla4[[#This Row],[VALOR TOTAL]]</f>
        <v>0</v>
      </c>
      <c r="BG599" s="12" t="b">
        <f>EXACT(Tabla4[[#This Row],[TOTAL DESEMBOLSOS]],Tabla4[[#This Row],[VALOR ATENCIÓN (8 MESES)]])</f>
        <v>1</v>
      </c>
      <c r="BH599" s="29">
        <f>Tabla4[[#This Row],[TOTAL DESEMBOLSOS]]-Tabla4[[#This Row],[VALOR ATENCIÓN (8 MESES)]]</f>
        <v>0</v>
      </c>
      <c r="BI599" t="s">
        <v>98</v>
      </c>
      <c r="BJ599">
        <v>1944</v>
      </c>
    </row>
    <row r="600" spans="1:62">
      <c r="A600" s="13">
        <v>1944</v>
      </c>
      <c r="B600" s="13" t="s">
        <v>1359</v>
      </c>
      <c r="C600" s="12" t="s">
        <v>87</v>
      </c>
      <c r="D600" s="12" t="s">
        <v>88</v>
      </c>
      <c r="E600" s="12" t="s">
        <v>1360</v>
      </c>
      <c r="F600" s="12" t="s">
        <v>21</v>
      </c>
      <c r="G600" s="12" t="s">
        <v>90</v>
      </c>
      <c r="H600" s="12" t="s">
        <v>1370</v>
      </c>
      <c r="I600" s="12">
        <v>52371118972</v>
      </c>
      <c r="J600" s="12" t="s">
        <v>1371</v>
      </c>
      <c r="K600" s="12">
        <v>1</v>
      </c>
      <c r="L600" s="12">
        <v>26</v>
      </c>
      <c r="M600" s="12"/>
      <c r="N600" s="13">
        <v>1944</v>
      </c>
      <c r="O600" s="12" t="s">
        <v>93</v>
      </c>
      <c r="P600" s="12"/>
      <c r="Q600" s="12"/>
      <c r="R600" s="12" t="s">
        <v>94</v>
      </c>
      <c r="S600" s="12">
        <v>10</v>
      </c>
      <c r="T600" s="12" t="s">
        <v>1363</v>
      </c>
      <c r="U600" s="12" t="s">
        <v>1364</v>
      </c>
      <c r="V600" s="12">
        <f>VLOOKUP(Tabla4[[#This Row],[ZONA DEFINITIVO]],Hoja1!$A$1:$D$121,3,0)</f>
        <v>229113</v>
      </c>
      <c r="W600" s="12">
        <f>VLOOKUP(Tabla4[[#This Row],[ZONA DEFINITIVO]],Hoja1!$A$1:$D$121,2,0)</f>
        <v>15219</v>
      </c>
      <c r="X600" s="12">
        <f>VLOOKUP(Tabla4[[#This Row],[ZONA DEFINITIVO]],Hoja1!$A$1:$D$121,4,0)</f>
        <v>86725</v>
      </c>
      <c r="Y600" s="12" t="str">
        <f>+IF(Tabla4[[#This Row],[AGRUPACIONES]]=1,SUMIFS(Tabla4[UDS],Tabla4[ZONA DEFINITIVO],Tabla4[[#This Row],[ZONA DEFINITIVO]])," ")</f>
        <v xml:space="preserve"> </v>
      </c>
      <c r="Z600" s="12" t="str">
        <f>+IF(Tabla4[[#This Row],[AGRUPACIONES]]=1,SUMIFS(Tabla4[TOTAL COBERTURA],Tabla4[ZONA DEFINITIVO],Tabla4[[#This Row],[ZONA DEFINITIVO]])," ")</f>
        <v xml:space="preserve"> </v>
      </c>
      <c r="AA600" s="12"/>
      <c r="AB600" s="38">
        <v>39501930</v>
      </c>
      <c r="AC600" s="37">
        <v>0.02</v>
      </c>
      <c r="AD600" s="38">
        <f t="shared" si="10"/>
        <v>790038.6</v>
      </c>
      <c r="AE600" s="12"/>
      <c r="AF600" s="12">
        <f>COUNTIF($A$20:A600,A600)</f>
        <v>5</v>
      </c>
      <c r="AG600" s="38">
        <v>39501930</v>
      </c>
      <c r="AH600" s="38">
        <f>Tabla4[[#This Row],[VALOR CONTRAPARTIDA]]+Tabla4[[#This Row],[TOTAL APORTES ICBF]]</f>
        <v>40291968.600000001</v>
      </c>
      <c r="AI600" s="35"/>
      <c r="AJ600" s="38"/>
      <c r="AK600" s="38"/>
      <c r="AL600" s="23"/>
      <c r="AM600" s="35">
        <f>VLOOKUP(Tabla4[[#This Row],[SERVICIO 2025]],$J$2:$V$14,5,0)*Tabla4[[#This Row],[TOTAL COBERTURA]]</f>
        <v>1215344</v>
      </c>
      <c r="AN600" s="35">
        <f>VLOOKUP(Tabla4[[#This Row],[SERVICIO 2025]],$J$2:$V$14,6,0)*Tabla4[[#This Row],[TOTAL COBERTURA]]</f>
        <v>983866</v>
      </c>
      <c r="AO600" s="35">
        <f>VLOOKUP(Tabla4[[#This Row],[SERVICIO 2025]],$J$2:$V$14,8,0)*Tabla4[[#This Row],[TOTAL COBERTURA]]</f>
        <v>0</v>
      </c>
      <c r="AP600" s="35">
        <f>VLOOKUP(Tabla4[[#This Row],[SERVICIO 2025]],$J$2:$V$14,3,0)*Tabla4[[#This Row],[TOTAL COBERTURA]]*8</f>
        <v>37302720</v>
      </c>
      <c r="AQ600" s="35"/>
      <c r="AR600" s="35">
        <f>Tabla4[[#This Row],[VALOR FASE PREPARATORIA DE ALISTAMIENTO]]+Tabla4[[#This Row],[VALOR FASE PREPARATORIA DE CIERRE]]+Tabla4[[#This Row],[DOTACIÓN ÚNICA]]+Tabla4[[#This Row],[VALOR ATENCIÓN]]+Tabla4[[#This Row],[VALOR RACION PREPARADA]]</f>
        <v>39501930</v>
      </c>
      <c r="AS600" s="35" t="str">
        <f>+IF(Tabla4[[#This Row],[AGRUPACIONES]]=1,SUMIFS(Tabla4[VALOR TOTAL],Tabla4[ZONA DEFINITIVO],Tabla4[[#This Row],[ZONA DEFINITIVO]])," ")</f>
        <v xml:space="preserve"> </v>
      </c>
      <c r="AT600" s="27">
        <f>(VLOOKUP(Tabla4[[#This Row],[SERVICIO 2025]],$J$2:$V$14,3,0)*Tabla4[[#This Row],[TOTAL COBERTURA]])+Tabla4[[#This Row],[VALOR FASE PREPARATORIA DE ALISTAMIENTO]]+Tabla4[[#This Row],[DOTACIÓN ÚNICA]]</f>
        <v>5878184</v>
      </c>
      <c r="AU600" s="35">
        <f>(VLOOKUP(Tabla4[[#This Row],[SERVICIO 2025]],$J$2:$V$14,3,0)*Tabla4[[#This Row],[TOTAL COBERTURA]])</f>
        <v>4662840</v>
      </c>
      <c r="AV600" s="35">
        <f>(VLOOKUP(Tabla4[[#This Row],[SERVICIO 2025]],$J$2:$V$14,3,0)*Tabla4[[#This Row],[TOTAL COBERTURA]])</f>
        <v>4662840</v>
      </c>
      <c r="AW600" s="35">
        <f>(VLOOKUP(Tabla4[[#This Row],[SERVICIO 2025]],$J$2:$V$14,3,0)*Tabla4[[#This Row],[TOTAL COBERTURA]])</f>
        <v>4662840</v>
      </c>
      <c r="AX600" s="35">
        <f>(VLOOKUP(Tabla4[[#This Row],[SERVICIO 2025]],$J$2:$V$14,3,0)*Tabla4[[#This Row],[TOTAL COBERTURA]])</f>
        <v>4662840</v>
      </c>
      <c r="AY600" s="35">
        <f>(VLOOKUP(Tabla4[[#This Row],[SERVICIO 2025]],$J$2:$V$14,3,0)*Tabla4[[#This Row],[TOTAL COBERTURA]])</f>
        <v>4662840</v>
      </c>
      <c r="AZ600" s="35">
        <f>(VLOOKUP(Tabla4[[#This Row],[SERVICIO 2025]],$J$2:$V$14,3,0)*Tabla4[[#This Row],[TOTAL COBERTURA]])</f>
        <v>4662840</v>
      </c>
      <c r="BA600" s="35">
        <f>(VLOOKUP(Tabla4[[#This Row],[SERVICIO 2025]],$J$2:$V$14,3,0)*Tabla4[[#This Row],[TOTAL COBERTURA]])+Tabla4[[#This Row],[VALOR FASE PREPARATORIA DE CIERRE]]</f>
        <v>5646706</v>
      </c>
      <c r="BB600" s="35">
        <f>SUM(Tabla4[[#This Row],[DESEMBOLSO 1]:[DESEMBOLSO 8]])</f>
        <v>39501930</v>
      </c>
      <c r="BC600" s="35">
        <f>VLOOKUP(Tabla4[[#This Row],[SERVICIO 2025]],$J$2:$V$14,10,0)*Tabla4[[#This Row],[TOTAL COBERTURA]]*$W$3</f>
        <v>39170768</v>
      </c>
      <c r="BD600" s="47" t="s">
        <v>211</v>
      </c>
      <c r="BE600" s="12" t="b">
        <f>EXACT(Tabla4[[#This Row],[VALOR ATENCIÓN (8 MESES)]],Tabla4[[#This Row],[VALOR TOTAL]])</f>
        <v>1</v>
      </c>
      <c r="BF600" s="23">
        <f>Tabla4[[#This Row],[VALOR ATENCIÓN (8 MESES)]]-Tabla4[[#This Row],[VALOR TOTAL]]</f>
        <v>0</v>
      </c>
      <c r="BG600" s="12" t="b">
        <f>EXACT(Tabla4[[#This Row],[TOTAL DESEMBOLSOS]],Tabla4[[#This Row],[VALOR ATENCIÓN (8 MESES)]])</f>
        <v>1</v>
      </c>
      <c r="BH600" s="29">
        <f>Tabla4[[#This Row],[TOTAL DESEMBOLSOS]]-Tabla4[[#This Row],[VALOR ATENCIÓN (8 MESES)]]</f>
        <v>0</v>
      </c>
      <c r="BI600" t="s">
        <v>98</v>
      </c>
      <c r="BJ600">
        <v>1944</v>
      </c>
    </row>
    <row r="601" spans="1:62">
      <c r="A601" s="13">
        <v>1944</v>
      </c>
      <c r="B601" s="13" t="s">
        <v>1359</v>
      </c>
      <c r="C601" s="12" t="s">
        <v>87</v>
      </c>
      <c r="D601" s="12" t="s">
        <v>88</v>
      </c>
      <c r="E601" s="12" t="s">
        <v>1360</v>
      </c>
      <c r="F601" s="12" t="s">
        <v>21</v>
      </c>
      <c r="G601" s="12" t="s">
        <v>90</v>
      </c>
      <c r="H601" s="12" t="s">
        <v>1372</v>
      </c>
      <c r="I601" s="12">
        <v>52371137095</v>
      </c>
      <c r="J601" s="12" t="s">
        <v>1373</v>
      </c>
      <c r="K601" s="12">
        <v>1</v>
      </c>
      <c r="L601" s="12">
        <v>11</v>
      </c>
      <c r="M601" s="12"/>
      <c r="N601" s="13">
        <v>1944</v>
      </c>
      <c r="O601" s="12" t="s">
        <v>93</v>
      </c>
      <c r="P601" s="12"/>
      <c r="Q601" s="12"/>
      <c r="R601" s="12" t="s">
        <v>94</v>
      </c>
      <c r="S601" s="12">
        <v>10</v>
      </c>
      <c r="T601" s="12" t="s">
        <v>1363</v>
      </c>
      <c r="U601" s="12" t="s">
        <v>1364</v>
      </c>
      <c r="V601" s="12">
        <f>VLOOKUP(Tabla4[[#This Row],[ZONA DEFINITIVO]],Hoja1!$A$1:$D$121,3,0)</f>
        <v>229113</v>
      </c>
      <c r="W601" s="12">
        <f>VLOOKUP(Tabla4[[#This Row],[ZONA DEFINITIVO]],Hoja1!$A$1:$D$121,2,0)</f>
        <v>15219</v>
      </c>
      <c r="X601" s="12">
        <f>VLOOKUP(Tabla4[[#This Row],[ZONA DEFINITIVO]],Hoja1!$A$1:$D$121,4,0)</f>
        <v>86725</v>
      </c>
      <c r="Y601" s="12" t="str">
        <f>+IF(Tabla4[[#This Row],[AGRUPACIONES]]=1,SUMIFS(Tabla4[UDS],Tabla4[ZONA DEFINITIVO],Tabla4[[#This Row],[ZONA DEFINITIVO]])," ")</f>
        <v xml:space="preserve"> </v>
      </c>
      <c r="Z601" s="12" t="str">
        <f>+IF(Tabla4[[#This Row],[AGRUPACIONES]]=1,SUMIFS(Tabla4[TOTAL COBERTURA],Tabla4[ZONA DEFINITIVO],Tabla4[[#This Row],[ZONA DEFINITIVO]])," ")</f>
        <v xml:space="preserve"> </v>
      </c>
      <c r="AA601" s="12"/>
      <c r="AB601" s="38">
        <v>16712355</v>
      </c>
      <c r="AC601" s="37">
        <v>0.02</v>
      </c>
      <c r="AD601" s="38">
        <f t="shared" si="10"/>
        <v>334247.10000000003</v>
      </c>
      <c r="AE601" s="12"/>
      <c r="AF601" s="12">
        <f>COUNTIF($A$20:A601,A601)</f>
        <v>6</v>
      </c>
      <c r="AG601" s="38">
        <v>16712355</v>
      </c>
      <c r="AH601" s="38">
        <f>Tabla4[[#This Row],[VALOR CONTRAPARTIDA]]+Tabla4[[#This Row],[TOTAL APORTES ICBF]]</f>
        <v>17046602.100000001</v>
      </c>
      <c r="AI601" s="35"/>
      <c r="AJ601" s="38"/>
      <c r="AK601" s="38"/>
      <c r="AL601" s="23"/>
      <c r="AM601" s="35">
        <f>VLOOKUP(Tabla4[[#This Row],[SERVICIO 2025]],$J$2:$V$14,5,0)*Tabla4[[#This Row],[TOTAL COBERTURA]]</f>
        <v>514184</v>
      </c>
      <c r="AN601" s="35">
        <f>VLOOKUP(Tabla4[[#This Row],[SERVICIO 2025]],$J$2:$V$14,6,0)*Tabla4[[#This Row],[TOTAL COBERTURA]]</f>
        <v>416251</v>
      </c>
      <c r="AO601" s="35">
        <f>VLOOKUP(Tabla4[[#This Row],[SERVICIO 2025]],$J$2:$V$14,8,0)*Tabla4[[#This Row],[TOTAL COBERTURA]]</f>
        <v>0</v>
      </c>
      <c r="AP601" s="35">
        <f>VLOOKUP(Tabla4[[#This Row],[SERVICIO 2025]],$J$2:$V$14,3,0)*Tabla4[[#This Row],[TOTAL COBERTURA]]*8</f>
        <v>15781920</v>
      </c>
      <c r="AQ601" s="35"/>
      <c r="AR601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601" s="35" t="str">
        <f>+IF(Tabla4[[#This Row],[AGRUPACIONES]]=1,SUMIFS(Tabla4[VALOR TOTAL],Tabla4[ZONA DEFINITIVO],Tabla4[[#This Row],[ZONA DEFINITIVO]])," ")</f>
        <v xml:space="preserve"> </v>
      </c>
      <c r="AT601" s="27">
        <f>(VLOOKUP(Tabla4[[#This Row],[SERVICIO 2025]],$J$2:$V$14,3,0)*Tabla4[[#This Row],[TOTAL COBERTURA]])+Tabla4[[#This Row],[VALOR FASE PREPARATORIA DE ALISTAMIENTO]]+Tabla4[[#This Row],[DOTACIÓN ÚNICA]]</f>
        <v>2486924</v>
      </c>
      <c r="AU601" s="35">
        <f>(VLOOKUP(Tabla4[[#This Row],[SERVICIO 2025]],$J$2:$V$14,3,0)*Tabla4[[#This Row],[TOTAL COBERTURA]])</f>
        <v>1972740</v>
      </c>
      <c r="AV601" s="35">
        <f>(VLOOKUP(Tabla4[[#This Row],[SERVICIO 2025]],$J$2:$V$14,3,0)*Tabla4[[#This Row],[TOTAL COBERTURA]])</f>
        <v>1972740</v>
      </c>
      <c r="AW601" s="35">
        <f>(VLOOKUP(Tabla4[[#This Row],[SERVICIO 2025]],$J$2:$V$14,3,0)*Tabla4[[#This Row],[TOTAL COBERTURA]])</f>
        <v>1972740</v>
      </c>
      <c r="AX601" s="35">
        <f>(VLOOKUP(Tabla4[[#This Row],[SERVICIO 2025]],$J$2:$V$14,3,0)*Tabla4[[#This Row],[TOTAL COBERTURA]])</f>
        <v>1972740</v>
      </c>
      <c r="AY601" s="35">
        <f>(VLOOKUP(Tabla4[[#This Row],[SERVICIO 2025]],$J$2:$V$14,3,0)*Tabla4[[#This Row],[TOTAL COBERTURA]])</f>
        <v>1972740</v>
      </c>
      <c r="AZ601" s="35">
        <f>(VLOOKUP(Tabla4[[#This Row],[SERVICIO 2025]],$J$2:$V$14,3,0)*Tabla4[[#This Row],[TOTAL COBERTURA]])</f>
        <v>1972740</v>
      </c>
      <c r="BA601" s="35">
        <f>(VLOOKUP(Tabla4[[#This Row],[SERVICIO 2025]],$J$2:$V$14,3,0)*Tabla4[[#This Row],[TOTAL COBERTURA]])+Tabla4[[#This Row],[VALOR FASE PREPARATORIA DE CIERRE]]</f>
        <v>2388991</v>
      </c>
      <c r="BB601" s="35">
        <f>SUM(Tabla4[[#This Row],[DESEMBOLSO 1]:[DESEMBOLSO 8]])</f>
        <v>16712355</v>
      </c>
      <c r="BC601" s="35">
        <f>VLOOKUP(Tabla4[[#This Row],[SERVICIO 2025]],$J$2:$V$14,10,0)*Tabla4[[#This Row],[TOTAL COBERTURA]]*$W$3</f>
        <v>16572248</v>
      </c>
      <c r="BD601" s="47" t="s">
        <v>211</v>
      </c>
      <c r="BE601" s="12" t="b">
        <f>EXACT(Tabla4[[#This Row],[VALOR ATENCIÓN (8 MESES)]],Tabla4[[#This Row],[VALOR TOTAL]])</f>
        <v>1</v>
      </c>
      <c r="BF601" s="23">
        <f>Tabla4[[#This Row],[VALOR ATENCIÓN (8 MESES)]]-Tabla4[[#This Row],[VALOR TOTAL]]</f>
        <v>0</v>
      </c>
      <c r="BG601" s="12" t="b">
        <f>EXACT(Tabla4[[#This Row],[TOTAL DESEMBOLSOS]],Tabla4[[#This Row],[VALOR ATENCIÓN (8 MESES)]])</f>
        <v>1</v>
      </c>
      <c r="BH601" s="29">
        <f>Tabla4[[#This Row],[TOTAL DESEMBOLSOS]]-Tabla4[[#This Row],[VALOR ATENCIÓN (8 MESES)]]</f>
        <v>0</v>
      </c>
      <c r="BI601" t="s">
        <v>98</v>
      </c>
      <c r="BJ601">
        <v>1944</v>
      </c>
    </row>
    <row r="602" spans="1:62">
      <c r="A602" s="13">
        <v>1944</v>
      </c>
      <c r="B602" s="13" t="s">
        <v>1359</v>
      </c>
      <c r="C602" s="12" t="s">
        <v>87</v>
      </c>
      <c r="D602" s="12" t="s">
        <v>88</v>
      </c>
      <c r="E602" s="12" t="s">
        <v>1360</v>
      </c>
      <c r="F602" s="12" t="s">
        <v>21</v>
      </c>
      <c r="G602" s="12" t="s">
        <v>90</v>
      </c>
      <c r="H602" s="12" t="s">
        <v>1374</v>
      </c>
      <c r="I602" s="12">
        <v>52371137096</v>
      </c>
      <c r="J602" s="12" t="s">
        <v>1375</v>
      </c>
      <c r="K602" s="12">
        <v>1</v>
      </c>
      <c r="L602" s="12">
        <v>10</v>
      </c>
      <c r="M602" s="12"/>
      <c r="N602" s="13">
        <v>1944</v>
      </c>
      <c r="O602" s="12" t="s">
        <v>93</v>
      </c>
      <c r="P602" s="12"/>
      <c r="Q602" s="12"/>
      <c r="R602" s="12" t="s">
        <v>94</v>
      </c>
      <c r="S602" s="12">
        <v>10</v>
      </c>
      <c r="T602" s="12" t="s">
        <v>1363</v>
      </c>
      <c r="U602" s="12" t="s">
        <v>1364</v>
      </c>
      <c r="V602" s="12">
        <f>VLOOKUP(Tabla4[[#This Row],[ZONA DEFINITIVO]],Hoja1!$A$1:$D$121,3,0)</f>
        <v>229113</v>
      </c>
      <c r="W602" s="12">
        <f>VLOOKUP(Tabla4[[#This Row],[ZONA DEFINITIVO]],Hoja1!$A$1:$D$121,2,0)</f>
        <v>15219</v>
      </c>
      <c r="X602" s="12">
        <f>VLOOKUP(Tabla4[[#This Row],[ZONA DEFINITIVO]],Hoja1!$A$1:$D$121,4,0)</f>
        <v>86725</v>
      </c>
      <c r="Y602" s="12" t="str">
        <f>+IF(Tabla4[[#This Row],[AGRUPACIONES]]=1,SUMIFS(Tabla4[UDS],Tabla4[ZONA DEFINITIVO],Tabla4[[#This Row],[ZONA DEFINITIVO]])," ")</f>
        <v xml:space="preserve"> </v>
      </c>
      <c r="Z602" s="12" t="str">
        <f>+IF(Tabla4[[#This Row],[AGRUPACIONES]]=1,SUMIFS(Tabla4[TOTAL COBERTURA],Tabla4[ZONA DEFINITIVO],Tabla4[[#This Row],[ZONA DEFINITIVO]])," ")</f>
        <v xml:space="preserve"> </v>
      </c>
      <c r="AA602" s="12"/>
      <c r="AB602" s="38">
        <v>15193050</v>
      </c>
      <c r="AC602" s="37">
        <v>0.02</v>
      </c>
      <c r="AD602" s="38">
        <f t="shared" si="10"/>
        <v>303861</v>
      </c>
      <c r="AE602" s="12"/>
      <c r="AF602" s="12">
        <f>COUNTIF($A$20:A602,A602)</f>
        <v>7</v>
      </c>
      <c r="AG602" s="38">
        <v>15193050</v>
      </c>
      <c r="AH602" s="38">
        <f>Tabla4[[#This Row],[VALOR CONTRAPARTIDA]]+Tabla4[[#This Row],[TOTAL APORTES ICBF]]</f>
        <v>15496911</v>
      </c>
      <c r="AI602" s="35"/>
      <c r="AJ602" s="38"/>
      <c r="AK602" s="38"/>
      <c r="AL602" s="23"/>
      <c r="AM602" s="35">
        <f>VLOOKUP(Tabla4[[#This Row],[SERVICIO 2025]],$J$2:$V$14,5,0)*Tabla4[[#This Row],[TOTAL COBERTURA]]</f>
        <v>467440</v>
      </c>
      <c r="AN602" s="35">
        <f>VLOOKUP(Tabla4[[#This Row],[SERVICIO 2025]],$J$2:$V$14,6,0)*Tabla4[[#This Row],[TOTAL COBERTURA]]</f>
        <v>378410</v>
      </c>
      <c r="AO602" s="35">
        <f>VLOOKUP(Tabla4[[#This Row],[SERVICIO 2025]],$J$2:$V$14,8,0)*Tabla4[[#This Row],[TOTAL COBERTURA]]</f>
        <v>0</v>
      </c>
      <c r="AP602" s="35">
        <f>VLOOKUP(Tabla4[[#This Row],[SERVICIO 2025]],$J$2:$V$14,3,0)*Tabla4[[#This Row],[TOTAL COBERTURA]]*8</f>
        <v>14347200</v>
      </c>
      <c r="AQ602" s="35"/>
      <c r="AR602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602" s="35" t="str">
        <f>+IF(Tabla4[[#This Row],[AGRUPACIONES]]=1,SUMIFS(Tabla4[VALOR TOTAL],Tabla4[ZONA DEFINITIVO],Tabla4[[#This Row],[ZONA DEFINITIVO]])," ")</f>
        <v xml:space="preserve"> </v>
      </c>
      <c r="AT602" s="27">
        <f>(VLOOKUP(Tabla4[[#This Row],[SERVICIO 2025]],$J$2:$V$14,3,0)*Tabla4[[#This Row],[TOTAL COBERTURA]])+Tabla4[[#This Row],[VALOR FASE PREPARATORIA DE ALISTAMIENTO]]+Tabla4[[#This Row],[DOTACIÓN ÚNICA]]</f>
        <v>2260840</v>
      </c>
      <c r="AU602" s="35">
        <f>(VLOOKUP(Tabla4[[#This Row],[SERVICIO 2025]],$J$2:$V$14,3,0)*Tabla4[[#This Row],[TOTAL COBERTURA]])</f>
        <v>1793400</v>
      </c>
      <c r="AV602" s="35">
        <f>(VLOOKUP(Tabla4[[#This Row],[SERVICIO 2025]],$J$2:$V$14,3,0)*Tabla4[[#This Row],[TOTAL COBERTURA]])</f>
        <v>1793400</v>
      </c>
      <c r="AW602" s="35">
        <f>(VLOOKUP(Tabla4[[#This Row],[SERVICIO 2025]],$J$2:$V$14,3,0)*Tabla4[[#This Row],[TOTAL COBERTURA]])</f>
        <v>1793400</v>
      </c>
      <c r="AX602" s="35">
        <f>(VLOOKUP(Tabla4[[#This Row],[SERVICIO 2025]],$J$2:$V$14,3,0)*Tabla4[[#This Row],[TOTAL COBERTURA]])</f>
        <v>1793400</v>
      </c>
      <c r="AY602" s="35">
        <f>(VLOOKUP(Tabla4[[#This Row],[SERVICIO 2025]],$J$2:$V$14,3,0)*Tabla4[[#This Row],[TOTAL COBERTURA]])</f>
        <v>1793400</v>
      </c>
      <c r="AZ602" s="35">
        <f>(VLOOKUP(Tabla4[[#This Row],[SERVICIO 2025]],$J$2:$V$14,3,0)*Tabla4[[#This Row],[TOTAL COBERTURA]])</f>
        <v>1793400</v>
      </c>
      <c r="BA602" s="35">
        <f>(VLOOKUP(Tabla4[[#This Row],[SERVICIO 2025]],$J$2:$V$14,3,0)*Tabla4[[#This Row],[TOTAL COBERTURA]])+Tabla4[[#This Row],[VALOR FASE PREPARATORIA DE CIERRE]]</f>
        <v>2171810</v>
      </c>
      <c r="BB602" s="35">
        <f>SUM(Tabla4[[#This Row],[DESEMBOLSO 1]:[DESEMBOLSO 8]])</f>
        <v>15193050</v>
      </c>
      <c r="BC602" s="35">
        <f>VLOOKUP(Tabla4[[#This Row],[SERVICIO 2025]],$J$2:$V$14,10,0)*Tabla4[[#This Row],[TOTAL COBERTURA]]*$W$3</f>
        <v>15065680</v>
      </c>
      <c r="BD602" s="47" t="s">
        <v>211</v>
      </c>
      <c r="BE602" s="12" t="b">
        <f>EXACT(Tabla4[[#This Row],[VALOR ATENCIÓN (8 MESES)]],Tabla4[[#This Row],[VALOR TOTAL]])</f>
        <v>1</v>
      </c>
      <c r="BF602" s="23">
        <f>Tabla4[[#This Row],[VALOR ATENCIÓN (8 MESES)]]-Tabla4[[#This Row],[VALOR TOTAL]]</f>
        <v>0</v>
      </c>
      <c r="BG602" s="12" t="b">
        <f>EXACT(Tabla4[[#This Row],[TOTAL DESEMBOLSOS]],Tabla4[[#This Row],[VALOR ATENCIÓN (8 MESES)]])</f>
        <v>1</v>
      </c>
      <c r="BH602" s="29">
        <f>Tabla4[[#This Row],[TOTAL DESEMBOLSOS]]-Tabla4[[#This Row],[VALOR ATENCIÓN (8 MESES)]]</f>
        <v>0</v>
      </c>
      <c r="BI602" t="s">
        <v>98</v>
      </c>
      <c r="BJ602">
        <v>1944</v>
      </c>
    </row>
    <row r="603" spans="1:62">
      <c r="A603" s="13">
        <v>1944</v>
      </c>
      <c r="B603" s="13" t="s">
        <v>1359</v>
      </c>
      <c r="C603" s="12" t="s">
        <v>87</v>
      </c>
      <c r="D603" s="12" t="s">
        <v>88</v>
      </c>
      <c r="E603" s="12" t="s">
        <v>1360</v>
      </c>
      <c r="F603" s="12" t="s">
        <v>21</v>
      </c>
      <c r="G603" s="12" t="s">
        <v>90</v>
      </c>
      <c r="H603" s="12" t="s">
        <v>1376</v>
      </c>
      <c r="I603" s="12">
        <v>52371137098</v>
      </c>
      <c r="J603" s="12" t="s">
        <v>1377</v>
      </c>
      <c r="K603" s="12">
        <v>1</v>
      </c>
      <c r="L603" s="12">
        <v>14</v>
      </c>
      <c r="M603" s="12"/>
      <c r="N603" s="13">
        <v>1944</v>
      </c>
      <c r="O603" s="12" t="s">
        <v>93</v>
      </c>
      <c r="P603" s="12"/>
      <c r="Q603" s="12"/>
      <c r="R603" s="12" t="s">
        <v>94</v>
      </c>
      <c r="S603" s="12">
        <v>10</v>
      </c>
      <c r="T603" s="12" t="s">
        <v>1363</v>
      </c>
      <c r="U603" s="12" t="s">
        <v>1364</v>
      </c>
      <c r="V603" s="12">
        <f>VLOOKUP(Tabla4[[#This Row],[ZONA DEFINITIVO]],Hoja1!$A$1:$D$121,3,0)</f>
        <v>229113</v>
      </c>
      <c r="W603" s="12">
        <f>VLOOKUP(Tabla4[[#This Row],[ZONA DEFINITIVO]],Hoja1!$A$1:$D$121,2,0)</f>
        <v>15219</v>
      </c>
      <c r="X603" s="12">
        <f>VLOOKUP(Tabla4[[#This Row],[ZONA DEFINITIVO]],Hoja1!$A$1:$D$121,4,0)</f>
        <v>86725</v>
      </c>
      <c r="Y603" s="12" t="str">
        <f>+IF(Tabla4[[#This Row],[AGRUPACIONES]]=1,SUMIFS(Tabla4[UDS],Tabla4[ZONA DEFINITIVO],Tabla4[[#This Row],[ZONA DEFINITIVO]])," ")</f>
        <v xml:space="preserve"> </v>
      </c>
      <c r="Z603" s="12" t="str">
        <f>+IF(Tabla4[[#This Row],[AGRUPACIONES]]=1,SUMIFS(Tabla4[TOTAL COBERTURA],Tabla4[ZONA DEFINITIVO],Tabla4[[#This Row],[ZONA DEFINITIVO]])," ")</f>
        <v xml:space="preserve"> </v>
      </c>
      <c r="AA603" s="12"/>
      <c r="AB603" s="38">
        <v>21270270</v>
      </c>
      <c r="AC603" s="37">
        <v>0.02</v>
      </c>
      <c r="AD603" s="38">
        <f t="shared" si="10"/>
        <v>425405.4</v>
      </c>
      <c r="AE603" s="12"/>
      <c r="AF603" s="12">
        <f>COUNTIF($A$20:A603,A603)</f>
        <v>8</v>
      </c>
      <c r="AG603" s="38">
        <v>21270270</v>
      </c>
      <c r="AH603" s="38">
        <f>Tabla4[[#This Row],[VALOR CONTRAPARTIDA]]+Tabla4[[#This Row],[TOTAL APORTES ICBF]]</f>
        <v>21695675.399999999</v>
      </c>
      <c r="AI603" s="35"/>
      <c r="AJ603" s="38"/>
      <c r="AK603" s="38"/>
      <c r="AL603" s="23"/>
      <c r="AM603" s="35">
        <f>VLOOKUP(Tabla4[[#This Row],[SERVICIO 2025]],$J$2:$V$14,5,0)*Tabla4[[#This Row],[TOTAL COBERTURA]]</f>
        <v>654416</v>
      </c>
      <c r="AN603" s="35">
        <f>VLOOKUP(Tabla4[[#This Row],[SERVICIO 2025]],$J$2:$V$14,6,0)*Tabla4[[#This Row],[TOTAL COBERTURA]]</f>
        <v>529774</v>
      </c>
      <c r="AO603" s="35">
        <f>VLOOKUP(Tabla4[[#This Row],[SERVICIO 2025]],$J$2:$V$14,8,0)*Tabla4[[#This Row],[TOTAL COBERTURA]]</f>
        <v>0</v>
      </c>
      <c r="AP603" s="35">
        <f>VLOOKUP(Tabla4[[#This Row],[SERVICIO 2025]],$J$2:$V$14,3,0)*Tabla4[[#This Row],[TOTAL COBERTURA]]*8</f>
        <v>20086080</v>
      </c>
      <c r="AQ603" s="35"/>
      <c r="AR603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603" s="35" t="str">
        <f>+IF(Tabla4[[#This Row],[AGRUPACIONES]]=1,SUMIFS(Tabla4[VALOR TOTAL],Tabla4[ZONA DEFINITIVO],Tabla4[[#This Row],[ZONA DEFINITIVO]])," ")</f>
        <v xml:space="preserve"> </v>
      </c>
      <c r="AT603" s="27">
        <f>(VLOOKUP(Tabla4[[#This Row],[SERVICIO 2025]],$J$2:$V$14,3,0)*Tabla4[[#This Row],[TOTAL COBERTURA]])+Tabla4[[#This Row],[VALOR FASE PREPARATORIA DE ALISTAMIENTO]]+Tabla4[[#This Row],[DOTACIÓN ÚNICA]]</f>
        <v>3165176</v>
      </c>
      <c r="AU603" s="35">
        <f>(VLOOKUP(Tabla4[[#This Row],[SERVICIO 2025]],$J$2:$V$14,3,0)*Tabla4[[#This Row],[TOTAL COBERTURA]])</f>
        <v>2510760</v>
      </c>
      <c r="AV603" s="35">
        <f>(VLOOKUP(Tabla4[[#This Row],[SERVICIO 2025]],$J$2:$V$14,3,0)*Tabla4[[#This Row],[TOTAL COBERTURA]])</f>
        <v>2510760</v>
      </c>
      <c r="AW603" s="35">
        <f>(VLOOKUP(Tabla4[[#This Row],[SERVICIO 2025]],$J$2:$V$14,3,0)*Tabla4[[#This Row],[TOTAL COBERTURA]])</f>
        <v>2510760</v>
      </c>
      <c r="AX603" s="35">
        <f>(VLOOKUP(Tabla4[[#This Row],[SERVICIO 2025]],$J$2:$V$14,3,0)*Tabla4[[#This Row],[TOTAL COBERTURA]])</f>
        <v>2510760</v>
      </c>
      <c r="AY603" s="35">
        <f>(VLOOKUP(Tabla4[[#This Row],[SERVICIO 2025]],$J$2:$V$14,3,0)*Tabla4[[#This Row],[TOTAL COBERTURA]])</f>
        <v>2510760</v>
      </c>
      <c r="AZ603" s="35">
        <f>(VLOOKUP(Tabla4[[#This Row],[SERVICIO 2025]],$J$2:$V$14,3,0)*Tabla4[[#This Row],[TOTAL COBERTURA]])</f>
        <v>2510760</v>
      </c>
      <c r="BA603" s="35">
        <f>(VLOOKUP(Tabla4[[#This Row],[SERVICIO 2025]],$J$2:$V$14,3,0)*Tabla4[[#This Row],[TOTAL COBERTURA]])+Tabla4[[#This Row],[VALOR FASE PREPARATORIA DE CIERRE]]</f>
        <v>3040534</v>
      </c>
      <c r="BB603" s="35">
        <f>SUM(Tabla4[[#This Row],[DESEMBOLSO 1]:[DESEMBOLSO 8]])</f>
        <v>21270270</v>
      </c>
      <c r="BC603" s="35">
        <f>VLOOKUP(Tabla4[[#This Row],[SERVICIO 2025]],$J$2:$V$14,10,0)*Tabla4[[#This Row],[TOTAL COBERTURA]]*$W$3</f>
        <v>21091952</v>
      </c>
      <c r="BD603" s="47" t="s">
        <v>211</v>
      </c>
      <c r="BE603" s="12" t="b">
        <f>EXACT(Tabla4[[#This Row],[VALOR ATENCIÓN (8 MESES)]],Tabla4[[#This Row],[VALOR TOTAL]])</f>
        <v>1</v>
      </c>
      <c r="BF603" s="23">
        <f>Tabla4[[#This Row],[VALOR ATENCIÓN (8 MESES)]]-Tabla4[[#This Row],[VALOR TOTAL]]</f>
        <v>0</v>
      </c>
      <c r="BG603" s="12" t="b">
        <f>EXACT(Tabla4[[#This Row],[TOTAL DESEMBOLSOS]],Tabla4[[#This Row],[VALOR ATENCIÓN (8 MESES)]])</f>
        <v>1</v>
      </c>
      <c r="BH603" s="29">
        <f>Tabla4[[#This Row],[TOTAL DESEMBOLSOS]]-Tabla4[[#This Row],[VALOR ATENCIÓN (8 MESES)]]</f>
        <v>0</v>
      </c>
      <c r="BI603" t="s">
        <v>98</v>
      </c>
      <c r="BJ603">
        <v>1944</v>
      </c>
    </row>
    <row r="604" spans="1:62">
      <c r="A604" s="13">
        <v>1944</v>
      </c>
      <c r="B604" s="13" t="s">
        <v>1359</v>
      </c>
      <c r="C604" s="12" t="s">
        <v>87</v>
      </c>
      <c r="D604" s="12" t="s">
        <v>88</v>
      </c>
      <c r="E604" s="12" t="s">
        <v>1360</v>
      </c>
      <c r="F604" s="12" t="s">
        <v>21</v>
      </c>
      <c r="G604" s="12" t="s">
        <v>90</v>
      </c>
      <c r="H604" s="12" t="s">
        <v>1378</v>
      </c>
      <c r="I604" s="12">
        <v>52371137102</v>
      </c>
      <c r="J604" s="12" t="s">
        <v>1379</v>
      </c>
      <c r="K604" s="12">
        <v>1</v>
      </c>
      <c r="L604" s="12">
        <v>11</v>
      </c>
      <c r="M604" s="12"/>
      <c r="N604" s="13">
        <v>1944</v>
      </c>
      <c r="O604" s="12" t="s">
        <v>93</v>
      </c>
      <c r="P604" s="12"/>
      <c r="Q604" s="12"/>
      <c r="R604" s="12" t="s">
        <v>94</v>
      </c>
      <c r="S604" s="12">
        <v>10</v>
      </c>
      <c r="T604" s="12" t="s">
        <v>1363</v>
      </c>
      <c r="U604" s="12" t="s">
        <v>1364</v>
      </c>
      <c r="V604" s="12">
        <f>VLOOKUP(Tabla4[[#This Row],[ZONA DEFINITIVO]],Hoja1!$A$1:$D$121,3,0)</f>
        <v>229113</v>
      </c>
      <c r="W604" s="12">
        <f>VLOOKUP(Tabla4[[#This Row],[ZONA DEFINITIVO]],Hoja1!$A$1:$D$121,2,0)</f>
        <v>15219</v>
      </c>
      <c r="X604" s="12">
        <f>VLOOKUP(Tabla4[[#This Row],[ZONA DEFINITIVO]],Hoja1!$A$1:$D$121,4,0)</f>
        <v>86725</v>
      </c>
      <c r="Y604" s="12" t="str">
        <f>+IF(Tabla4[[#This Row],[AGRUPACIONES]]=1,SUMIFS(Tabla4[UDS],Tabla4[ZONA DEFINITIVO],Tabla4[[#This Row],[ZONA DEFINITIVO]])," ")</f>
        <v xml:space="preserve"> </v>
      </c>
      <c r="Z604" s="12" t="str">
        <f>+IF(Tabla4[[#This Row],[AGRUPACIONES]]=1,SUMIFS(Tabla4[TOTAL COBERTURA],Tabla4[ZONA DEFINITIVO],Tabla4[[#This Row],[ZONA DEFINITIVO]])," ")</f>
        <v xml:space="preserve"> </v>
      </c>
      <c r="AA604" s="12"/>
      <c r="AB604" s="38">
        <v>16712355</v>
      </c>
      <c r="AC604" s="37">
        <v>0.02</v>
      </c>
      <c r="AD604" s="38">
        <f t="shared" si="10"/>
        <v>334247.10000000003</v>
      </c>
      <c r="AE604" s="12"/>
      <c r="AF604" s="12">
        <f>COUNTIF($A$20:A604,A604)</f>
        <v>9</v>
      </c>
      <c r="AG604" s="38">
        <v>16712355</v>
      </c>
      <c r="AH604" s="38">
        <f>Tabla4[[#This Row],[VALOR CONTRAPARTIDA]]+Tabla4[[#This Row],[TOTAL APORTES ICBF]]</f>
        <v>17046602.100000001</v>
      </c>
      <c r="AI604" s="35"/>
      <c r="AJ604" s="38"/>
      <c r="AK604" s="38"/>
      <c r="AL604" s="23"/>
      <c r="AM604" s="35">
        <f>VLOOKUP(Tabla4[[#This Row],[SERVICIO 2025]],$J$2:$V$14,5,0)*Tabla4[[#This Row],[TOTAL COBERTURA]]</f>
        <v>514184</v>
      </c>
      <c r="AN604" s="35">
        <f>VLOOKUP(Tabla4[[#This Row],[SERVICIO 2025]],$J$2:$V$14,6,0)*Tabla4[[#This Row],[TOTAL COBERTURA]]</f>
        <v>416251</v>
      </c>
      <c r="AO604" s="35">
        <f>VLOOKUP(Tabla4[[#This Row],[SERVICIO 2025]],$J$2:$V$14,8,0)*Tabla4[[#This Row],[TOTAL COBERTURA]]</f>
        <v>0</v>
      </c>
      <c r="AP604" s="35">
        <f>VLOOKUP(Tabla4[[#This Row],[SERVICIO 2025]],$J$2:$V$14,3,0)*Tabla4[[#This Row],[TOTAL COBERTURA]]*8</f>
        <v>15781920</v>
      </c>
      <c r="AQ604" s="35"/>
      <c r="AR604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604" s="35" t="str">
        <f>+IF(Tabla4[[#This Row],[AGRUPACIONES]]=1,SUMIFS(Tabla4[VALOR TOTAL],Tabla4[ZONA DEFINITIVO],Tabla4[[#This Row],[ZONA DEFINITIVO]])," ")</f>
        <v xml:space="preserve"> </v>
      </c>
      <c r="AT604" s="27">
        <f>(VLOOKUP(Tabla4[[#This Row],[SERVICIO 2025]],$J$2:$V$14,3,0)*Tabla4[[#This Row],[TOTAL COBERTURA]])+Tabla4[[#This Row],[VALOR FASE PREPARATORIA DE ALISTAMIENTO]]+Tabla4[[#This Row],[DOTACIÓN ÚNICA]]</f>
        <v>2486924</v>
      </c>
      <c r="AU604" s="35">
        <f>(VLOOKUP(Tabla4[[#This Row],[SERVICIO 2025]],$J$2:$V$14,3,0)*Tabla4[[#This Row],[TOTAL COBERTURA]])</f>
        <v>1972740</v>
      </c>
      <c r="AV604" s="35">
        <f>(VLOOKUP(Tabla4[[#This Row],[SERVICIO 2025]],$J$2:$V$14,3,0)*Tabla4[[#This Row],[TOTAL COBERTURA]])</f>
        <v>1972740</v>
      </c>
      <c r="AW604" s="35">
        <f>(VLOOKUP(Tabla4[[#This Row],[SERVICIO 2025]],$J$2:$V$14,3,0)*Tabla4[[#This Row],[TOTAL COBERTURA]])</f>
        <v>1972740</v>
      </c>
      <c r="AX604" s="35">
        <f>(VLOOKUP(Tabla4[[#This Row],[SERVICIO 2025]],$J$2:$V$14,3,0)*Tabla4[[#This Row],[TOTAL COBERTURA]])</f>
        <v>1972740</v>
      </c>
      <c r="AY604" s="35">
        <f>(VLOOKUP(Tabla4[[#This Row],[SERVICIO 2025]],$J$2:$V$14,3,0)*Tabla4[[#This Row],[TOTAL COBERTURA]])</f>
        <v>1972740</v>
      </c>
      <c r="AZ604" s="35">
        <f>(VLOOKUP(Tabla4[[#This Row],[SERVICIO 2025]],$J$2:$V$14,3,0)*Tabla4[[#This Row],[TOTAL COBERTURA]])</f>
        <v>1972740</v>
      </c>
      <c r="BA604" s="35">
        <f>(VLOOKUP(Tabla4[[#This Row],[SERVICIO 2025]],$J$2:$V$14,3,0)*Tabla4[[#This Row],[TOTAL COBERTURA]])+Tabla4[[#This Row],[VALOR FASE PREPARATORIA DE CIERRE]]</f>
        <v>2388991</v>
      </c>
      <c r="BB604" s="35">
        <f>SUM(Tabla4[[#This Row],[DESEMBOLSO 1]:[DESEMBOLSO 8]])</f>
        <v>16712355</v>
      </c>
      <c r="BC604" s="35">
        <f>VLOOKUP(Tabla4[[#This Row],[SERVICIO 2025]],$J$2:$V$14,10,0)*Tabla4[[#This Row],[TOTAL COBERTURA]]*$W$3</f>
        <v>16572248</v>
      </c>
      <c r="BD604" s="47" t="s">
        <v>211</v>
      </c>
      <c r="BE604" s="12" t="b">
        <f>EXACT(Tabla4[[#This Row],[VALOR ATENCIÓN (8 MESES)]],Tabla4[[#This Row],[VALOR TOTAL]])</f>
        <v>1</v>
      </c>
      <c r="BF604" s="23">
        <f>Tabla4[[#This Row],[VALOR ATENCIÓN (8 MESES)]]-Tabla4[[#This Row],[VALOR TOTAL]]</f>
        <v>0</v>
      </c>
      <c r="BG604" s="12" t="b">
        <f>EXACT(Tabla4[[#This Row],[TOTAL DESEMBOLSOS]],Tabla4[[#This Row],[VALOR ATENCIÓN (8 MESES)]])</f>
        <v>1</v>
      </c>
      <c r="BH604" s="29">
        <f>Tabla4[[#This Row],[TOTAL DESEMBOLSOS]]-Tabla4[[#This Row],[VALOR ATENCIÓN (8 MESES)]]</f>
        <v>0</v>
      </c>
      <c r="BI604" t="s">
        <v>98</v>
      </c>
      <c r="BJ604">
        <v>1944</v>
      </c>
    </row>
    <row r="605" spans="1:62">
      <c r="A605" s="13">
        <v>1944</v>
      </c>
      <c r="B605" s="13" t="s">
        <v>1359</v>
      </c>
      <c r="C605" s="12" t="s">
        <v>87</v>
      </c>
      <c r="D605" s="12" t="s">
        <v>88</v>
      </c>
      <c r="E605" s="12" t="s">
        <v>1360</v>
      </c>
      <c r="F605" s="12" t="s">
        <v>21</v>
      </c>
      <c r="G605" s="12" t="s">
        <v>90</v>
      </c>
      <c r="H605" s="12" t="s">
        <v>1380</v>
      </c>
      <c r="I605" s="12">
        <v>52371137108</v>
      </c>
      <c r="J605" s="12" t="s">
        <v>1381</v>
      </c>
      <c r="K605" s="12">
        <v>1</v>
      </c>
      <c r="L605" s="12">
        <v>10</v>
      </c>
      <c r="M605" s="12"/>
      <c r="N605" s="13">
        <v>1944</v>
      </c>
      <c r="O605" s="12" t="s">
        <v>93</v>
      </c>
      <c r="P605" s="12"/>
      <c r="Q605" s="12"/>
      <c r="R605" s="12" t="s">
        <v>94</v>
      </c>
      <c r="S605" s="12">
        <v>10</v>
      </c>
      <c r="T605" s="12" t="s">
        <v>1363</v>
      </c>
      <c r="U605" s="12" t="s">
        <v>1364</v>
      </c>
      <c r="V605" s="12">
        <f>VLOOKUP(Tabla4[[#This Row],[ZONA DEFINITIVO]],Hoja1!$A$1:$D$121,3,0)</f>
        <v>229113</v>
      </c>
      <c r="W605" s="12">
        <f>VLOOKUP(Tabla4[[#This Row],[ZONA DEFINITIVO]],Hoja1!$A$1:$D$121,2,0)</f>
        <v>15219</v>
      </c>
      <c r="X605" s="12">
        <f>VLOOKUP(Tabla4[[#This Row],[ZONA DEFINITIVO]],Hoja1!$A$1:$D$121,4,0)</f>
        <v>86725</v>
      </c>
      <c r="Y605" s="12" t="str">
        <f>+IF(Tabla4[[#This Row],[AGRUPACIONES]]=1,SUMIFS(Tabla4[UDS],Tabla4[ZONA DEFINITIVO],Tabla4[[#This Row],[ZONA DEFINITIVO]])," ")</f>
        <v xml:space="preserve"> </v>
      </c>
      <c r="Z605" s="12" t="str">
        <f>+IF(Tabla4[[#This Row],[AGRUPACIONES]]=1,SUMIFS(Tabla4[TOTAL COBERTURA],Tabla4[ZONA DEFINITIVO],Tabla4[[#This Row],[ZONA DEFINITIVO]])," ")</f>
        <v xml:space="preserve"> </v>
      </c>
      <c r="AA605" s="12"/>
      <c r="AB605" s="38">
        <v>15193050</v>
      </c>
      <c r="AC605" s="37">
        <v>0.02</v>
      </c>
      <c r="AD605" s="38">
        <f t="shared" si="10"/>
        <v>303861</v>
      </c>
      <c r="AE605" s="12"/>
      <c r="AF605" s="12">
        <f>COUNTIF($A$20:A605,A605)</f>
        <v>10</v>
      </c>
      <c r="AG605" s="38">
        <v>15193050</v>
      </c>
      <c r="AH605" s="38">
        <f>Tabla4[[#This Row],[VALOR CONTRAPARTIDA]]+Tabla4[[#This Row],[TOTAL APORTES ICBF]]</f>
        <v>15496911</v>
      </c>
      <c r="AI605" s="35"/>
      <c r="AJ605" s="38"/>
      <c r="AK605" s="38"/>
      <c r="AL605" s="23"/>
      <c r="AM605" s="35">
        <f>VLOOKUP(Tabla4[[#This Row],[SERVICIO 2025]],$J$2:$V$14,5,0)*Tabla4[[#This Row],[TOTAL COBERTURA]]</f>
        <v>467440</v>
      </c>
      <c r="AN605" s="35">
        <f>VLOOKUP(Tabla4[[#This Row],[SERVICIO 2025]],$J$2:$V$14,6,0)*Tabla4[[#This Row],[TOTAL COBERTURA]]</f>
        <v>378410</v>
      </c>
      <c r="AO605" s="35">
        <f>VLOOKUP(Tabla4[[#This Row],[SERVICIO 2025]],$J$2:$V$14,8,0)*Tabla4[[#This Row],[TOTAL COBERTURA]]</f>
        <v>0</v>
      </c>
      <c r="AP605" s="35">
        <f>VLOOKUP(Tabla4[[#This Row],[SERVICIO 2025]],$J$2:$V$14,3,0)*Tabla4[[#This Row],[TOTAL COBERTURA]]*8</f>
        <v>14347200</v>
      </c>
      <c r="AQ605" s="35"/>
      <c r="AR605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605" s="35" t="str">
        <f>+IF(Tabla4[[#This Row],[AGRUPACIONES]]=1,SUMIFS(Tabla4[VALOR TOTAL],Tabla4[ZONA DEFINITIVO],Tabla4[[#This Row],[ZONA DEFINITIVO]])," ")</f>
        <v xml:space="preserve"> </v>
      </c>
      <c r="AT605" s="27">
        <f>(VLOOKUP(Tabla4[[#This Row],[SERVICIO 2025]],$J$2:$V$14,3,0)*Tabla4[[#This Row],[TOTAL COBERTURA]])+Tabla4[[#This Row],[VALOR FASE PREPARATORIA DE ALISTAMIENTO]]+Tabla4[[#This Row],[DOTACIÓN ÚNICA]]</f>
        <v>2260840</v>
      </c>
      <c r="AU605" s="35">
        <f>(VLOOKUP(Tabla4[[#This Row],[SERVICIO 2025]],$J$2:$V$14,3,0)*Tabla4[[#This Row],[TOTAL COBERTURA]])</f>
        <v>1793400</v>
      </c>
      <c r="AV605" s="35">
        <f>(VLOOKUP(Tabla4[[#This Row],[SERVICIO 2025]],$J$2:$V$14,3,0)*Tabla4[[#This Row],[TOTAL COBERTURA]])</f>
        <v>1793400</v>
      </c>
      <c r="AW605" s="35">
        <f>(VLOOKUP(Tabla4[[#This Row],[SERVICIO 2025]],$J$2:$V$14,3,0)*Tabla4[[#This Row],[TOTAL COBERTURA]])</f>
        <v>1793400</v>
      </c>
      <c r="AX605" s="35">
        <f>(VLOOKUP(Tabla4[[#This Row],[SERVICIO 2025]],$J$2:$V$14,3,0)*Tabla4[[#This Row],[TOTAL COBERTURA]])</f>
        <v>1793400</v>
      </c>
      <c r="AY605" s="35">
        <f>(VLOOKUP(Tabla4[[#This Row],[SERVICIO 2025]],$J$2:$V$14,3,0)*Tabla4[[#This Row],[TOTAL COBERTURA]])</f>
        <v>1793400</v>
      </c>
      <c r="AZ605" s="35">
        <f>(VLOOKUP(Tabla4[[#This Row],[SERVICIO 2025]],$J$2:$V$14,3,0)*Tabla4[[#This Row],[TOTAL COBERTURA]])</f>
        <v>1793400</v>
      </c>
      <c r="BA605" s="35">
        <f>(VLOOKUP(Tabla4[[#This Row],[SERVICIO 2025]],$J$2:$V$14,3,0)*Tabla4[[#This Row],[TOTAL COBERTURA]])+Tabla4[[#This Row],[VALOR FASE PREPARATORIA DE CIERRE]]</f>
        <v>2171810</v>
      </c>
      <c r="BB605" s="35">
        <f>SUM(Tabla4[[#This Row],[DESEMBOLSO 1]:[DESEMBOLSO 8]])</f>
        <v>15193050</v>
      </c>
      <c r="BC605" s="35">
        <f>VLOOKUP(Tabla4[[#This Row],[SERVICIO 2025]],$J$2:$V$14,10,0)*Tabla4[[#This Row],[TOTAL COBERTURA]]*$W$3</f>
        <v>15065680</v>
      </c>
      <c r="BD605" s="47" t="s">
        <v>211</v>
      </c>
      <c r="BE605" s="12" t="b">
        <f>EXACT(Tabla4[[#This Row],[VALOR ATENCIÓN (8 MESES)]],Tabla4[[#This Row],[VALOR TOTAL]])</f>
        <v>1</v>
      </c>
      <c r="BF605" s="23">
        <f>Tabla4[[#This Row],[VALOR ATENCIÓN (8 MESES)]]-Tabla4[[#This Row],[VALOR TOTAL]]</f>
        <v>0</v>
      </c>
      <c r="BG605" s="12" t="b">
        <f>EXACT(Tabla4[[#This Row],[TOTAL DESEMBOLSOS]],Tabla4[[#This Row],[VALOR ATENCIÓN (8 MESES)]])</f>
        <v>1</v>
      </c>
      <c r="BH605" s="29">
        <f>Tabla4[[#This Row],[TOTAL DESEMBOLSOS]]-Tabla4[[#This Row],[VALOR ATENCIÓN (8 MESES)]]</f>
        <v>0</v>
      </c>
      <c r="BI605" t="s">
        <v>98</v>
      </c>
      <c r="BJ605">
        <v>1944</v>
      </c>
    </row>
    <row r="606" spans="1:62">
      <c r="A606" s="13">
        <v>1944</v>
      </c>
      <c r="B606" s="13" t="s">
        <v>1359</v>
      </c>
      <c r="C606" s="12" t="s">
        <v>87</v>
      </c>
      <c r="D606" s="12" t="s">
        <v>88</v>
      </c>
      <c r="E606" s="12" t="s">
        <v>1360</v>
      </c>
      <c r="F606" s="12" t="s">
        <v>21</v>
      </c>
      <c r="G606" s="12" t="s">
        <v>90</v>
      </c>
      <c r="H606" s="12" t="s">
        <v>1382</v>
      </c>
      <c r="I606" s="12">
        <v>52371137111</v>
      </c>
      <c r="J606" s="12" t="s">
        <v>1383</v>
      </c>
      <c r="K606" s="12">
        <v>1</v>
      </c>
      <c r="L606" s="12">
        <v>17</v>
      </c>
      <c r="M606" s="12"/>
      <c r="N606" s="13">
        <v>1944</v>
      </c>
      <c r="O606" s="12" t="s">
        <v>93</v>
      </c>
      <c r="P606" s="12"/>
      <c r="Q606" s="12"/>
      <c r="R606" s="12" t="s">
        <v>94</v>
      </c>
      <c r="S606" s="12">
        <v>10</v>
      </c>
      <c r="T606" s="12" t="s">
        <v>1363</v>
      </c>
      <c r="U606" s="12" t="s">
        <v>1364</v>
      </c>
      <c r="V606" s="12">
        <f>VLOOKUP(Tabla4[[#This Row],[ZONA DEFINITIVO]],Hoja1!$A$1:$D$121,3,0)</f>
        <v>229113</v>
      </c>
      <c r="W606" s="12">
        <f>VLOOKUP(Tabla4[[#This Row],[ZONA DEFINITIVO]],Hoja1!$A$1:$D$121,2,0)</f>
        <v>15219</v>
      </c>
      <c r="X606" s="12">
        <f>VLOOKUP(Tabla4[[#This Row],[ZONA DEFINITIVO]],Hoja1!$A$1:$D$121,4,0)</f>
        <v>86725</v>
      </c>
      <c r="Y606" s="12" t="str">
        <f>+IF(Tabla4[[#This Row],[AGRUPACIONES]]=1,SUMIFS(Tabla4[UDS],Tabla4[ZONA DEFINITIVO],Tabla4[[#This Row],[ZONA DEFINITIVO]])," ")</f>
        <v xml:space="preserve"> </v>
      </c>
      <c r="Z606" s="12" t="str">
        <f>+IF(Tabla4[[#This Row],[AGRUPACIONES]]=1,SUMIFS(Tabla4[TOTAL COBERTURA],Tabla4[ZONA DEFINITIVO],Tabla4[[#This Row],[ZONA DEFINITIVO]])," ")</f>
        <v xml:space="preserve"> </v>
      </c>
      <c r="AA606" s="12"/>
      <c r="AB606" s="38">
        <v>25828185</v>
      </c>
      <c r="AC606" s="37">
        <v>0.02</v>
      </c>
      <c r="AD606" s="38">
        <f t="shared" si="10"/>
        <v>516563.7</v>
      </c>
      <c r="AE606" s="12"/>
      <c r="AF606" s="12">
        <f>COUNTIF($A$20:A606,A606)</f>
        <v>11</v>
      </c>
      <c r="AG606" s="38">
        <v>25828185</v>
      </c>
      <c r="AH606" s="38">
        <f>Tabla4[[#This Row],[VALOR CONTRAPARTIDA]]+Tabla4[[#This Row],[TOTAL APORTES ICBF]]</f>
        <v>26344748.699999999</v>
      </c>
      <c r="AI606" s="35"/>
      <c r="AJ606" s="38"/>
      <c r="AK606" s="38"/>
      <c r="AL606" s="23"/>
      <c r="AM606" s="35">
        <f>VLOOKUP(Tabla4[[#This Row],[SERVICIO 2025]],$J$2:$V$14,5,0)*Tabla4[[#This Row],[TOTAL COBERTURA]]</f>
        <v>794648</v>
      </c>
      <c r="AN606" s="35">
        <f>VLOOKUP(Tabla4[[#This Row],[SERVICIO 2025]],$J$2:$V$14,6,0)*Tabla4[[#This Row],[TOTAL COBERTURA]]</f>
        <v>643297</v>
      </c>
      <c r="AO606" s="35">
        <f>VLOOKUP(Tabla4[[#This Row],[SERVICIO 2025]],$J$2:$V$14,8,0)*Tabla4[[#This Row],[TOTAL COBERTURA]]</f>
        <v>0</v>
      </c>
      <c r="AP606" s="35">
        <f>VLOOKUP(Tabla4[[#This Row],[SERVICIO 2025]],$J$2:$V$14,3,0)*Tabla4[[#This Row],[TOTAL COBERTURA]]*8</f>
        <v>24390240</v>
      </c>
      <c r="AQ606" s="35"/>
      <c r="AR606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606" s="35" t="str">
        <f>+IF(Tabla4[[#This Row],[AGRUPACIONES]]=1,SUMIFS(Tabla4[VALOR TOTAL],Tabla4[ZONA DEFINITIVO],Tabla4[[#This Row],[ZONA DEFINITIVO]])," ")</f>
        <v xml:space="preserve"> </v>
      </c>
      <c r="AT606" s="27">
        <f>(VLOOKUP(Tabla4[[#This Row],[SERVICIO 2025]],$J$2:$V$14,3,0)*Tabla4[[#This Row],[TOTAL COBERTURA]])+Tabla4[[#This Row],[VALOR FASE PREPARATORIA DE ALISTAMIENTO]]+Tabla4[[#This Row],[DOTACIÓN ÚNICA]]</f>
        <v>3843428</v>
      </c>
      <c r="AU606" s="35">
        <f>(VLOOKUP(Tabla4[[#This Row],[SERVICIO 2025]],$J$2:$V$14,3,0)*Tabla4[[#This Row],[TOTAL COBERTURA]])</f>
        <v>3048780</v>
      </c>
      <c r="AV606" s="35">
        <f>(VLOOKUP(Tabla4[[#This Row],[SERVICIO 2025]],$J$2:$V$14,3,0)*Tabla4[[#This Row],[TOTAL COBERTURA]])</f>
        <v>3048780</v>
      </c>
      <c r="AW606" s="35">
        <f>(VLOOKUP(Tabla4[[#This Row],[SERVICIO 2025]],$J$2:$V$14,3,0)*Tabla4[[#This Row],[TOTAL COBERTURA]])</f>
        <v>3048780</v>
      </c>
      <c r="AX606" s="35">
        <f>(VLOOKUP(Tabla4[[#This Row],[SERVICIO 2025]],$J$2:$V$14,3,0)*Tabla4[[#This Row],[TOTAL COBERTURA]])</f>
        <v>3048780</v>
      </c>
      <c r="AY606" s="35">
        <f>(VLOOKUP(Tabla4[[#This Row],[SERVICIO 2025]],$J$2:$V$14,3,0)*Tabla4[[#This Row],[TOTAL COBERTURA]])</f>
        <v>3048780</v>
      </c>
      <c r="AZ606" s="35">
        <f>(VLOOKUP(Tabla4[[#This Row],[SERVICIO 2025]],$J$2:$V$14,3,0)*Tabla4[[#This Row],[TOTAL COBERTURA]])</f>
        <v>3048780</v>
      </c>
      <c r="BA606" s="35">
        <f>(VLOOKUP(Tabla4[[#This Row],[SERVICIO 2025]],$J$2:$V$14,3,0)*Tabla4[[#This Row],[TOTAL COBERTURA]])+Tabla4[[#This Row],[VALOR FASE PREPARATORIA DE CIERRE]]</f>
        <v>3692077</v>
      </c>
      <c r="BB606" s="35">
        <f>SUM(Tabla4[[#This Row],[DESEMBOLSO 1]:[DESEMBOLSO 8]])</f>
        <v>25828185</v>
      </c>
      <c r="BC606" s="35">
        <f>VLOOKUP(Tabla4[[#This Row],[SERVICIO 2025]],$J$2:$V$14,10,0)*Tabla4[[#This Row],[TOTAL COBERTURA]]*$W$3</f>
        <v>25611656</v>
      </c>
      <c r="BD606" s="47" t="s">
        <v>211</v>
      </c>
      <c r="BE606" s="12" t="b">
        <f>EXACT(Tabla4[[#This Row],[VALOR ATENCIÓN (8 MESES)]],Tabla4[[#This Row],[VALOR TOTAL]])</f>
        <v>1</v>
      </c>
      <c r="BF606" s="23">
        <f>Tabla4[[#This Row],[VALOR ATENCIÓN (8 MESES)]]-Tabla4[[#This Row],[VALOR TOTAL]]</f>
        <v>0</v>
      </c>
      <c r="BG606" s="12" t="b">
        <f>EXACT(Tabla4[[#This Row],[TOTAL DESEMBOLSOS]],Tabla4[[#This Row],[VALOR ATENCIÓN (8 MESES)]])</f>
        <v>1</v>
      </c>
      <c r="BH606" s="29">
        <f>Tabla4[[#This Row],[TOTAL DESEMBOLSOS]]-Tabla4[[#This Row],[VALOR ATENCIÓN (8 MESES)]]</f>
        <v>0</v>
      </c>
      <c r="BI606" t="s">
        <v>98</v>
      </c>
      <c r="BJ606">
        <v>1944</v>
      </c>
    </row>
    <row r="607" spans="1:62">
      <c r="A607" s="13">
        <v>1944</v>
      </c>
      <c r="B607" s="13" t="s">
        <v>1359</v>
      </c>
      <c r="C607" s="12" t="s">
        <v>87</v>
      </c>
      <c r="D607" s="12" t="s">
        <v>88</v>
      </c>
      <c r="E607" s="12" t="s">
        <v>1360</v>
      </c>
      <c r="F607" s="12" t="s">
        <v>21</v>
      </c>
      <c r="G607" s="12" t="s">
        <v>90</v>
      </c>
      <c r="H607" s="12" t="s">
        <v>1384</v>
      </c>
      <c r="I607" s="12">
        <v>52371137117</v>
      </c>
      <c r="J607" s="12" t="s">
        <v>1385</v>
      </c>
      <c r="K607" s="12">
        <v>1</v>
      </c>
      <c r="L607" s="12">
        <v>26</v>
      </c>
      <c r="M607" s="12"/>
      <c r="N607" s="13">
        <v>1944</v>
      </c>
      <c r="O607" s="12" t="s">
        <v>93</v>
      </c>
      <c r="P607" s="12"/>
      <c r="Q607" s="12"/>
      <c r="R607" s="12" t="s">
        <v>94</v>
      </c>
      <c r="S607" s="12">
        <v>10</v>
      </c>
      <c r="T607" s="12" t="s">
        <v>1363</v>
      </c>
      <c r="U607" s="12" t="s">
        <v>1364</v>
      </c>
      <c r="V607" s="12">
        <f>VLOOKUP(Tabla4[[#This Row],[ZONA DEFINITIVO]],Hoja1!$A$1:$D$121,3,0)</f>
        <v>229113</v>
      </c>
      <c r="W607" s="12">
        <f>VLOOKUP(Tabla4[[#This Row],[ZONA DEFINITIVO]],Hoja1!$A$1:$D$121,2,0)</f>
        <v>15219</v>
      </c>
      <c r="X607" s="12">
        <f>VLOOKUP(Tabla4[[#This Row],[ZONA DEFINITIVO]],Hoja1!$A$1:$D$121,4,0)</f>
        <v>86725</v>
      </c>
      <c r="Y607" s="12" t="str">
        <f>+IF(Tabla4[[#This Row],[AGRUPACIONES]]=1,SUMIFS(Tabla4[UDS],Tabla4[ZONA DEFINITIVO],Tabla4[[#This Row],[ZONA DEFINITIVO]])," ")</f>
        <v xml:space="preserve"> </v>
      </c>
      <c r="Z607" s="12" t="str">
        <f>+IF(Tabla4[[#This Row],[AGRUPACIONES]]=1,SUMIFS(Tabla4[TOTAL COBERTURA],Tabla4[ZONA DEFINITIVO],Tabla4[[#This Row],[ZONA DEFINITIVO]])," ")</f>
        <v xml:space="preserve"> </v>
      </c>
      <c r="AA607" s="12"/>
      <c r="AB607" s="38">
        <v>39501930</v>
      </c>
      <c r="AC607" s="37">
        <v>0.02</v>
      </c>
      <c r="AD607" s="38">
        <f t="shared" si="10"/>
        <v>790038.6</v>
      </c>
      <c r="AE607" s="12"/>
      <c r="AF607" s="12">
        <f>COUNTIF($A$20:A607,A607)</f>
        <v>12</v>
      </c>
      <c r="AG607" s="38">
        <v>39501930</v>
      </c>
      <c r="AH607" s="38">
        <f>Tabla4[[#This Row],[VALOR CONTRAPARTIDA]]+Tabla4[[#This Row],[TOTAL APORTES ICBF]]</f>
        <v>40291968.600000001</v>
      </c>
      <c r="AI607" s="35"/>
      <c r="AJ607" s="38"/>
      <c r="AK607" s="38"/>
      <c r="AL607" s="23"/>
      <c r="AM607" s="35">
        <f>VLOOKUP(Tabla4[[#This Row],[SERVICIO 2025]],$J$2:$V$14,5,0)*Tabla4[[#This Row],[TOTAL COBERTURA]]</f>
        <v>1215344</v>
      </c>
      <c r="AN607" s="35">
        <f>VLOOKUP(Tabla4[[#This Row],[SERVICIO 2025]],$J$2:$V$14,6,0)*Tabla4[[#This Row],[TOTAL COBERTURA]]</f>
        <v>983866</v>
      </c>
      <c r="AO607" s="35">
        <f>VLOOKUP(Tabla4[[#This Row],[SERVICIO 2025]],$J$2:$V$14,8,0)*Tabla4[[#This Row],[TOTAL COBERTURA]]</f>
        <v>0</v>
      </c>
      <c r="AP607" s="35">
        <f>VLOOKUP(Tabla4[[#This Row],[SERVICIO 2025]],$J$2:$V$14,3,0)*Tabla4[[#This Row],[TOTAL COBERTURA]]*8</f>
        <v>37302720</v>
      </c>
      <c r="AQ607" s="35"/>
      <c r="AR607" s="35">
        <f>Tabla4[[#This Row],[VALOR FASE PREPARATORIA DE ALISTAMIENTO]]+Tabla4[[#This Row],[VALOR FASE PREPARATORIA DE CIERRE]]+Tabla4[[#This Row],[DOTACIÓN ÚNICA]]+Tabla4[[#This Row],[VALOR ATENCIÓN]]+Tabla4[[#This Row],[VALOR RACION PREPARADA]]</f>
        <v>39501930</v>
      </c>
      <c r="AS607" s="35" t="str">
        <f>+IF(Tabla4[[#This Row],[AGRUPACIONES]]=1,SUMIFS(Tabla4[VALOR TOTAL],Tabla4[ZONA DEFINITIVO],Tabla4[[#This Row],[ZONA DEFINITIVO]])," ")</f>
        <v xml:space="preserve"> </v>
      </c>
      <c r="AT607" s="27">
        <f>(VLOOKUP(Tabla4[[#This Row],[SERVICIO 2025]],$J$2:$V$14,3,0)*Tabla4[[#This Row],[TOTAL COBERTURA]])+Tabla4[[#This Row],[VALOR FASE PREPARATORIA DE ALISTAMIENTO]]+Tabla4[[#This Row],[DOTACIÓN ÚNICA]]</f>
        <v>5878184</v>
      </c>
      <c r="AU607" s="35">
        <f>(VLOOKUP(Tabla4[[#This Row],[SERVICIO 2025]],$J$2:$V$14,3,0)*Tabla4[[#This Row],[TOTAL COBERTURA]])</f>
        <v>4662840</v>
      </c>
      <c r="AV607" s="35">
        <f>(VLOOKUP(Tabla4[[#This Row],[SERVICIO 2025]],$J$2:$V$14,3,0)*Tabla4[[#This Row],[TOTAL COBERTURA]])</f>
        <v>4662840</v>
      </c>
      <c r="AW607" s="35">
        <f>(VLOOKUP(Tabla4[[#This Row],[SERVICIO 2025]],$J$2:$V$14,3,0)*Tabla4[[#This Row],[TOTAL COBERTURA]])</f>
        <v>4662840</v>
      </c>
      <c r="AX607" s="35">
        <f>(VLOOKUP(Tabla4[[#This Row],[SERVICIO 2025]],$J$2:$V$14,3,0)*Tabla4[[#This Row],[TOTAL COBERTURA]])</f>
        <v>4662840</v>
      </c>
      <c r="AY607" s="35">
        <f>(VLOOKUP(Tabla4[[#This Row],[SERVICIO 2025]],$J$2:$V$14,3,0)*Tabla4[[#This Row],[TOTAL COBERTURA]])</f>
        <v>4662840</v>
      </c>
      <c r="AZ607" s="35">
        <f>(VLOOKUP(Tabla4[[#This Row],[SERVICIO 2025]],$J$2:$V$14,3,0)*Tabla4[[#This Row],[TOTAL COBERTURA]])</f>
        <v>4662840</v>
      </c>
      <c r="BA607" s="35">
        <f>(VLOOKUP(Tabla4[[#This Row],[SERVICIO 2025]],$J$2:$V$14,3,0)*Tabla4[[#This Row],[TOTAL COBERTURA]])+Tabla4[[#This Row],[VALOR FASE PREPARATORIA DE CIERRE]]</f>
        <v>5646706</v>
      </c>
      <c r="BB607" s="35">
        <f>SUM(Tabla4[[#This Row],[DESEMBOLSO 1]:[DESEMBOLSO 8]])</f>
        <v>39501930</v>
      </c>
      <c r="BC607" s="35">
        <f>VLOOKUP(Tabla4[[#This Row],[SERVICIO 2025]],$J$2:$V$14,10,0)*Tabla4[[#This Row],[TOTAL COBERTURA]]*$W$3</f>
        <v>39170768</v>
      </c>
      <c r="BD607" s="47" t="s">
        <v>211</v>
      </c>
      <c r="BE607" s="12" t="b">
        <f>EXACT(Tabla4[[#This Row],[VALOR ATENCIÓN (8 MESES)]],Tabla4[[#This Row],[VALOR TOTAL]])</f>
        <v>1</v>
      </c>
      <c r="BF607" s="23">
        <f>Tabla4[[#This Row],[VALOR ATENCIÓN (8 MESES)]]-Tabla4[[#This Row],[VALOR TOTAL]]</f>
        <v>0</v>
      </c>
      <c r="BG607" s="12" t="b">
        <f>EXACT(Tabla4[[#This Row],[TOTAL DESEMBOLSOS]],Tabla4[[#This Row],[VALOR ATENCIÓN (8 MESES)]])</f>
        <v>1</v>
      </c>
      <c r="BH607" s="29">
        <f>Tabla4[[#This Row],[TOTAL DESEMBOLSOS]]-Tabla4[[#This Row],[VALOR ATENCIÓN (8 MESES)]]</f>
        <v>0</v>
      </c>
      <c r="BI607" t="s">
        <v>98</v>
      </c>
      <c r="BJ607">
        <v>1944</v>
      </c>
    </row>
    <row r="608" spans="1:62">
      <c r="A608" s="13">
        <v>1944</v>
      </c>
      <c r="B608" s="13" t="s">
        <v>1359</v>
      </c>
      <c r="C608" s="12" t="s">
        <v>87</v>
      </c>
      <c r="D608" s="12" t="s">
        <v>88</v>
      </c>
      <c r="E608" s="12" t="s">
        <v>1360</v>
      </c>
      <c r="F608" s="12" t="s">
        <v>21</v>
      </c>
      <c r="G608" s="12" t="s">
        <v>90</v>
      </c>
      <c r="H608" s="12" t="s">
        <v>1386</v>
      </c>
      <c r="I608" s="12">
        <v>52371137145</v>
      </c>
      <c r="J608" s="12" t="s">
        <v>1387</v>
      </c>
      <c r="K608" s="12">
        <v>1</v>
      </c>
      <c r="L608" s="12">
        <v>10</v>
      </c>
      <c r="M608" s="12"/>
      <c r="N608" s="13">
        <v>1944</v>
      </c>
      <c r="O608" s="12" t="s">
        <v>93</v>
      </c>
      <c r="P608" s="12"/>
      <c r="Q608" s="12"/>
      <c r="R608" s="12" t="s">
        <v>94</v>
      </c>
      <c r="S608" s="12">
        <v>10</v>
      </c>
      <c r="T608" s="12" t="s">
        <v>1363</v>
      </c>
      <c r="U608" s="12" t="s">
        <v>1364</v>
      </c>
      <c r="V608" s="12">
        <f>VLOOKUP(Tabla4[[#This Row],[ZONA DEFINITIVO]],Hoja1!$A$1:$D$121,3,0)</f>
        <v>229113</v>
      </c>
      <c r="W608" s="12">
        <f>VLOOKUP(Tabla4[[#This Row],[ZONA DEFINITIVO]],Hoja1!$A$1:$D$121,2,0)</f>
        <v>15219</v>
      </c>
      <c r="X608" s="12">
        <f>VLOOKUP(Tabla4[[#This Row],[ZONA DEFINITIVO]],Hoja1!$A$1:$D$121,4,0)</f>
        <v>86725</v>
      </c>
      <c r="Y608" s="12" t="str">
        <f>+IF(Tabla4[[#This Row],[AGRUPACIONES]]=1,SUMIFS(Tabla4[UDS],Tabla4[ZONA DEFINITIVO],Tabla4[[#This Row],[ZONA DEFINITIVO]])," ")</f>
        <v xml:space="preserve"> </v>
      </c>
      <c r="Z608" s="12" t="str">
        <f>+IF(Tabla4[[#This Row],[AGRUPACIONES]]=1,SUMIFS(Tabla4[TOTAL COBERTURA],Tabla4[ZONA DEFINITIVO],Tabla4[[#This Row],[ZONA DEFINITIVO]])," ")</f>
        <v xml:space="preserve"> </v>
      </c>
      <c r="AA608" s="12"/>
      <c r="AB608" s="38">
        <v>15193050</v>
      </c>
      <c r="AC608" s="37">
        <v>0.02</v>
      </c>
      <c r="AD608" s="38">
        <f t="shared" si="10"/>
        <v>303861</v>
      </c>
      <c r="AE608" s="12"/>
      <c r="AF608" s="12">
        <f>COUNTIF($A$20:A608,A608)</f>
        <v>13</v>
      </c>
      <c r="AG608" s="38">
        <v>15193050</v>
      </c>
      <c r="AH608" s="38">
        <f>Tabla4[[#This Row],[VALOR CONTRAPARTIDA]]+Tabla4[[#This Row],[TOTAL APORTES ICBF]]</f>
        <v>15496911</v>
      </c>
      <c r="AI608" s="35"/>
      <c r="AJ608" s="38"/>
      <c r="AK608" s="38"/>
      <c r="AL608" s="23"/>
      <c r="AM608" s="35">
        <f>VLOOKUP(Tabla4[[#This Row],[SERVICIO 2025]],$J$2:$V$14,5,0)*Tabla4[[#This Row],[TOTAL COBERTURA]]</f>
        <v>467440</v>
      </c>
      <c r="AN608" s="35">
        <f>VLOOKUP(Tabla4[[#This Row],[SERVICIO 2025]],$J$2:$V$14,6,0)*Tabla4[[#This Row],[TOTAL COBERTURA]]</f>
        <v>378410</v>
      </c>
      <c r="AO608" s="35">
        <f>VLOOKUP(Tabla4[[#This Row],[SERVICIO 2025]],$J$2:$V$14,8,0)*Tabla4[[#This Row],[TOTAL COBERTURA]]</f>
        <v>0</v>
      </c>
      <c r="AP608" s="35">
        <f>VLOOKUP(Tabla4[[#This Row],[SERVICIO 2025]],$J$2:$V$14,3,0)*Tabla4[[#This Row],[TOTAL COBERTURA]]*8</f>
        <v>14347200</v>
      </c>
      <c r="AQ608" s="35"/>
      <c r="AR608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608" s="35" t="str">
        <f>+IF(Tabla4[[#This Row],[AGRUPACIONES]]=1,SUMIFS(Tabla4[VALOR TOTAL],Tabla4[ZONA DEFINITIVO],Tabla4[[#This Row],[ZONA DEFINITIVO]])," ")</f>
        <v xml:space="preserve"> </v>
      </c>
      <c r="AT608" s="27">
        <f>(VLOOKUP(Tabla4[[#This Row],[SERVICIO 2025]],$J$2:$V$14,3,0)*Tabla4[[#This Row],[TOTAL COBERTURA]])+Tabla4[[#This Row],[VALOR FASE PREPARATORIA DE ALISTAMIENTO]]+Tabla4[[#This Row],[DOTACIÓN ÚNICA]]</f>
        <v>2260840</v>
      </c>
      <c r="AU608" s="35">
        <f>(VLOOKUP(Tabla4[[#This Row],[SERVICIO 2025]],$J$2:$V$14,3,0)*Tabla4[[#This Row],[TOTAL COBERTURA]])</f>
        <v>1793400</v>
      </c>
      <c r="AV608" s="35">
        <f>(VLOOKUP(Tabla4[[#This Row],[SERVICIO 2025]],$J$2:$V$14,3,0)*Tabla4[[#This Row],[TOTAL COBERTURA]])</f>
        <v>1793400</v>
      </c>
      <c r="AW608" s="35">
        <f>(VLOOKUP(Tabla4[[#This Row],[SERVICIO 2025]],$J$2:$V$14,3,0)*Tabla4[[#This Row],[TOTAL COBERTURA]])</f>
        <v>1793400</v>
      </c>
      <c r="AX608" s="35">
        <f>(VLOOKUP(Tabla4[[#This Row],[SERVICIO 2025]],$J$2:$V$14,3,0)*Tabla4[[#This Row],[TOTAL COBERTURA]])</f>
        <v>1793400</v>
      </c>
      <c r="AY608" s="35">
        <f>(VLOOKUP(Tabla4[[#This Row],[SERVICIO 2025]],$J$2:$V$14,3,0)*Tabla4[[#This Row],[TOTAL COBERTURA]])</f>
        <v>1793400</v>
      </c>
      <c r="AZ608" s="35">
        <f>(VLOOKUP(Tabla4[[#This Row],[SERVICIO 2025]],$J$2:$V$14,3,0)*Tabla4[[#This Row],[TOTAL COBERTURA]])</f>
        <v>1793400</v>
      </c>
      <c r="BA608" s="35">
        <f>(VLOOKUP(Tabla4[[#This Row],[SERVICIO 2025]],$J$2:$V$14,3,0)*Tabla4[[#This Row],[TOTAL COBERTURA]])+Tabla4[[#This Row],[VALOR FASE PREPARATORIA DE CIERRE]]</f>
        <v>2171810</v>
      </c>
      <c r="BB608" s="35">
        <f>SUM(Tabla4[[#This Row],[DESEMBOLSO 1]:[DESEMBOLSO 8]])</f>
        <v>15193050</v>
      </c>
      <c r="BC608" s="35">
        <f>VLOOKUP(Tabla4[[#This Row],[SERVICIO 2025]],$J$2:$V$14,10,0)*Tabla4[[#This Row],[TOTAL COBERTURA]]*$W$3</f>
        <v>15065680</v>
      </c>
      <c r="BD608" s="47" t="s">
        <v>211</v>
      </c>
      <c r="BE608" s="12" t="b">
        <f>EXACT(Tabla4[[#This Row],[VALOR ATENCIÓN (8 MESES)]],Tabla4[[#This Row],[VALOR TOTAL]])</f>
        <v>1</v>
      </c>
      <c r="BF608" s="23">
        <f>Tabla4[[#This Row],[VALOR ATENCIÓN (8 MESES)]]-Tabla4[[#This Row],[VALOR TOTAL]]</f>
        <v>0</v>
      </c>
      <c r="BG608" s="12" t="b">
        <f>EXACT(Tabla4[[#This Row],[TOTAL DESEMBOLSOS]],Tabla4[[#This Row],[VALOR ATENCIÓN (8 MESES)]])</f>
        <v>1</v>
      </c>
      <c r="BH608" s="29">
        <f>Tabla4[[#This Row],[TOTAL DESEMBOLSOS]]-Tabla4[[#This Row],[VALOR ATENCIÓN (8 MESES)]]</f>
        <v>0</v>
      </c>
      <c r="BI608" t="s">
        <v>98</v>
      </c>
      <c r="BJ608">
        <v>1944</v>
      </c>
    </row>
    <row r="609" spans="1:62">
      <c r="A609" s="13">
        <v>1944</v>
      </c>
      <c r="B609" s="13" t="s">
        <v>1359</v>
      </c>
      <c r="C609" s="12" t="s">
        <v>87</v>
      </c>
      <c r="D609" s="12" t="s">
        <v>88</v>
      </c>
      <c r="E609" s="12" t="s">
        <v>1360</v>
      </c>
      <c r="F609" s="12" t="s">
        <v>21</v>
      </c>
      <c r="G609" s="12" t="s">
        <v>90</v>
      </c>
      <c r="H609" s="12" t="s">
        <v>1388</v>
      </c>
      <c r="I609" s="12">
        <v>52371151109</v>
      </c>
      <c r="J609" s="12" t="s">
        <v>1389</v>
      </c>
      <c r="K609" s="12">
        <v>1</v>
      </c>
      <c r="L609" s="12">
        <v>10</v>
      </c>
      <c r="M609" s="12"/>
      <c r="N609" s="13">
        <v>1944</v>
      </c>
      <c r="O609" s="12" t="s">
        <v>93</v>
      </c>
      <c r="P609" s="12"/>
      <c r="Q609" s="12"/>
      <c r="R609" s="12" t="s">
        <v>94</v>
      </c>
      <c r="S609" s="12">
        <v>10</v>
      </c>
      <c r="T609" s="12" t="s">
        <v>1363</v>
      </c>
      <c r="U609" s="12" t="s">
        <v>1364</v>
      </c>
      <c r="V609" s="12">
        <f>VLOOKUP(Tabla4[[#This Row],[ZONA DEFINITIVO]],Hoja1!$A$1:$D$121,3,0)</f>
        <v>229113</v>
      </c>
      <c r="W609" s="12">
        <f>VLOOKUP(Tabla4[[#This Row],[ZONA DEFINITIVO]],Hoja1!$A$1:$D$121,2,0)</f>
        <v>15219</v>
      </c>
      <c r="X609" s="12">
        <f>VLOOKUP(Tabla4[[#This Row],[ZONA DEFINITIVO]],Hoja1!$A$1:$D$121,4,0)</f>
        <v>86725</v>
      </c>
      <c r="Y609" s="12" t="str">
        <f>+IF(Tabla4[[#This Row],[AGRUPACIONES]]=1,SUMIFS(Tabla4[UDS],Tabla4[ZONA DEFINITIVO],Tabla4[[#This Row],[ZONA DEFINITIVO]])," ")</f>
        <v xml:space="preserve"> </v>
      </c>
      <c r="Z609" s="12" t="str">
        <f>+IF(Tabla4[[#This Row],[AGRUPACIONES]]=1,SUMIFS(Tabla4[TOTAL COBERTURA],Tabla4[ZONA DEFINITIVO],Tabla4[[#This Row],[ZONA DEFINITIVO]])," ")</f>
        <v xml:space="preserve"> </v>
      </c>
      <c r="AA609" s="12"/>
      <c r="AB609" s="38">
        <v>15193050</v>
      </c>
      <c r="AC609" s="37">
        <v>0.02</v>
      </c>
      <c r="AD609" s="38">
        <f t="shared" si="10"/>
        <v>303861</v>
      </c>
      <c r="AE609" s="12"/>
      <c r="AF609" s="12">
        <f>COUNTIF($A$20:A609,A609)</f>
        <v>14</v>
      </c>
      <c r="AG609" s="38">
        <v>15193050</v>
      </c>
      <c r="AH609" s="38">
        <f>Tabla4[[#This Row],[VALOR CONTRAPARTIDA]]+Tabla4[[#This Row],[TOTAL APORTES ICBF]]</f>
        <v>15496911</v>
      </c>
      <c r="AI609" s="35"/>
      <c r="AJ609" s="38"/>
      <c r="AK609" s="38"/>
      <c r="AL609" s="23"/>
      <c r="AM609" s="35">
        <f>VLOOKUP(Tabla4[[#This Row],[SERVICIO 2025]],$J$2:$V$14,5,0)*Tabla4[[#This Row],[TOTAL COBERTURA]]</f>
        <v>467440</v>
      </c>
      <c r="AN609" s="35">
        <f>VLOOKUP(Tabla4[[#This Row],[SERVICIO 2025]],$J$2:$V$14,6,0)*Tabla4[[#This Row],[TOTAL COBERTURA]]</f>
        <v>378410</v>
      </c>
      <c r="AO609" s="35">
        <f>VLOOKUP(Tabla4[[#This Row],[SERVICIO 2025]],$J$2:$V$14,8,0)*Tabla4[[#This Row],[TOTAL COBERTURA]]</f>
        <v>0</v>
      </c>
      <c r="AP609" s="35">
        <f>VLOOKUP(Tabla4[[#This Row],[SERVICIO 2025]],$J$2:$V$14,3,0)*Tabla4[[#This Row],[TOTAL COBERTURA]]*8</f>
        <v>14347200</v>
      </c>
      <c r="AQ609" s="35"/>
      <c r="AR609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609" s="35" t="str">
        <f>+IF(Tabla4[[#This Row],[AGRUPACIONES]]=1,SUMIFS(Tabla4[VALOR TOTAL],Tabla4[ZONA DEFINITIVO],Tabla4[[#This Row],[ZONA DEFINITIVO]])," ")</f>
        <v xml:space="preserve"> </v>
      </c>
      <c r="AT609" s="27">
        <f>(VLOOKUP(Tabla4[[#This Row],[SERVICIO 2025]],$J$2:$V$14,3,0)*Tabla4[[#This Row],[TOTAL COBERTURA]])+Tabla4[[#This Row],[VALOR FASE PREPARATORIA DE ALISTAMIENTO]]+Tabla4[[#This Row],[DOTACIÓN ÚNICA]]</f>
        <v>2260840</v>
      </c>
      <c r="AU609" s="35">
        <f>(VLOOKUP(Tabla4[[#This Row],[SERVICIO 2025]],$J$2:$V$14,3,0)*Tabla4[[#This Row],[TOTAL COBERTURA]])</f>
        <v>1793400</v>
      </c>
      <c r="AV609" s="35">
        <f>(VLOOKUP(Tabla4[[#This Row],[SERVICIO 2025]],$J$2:$V$14,3,0)*Tabla4[[#This Row],[TOTAL COBERTURA]])</f>
        <v>1793400</v>
      </c>
      <c r="AW609" s="35">
        <f>(VLOOKUP(Tabla4[[#This Row],[SERVICIO 2025]],$J$2:$V$14,3,0)*Tabla4[[#This Row],[TOTAL COBERTURA]])</f>
        <v>1793400</v>
      </c>
      <c r="AX609" s="35">
        <f>(VLOOKUP(Tabla4[[#This Row],[SERVICIO 2025]],$J$2:$V$14,3,0)*Tabla4[[#This Row],[TOTAL COBERTURA]])</f>
        <v>1793400</v>
      </c>
      <c r="AY609" s="35">
        <f>(VLOOKUP(Tabla4[[#This Row],[SERVICIO 2025]],$J$2:$V$14,3,0)*Tabla4[[#This Row],[TOTAL COBERTURA]])</f>
        <v>1793400</v>
      </c>
      <c r="AZ609" s="35">
        <f>(VLOOKUP(Tabla4[[#This Row],[SERVICIO 2025]],$J$2:$V$14,3,0)*Tabla4[[#This Row],[TOTAL COBERTURA]])</f>
        <v>1793400</v>
      </c>
      <c r="BA609" s="35">
        <f>(VLOOKUP(Tabla4[[#This Row],[SERVICIO 2025]],$J$2:$V$14,3,0)*Tabla4[[#This Row],[TOTAL COBERTURA]])+Tabla4[[#This Row],[VALOR FASE PREPARATORIA DE CIERRE]]</f>
        <v>2171810</v>
      </c>
      <c r="BB609" s="35">
        <f>SUM(Tabla4[[#This Row],[DESEMBOLSO 1]:[DESEMBOLSO 8]])</f>
        <v>15193050</v>
      </c>
      <c r="BC609" s="35">
        <f>VLOOKUP(Tabla4[[#This Row],[SERVICIO 2025]],$J$2:$V$14,10,0)*Tabla4[[#This Row],[TOTAL COBERTURA]]*$W$3</f>
        <v>15065680</v>
      </c>
      <c r="BD609" s="47" t="s">
        <v>211</v>
      </c>
      <c r="BE609" s="12" t="b">
        <f>EXACT(Tabla4[[#This Row],[VALOR ATENCIÓN (8 MESES)]],Tabla4[[#This Row],[VALOR TOTAL]])</f>
        <v>1</v>
      </c>
      <c r="BF609" s="23">
        <f>Tabla4[[#This Row],[VALOR ATENCIÓN (8 MESES)]]-Tabla4[[#This Row],[VALOR TOTAL]]</f>
        <v>0</v>
      </c>
      <c r="BG609" s="12" t="b">
        <f>EXACT(Tabla4[[#This Row],[TOTAL DESEMBOLSOS]],Tabla4[[#This Row],[VALOR ATENCIÓN (8 MESES)]])</f>
        <v>1</v>
      </c>
      <c r="BH609" s="29">
        <f>Tabla4[[#This Row],[TOTAL DESEMBOLSOS]]-Tabla4[[#This Row],[VALOR ATENCIÓN (8 MESES)]]</f>
        <v>0</v>
      </c>
      <c r="BI609" t="s">
        <v>98</v>
      </c>
      <c r="BJ609">
        <v>1944</v>
      </c>
    </row>
    <row r="610" spans="1:62">
      <c r="A610" s="13">
        <v>1944</v>
      </c>
      <c r="B610" s="13" t="s">
        <v>1359</v>
      </c>
      <c r="C610" s="12" t="s">
        <v>87</v>
      </c>
      <c r="D610" s="12" t="s">
        <v>88</v>
      </c>
      <c r="E610" s="12" t="s">
        <v>1360</v>
      </c>
      <c r="F610" s="12" t="s">
        <v>21</v>
      </c>
      <c r="G610" s="12" t="s">
        <v>90</v>
      </c>
      <c r="H610" s="12" t="s">
        <v>1390</v>
      </c>
      <c r="I610" s="12">
        <v>52371152477</v>
      </c>
      <c r="J610" s="12" t="s">
        <v>1391</v>
      </c>
      <c r="K610" s="12">
        <v>1</v>
      </c>
      <c r="L610" s="12">
        <v>16</v>
      </c>
      <c r="M610" s="12"/>
      <c r="N610" s="13">
        <v>1944</v>
      </c>
      <c r="O610" s="12" t="s">
        <v>93</v>
      </c>
      <c r="P610" s="12"/>
      <c r="Q610" s="12"/>
      <c r="R610" s="12" t="s">
        <v>94</v>
      </c>
      <c r="S610" s="12">
        <v>10</v>
      </c>
      <c r="T610" s="12" t="s">
        <v>1363</v>
      </c>
      <c r="U610" s="12" t="s">
        <v>1364</v>
      </c>
      <c r="V610" s="12">
        <f>VLOOKUP(Tabla4[[#This Row],[ZONA DEFINITIVO]],Hoja1!$A$1:$D$121,3,0)</f>
        <v>229113</v>
      </c>
      <c r="W610" s="12">
        <f>VLOOKUP(Tabla4[[#This Row],[ZONA DEFINITIVO]],Hoja1!$A$1:$D$121,2,0)</f>
        <v>15219</v>
      </c>
      <c r="X610" s="12">
        <f>VLOOKUP(Tabla4[[#This Row],[ZONA DEFINITIVO]],Hoja1!$A$1:$D$121,4,0)</f>
        <v>86725</v>
      </c>
      <c r="Y610" s="12" t="str">
        <f>+IF(Tabla4[[#This Row],[AGRUPACIONES]]=1,SUMIFS(Tabla4[UDS],Tabla4[ZONA DEFINITIVO],Tabla4[[#This Row],[ZONA DEFINITIVO]])," ")</f>
        <v xml:space="preserve"> </v>
      </c>
      <c r="Z610" s="12" t="str">
        <f>+IF(Tabla4[[#This Row],[AGRUPACIONES]]=1,SUMIFS(Tabla4[TOTAL COBERTURA],Tabla4[ZONA DEFINITIVO],Tabla4[[#This Row],[ZONA DEFINITIVO]])," ")</f>
        <v xml:space="preserve"> </v>
      </c>
      <c r="AA610" s="12"/>
      <c r="AB610" s="38">
        <v>24308880</v>
      </c>
      <c r="AC610" s="37">
        <v>0.02</v>
      </c>
      <c r="AD610" s="38">
        <f t="shared" si="10"/>
        <v>486177.60000000003</v>
      </c>
      <c r="AE610" s="12"/>
      <c r="AF610" s="12">
        <f>COUNTIF($A$20:A610,A610)</f>
        <v>15</v>
      </c>
      <c r="AG610" s="38">
        <v>24308880</v>
      </c>
      <c r="AH610" s="38">
        <f>Tabla4[[#This Row],[VALOR CONTRAPARTIDA]]+Tabla4[[#This Row],[TOTAL APORTES ICBF]]</f>
        <v>24795057.600000001</v>
      </c>
      <c r="AI610" s="35"/>
      <c r="AJ610" s="38"/>
      <c r="AK610" s="38"/>
      <c r="AL610" s="23"/>
      <c r="AM610" s="35">
        <f>VLOOKUP(Tabla4[[#This Row],[SERVICIO 2025]],$J$2:$V$14,5,0)*Tabla4[[#This Row],[TOTAL COBERTURA]]</f>
        <v>747904</v>
      </c>
      <c r="AN610" s="35">
        <f>VLOOKUP(Tabla4[[#This Row],[SERVICIO 2025]],$J$2:$V$14,6,0)*Tabla4[[#This Row],[TOTAL COBERTURA]]</f>
        <v>605456</v>
      </c>
      <c r="AO610" s="35">
        <f>VLOOKUP(Tabla4[[#This Row],[SERVICIO 2025]],$J$2:$V$14,8,0)*Tabla4[[#This Row],[TOTAL COBERTURA]]</f>
        <v>0</v>
      </c>
      <c r="AP610" s="35">
        <f>VLOOKUP(Tabla4[[#This Row],[SERVICIO 2025]],$J$2:$V$14,3,0)*Tabla4[[#This Row],[TOTAL COBERTURA]]*8</f>
        <v>22955520</v>
      </c>
      <c r="AQ610" s="35"/>
      <c r="AR610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610" s="35" t="str">
        <f>+IF(Tabla4[[#This Row],[AGRUPACIONES]]=1,SUMIFS(Tabla4[VALOR TOTAL],Tabla4[ZONA DEFINITIVO],Tabla4[[#This Row],[ZONA DEFINITIVO]])," ")</f>
        <v xml:space="preserve"> </v>
      </c>
      <c r="AT610" s="27">
        <f>(VLOOKUP(Tabla4[[#This Row],[SERVICIO 2025]],$J$2:$V$14,3,0)*Tabla4[[#This Row],[TOTAL COBERTURA]])+Tabla4[[#This Row],[VALOR FASE PREPARATORIA DE ALISTAMIENTO]]+Tabla4[[#This Row],[DOTACIÓN ÚNICA]]</f>
        <v>3617344</v>
      </c>
      <c r="AU610" s="35">
        <f>(VLOOKUP(Tabla4[[#This Row],[SERVICIO 2025]],$J$2:$V$14,3,0)*Tabla4[[#This Row],[TOTAL COBERTURA]])</f>
        <v>2869440</v>
      </c>
      <c r="AV610" s="35">
        <f>(VLOOKUP(Tabla4[[#This Row],[SERVICIO 2025]],$J$2:$V$14,3,0)*Tabla4[[#This Row],[TOTAL COBERTURA]])</f>
        <v>2869440</v>
      </c>
      <c r="AW610" s="35">
        <f>(VLOOKUP(Tabla4[[#This Row],[SERVICIO 2025]],$J$2:$V$14,3,0)*Tabla4[[#This Row],[TOTAL COBERTURA]])</f>
        <v>2869440</v>
      </c>
      <c r="AX610" s="35">
        <f>(VLOOKUP(Tabla4[[#This Row],[SERVICIO 2025]],$J$2:$V$14,3,0)*Tabla4[[#This Row],[TOTAL COBERTURA]])</f>
        <v>2869440</v>
      </c>
      <c r="AY610" s="35">
        <f>(VLOOKUP(Tabla4[[#This Row],[SERVICIO 2025]],$J$2:$V$14,3,0)*Tabla4[[#This Row],[TOTAL COBERTURA]])</f>
        <v>2869440</v>
      </c>
      <c r="AZ610" s="35">
        <f>(VLOOKUP(Tabla4[[#This Row],[SERVICIO 2025]],$J$2:$V$14,3,0)*Tabla4[[#This Row],[TOTAL COBERTURA]])</f>
        <v>2869440</v>
      </c>
      <c r="BA610" s="35">
        <f>(VLOOKUP(Tabla4[[#This Row],[SERVICIO 2025]],$J$2:$V$14,3,0)*Tabla4[[#This Row],[TOTAL COBERTURA]])+Tabla4[[#This Row],[VALOR FASE PREPARATORIA DE CIERRE]]</f>
        <v>3474896</v>
      </c>
      <c r="BB610" s="35">
        <f>SUM(Tabla4[[#This Row],[DESEMBOLSO 1]:[DESEMBOLSO 8]])</f>
        <v>24308880</v>
      </c>
      <c r="BC610" s="35">
        <f>VLOOKUP(Tabla4[[#This Row],[SERVICIO 2025]],$J$2:$V$14,10,0)*Tabla4[[#This Row],[TOTAL COBERTURA]]*$W$3</f>
        <v>24105088</v>
      </c>
      <c r="BD610" s="47" t="s">
        <v>211</v>
      </c>
      <c r="BE610" s="12" t="b">
        <f>EXACT(Tabla4[[#This Row],[VALOR ATENCIÓN (8 MESES)]],Tabla4[[#This Row],[VALOR TOTAL]])</f>
        <v>1</v>
      </c>
      <c r="BF610" s="23">
        <f>Tabla4[[#This Row],[VALOR ATENCIÓN (8 MESES)]]-Tabla4[[#This Row],[VALOR TOTAL]]</f>
        <v>0</v>
      </c>
      <c r="BG610" s="12" t="b">
        <f>EXACT(Tabla4[[#This Row],[TOTAL DESEMBOLSOS]],Tabla4[[#This Row],[VALOR ATENCIÓN (8 MESES)]])</f>
        <v>1</v>
      </c>
      <c r="BH610" s="29">
        <f>Tabla4[[#This Row],[TOTAL DESEMBOLSOS]]-Tabla4[[#This Row],[VALOR ATENCIÓN (8 MESES)]]</f>
        <v>0</v>
      </c>
      <c r="BI610" t="s">
        <v>98</v>
      </c>
      <c r="BJ610">
        <v>1944</v>
      </c>
    </row>
    <row r="611" spans="1:62">
      <c r="A611" s="13">
        <v>1944</v>
      </c>
      <c r="B611" s="13" t="s">
        <v>1359</v>
      </c>
      <c r="C611" s="12" t="s">
        <v>87</v>
      </c>
      <c r="D611" s="12" t="s">
        <v>88</v>
      </c>
      <c r="E611" s="12" t="s">
        <v>1360</v>
      </c>
      <c r="F611" s="12" t="s">
        <v>21</v>
      </c>
      <c r="G611" s="12" t="s">
        <v>90</v>
      </c>
      <c r="H611" s="12" t="s">
        <v>1392</v>
      </c>
      <c r="I611" s="12">
        <v>52371152478</v>
      </c>
      <c r="J611" s="12" t="s">
        <v>1393</v>
      </c>
      <c r="K611" s="12">
        <v>1</v>
      </c>
      <c r="L611" s="12">
        <v>14</v>
      </c>
      <c r="M611" s="12"/>
      <c r="N611" s="13">
        <v>1944</v>
      </c>
      <c r="O611" s="12" t="s">
        <v>93</v>
      </c>
      <c r="P611" s="12"/>
      <c r="Q611" s="12"/>
      <c r="R611" s="12" t="s">
        <v>94</v>
      </c>
      <c r="S611" s="12">
        <v>10</v>
      </c>
      <c r="T611" s="12" t="s">
        <v>1363</v>
      </c>
      <c r="U611" s="12" t="s">
        <v>1364</v>
      </c>
      <c r="V611" s="12">
        <f>VLOOKUP(Tabla4[[#This Row],[ZONA DEFINITIVO]],Hoja1!$A$1:$D$121,3,0)</f>
        <v>229113</v>
      </c>
      <c r="W611" s="12">
        <f>VLOOKUP(Tabla4[[#This Row],[ZONA DEFINITIVO]],Hoja1!$A$1:$D$121,2,0)</f>
        <v>15219</v>
      </c>
      <c r="X611" s="12">
        <f>VLOOKUP(Tabla4[[#This Row],[ZONA DEFINITIVO]],Hoja1!$A$1:$D$121,4,0)</f>
        <v>86725</v>
      </c>
      <c r="Y611" s="12" t="str">
        <f>+IF(Tabla4[[#This Row],[AGRUPACIONES]]=1,SUMIFS(Tabla4[UDS],Tabla4[ZONA DEFINITIVO],Tabla4[[#This Row],[ZONA DEFINITIVO]])," ")</f>
        <v xml:space="preserve"> </v>
      </c>
      <c r="Z611" s="12" t="str">
        <f>+IF(Tabla4[[#This Row],[AGRUPACIONES]]=1,SUMIFS(Tabla4[TOTAL COBERTURA],Tabla4[ZONA DEFINITIVO],Tabla4[[#This Row],[ZONA DEFINITIVO]])," ")</f>
        <v xml:space="preserve"> </v>
      </c>
      <c r="AA611" s="12"/>
      <c r="AB611" s="38">
        <v>21270270</v>
      </c>
      <c r="AC611" s="37">
        <v>0.02</v>
      </c>
      <c r="AD611" s="38">
        <f t="shared" si="10"/>
        <v>425405.4</v>
      </c>
      <c r="AE611" s="12"/>
      <c r="AF611" s="12">
        <f>COUNTIF($A$20:A611,A611)</f>
        <v>16</v>
      </c>
      <c r="AG611" s="38">
        <v>21270270</v>
      </c>
      <c r="AH611" s="38">
        <f>Tabla4[[#This Row],[VALOR CONTRAPARTIDA]]+Tabla4[[#This Row],[TOTAL APORTES ICBF]]</f>
        <v>21695675.399999999</v>
      </c>
      <c r="AI611" s="35"/>
      <c r="AJ611" s="38"/>
      <c r="AK611" s="38"/>
      <c r="AL611" s="23"/>
      <c r="AM611" s="35">
        <f>VLOOKUP(Tabla4[[#This Row],[SERVICIO 2025]],$J$2:$V$14,5,0)*Tabla4[[#This Row],[TOTAL COBERTURA]]</f>
        <v>654416</v>
      </c>
      <c r="AN611" s="35">
        <f>VLOOKUP(Tabla4[[#This Row],[SERVICIO 2025]],$J$2:$V$14,6,0)*Tabla4[[#This Row],[TOTAL COBERTURA]]</f>
        <v>529774</v>
      </c>
      <c r="AO611" s="35">
        <f>VLOOKUP(Tabla4[[#This Row],[SERVICIO 2025]],$J$2:$V$14,8,0)*Tabla4[[#This Row],[TOTAL COBERTURA]]</f>
        <v>0</v>
      </c>
      <c r="AP611" s="35">
        <f>VLOOKUP(Tabla4[[#This Row],[SERVICIO 2025]],$J$2:$V$14,3,0)*Tabla4[[#This Row],[TOTAL COBERTURA]]*8</f>
        <v>20086080</v>
      </c>
      <c r="AQ611" s="35"/>
      <c r="AR611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611" s="35" t="str">
        <f>+IF(Tabla4[[#This Row],[AGRUPACIONES]]=1,SUMIFS(Tabla4[VALOR TOTAL],Tabla4[ZONA DEFINITIVO],Tabla4[[#This Row],[ZONA DEFINITIVO]])," ")</f>
        <v xml:space="preserve"> </v>
      </c>
      <c r="AT611" s="27">
        <f>(VLOOKUP(Tabla4[[#This Row],[SERVICIO 2025]],$J$2:$V$14,3,0)*Tabla4[[#This Row],[TOTAL COBERTURA]])+Tabla4[[#This Row],[VALOR FASE PREPARATORIA DE ALISTAMIENTO]]+Tabla4[[#This Row],[DOTACIÓN ÚNICA]]</f>
        <v>3165176</v>
      </c>
      <c r="AU611" s="35">
        <f>(VLOOKUP(Tabla4[[#This Row],[SERVICIO 2025]],$J$2:$V$14,3,0)*Tabla4[[#This Row],[TOTAL COBERTURA]])</f>
        <v>2510760</v>
      </c>
      <c r="AV611" s="35">
        <f>(VLOOKUP(Tabla4[[#This Row],[SERVICIO 2025]],$J$2:$V$14,3,0)*Tabla4[[#This Row],[TOTAL COBERTURA]])</f>
        <v>2510760</v>
      </c>
      <c r="AW611" s="35">
        <f>(VLOOKUP(Tabla4[[#This Row],[SERVICIO 2025]],$J$2:$V$14,3,0)*Tabla4[[#This Row],[TOTAL COBERTURA]])</f>
        <v>2510760</v>
      </c>
      <c r="AX611" s="35">
        <f>(VLOOKUP(Tabla4[[#This Row],[SERVICIO 2025]],$J$2:$V$14,3,0)*Tabla4[[#This Row],[TOTAL COBERTURA]])</f>
        <v>2510760</v>
      </c>
      <c r="AY611" s="35">
        <f>(VLOOKUP(Tabla4[[#This Row],[SERVICIO 2025]],$J$2:$V$14,3,0)*Tabla4[[#This Row],[TOTAL COBERTURA]])</f>
        <v>2510760</v>
      </c>
      <c r="AZ611" s="35">
        <f>(VLOOKUP(Tabla4[[#This Row],[SERVICIO 2025]],$J$2:$V$14,3,0)*Tabla4[[#This Row],[TOTAL COBERTURA]])</f>
        <v>2510760</v>
      </c>
      <c r="BA611" s="35">
        <f>(VLOOKUP(Tabla4[[#This Row],[SERVICIO 2025]],$J$2:$V$14,3,0)*Tabla4[[#This Row],[TOTAL COBERTURA]])+Tabla4[[#This Row],[VALOR FASE PREPARATORIA DE CIERRE]]</f>
        <v>3040534</v>
      </c>
      <c r="BB611" s="35">
        <f>SUM(Tabla4[[#This Row],[DESEMBOLSO 1]:[DESEMBOLSO 8]])</f>
        <v>21270270</v>
      </c>
      <c r="BC611" s="35">
        <f>VLOOKUP(Tabla4[[#This Row],[SERVICIO 2025]],$J$2:$V$14,10,0)*Tabla4[[#This Row],[TOTAL COBERTURA]]*$W$3</f>
        <v>21091952</v>
      </c>
      <c r="BD611" s="47" t="s">
        <v>211</v>
      </c>
      <c r="BE611" s="12" t="b">
        <f>EXACT(Tabla4[[#This Row],[VALOR ATENCIÓN (8 MESES)]],Tabla4[[#This Row],[VALOR TOTAL]])</f>
        <v>1</v>
      </c>
      <c r="BF611" s="23">
        <f>Tabla4[[#This Row],[VALOR ATENCIÓN (8 MESES)]]-Tabla4[[#This Row],[VALOR TOTAL]]</f>
        <v>0</v>
      </c>
      <c r="BG611" s="12" t="b">
        <f>EXACT(Tabla4[[#This Row],[TOTAL DESEMBOLSOS]],Tabla4[[#This Row],[VALOR ATENCIÓN (8 MESES)]])</f>
        <v>1</v>
      </c>
      <c r="BH611" s="29">
        <f>Tabla4[[#This Row],[TOTAL DESEMBOLSOS]]-Tabla4[[#This Row],[VALOR ATENCIÓN (8 MESES)]]</f>
        <v>0</v>
      </c>
      <c r="BI611" t="s">
        <v>98</v>
      </c>
      <c r="BJ611">
        <v>1944</v>
      </c>
    </row>
    <row r="612" spans="1:62">
      <c r="A612" s="13">
        <v>1944</v>
      </c>
      <c r="B612" s="13" t="s">
        <v>1359</v>
      </c>
      <c r="C612" s="12" t="s">
        <v>87</v>
      </c>
      <c r="D612" s="12" t="s">
        <v>88</v>
      </c>
      <c r="E612" s="12" t="s">
        <v>1360</v>
      </c>
      <c r="F612" s="12" t="s">
        <v>21</v>
      </c>
      <c r="G612" s="12" t="s">
        <v>90</v>
      </c>
      <c r="H612" s="12" t="s">
        <v>1394</v>
      </c>
      <c r="I612" s="12">
        <v>52371152816</v>
      </c>
      <c r="J612" s="12" t="s">
        <v>1395</v>
      </c>
      <c r="K612" s="12">
        <v>1</v>
      </c>
      <c r="L612" s="12">
        <v>69</v>
      </c>
      <c r="M612" s="12"/>
      <c r="N612" s="13">
        <v>1944</v>
      </c>
      <c r="O612" s="12" t="s">
        <v>93</v>
      </c>
      <c r="P612" s="12"/>
      <c r="Q612" s="12"/>
      <c r="R612" s="12" t="s">
        <v>94</v>
      </c>
      <c r="S612" s="12">
        <v>10</v>
      </c>
      <c r="T612" s="12" t="s">
        <v>1363</v>
      </c>
      <c r="U612" s="12" t="s">
        <v>1364</v>
      </c>
      <c r="V612" s="12">
        <f>VLOOKUP(Tabla4[[#This Row],[ZONA DEFINITIVO]],Hoja1!$A$1:$D$121,3,0)</f>
        <v>229113</v>
      </c>
      <c r="W612" s="12">
        <f>VLOOKUP(Tabla4[[#This Row],[ZONA DEFINITIVO]],Hoja1!$A$1:$D$121,2,0)</f>
        <v>15219</v>
      </c>
      <c r="X612" s="12">
        <f>VLOOKUP(Tabla4[[#This Row],[ZONA DEFINITIVO]],Hoja1!$A$1:$D$121,4,0)</f>
        <v>86725</v>
      </c>
      <c r="Y612" s="12" t="str">
        <f>+IF(Tabla4[[#This Row],[AGRUPACIONES]]=1,SUMIFS(Tabla4[UDS],Tabla4[ZONA DEFINITIVO],Tabla4[[#This Row],[ZONA DEFINITIVO]])," ")</f>
        <v xml:space="preserve"> </v>
      </c>
      <c r="Z612" s="12" t="str">
        <f>+IF(Tabla4[[#This Row],[AGRUPACIONES]]=1,SUMIFS(Tabla4[TOTAL COBERTURA],Tabla4[ZONA DEFINITIVO],Tabla4[[#This Row],[ZONA DEFINITIVO]])," ")</f>
        <v xml:space="preserve"> </v>
      </c>
      <c r="AA612" s="12"/>
      <c r="AB612" s="38">
        <v>104832045</v>
      </c>
      <c r="AC612" s="37">
        <v>0.02</v>
      </c>
      <c r="AD612" s="38">
        <f t="shared" si="10"/>
        <v>2096640.9000000001</v>
      </c>
      <c r="AE612" s="12"/>
      <c r="AF612" s="12">
        <f>COUNTIF($A$20:A612,A612)</f>
        <v>17</v>
      </c>
      <c r="AG612" s="38">
        <v>104832045</v>
      </c>
      <c r="AH612" s="38">
        <f>Tabla4[[#This Row],[VALOR CONTRAPARTIDA]]+Tabla4[[#This Row],[TOTAL APORTES ICBF]]</f>
        <v>106928685.90000001</v>
      </c>
      <c r="AI612" s="35"/>
      <c r="AJ612" s="38"/>
      <c r="AK612" s="38"/>
      <c r="AL612" s="23"/>
      <c r="AM612" s="35">
        <f>VLOOKUP(Tabla4[[#This Row],[SERVICIO 2025]],$J$2:$V$14,5,0)*Tabla4[[#This Row],[TOTAL COBERTURA]]</f>
        <v>3225336</v>
      </c>
      <c r="AN612" s="35">
        <f>VLOOKUP(Tabla4[[#This Row],[SERVICIO 2025]],$J$2:$V$14,6,0)*Tabla4[[#This Row],[TOTAL COBERTURA]]</f>
        <v>2611029</v>
      </c>
      <c r="AO612" s="35">
        <f>VLOOKUP(Tabla4[[#This Row],[SERVICIO 2025]],$J$2:$V$14,8,0)*Tabla4[[#This Row],[TOTAL COBERTURA]]</f>
        <v>0</v>
      </c>
      <c r="AP612" s="35">
        <f>VLOOKUP(Tabla4[[#This Row],[SERVICIO 2025]],$J$2:$V$14,3,0)*Tabla4[[#This Row],[TOTAL COBERTURA]]*8</f>
        <v>98995680</v>
      </c>
      <c r="AQ612" s="35"/>
      <c r="AR612" s="35">
        <f>Tabla4[[#This Row],[VALOR FASE PREPARATORIA DE ALISTAMIENTO]]+Tabla4[[#This Row],[VALOR FASE PREPARATORIA DE CIERRE]]+Tabla4[[#This Row],[DOTACIÓN ÚNICA]]+Tabla4[[#This Row],[VALOR ATENCIÓN]]+Tabla4[[#This Row],[VALOR RACION PREPARADA]]</f>
        <v>104832045</v>
      </c>
      <c r="AS612" s="35" t="str">
        <f>+IF(Tabla4[[#This Row],[AGRUPACIONES]]=1,SUMIFS(Tabla4[VALOR TOTAL],Tabla4[ZONA DEFINITIVO],Tabla4[[#This Row],[ZONA DEFINITIVO]])," ")</f>
        <v xml:space="preserve"> </v>
      </c>
      <c r="AT612" s="27">
        <f>(VLOOKUP(Tabla4[[#This Row],[SERVICIO 2025]],$J$2:$V$14,3,0)*Tabla4[[#This Row],[TOTAL COBERTURA]])+Tabla4[[#This Row],[VALOR FASE PREPARATORIA DE ALISTAMIENTO]]+Tabla4[[#This Row],[DOTACIÓN ÚNICA]]</f>
        <v>15599796</v>
      </c>
      <c r="AU612" s="35">
        <f>(VLOOKUP(Tabla4[[#This Row],[SERVICIO 2025]],$J$2:$V$14,3,0)*Tabla4[[#This Row],[TOTAL COBERTURA]])</f>
        <v>12374460</v>
      </c>
      <c r="AV612" s="35">
        <f>(VLOOKUP(Tabla4[[#This Row],[SERVICIO 2025]],$J$2:$V$14,3,0)*Tabla4[[#This Row],[TOTAL COBERTURA]])</f>
        <v>12374460</v>
      </c>
      <c r="AW612" s="35">
        <f>(VLOOKUP(Tabla4[[#This Row],[SERVICIO 2025]],$J$2:$V$14,3,0)*Tabla4[[#This Row],[TOTAL COBERTURA]])</f>
        <v>12374460</v>
      </c>
      <c r="AX612" s="35">
        <f>(VLOOKUP(Tabla4[[#This Row],[SERVICIO 2025]],$J$2:$V$14,3,0)*Tabla4[[#This Row],[TOTAL COBERTURA]])</f>
        <v>12374460</v>
      </c>
      <c r="AY612" s="35">
        <f>(VLOOKUP(Tabla4[[#This Row],[SERVICIO 2025]],$J$2:$V$14,3,0)*Tabla4[[#This Row],[TOTAL COBERTURA]])</f>
        <v>12374460</v>
      </c>
      <c r="AZ612" s="35">
        <f>(VLOOKUP(Tabla4[[#This Row],[SERVICIO 2025]],$J$2:$V$14,3,0)*Tabla4[[#This Row],[TOTAL COBERTURA]])</f>
        <v>12374460</v>
      </c>
      <c r="BA612" s="35">
        <f>(VLOOKUP(Tabla4[[#This Row],[SERVICIO 2025]],$J$2:$V$14,3,0)*Tabla4[[#This Row],[TOTAL COBERTURA]])+Tabla4[[#This Row],[VALOR FASE PREPARATORIA DE CIERRE]]</f>
        <v>14985489</v>
      </c>
      <c r="BB612" s="35">
        <f>SUM(Tabla4[[#This Row],[DESEMBOLSO 1]:[DESEMBOLSO 8]])</f>
        <v>104832045</v>
      </c>
      <c r="BC612" s="35">
        <f>VLOOKUP(Tabla4[[#This Row],[SERVICIO 2025]],$J$2:$V$14,10,0)*Tabla4[[#This Row],[TOTAL COBERTURA]]*$W$3</f>
        <v>103953192</v>
      </c>
      <c r="BD612" s="47" t="s">
        <v>211</v>
      </c>
      <c r="BE612" s="12" t="b">
        <f>EXACT(Tabla4[[#This Row],[VALOR ATENCIÓN (8 MESES)]],Tabla4[[#This Row],[VALOR TOTAL]])</f>
        <v>1</v>
      </c>
      <c r="BF612" s="23">
        <f>Tabla4[[#This Row],[VALOR ATENCIÓN (8 MESES)]]-Tabla4[[#This Row],[VALOR TOTAL]]</f>
        <v>0</v>
      </c>
      <c r="BG612" s="12" t="b">
        <f>EXACT(Tabla4[[#This Row],[TOTAL DESEMBOLSOS]],Tabla4[[#This Row],[VALOR ATENCIÓN (8 MESES)]])</f>
        <v>1</v>
      </c>
      <c r="BH612" s="29">
        <f>Tabla4[[#This Row],[TOTAL DESEMBOLSOS]]-Tabla4[[#This Row],[VALOR ATENCIÓN (8 MESES)]]</f>
        <v>0</v>
      </c>
      <c r="BI612" t="s">
        <v>98</v>
      </c>
      <c r="BJ612">
        <v>1944</v>
      </c>
    </row>
    <row r="613" spans="1:62">
      <c r="A613" s="13">
        <v>1944</v>
      </c>
      <c r="B613" s="13" t="s">
        <v>1359</v>
      </c>
      <c r="C613" s="12" t="s">
        <v>87</v>
      </c>
      <c r="D613" s="12" t="s">
        <v>88</v>
      </c>
      <c r="E613" s="12" t="s">
        <v>1360</v>
      </c>
      <c r="F613" s="12" t="s">
        <v>21</v>
      </c>
      <c r="G613" s="12" t="s">
        <v>90</v>
      </c>
      <c r="H613" s="12" t="s">
        <v>1396</v>
      </c>
      <c r="I613" s="12">
        <v>52371152820</v>
      </c>
      <c r="J613" s="12" t="s">
        <v>1397</v>
      </c>
      <c r="K613" s="12">
        <v>1</v>
      </c>
      <c r="L613" s="12">
        <v>7</v>
      </c>
      <c r="M613" s="12"/>
      <c r="N613" s="13">
        <v>1944</v>
      </c>
      <c r="O613" s="12" t="s">
        <v>93</v>
      </c>
      <c r="P613" s="12"/>
      <c r="Q613" s="12"/>
      <c r="R613" s="12" t="s">
        <v>94</v>
      </c>
      <c r="S613" s="12">
        <v>10</v>
      </c>
      <c r="T613" s="12" t="s">
        <v>1363</v>
      </c>
      <c r="U613" s="12" t="s">
        <v>1364</v>
      </c>
      <c r="V613" s="12">
        <f>VLOOKUP(Tabla4[[#This Row],[ZONA DEFINITIVO]],Hoja1!$A$1:$D$121,3,0)</f>
        <v>229113</v>
      </c>
      <c r="W613" s="12">
        <f>VLOOKUP(Tabla4[[#This Row],[ZONA DEFINITIVO]],Hoja1!$A$1:$D$121,2,0)</f>
        <v>15219</v>
      </c>
      <c r="X613" s="12">
        <f>VLOOKUP(Tabla4[[#This Row],[ZONA DEFINITIVO]],Hoja1!$A$1:$D$121,4,0)</f>
        <v>86725</v>
      </c>
      <c r="Y613" s="12" t="str">
        <f>+IF(Tabla4[[#This Row],[AGRUPACIONES]]=1,SUMIFS(Tabla4[UDS],Tabla4[ZONA DEFINITIVO],Tabla4[[#This Row],[ZONA DEFINITIVO]])," ")</f>
        <v xml:space="preserve"> </v>
      </c>
      <c r="Z613" s="12" t="str">
        <f>+IF(Tabla4[[#This Row],[AGRUPACIONES]]=1,SUMIFS(Tabla4[TOTAL COBERTURA],Tabla4[ZONA DEFINITIVO],Tabla4[[#This Row],[ZONA DEFINITIVO]])," ")</f>
        <v xml:space="preserve"> </v>
      </c>
      <c r="AA613" s="12"/>
      <c r="AB613" s="38">
        <v>10635135</v>
      </c>
      <c r="AC613" s="37">
        <v>0.02</v>
      </c>
      <c r="AD613" s="38">
        <f t="shared" si="10"/>
        <v>212702.7</v>
      </c>
      <c r="AE613" s="12"/>
      <c r="AF613" s="12">
        <f>COUNTIF($A$20:A613,A613)</f>
        <v>18</v>
      </c>
      <c r="AG613" s="38">
        <v>10635135</v>
      </c>
      <c r="AH613" s="38">
        <f>Tabla4[[#This Row],[VALOR CONTRAPARTIDA]]+Tabla4[[#This Row],[TOTAL APORTES ICBF]]</f>
        <v>10847837.699999999</v>
      </c>
      <c r="AI613" s="35"/>
      <c r="AJ613" s="38"/>
      <c r="AK613" s="38"/>
      <c r="AL613" s="23"/>
      <c r="AM613" s="35">
        <f>VLOOKUP(Tabla4[[#This Row],[SERVICIO 2025]],$J$2:$V$14,5,0)*Tabla4[[#This Row],[TOTAL COBERTURA]]</f>
        <v>327208</v>
      </c>
      <c r="AN613" s="35">
        <f>VLOOKUP(Tabla4[[#This Row],[SERVICIO 2025]],$J$2:$V$14,6,0)*Tabla4[[#This Row],[TOTAL COBERTURA]]</f>
        <v>264887</v>
      </c>
      <c r="AO613" s="35">
        <f>VLOOKUP(Tabla4[[#This Row],[SERVICIO 2025]],$J$2:$V$14,8,0)*Tabla4[[#This Row],[TOTAL COBERTURA]]</f>
        <v>0</v>
      </c>
      <c r="AP613" s="35">
        <f>VLOOKUP(Tabla4[[#This Row],[SERVICIO 2025]],$J$2:$V$14,3,0)*Tabla4[[#This Row],[TOTAL COBERTURA]]*8</f>
        <v>10043040</v>
      </c>
      <c r="AQ613" s="35"/>
      <c r="AR613" s="35">
        <f>Tabla4[[#This Row],[VALOR FASE PREPARATORIA DE ALISTAMIENTO]]+Tabla4[[#This Row],[VALOR FASE PREPARATORIA DE CIERRE]]+Tabla4[[#This Row],[DOTACIÓN ÚNICA]]+Tabla4[[#This Row],[VALOR ATENCIÓN]]+Tabla4[[#This Row],[VALOR RACION PREPARADA]]</f>
        <v>10635135</v>
      </c>
      <c r="AS613" s="35" t="str">
        <f>+IF(Tabla4[[#This Row],[AGRUPACIONES]]=1,SUMIFS(Tabla4[VALOR TOTAL],Tabla4[ZONA DEFINITIVO],Tabla4[[#This Row],[ZONA DEFINITIVO]])," ")</f>
        <v xml:space="preserve"> </v>
      </c>
      <c r="AT613" s="27">
        <f>(VLOOKUP(Tabla4[[#This Row],[SERVICIO 2025]],$J$2:$V$14,3,0)*Tabla4[[#This Row],[TOTAL COBERTURA]])+Tabla4[[#This Row],[VALOR FASE PREPARATORIA DE ALISTAMIENTO]]+Tabla4[[#This Row],[DOTACIÓN ÚNICA]]</f>
        <v>1582588</v>
      </c>
      <c r="AU613" s="35">
        <f>(VLOOKUP(Tabla4[[#This Row],[SERVICIO 2025]],$J$2:$V$14,3,0)*Tabla4[[#This Row],[TOTAL COBERTURA]])</f>
        <v>1255380</v>
      </c>
      <c r="AV613" s="35">
        <f>(VLOOKUP(Tabla4[[#This Row],[SERVICIO 2025]],$J$2:$V$14,3,0)*Tabla4[[#This Row],[TOTAL COBERTURA]])</f>
        <v>1255380</v>
      </c>
      <c r="AW613" s="35">
        <f>(VLOOKUP(Tabla4[[#This Row],[SERVICIO 2025]],$J$2:$V$14,3,0)*Tabla4[[#This Row],[TOTAL COBERTURA]])</f>
        <v>1255380</v>
      </c>
      <c r="AX613" s="35">
        <f>(VLOOKUP(Tabla4[[#This Row],[SERVICIO 2025]],$J$2:$V$14,3,0)*Tabla4[[#This Row],[TOTAL COBERTURA]])</f>
        <v>1255380</v>
      </c>
      <c r="AY613" s="35">
        <f>(VLOOKUP(Tabla4[[#This Row],[SERVICIO 2025]],$J$2:$V$14,3,0)*Tabla4[[#This Row],[TOTAL COBERTURA]])</f>
        <v>1255380</v>
      </c>
      <c r="AZ613" s="35">
        <f>(VLOOKUP(Tabla4[[#This Row],[SERVICIO 2025]],$J$2:$V$14,3,0)*Tabla4[[#This Row],[TOTAL COBERTURA]])</f>
        <v>1255380</v>
      </c>
      <c r="BA613" s="35">
        <f>(VLOOKUP(Tabla4[[#This Row],[SERVICIO 2025]],$J$2:$V$14,3,0)*Tabla4[[#This Row],[TOTAL COBERTURA]])+Tabla4[[#This Row],[VALOR FASE PREPARATORIA DE CIERRE]]</f>
        <v>1520267</v>
      </c>
      <c r="BB613" s="35">
        <f>SUM(Tabla4[[#This Row],[DESEMBOLSO 1]:[DESEMBOLSO 8]])</f>
        <v>10635135</v>
      </c>
      <c r="BC613" s="35">
        <f>VLOOKUP(Tabla4[[#This Row],[SERVICIO 2025]],$J$2:$V$14,10,0)*Tabla4[[#This Row],[TOTAL COBERTURA]]*$W$3</f>
        <v>10545976</v>
      </c>
      <c r="BD613" s="47" t="s">
        <v>211</v>
      </c>
      <c r="BE613" s="12" t="b">
        <f>EXACT(Tabla4[[#This Row],[VALOR ATENCIÓN (8 MESES)]],Tabla4[[#This Row],[VALOR TOTAL]])</f>
        <v>1</v>
      </c>
      <c r="BF613" s="23">
        <f>Tabla4[[#This Row],[VALOR ATENCIÓN (8 MESES)]]-Tabla4[[#This Row],[VALOR TOTAL]]</f>
        <v>0</v>
      </c>
      <c r="BG613" s="12" t="b">
        <f>EXACT(Tabla4[[#This Row],[TOTAL DESEMBOLSOS]],Tabla4[[#This Row],[VALOR ATENCIÓN (8 MESES)]])</f>
        <v>1</v>
      </c>
      <c r="BH613" s="29">
        <f>Tabla4[[#This Row],[TOTAL DESEMBOLSOS]]-Tabla4[[#This Row],[VALOR ATENCIÓN (8 MESES)]]</f>
        <v>0</v>
      </c>
      <c r="BI613" t="s">
        <v>98</v>
      </c>
      <c r="BJ613">
        <v>1944</v>
      </c>
    </row>
    <row r="614" spans="1:62">
      <c r="A614" s="13">
        <v>1944</v>
      </c>
      <c r="B614" s="13" t="s">
        <v>1359</v>
      </c>
      <c r="C614" s="12" t="s">
        <v>87</v>
      </c>
      <c r="D614" s="12" t="s">
        <v>88</v>
      </c>
      <c r="E614" s="12" t="s">
        <v>1360</v>
      </c>
      <c r="F614" s="12" t="s">
        <v>14</v>
      </c>
      <c r="G614" s="12" t="s">
        <v>90</v>
      </c>
      <c r="H614" s="12" t="s">
        <v>1398</v>
      </c>
      <c r="I614" s="12">
        <v>523700023938</v>
      </c>
      <c r="J614" s="12" t="s">
        <v>1399</v>
      </c>
      <c r="K614" s="12">
        <v>1</v>
      </c>
      <c r="L614" s="12">
        <v>150</v>
      </c>
      <c r="M614" s="12"/>
      <c r="N614" s="13">
        <v>1944</v>
      </c>
      <c r="O614" s="12" t="s">
        <v>93</v>
      </c>
      <c r="P614" s="12"/>
      <c r="Q614" s="12"/>
      <c r="R614" s="12" t="s">
        <v>94</v>
      </c>
      <c r="S614" s="12">
        <v>10</v>
      </c>
      <c r="T614" s="12" t="s">
        <v>1363</v>
      </c>
      <c r="U614" s="12" t="s">
        <v>1364</v>
      </c>
      <c r="V614" s="12">
        <f>VLOOKUP(Tabla4[[#This Row],[ZONA DEFINITIVO]],Hoja1!$A$1:$D$121,3,0)</f>
        <v>229113</v>
      </c>
      <c r="W614" s="12">
        <f>VLOOKUP(Tabla4[[#This Row],[ZONA DEFINITIVO]],Hoja1!$A$1:$D$121,2,0)</f>
        <v>15219</v>
      </c>
      <c r="X614" s="12">
        <f>VLOOKUP(Tabla4[[#This Row],[ZONA DEFINITIVO]],Hoja1!$A$1:$D$121,4,0)</f>
        <v>86725</v>
      </c>
      <c r="Y614" s="12" t="str">
        <f>+IF(Tabla4[[#This Row],[AGRUPACIONES]]=1,SUMIFS(Tabla4[UDS],Tabla4[ZONA DEFINITIVO],Tabla4[[#This Row],[ZONA DEFINITIVO]])," ")</f>
        <v xml:space="preserve"> </v>
      </c>
      <c r="Z614" s="12" t="str">
        <f>+IF(Tabla4[[#This Row],[AGRUPACIONES]]=1,SUMIFS(Tabla4[TOTAL COBERTURA],Tabla4[ZONA DEFINITIVO],Tabla4[[#This Row],[ZONA DEFINITIVO]])," ")</f>
        <v xml:space="preserve"> </v>
      </c>
      <c r="AA614" s="12"/>
      <c r="AB614" s="38">
        <v>628327500</v>
      </c>
      <c r="AC614" s="37">
        <v>0.02</v>
      </c>
      <c r="AD614" s="38">
        <f t="shared" si="10"/>
        <v>12566550</v>
      </c>
      <c r="AE614" s="12"/>
      <c r="AF614" s="12">
        <f>COUNTIF($A$20:A614,A614)</f>
        <v>19</v>
      </c>
      <c r="AG614" s="38">
        <v>628327500</v>
      </c>
      <c r="AH614" s="38">
        <f>Tabla4[[#This Row],[VALOR CONTRAPARTIDA]]+Tabla4[[#This Row],[TOTAL APORTES ICBF]]</f>
        <v>640894050</v>
      </c>
      <c r="AI614" s="35"/>
      <c r="AJ614" s="38"/>
      <c r="AK614" s="38"/>
      <c r="AL614" s="23"/>
      <c r="AM614" s="35">
        <f>VLOOKUP(Tabla4[[#This Row],[SERVICIO 2025]],$J$2:$V$14,5,0)*Tabla4[[#This Row],[TOTAL COBERTURA]]</f>
        <v>13221450</v>
      </c>
      <c r="AN614" s="35">
        <f>VLOOKUP(Tabla4[[#This Row],[SERVICIO 2025]],$J$2:$V$14,6,0)*Tabla4[[#This Row],[TOTAL COBERTURA]]</f>
        <v>11256450</v>
      </c>
      <c r="AO614" s="35">
        <f>VLOOKUP(Tabla4[[#This Row],[SERVICIO 2025]],$J$2:$V$14,8,0)*Tabla4[[#This Row],[TOTAL COBERTURA]]</f>
        <v>0</v>
      </c>
      <c r="AP614" s="35">
        <f>VLOOKUP(Tabla4[[#This Row],[SERVICIO 2025]],$J$2:$V$14,3,0)*Tabla4[[#This Row],[TOTAL COBERTURA]]*8</f>
        <v>603849600</v>
      </c>
      <c r="AQ614" s="35"/>
      <c r="AR614" s="35">
        <f>Tabla4[[#This Row],[VALOR FASE PREPARATORIA DE ALISTAMIENTO]]+Tabla4[[#This Row],[VALOR FASE PREPARATORIA DE CIERRE]]+Tabla4[[#This Row],[DOTACIÓN ÚNICA]]+Tabla4[[#This Row],[VALOR ATENCIÓN]]+Tabla4[[#This Row],[VALOR RACION PREPARADA]]</f>
        <v>628327500</v>
      </c>
      <c r="AS614" s="35" t="str">
        <f>+IF(Tabla4[[#This Row],[AGRUPACIONES]]=1,SUMIFS(Tabla4[VALOR TOTAL],Tabla4[ZONA DEFINITIVO],Tabla4[[#This Row],[ZONA DEFINITIVO]])," ")</f>
        <v xml:space="preserve"> </v>
      </c>
      <c r="AT614" s="27">
        <f>(VLOOKUP(Tabla4[[#This Row],[SERVICIO 2025]],$J$2:$V$14,3,0)*Tabla4[[#This Row],[TOTAL COBERTURA]])+Tabla4[[#This Row],[VALOR FASE PREPARATORIA DE ALISTAMIENTO]]+Tabla4[[#This Row],[DOTACIÓN ÚNICA]]</f>
        <v>88702650</v>
      </c>
      <c r="AU614" s="35">
        <f>(VLOOKUP(Tabla4[[#This Row],[SERVICIO 2025]],$J$2:$V$14,3,0)*Tabla4[[#This Row],[TOTAL COBERTURA]])</f>
        <v>75481200</v>
      </c>
      <c r="AV614" s="35">
        <f>(VLOOKUP(Tabla4[[#This Row],[SERVICIO 2025]],$J$2:$V$14,3,0)*Tabla4[[#This Row],[TOTAL COBERTURA]])</f>
        <v>75481200</v>
      </c>
      <c r="AW614" s="35">
        <f>(VLOOKUP(Tabla4[[#This Row],[SERVICIO 2025]],$J$2:$V$14,3,0)*Tabla4[[#This Row],[TOTAL COBERTURA]])</f>
        <v>75481200</v>
      </c>
      <c r="AX614" s="35">
        <f>(VLOOKUP(Tabla4[[#This Row],[SERVICIO 2025]],$J$2:$V$14,3,0)*Tabla4[[#This Row],[TOTAL COBERTURA]])</f>
        <v>75481200</v>
      </c>
      <c r="AY614" s="35">
        <f>(VLOOKUP(Tabla4[[#This Row],[SERVICIO 2025]],$J$2:$V$14,3,0)*Tabla4[[#This Row],[TOTAL COBERTURA]])</f>
        <v>75481200</v>
      </c>
      <c r="AZ614" s="35">
        <f>(VLOOKUP(Tabla4[[#This Row],[SERVICIO 2025]],$J$2:$V$14,3,0)*Tabla4[[#This Row],[TOTAL COBERTURA]])</f>
        <v>75481200</v>
      </c>
      <c r="BA614" s="35">
        <f>(VLOOKUP(Tabla4[[#This Row],[SERVICIO 2025]],$J$2:$V$14,3,0)*Tabla4[[#This Row],[TOTAL COBERTURA]])+Tabla4[[#This Row],[VALOR FASE PREPARATORIA DE CIERRE]]</f>
        <v>86737650</v>
      </c>
      <c r="BB614" s="35">
        <f>SUM(Tabla4[[#This Row],[DESEMBOLSO 1]:[DESEMBOLSO 8]])</f>
        <v>628327500</v>
      </c>
      <c r="BC614" s="35">
        <f>VLOOKUP(Tabla4[[#This Row],[SERVICIO 2025]],$J$2:$V$14,10,0)*Tabla4[[#This Row],[TOTAL COBERTURA]]*$W$3</f>
        <v>0</v>
      </c>
      <c r="BD614" s="47" t="s">
        <v>145</v>
      </c>
      <c r="BE614" s="12" t="b">
        <f>EXACT(Tabla4[[#This Row],[VALOR ATENCIÓN (8 MESES)]],Tabla4[[#This Row],[VALOR TOTAL]])</f>
        <v>1</v>
      </c>
      <c r="BF614" s="23">
        <f>Tabla4[[#This Row],[VALOR ATENCIÓN (8 MESES)]]-Tabla4[[#This Row],[VALOR TOTAL]]</f>
        <v>0</v>
      </c>
      <c r="BG614" s="12" t="b">
        <f>EXACT(Tabla4[[#This Row],[TOTAL DESEMBOLSOS]],Tabla4[[#This Row],[VALOR ATENCIÓN (8 MESES)]])</f>
        <v>1</v>
      </c>
      <c r="BH614" s="29">
        <f>Tabla4[[#This Row],[TOTAL DESEMBOLSOS]]-Tabla4[[#This Row],[VALOR ATENCIÓN (8 MESES)]]</f>
        <v>0</v>
      </c>
      <c r="BI614" t="s">
        <v>98</v>
      </c>
      <c r="BJ614">
        <v>1944</v>
      </c>
    </row>
    <row r="615" spans="1:62">
      <c r="A615" s="13">
        <v>1944</v>
      </c>
      <c r="B615" s="13" t="s">
        <v>1359</v>
      </c>
      <c r="C615" s="12" t="s">
        <v>87</v>
      </c>
      <c r="D615" s="12" t="s">
        <v>88</v>
      </c>
      <c r="E615" s="12" t="s">
        <v>1360</v>
      </c>
      <c r="F615" s="12" t="s">
        <v>15</v>
      </c>
      <c r="G615" s="12" t="s">
        <v>90</v>
      </c>
      <c r="H615" s="12" t="s">
        <v>1400</v>
      </c>
      <c r="I615" s="12">
        <v>523700078365</v>
      </c>
      <c r="J615" s="12" t="s">
        <v>1401</v>
      </c>
      <c r="K615" s="12">
        <v>1</v>
      </c>
      <c r="L615" s="12">
        <v>80</v>
      </c>
      <c r="M615" s="12"/>
      <c r="N615" s="13">
        <v>1944</v>
      </c>
      <c r="O615" s="12" t="s">
        <v>93</v>
      </c>
      <c r="P615" s="12"/>
      <c r="Q615" s="12"/>
      <c r="R615" s="12" t="s">
        <v>94</v>
      </c>
      <c r="S615" s="12">
        <v>10</v>
      </c>
      <c r="T615" s="12" t="s">
        <v>1363</v>
      </c>
      <c r="U615" s="12" t="s">
        <v>1364</v>
      </c>
      <c r="V615" s="12">
        <f>VLOOKUP(Tabla4[[#This Row],[ZONA DEFINITIVO]],Hoja1!$A$1:$D$121,3,0)</f>
        <v>229113</v>
      </c>
      <c r="W615" s="12">
        <f>VLOOKUP(Tabla4[[#This Row],[ZONA DEFINITIVO]],Hoja1!$A$1:$D$121,2,0)</f>
        <v>15219</v>
      </c>
      <c r="X615" s="12">
        <f>VLOOKUP(Tabla4[[#This Row],[ZONA DEFINITIVO]],Hoja1!$A$1:$D$121,4,0)</f>
        <v>86725</v>
      </c>
      <c r="Y615" s="12" t="str">
        <f>+IF(Tabla4[[#This Row],[AGRUPACIONES]]=1,SUMIFS(Tabla4[UDS],Tabla4[ZONA DEFINITIVO],Tabla4[[#This Row],[ZONA DEFINITIVO]])," ")</f>
        <v xml:space="preserve"> </v>
      </c>
      <c r="Z615" s="12" t="str">
        <f>+IF(Tabla4[[#This Row],[AGRUPACIONES]]=1,SUMIFS(Tabla4[TOTAL COBERTURA],Tabla4[ZONA DEFINITIVO],Tabla4[[#This Row],[ZONA DEFINITIVO]])," ")</f>
        <v xml:space="preserve"> </v>
      </c>
      <c r="AA615" s="12"/>
      <c r="AB615" s="38">
        <v>346352160</v>
      </c>
      <c r="AC615" s="37">
        <v>0.02</v>
      </c>
      <c r="AD615" s="38">
        <f t="shared" si="10"/>
        <v>6927043.2000000002</v>
      </c>
      <c r="AE615" s="12"/>
      <c r="AF615" s="12">
        <f>COUNTIF($A$20:A615,A615)</f>
        <v>20</v>
      </c>
      <c r="AG615" s="38">
        <v>346352160</v>
      </c>
      <c r="AH615" s="38">
        <f>Tabla4[[#This Row],[VALOR CONTRAPARTIDA]]+Tabla4[[#This Row],[TOTAL APORTES ICBF]]</f>
        <v>353279203.19999999</v>
      </c>
      <c r="AI615" s="35"/>
      <c r="AJ615" s="38"/>
      <c r="AK615" s="38"/>
      <c r="AL615" s="23"/>
      <c r="AM615" s="35">
        <f>VLOOKUP(Tabla4[[#This Row],[SERVICIO 2025]],$J$2:$V$14,5,0)*Tabla4[[#This Row],[TOTAL COBERTURA]]</f>
        <v>7051440</v>
      </c>
      <c r="AN615" s="35">
        <f>VLOOKUP(Tabla4[[#This Row],[SERVICIO 2025]],$J$2:$V$14,6,0)*Tabla4[[#This Row],[TOTAL COBERTURA]]</f>
        <v>6003440</v>
      </c>
      <c r="AO615" s="35">
        <f>VLOOKUP(Tabla4[[#This Row],[SERVICIO 2025]],$J$2:$V$14,8,0)*Tabla4[[#This Row],[TOTAL COBERTURA]]</f>
        <v>0</v>
      </c>
      <c r="AP615" s="35">
        <f>VLOOKUP(Tabla4[[#This Row],[SERVICIO 2025]],$J$2:$V$14,3,0)*Tabla4[[#This Row],[TOTAL COBERTURA]]*8</f>
        <v>333297280</v>
      </c>
      <c r="AQ615" s="35"/>
      <c r="AR615" s="35">
        <f>Tabla4[[#This Row],[VALOR FASE PREPARATORIA DE ALISTAMIENTO]]+Tabla4[[#This Row],[VALOR FASE PREPARATORIA DE CIERRE]]+Tabla4[[#This Row],[DOTACIÓN ÚNICA]]+Tabla4[[#This Row],[VALOR ATENCIÓN]]+Tabla4[[#This Row],[VALOR RACION PREPARADA]]</f>
        <v>346352160</v>
      </c>
      <c r="AS615" s="35" t="str">
        <f>+IF(Tabla4[[#This Row],[AGRUPACIONES]]=1,SUMIFS(Tabla4[VALOR TOTAL],Tabla4[ZONA DEFINITIVO],Tabla4[[#This Row],[ZONA DEFINITIVO]])," ")</f>
        <v xml:space="preserve"> </v>
      </c>
      <c r="AT615" s="27">
        <f>(VLOOKUP(Tabla4[[#This Row],[SERVICIO 2025]],$J$2:$V$14,3,0)*Tabla4[[#This Row],[TOTAL COBERTURA]])+Tabla4[[#This Row],[VALOR FASE PREPARATORIA DE ALISTAMIENTO]]+Tabla4[[#This Row],[DOTACIÓN ÚNICA]]</f>
        <v>48713600</v>
      </c>
      <c r="AU615" s="35">
        <f>(VLOOKUP(Tabla4[[#This Row],[SERVICIO 2025]],$J$2:$V$14,3,0)*Tabla4[[#This Row],[TOTAL COBERTURA]])</f>
        <v>41662160</v>
      </c>
      <c r="AV615" s="35">
        <f>(VLOOKUP(Tabla4[[#This Row],[SERVICIO 2025]],$J$2:$V$14,3,0)*Tabla4[[#This Row],[TOTAL COBERTURA]])</f>
        <v>41662160</v>
      </c>
      <c r="AW615" s="35">
        <f>(VLOOKUP(Tabla4[[#This Row],[SERVICIO 2025]],$J$2:$V$14,3,0)*Tabla4[[#This Row],[TOTAL COBERTURA]])</f>
        <v>41662160</v>
      </c>
      <c r="AX615" s="35">
        <f>(VLOOKUP(Tabla4[[#This Row],[SERVICIO 2025]],$J$2:$V$14,3,0)*Tabla4[[#This Row],[TOTAL COBERTURA]])</f>
        <v>41662160</v>
      </c>
      <c r="AY615" s="35">
        <f>(VLOOKUP(Tabla4[[#This Row],[SERVICIO 2025]],$J$2:$V$14,3,0)*Tabla4[[#This Row],[TOTAL COBERTURA]])</f>
        <v>41662160</v>
      </c>
      <c r="AZ615" s="35">
        <f>(VLOOKUP(Tabla4[[#This Row],[SERVICIO 2025]],$J$2:$V$14,3,0)*Tabla4[[#This Row],[TOTAL COBERTURA]])</f>
        <v>41662160</v>
      </c>
      <c r="BA615" s="35">
        <f>(VLOOKUP(Tabla4[[#This Row],[SERVICIO 2025]],$J$2:$V$14,3,0)*Tabla4[[#This Row],[TOTAL COBERTURA]])+Tabla4[[#This Row],[VALOR FASE PREPARATORIA DE CIERRE]]</f>
        <v>47665600</v>
      </c>
      <c r="BB615" s="35">
        <f>SUM(Tabla4[[#This Row],[DESEMBOLSO 1]:[DESEMBOLSO 8]])</f>
        <v>346352160</v>
      </c>
      <c r="BC615" s="35">
        <f>VLOOKUP(Tabla4[[#This Row],[SERVICIO 2025]],$J$2:$V$14,10,0)*Tabla4[[#This Row],[TOTAL COBERTURA]]*$W$3</f>
        <v>0</v>
      </c>
      <c r="BD615" s="47" t="s">
        <v>145</v>
      </c>
      <c r="BE615" s="12" t="b">
        <f>EXACT(Tabla4[[#This Row],[VALOR ATENCIÓN (8 MESES)]],Tabla4[[#This Row],[VALOR TOTAL]])</f>
        <v>1</v>
      </c>
      <c r="BF615" s="23">
        <f>Tabla4[[#This Row],[VALOR ATENCIÓN (8 MESES)]]-Tabla4[[#This Row],[VALOR TOTAL]]</f>
        <v>0</v>
      </c>
      <c r="BG615" s="12" t="b">
        <f>EXACT(Tabla4[[#This Row],[TOTAL DESEMBOLSOS]],Tabla4[[#This Row],[VALOR ATENCIÓN (8 MESES)]])</f>
        <v>1</v>
      </c>
      <c r="BH615" s="29">
        <f>Tabla4[[#This Row],[TOTAL DESEMBOLSOS]]-Tabla4[[#This Row],[VALOR ATENCIÓN (8 MESES)]]</f>
        <v>0</v>
      </c>
      <c r="BI615" t="s">
        <v>98</v>
      </c>
      <c r="BJ615">
        <v>1944</v>
      </c>
    </row>
    <row r="616" spans="1:62">
      <c r="A616" s="13">
        <v>1944</v>
      </c>
      <c r="B616" s="13" t="s">
        <v>1359</v>
      </c>
      <c r="C616" s="12" t="s">
        <v>87</v>
      </c>
      <c r="D616" s="12" t="s">
        <v>88</v>
      </c>
      <c r="E616" s="12" t="s">
        <v>1360</v>
      </c>
      <c r="F616" s="12" t="s">
        <v>21</v>
      </c>
      <c r="G616" s="12" t="s">
        <v>90</v>
      </c>
      <c r="H616" s="12" t="s">
        <v>1402</v>
      </c>
      <c r="I616" s="12">
        <v>523700099364</v>
      </c>
      <c r="J616" s="12" t="s">
        <v>1403</v>
      </c>
      <c r="K616" s="12">
        <v>1</v>
      </c>
      <c r="L616" s="12">
        <v>13</v>
      </c>
      <c r="M616" s="12"/>
      <c r="N616" s="13">
        <v>1944</v>
      </c>
      <c r="O616" s="12" t="s">
        <v>93</v>
      </c>
      <c r="P616" s="12"/>
      <c r="Q616" s="12"/>
      <c r="R616" s="12" t="s">
        <v>94</v>
      </c>
      <c r="S616" s="12">
        <v>10</v>
      </c>
      <c r="T616" s="12" t="s">
        <v>1363</v>
      </c>
      <c r="U616" s="12" t="s">
        <v>1364</v>
      </c>
      <c r="V616" s="12">
        <f>VLOOKUP(Tabla4[[#This Row],[ZONA DEFINITIVO]],Hoja1!$A$1:$D$121,3,0)</f>
        <v>229113</v>
      </c>
      <c r="W616" s="12">
        <f>VLOOKUP(Tabla4[[#This Row],[ZONA DEFINITIVO]],Hoja1!$A$1:$D$121,2,0)</f>
        <v>15219</v>
      </c>
      <c r="X616" s="12">
        <f>VLOOKUP(Tabla4[[#This Row],[ZONA DEFINITIVO]],Hoja1!$A$1:$D$121,4,0)</f>
        <v>86725</v>
      </c>
      <c r="Y616" s="12" t="str">
        <f>+IF(Tabla4[[#This Row],[AGRUPACIONES]]=1,SUMIFS(Tabla4[UDS],Tabla4[ZONA DEFINITIVO],Tabla4[[#This Row],[ZONA DEFINITIVO]])," ")</f>
        <v xml:space="preserve"> </v>
      </c>
      <c r="Z616" s="12" t="str">
        <f>+IF(Tabla4[[#This Row],[AGRUPACIONES]]=1,SUMIFS(Tabla4[TOTAL COBERTURA],Tabla4[ZONA DEFINITIVO],Tabla4[[#This Row],[ZONA DEFINITIVO]])," ")</f>
        <v xml:space="preserve"> </v>
      </c>
      <c r="AA616" s="12"/>
      <c r="AB616" s="38">
        <v>19750965</v>
      </c>
      <c r="AC616" s="37">
        <v>0.02</v>
      </c>
      <c r="AD616" s="38">
        <f t="shared" si="10"/>
        <v>395019.3</v>
      </c>
      <c r="AE616" s="12"/>
      <c r="AF616" s="12">
        <f>COUNTIF($A$20:A616,A616)</f>
        <v>21</v>
      </c>
      <c r="AG616" s="38">
        <v>19750965</v>
      </c>
      <c r="AH616" s="38">
        <f>Tabla4[[#This Row],[VALOR CONTRAPARTIDA]]+Tabla4[[#This Row],[TOTAL APORTES ICBF]]</f>
        <v>20145984.300000001</v>
      </c>
      <c r="AI616" s="35"/>
      <c r="AJ616" s="38"/>
      <c r="AK616" s="38"/>
      <c r="AL616" s="23"/>
      <c r="AM616" s="35">
        <f>VLOOKUP(Tabla4[[#This Row],[SERVICIO 2025]],$J$2:$V$14,5,0)*Tabla4[[#This Row],[TOTAL COBERTURA]]</f>
        <v>607672</v>
      </c>
      <c r="AN616" s="35">
        <f>VLOOKUP(Tabla4[[#This Row],[SERVICIO 2025]],$J$2:$V$14,6,0)*Tabla4[[#This Row],[TOTAL COBERTURA]]</f>
        <v>491933</v>
      </c>
      <c r="AO616" s="35">
        <f>VLOOKUP(Tabla4[[#This Row],[SERVICIO 2025]],$J$2:$V$14,8,0)*Tabla4[[#This Row],[TOTAL COBERTURA]]</f>
        <v>0</v>
      </c>
      <c r="AP616" s="35">
        <f>VLOOKUP(Tabla4[[#This Row],[SERVICIO 2025]],$J$2:$V$14,3,0)*Tabla4[[#This Row],[TOTAL COBERTURA]]*8</f>
        <v>18651360</v>
      </c>
      <c r="AQ616" s="35"/>
      <c r="AR616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616" s="35" t="str">
        <f>+IF(Tabla4[[#This Row],[AGRUPACIONES]]=1,SUMIFS(Tabla4[VALOR TOTAL],Tabla4[ZONA DEFINITIVO],Tabla4[[#This Row],[ZONA DEFINITIVO]])," ")</f>
        <v xml:space="preserve"> </v>
      </c>
      <c r="AT616" s="27">
        <f>(VLOOKUP(Tabla4[[#This Row],[SERVICIO 2025]],$J$2:$V$14,3,0)*Tabla4[[#This Row],[TOTAL COBERTURA]])+Tabla4[[#This Row],[VALOR FASE PREPARATORIA DE ALISTAMIENTO]]+Tabla4[[#This Row],[DOTACIÓN ÚNICA]]</f>
        <v>2939092</v>
      </c>
      <c r="AU616" s="35">
        <f>(VLOOKUP(Tabla4[[#This Row],[SERVICIO 2025]],$J$2:$V$14,3,0)*Tabla4[[#This Row],[TOTAL COBERTURA]])</f>
        <v>2331420</v>
      </c>
      <c r="AV616" s="35">
        <f>(VLOOKUP(Tabla4[[#This Row],[SERVICIO 2025]],$J$2:$V$14,3,0)*Tabla4[[#This Row],[TOTAL COBERTURA]])</f>
        <v>2331420</v>
      </c>
      <c r="AW616" s="35">
        <f>(VLOOKUP(Tabla4[[#This Row],[SERVICIO 2025]],$J$2:$V$14,3,0)*Tabla4[[#This Row],[TOTAL COBERTURA]])</f>
        <v>2331420</v>
      </c>
      <c r="AX616" s="35">
        <f>(VLOOKUP(Tabla4[[#This Row],[SERVICIO 2025]],$J$2:$V$14,3,0)*Tabla4[[#This Row],[TOTAL COBERTURA]])</f>
        <v>2331420</v>
      </c>
      <c r="AY616" s="35">
        <f>(VLOOKUP(Tabla4[[#This Row],[SERVICIO 2025]],$J$2:$V$14,3,0)*Tabla4[[#This Row],[TOTAL COBERTURA]])</f>
        <v>2331420</v>
      </c>
      <c r="AZ616" s="35">
        <f>(VLOOKUP(Tabla4[[#This Row],[SERVICIO 2025]],$J$2:$V$14,3,0)*Tabla4[[#This Row],[TOTAL COBERTURA]])</f>
        <v>2331420</v>
      </c>
      <c r="BA616" s="35">
        <f>(VLOOKUP(Tabla4[[#This Row],[SERVICIO 2025]],$J$2:$V$14,3,0)*Tabla4[[#This Row],[TOTAL COBERTURA]])+Tabla4[[#This Row],[VALOR FASE PREPARATORIA DE CIERRE]]</f>
        <v>2823353</v>
      </c>
      <c r="BB616" s="35">
        <f>SUM(Tabla4[[#This Row],[DESEMBOLSO 1]:[DESEMBOLSO 8]])</f>
        <v>19750965</v>
      </c>
      <c r="BC616" s="35">
        <f>VLOOKUP(Tabla4[[#This Row],[SERVICIO 2025]],$J$2:$V$14,10,0)*Tabla4[[#This Row],[TOTAL COBERTURA]]*$W$3</f>
        <v>19585384</v>
      </c>
      <c r="BD616" s="47" t="s">
        <v>211</v>
      </c>
      <c r="BE616" s="12" t="b">
        <f>EXACT(Tabla4[[#This Row],[VALOR ATENCIÓN (8 MESES)]],Tabla4[[#This Row],[VALOR TOTAL]])</f>
        <v>1</v>
      </c>
      <c r="BF616" s="23">
        <f>Tabla4[[#This Row],[VALOR ATENCIÓN (8 MESES)]]-Tabla4[[#This Row],[VALOR TOTAL]]</f>
        <v>0</v>
      </c>
      <c r="BG616" s="12" t="b">
        <f>EXACT(Tabla4[[#This Row],[TOTAL DESEMBOLSOS]],Tabla4[[#This Row],[VALOR ATENCIÓN (8 MESES)]])</f>
        <v>1</v>
      </c>
      <c r="BH616" s="29">
        <f>Tabla4[[#This Row],[TOTAL DESEMBOLSOS]]-Tabla4[[#This Row],[VALOR ATENCIÓN (8 MESES)]]</f>
        <v>0</v>
      </c>
      <c r="BI616" t="s">
        <v>98</v>
      </c>
      <c r="BJ616">
        <v>1944</v>
      </c>
    </row>
    <row r="617" spans="1:62">
      <c r="A617" s="13">
        <v>1946</v>
      </c>
      <c r="B617" s="13" t="e">
        <v>#N/A</v>
      </c>
      <c r="C617" s="12" t="s">
        <v>87</v>
      </c>
      <c r="D617" s="12" t="s">
        <v>987</v>
      </c>
      <c r="E617" s="12" t="s">
        <v>1404</v>
      </c>
      <c r="F617" s="12" t="s">
        <v>19</v>
      </c>
      <c r="G617" s="12" t="s">
        <v>90</v>
      </c>
      <c r="H617" s="12" t="s">
        <v>1405</v>
      </c>
      <c r="I617" s="12">
        <v>52501151119</v>
      </c>
      <c r="J617" s="12" t="s">
        <v>1406</v>
      </c>
      <c r="K617" s="12">
        <v>1</v>
      </c>
      <c r="L617" s="12">
        <v>12</v>
      </c>
      <c r="M617" s="12"/>
      <c r="N617" s="13">
        <v>1946</v>
      </c>
      <c r="O617" s="12" t="s">
        <v>93</v>
      </c>
      <c r="P617" s="12"/>
      <c r="Q617" s="12"/>
      <c r="R617" s="12" t="s">
        <v>94</v>
      </c>
      <c r="S617" s="12">
        <v>10</v>
      </c>
      <c r="T617" s="12" t="s">
        <v>1407</v>
      </c>
      <c r="U617" s="12" t="s">
        <v>1408</v>
      </c>
      <c r="V617" s="12">
        <f>VLOOKUP(Tabla4[[#This Row],[ZONA DEFINITIVO]],Hoja1!$A$1:$D$121,3,0)</f>
        <v>229955</v>
      </c>
      <c r="W617" s="12">
        <f>VLOOKUP(Tabla4[[#This Row],[ZONA DEFINITIVO]],Hoja1!$A$1:$D$121,2,0)</f>
        <v>17471</v>
      </c>
      <c r="X617" s="12">
        <f>VLOOKUP(Tabla4[[#This Row],[ZONA DEFINITIVO]],Hoja1!$A$1:$D$121,4,0)</f>
        <v>108125</v>
      </c>
      <c r="Y617" s="12">
        <f>+IF(Tabla4[[#This Row],[AGRUPACIONES]]=1,SUMIFS(Tabla4[UDS],Tabla4[ZONA DEFINITIVO],Tabla4[[#This Row],[ZONA DEFINITIVO]])," ")</f>
        <v>10</v>
      </c>
      <c r="Z617" s="12">
        <f>+IF(Tabla4[[#This Row],[AGRUPACIONES]]=1,SUMIFS(Tabla4[TOTAL COBERTURA],Tabla4[ZONA DEFINITIVO],Tabla4[[#This Row],[ZONA DEFINITIVO]])," ")</f>
        <v>713</v>
      </c>
      <c r="AA617" s="12"/>
      <c r="AB617" s="38">
        <v>27013812</v>
      </c>
      <c r="AC617" s="37">
        <v>0.02</v>
      </c>
      <c r="AD617" s="38">
        <f t="shared" si="10"/>
        <v>540276.24</v>
      </c>
      <c r="AE617" s="12"/>
      <c r="AF617" s="12">
        <f>COUNTIF($A$20:A617,A617)</f>
        <v>1</v>
      </c>
      <c r="AG617" s="38">
        <v>27013812</v>
      </c>
      <c r="AH617" s="38">
        <f>Tabla4[[#This Row],[VALOR CONTRAPARTIDA]]+Tabla4[[#This Row],[TOTAL APORTES ICBF]]</f>
        <v>27554088.239999998</v>
      </c>
      <c r="AI617" s="35">
        <f>ROUND(+IF(Tabla4[[#This Row],[AGRUPACIONES]]=1,SUMIFS(Tabla4[TOTAL APORTES ICBF],Tabla4[ZONA DEFINITIVO],Tabla4[[#This Row],[ZONA DEFINITIVO]])," "),0)</f>
        <v>2340561449</v>
      </c>
      <c r="AJ617" s="38">
        <f>ROUND(+IF(Tabla4[[#This Row],[AGRUPACIONES]]=1,SUMIFS(Tabla4[VALOR CONTRAPARTIDA],Tabla4[ZONA DEFINITIVO],Tabla4[[#This Row],[ZONA DEFINITIVO]])," "),0)</f>
        <v>46811229</v>
      </c>
      <c r="AK617" s="38">
        <f>Tabla4[[#This Row],[TOTAL APORTES ICBF AGRUPADO]]+Tabla4[[#This Row],[TOTAL CONTRAPARTIDA AGRUPADO]]</f>
        <v>2387372678</v>
      </c>
      <c r="AL617" s="23">
        <f>Tabla4[[#This Row],[TOTAL APORTES ICBF AGRUPADO]]/$AL$18</f>
        <v>1644.2300309097295</v>
      </c>
      <c r="AM617" s="35">
        <f>VLOOKUP(Tabla4[[#This Row],[SERVICIO 2025]],$J$2:$V$14,5,0)*Tabla4[[#This Row],[TOTAL COBERTURA]]</f>
        <v>617556</v>
      </c>
      <c r="AN617" s="35">
        <f>VLOOKUP(Tabla4[[#This Row],[SERVICIO 2025]],$J$2:$V$14,6,0)*Tabla4[[#This Row],[TOTAL COBERTURA]]</f>
        <v>517392</v>
      </c>
      <c r="AO617" s="35">
        <f>VLOOKUP(Tabla4[[#This Row],[SERVICIO 2025]],$J$2:$V$14,8,0)*Tabla4[[#This Row],[TOTAL COBERTURA]]</f>
        <v>349200</v>
      </c>
      <c r="AP617" s="35">
        <f>VLOOKUP(Tabla4[[#This Row],[SERVICIO 2025]],$J$2:$V$14,3,0)*Tabla4[[#This Row],[TOTAL COBERTURA]]*8</f>
        <v>25529664</v>
      </c>
      <c r="AQ617" s="35"/>
      <c r="AR617" s="35">
        <f>Tabla4[[#This Row],[VALOR FASE PREPARATORIA DE ALISTAMIENTO]]+Tabla4[[#This Row],[VALOR FASE PREPARATORIA DE CIERRE]]+Tabla4[[#This Row],[DOTACIÓN ÚNICA]]+Tabla4[[#This Row],[VALOR ATENCIÓN]]+Tabla4[[#This Row],[VALOR RACION PREPARADA]]</f>
        <v>27013812</v>
      </c>
      <c r="AS617" s="35">
        <f>+IF(Tabla4[[#This Row],[AGRUPACIONES]]=1,SUMIFS(Tabla4[VALOR TOTAL],Tabla4[ZONA DEFINITIVO],Tabla4[[#This Row],[ZONA DEFINITIVO]])," ")</f>
        <v>2340561449</v>
      </c>
      <c r="AT617" s="27">
        <f>(VLOOKUP(Tabla4[[#This Row],[SERVICIO 2025]],$J$2:$V$14,3,0)*Tabla4[[#This Row],[TOTAL COBERTURA]])+Tabla4[[#This Row],[VALOR FASE PREPARATORIA DE ALISTAMIENTO]]+Tabla4[[#This Row],[DOTACIÓN ÚNICA]]</f>
        <v>4157964</v>
      </c>
      <c r="AU617" s="35">
        <f>(VLOOKUP(Tabla4[[#This Row],[SERVICIO 2025]],$J$2:$V$14,3,0)*Tabla4[[#This Row],[TOTAL COBERTURA]])</f>
        <v>3191208</v>
      </c>
      <c r="AV617" s="35">
        <f>(VLOOKUP(Tabla4[[#This Row],[SERVICIO 2025]],$J$2:$V$14,3,0)*Tabla4[[#This Row],[TOTAL COBERTURA]])</f>
        <v>3191208</v>
      </c>
      <c r="AW617" s="35">
        <f>(VLOOKUP(Tabla4[[#This Row],[SERVICIO 2025]],$J$2:$V$14,3,0)*Tabla4[[#This Row],[TOTAL COBERTURA]])</f>
        <v>3191208</v>
      </c>
      <c r="AX617" s="35">
        <f>(VLOOKUP(Tabla4[[#This Row],[SERVICIO 2025]],$J$2:$V$14,3,0)*Tabla4[[#This Row],[TOTAL COBERTURA]])</f>
        <v>3191208</v>
      </c>
      <c r="AY617" s="35">
        <f>(VLOOKUP(Tabla4[[#This Row],[SERVICIO 2025]],$J$2:$V$14,3,0)*Tabla4[[#This Row],[TOTAL COBERTURA]])</f>
        <v>3191208</v>
      </c>
      <c r="AZ617" s="35">
        <f>(VLOOKUP(Tabla4[[#This Row],[SERVICIO 2025]],$J$2:$V$14,3,0)*Tabla4[[#This Row],[TOTAL COBERTURA]])</f>
        <v>3191208</v>
      </c>
      <c r="BA617" s="35">
        <f>(VLOOKUP(Tabla4[[#This Row],[SERVICIO 2025]],$J$2:$V$14,3,0)*Tabla4[[#This Row],[TOTAL COBERTURA]])+Tabla4[[#This Row],[VALOR FASE PREPARATORIA DE CIERRE]]</f>
        <v>3708600</v>
      </c>
      <c r="BB617" s="35">
        <f>SUM(Tabla4[[#This Row],[DESEMBOLSO 1]:[DESEMBOLSO 8]])</f>
        <v>27013812</v>
      </c>
      <c r="BC617" s="35">
        <f>VLOOKUP(Tabla4[[#This Row],[SERVICIO 2025]],$J$2:$V$14,10,0)*Tabla4[[#This Row],[TOTAL COBERTURA]]*$W$3</f>
        <v>17316768</v>
      </c>
      <c r="BD617" s="47" t="s">
        <v>211</v>
      </c>
      <c r="BE617" s="12" t="b">
        <f>EXACT(Tabla4[[#This Row],[VALOR ATENCIÓN (8 MESES)]],Tabla4[[#This Row],[VALOR TOTAL]])</f>
        <v>1</v>
      </c>
      <c r="BF617" s="23">
        <f>Tabla4[[#This Row],[VALOR ATENCIÓN (8 MESES)]]-Tabla4[[#This Row],[VALOR TOTAL]]</f>
        <v>0</v>
      </c>
      <c r="BG617" s="12" t="b">
        <f>EXACT(Tabla4[[#This Row],[TOTAL DESEMBOLSOS]],Tabla4[[#This Row],[VALOR ATENCIÓN (8 MESES)]])</f>
        <v>1</v>
      </c>
      <c r="BH617" s="29">
        <f>Tabla4[[#This Row],[TOTAL DESEMBOLSOS]]-Tabla4[[#This Row],[VALOR ATENCIÓN (8 MESES)]]</f>
        <v>0</v>
      </c>
      <c r="BI617" t="s">
        <v>392</v>
      </c>
      <c r="BJ617">
        <v>1946</v>
      </c>
    </row>
    <row r="618" spans="1:62">
      <c r="A618" s="13">
        <v>1946</v>
      </c>
      <c r="B618" s="13" t="e">
        <v>#N/A</v>
      </c>
      <c r="C618" s="12" t="s">
        <v>87</v>
      </c>
      <c r="D618" s="12" t="s">
        <v>987</v>
      </c>
      <c r="E618" s="12" t="s">
        <v>1404</v>
      </c>
      <c r="F618" s="12" t="s">
        <v>19</v>
      </c>
      <c r="G618" s="12" t="s">
        <v>90</v>
      </c>
      <c r="H618" s="12" t="s">
        <v>1409</v>
      </c>
      <c r="I618" s="12">
        <v>52501151120</v>
      </c>
      <c r="J618" s="12" t="s">
        <v>1410</v>
      </c>
      <c r="K618" s="12">
        <v>1</v>
      </c>
      <c r="L618" s="12">
        <v>16</v>
      </c>
      <c r="M618" s="12"/>
      <c r="N618" s="13">
        <v>1946</v>
      </c>
      <c r="O618" s="12" t="s">
        <v>93</v>
      </c>
      <c r="P618" s="12"/>
      <c r="Q618" s="12"/>
      <c r="R618" s="12" t="s">
        <v>94</v>
      </c>
      <c r="S618" s="12">
        <v>10</v>
      </c>
      <c r="T618" s="12" t="s">
        <v>1407</v>
      </c>
      <c r="U618" s="12" t="s">
        <v>1408</v>
      </c>
      <c r="V618" s="12">
        <f>VLOOKUP(Tabla4[[#This Row],[ZONA DEFINITIVO]],Hoja1!$A$1:$D$121,3,0)</f>
        <v>229955</v>
      </c>
      <c r="W618" s="12">
        <f>VLOOKUP(Tabla4[[#This Row],[ZONA DEFINITIVO]],Hoja1!$A$1:$D$121,2,0)</f>
        <v>17471</v>
      </c>
      <c r="X618" s="12">
        <f>VLOOKUP(Tabla4[[#This Row],[ZONA DEFINITIVO]],Hoja1!$A$1:$D$121,4,0)</f>
        <v>108125</v>
      </c>
      <c r="Y618" s="12" t="str">
        <f>+IF(Tabla4[[#This Row],[AGRUPACIONES]]=1,SUMIFS(Tabla4[UDS],Tabla4[ZONA DEFINITIVO],Tabla4[[#This Row],[ZONA DEFINITIVO]])," ")</f>
        <v xml:space="preserve"> </v>
      </c>
      <c r="Z618" s="12" t="str">
        <f>+IF(Tabla4[[#This Row],[AGRUPACIONES]]=1,SUMIFS(Tabla4[TOTAL COBERTURA],Tabla4[ZONA DEFINITIVO],Tabla4[[#This Row],[ZONA DEFINITIVO]])," ")</f>
        <v xml:space="preserve"> </v>
      </c>
      <c r="AA618" s="12"/>
      <c r="AB618" s="38">
        <v>36018416</v>
      </c>
      <c r="AC618" s="37">
        <v>0.02</v>
      </c>
      <c r="AD618" s="38">
        <f t="shared" si="10"/>
        <v>720368.32000000007</v>
      </c>
      <c r="AE618" s="12"/>
      <c r="AF618" s="12">
        <f>COUNTIF($A$20:A618,A618)</f>
        <v>2</v>
      </c>
      <c r="AG618" s="38">
        <v>36018416</v>
      </c>
      <c r="AH618" s="38">
        <f>Tabla4[[#This Row],[VALOR CONTRAPARTIDA]]+Tabla4[[#This Row],[TOTAL APORTES ICBF]]</f>
        <v>36738784.32</v>
      </c>
      <c r="AI618" s="35"/>
      <c r="AJ618" s="38"/>
      <c r="AK618" s="38"/>
      <c r="AL618" s="23"/>
      <c r="AM618" s="35">
        <f>VLOOKUP(Tabla4[[#This Row],[SERVICIO 2025]],$J$2:$V$14,5,0)*Tabla4[[#This Row],[TOTAL COBERTURA]]</f>
        <v>823408</v>
      </c>
      <c r="AN618" s="35">
        <f>VLOOKUP(Tabla4[[#This Row],[SERVICIO 2025]],$J$2:$V$14,6,0)*Tabla4[[#This Row],[TOTAL COBERTURA]]</f>
        <v>689856</v>
      </c>
      <c r="AO618" s="35">
        <f>VLOOKUP(Tabla4[[#This Row],[SERVICIO 2025]],$J$2:$V$14,8,0)*Tabla4[[#This Row],[TOTAL COBERTURA]]</f>
        <v>465600</v>
      </c>
      <c r="AP618" s="35">
        <f>VLOOKUP(Tabla4[[#This Row],[SERVICIO 2025]],$J$2:$V$14,3,0)*Tabla4[[#This Row],[TOTAL COBERTURA]]*8</f>
        <v>34039552</v>
      </c>
      <c r="AQ618" s="35"/>
      <c r="AR618" s="35">
        <f>Tabla4[[#This Row],[VALOR FASE PREPARATORIA DE ALISTAMIENTO]]+Tabla4[[#This Row],[VALOR FASE PREPARATORIA DE CIERRE]]+Tabla4[[#This Row],[DOTACIÓN ÚNICA]]+Tabla4[[#This Row],[VALOR ATENCIÓN]]+Tabla4[[#This Row],[VALOR RACION PREPARADA]]</f>
        <v>36018416</v>
      </c>
      <c r="AS618" s="35" t="str">
        <f>+IF(Tabla4[[#This Row],[AGRUPACIONES]]=1,SUMIFS(Tabla4[VALOR TOTAL],Tabla4[ZONA DEFINITIVO],Tabla4[[#This Row],[ZONA DEFINITIVO]])," ")</f>
        <v xml:space="preserve"> </v>
      </c>
      <c r="AT618" s="27">
        <f>(VLOOKUP(Tabla4[[#This Row],[SERVICIO 2025]],$J$2:$V$14,3,0)*Tabla4[[#This Row],[TOTAL COBERTURA]])+Tabla4[[#This Row],[VALOR FASE PREPARATORIA DE ALISTAMIENTO]]+Tabla4[[#This Row],[DOTACIÓN ÚNICA]]</f>
        <v>5543952</v>
      </c>
      <c r="AU618" s="35">
        <f>(VLOOKUP(Tabla4[[#This Row],[SERVICIO 2025]],$J$2:$V$14,3,0)*Tabla4[[#This Row],[TOTAL COBERTURA]])</f>
        <v>4254944</v>
      </c>
      <c r="AV618" s="35">
        <f>(VLOOKUP(Tabla4[[#This Row],[SERVICIO 2025]],$J$2:$V$14,3,0)*Tabla4[[#This Row],[TOTAL COBERTURA]])</f>
        <v>4254944</v>
      </c>
      <c r="AW618" s="35">
        <f>(VLOOKUP(Tabla4[[#This Row],[SERVICIO 2025]],$J$2:$V$14,3,0)*Tabla4[[#This Row],[TOTAL COBERTURA]])</f>
        <v>4254944</v>
      </c>
      <c r="AX618" s="35">
        <f>(VLOOKUP(Tabla4[[#This Row],[SERVICIO 2025]],$J$2:$V$14,3,0)*Tabla4[[#This Row],[TOTAL COBERTURA]])</f>
        <v>4254944</v>
      </c>
      <c r="AY618" s="35">
        <f>(VLOOKUP(Tabla4[[#This Row],[SERVICIO 2025]],$J$2:$V$14,3,0)*Tabla4[[#This Row],[TOTAL COBERTURA]])</f>
        <v>4254944</v>
      </c>
      <c r="AZ618" s="35">
        <f>(VLOOKUP(Tabla4[[#This Row],[SERVICIO 2025]],$J$2:$V$14,3,0)*Tabla4[[#This Row],[TOTAL COBERTURA]])</f>
        <v>4254944</v>
      </c>
      <c r="BA618" s="35">
        <f>(VLOOKUP(Tabla4[[#This Row],[SERVICIO 2025]],$J$2:$V$14,3,0)*Tabla4[[#This Row],[TOTAL COBERTURA]])+Tabla4[[#This Row],[VALOR FASE PREPARATORIA DE CIERRE]]</f>
        <v>4944800</v>
      </c>
      <c r="BB618" s="35">
        <f>SUM(Tabla4[[#This Row],[DESEMBOLSO 1]:[DESEMBOLSO 8]])</f>
        <v>36018416</v>
      </c>
      <c r="BC618" s="35">
        <f>VLOOKUP(Tabla4[[#This Row],[SERVICIO 2025]],$J$2:$V$14,10,0)*Tabla4[[#This Row],[TOTAL COBERTURA]]*$W$3</f>
        <v>23089024</v>
      </c>
      <c r="BD618" s="47" t="s">
        <v>211</v>
      </c>
      <c r="BE618" s="12" t="b">
        <f>EXACT(Tabla4[[#This Row],[VALOR ATENCIÓN (8 MESES)]],Tabla4[[#This Row],[VALOR TOTAL]])</f>
        <v>1</v>
      </c>
      <c r="BF618" s="23">
        <f>Tabla4[[#This Row],[VALOR ATENCIÓN (8 MESES)]]-Tabla4[[#This Row],[VALOR TOTAL]]</f>
        <v>0</v>
      </c>
      <c r="BG618" s="12" t="b">
        <f>EXACT(Tabla4[[#This Row],[TOTAL DESEMBOLSOS]],Tabla4[[#This Row],[VALOR ATENCIÓN (8 MESES)]])</f>
        <v>1</v>
      </c>
      <c r="BH618" s="29">
        <f>Tabla4[[#This Row],[TOTAL DESEMBOLSOS]]-Tabla4[[#This Row],[VALOR ATENCIÓN (8 MESES)]]</f>
        <v>0</v>
      </c>
      <c r="BI618" t="s">
        <v>392</v>
      </c>
      <c r="BJ618">
        <v>1946</v>
      </c>
    </row>
    <row r="619" spans="1:62">
      <c r="A619" s="13">
        <v>1946</v>
      </c>
      <c r="B619" s="13" t="e">
        <v>#N/A</v>
      </c>
      <c r="C619" s="12" t="s">
        <v>87</v>
      </c>
      <c r="D619" s="12" t="s">
        <v>987</v>
      </c>
      <c r="E619" s="12" t="s">
        <v>1404</v>
      </c>
      <c r="F619" s="12" t="s">
        <v>19</v>
      </c>
      <c r="G619" s="12" t="s">
        <v>90</v>
      </c>
      <c r="H619" s="12" t="s">
        <v>1411</v>
      </c>
      <c r="I619" s="12">
        <v>52501151507</v>
      </c>
      <c r="J619" s="12" t="s">
        <v>1412</v>
      </c>
      <c r="K619" s="12">
        <v>1</v>
      </c>
      <c r="L619" s="12">
        <v>55</v>
      </c>
      <c r="M619" s="12"/>
      <c r="N619" s="13">
        <v>1946</v>
      </c>
      <c r="O619" s="12" t="s">
        <v>93</v>
      </c>
      <c r="P619" s="12"/>
      <c r="Q619" s="12"/>
      <c r="R619" s="12" t="s">
        <v>94</v>
      </c>
      <c r="S619" s="12">
        <v>10</v>
      </c>
      <c r="T619" s="12" t="s">
        <v>1407</v>
      </c>
      <c r="U619" s="12" t="s">
        <v>1408</v>
      </c>
      <c r="V619" s="12">
        <f>VLOOKUP(Tabla4[[#This Row],[ZONA DEFINITIVO]],Hoja1!$A$1:$D$121,3,0)</f>
        <v>229955</v>
      </c>
      <c r="W619" s="12">
        <f>VLOOKUP(Tabla4[[#This Row],[ZONA DEFINITIVO]],Hoja1!$A$1:$D$121,2,0)</f>
        <v>17471</v>
      </c>
      <c r="X619" s="12">
        <f>VLOOKUP(Tabla4[[#This Row],[ZONA DEFINITIVO]],Hoja1!$A$1:$D$121,4,0)</f>
        <v>108125</v>
      </c>
      <c r="Y619" s="12" t="str">
        <f>+IF(Tabla4[[#This Row],[AGRUPACIONES]]=1,SUMIFS(Tabla4[UDS],Tabla4[ZONA DEFINITIVO],Tabla4[[#This Row],[ZONA DEFINITIVO]])," ")</f>
        <v xml:space="preserve"> </v>
      </c>
      <c r="Z619" s="12" t="str">
        <f>+IF(Tabla4[[#This Row],[AGRUPACIONES]]=1,SUMIFS(Tabla4[TOTAL COBERTURA],Tabla4[ZONA DEFINITIVO],Tabla4[[#This Row],[ZONA DEFINITIVO]])," ")</f>
        <v xml:space="preserve"> </v>
      </c>
      <c r="AA619" s="12"/>
      <c r="AB619" s="38">
        <v>123813305</v>
      </c>
      <c r="AC619" s="37">
        <v>0.02</v>
      </c>
      <c r="AD619" s="38">
        <f t="shared" si="10"/>
        <v>2476266.1</v>
      </c>
      <c r="AE619" s="12"/>
      <c r="AF619" s="12">
        <f>COUNTIF($A$20:A619,A619)</f>
        <v>3</v>
      </c>
      <c r="AG619" s="38">
        <v>123813305</v>
      </c>
      <c r="AH619" s="38">
        <f>Tabla4[[#This Row],[VALOR CONTRAPARTIDA]]+Tabla4[[#This Row],[TOTAL APORTES ICBF]]</f>
        <v>126289571.09999999</v>
      </c>
      <c r="AI619" s="35"/>
      <c r="AJ619" s="38"/>
      <c r="AK619" s="38"/>
      <c r="AL619" s="23"/>
      <c r="AM619" s="35">
        <f>VLOOKUP(Tabla4[[#This Row],[SERVICIO 2025]],$J$2:$V$14,5,0)*Tabla4[[#This Row],[TOTAL COBERTURA]]</f>
        <v>2830465</v>
      </c>
      <c r="AN619" s="35">
        <f>VLOOKUP(Tabla4[[#This Row],[SERVICIO 2025]],$J$2:$V$14,6,0)*Tabla4[[#This Row],[TOTAL COBERTURA]]</f>
        <v>2371380</v>
      </c>
      <c r="AO619" s="35">
        <f>VLOOKUP(Tabla4[[#This Row],[SERVICIO 2025]],$J$2:$V$14,8,0)*Tabla4[[#This Row],[TOTAL COBERTURA]]</f>
        <v>1600500</v>
      </c>
      <c r="AP619" s="35">
        <f>VLOOKUP(Tabla4[[#This Row],[SERVICIO 2025]],$J$2:$V$14,3,0)*Tabla4[[#This Row],[TOTAL COBERTURA]]*8</f>
        <v>117010960</v>
      </c>
      <c r="AQ619" s="35"/>
      <c r="AR619" s="35">
        <f>Tabla4[[#This Row],[VALOR FASE PREPARATORIA DE ALISTAMIENTO]]+Tabla4[[#This Row],[VALOR FASE PREPARATORIA DE CIERRE]]+Tabla4[[#This Row],[DOTACIÓN ÚNICA]]+Tabla4[[#This Row],[VALOR ATENCIÓN]]+Tabla4[[#This Row],[VALOR RACION PREPARADA]]</f>
        <v>123813305</v>
      </c>
      <c r="AS619" s="35" t="str">
        <f>+IF(Tabla4[[#This Row],[AGRUPACIONES]]=1,SUMIFS(Tabla4[VALOR TOTAL],Tabla4[ZONA DEFINITIVO],Tabla4[[#This Row],[ZONA DEFINITIVO]])," ")</f>
        <v xml:space="preserve"> </v>
      </c>
      <c r="AT619" s="27">
        <f>(VLOOKUP(Tabla4[[#This Row],[SERVICIO 2025]],$J$2:$V$14,3,0)*Tabla4[[#This Row],[TOTAL COBERTURA]])+Tabla4[[#This Row],[VALOR FASE PREPARATORIA DE ALISTAMIENTO]]+Tabla4[[#This Row],[DOTACIÓN ÚNICA]]</f>
        <v>19057335</v>
      </c>
      <c r="AU619" s="35">
        <f>(VLOOKUP(Tabla4[[#This Row],[SERVICIO 2025]],$J$2:$V$14,3,0)*Tabla4[[#This Row],[TOTAL COBERTURA]])</f>
        <v>14626370</v>
      </c>
      <c r="AV619" s="35">
        <f>(VLOOKUP(Tabla4[[#This Row],[SERVICIO 2025]],$J$2:$V$14,3,0)*Tabla4[[#This Row],[TOTAL COBERTURA]])</f>
        <v>14626370</v>
      </c>
      <c r="AW619" s="35">
        <f>(VLOOKUP(Tabla4[[#This Row],[SERVICIO 2025]],$J$2:$V$14,3,0)*Tabla4[[#This Row],[TOTAL COBERTURA]])</f>
        <v>14626370</v>
      </c>
      <c r="AX619" s="35">
        <f>(VLOOKUP(Tabla4[[#This Row],[SERVICIO 2025]],$J$2:$V$14,3,0)*Tabla4[[#This Row],[TOTAL COBERTURA]])</f>
        <v>14626370</v>
      </c>
      <c r="AY619" s="35">
        <f>(VLOOKUP(Tabla4[[#This Row],[SERVICIO 2025]],$J$2:$V$14,3,0)*Tabla4[[#This Row],[TOTAL COBERTURA]])</f>
        <v>14626370</v>
      </c>
      <c r="AZ619" s="35">
        <f>(VLOOKUP(Tabla4[[#This Row],[SERVICIO 2025]],$J$2:$V$14,3,0)*Tabla4[[#This Row],[TOTAL COBERTURA]])</f>
        <v>14626370</v>
      </c>
      <c r="BA619" s="35">
        <f>(VLOOKUP(Tabla4[[#This Row],[SERVICIO 2025]],$J$2:$V$14,3,0)*Tabla4[[#This Row],[TOTAL COBERTURA]])+Tabla4[[#This Row],[VALOR FASE PREPARATORIA DE CIERRE]]</f>
        <v>16997750</v>
      </c>
      <c r="BB619" s="35">
        <f>SUM(Tabla4[[#This Row],[DESEMBOLSO 1]:[DESEMBOLSO 8]])</f>
        <v>123813305</v>
      </c>
      <c r="BC619" s="35">
        <f>VLOOKUP(Tabla4[[#This Row],[SERVICIO 2025]],$J$2:$V$14,10,0)*Tabla4[[#This Row],[TOTAL COBERTURA]]*$W$3</f>
        <v>79368520</v>
      </c>
      <c r="BD619" s="47" t="s">
        <v>211</v>
      </c>
      <c r="BE619" s="12" t="b">
        <f>EXACT(Tabla4[[#This Row],[VALOR ATENCIÓN (8 MESES)]],Tabla4[[#This Row],[VALOR TOTAL]])</f>
        <v>1</v>
      </c>
      <c r="BF619" s="23">
        <f>Tabla4[[#This Row],[VALOR ATENCIÓN (8 MESES)]]-Tabla4[[#This Row],[VALOR TOTAL]]</f>
        <v>0</v>
      </c>
      <c r="BG619" s="12" t="b">
        <f>EXACT(Tabla4[[#This Row],[TOTAL DESEMBOLSOS]],Tabla4[[#This Row],[VALOR ATENCIÓN (8 MESES)]])</f>
        <v>1</v>
      </c>
      <c r="BH619" s="29">
        <f>Tabla4[[#This Row],[TOTAL DESEMBOLSOS]]-Tabla4[[#This Row],[VALOR ATENCIÓN (8 MESES)]]</f>
        <v>0</v>
      </c>
      <c r="BI619" t="s">
        <v>392</v>
      </c>
      <c r="BJ619">
        <v>1946</v>
      </c>
    </row>
    <row r="620" spans="1:62">
      <c r="A620" s="13">
        <v>1946</v>
      </c>
      <c r="B620" s="13" t="e">
        <v>#N/A</v>
      </c>
      <c r="C620" s="12" t="s">
        <v>87</v>
      </c>
      <c r="D620" s="12" t="s">
        <v>987</v>
      </c>
      <c r="E620" s="12" t="s">
        <v>1404</v>
      </c>
      <c r="F620" s="12" t="s">
        <v>19</v>
      </c>
      <c r="G620" s="12" t="s">
        <v>90</v>
      </c>
      <c r="H620" s="12" t="s">
        <v>1413</v>
      </c>
      <c r="I620" s="12">
        <v>52501152432</v>
      </c>
      <c r="J620" s="12" t="s">
        <v>1414</v>
      </c>
      <c r="K620" s="12">
        <v>1</v>
      </c>
      <c r="L620" s="12">
        <v>55</v>
      </c>
      <c r="M620" s="12"/>
      <c r="N620" s="13">
        <v>1946</v>
      </c>
      <c r="O620" s="12" t="s">
        <v>93</v>
      </c>
      <c r="P620" s="12"/>
      <c r="Q620" s="12"/>
      <c r="R620" s="12" t="s">
        <v>94</v>
      </c>
      <c r="S620" s="12">
        <v>10</v>
      </c>
      <c r="T620" s="12" t="s">
        <v>1407</v>
      </c>
      <c r="U620" s="12" t="s">
        <v>1408</v>
      </c>
      <c r="V620" s="12">
        <f>VLOOKUP(Tabla4[[#This Row],[ZONA DEFINITIVO]],Hoja1!$A$1:$D$121,3,0)</f>
        <v>229955</v>
      </c>
      <c r="W620" s="12">
        <f>VLOOKUP(Tabla4[[#This Row],[ZONA DEFINITIVO]],Hoja1!$A$1:$D$121,2,0)</f>
        <v>17471</v>
      </c>
      <c r="X620" s="12">
        <f>VLOOKUP(Tabla4[[#This Row],[ZONA DEFINITIVO]],Hoja1!$A$1:$D$121,4,0)</f>
        <v>108125</v>
      </c>
      <c r="Y620" s="12" t="str">
        <f>+IF(Tabla4[[#This Row],[AGRUPACIONES]]=1,SUMIFS(Tabla4[UDS],Tabla4[ZONA DEFINITIVO],Tabla4[[#This Row],[ZONA DEFINITIVO]])," ")</f>
        <v xml:space="preserve"> </v>
      </c>
      <c r="Z620" s="12" t="str">
        <f>+IF(Tabla4[[#This Row],[AGRUPACIONES]]=1,SUMIFS(Tabla4[TOTAL COBERTURA],Tabla4[ZONA DEFINITIVO],Tabla4[[#This Row],[ZONA DEFINITIVO]])," ")</f>
        <v xml:space="preserve"> </v>
      </c>
      <c r="AA620" s="12"/>
      <c r="AB620" s="38">
        <v>123813305</v>
      </c>
      <c r="AC620" s="37">
        <v>0.02</v>
      </c>
      <c r="AD620" s="38">
        <f t="shared" si="10"/>
        <v>2476266.1</v>
      </c>
      <c r="AE620" s="12"/>
      <c r="AF620" s="12">
        <f>COUNTIF($A$20:A620,A620)</f>
        <v>4</v>
      </c>
      <c r="AG620" s="38">
        <v>123813305</v>
      </c>
      <c r="AH620" s="38">
        <f>Tabla4[[#This Row],[VALOR CONTRAPARTIDA]]+Tabla4[[#This Row],[TOTAL APORTES ICBF]]</f>
        <v>126289571.09999999</v>
      </c>
      <c r="AI620" s="35"/>
      <c r="AJ620" s="38"/>
      <c r="AK620" s="38"/>
      <c r="AL620" s="23"/>
      <c r="AM620" s="35">
        <f>VLOOKUP(Tabla4[[#This Row],[SERVICIO 2025]],$J$2:$V$14,5,0)*Tabla4[[#This Row],[TOTAL COBERTURA]]</f>
        <v>2830465</v>
      </c>
      <c r="AN620" s="35">
        <f>VLOOKUP(Tabla4[[#This Row],[SERVICIO 2025]],$J$2:$V$14,6,0)*Tabla4[[#This Row],[TOTAL COBERTURA]]</f>
        <v>2371380</v>
      </c>
      <c r="AO620" s="35">
        <f>VLOOKUP(Tabla4[[#This Row],[SERVICIO 2025]],$J$2:$V$14,8,0)*Tabla4[[#This Row],[TOTAL COBERTURA]]</f>
        <v>1600500</v>
      </c>
      <c r="AP620" s="35">
        <f>VLOOKUP(Tabla4[[#This Row],[SERVICIO 2025]],$J$2:$V$14,3,0)*Tabla4[[#This Row],[TOTAL COBERTURA]]*8</f>
        <v>117010960</v>
      </c>
      <c r="AQ620" s="35"/>
      <c r="AR620" s="35">
        <f>Tabla4[[#This Row],[VALOR FASE PREPARATORIA DE ALISTAMIENTO]]+Tabla4[[#This Row],[VALOR FASE PREPARATORIA DE CIERRE]]+Tabla4[[#This Row],[DOTACIÓN ÚNICA]]+Tabla4[[#This Row],[VALOR ATENCIÓN]]+Tabla4[[#This Row],[VALOR RACION PREPARADA]]</f>
        <v>123813305</v>
      </c>
      <c r="AS620" s="35" t="str">
        <f>+IF(Tabla4[[#This Row],[AGRUPACIONES]]=1,SUMIFS(Tabla4[VALOR TOTAL],Tabla4[ZONA DEFINITIVO],Tabla4[[#This Row],[ZONA DEFINITIVO]])," ")</f>
        <v xml:space="preserve"> </v>
      </c>
      <c r="AT620" s="27">
        <f>(VLOOKUP(Tabla4[[#This Row],[SERVICIO 2025]],$J$2:$V$14,3,0)*Tabla4[[#This Row],[TOTAL COBERTURA]])+Tabla4[[#This Row],[VALOR FASE PREPARATORIA DE ALISTAMIENTO]]+Tabla4[[#This Row],[DOTACIÓN ÚNICA]]</f>
        <v>19057335</v>
      </c>
      <c r="AU620" s="35">
        <f>(VLOOKUP(Tabla4[[#This Row],[SERVICIO 2025]],$J$2:$V$14,3,0)*Tabla4[[#This Row],[TOTAL COBERTURA]])</f>
        <v>14626370</v>
      </c>
      <c r="AV620" s="35">
        <f>(VLOOKUP(Tabla4[[#This Row],[SERVICIO 2025]],$J$2:$V$14,3,0)*Tabla4[[#This Row],[TOTAL COBERTURA]])</f>
        <v>14626370</v>
      </c>
      <c r="AW620" s="35">
        <f>(VLOOKUP(Tabla4[[#This Row],[SERVICIO 2025]],$J$2:$V$14,3,0)*Tabla4[[#This Row],[TOTAL COBERTURA]])</f>
        <v>14626370</v>
      </c>
      <c r="AX620" s="35">
        <f>(VLOOKUP(Tabla4[[#This Row],[SERVICIO 2025]],$J$2:$V$14,3,0)*Tabla4[[#This Row],[TOTAL COBERTURA]])</f>
        <v>14626370</v>
      </c>
      <c r="AY620" s="35">
        <f>(VLOOKUP(Tabla4[[#This Row],[SERVICIO 2025]],$J$2:$V$14,3,0)*Tabla4[[#This Row],[TOTAL COBERTURA]])</f>
        <v>14626370</v>
      </c>
      <c r="AZ620" s="35">
        <f>(VLOOKUP(Tabla4[[#This Row],[SERVICIO 2025]],$J$2:$V$14,3,0)*Tabla4[[#This Row],[TOTAL COBERTURA]])</f>
        <v>14626370</v>
      </c>
      <c r="BA620" s="35">
        <f>(VLOOKUP(Tabla4[[#This Row],[SERVICIO 2025]],$J$2:$V$14,3,0)*Tabla4[[#This Row],[TOTAL COBERTURA]])+Tabla4[[#This Row],[VALOR FASE PREPARATORIA DE CIERRE]]</f>
        <v>16997750</v>
      </c>
      <c r="BB620" s="35">
        <f>SUM(Tabla4[[#This Row],[DESEMBOLSO 1]:[DESEMBOLSO 8]])</f>
        <v>123813305</v>
      </c>
      <c r="BC620" s="35">
        <f>VLOOKUP(Tabla4[[#This Row],[SERVICIO 2025]],$J$2:$V$14,10,0)*Tabla4[[#This Row],[TOTAL COBERTURA]]*$W$3</f>
        <v>79368520</v>
      </c>
      <c r="BD620" s="47" t="s">
        <v>211</v>
      </c>
      <c r="BE620" s="12" t="b">
        <f>EXACT(Tabla4[[#This Row],[VALOR ATENCIÓN (8 MESES)]],Tabla4[[#This Row],[VALOR TOTAL]])</f>
        <v>1</v>
      </c>
      <c r="BF620" s="23">
        <f>Tabla4[[#This Row],[VALOR ATENCIÓN (8 MESES)]]-Tabla4[[#This Row],[VALOR TOTAL]]</f>
        <v>0</v>
      </c>
      <c r="BG620" s="12" t="b">
        <f>EXACT(Tabla4[[#This Row],[TOTAL DESEMBOLSOS]],Tabla4[[#This Row],[VALOR ATENCIÓN (8 MESES)]])</f>
        <v>1</v>
      </c>
      <c r="BH620" s="29">
        <f>Tabla4[[#This Row],[TOTAL DESEMBOLSOS]]-Tabla4[[#This Row],[VALOR ATENCIÓN (8 MESES)]]</f>
        <v>0</v>
      </c>
      <c r="BI620" t="s">
        <v>392</v>
      </c>
      <c r="BJ620">
        <v>1946</v>
      </c>
    </row>
    <row r="621" spans="1:62">
      <c r="A621" s="13">
        <v>1946</v>
      </c>
      <c r="B621" s="13" t="e">
        <v>#N/A</v>
      </c>
      <c r="C621" s="12" t="s">
        <v>87</v>
      </c>
      <c r="D621" s="12" t="s">
        <v>987</v>
      </c>
      <c r="E621" s="12" t="s">
        <v>1404</v>
      </c>
      <c r="F621" s="12" t="s">
        <v>19</v>
      </c>
      <c r="G621" s="12" t="s">
        <v>90</v>
      </c>
      <c r="H621" s="12" t="s">
        <v>1415</v>
      </c>
      <c r="I621" s="12">
        <v>52501152977</v>
      </c>
      <c r="J621" s="12" t="s">
        <v>1416</v>
      </c>
      <c r="K621" s="12">
        <v>1</v>
      </c>
      <c r="L621" s="12">
        <v>48</v>
      </c>
      <c r="M621" s="12"/>
      <c r="N621" s="13">
        <v>1946</v>
      </c>
      <c r="O621" s="12" t="s">
        <v>93</v>
      </c>
      <c r="P621" s="12"/>
      <c r="Q621" s="12"/>
      <c r="R621" s="12" t="s">
        <v>94</v>
      </c>
      <c r="S621" s="12">
        <v>10</v>
      </c>
      <c r="T621" s="12" t="s">
        <v>1407</v>
      </c>
      <c r="U621" s="12" t="s">
        <v>1408</v>
      </c>
      <c r="V621" s="12">
        <f>VLOOKUP(Tabla4[[#This Row],[ZONA DEFINITIVO]],Hoja1!$A$1:$D$121,3,0)</f>
        <v>229955</v>
      </c>
      <c r="W621" s="12">
        <f>VLOOKUP(Tabla4[[#This Row],[ZONA DEFINITIVO]],Hoja1!$A$1:$D$121,2,0)</f>
        <v>17471</v>
      </c>
      <c r="X621" s="12">
        <f>VLOOKUP(Tabla4[[#This Row],[ZONA DEFINITIVO]],Hoja1!$A$1:$D$121,4,0)</f>
        <v>108125</v>
      </c>
      <c r="Y621" s="12" t="str">
        <f>+IF(Tabla4[[#This Row],[AGRUPACIONES]]=1,SUMIFS(Tabla4[UDS],Tabla4[ZONA DEFINITIVO],Tabla4[[#This Row],[ZONA DEFINITIVO]])," ")</f>
        <v xml:space="preserve"> </v>
      </c>
      <c r="Z621" s="12" t="str">
        <f>+IF(Tabla4[[#This Row],[AGRUPACIONES]]=1,SUMIFS(Tabla4[TOTAL COBERTURA],Tabla4[ZONA DEFINITIVO],Tabla4[[#This Row],[ZONA DEFINITIVO]])," ")</f>
        <v xml:space="preserve"> </v>
      </c>
      <c r="AA621" s="12"/>
      <c r="AB621" s="38">
        <v>108055248</v>
      </c>
      <c r="AC621" s="37">
        <v>0.02</v>
      </c>
      <c r="AD621" s="38">
        <f t="shared" si="10"/>
        <v>2161104.96</v>
      </c>
      <c r="AE621" s="12"/>
      <c r="AF621" s="12">
        <f>COUNTIF($A$20:A621,A621)</f>
        <v>5</v>
      </c>
      <c r="AG621" s="38">
        <v>108055248</v>
      </c>
      <c r="AH621" s="38">
        <f>Tabla4[[#This Row],[VALOR CONTRAPARTIDA]]+Tabla4[[#This Row],[TOTAL APORTES ICBF]]</f>
        <v>110216352.95999999</v>
      </c>
      <c r="AI621" s="35"/>
      <c r="AJ621" s="38"/>
      <c r="AK621" s="38"/>
      <c r="AL621" s="23"/>
      <c r="AM621" s="35">
        <f>VLOOKUP(Tabla4[[#This Row],[SERVICIO 2025]],$J$2:$V$14,5,0)*Tabla4[[#This Row],[TOTAL COBERTURA]]</f>
        <v>2470224</v>
      </c>
      <c r="AN621" s="35">
        <f>VLOOKUP(Tabla4[[#This Row],[SERVICIO 2025]],$J$2:$V$14,6,0)*Tabla4[[#This Row],[TOTAL COBERTURA]]</f>
        <v>2069568</v>
      </c>
      <c r="AO621" s="35">
        <f>VLOOKUP(Tabla4[[#This Row],[SERVICIO 2025]],$J$2:$V$14,8,0)*Tabla4[[#This Row],[TOTAL COBERTURA]]</f>
        <v>1396800</v>
      </c>
      <c r="AP621" s="35">
        <f>VLOOKUP(Tabla4[[#This Row],[SERVICIO 2025]],$J$2:$V$14,3,0)*Tabla4[[#This Row],[TOTAL COBERTURA]]*8</f>
        <v>102118656</v>
      </c>
      <c r="AQ621" s="35"/>
      <c r="AR621" s="35">
        <f>Tabla4[[#This Row],[VALOR FASE PREPARATORIA DE ALISTAMIENTO]]+Tabla4[[#This Row],[VALOR FASE PREPARATORIA DE CIERRE]]+Tabla4[[#This Row],[DOTACIÓN ÚNICA]]+Tabla4[[#This Row],[VALOR ATENCIÓN]]+Tabla4[[#This Row],[VALOR RACION PREPARADA]]</f>
        <v>108055248</v>
      </c>
      <c r="AS621" s="35" t="str">
        <f>+IF(Tabla4[[#This Row],[AGRUPACIONES]]=1,SUMIFS(Tabla4[VALOR TOTAL],Tabla4[ZONA DEFINITIVO],Tabla4[[#This Row],[ZONA DEFINITIVO]])," ")</f>
        <v xml:space="preserve"> </v>
      </c>
      <c r="AT621" s="27">
        <f>(VLOOKUP(Tabla4[[#This Row],[SERVICIO 2025]],$J$2:$V$14,3,0)*Tabla4[[#This Row],[TOTAL COBERTURA]])+Tabla4[[#This Row],[VALOR FASE PREPARATORIA DE ALISTAMIENTO]]+Tabla4[[#This Row],[DOTACIÓN ÚNICA]]</f>
        <v>16631856</v>
      </c>
      <c r="AU621" s="35">
        <f>(VLOOKUP(Tabla4[[#This Row],[SERVICIO 2025]],$J$2:$V$14,3,0)*Tabla4[[#This Row],[TOTAL COBERTURA]])</f>
        <v>12764832</v>
      </c>
      <c r="AV621" s="35">
        <f>(VLOOKUP(Tabla4[[#This Row],[SERVICIO 2025]],$J$2:$V$14,3,0)*Tabla4[[#This Row],[TOTAL COBERTURA]])</f>
        <v>12764832</v>
      </c>
      <c r="AW621" s="35">
        <f>(VLOOKUP(Tabla4[[#This Row],[SERVICIO 2025]],$J$2:$V$14,3,0)*Tabla4[[#This Row],[TOTAL COBERTURA]])</f>
        <v>12764832</v>
      </c>
      <c r="AX621" s="35">
        <f>(VLOOKUP(Tabla4[[#This Row],[SERVICIO 2025]],$J$2:$V$14,3,0)*Tabla4[[#This Row],[TOTAL COBERTURA]])</f>
        <v>12764832</v>
      </c>
      <c r="AY621" s="35">
        <f>(VLOOKUP(Tabla4[[#This Row],[SERVICIO 2025]],$J$2:$V$14,3,0)*Tabla4[[#This Row],[TOTAL COBERTURA]])</f>
        <v>12764832</v>
      </c>
      <c r="AZ621" s="35">
        <f>(VLOOKUP(Tabla4[[#This Row],[SERVICIO 2025]],$J$2:$V$14,3,0)*Tabla4[[#This Row],[TOTAL COBERTURA]])</f>
        <v>12764832</v>
      </c>
      <c r="BA621" s="35">
        <f>(VLOOKUP(Tabla4[[#This Row],[SERVICIO 2025]],$J$2:$V$14,3,0)*Tabla4[[#This Row],[TOTAL COBERTURA]])+Tabla4[[#This Row],[VALOR FASE PREPARATORIA DE CIERRE]]</f>
        <v>14834400</v>
      </c>
      <c r="BB621" s="35">
        <f>SUM(Tabla4[[#This Row],[DESEMBOLSO 1]:[DESEMBOLSO 8]])</f>
        <v>108055248</v>
      </c>
      <c r="BC621" s="35">
        <f>VLOOKUP(Tabla4[[#This Row],[SERVICIO 2025]],$J$2:$V$14,10,0)*Tabla4[[#This Row],[TOTAL COBERTURA]]*$W$3</f>
        <v>69267072</v>
      </c>
      <c r="BD621" s="47" t="s">
        <v>211</v>
      </c>
      <c r="BE621" s="12" t="b">
        <f>EXACT(Tabla4[[#This Row],[VALOR ATENCIÓN (8 MESES)]],Tabla4[[#This Row],[VALOR TOTAL]])</f>
        <v>1</v>
      </c>
      <c r="BF621" s="23">
        <f>Tabla4[[#This Row],[VALOR ATENCIÓN (8 MESES)]]-Tabla4[[#This Row],[VALOR TOTAL]]</f>
        <v>0</v>
      </c>
      <c r="BG621" s="12" t="b">
        <f>EXACT(Tabla4[[#This Row],[TOTAL DESEMBOLSOS]],Tabla4[[#This Row],[VALOR ATENCIÓN (8 MESES)]])</f>
        <v>1</v>
      </c>
      <c r="BH621" s="29">
        <f>Tabla4[[#This Row],[TOTAL DESEMBOLSOS]]-Tabla4[[#This Row],[VALOR ATENCIÓN (8 MESES)]]</f>
        <v>0</v>
      </c>
      <c r="BI621" t="s">
        <v>392</v>
      </c>
      <c r="BJ621">
        <v>1946</v>
      </c>
    </row>
    <row r="622" spans="1:62">
      <c r="A622" s="13">
        <v>1946</v>
      </c>
      <c r="B622" s="13" t="e">
        <v>#N/A</v>
      </c>
      <c r="C622" s="12" t="s">
        <v>87</v>
      </c>
      <c r="D622" s="12" t="s">
        <v>987</v>
      </c>
      <c r="E622" s="12" t="s">
        <v>1404</v>
      </c>
      <c r="F622" s="12" t="s">
        <v>19</v>
      </c>
      <c r="G622" s="12" t="s">
        <v>90</v>
      </c>
      <c r="H622" s="12" t="s">
        <v>1417</v>
      </c>
      <c r="I622" s="12">
        <v>52501152981</v>
      </c>
      <c r="J622" s="12" t="s">
        <v>1418</v>
      </c>
      <c r="K622" s="12">
        <v>1</v>
      </c>
      <c r="L622" s="12">
        <v>22</v>
      </c>
      <c r="M622" s="12"/>
      <c r="N622" s="13">
        <v>1946</v>
      </c>
      <c r="O622" s="12" t="s">
        <v>93</v>
      </c>
      <c r="P622" s="12"/>
      <c r="Q622" s="12"/>
      <c r="R622" s="12" t="s">
        <v>94</v>
      </c>
      <c r="S622" s="12">
        <v>10</v>
      </c>
      <c r="T622" s="12" t="s">
        <v>1407</v>
      </c>
      <c r="U622" s="12" t="s">
        <v>1408</v>
      </c>
      <c r="V622" s="12">
        <f>VLOOKUP(Tabla4[[#This Row],[ZONA DEFINITIVO]],Hoja1!$A$1:$D$121,3,0)</f>
        <v>229955</v>
      </c>
      <c r="W622" s="12">
        <f>VLOOKUP(Tabla4[[#This Row],[ZONA DEFINITIVO]],Hoja1!$A$1:$D$121,2,0)</f>
        <v>17471</v>
      </c>
      <c r="X622" s="12">
        <f>VLOOKUP(Tabla4[[#This Row],[ZONA DEFINITIVO]],Hoja1!$A$1:$D$121,4,0)</f>
        <v>108125</v>
      </c>
      <c r="Y622" s="12" t="str">
        <f>+IF(Tabla4[[#This Row],[AGRUPACIONES]]=1,SUMIFS(Tabla4[UDS],Tabla4[ZONA DEFINITIVO],Tabla4[[#This Row],[ZONA DEFINITIVO]])," ")</f>
        <v xml:space="preserve"> </v>
      </c>
      <c r="Z622" s="12" t="str">
        <f>+IF(Tabla4[[#This Row],[AGRUPACIONES]]=1,SUMIFS(Tabla4[TOTAL COBERTURA],Tabla4[ZONA DEFINITIVO],Tabla4[[#This Row],[ZONA DEFINITIVO]])," ")</f>
        <v xml:space="preserve"> </v>
      </c>
      <c r="AA622" s="12"/>
      <c r="AB622" s="38">
        <v>49525322</v>
      </c>
      <c r="AC622" s="37">
        <v>0.02</v>
      </c>
      <c r="AD622" s="38">
        <f t="shared" si="10"/>
        <v>990506.44000000006</v>
      </c>
      <c r="AE622" s="12"/>
      <c r="AF622" s="12">
        <f>COUNTIF($A$20:A622,A622)</f>
        <v>6</v>
      </c>
      <c r="AG622" s="38">
        <v>49525322</v>
      </c>
      <c r="AH622" s="38">
        <f>Tabla4[[#This Row],[VALOR CONTRAPARTIDA]]+Tabla4[[#This Row],[TOTAL APORTES ICBF]]</f>
        <v>50515828.439999998</v>
      </c>
      <c r="AI622" s="35"/>
      <c r="AJ622" s="38"/>
      <c r="AK622" s="38"/>
      <c r="AL622" s="23"/>
      <c r="AM622" s="35">
        <f>VLOOKUP(Tabla4[[#This Row],[SERVICIO 2025]],$J$2:$V$14,5,0)*Tabla4[[#This Row],[TOTAL COBERTURA]]</f>
        <v>1132186</v>
      </c>
      <c r="AN622" s="35">
        <f>VLOOKUP(Tabla4[[#This Row],[SERVICIO 2025]],$J$2:$V$14,6,0)*Tabla4[[#This Row],[TOTAL COBERTURA]]</f>
        <v>948552</v>
      </c>
      <c r="AO622" s="35">
        <f>VLOOKUP(Tabla4[[#This Row],[SERVICIO 2025]],$J$2:$V$14,8,0)*Tabla4[[#This Row],[TOTAL COBERTURA]]</f>
        <v>640200</v>
      </c>
      <c r="AP622" s="35">
        <f>VLOOKUP(Tabla4[[#This Row],[SERVICIO 2025]],$J$2:$V$14,3,0)*Tabla4[[#This Row],[TOTAL COBERTURA]]*8</f>
        <v>46804384</v>
      </c>
      <c r="AQ622" s="35"/>
      <c r="AR622" s="35">
        <f>Tabla4[[#This Row],[VALOR FASE PREPARATORIA DE ALISTAMIENTO]]+Tabla4[[#This Row],[VALOR FASE PREPARATORIA DE CIERRE]]+Tabla4[[#This Row],[DOTACIÓN ÚNICA]]+Tabla4[[#This Row],[VALOR ATENCIÓN]]+Tabla4[[#This Row],[VALOR RACION PREPARADA]]</f>
        <v>49525322</v>
      </c>
      <c r="AS622" s="35" t="str">
        <f>+IF(Tabla4[[#This Row],[AGRUPACIONES]]=1,SUMIFS(Tabla4[VALOR TOTAL],Tabla4[ZONA DEFINITIVO],Tabla4[[#This Row],[ZONA DEFINITIVO]])," ")</f>
        <v xml:space="preserve"> </v>
      </c>
      <c r="AT622" s="27">
        <f>(VLOOKUP(Tabla4[[#This Row],[SERVICIO 2025]],$J$2:$V$14,3,0)*Tabla4[[#This Row],[TOTAL COBERTURA]])+Tabla4[[#This Row],[VALOR FASE PREPARATORIA DE ALISTAMIENTO]]+Tabla4[[#This Row],[DOTACIÓN ÚNICA]]</f>
        <v>7622934</v>
      </c>
      <c r="AU622" s="35">
        <f>(VLOOKUP(Tabla4[[#This Row],[SERVICIO 2025]],$J$2:$V$14,3,0)*Tabla4[[#This Row],[TOTAL COBERTURA]])</f>
        <v>5850548</v>
      </c>
      <c r="AV622" s="35">
        <f>(VLOOKUP(Tabla4[[#This Row],[SERVICIO 2025]],$J$2:$V$14,3,0)*Tabla4[[#This Row],[TOTAL COBERTURA]])</f>
        <v>5850548</v>
      </c>
      <c r="AW622" s="35">
        <f>(VLOOKUP(Tabla4[[#This Row],[SERVICIO 2025]],$J$2:$V$14,3,0)*Tabla4[[#This Row],[TOTAL COBERTURA]])</f>
        <v>5850548</v>
      </c>
      <c r="AX622" s="35">
        <f>(VLOOKUP(Tabla4[[#This Row],[SERVICIO 2025]],$J$2:$V$14,3,0)*Tabla4[[#This Row],[TOTAL COBERTURA]])</f>
        <v>5850548</v>
      </c>
      <c r="AY622" s="35">
        <f>(VLOOKUP(Tabla4[[#This Row],[SERVICIO 2025]],$J$2:$V$14,3,0)*Tabla4[[#This Row],[TOTAL COBERTURA]])</f>
        <v>5850548</v>
      </c>
      <c r="AZ622" s="35">
        <f>(VLOOKUP(Tabla4[[#This Row],[SERVICIO 2025]],$J$2:$V$14,3,0)*Tabla4[[#This Row],[TOTAL COBERTURA]])</f>
        <v>5850548</v>
      </c>
      <c r="BA622" s="35">
        <f>(VLOOKUP(Tabla4[[#This Row],[SERVICIO 2025]],$J$2:$V$14,3,0)*Tabla4[[#This Row],[TOTAL COBERTURA]])+Tabla4[[#This Row],[VALOR FASE PREPARATORIA DE CIERRE]]</f>
        <v>6799100</v>
      </c>
      <c r="BB622" s="35">
        <f>SUM(Tabla4[[#This Row],[DESEMBOLSO 1]:[DESEMBOLSO 8]])</f>
        <v>49525322</v>
      </c>
      <c r="BC622" s="35">
        <f>VLOOKUP(Tabla4[[#This Row],[SERVICIO 2025]],$J$2:$V$14,10,0)*Tabla4[[#This Row],[TOTAL COBERTURA]]*$W$3</f>
        <v>31747408</v>
      </c>
      <c r="BD622" s="47" t="s">
        <v>211</v>
      </c>
      <c r="BE622" s="12" t="b">
        <f>EXACT(Tabla4[[#This Row],[VALOR ATENCIÓN (8 MESES)]],Tabla4[[#This Row],[VALOR TOTAL]])</f>
        <v>1</v>
      </c>
      <c r="BF622" s="23">
        <f>Tabla4[[#This Row],[VALOR ATENCIÓN (8 MESES)]]-Tabla4[[#This Row],[VALOR TOTAL]]</f>
        <v>0</v>
      </c>
      <c r="BG622" s="12" t="b">
        <f>EXACT(Tabla4[[#This Row],[TOTAL DESEMBOLSOS]],Tabla4[[#This Row],[VALOR ATENCIÓN (8 MESES)]])</f>
        <v>1</v>
      </c>
      <c r="BH622" s="29">
        <f>Tabla4[[#This Row],[TOTAL DESEMBOLSOS]]-Tabla4[[#This Row],[VALOR ATENCIÓN (8 MESES)]]</f>
        <v>0</v>
      </c>
      <c r="BI622" t="s">
        <v>392</v>
      </c>
      <c r="BJ622">
        <v>1946</v>
      </c>
    </row>
    <row r="623" spans="1:62">
      <c r="A623" s="13">
        <v>1946</v>
      </c>
      <c r="B623" s="13" t="e">
        <v>#N/A</v>
      </c>
      <c r="C623" s="12" t="s">
        <v>87</v>
      </c>
      <c r="D623" s="12" t="s">
        <v>987</v>
      </c>
      <c r="E623" s="12" t="s">
        <v>1404</v>
      </c>
      <c r="F623" s="12" t="s">
        <v>19</v>
      </c>
      <c r="G623" s="12" t="s">
        <v>90</v>
      </c>
      <c r="H623" s="12" t="s">
        <v>1419</v>
      </c>
      <c r="I623" s="12">
        <v>525000037437</v>
      </c>
      <c r="J623" s="12" t="s">
        <v>1420</v>
      </c>
      <c r="K623" s="12">
        <v>1</v>
      </c>
      <c r="L623" s="12">
        <v>19</v>
      </c>
      <c r="M623" s="12"/>
      <c r="N623" s="13">
        <v>1946</v>
      </c>
      <c r="O623" s="12" t="s">
        <v>93</v>
      </c>
      <c r="P623" s="12"/>
      <c r="Q623" s="12"/>
      <c r="R623" s="12" t="s">
        <v>94</v>
      </c>
      <c r="S623" s="12">
        <v>10</v>
      </c>
      <c r="T623" s="12" t="s">
        <v>1407</v>
      </c>
      <c r="U623" s="12" t="s">
        <v>1408</v>
      </c>
      <c r="V623" s="12">
        <f>VLOOKUP(Tabla4[[#This Row],[ZONA DEFINITIVO]],Hoja1!$A$1:$D$121,3,0)</f>
        <v>229955</v>
      </c>
      <c r="W623" s="12">
        <f>VLOOKUP(Tabla4[[#This Row],[ZONA DEFINITIVO]],Hoja1!$A$1:$D$121,2,0)</f>
        <v>17471</v>
      </c>
      <c r="X623" s="12">
        <f>VLOOKUP(Tabla4[[#This Row],[ZONA DEFINITIVO]],Hoja1!$A$1:$D$121,4,0)</f>
        <v>108125</v>
      </c>
      <c r="Y623" s="12" t="str">
        <f>+IF(Tabla4[[#This Row],[AGRUPACIONES]]=1,SUMIFS(Tabla4[UDS],Tabla4[ZONA DEFINITIVO],Tabla4[[#This Row],[ZONA DEFINITIVO]])," ")</f>
        <v xml:space="preserve"> </v>
      </c>
      <c r="Z623" s="12" t="str">
        <f>+IF(Tabla4[[#This Row],[AGRUPACIONES]]=1,SUMIFS(Tabla4[TOTAL COBERTURA],Tabla4[ZONA DEFINITIVO],Tabla4[[#This Row],[ZONA DEFINITIVO]])," ")</f>
        <v xml:space="preserve"> </v>
      </c>
      <c r="AA623" s="12"/>
      <c r="AB623" s="38">
        <v>42771869</v>
      </c>
      <c r="AC623" s="37">
        <v>0.02</v>
      </c>
      <c r="AD623" s="38">
        <f t="shared" si="10"/>
        <v>855437.38</v>
      </c>
      <c r="AE623" s="12"/>
      <c r="AF623" s="12">
        <f>COUNTIF($A$20:A623,A623)</f>
        <v>7</v>
      </c>
      <c r="AG623" s="38">
        <v>42771869</v>
      </c>
      <c r="AH623" s="38">
        <f>Tabla4[[#This Row],[VALOR CONTRAPARTIDA]]+Tabla4[[#This Row],[TOTAL APORTES ICBF]]</f>
        <v>43627306.380000003</v>
      </c>
      <c r="AI623" s="35"/>
      <c r="AJ623" s="38"/>
      <c r="AK623" s="38"/>
      <c r="AL623" s="23"/>
      <c r="AM623" s="35">
        <f>VLOOKUP(Tabla4[[#This Row],[SERVICIO 2025]],$J$2:$V$14,5,0)*Tabla4[[#This Row],[TOTAL COBERTURA]]</f>
        <v>977797</v>
      </c>
      <c r="AN623" s="35">
        <f>VLOOKUP(Tabla4[[#This Row],[SERVICIO 2025]],$J$2:$V$14,6,0)*Tabla4[[#This Row],[TOTAL COBERTURA]]</f>
        <v>819204</v>
      </c>
      <c r="AO623" s="35">
        <f>VLOOKUP(Tabla4[[#This Row],[SERVICIO 2025]],$J$2:$V$14,8,0)*Tabla4[[#This Row],[TOTAL COBERTURA]]</f>
        <v>552900</v>
      </c>
      <c r="AP623" s="35">
        <f>VLOOKUP(Tabla4[[#This Row],[SERVICIO 2025]],$J$2:$V$14,3,0)*Tabla4[[#This Row],[TOTAL COBERTURA]]*8</f>
        <v>40421968</v>
      </c>
      <c r="AQ623" s="35"/>
      <c r="AR623" s="35">
        <f>Tabla4[[#This Row],[VALOR FASE PREPARATORIA DE ALISTAMIENTO]]+Tabla4[[#This Row],[VALOR FASE PREPARATORIA DE CIERRE]]+Tabla4[[#This Row],[DOTACIÓN ÚNICA]]+Tabla4[[#This Row],[VALOR ATENCIÓN]]+Tabla4[[#This Row],[VALOR RACION PREPARADA]]</f>
        <v>42771869</v>
      </c>
      <c r="AS623" s="35" t="str">
        <f>+IF(Tabla4[[#This Row],[AGRUPACIONES]]=1,SUMIFS(Tabla4[VALOR TOTAL],Tabla4[ZONA DEFINITIVO],Tabla4[[#This Row],[ZONA DEFINITIVO]])," ")</f>
        <v xml:space="preserve"> </v>
      </c>
      <c r="AT623" s="27">
        <f>(VLOOKUP(Tabla4[[#This Row],[SERVICIO 2025]],$J$2:$V$14,3,0)*Tabla4[[#This Row],[TOTAL COBERTURA]])+Tabla4[[#This Row],[VALOR FASE PREPARATORIA DE ALISTAMIENTO]]+Tabla4[[#This Row],[DOTACIÓN ÚNICA]]</f>
        <v>6583443</v>
      </c>
      <c r="AU623" s="35">
        <f>(VLOOKUP(Tabla4[[#This Row],[SERVICIO 2025]],$J$2:$V$14,3,0)*Tabla4[[#This Row],[TOTAL COBERTURA]])</f>
        <v>5052746</v>
      </c>
      <c r="AV623" s="35">
        <f>(VLOOKUP(Tabla4[[#This Row],[SERVICIO 2025]],$J$2:$V$14,3,0)*Tabla4[[#This Row],[TOTAL COBERTURA]])</f>
        <v>5052746</v>
      </c>
      <c r="AW623" s="35">
        <f>(VLOOKUP(Tabla4[[#This Row],[SERVICIO 2025]],$J$2:$V$14,3,0)*Tabla4[[#This Row],[TOTAL COBERTURA]])</f>
        <v>5052746</v>
      </c>
      <c r="AX623" s="35">
        <f>(VLOOKUP(Tabla4[[#This Row],[SERVICIO 2025]],$J$2:$V$14,3,0)*Tabla4[[#This Row],[TOTAL COBERTURA]])</f>
        <v>5052746</v>
      </c>
      <c r="AY623" s="35">
        <f>(VLOOKUP(Tabla4[[#This Row],[SERVICIO 2025]],$J$2:$V$14,3,0)*Tabla4[[#This Row],[TOTAL COBERTURA]])</f>
        <v>5052746</v>
      </c>
      <c r="AZ623" s="35">
        <f>(VLOOKUP(Tabla4[[#This Row],[SERVICIO 2025]],$J$2:$V$14,3,0)*Tabla4[[#This Row],[TOTAL COBERTURA]])</f>
        <v>5052746</v>
      </c>
      <c r="BA623" s="35">
        <f>(VLOOKUP(Tabla4[[#This Row],[SERVICIO 2025]],$J$2:$V$14,3,0)*Tabla4[[#This Row],[TOTAL COBERTURA]])+Tabla4[[#This Row],[VALOR FASE PREPARATORIA DE CIERRE]]</f>
        <v>5871950</v>
      </c>
      <c r="BB623" s="35">
        <f>SUM(Tabla4[[#This Row],[DESEMBOLSO 1]:[DESEMBOLSO 8]])</f>
        <v>42771869</v>
      </c>
      <c r="BC623" s="35">
        <f>VLOOKUP(Tabla4[[#This Row],[SERVICIO 2025]],$J$2:$V$14,10,0)*Tabla4[[#This Row],[TOTAL COBERTURA]]*$W$3</f>
        <v>27418216</v>
      </c>
      <c r="BD623" s="47" t="s">
        <v>211</v>
      </c>
      <c r="BE623" s="12" t="b">
        <f>EXACT(Tabla4[[#This Row],[VALOR ATENCIÓN (8 MESES)]],Tabla4[[#This Row],[VALOR TOTAL]])</f>
        <v>1</v>
      </c>
      <c r="BF623" s="23">
        <f>Tabla4[[#This Row],[VALOR ATENCIÓN (8 MESES)]]-Tabla4[[#This Row],[VALOR TOTAL]]</f>
        <v>0</v>
      </c>
      <c r="BG623" s="12" t="b">
        <f>EXACT(Tabla4[[#This Row],[TOTAL DESEMBOLSOS]],Tabla4[[#This Row],[VALOR ATENCIÓN (8 MESES)]])</f>
        <v>1</v>
      </c>
      <c r="BH623" s="29">
        <f>Tabla4[[#This Row],[TOTAL DESEMBOLSOS]]-Tabla4[[#This Row],[VALOR ATENCIÓN (8 MESES)]]</f>
        <v>0</v>
      </c>
      <c r="BI623" t="s">
        <v>392</v>
      </c>
      <c r="BJ623">
        <v>1946</v>
      </c>
    </row>
    <row r="624" spans="1:62">
      <c r="A624" s="13">
        <v>1946</v>
      </c>
      <c r="B624" s="13" t="e">
        <v>#N/A</v>
      </c>
      <c r="C624" s="12" t="s">
        <v>87</v>
      </c>
      <c r="D624" s="12" t="s">
        <v>987</v>
      </c>
      <c r="E624" s="12" t="s">
        <v>1404</v>
      </c>
      <c r="F624" s="12" t="s">
        <v>15</v>
      </c>
      <c r="G624" s="12" t="s">
        <v>90</v>
      </c>
      <c r="H624" s="12" t="s">
        <v>1421</v>
      </c>
      <c r="I624" s="12">
        <v>525000070911</v>
      </c>
      <c r="J624" s="12" t="s">
        <v>1422</v>
      </c>
      <c r="K624" s="12">
        <v>1</v>
      </c>
      <c r="L624" s="12">
        <v>176</v>
      </c>
      <c r="M624" s="12"/>
      <c r="N624" s="13">
        <v>1946</v>
      </c>
      <c r="O624" s="12" t="s">
        <v>93</v>
      </c>
      <c r="P624" s="12"/>
      <c r="Q624" s="12"/>
      <c r="R624" s="12" t="s">
        <v>94</v>
      </c>
      <c r="S624" s="12">
        <v>10</v>
      </c>
      <c r="T624" s="12" t="s">
        <v>1407</v>
      </c>
      <c r="U624" s="12" t="s">
        <v>1408</v>
      </c>
      <c r="V624" s="12">
        <f>VLOOKUP(Tabla4[[#This Row],[ZONA DEFINITIVO]],Hoja1!$A$1:$D$121,3,0)</f>
        <v>229955</v>
      </c>
      <c r="W624" s="12">
        <f>VLOOKUP(Tabla4[[#This Row],[ZONA DEFINITIVO]],Hoja1!$A$1:$D$121,2,0)</f>
        <v>17471</v>
      </c>
      <c r="X624" s="12">
        <f>VLOOKUP(Tabla4[[#This Row],[ZONA DEFINITIVO]],Hoja1!$A$1:$D$121,4,0)</f>
        <v>108125</v>
      </c>
      <c r="Y624" s="12" t="str">
        <f>+IF(Tabla4[[#This Row],[AGRUPACIONES]]=1,SUMIFS(Tabla4[UDS],Tabla4[ZONA DEFINITIVO],Tabla4[[#This Row],[ZONA DEFINITIVO]])," ")</f>
        <v xml:space="preserve"> </v>
      </c>
      <c r="Z624" s="12" t="str">
        <f>+IF(Tabla4[[#This Row],[AGRUPACIONES]]=1,SUMIFS(Tabla4[TOTAL COBERTURA],Tabla4[ZONA DEFINITIVO],Tabla4[[#This Row],[ZONA DEFINITIVO]])," ")</f>
        <v xml:space="preserve"> </v>
      </c>
      <c r="AA624" s="12"/>
      <c r="AB624" s="38">
        <v>761974752</v>
      </c>
      <c r="AC624" s="37">
        <v>0.02</v>
      </c>
      <c r="AD624" s="38">
        <f t="shared" si="10"/>
        <v>15239495.040000001</v>
      </c>
      <c r="AE624" s="12"/>
      <c r="AF624" s="12">
        <f>COUNTIF($A$20:A624,A624)</f>
        <v>8</v>
      </c>
      <c r="AG624" s="38">
        <v>761974752</v>
      </c>
      <c r="AH624" s="38">
        <f>Tabla4[[#This Row],[VALOR CONTRAPARTIDA]]+Tabla4[[#This Row],[TOTAL APORTES ICBF]]</f>
        <v>777214247.03999996</v>
      </c>
      <c r="AI624" s="35"/>
      <c r="AJ624" s="38"/>
      <c r="AK624" s="38"/>
      <c r="AL624" s="23"/>
      <c r="AM624" s="35">
        <f>VLOOKUP(Tabla4[[#This Row],[SERVICIO 2025]],$J$2:$V$14,5,0)*Tabla4[[#This Row],[TOTAL COBERTURA]]</f>
        <v>15513168</v>
      </c>
      <c r="AN624" s="35">
        <f>VLOOKUP(Tabla4[[#This Row],[SERVICIO 2025]],$J$2:$V$14,6,0)*Tabla4[[#This Row],[TOTAL COBERTURA]]</f>
        <v>13207568</v>
      </c>
      <c r="AO624" s="35">
        <f>VLOOKUP(Tabla4[[#This Row],[SERVICIO 2025]],$J$2:$V$14,8,0)*Tabla4[[#This Row],[TOTAL COBERTURA]]</f>
        <v>0</v>
      </c>
      <c r="AP624" s="35">
        <f>VLOOKUP(Tabla4[[#This Row],[SERVICIO 2025]],$J$2:$V$14,3,0)*Tabla4[[#This Row],[TOTAL COBERTURA]]*8</f>
        <v>733254016</v>
      </c>
      <c r="AQ624" s="35"/>
      <c r="AR624" s="35">
        <f>Tabla4[[#This Row],[VALOR FASE PREPARATORIA DE ALISTAMIENTO]]+Tabla4[[#This Row],[VALOR FASE PREPARATORIA DE CIERRE]]+Tabla4[[#This Row],[DOTACIÓN ÚNICA]]+Tabla4[[#This Row],[VALOR ATENCIÓN]]+Tabla4[[#This Row],[VALOR RACION PREPARADA]]</f>
        <v>761974752</v>
      </c>
      <c r="AS624" s="35" t="str">
        <f>+IF(Tabla4[[#This Row],[AGRUPACIONES]]=1,SUMIFS(Tabla4[VALOR TOTAL],Tabla4[ZONA DEFINITIVO],Tabla4[[#This Row],[ZONA DEFINITIVO]])," ")</f>
        <v xml:space="preserve"> </v>
      </c>
      <c r="AT624" s="27">
        <f>(VLOOKUP(Tabla4[[#This Row],[SERVICIO 2025]],$J$2:$V$14,3,0)*Tabla4[[#This Row],[TOTAL COBERTURA]])+Tabla4[[#This Row],[VALOR FASE PREPARATORIA DE ALISTAMIENTO]]+Tabla4[[#This Row],[DOTACIÓN ÚNICA]]</f>
        <v>107169920</v>
      </c>
      <c r="AU624" s="35">
        <f>(VLOOKUP(Tabla4[[#This Row],[SERVICIO 2025]],$J$2:$V$14,3,0)*Tabla4[[#This Row],[TOTAL COBERTURA]])</f>
        <v>91656752</v>
      </c>
      <c r="AV624" s="35">
        <f>(VLOOKUP(Tabla4[[#This Row],[SERVICIO 2025]],$J$2:$V$14,3,0)*Tabla4[[#This Row],[TOTAL COBERTURA]])</f>
        <v>91656752</v>
      </c>
      <c r="AW624" s="35">
        <f>(VLOOKUP(Tabla4[[#This Row],[SERVICIO 2025]],$J$2:$V$14,3,0)*Tabla4[[#This Row],[TOTAL COBERTURA]])</f>
        <v>91656752</v>
      </c>
      <c r="AX624" s="35">
        <f>(VLOOKUP(Tabla4[[#This Row],[SERVICIO 2025]],$J$2:$V$14,3,0)*Tabla4[[#This Row],[TOTAL COBERTURA]])</f>
        <v>91656752</v>
      </c>
      <c r="AY624" s="35">
        <f>(VLOOKUP(Tabla4[[#This Row],[SERVICIO 2025]],$J$2:$V$14,3,0)*Tabla4[[#This Row],[TOTAL COBERTURA]])</f>
        <v>91656752</v>
      </c>
      <c r="AZ624" s="35">
        <f>(VLOOKUP(Tabla4[[#This Row],[SERVICIO 2025]],$J$2:$V$14,3,0)*Tabla4[[#This Row],[TOTAL COBERTURA]])</f>
        <v>91656752</v>
      </c>
      <c r="BA624" s="35">
        <f>(VLOOKUP(Tabla4[[#This Row],[SERVICIO 2025]],$J$2:$V$14,3,0)*Tabla4[[#This Row],[TOTAL COBERTURA]])+Tabla4[[#This Row],[VALOR FASE PREPARATORIA DE CIERRE]]</f>
        <v>104864320</v>
      </c>
      <c r="BB624" s="35">
        <f>SUM(Tabla4[[#This Row],[DESEMBOLSO 1]:[DESEMBOLSO 8]])</f>
        <v>761974752</v>
      </c>
      <c r="BC624" s="35">
        <f>VLOOKUP(Tabla4[[#This Row],[SERVICIO 2025]],$J$2:$V$14,10,0)*Tabla4[[#This Row],[TOTAL COBERTURA]]*$W$3</f>
        <v>0</v>
      </c>
      <c r="BD624" s="47" t="s">
        <v>145</v>
      </c>
      <c r="BE624" s="12" t="b">
        <f>EXACT(Tabla4[[#This Row],[VALOR ATENCIÓN (8 MESES)]],Tabla4[[#This Row],[VALOR TOTAL]])</f>
        <v>1</v>
      </c>
      <c r="BF624" s="23">
        <f>Tabla4[[#This Row],[VALOR ATENCIÓN (8 MESES)]]-Tabla4[[#This Row],[VALOR TOTAL]]</f>
        <v>0</v>
      </c>
      <c r="BG624" s="12" t="b">
        <f>EXACT(Tabla4[[#This Row],[TOTAL DESEMBOLSOS]],Tabla4[[#This Row],[VALOR ATENCIÓN (8 MESES)]])</f>
        <v>1</v>
      </c>
      <c r="BH624" s="29">
        <f>Tabla4[[#This Row],[TOTAL DESEMBOLSOS]]-Tabla4[[#This Row],[VALOR ATENCIÓN (8 MESES)]]</f>
        <v>0</v>
      </c>
      <c r="BI624" t="s">
        <v>392</v>
      </c>
      <c r="BJ624">
        <v>1946</v>
      </c>
    </row>
    <row r="625" spans="1:62">
      <c r="A625" s="13">
        <v>1946</v>
      </c>
      <c r="B625" s="13" t="e">
        <v>#N/A</v>
      </c>
      <c r="C625" s="12" t="s">
        <v>87</v>
      </c>
      <c r="D625" s="12" t="s">
        <v>987</v>
      </c>
      <c r="E625" s="12" t="s">
        <v>1404</v>
      </c>
      <c r="F625" s="12" t="s">
        <v>13</v>
      </c>
      <c r="G625" s="12" t="s">
        <v>90</v>
      </c>
      <c r="H625" s="12" t="s">
        <v>1423</v>
      </c>
      <c r="I625" s="12">
        <v>525000077485</v>
      </c>
      <c r="J625" s="12" t="s">
        <v>1424</v>
      </c>
      <c r="K625" s="12">
        <v>1</v>
      </c>
      <c r="L625" s="12">
        <v>200</v>
      </c>
      <c r="M625" s="12"/>
      <c r="N625" s="13">
        <v>1946</v>
      </c>
      <c r="O625" s="12" t="s">
        <v>93</v>
      </c>
      <c r="P625" s="12"/>
      <c r="Q625" s="12"/>
      <c r="R625" s="12" t="s">
        <v>94</v>
      </c>
      <c r="S625" s="12">
        <v>10</v>
      </c>
      <c r="T625" s="12" t="s">
        <v>1407</v>
      </c>
      <c r="U625" s="12" t="s">
        <v>1408</v>
      </c>
      <c r="V625" s="12">
        <f>VLOOKUP(Tabla4[[#This Row],[ZONA DEFINITIVO]],Hoja1!$A$1:$D$121,3,0)</f>
        <v>229955</v>
      </c>
      <c r="W625" s="12">
        <f>VLOOKUP(Tabla4[[#This Row],[ZONA DEFINITIVO]],Hoja1!$A$1:$D$121,2,0)</f>
        <v>17471</v>
      </c>
      <c r="X625" s="12">
        <f>VLOOKUP(Tabla4[[#This Row],[ZONA DEFINITIVO]],Hoja1!$A$1:$D$121,4,0)</f>
        <v>108125</v>
      </c>
      <c r="Y625" s="12" t="str">
        <f>+IF(Tabla4[[#This Row],[AGRUPACIONES]]=1,SUMIFS(Tabla4[UDS],Tabla4[ZONA DEFINITIVO],Tabla4[[#This Row],[ZONA DEFINITIVO]])," ")</f>
        <v xml:space="preserve"> </v>
      </c>
      <c r="Z625" s="12" t="str">
        <f>+IF(Tabla4[[#This Row],[AGRUPACIONES]]=1,SUMIFS(Tabla4[TOTAL COBERTURA],Tabla4[ZONA DEFINITIVO],Tabla4[[#This Row],[ZONA DEFINITIVO]])," ")</f>
        <v xml:space="preserve"> </v>
      </c>
      <c r="AA625" s="12"/>
      <c r="AB625" s="38">
        <v>591341200</v>
      </c>
      <c r="AC625" s="37">
        <v>0.02</v>
      </c>
      <c r="AD625" s="38">
        <f t="shared" si="10"/>
        <v>11826824</v>
      </c>
      <c r="AE625" s="12"/>
      <c r="AF625" s="12">
        <f>COUNTIF($A$20:A625,A625)</f>
        <v>9</v>
      </c>
      <c r="AG625" s="38">
        <v>591341200</v>
      </c>
      <c r="AH625" s="38">
        <f>Tabla4[[#This Row],[VALOR CONTRAPARTIDA]]+Tabla4[[#This Row],[TOTAL APORTES ICBF]]</f>
        <v>603168024</v>
      </c>
      <c r="AI625" s="35"/>
      <c r="AJ625" s="38"/>
      <c r="AK625" s="38"/>
      <c r="AL625" s="23"/>
      <c r="AM625" s="35">
        <f>VLOOKUP(Tabla4[[#This Row],[SERVICIO 2025]],$J$2:$V$14,5,0)*Tabla4[[#This Row],[TOTAL COBERTURA]]</f>
        <v>17628600</v>
      </c>
      <c r="AN625" s="35">
        <f>VLOOKUP(Tabla4[[#This Row],[SERVICIO 2025]],$J$2:$V$14,6,0)*Tabla4[[#This Row],[TOTAL COBERTURA]]</f>
        <v>15008600</v>
      </c>
      <c r="AO625" s="35">
        <f>VLOOKUP(Tabla4[[#This Row],[SERVICIO 2025]],$J$2:$V$14,8,0)*Tabla4[[#This Row],[TOTAL COBERTURA]]</f>
        <v>0</v>
      </c>
      <c r="AP625" s="35">
        <f>VLOOKUP(Tabla4[[#This Row],[SERVICIO 2025]],$J$2:$V$14,3,0)*Tabla4[[#This Row],[TOTAL COBERTURA]]*8</f>
        <v>558704000</v>
      </c>
      <c r="AQ625" s="35"/>
      <c r="AR625" s="35">
        <f>Tabla4[[#This Row],[VALOR FASE PREPARATORIA DE ALISTAMIENTO]]+Tabla4[[#This Row],[VALOR FASE PREPARATORIA DE CIERRE]]+Tabla4[[#This Row],[DOTACIÓN ÚNICA]]+Tabla4[[#This Row],[VALOR ATENCIÓN]]+Tabla4[[#This Row],[VALOR RACION PREPARADA]]</f>
        <v>591341200</v>
      </c>
      <c r="AS625" s="35" t="str">
        <f>+IF(Tabla4[[#This Row],[AGRUPACIONES]]=1,SUMIFS(Tabla4[VALOR TOTAL],Tabla4[ZONA DEFINITIVO],Tabla4[[#This Row],[ZONA DEFINITIVO]])," ")</f>
        <v xml:space="preserve"> </v>
      </c>
      <c r="AT625" s="27">
        <f>(VLOOKUP(Tabla4[[#This Row],[SERVICIO 2025]],$J$2:$V$14,3,0)*Tabla4[[#This Row],[TOTAL COBERTURA]])+Tabla4[[#This Row],[VALOR FASE PREPARATORIA DE ALISTAMIENTO]]+Tabla4[[#This Row],[DOTACIÓN ÚNICA]]</f>
        <v>87466600</v>
      </c>
      <c r="AU625" s="35">
        <f>(VLOOKUP(Tabla4[[#This Row],[SERVICIO 2025]],$J$2:$V$14,3,0)*Tabla4[[#This Row],[TOTAL COBERTURA]])</f>
        <v>69838000</v>
      </c>
      <c r="AV625" s="35">
        <f>(VLOOKUP(Tabla4[[#This Row],[SERVICIO 2025]],$J$2:$V$14,3,0)*Tabla4[[#This Row],[TOTAL COBERTURA]])</f>
        <v>69838000</v>
      </c>
      <c r="AW625" s="35">
        <f>(VLOOKUP(Tabla4[[#This Row],[SERVICIO 2025]],$J$2:$V$14,3,0)*Tabla4[[#This Row],[TOTAL COBERTURA]])</f>
        <v>69838000</v>
      </c>
      <c r="AX625" s="35">
        <f>(VLOOKUP(Tabla4[[#This Row],[SERVICIO 2025]],$J$2:$V$14,3,0)*Tabla4[[#This Row],[TOTAL COBERTURA]])</f>
        <v>69838000</v>
      </c>
      <c r="AY625" s="35">
        <f>(VLOOKUP(Tabla4[[#This Row],[SERVICIO 2025]],$J$2:$V$14,3,0)*Tabla4[[#This Row],[TOTAL COBERTURA]])</f>
        <v>69838000</v>
      </c>
      <c r="AZ625" s="35">
        <f>(VLOOKUP(Tabla4[[#This Row],[SERVICIO 2025]],$J$2:$V$14,3,0)*Tabla4[[#This Row],[TOTAL COBERTURA]])</f>
        <v>69838000</v>
      </c>
      <c r="BA625" s="35">
        <f>(VLOOKUP(Tabla4[[#This Row],[SERVICIO 2025]],$J$2:$V$14,3,0)*Tabla4[[#This Row],[TOTAL COBERTURA]])+Tabla4[[#This Row],[VALOR FASE PREPARATORIA DE CIERRE]]</f>
        <v>84846600</v>
      </c>
      <c r="BB625" s="35">
        <f>SUM(Tabla4[[#This Row],[DESEMBOLSO 1]:[DESEMBOLSO 8]])</f>
        <v>591341200</v>
      </c>
      <c r="BC625" s="35">
        <f>VLOOKUP(Tabla4[[#This Row],[SERVICIO 2025]],$J$2:$V$14,10,0)*Tabla4[[#This Row],[TOTAL COBERTURA]]*$W$3</f>
        <v>246428800</v>
      </c>
      <c r="BD625" s="47" t="s">
        <v>211</v>
      </c>
      <c r="BE625" s="12" t="b">
        <f>EXACT(Tabla4[[#This Row],[VALOR ATENCIÓN (8 MESES)]],Tabla4[[#This Row],[VALOR TOTAL]])</f>
        <v>1</v>
      </c>
      <c r="BF625" s="23">
        <f>Tabla4[[#This Row],[VALOR ATENCIÓN (8 MESES)]]-Tabla4[[#This Row],[VALOR TOTAL]]</f>
        <v>0</v>
      </c>
      <c r="BG625" s="12" t="b">
        <f>EXACT(Tabla4[[#This Row],[TOTAL DESEMBOLSOS]],Tabla4[[#This Row],[VALOR ATENCIÓN (8 MESES)]])</f>
        <v>1</v>
      </c>
      <c r="BH625" s="29">
        <f>Tabla4[[#This Row],[TOTAL DESEMBOLSOS]]-Tabla4[[#This Row],[VALOR ATENCIÓN (8 MESES)]]</f>
        <v>0</v>
      </c>
      <c r="BI625" t="s">
        <v>392</v>
      </c>
      <c r="BJ625">
        <v>1946</v>
      </c>
    </row>
    <row r="626" spans="1:62">
      <c r="A626" s="13">
        <v>1946</v>
      </c>
      <c r="B626" s="13" t="e">
        <v>#N/A</v>
      </c>
      <c r="C626" s="12" t="s">
        <v>87</v>
      </c>
      <c r="D626" s="12" t="s">
        <v>987</v>
      </c>
      <c r="E626" s="12" t="s">
        <v>1404</v>
      </c>
      <c r="F626" s="12" t="s">
        <v>15</v>
      </c>
      <c r="G626" s="12" t="s">
        <v>90</v>
      </c>
      <c r="H626" s="12" t="s">
        <v>1425</v>
      </c>
      <c r="I626" s="12">
        <v>525000105765</v>
      </c>
      <c r="J626" s="12" t="s">
        <v>1426</v>
      </c>
      <c r="K626" s="12">
        <v>1</v>
      </c>
      <c r="L626" s="12">
        <v>110</v>
      </c>
      <c r="M626" s="12"/>
      <c r="N626" s="13">
        <v>1946</v>
      </c>
      <c r="O626" s="12" t="s">
        <v>93</v>
      </c>
      <c r="P626" s="12"/>
      <c r="Q626" s="12"/>
      <c r="R626" s="12" t="s">
        <v>94</v>
      </c>
      <c r="S626" s="12">
        <v>10</v>
      </c>
      <c r="T626" s="12" t="s">
        <v>1407</v>
      </c>
      <c r="U626" s="12" t="s">
        <v>1408</v>
      </c>
      <c r="V626" s="12">
        <f>VLOOKUP(Tabla4[[#This Row],[ZONA DEFINITIVO]],Hoja1!$A$1:$D$121,3,0)</f>
        <v>229955</v>
      </c>
      <c r="W626" s="12">
        <f>VLOOKUP(Tabla4[[#This Row],[ZONA DEFINITIVO]],Hoja1!$A$1:$D$121,2,0)</f>
        <v>17471</v>
      </c>
      <c r="X626" s="12">
        <f>VLOOKUP(Tabla4[[#This Row],[ZONA DEFINITIVO]],Hoja1!$A$1:$D$121,4,0)</f>
        <v>108125</v>
      </c>
      <c r="Y626" s="12" t="str">
        <f>+IF(Tabla4[[#This Row],[AGRUPACIONES]]=1,SUMIFS(Tabla4[UDS],Tabla4[ZONA DEFINITIVO],Tabla4[[#This Row],[ZONA DEFINITIVO]])," ")</f>
        <v xml:space="preserve"> </v>
      </c>
      <c r="Z626" s="12" t="str">
        <f>+IF(Tabla4[[#This Row],[AGRUPACIONES]]=1,SUMIFS(Tabla4[TOTAL COBERTURA],Tabla4[ZONA DEFINITIVO],Tabla4[[#This Row],[ZONA DEFINITIVO]])," ")</f>
        <v xml:space="preserve"> </v>
      </c>
      <c r="AA626" s="12"/>
      <c r="AB626" s="38">
        <v>476234220</v>
      </c>
      <c r="AC626" s="37">
        <v>0.02</v>
      </c>
      <c r="AD626" s="38">
        <f t="shared" si="10"/>
        <v>9524684.4000000004</v>
      </c>
      <c r="AE626" s="12"/>
      <c r="AF626" s="12">
        <f>COUNTIF($A$20:A626,A626)</f>
        <v>10</v>
      </c>
      <c r="AG626" s="38">
        <v>476234220</v>
      </c>
      <c r="AH626" s="38">
        <f>Tabla4[[#This Row],[VALOR CONTRAPARTIDA]]+Tabla4[[#This Row],[TOTAL APORTES ICBF]]</f>
        <v>485758904.39999998</v>
      </c>
      <c r="AI626" s="35"/>
      <c r="AJ626" s="38"/>
      <c r="AK626" s="38"/>
      <c r="AL626" s="23"/>
      <c r="AM626" s="35">
        <f>VLOOKUP(Tabla4[[#This Row],[SERVICIO 2025]],$J$2:$V$14,5,0)*Tabla4[[#This Row],[TOTAL COBERTURA]]</f>
        <v>9695730</v>
      </c>
      <c r="AN626" s="35">
        <f>VLOOKUP(Tabla4[[#This Row],[SERVICIO 2025]],$J$2:$V$14,6,0)*Tabla4[[#This Row],[TOTAL COBERTURA]]</f>
        <v>8254730</v>
      </c>
      <c r="AO626" s="35">
        <f>VLOOKUP(Tabla4[[#This Row],[SERVICIO 2025]],$J$2:$V$14,8,0)*Tabla4[[#This Row],[TOTAL COBERTURA]]</f>
        <v>0</v>
      </c>
      <c r="AP626" s="35">
        <f>VLOOKUP(Tabla4[[#This Row],[SERVICIO 2025]],$J$2:$V$14,3,0)*Tabla4[[#This Row],[TOTAL COBERTURA]]*8</f>
        <v>458283760</v>
      </c>
      <c r="AQ626" s="35"/>
      <c r="AR626" s="35">
        <f>Tabla4[[#This Row],[VALOR FASE PREPARATORIA DE ALISTAMIENTO]]+Tabla4[[#This Row],[VALOR FASE PREPARATORIA DE CIERRE]]+Tabla4[[#This Row],[DOTACIÓN ÚNICA]]+Tabla4[[#This Row],[VALOR ATENCIÓN]]+Tabla4[[#This Row],[VALOR RACION PREPARADA]]</f>
        <v>476234220</v>
      </c>
      <c r="AS626" s="35" t="str">
        <f>+IF(Tabla4[[#This Row],[AGRUPACIONES]]=1,SUMIFS(Tabla4[VALOR TOTAL],Tabla4[ZONA DEFINITIVO],Tabla4[[#This Row],[ZONA DEFINITIVO]])," ")</f>
        <v xml:space="preserve"> </v>
      </c>
      <c r="AT626" s="27">
        <f>(VLOOKUP(Tabla4[[#This Row],[SERVICIO 2025]],$J$2:$V$14,3,0)*Tabla4[[#This Row],[TOTAL COBERTURA]])+Tabla4[[#This Row],[VALOR FASE PREPARATORIA DE ALISTAMIENTO]]+Tabla4[[#This Row],[DOTACIÓN ÚNICA]]</f>
        <v>66981200</v>
      </c>
      <c r="AU626" s="35">
        <f>(VLOOKUP(Tabla4[[#This Row],[SERVICIO 2025]],$J$2:$V$14,3,0)*Tabla4[[#This Row],[TOTAL COBERTURA]])</f>
        <v>57285470</v>
      </c>
      <c r="AV626" s="35">
        <f>(VLOOKUP(Tabla4[[#This Row],[SERVICIO 2025]],$J$2:$V$14,3,0)*Tabla4[[#This Row],[TOTAL COBERTURA]])</f>
        <v>57285470</v>
      </c>
      <c r="AW626" s="35">
        <f>(VLOOKUP(Tabla4[[#This Row],[SERVICIO 2025]],$J$2:$V$14,3,0)*Tabla4[[#This Row],[TOTAL COBERTURA]])</f>
        <v>57285470</v>
      </c>
      <c r="AX626" s="35">
        <f>(VLOOKUP(Tabla4[[#This Row],[SERVICIO 2025]],$J$2:$V$14,3,0)*Tabla4[[#This Row],[TOTAL COBERTURA]])</f>
        <v>57285470</v>
      </c>
      <c r="AY626" s="35">
        <f>(VLOOKUP(Tabla4[[#This Row],[SERVICIO 2025]],$J$2:$V$14,3,0)*Tabla4[[#This Row],[TOTAL COBERTURA]])</f>
        <v>57285470</v>
      </c>
      <c r="AZ626" s="35">
        <f>(VLOOKUP(Tabla4[[#This Row],[SERVICIO 2025]],$J$2:$V$14,3,0)*Tabla4[[#This Row],[TOTAL COBERTURA]])</f>
        <v>57285470</v>
      </c>
      <c r="BA626" s="35">
        <f>(VLOOKUP(Tabla4[[#This Row],[SERVICIO 2025]],$J$2:$V$14,3,0)*Tabla4[[#This Row],[TOTAL COBERTURA]])+Tabla4[[#This Row],[VALOR FASE PREPARATORIA DE CIERRE]]</f>
        <v>65540200</v>
      </c>
      <c r="BB626" s="35">
        <f>SUM(Tabla4[[#This Row],[DESEMBOLSO 1]:[DESEMBOLSO 8]])</f>
        <v>476234220</v>
      </c>
      <c r="BC626" s="35">
        <f>VLOOKUP(Tabla4[[#This Row],[SERVICIO 2025]],$J$2:$V$14,10,0)*Tabla4[[#This Row],[TOTAL COBERTURA]]*$W$3</f>
        <v>0</v>
      </c>
      <c r="BD626" s="47" t="s">
        <v>145</v>
      </c>
      <c r="BE626" s="12" t="b">
        <f>EXACT(Tabla4[[#This Row],[VALOR ATENCIÓN (8 MESES)]],Tabla4[[#This Row],[VALOR TOTAL]])</f>
        <v>1</v>
      </c>
      <c r="BF626" s="23">
        <f>Tabla4[[#This Row],[VALOR ATENCIÓN (8 MESES)]]-Tabla4[[#This Row],[VALOR TOTAL]]</f>
        <v>0</v>
      </c>
      <c r="BG626" s="12" t="b">
        <f>EXACT(Tabla4[[#This Row],[TOTAL DESEMBOLSOS]],Tabla4[[#This Row],[VALOR ATENCIÓN (8 MESES)]])</f>
        <v>1</v>
      </c>
      <c r="BH626" s="29">
        <f>Tabla4[[#This Row],[TOTAL DESEMBOLSOS]]-Tabla4[[#This Row],[VALOR ATENCIÓN (8 MESES)]]</f>
        <v>0</v>
      </c>
      <c r="BI626" t="s">
        <v>392</v>
      </c>
      <c r="BJ626">
        <v>1946</v>
      </c>
    </row>
    <row r="627" spans="1:62">
      <c r="A627" s="13">
        <v>1948</v>
      </c>
      <c r="B627" s="13" t="e">
        <v>#N/A</v>
      </c>
      <c r="C627" s="12" t="s">
        <v>87</v>
      </c>
      <c r="D627" s="12" t="s">
        <v>987</v>
      </c>
      <c r="E627" s="12" t="s">
        <v>1404</v>
      </c>
      <c r="F627" s="12" t="s">
        <v>18</v>
      </c>
      <c r="G627" s="12" t="s">
        <v>90</v>
      </c>
      <c r="H627" s="12" t="s">
        <v>1427</v>
      </c>
      <c r="I627" s="12">
        <v>52501115216</v>
      </c>
      <c r="J627" s="12" t="s">
        <v>1428</v>
      </c>
      <c r="K627" s="12">
        <v>1</v>
      </c>
      <c r="L627" s="12">
        <v>15</v>
      </c>
      <c r="M627" s="12"/>
      <c r="N627" s="13">
        <v>1948</v>
      </c>
      <c r="O627" s="12" t="s">
        <v>93</v>
      </c>
      <c r="P627" s="12"/>
      <c r="Q627" s="12"/>
      <c r="R627" s="12" t="s">
        <v>94</v>
      </c>
      <c r="S627" s="12">
        <v>10</v>
      </c>
      <c r="T627" s="12" t="s">
        <v>1429</v>
      </c>
      <c r="U627" s="12" t="s">
        <v>1430</v>
      </c>
      <c r="V627" s="12">
        <f>VLOOKUP(Tabla4[[#This Row],[ZONA DEFINITIVO]],Hoja1!$A$1:$D$121,3,0)</f>
        <v>229957</v>
      </c>
      <c r="W627" s="12">
        <f>VLOOKUP(Tabla4[[#This Row],[ZONA DEFINITIVO]],Hoja1!$A$1:$D$121,2,0)</f>
        <v>17467</v>
      </c>
      <c r="X627" s="12">
        <f>VLOOKUP(Tabla4[[#This Row],[ZONA DEFINITIVO]],Hoja1!$A$1:$D$121,4,0)</f>
        <v>107825</v>
      </c>
      <c r="Y627" s="12">
        <f>+IF(Tabla4[[#This Row],[AGRUPACIONES]]=1,SUMIFS(Tabla4[UDS],Tabla4[ZONA DEFINITIVO],Tabla4[[#This Row],[ZONA DEFINITIVO]])," ")</f>
        <v>26</v>
      </c>
      <c r="Z627" s="12">
        <f>+IF(Tabla4[[#This Row],[AGRUPACIONES]]=1,SUMIFS(Tabla4[TOTAL COBERTURA],Tabla4[ZONA DEFINITIVO],Tabla4[[#This Row],[ZONA DEFINITIVO]])," ")</f>
        <v>417</v>
      </c>
      <c r="AA627" s="12"/>
      <c r="AB627" s="38">
        <v>32702895</v>
      </c>
      <c r="AC627" s="37">
        <v>0.02</v>
      </c>
      <c r="AD627" s="38">
        <f t="shared" si="10"/>
        <v>654057.9</v>
      </c>
      <c r="AE627" s="12"/>
      <c r="AF627" s="12">
        <f>COUNTIF($A$20:A627,A627)</f>
        <v>1</v>
      </c>
      <c r="AG627" s="38">
        <v>32702895</v>
      </c>
      <c r="AH627" s="38">
        <f>Tabla4[[#This Row],[VALOR CONTRAPARTIDA]]+Tabla4[[#This Row],[TOTAL APORTES ICBF]]</f>
        <v>33356952.899999999</v>
      </c>
      <c r="AI627" s="35">
        <f>ROUND(+IF(Tabla4[[#This Row],[AGRUPACIONES]]=1,SUMIFS(Tabla4[TOTAL APORTES ICBF],Tabla4[ZONA DEFINITIVO],Tabla4[[#This Row],[ZONA DEFINITIVO]])," "),0)</f>
        <v>909140481</v>
      </c>
      <c r="AJ627" s="38">
        <f>ROUND(+IF(Tabla4[[#This Row],[AGRUPACIONES]]=1,SUMIFS(Tabla4[VALOR CONTRAPARTIDA],Tabla4[ZONA DEFINITIVO],Tabla4[[#This Row],[ZONA DEFINITIVO]])," "),0)</f>
        <v>18182810</v>
      </c>
      <c r="AK627" s="38">
        <f>Tabla4[[#This Row],[TOTAL APORTES ICBF AGRUPADO]]+Tabla4[[#This Row],[TOTAL CONTRAPARTIDA AGRUPADO]]</f>
        <v>927323291</v>
      </c>
      <c r="AL627" s="23">
        <f>Tabla4[[#This Row],[TOTAL APORTES ICBF AGRUPADO]]/$AL$18</f>
        <v>638.6655995785037</v>
      </c>
      <c r="AM627" s="35">
        <f>VLOOKUP(Tabla4[[#This Row],[SERVICIO 2025]],$J$2:$V$14,5,0)*Tabla4[[#This Row],[TOTAL COBERTURA]]</f>
        <v>740640</v>
      </c>
      <c r="AN627" s="35">
        <f>VLOOKUP(Tabla4[[#This Row],[SERVICIO 2025]],$J$2:$V$14,6,0)*Tabla4[[#This Row],[TOTAL COBERTURA]]</f>
        <v>615435</v>
      </c>
      <c r="AO627" s="35">
        <f>VLOOKUP(Tabla4[[#This Row],[SERVICIO 2025]],$J$2:$V$14,8,0)*Tabla4[[#This Row],[TOTAL COBERTURA]]</f>
        <v>436500</v>
      </c>
      <c r="AP627" s="35">
        <f>VLOOKUP(Tabla4[[#This Row],[SERVICIO 2025]],$J$2:$V$14,3,0)*Tabla4[[#This Row],[TOTAL COBERTURA]]*8</f>
        <v>30910320</v>
      </c>
      <c r="AQ627" s="35"/>
      <c r="AR627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627" s="35">
        <f>+IF(Tabla4[[#This Row],[AGRUPACIONES]]=1,SUMIFS(Tabla4[VALOR TOTAL],Tabla4[ZONA DEFINITIVO],Tabla4[[#This Row],[ZONA DEFINITIVO]])," ")</f>
        <v>909140481</v>
      </c>
      <c r="AT627" s="27">
        <f>(VLOOKUP(Tabla4[[#This Row],[SERVICIO 2025]],$J$2:$V$14,3,0)*Tabla4[[#This Row],[TOTAL COBERTURA]])+Tabla4[[#This Row],[VALOR FASE PREPARATORIA DE ALISTAMIENTO]]+Tabla4[[#This Row],[DOTACIÓN ÚNICA]]</f>
        <v>5040930</v>
      </c>
      <c r="AU627" s="35">
        <f>(VLOOKUP(Tabla4[[#This Row],[SERVICIO 2025]],$J$2:$V$14,3,0)*Tabla4[[#This Row],[TOTAL COBERTURA]])</f>
        <v>3863790</v>
      </c>
      <c r="AV627" s="35">
        <f>(VLOOKUP(Tabla4[[#This Row],[SERVICIO 2025]],$J$2:$V$14,3,0)*Tabla4[[#This Row],[TOTAL COBERTURA]])</f>
        <v>3863790</v>
      </c>
      <c r="AW627" s="35">
        <f>(VLOOKUP(Tabla4[[#This Row],[SERVICIO 2025]],$J$2:$V$14,3,0)*Tabla4[[#This Row],[TOTAL COBERTURA]])</f>
        <v>3863790</v>
      </c>
      <c r="AX627" s="35">
        <f>(VLOOKUP(Tabla4[[#This Row],[SERVICIO 2025]],$J$2:$V$14,3,0)*Tabla4[[#This Row],[TOTAL COBERTURA]])</f>
        <v>3863790</v>
      </c>
      <c r="AY627" s="35">
        <f>(VLOOKUP(Tabla4[[#This Row],[SERVICIO 2025]],$J$2:$V$14,3,0)*Tabla4[[#This Row],[TOTAL COBERTURA]])</f>
        <v>3863790</v>
      </c>
      <c r="AZ627" s="35">
        <f>(VLOOKUP(Tabla4[[#This Row],[SERVICIO 2025]],$J$2:$V$14,3,0)*Tabla4[[#This Row],[TOTAL COBERTURA]])</f>
        <v>3863790</v>
      </c>
      <c r="BA627" s="35">
        <f>(VLOOKUP(Tabla4[[#This Row],[SERVICIO 2025]],$J$2:$V$14,3,0)*Tabla4[[#This Row],[TOTAL COBERTURA]])+Tabla4[[#This Row],[VALOR FASE PREPARATORIA DE CIERRE]]</f>
        <v>4479225</v>
      </c>
      <c r="BB627" s="35">
        <f>SUM(Tabla4[[#This Row],[DESEMBOLSO 1]:[DESEMBOLSO 8]])</f>
        <v>32702895</v>
      </c>
      <c r="BC627" s="35">
        <f>VLOOKUP(Tabla4[[#This Row],[SERVICIO 2025]],$J$2:$V$14,10,0)*Tabla4[[#This Row],[TOTAL COBERTURA]]*$W$3</f>
        <v>21645960</v>
      </c>
      <c r="BD627" s="47" t="s">
        <v>211</v>
      </c>
      <c r="BE627" s="12" t="b">
        <f>EXACT(Tabla4[[#This Row],[VALOR ATENCIÓN (8 MESES)]],Tabla4[[#This Row],[VALOR TOTAL]])</f>
        <v>1</v>
      </c>
      <c r="BF627" s="23">
        <f>Tabla4[[#This Row],[VALOR ATENCIÓN (8 MESES)]]-Tabla4[[#This Row],[VALOR TOTAL]]</f>
        <v>0</v>
      </c>
      <c r="BG627" s="12" t="b">
        <f>EXACT(Tabla4[[#This Row],[TOTAL DESEMBOLSOS]],Tabla4[[#This Row],[VALOR ATENCIÓN (8 MESES)]])</f>
        <v>1</v>
      </c>
      <c r="BH627" s="29">
        <f>Tabla4[[#This Row],[TOTAL DESEMBOLSOS]]-Tabla4[[#This Row],[VALOR ATENCIÓN (8 MESES)]]</f>
        <v>0</v>
      </c>
      <c r="BI627" t="s">
        <v>1431</v>
      </c>
      <c r="BJ627">
        <v>1948</v>
      </c>
    </row>
    <row r="628" spans="1:62">
      <c r="A628" s="13">
        <v>1948</v>
      </c>
      <c r="B628" s="13" t="e">
        <v>#N/A</v>
      </c>
      <c r="C628" s="12" t="s">
        <v>87</v>
      </c>
      <c r="D628" s="12" t="s">
        <v>987</v>
      </c>
      <c r="E628" s="12" t="s">
        <v>1404</v>
      </c>
      <c r="F628" s="12" t="s">
        <v>18</v>
      </c>
      <c r="G628" s="12" t="s">
        <v>90</v>
      </c>
      <c r="H628" s="12" t="s">
        <v>261</v>
      </c>
      <c r="I628" s="12">
        <v>52501143952</v>
      </c>
      <c r="J628" s="12" t="s">
        <v>1432</v>
      </c>
      <c r="K628" s="12">
        <v>1</v>
      </c>
      <c r="L628" s="12">
        <v>18</v>
      </c>
      <c r="M628" s="12"/>
      <c r="N628" s="13">
        <v>1948</v>
      </c>
      <c r="O628" s="12" t="s">
        <v>93</v>
      </c>
      <c r="P628" s="12"/>
      <c r="Q628" s="12"/>
      <c r="R628" s="12" t="s">
        <v>94</v>
      </c>
      <c r="S628" s="12">
        <v>10</v>
      </c>
      <c r="T628" s="12" t="s">
        <v>1429</v>
      </c>
      <c r="U628" s="12" t="s">
        <v>1430</v>
      </c>
      <c r="V628" s="12">
        <f>VLOOKUP(Tabla4[[#This Row],[ZONA DEFINITIVO]],Hoja1!$A$1:$D$121,3,0)</f>
        <v>229957</v>
      </c>
      <c r="W628" s="12">
        <f>VLOOKUP(Tabla4[[#This Row],[ZONA DEFINITIVO]],Hoja1!$A$1:$D$121,2,0)</f>
        <v>17467</v>
      </c>
      <c r="X628" s="12">
        <f>VLOOKUP(Tabla4[[#This Row],[ZONA DEFINITIVO]],Hoja1!$A$1:$D$121,4,0)</f>
        <v>107825</v>
      </c>
      <c r="Y628" s="12" t="str">
        <f>+IF(Tabla4[[#This Row],[AGRUPACIONES]]=1,SUMIFS(Tabla4[UDS],Tabla4[ZONA DEFINITIVO],Tabla4[[#This Row],[ZONA DEFINITIVO]])," ")</f>
        <v xml:space="preserve"> </v>
      </c>
      <c r="Z628" s="12" t="str">
        <f>+IF(Tabla4[[#This Row],[AGRUPACIONES]]=1,SUMIFS(Tabla4[TOTAL COBERTURA],Tabla4[ZONA DEFINITIVO],Tabla4[[#This Row],[ZONA DEFINITIVO]])," ")</f>
        <v xml:space="preserve"> </v>
      </c>
      <c r="AA628" s="12"/>
      <c r="AB628" s="38">
        <v>39243474</v>
      </c>
      <c r="AC628" s="37">
        <v>0.02</v>
      </c>
      <c r="AD628" s="38">
        <f t="shared" si="10"/>
        <v>784869.48</v>
      </c>
      <c r="AE628" s="12"/>
      <c r="AF628" s="12">
        <f>COUNTIF($A$20:A628,A628)</f>
        <v>2</v>
      </c>
      <c r="AG628" s="38">
        <v>39243474</v>
      </c>
      <c r="AH628" s="38">
        <f>Tabla4[[#This Row],[VALOR CONTRAPARTIDA]]+Tabla4[[#This Row],[TOTAL APORTES ICBF]]</f>
        <v>40028343.479999997</v>
      </c>
      <c r="AI628" s="35"/>
      <c r="AJ628" s="38"/>
      <c r="AK628" s="38"/>
      <c r="AL628" s="23"/>
      <c r="AM628" s="35">
        <f>VLOOKUP(Tabla4[[#This Row],[SERVICIO 2025]],$J$2:$V$14,5,0)*Tabla4[[#This Row],[TOTAL COBERTURA]]</f>
        <v>888768</v>
      </c>
      <c r="AN628" s="35">
        <f>VLOOKUP(Tabla4[[#This Row],[SERVICIO 2025]],$J$2:$V$14,6,0)*Tabla4[[#This Row],[TOTAL COBERTURA]]</f>
        <v>738522</v>
      </c>
      <c r="AO628" s="35">
        <f>VLOOKUP(Tabla4[[#This Row],[SERVICIO 2025]],$J$2:$V$14,8,0)*Tabla4[[#This Row],[TOTAL COBERTURA]]</f>
        <v>523800</v>
      </c>
      <c r="AP628" s="35">
        <f>VLOOKUP(Tabla4[[#This Row],[SERVICIO 2025]],$J$2:$V$14,3,0)*Tabla4[[#This Row],[TOTAL COBERTURA]]*8</f>
        <v>37092384</v>
      </c>
      <c r="AQ628" s="35"/>
      <c r="AR628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628" s="35" t="str">
        <f>+IF(Tabla4[[#This Row],[AGRUPACIONES]]=1,SUMIFS(Tabla4[VALOR TOTAL],Tabla4[ZONA DEFINITIVO],Tabla4[[#This Row],[ZONA DEFINITIVO]])," ")</f>
        <v xml:space="preserve"> </v>
      </c>
      <c r="AT628" s="27">
        <f>(VLOOKUP(Tabla4[[#This Row],[SERVICIO 2025]],$J$2:$V$14,3,0)*Tabla4[[#This Row],[TOTAL COBERTURA]])+Tabla4[[#This Row],[VALOR FASE PREPARATORIA DE ALISTAMIENTO]]+Tabla4[[#This Row],[DOTACIÓN ÚNICA]]</f>
        <v>6049116</v>
      </c>
      <c r="AU628" s="35">
        <f>(VLOOKUP(Tabla4[[#This Row],[SERVICIO 2025]],$J$2:$V$14,3,0)*Tabla4[[#This Row],[TOTAL COBERTURA]])</f>
        <v>4636548</v>
      </c>
      <c r="AV628" s="35">
        <f>(VLOOKUP(Tabla4[[#This Row],[SERVICIO 2025]],$J$2:$V$14,3,0)*Tabla4[[#This Row],[TOTAL COBERTURA]])</f>
        <v>4636548</v>
      </c>
      <c r="AW628" s="35">
        <f>(VLOOKUP(Tabla4[[#This Row],[SERVICIO 2025]],$J$2:$V$14,3,0)*Tabla4[[#This Row],[TOTAL COBERTURA]])</f>
        <v>4636548</v>
      </c>
      <c r="AX628" s="35">
        <f>(VLOOKUP(Tabla4[[#This Row],[SERVICIO 2025]],$J$2:$V$14,3,0)*Tabla4[[#This Row],[TOTAL COBERTURA]])</f>
        <v>4636548</v>
      </c>
      <c r="AY628" s="35">
        <f>(VLOOKUP(Tabla4[[#This Row],[SERVICIO 2025]],$J$2:$V$14,3,0)*Tabla4[[#This Row],[TOTAL COBERTURA]])</f>
        <v>4636548</v>
      </c>
      <c r="AZ628" s="35">
        <f>(VLOOKUP(Tabla4[[#This Row],[SERVICIO 2025]],$J$2:$V$14,3,0)*Tabla4[[#This Row],[TOTAL COBERTURA]])</f>
        <v>4636548</v>
      </c>
      <c r="BA628" s="35">
        <f>(VLOOKUP(Tabla4[[#This Row],[SERVICIO 2025]],$J$2:$V$14,3,0)*Tabla4[[#This Row],[TOTAL COBERTURA]])+Tabla4[[#This Row],[VALOR FASE PREPARATORIA DE CIERRE]]</f>
        <v>5375070</v>
      </c>
      <c r="BB628" s="35">
        <f>SUM(Tabla4[[#This Row],[DESEMBOLSO 1]:[DESEMBOLSO 8]])</f>
        <v>39243474</v>
      </c>
      <c r="BC628" s="35">
        <f>VLOOKUP(Tabla4[[#This Row],[SERVICIO 2025]],$J$2:$V$14,10,0)*Tabla4[[#This Row],[TOTAL COBERTURA]]*$W$3</f>
        <v>25975152</v>
      </c>
      <c r="BD628" s="47" t="s">
        <v>211</v>
      </c>
      <c r="BE628" s="12" t="b">
        <f>EXACT(Tabla4[[#This Row],[VALOR ATENCIÓN (8 MESES)]],Tabla4[[#This Row],[VALOR TOTAL]])</f>
        <v>1</v>
      </c>
      <c r="BF628" s="23">
        <f>Tabla4[[#This Row],[VALOR ATENCIÓN (8 MESES)]]-Tabla4[[#This Row],[VALOR TOTAL]]</f>
        <v>0</v>
      </c>
      <c r="BG628" s="12" t="b">
        <f>EXACT(Tabla4[[#This Row],[TOTAL DESEMBOLSOS]],Tabla4[[#This Row],[VALOR ATENCIÓN (8 MESES)]])</f>
        <v>1</v>
      </c>
      <c r="BH628" s="29">
        <f>Tabla4[[#This Row],[TOTAL DESEMBOLSOS]]-Tabla4[[#This Row],[VALOR ATENCIÓN (8 MESES)]]</f>
        <v>0</v>
      </c>
      <c r="BI628" t="s">
        <v>1431</v>
      </c>
      <c r="BJ628">
        <v>1948</v>
      </c>
    </row>
    <row r="629" spans="1:62">
      <c r="A629" s="13">
        <v>1948</v>
      </c>
      <c r="B629" s="13" t="e">
        <v>#N/A</v>
      </c>
      <c r="C629" s="12" t="s">
        <v>87</v>
      </c>
      <c r="D629" s="12" t="s">
        <v>987</v>
      </c>
      <c r="E629" s="12" t="s">
        <v>1404</v>
      </c>
      <c r="F629" s="12" t="s">
        <v>18</v>
      </c>
      <c r="G629" s="12" t="s">
        <v>90</v>
      </c>
      <c r="H629" s="12" t="s">
        <v>1433</v>
      </c>
      <c r="I629" s="12">
        <v>52501143971</v>
      </c>
      <c r="J629" s="12" t="s">
        <v>1434</v>
      </c>
      <c r="K629" s="12">
        <v>1</v>
      </c>
      <c r="L629" s="12">
        <v>11</v>
      </c>
      <c r="M629" s="12"/>
      <c r="N629" s="13">
        <v>1948</v>
      </c>
      <c r="O629" s="12" t="s">
        <v>93</v>
      </c>
      <c r="P629" s="12"/>
      <c r="Q629" s="12"/>
      <c r="R629" s="12" t="s">
        <v>94</v>
      </c>
      <c r="S629" s="12">
        <v>10</v>
      </c>
      <c r="T629" s="12" t="s">
        <v>1429</v>
      </c>
      <c r="U629" s="12" t="s">
        <v>1430</v>
      </c>
      <c r="V629" s="12">
        <f>VLOOKUP(Tabla4[[#This Row],[ZONA DEFINITIVO]],Hoja1!$A$1:$D$121,3,0)</f>
        <v>229957</v>
      </c>
      <c r="W629" s="12">
        <f>VLOOKUP(Tabla4[[#This Row],[ZONA DEFINITIVO]],Hoja1!$A$1:$D$121,2,0)</f>
        <v>17467</v>
      </c>
      <c r="X629" s="12">
        <f>VLOOKUP(Tabla4[[#This Row],[ZONA DEFINITIVO]],Hoja1!$A$1:$D$121,4,0)</f>
        <v>107825</v>
      </c>
      <c r="Y629" s="12" t="str">
        <f>+IF(Tabla4[[#This Row],[AGRUPACIONES]]=1,SUMIFS(Tabla4[UDS],Tabla4[ZONA DEFINITIVO],Tabla4[[#This Row],[ZONA DEFINITIVO]])," ")</f>
        <v xml:space="preserve"> </v>
      </c>
      <c r="Z629" s="12" t="str">
        <f>+IF(Tabla4[[#This Row],[AGRUPACIONES]]=1,SUMIFS(Tabla4[TOTAL COBERTURA],Tabla4[ZONA DEFINITIVO],Tabla4[[#This Row],[ZONA DEFINITIVO]])," ")</f>
        <v xml:space="preserve"> </v>
      </c>
      <c r="AA629" s="12"/>
      <c r="AB629" s="38">
        <v>23982123</v>
      </c>
      <c r="AC629" s="37">
        <v>0.02</v>
      </c>
      <c r="AD629" s="38">
        <f t="shared" si="10"/>
        <v>479642.46</v>
      </c>
      <c r="AE629" s="12"/>
      <c r="AF629" s="12">
        <f>COUNTIF($A$20:A629,A629)</f>
        <v>3</v>
      </c>
      <c r="AG629" s="38">
        <v>23982123</v>
      </c>
      <c r="AH629" s="38">
        <f>Tabla4[[#This Row],[VALOR CONTRAPARTIDA]]+Tabla4[[#This Row],[TOTAL APORTES ICBF]]</f>
        <v>24461765.460000001</v>
      </c>
      <c r="AI629" s="35"/>
      <c r="AJ629" s="38"/>
      <c r="AK629" s="38"/>
      <c r="AL629" s="23"/>
      <c r="AM629" s="35">
        <f>VLOOKUP(Tabla4[[#This Row],[SERVICIO 2025]],$J$2:$V$14,5,0)*Tabla4[[#This Row],[TOTAL COBERTURA]]</f>
        <v>543136</v>
      </c>
      <c r="AN629" s="35">
        <f>VLOOKUP(Tabla4[[#This Row],[SERVICIO 2025]],$J$2:$V$14,6,0)*Tabla4[[#This Row],[TOTAL COBERTURA]]</f>
        <v>451319</v>
      </c>
      <c r="AO629" s="35">
        <f>VLOOKUP(Tabla4[[#This Row],[SERVICIO 2025]],$J$2:$V$14,8,0)*Tabla4[[#This Row],[TOTAL COBERTURA]]</f>
        <v>320100</v>
      </c>
      <c r="AP629" s="35">
        <f>VLOOKUP(Tabla4[[#This Row],[SERVICIO 2025]],$J$2:$V$14,3,0)*Tabla4[[#This Row],[TOTAL COBERTURA]]*8</f>
        <v>22667568</v>
      </c>
      <c r="AQ629" s="35"/>
      <c r="AR629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629" s="35" t="str">
        <f>+IF(Tabla4[[#This Row],[AGRUPACIONES]]=1,SUMIFS(Tabla4[VALOR TOTAL],Tabla4[ZONA DEFINITIVO],Tabla4[[#This Row],[ZONA DEFINITIVO]])," ")</f>
        <v xml:space="preserve"> </v>
      </c>
      <c r="AT629" s="27">
        <f>(VLOOKUP(Tabla4[[#This Row],[SERVICIO 2025]],$J$2:$V$14,3,0)*Tabla4[[#This Row],[TOTAL COBERTURA]])+Tabla4[[#This Row],[VALOR FASE PREPARATORIA DE ALISTAMIENTO]]+Tabla4[[#This Row],[DOTACIÓN ÚNICA]]</f>
        <v>3696682</v>
      </c>
      <c r="AU629" s="35">
        <f>(VLOOKUP(Tabla4[[#This Row],[SERVICIO 2025]],$J$2:$V$14,3,0)*Tabla4[[#This Row],[TOTAL COBERTURA]])</f>
        <v>2833446</v>
      </c>
      <c r="AV629" s="35">
        <f>(VLOOKUP(Tabla4[[#This Row],[SERVICIO 2025]],$J$2:$V$14,3,0)*Tabla4[[#This Row],[TOTAL COBERTURA]])</f>
        <v>2833446</v>
      </c>
      <c r="AW629" s="35">
        <f>(VLOOKUP(Tabla4[[#This Row],[SERVICIO 2025]],$J$2:$V$14,3,0)*Tabla4[[#This Row],[TOTAL COBERTURA]])</f>
        <v>2833446</v>
      </c>
      <c r="AX629" s="35">
        <f>(VLOOKUP(Tabla4[[#This Row],[SERVICIO 2025]],$J$2:$V$14,3,0)*Tabla4[[#This Row],[TOTAL COBERTURA]])</f>
        <v>2833446</v>
      </c>
      <c r="AY629" s="35">
        <f>(VLOOKUP(Tabla4[[#This Row],[SERVICIO 2025]],$J$2:$V$14,3,0)*Tabla4[[#This Row],[TOTAL COBERTURA]])</f>
        <v>2833446</v>
      </c>
      <c r="AZ629" s="35">
        <f>(VLOOKUP(Tabla4[[#This Row],[SERVICIO 2025]],$J$2:$V$14,3,0)*Tabla4[[#This Row],[TOTAL COBERTURA]])</f>
        <v>2833446</v>
      </c>
      <c r="BA629" s="35">
        <f>(VLOOKUP(Tabla4[[#This Row],[SERVICIO 2025]],$J$2:$V$14,3,0)*Tabla4[[#This Row],[TOTAL COBERTURA]])+Tabla4[[#This Row],[VALOR FASE PREPARATORIA DE CIERRE]]</f>
        <v>3284765</v>
      </c>
      <c r="BB629" s="35">
        <f>SUM(Tabla4[[#This Row],[DESEMBOLSO 1]:[DESEMBOLSO 8]])</f>
        <v>23982123</v>
      </c>
      <c r="BC629" s="35">
        <f>VLOOKUP(Tabla4[[#This Row],[SERVICIO 2025]],$J$2:$V$14,10,0)*Tabla4[[#This Row],[TOTAL COBERTURA]]*$W$3</f>
        <v>15873704</v>
      </c>
      <c r="BD629" s="47" t="s">
        <v>211</v>
      </c>
      <c r="BE629" s="12" t="b">
        <f>EXACT(Tabla4[[#This Row],[VALOR ATENCIÓN (8 MESES)]],Tabla4[[#This Row],[VALOR TOTAL]])</f>
        <v>1</v>
      </c>
      <c r="BF629" s="23">
        <f>Tabla4[[#This Row],[VALOR ATENCIÓN (8 MESES)]]-Tabla4[[#This Row],[VALOR TOTAL]]</f>
        <v>0</v>
      </c>
      <c r="BG629" s="12" t="b">
        <f>EXACT(Tabla4[[#This Row],[TOTAL DESEMBOLSOS]],Tabla4[[#This Row],[VALOR ATENCIÓN (8 MESES)]])</f>
        <v>1</v>
      </c>
      <c r="BH629" s="29">
        <f>Tabla4[[#This Row],[TOTAL DESEMBOLSOS]]-Tabla4[[#This Row],[VALOR ATENCIÓN (8 MESES)]]</f>
        <v>0</v>
      </c>
      <c r="BI629" t="s">
        <v>1431</v>
      </c>
      <c r="BJ629">
        <v>1948</v>
      </c>
    </row>
    <row r="630" spans="1:62">
      <c r="A630" s="13">
        <v>1948</v>
      </c>
      <c r="B630" s="13" t="e">
        <v>#N/A</v>
      </c>
      <c r="C630" s="12" t="s">
        <v>87</v>
      </c>
      <c r="D630" s="12" t="s">
        <v>987</v>
      </c>
      <c r="E630" s="12" t="s">
        <v>1404</v>
      </c>
      <c r="F630" s="12" t="s">
        <v>18</v>
      </c>
      <c r="G630" s="12" t="s">
        <v>90</v>
      </c>
      <c r="H630" s="12" t="s">
        <v>1435</v>
      </c>
      <c r="I630" s="12">
        <v>52501143976</v>
      </c>
      <c r="J630" s="12" t="s">
        <v>1436</v>
      </c>
      <c r="K630" s="12">
        <v>1</v>
      </c>
      <c r="L630" s="12">
        <v>14</v>
      </c>
      <c r="M630" s="12"/>
      <c r="N630" s="13">
        <v>1948</v>
      </c>
      <c r="O630" s="12" t="s">
        <v>93</v>
      </c>
      <c r="P630" s="12"/>
      <c r="Q630" s="12"/>
      <c r="R630" s="12" t="s">
        <v>94</v>
      </c>
      <c r="S630" s="12">
        <v>10</v>
      </c>
      <c r="T630" s="12" t="s">
        <v>1429</v>
      </c>
      <c r="U630" s="12" t="s">
        <v>1430</v>
      </c>
      <c r="V630" s="12">
        <f>VLOOKUP(Tabla4[[#This Row],[ZONA DEFINITIVO]],Hoja1!$A$1:$D$121,3,0)</f>
        <v>229957</v>
      </c>
      <c r="W630" s="12">
        <f>VLOOKUP(Tabla4[[#This Row],[ZONA DEFINITIVO]],Hoja1!$A$1:$D$121,2,0)</f>
        <v>17467</v>
      </c>
      <c r="X630" s="12">
        <f>VLOOKUP(Tabla4[[#This Row],[ZONA DEFINITIVO]],Hoja1!$A$1:$D$121,4,0)</f>
        <v>107825</v>
      </c>
      <c r="Y630" s="12" t="str">
        <f>+IF(Tabla4[[#This Row],[AGRUPACIONES]]=1,SUMIFS(Tabla4[UDS],Tabla4[ZONA DEFINITIVO],Tabla4[[#This Row],[ZONA DEFINITIVO]])," ")</f>
        <v xml:space="preserve"> </v>
      </c>
      <c r="Z630" s="12" t="str">
        <f>+IF(Tabla4[[#This Row],[AGRUPACIONES]]=1,SUMIFS(Tabla4[TOTAL COBERTURA],Tabla4[ZONA DEFINITIVO],Tabla4[[#This Row],[ZONA DEFINITIVO]])," ")</f>
        <v xml:space="preserve"> </v>
      </c>
      <c r="AA630" s="12"/>
      <c r="AB630" s="38">
        <v>30522702</v>
      </c>
      <c r="AC630" s="37">
        <v>0.02</v>
      </c>
      <c r="AD630" s="38">
        <f t="shared" si="10"/>
        <v>610454.04</v>
      </c>
      <c r="AE630" s="12"/>
      <c r="AF630" s="12">
        <f>COUNTIF($A$20:A630,A630)</f>
        <v>4</v>
      </c>
      <c r="AG630" s="38">
        <v>30522702</v>
      </c>
      <c r="AH630" s="38">
        <f>Tabla4[[#This Row],[VALOR CONTRAPARTIDA]]+Tabla4[[#This Row],[TOTAL APORTES ICBF]]</f>
        <v>31133156.039999999</v>
      </c>
      <c r="AI630" s="35"/>
      <c r="AJ630" s="38"/>
      <c r="AK630" s="38"/>
      <c r="AL630" s="23"/>
      <c r="AM630" s="35">
        <f>VLOOKUP(Tabla4[[#This Row],[SERVICIO 2025]],$J$2:$V$14,5,0)*Tabla4[[#This Row],[TOTAL COBERTURA]]</f>
        <v>691264</v>
      </c>
      <c r="AN630" s="35">
        <f>VLOOKUP(Tabla4[[#This Row],[SERVICIO 2025]],$J$2:$V$14,6,0)*Tabla4[[#This Row],[TOTAL COBERTURA]]</f>
        <v>574406</v>
      </c>
      <c r="AO630" s="35">
        <f>VLOOKUP(Tabla4[[#This Row],[SERVICIO 2025]],$J$2:$V$14,8,0)*Tabla4[[#This Row],[TOTAL COBERTURA]]</f>
        <v>407400</v>
      </c>
      <c r="AP630" s="35">
        <f>VLOOKUP(Tabla4[[#This Row],[SERVICIO 2025]],$J$2:$V$14,3,0)*Tabla4[[#This Row],[TOTAL COBERTURA]]*8</f>
        <v>28849632</v>
      </c>
      <c r="AQ630" s="35"/>
      <c r="AR630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630" s="35" t="str">
        <f>+IF(Tabla4[[#This Row],[AGRUPACIONES]]=1,SUMIFS(Tabla4[VALOR TOTAL],Tabla4[ZONA DEFINITIVO],Tabla4[[#This Row],[ZONA DEFINITIVO]])," ")</f>
        <v xml:space="preserve"> </v>
      </c>
      <c r="AT630" s="27">
        <f>(VLOOKUP(Tabla4[[#This Row],[SERVICIO 2025]],$J$2:$V$14,3,0)*Tabla4[[#This Row],[TOTAL COBERTURA]])+Tabla4[[#This Row],[VALOR FASE PREPARATORIA DE ALISTAMIENTO]]+Tabla4[[#This Row],[DOTACIÓN ÚNICA]]</f>
        <v>4704868</v>
      </c>
      <c r="AU630" s="35">
        <f>(VLOOKUP(Tabla4[[#This Row],[SERVICIO 2025]],$J$2:$V$14,3,0)*Tabla4[[#This Row],[TOTAL COBERTURA]])</f>
        <v>3606204</v>
      </c>
      <c r="AV630" s="35">
        <f>(VLOOKUP(Tabla4[[#This Row],[SERVICIO 2025]],$J$2:$V$14,3,0)*Tabla4[[#This Row],[TOTAL COBERTURA]])</f>
        <v>3606204</v>
      </c>
      <c r="AW630" s="35">
        <f>(VLOOKUP(Tabla4[[#This Row],[SERVICIO 2025]],$J$2:$V$14,3,0)*Tabla4[[#This Row],[TOTAL COBERTURA]])</f>
        <v>3606204</v>
      </c>
      <c r="AX630" s="35">
        <f>(VLOOKUP(Tabla4[[#This Row],[SERVICIO 2025]],$J$2:$V$14,3,0)*Tabla4[[#This Row],[TOTAL COBERTURA]])</f>
        <v>3606204</v>
      </c>
      <c r="AY630" s="35">
        <f>(VLOOKUP(Tabla4[[#This Row],[SERVICIO 2025]],$J$2:$V$14,3,0)*Tabla4[[#This Row],[TOTAL COBERTURA]])</f>
        <v>3606204</v>
      </c>
      <c r="AZ630" s="35">
        <f>(VLOOKUP(Tabla4[[#This Row],[SERVICIO 2025]],$J$2:$V$14,3,0)*Tabla4[[#This Row],[TOTAL COBERTURA]])</f>
        <v>3606204</v>
      </c>
      <c r="BA630" s="35">
        <f>(VLOOKUP(Tabla4[[#This Row],[SERVICIO 2025]],$J$2:$V$14,3,0)*Tabla4[[#This Row],[TOTAL COBERTURA]])+Tabla4[[#This Row],[VALOR FASE PREPARATORIA DE CIERRE]]</f>
        <v>4180610</v>
      </c>
      <c r="BB630" s="35">
        <f>SUM(Tabla4[[#This Row],[DESEMBOLSO 1]:[DESEMBOLSO 8]])</f>
        <v>30522702</v>
      </c>
      <c r="BC630" s="35">
        <f>VLOOKUP(Tabla4[[#This Row],[SERVICIO 2025]],$J$2:$V$14,10,0)*Tabla4[[#This Row],[TOTAL COBERTURA]]*$W$3</f>
        <v>20202896</v>
      </c>
      <c r="BD630" s="47" t="s">
        <v>211</v>
      </c>
      <c r="BE630" s="12" t="b">
        <f>EXACT(Tabla4[[#This Row],[VALOR ATENCIÓN (8 MESES)]],Tabla4[[#This Row],[VALOR TOTAL]])</f>
        <v>1</v>
      </c>
      <c r="BF630" s="23">
        <f>Tabla4[[#This Row],[VALOR ATENCIÓN (8 MESES)]]-Tabla4[[#This Row],[VALOR TOTAL]]</f>
        <v>0</v>
      </c>
      <c r="BG630" s="12" t="b">
        <f>EXACT(Tabla4[[#This Row],[TOTAL DESEMBOLSOS]],Tabla4[[#This Row],[VALOR ATENCIÓN (8 MESES)]])</f>
        <v>1</v>
      </c>
      <c r="BH630" s="29">
        <f>Tabla4[[#This Row],[TOTAL DESEMBOLSOS]]-Tabla4[[#This Row],[VALOR ATENCIÓN (8 MESES)]]</f>
        <v>0</v>
      </c>
      <c r="BI630" t="s">
        <v>1431</v>
      </c>
      <c r="BJ630">
        <v>1948</v>
      </c>
    </row>
    <row r="631" spans="1:62">
      <c r="A631" s="13">
        <v>1948</v>
      </c>
      <c r="B631" s="13" t="e">
        <v>#N/A</v>
      </c>
      <c r="C631" s="12" t="s">
        <v>87</v>
      </c>
      <c r="D631" s="12" t="s">
        <v>987</v>
      </c>
      <c r="E631" s="12" t="s">
        <v>1404</v>
      </c>
      <c r="F631" s="12" t="s">
        <v>18</v>
      </c>
      <c r="G631" s="12" t="s">
        <v>90</v>
      </c>
      <c r="H631" s="12" t="s">
        <v>1437</v>
      </c>
      <c r="I631" s="12">
        <v>52501143985</v>
      </c>
      <c r="J631" s="12" t="s">
        <v>1438</v>
      </c>
      <c r="K631" s="12">
        <v>1</v>
      </c>
      <c r="L631" s="12">
        <v>12</v>
      </c>
      <c r="M631" s="12"/>
      <c r="N631" s="13">
        <v>1948</v>
      </c>
      <c r="O631" s="12" t="s">
        <v>93</v>
      </c>
      <c r="P631" s="12"/>
      <c r="Q631" s="12"/>
      <c r="R631" s="12" t="s">
        <v>94</v>
      </c>
      <c r="S631" s="12">
        <v>10</v>
      </c>
      <c r="T631" s="12" t="s">
        <v>1429</v>
      </c>
      <c r="U631" s="12" t="s">
        <v>1430</v>
      </c>
      <c r="V631" s="12">
        <f>VLOOKUP(Tabla4[[#This Row],[ZONA DEFINITIVO]],Hoja1!$A$1:$D$121,3,0)</f>
        <v>229957</v>
      </c>
      <c r="W631" s="12">
        <f>VLOOKUP(Tabla4[[#This Row],[ZONA DEFINITIVO]],Hoja1!$A$1:$D$121,2,0)</f>
        <v>17467</v>
      </c>
      <c r="X631" s="12">
        <f>VLOOKUP(Tabla4[[#This Row],[ZONA DEFINITIVO]],Hoja1!$A$1:$D$121,4,0)</f>
        <v>107825</v>
      </c>
      <c r="Y631" s="12" t="str">
        <f>+IF(Tabla4[[#This Row],[AGRUPACIONES]]=1,SUMIFS(Tabla4[UDS],Tabla4[ZONA DEFINITIVO],Tabla4[[#This Row],[ZONA DEFINITIVO]])," ")</f>
        <v xml:space="preserve"> </v>
      </c>
      <c r="Z631" s="12" t="str">
        <f>+IF(Tabla4[[#This Row],[AGRUPACIONES]]=1,SUMIFS(Tabla4[TOTAL COBERTURA],Tabla4[ZONA DEFINITIVO],Tabla4[[#This Row],[ZONA DEFINITIVO]])," ")</f>
        <v xml:space="preserve"> </v>
      </c>
      <c r="AA631" s="12"/>
      <c r="AB631" s="38">
        <v>26162316</v>
      </c>
      <c r="AC631" s="37">
        <v>0.02</v>
      </c>
      <c r="AD631" s="38">
        <f t="shared" si="10"/>
        <v>523246.32</v>
      </c>
      <c r="AE631" s="12"/>
      <c r="AF631" s="12">
        <f>COUNTIF($A$20:A631,A631)</f>
        <v>5</v>
      </c>
      <c r="AG631" s="38">
        <v>26162316</v>
      </c>
      <c r="AH631" s="38">
        <f>Tabla4[[#This Row],[VALOR CONTRAPARTIDA]]+Tabla4[[#This Row],[TOTAL APORTES ICBF]]</f>
        <v>26685562.32</v>
      </c>
      <c r="AI631" s="35"/>
      <c r="AJ631" s="38"/>
      <c r="AK631" s="38"/>
      <c r="AL631" s="23"/>
      <c r="AM631" s="35">
        <f>VLOOKUP(Tabla4[[#This Row],[SERVICIO 2025]],$J$2:$V$14,5,0)*Tabla4[[#This Row],[TOTAL COBERTURA]]</f>
        <v>592512</v>
      </c>
      <c r="AN631" s="35">
        <f>VLOOKUP(Tabla4[[#This Row],[SERVICIO 2025]],$J$2:$V$14,6,0)*Tabla4[[#This Row],[TOTAL COBERTURA]]</f>
        <v>492348</v>
      </c>
      <c r="AO631" s="35">
        <f>VLOOKUP(Tabla4[[#This Row],[SERVICIO 2025]],$J$2:$V$14,8,0)*Tabla4[[#This Row],[TOTAL COBERTURA]]</f>
        <v>349200</v>
      </c>
      <c r="AP631" s="35">
        <f>VLOOKUP(Tabla4[[#This Row],[SERVICIO 2025]],$J$2:$V$14,3,0)*Tabla4[[#This Row],[TOTAL COBERTURA]]*8</f>
        <v>24728256</v>
      </c>
      <c r="AQ631" s="35"/>
      <c r="AR631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631" s="35" t="str">
        <f>+IF(Tabla4[[#This Row],[AGRUPACIONES]]=1,SUMIFS(Tabla4[VALOR TOTAL],Tabla4[ZONA DEFINITIVO],Tabla4[[#This Row],[ZONA DEFINITIVO]])," ")</f>
        <v xml:space="preserve"> </v>
      </c>
      <c r="AT631" s="27">
        <f>(VLOOKUP(Tabla4[[#This Row],[SERVICIO 2025]],$J$2:$V$14,3,0)*Tabla4[[#This Row],[TOTAL COBERTURA]])+Tabla4[[#This Row],[VALOR FASE PREPARATORIA DE ALISTAMIENTO]]+Tabla4[[#This Row],[DOTACIÓN ÚNICA]]</f>
        <v>4032744</v>
      </c>
      <c r="AU631" s="35">
        <f>(VLOOKUP(Tabla4[[#This Row],[SERVICIO 2025]],$J$2:$V$14,3,0)*Tabla4[[#This Row],[TOTAL COBERTURA]])</f>
        <v>3091032</v>
      </c>
      <c r="AV631" s="35">
        <f>(VLOOKUP(Tabla4[[#This Row],[SERVICIO 2025]],$J$2:$V$14,3,0)*Tabla4[[#This Row],[TOTAL COBERTURA]])</f>
        <v>3091032</v>
      </c>
      <c r="AW631" s="35">
        <f>(VLOOKUP(Tabla4[[#This Row],[SERVICIO 2025]],$J$2:$V$14,3,0)*Tabla4[[#This Row],[TOTAL COBERTURA]])</f>
        <v>3091032</v>
      </c>
      <c r="AX631" s="35">
        <f>(VLOOKUP(Tabla4[[#This Row],[SERVICIO 2025]],$J$2:$V$14,3,0)*Tabla4[[#This Row],[TOTAL COBERTURA]])</f>
        <v>3091032</v>
      </c>
      <c r="AY631" s="35">
        <f>(VLOOKUP(Tabla4[[#This Row],[SERVICIO 2025]],$J$2:$V$14,3,0)*Tabla4[[#This Row],[TOTAL COBERTURA]])</f>
        <v>3091032</v>
      </c>
      <c r="AZ631" s="35">
        <f>(VLOOKUP(Tabla4[[#This Row],[SERVICIO 2025]],$J$2:$V$14,3,0)*Tabla4[[#This Row],[TOTAL COBERTURA]])</f>
        <v>3091032</v>
      </c>
      <c r="BA631" s="35">
        <f>(VLOOKUP(Tabla4[[#This Row],[SERVICIO 2025]],$J$2:$V$14,3,0)*Tabla4[[#This Row],[TOTAL COBERTURA]])+Tabla4[[#This Row],[VALOR FASE PREPARATORIA DE CIERRE]]</f>
        <v>3583380</v>
      </c>
      <c r="BB631" s="35">
        <f>SUM(Tabla4[[#This Row],[DESEMBOLSO 1]:[DESEMBOLSO 8]])</f>
        <v>26162316</v>
      </c>
      <c r="BC631" s="35">
        <f>VLOOKUP(Tabla4[[#This Row],[SERVICIO 2025]],$J$2:$V$14,10,0)*Tabla4[[#This Row],[TOTAL COBERTURA]]*$W$3</f>
        <v>17316768</v>
      </c>
      <c r="BD631" s="47" t="s">
        <v>211</v>
      </c>
      <c r="BE631" s="12" t="b">
        <f>EXACT(Tabla4[[#This Row],[VALOR ATENCIÓN (8 MESES)]],Tabla4[[#This Row],[VALOR TOTAL]])</f>
        <v>1</v>
      </c>
      <c r="BF631" s="23">
        <f>Tabla4[[#This Row],[VALOR ATENCIÓN (8 MESES)]]-Tabla4[[#This Row],[VALOR TOTAL]]</f>
        <v>0</v>
      </c>
      <c r="BG631" s="12" t="b">
        <f>EXACT(Tabla4[[#This Row],[TOTAL DESEMBOLSOS]],Tabla4[[#This Row],[VALOR ATENCIÓN (8 MESES)]])</f>
        <v>1</v>
      </c>
      <c r="BH631" s="29">
        <f>Tabla4[[#This Row],[TOTAL DESEMBOLSOS]]-Tabla4[[#This Row],[VALOR ATENCIÓN (8 MESES)]]</f>
        <v>0</v>
      </c>
      <c r="BI631" t="s">
        <v>1431</v>
      </c>
      <c r="BJ631">
        <v>1948</v>
      </c>
    </row>
    <row r="632" spans="1:62">
      <c r="A632" s="13">
        <v>1948</v>
      </c>
      <c r="B632" s="13" t="e">
        <v>#N/A</v>
      </c>
      <c r="C632" s="12" t="s">
        <v>87</v>
      </c>
      <c r="D632" s="12" t="s">
        <v>987</v>
      </c>
      <c r="E632" s="12" t="s">
        <v>1404</v>
      </c>
      <c r="F632" s="12" t="s">
        <v>18</v>
      </c>
      <c r="G632" s="12" t="s">
        <v>90</v>
      </c>
      <c r="H632" s="12" t="s">
        <v>600</v>
      </c>
      <c r="I632" s="12">
        <v>52501143986</v>
      </c>
      <c r="J632" s="12" t="s">
        <v>1439</v>
      </c>
      <c r="K632" s="12">
        <v>1</v>
      </c>
      <c r="L632" s="12">
        <v>19</v>
      </c>
      <c r="M632" s="12"/>
      <c r="N632" s="13">
        <v>1948</v>
      </c>
      <c r="O632" s="12" t="s">
        <v>93</v>
      </c>
      <c r="P632" s="12"/>
      <c r="Q632" s="12"/>
      <c r="R632" s="12" t="s">
        <v>94</v>
      </c>
      <c r="S632" s="12">
        <v>10</v>
      </c>
      <c r="T632" s="12" t="s">
        <v>1429</v>
      </c>
      <c r="U632" s="12" t="s">
        <v>1430</v>
      </c>
      <c r="V632" s="12">
        <f>VLOOKUP(Tabla4[[#This Row],[ZONA DEFINITIVO]],Hoja1!$A$1:$D$121,3,0)</f>
        <v>229957</v>
      </c>
      <c r="W632" s="12">
        <f>VLOOKUP(Tabla4[[#This Row],[ZONA DEFINITIVO]],Hoja1!$A$1:$D$121,2,0)</f>
        <v>17467</v>
      </c>
      <c r="X632" s="12">
        <f>VLOOKUP(Tabla4[[#This Row],[ZONA DEFINITIVO]],Hoja1!$A$1:$D$121,4,0)</f>
        <v>107825</v>
      </c>
      <c r="Y632" s="12" t="str">
        <f>+IF(Tabla4[[#This Row],[AGRUPACIONES]]=1,SUMIFS(Tabla4[UDS],Tabla4[ZONA DEFINITIVO],Tabla4[[#This Row],[ZONA DEFINITIVO]])," ")</f>
        <v xml:space="preserve"> </v>
      </c>
      <c r="Z632" s="12" t="str">
        <f>+IF(Tabla4[[#This Row],[AGRUPACIONES]]=1,SUMIFS(Tabla4[TOTAL COBERTURA],Tabla4[ZONA DEFINITIVO],Tabla4[[#This Row],[ZONA DEFINITIVO]])," ")</f>
        <v xml:space="preserve"> </v>
      </c>
      <c r="AA632" s="12"/>
      <c r="AB632" s="38">
        <v>41423667</v>
      </c>
      <c r="AC632" s="37">
        <v>0.02</v>
      </c>
      <c r="AD632" s="38">
        <f t="shared" si="10"/>
        <v>828473.34</v>
      </c>
      <c r="AE632" s="12"/>
      <c r="AF632" s="12">
        <f>COUNTIF($A$20:A632,A632)</f>
        <v>6</v>
      </c>
      <c r="AG632" s="38">
        <v>41423667</v>
      </c>
      <c r="AH632" s="38">
        <f>Tabla4[[#This Row],[VALOR CONTRAPARTIDA]]+Tabla4[[#This Row],[TOTAL APORTES ICBF]]</f>
        <v>42252140.340000004</v>
      </c>
      <c r="AI632" s="35"/>
      <c r="AJ632" s="38"/>
      <c r="AK632" s="38"/>
      <c r="AL632" s="23"/>
      <c r="AM632" s="35">
        <f>VLOOKUP(Tabla4[[#This Row],[SERVICIO 2025]],$J$2:$V$14,5,0)*Tabla4[[#This Row],[TOTAL COBERTURA]]</f>
        <v>938144</v>
      </c>
      <c r="AN632" s="35">
        <f>VLOOKUP(Tabla4[[#This Row],[SERVICIO 2025]],$J$2:$V$14,6,0)*Tabla4[[#This Row],[TOTAL COBERTURA]]</f>
        <v>779551</v>
      </c>
      <c r="AO632" s="35">
        <f>VLOOKUP(Tabla4[[#This Row],[SERVICIO 2025]],$J$2:$V$14,8,0)*Tabla4[[#This Row],[TOTAL COBERTURA]]</f>
        <v>552900</v>
      </c>
      <c r="AP632" s="35">
        <f>VLOOKUP(Tabla4[[#This Row],[SERVICIO 2025]],$J$2:$V$14,3,0)*Tabla4[[#This Row],[TOTAL COBERTURA]]*8</f>
        <v>39153072</v>
      </c>
      <c r="AQ632" s="35"/>
      <c r="AR632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632" s="35" t="str">
        <f>+IF(Tabla4[[#This Row],[AGRUPACIONES]]=1,SUMIFS(Tabla4[VALOR TOTAL],Tabla4[ZONA DEFINITIVO],Tabla4[[#This Row],[ZONA DEFINITIVO]])," ")</f>
        <v xml:space="preserve"> </v>
      </c>
      <c r="AT632" s="27">
        <f>(VLOOKUP(Tabla4[[#This Row],[SERVICIO 2025]],$J$2:$V$14,3,0)*Tabla4[[#This Row],[TOTAL COBERTURA]])+Tabla4[[#This Row],[VALOR FASE PREPARATORIA DE ALISTAMIENTO]]+Tabla4[[#This Row],[DOTACIÓN ÚNICA]]</f>
        <v>6385178</v>
      </c>
      <c r="AU632" s="35">
        <f>(VLOOKUP(Tabla4[[#This Row],[SERVICIO 2025]],$J$2:$V$14,3,0)*Tabla4[[#This Row],[TOTAL COBERTURA]])</f>
        <v>4894134</v>
      </c>
      <c r="AV632" s="35">
        <f>(VLOOKUP(Tabla4[[#This Row],[SERVICIO 2025]],$J$2:$V$14,3,0)*Tabla4[[#This Row],[TOTAL COBERTURA]])</f>
        <v>4894134</v>
      </c>
      <c r="AW632" s="35">
        <f>(VLOOKUP(Tabla4[[#This Row],[SERVICIO 2025]],$J$2:$V$14,3,0)*Tabla4[[#This Row],[TOTAL COBERTURA]])</f>
        <v>4894134</v>
      </c>
      <c r="AX632" s="35">
        <f>(VLOOKUP(Tabla4[[#This Row],[SERVICIO 2025]],$J$2:$V$14,3,0)*Tabla4[[#This Row],[TOTAL COBERTURA]])</f>
        <v>4894134</v>
      </c>
      <c r="AY632" s="35">
        <f>(VLOOKUP(Tabla4[[#This Row],[SERVICIO 2025]],$J$2:$V$14,3,0)*Tabla4[[#This Row],[TOTAL COBERTURA]])</f>
        <v>4894134</v>
      </c>
      <c r="AZ632" s="35">
        <f>(VLOOKUP(Tabla4[[#This Row],[SERVICIO 2025]],$J$2:$V$14,3,0)*Tabla4[[#This Row],[TOTAL COBERTURA]])</f>
        <v>4894134</v>
      </c>
      <c r="BA632" s="35">
        <f>(VLOOKUP(Tabla4[[#This Row],[SERVICIO 2025]],$J$2:$V$14,3,0)*Tabla4[[#This Row],[TOTAL COBERTURA]])+Tabla4[[#This Row],[VALOR FASE PREPARATORIA DE CIERRE]]</f>
        <v>5673685</v>
      </c>
      <c r="BB632" s="35">
        <f>SUM(Tabla4[[#This Row],[DESEMBOLSO 1]:[DESEMBOLSO 8]])</f>
        <v>41423667</v>
      </c>
      <c r="BC632" s="35">
        <f>VLOOKUP(Tabla4[[#This Row],[SERVICIO 2025]],$J$2:$V$14,10,0)*Tabla4[[#This Row],[TOTAL COBERTURA]]*$W$3</f>
        <v>27418216</v>
      </c>
      <c r="BD632" s="47" t="s">
        <v>211</v>
      </c>
      <c r="BE632" s="12" t="b">
        <f>EXACT(Tabla4[[#This Row],[VALOR ATENCIÓN (8 MESES)]],Tabla4[[#This Row],[VALOR TOTAL]])</f>
        <v>1</v>
      </c>
      <c r="BF632" s="23">
        <f>Tabla4[[#This Row],[VALOR ATENCIÓN (8 MESES)]]-Tabla4[[#This Row],[VALOR TOTAL]]</f>
        <v>0</v>
      </c>
      <c r="BG632" s="12" t="b">
        <f>EXACT(Tabla4[[#This Row],[TOTAL DESEMBOLSOS]],Tabla4[[#This Row],[VALOR ATENCIÓN (8 MESES)]])</f>
        <v>1</v>
      </c>
      <c r="BH632" s="29">
        <f>Tabla4[[#This Row],[TOTAL DESEMBOLSOS]]-Tabla4[[#This Row],[VALOR ATENCIÓN (8 MESES)]]</f>
        <v>0</v>
      </c>
      <c r="BI632" t="s">
        <v>1431</v>
      </c>
      <c r="BJ632">
        <v>1948</v>
      </c>
    </row>
    <row r="633" spans="1:62">
      <c r="A633" s="13">
        <v>1948</v>
      </c>
      <c r="B633" s="13" t="e">
        <v>#N/A</v>
      </c>
      <c r="C633" s="12" t="s">
        <v>87</v>
      </c>
      <c r="D633" s="12" t="s">
        <v>987</v>
      </c>
      <c r="E633" s="12" t="s">
        <v>1404</v>
      </c>
      <c r="F633" s="12" t="s">
        <v>18</v>
      </c>
      <c r="G633" s="12" t="s">
        <v>90</v>
      </c>
      <c r="H633" s="12" t="s">
        <v>1440</v>
      </c>
      <c r="I633" s="12">
        <v>52501143988</v>
      </c>
      <c r="J633" s="12" t="s">
        <v>1441</v>
      </c>
      <c r="K633" s="12">
        <v>1</v>
      </c>
      <c r="L633" s="12">
        <v>12</v>
      </c>
      <c r="M633" s="12"/>
      <c r="N633" s="13">
        <v>1948</v>
      </c>
      <c r="O633" s="12" t="s">
        <v>93</v>
      </c>
      <c r="P633" s="12"/>
      <c r="Q633" s="12"/>
      <c r="R633" s="12" t="s">
        <v>94</v>
      </c>
      <c r="S633" s="12">
        <v>10</v>
      </c>
      <c r="T633" s="12" t="s">
        <v>1429</v>
      </c>
      <c r="U633" s="12" t="s">
        <v>1430</v>
      </c>
      <c r="V633" s="12">
        <f>VLOOKUP(Tabla4[[#This Row],[ZONA DEFINITIVO]],Hoja1!$A$1:$D$121,3,0)</f>
        <v>229957</v>
      </c>
      <c r="W633" s="12">
        <f>VLOOKUP(Tabla4[[#This Row],[ZONA DEFINITIVO]],Hoja1!$A$1:$D$121,2,0)</f>
        <v>17467</v>
      </c>
      <c r="X633" s="12">
        <f>VLOOKUP(Tabla4[[#This Row],[ZONA DEFINITIVO]],Hoja1!$A$1:$D$121,4,0)</f>
        <v>107825</v>
      </c>
      <c r="Y633" s="12" t="str">
        <f>+IF(Tabla4[[#This Row],[AGRUPACIONES]]=1,SUMIFS(Tabla4[UDS],Tabla4[ZONA DEFINITIVO],Tabla4[[#This Row],[ZONA DEFINITIVO]])," ")</f>
        <v xml:space="preserve"> </v>
      </c>
      <c r="Z633" s="12" t="str">
        <f>+IF(Tabla4[[#This Row],[AGRUPACIONES]]=1,SUMIFS(Tabla4[TOTAL COBERTURA],Tabla4[ZONA DEFINITIVO],Tabla4[[#This Row],[ZONA DEFINITIVO]])," ")</f>
        <v xml:space="preserve"> </v>
      </c>
      <c r="AA633" s="12"/>
      <c r="AB633" s="38">
        <v>26162316</v>
      </c>
      <c r="AC633" s="37">
        <v>0.02</v>
      </c>
      <c r="AD633" s="38">
        <f t="shared" si="10"/>
        <v>523246.32</v>
      </c>
      <c r="AE633" s="12"/>
      <c r="AF633" s="12">
        <f>COUNTIF($A$20:A633,A633)</f>
        <v>7</v>
      </c>
      <c r="AG633" s="38">
        <v>26162316</v>
      </c>
      <c r="AH633" s="38">
        <f>Tabla4[[#This Row],[VALOR CONTRAPARTIDA]]+Tabla4[[#This Row],[TOTAL APORTES ICBF]]</f>
        <v>26685562.32</v>
      </c>
      <c r="AI633" s="35"/>
      <c r="AJ633" s="38"/>
      <c r="AK633" s="38"/>
      <c r="AL633" s="23"/>
      <c r="AM633" s="35">
        <f>VLOOKUP(Tabla4[[#This Row],[SERVICIO 2025]],$J$2:$V$14,5,0)*Tabla4[[#This Row],[TOTAL COBERTURA]]</f>
        <v>592512</v>
      </c>
      <c r="AN633" s="35">
        <f>VLOOKUP(Tabla4[[#This Row],[SERVICIO 2025]],$J$2:$V$14,6,0)*Tabla4[[#This Row],[TOTAL COBERTURA]]</f>
        <v>492348</v>
      </c>
      <c r="AO633" s="35">
        <f>VLOOKUP(Tabla4[[#This Row],[SERVICIO 2025]],$J$2:$V$14,8,0)*Tabla4[[#This Row],[TOTAL COBERTURA]]</f>
        <v>349200</v>
      </c>
      <c r="AP633" s="35">
        <f>VLOOKUP(Tabla4[[#This Row],[SERVICIO 2025]],$J$2:$V$14,3,0)*Tabla4[[#This Row],[TOTAL COBERTURA]]*8</f>
        <v>24728256</v>
      </c>
      <c r="AQ633" s="35"/>
      <c r="AR633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633" s="35" t="str">
        <f>+IF(Tabla4[[#This Row],[AGRUPACIONES]]=1,SUMIFS(Tabla4[VALOR TOTAL],Tabla4[ZONA DEFINITIVO],Tabla4[[#This Row],[ZONA DEFINITIVO]])," ")</f>
        <v xml:space="preserve"> </v>
      </c>
      <c r="AT633" s="27">
        <f>(VLOOKUP(Tabla4[[#This Row],[SERVICIO 2025]],$J$2:$V$14,3,0)*Tabla4[[#This Row],[TOTAL COBERTURA]])+Tabla4[[#This Row],[VALOR FASE PREPARATORIA DE ALISTAMIENTO]]+Tabla4[[#This Row],[DOTACIÓN ÚNICA]]</f>
        <v>4032744</v>
      </c>
      <c r="AU633" s="35">
        <f>(VLOOKUP(Tabla4[[#This Row],[SERVICIO 2025]],$J$2:$V$14,3,0)*Tabla4[[#This Row],[TOTAL COBERTURA]])</f>
        <v>3091032</v>
      </c>
      <c r="AV633" s="35">
        <f>(VLOOKUP(Tabla4[[#This Row],[SERVICIO 2025]],$J$2:$V$14,3,0)*Tabla4[[#This Row],[TOTAL COBERTURA]])</f>
        <v>3091032</v>
      </c>
      <c r="AW633" s="35">
        <f>(VLOOKUP(Tabla4[[#This Row],[SERVICIO 2025]],$J$2:$V$14,3,0)*Tabla4[[#This Row],[TOTAL COBERTURA]])</f>
        <v>3091032</v>
      </c>
      <c r="AX633" s="35">
        <f>(VLOOKUP(Tabla4[[#This Row],[SERVICIO 2025]],$J$2:$V$14,3,0)*Tabla4[[#This Row],[TOTAL COBERTURA]])</f>
        <v>3091032</v>
      </c>
      <c r="AY633" s="35">
        <f>(VLOOKUP(Tabla4[[#This Row],[SERVICIO 2025]],$J$2:$V$14,3,0)*Tabla4[[#This Row],[TOTAL COBERTURA]])</f>
        <v>3091032</v>
      </c>
      <c r="AZ633" s="35">
        <f>(VLOOKUP(Tabla4[[#This Row],[SERVICIO 2025]],$J$2:$V$14,3,0)*Tabla4[[#This Row],[TOTAL COBERTURA]])</f>
        <v>3091032</v>
      </c>
      <c r="BA633" s="35">
        <f>(VLOOKUP(Tabla4[[#This Row],[SERVICIO 2025]],$J$2:$V$14,3,0)*Tabla4[[#This Row],[TOTAL COBERTURA]])+Tabla4[[#This Row],[VALOR FASE PREPARATORIA DE CIERRE]]</f>
        <v>3583380</v>
      </c>
      <c r="BB633" s="35">
        <f>SUM(Tabla4[[#This Row],[DESEMBOLSO 1]:[DESEMBOLSO 8]])</f>
        <v>26162316</v>
      </c>
      <c r="BC633" s="35">
        <f>VLOOKUP(Tabla4[[#This Row],[SERVICIO 2025]],$J$2:$V$14,10,0)*Tabla4[[#This Row],[TOTAL COBERTURA]]*$W$3</f>
        <v>17316768</v>
      </c>
      <c r="BD633" s="47" t="s">
        <v>211</v>
      </c>
      <c r="BE633" s="12" t="b">
        <f>EXACT(Tabla4[[#This Row],[VALOR ATENCIÓN (8 MESES)]],Tabla4[[#This Row],[VALOR TOTAL]])</f>
        <v>1</v>
      </c>
      <c r="BF633" s="23">
        <f>Tabla4[[#This Row],[VALOR ATENCIÓN (8 MESES)]]-Tabla4[[#This Row],[VALOR TOTAL]]</f>
        <v>0</v>
      </c>
      <c r="BG633" s="12" t="b">
        <f>EXACT(Tabla4[[#This Row],[TOTAL DESEMBOLSOS]],Tabla4[[#This Row],[VALOR ATENCIÓN (8 MESES)]])</f>
        <v>1</v>
      </c>
      <c r="BH633" s="29">
        <f>Tabla4[[#This Row],[TOTAL DESEMBOLSOS]]-Tabla4[[#This Row],[VALOR ATENCIÓN (8 MESES)]]</f>
        <v>0</v>
      </c>
      <c r="BI633" t="s">
        <v>1431</v>
      </c>
      <c r="BJ633">
        <v>1948</v>
      </c>
    </row>
    <row r="634" spans="1:62">
      <c r="A634" s="13">
        <v>1948</v>
      </c>
      <c r="B634" s="13" t="e">
        <v>#N/A</v>
      </c>
      <c r="C634" s="12" t="s">
        <v>87</v>
      </c>
      <c r="D634" s="12" t="s">
        <v>987</v>
      </c>
      <c r="E634" s="12" t="s">
        <v>1404</v>
      </c>
      <c r="F634" s="12" t="s">
        <v>18</v>
      </c>
      <c r="G634" s="12" t="s">
        <v>90</v>
      </c>
      <c r="H634" s="12" t="s">
        <v>1442</v>
      </c>
      <c r="I634" s="12">
        <v>52501143989</v>
      </c>
      <c r="J634" s="12" t="s">
        <v>1443</v>
      </c>
      <c r="K634" s="12">
        <v>1</v>
      </c>
      <c r="L634" s="12">
        <v>9</v>
      </c>
      <c r="M634" s="12"/>
      <c r="N634" s="13">
        <v>1948</v>
      </c>
      <c r="O634" s="12" t="s">
        <v>93</v>
      </c>
      <c r="P634" s="12"/>
      <c r="Q634" s="12"/>
      <c r="R634" s="12" t="s">
        <v>94</v>
      </c>
      <c r="S634" s="12">
        <v>10</v>
      </c>
      <c r="T634" s="12" t="s">
        <v>1429</v>
      </c>
      <c r="U634" s="12" t="s">
        <v>1430</v>
      </c>
      <c r="V634" s="12">
        <f>VLOOKUP(Tabla4[[#This Row],[ZONA DEFINITIVO]],Hoja1!$A$1:$D$121,3,0)</f>
        <v>229957</v>
      </c>
      <c r="W634" s="12">
        <f>VLOOKUP(Tabla4[[#This Row],[ZONA DEFINITIVO]],Hoja1!$A$1:$D$121,2,0)</f>
        <v>17467</v>
      </c>
      <c r="X634" s="12">
        <f>VLOOKUP(Tabla4[[#This Row],[ZONA DEFINITIVO]],Hoja1!$A$1:$D$121,4,0)</f>
        <v>107825</v>
      </c>
      <c r="Y634" s="12" t="str">
        <f>+IF(Tabla4[[#This Row],[AGRUPACIONES]]=1,SUMIFS(Tabla4[UDS],Tabla4[ZONA DEFINITIVO],Tabla4[[#This Row],[ZONA DEFINITIVO]])," ")</f>
        <v xml:space="preserve"> </v>
      </c>
      <c r="Z634" s="12" t="str">
        <f>+IF(Tabla4[[#This Row],[AGRUPACIONES]]=1,SUMIFS(Tabla4[TOTAL COBERTURA],Tabla4[ZONA DEFINITIVO],Tabla4[[#This Row],[ZONA DEFINITIVO]])," ")</f>
        <v xml:space="preserve"> </v>
      </c>
      <c r="AA634" s="12"/>
      <c r="AB634" s="38">
        <v>19621737</v>
      </c>
      <c r="AC634" s="37">
        <v>0.02</v>
      </c>
      <c r="AD634" s="38">
        <f t="shared" si="10"/>
        <v>392434.74</v>
      </c>
      <c r="AE634" s="12"/>
      <c r="AF634" s="12">
        <f>COUNTIF($A$20:A634,A634)</f>
        <v>8</v>
      </c>
      <c r="AG634" s="38">
        <v>19621737</v>
      </c>
      <c r="AH634" s="38">
        <f>Tabla4[[#This Row],[VALOR CONTRAPARTIDA]]+Tabla4[[#This Row],[TOTAL APORTES ICBF]]</f>
        <v>20014171.739999998</v>
      </c>
      <c r="AI634" s="35"/>
      <c r="AJ634" s="38"/>
      <c r="AK634" s="38"/>
      <c r="AL634" s="23"/>
      <c r="AM634" s="35">
        <f>VLOOKUP(Tabla4[[#This Row],[SERVICIO 2025]],$J$2:$V$14,5,0)*Tabla4[[#This Row],[TOTAL COBERTURA]]</f>
        <v>444384</v>
      </c>
      <c r="AN634" s="35">
        <f>VLOOKUP(Tabla4[[#This Row],[SERVICIO 2025]],$J$2:$V$14,6,0)*Tabla4[[#This Row],[TOTAL COBERTURA]]</f>
        <v>369261</v>
      </c>
      <c r="AO634" s="35">
        <f>VLOOKUP(Tabla4[[#This Row],[SERVICIO 2025]],$J$2:$V$14,8,0)*Tabla4[[#This Row],[TOTAL COBERTURA]]</f>
        <v>261900</v>
      </c>
      <c r="AP634" s="35">
        <f>VLOOKUP(Tabla4[[#This Row],[SERVICIO 2025]],$J$2:$V$14,3,0)*Tabla4[[#This Row],[TOTAL COBERTURA]]*8</f>
        <v>18546192</v>
      </c>
      <c r="AQ634" s="35"/>
      <c r="AR634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634" s="35" t="str">
        <f>+IF(Tabla4[[#This Row],[AGRUPACIONES]]=1,SUMIFS(Tabla4[VALOR TOTAL],Tabla4[ZONA DEFINITIVO],Tabla4[[#This Row],[ZONA DEFINITIVO]])," ")</f>
        <v xml:space="preserve"> </v>
      </c>
      <c r="AT634" s="27">
        <f>(VLOOKUP(Tabla4[[#This Row],[SERVICIO 2025]],$J$2:$V$14,3,0)*Tabla4[[#This Row],[TOTAL COBERTURA]])+Tabla4[[#This Row],[VALOR FASE PREPARATORIA DE ALISTAMIENTO]]+Tabla4[[#This Row],[DOTACIÓN ÚNICA]]</f>
        <v>3024558</v>
      </c>
      <c r="AU634" s="35">
        <f>(VLOOKUP(Tabla4[[#This Row],[SERVICIO 2025]],$J$2:$V$14,3,0)*Tabla4[[#This Row],[TOTAL COBERTURA]])</f>
        <v>2318274</v>
      </c>
      <c r="AV634" s="35">
        <f>(VLOOKUP(Tabla4[[#This Row],[SERVICIO 2025]],$J$2:$V$14,3,0)*Tabla4[[#This Row],[TOTAL COBERTURA]])</f>
        <v>2318274</v>
      </c>
      <c r="AW634" s="35">
        <f>(VLOOKUP(Tabla4[[#This Row],[SERVICIO 2025]],$J$2:$V$14,3,0)*Tabla4[[#This Row],[TOTAL COBERTURA]])</f>
        <v>2318274</v>
      </c>
      <c r="AX634" s="35">
        <f>(VLOOKUP(Tabla4[[#This Row],[SERVICIO 2025]],$J$2:$V$14,3,0)*Tabla4[[#This Row],[TOTAL COBERTURA]])</f>
        <v>2318274</v>
      </c>
      <c r="AY634" s="35">
        <f>(VLOOKUP(Tabla4[[#This Row],[SERVICIO 2025]],$J$2:$V$14,3,0)*Tabla4[[#This Row],[TOTAL COBERTURA]])</f>
        <v>2318274</v>
      </c>
      <c r="AZ634" s="35">
        <f>(VLOOKUP(Tabla4[[#This Row],[SERVICIO 2025]],$J$2:$V$14,3,0)*Tabla4[[#This Row],[TOTAL COBERTURA]])</f>
        <v>2318274</v>
      </c>
      <c r="BA634" s="35">
        <f>(VLOOKUP(Tabla4[[#This Row],[SERVICIO 2025]],$J$2:$V$14,3,0)*Tabla4[[#This Row],[TOTAL COBERTURA]])+Tabla4[[#This Row],[VALOR FASE PREPARATORIA DE CIERRE]]</f>
        <v>2687535</v>
      </c>
      <c r="BB634" s="35">
        <f>SUM(Tabla4[[#This Row],[DESEMBOLSO 1]:[DESEMBOLSO 8]])</f>
        <v>19621737</v>
      </c>
      <c r="BC634" s="35">
        <f>VLOOKUP(Tabla4[[#This Row],[SERVICIO 2025]],$J$2:$V$14,10,0)*Tabla4[[#This Row],[TOTAL COBERTURA]]*$W$3</f>
        <v>12987576</v>
      </c>
      <c r="BD634" s="47" t="s">
        <v>211</v>
      </c>
      <c r="BE634" s="12" t="b">
        <f>EXACT(Tabla4[[#This Row],[VALOR ATENCIÓN (8 MESES)]],Tabla4[[#This Row],[VALOR TOTAL]])</f>
        <v>1</v>
      </c>
      <c r="BF634" s="23">
        <f>Tabla4[[#This Row],[VALOR ATENCIÓN (8 MESES)]]-Tabla4[[#This Row],[VALOR TOTAL]]</f>
        <v>0</v>
      </c>
      <c r="BG634" s="12" t="b">
        <f>EXACT(Tabla4[[#This Row],[TOTAL DESEMBOLSOS]],Tabla4[[#This Row],[VALOR ATENCIÓN (8 MESES)]])</f>
        <v>1</v>
      </c>
      <c r="BH634" s="29">
        <f>Tabla4[[#This Row],[TOTAL DESEMBOLSOS]]-Tabla4[[#This Row],[VALOR ATENCIÓN (8 MESES)]]</f>
        <v>0</v>
      </c>
      <c r="BI634" t="s">
        <v>1431</v>
      </c>
      <c r="BJ634">
        <v>1948</v>
      </c>
    </row>
    <row r="635" spans="1:62">
      <c r="A635" s="13">
        <v>1948</v>
      </c>
      <c r="B635" s="13" t="e">
        <v>#N/A</v>
      </c>
      <c r="C635" s="12" t="s">
        <v>87</v>
      </c>
      <c r="D635" s="12" t="s">
        <v>987</v>
      </c>
      <c r="E635" s="12" t="s">
        <v>1404</v>
      </c>
      <c r="F635" s="12" t="s">
        <v>18</v>
      </c>
      <c r="G635" s="12" t="s">
        <v>90</v>
      </c>
      <c r="H635" s="12" t="s">
        <v>1444</v>
      </c>
      <c r="I635" s="12">
        <v>52501148781</v>
      </c>
      <c r="J635" s="12" t="s">
        <v>1445</v>
      </c>
      <c r="K635" s="12">
        <v>1</v>
      </c>
      <c r="L635" s="12">
        <v>15</v>
      </c>
      <c r="M635" s="12"/>
      <c r="N635" s="13">
        <v>1948</v>
      </c>
      <c r="O635" s="12" t="s">
        <v>93</v>
      </c>
      <c r="P635" s="12"/>
      <c r="Q635" s="12"/>
      <c r="R635" s="12" t="s">
        <v>94</v>
      </c>
      <c r="S635" s="12">
        <v>10</v>
      </c>
      <c r="T635" s="12" t="s">
        <v>1429</v>
      </c>
      <c r="U635" s="12" t="s">
        <v>1430</v>
      </c>
      <c r="V635" s="12">
        <f>VLOOKUP(Tabla4[[#This Row],[ZONA DEFINITIVO]],Hoja1!$A$1:$D$121,3,0)</f>
        <v>229957</v>
      </c>
      <c r="W635" s="12">
        <f>VLOOKUP(Tabla4[[#This Row],[ZONA DEFINITIVO]],Hoja1!$A$1:$D$121,2,0)</f>
        <v>17467</v>
      </c>
      <c r="X635" s="12">
        <f>VLOOKUP(Tabla4[[#This Row],[ZONA DEFINITIVO]],Hoja1!$A$1:$D$121,4,0)</f>
        <v>107825</v>
      </c>
      <c r="Y635" s="12" t="str">
        <f>+IF(Tabla4[[#This Row],[AGRUPACIONES]]=1,SUMIFS(Tabla4[UDS],Tabla4[ZONA DEFINITIVO],Tabla4[[#This Row],[ZONA DEFINITIVO]])," ")</f>
        <v xml:space="preserve"> </v>
      </c>
      <c r="Z635" s="12" t="str">
        <f>+IF(Tabla4[[#This Row],[AGRUPACIONES]]=1,SUMIFS(Tabla4[TOTAL COBERTURA],Tabla4[ZONA DEFINITIVO],Tabla4[[#This Row],[ZONA DEFINITIVO]])," ")</f>
        <v xml:space="preserve"> </v>
      </c>
      <c r="AA635" s="12"/>
      <c r="AB635" s="38">
        <v>32702895</v>
      </c>
      <c r="AC635" s="37">
        <v>0.02</v>
      </c>
      <c r="AD635" s="38">
        <f t="shared" si="10"/>
        <v>654057.9</v>
      </c>
      <c r="AE635" s="12"/>
      <c r="AF635" s="12">
        <f>COUNTIF($A$20:A635,A635)</f>
        <v>9</v>
      </c>
      <c r="AG635" s="38">
        <v>32702895</v>
      </c>
      <c r="AH635" s="38">
        <f>Tabla4[[#This Row],[VALOR CONTRAPARTIDA]]+Tabla4[[#This Row],[TOTAL APORTES ICBF]]</f>
        <v>33356952.899999999</v>
      </c>
      <c r="AI635" s="35"/>
      <c r="AJ635" s="38"/>
      <c r="AK635" s="38"/>
      <c r="AL635" s="23"/>
      <c r="AM635" s="35">
        <f>VLOOKUP(Tabla4[[#This Row],[SERVICIO 2025]],$J$2:$V$14,5,0)*Tabla4[[#This Row],[TOTAL COBERTURA]]</f>
        <v>740640</v>
      </c>
      <c r="AN635" s="35">
        <f>VLOOKUP(Tabla4[[#This Row],[SERVICIO 2025]],$J$2:$V$14,6,0)*Tabla4[[#This Row],[TOTAL COBERTURA]]</f>
        <v>615435</v>
      </c>
      <c r="AO635" s="35">
        <f>VLOOKUP(Tabla4[[#This Row],[SERVICIO 2025]],$J$2:$V$14,8,0)*Tabla4[[#This Row],[TOTAL COBERTURA]]</f>
        <v>436500</v>
      </c>
      <c r="AP635" s="35">
        <f>VLOOKUP(Tabla4[[#This Row],[SERVICIO 2025]],$J$2:$V$14,3,0)*Tabla4[[#This Row],[TOTAL COBERTURA]]*8</f>
        <v>30910320</v>
      </c>
      <c r="AQ635" s="35"/>
      <c r="AR635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635" s="35" t="str">
        <f>+IF(Tabla4[[#This Row],[AGRUPACIONES]]=1,SUMIFS(Tabla4[VALOR TOTAL],Tabla4[ZONA DEFINITIVO],Tabla4[[#This Row],[ZONA DEFINITIVO]])," ")</f>
        <v xml:space="preserve"> </v>
      </c>
      <c r="AT635" s="27">
        <f>(VLOOKUP(Tabla4[[#This Row],[SERVICIO 2025]],$J$2:$V$14,3,0)*Tabla4[[#This Row],[TOTAL COBERTURA]])+Tabla4[[#This Row],[VALOR FASE PREPARATORIA DE ALISTAMIENTO]]+Tabla4[[#This Row],[DOTACIÓN ÚNICA]]</f>
        <v>5040930</v>
      </c>
      <c r="AU635" s="35">
        <f>(VLOOKUP(Tabla4[[#This Row],[SERVICIO 2025]],$J$2:$V$14,3,0)*Tabla4[[#This Row],[TOTAL COBERTURA]])</f>
        <v>3863790</v>
      </c>
      <c r="AV635" s="35">
        <f>(VLOOKUP(Tabla4[[#This Row],[SERVICIO 2025]],$J$2:$V$14,3,0)*Tabla4[[#This Row],[TOTAL COBERTURA]])</f>
        <v>3863790</v>
      </c>
      <c r="AW635" s="35">
        <f>(VLOOKUP(Tabla4[[#This Row],[SERVICIO 2025]],$J$2:$V$14,3,0)*Tabla4[[#This Row],[TOTAL COBERTURA]])</f>
        <v>3863790</v>
      </c>
      <c r="AX635" s="35">
        <f>(VLOOKUP(Tabla4[[#This Row],[SERVICIO 2025]],$J$2:$V$14,3,0)*Tabla4[[#This Row],[TOTAL COBERTURA]])</f>
        <v>3863790</v>
      </c>
      <c r="AY635" s="35">
        <f>(VLOOKUP(Tabla4[[#This Row],[SERVICIO 2025]],$J$2:$V$14,3,0)*Tabla4[[#This Row],[TOTAL COBERTURA]])</f>
        <v>3863790</v>
      </c>
      <c r="AZ635" s="35">
        <f>(VLOOKUP(Tabla4[[#This Row],[SERVICIO 2025]],$J$2:$V$14,3,0)*Tabla4[[#This Row],[TOTAL COBERTURA]])</f>
        <v>3863790</v>
      </c>
      <c r="BA635" s="35">
        <f>(VLOOKUP(Tabla4[[#This Row],[SERVICIO 2025]],$J$2:$V$14,3,0)*Tabla4[[#This Row],[TOTAL COBERTURA]])+Tabla4[[#This Row],[VALOR FASE PREPARATORIA DE CIERRE]]</f>
        <v>4479225</v>
      </c>
      <c r="BB635" s="35">
        <f>SUM(Tabla4[[#This Row],[DESEMBOLSO 1]:[DESEMBOLSO 8]])</f>
        <v>32702895</v>
      </c>
      <c r="BC635" s="35">
        <f>VLOOKUP(Tabla4[[#This Row],[SERVICIO 2025]],$J$2:$V$14,10,0)*Tabla4[[#This Row],[TOTAL COBERTURA]]*$W$3</f>
        <v>21645960</v>
      </c>
      <c r="BD635" s="47" t="s">
        <v>211</v>
      </c>
      <c r="BE635" s="12" t="b">
        <f>EXACT(Tabla4[[#This Row],[VALOR ATENCIÓN (8 MESES)]],Tabla4[[#This Row],[VALOR TOTAL]])</f>
        <v>1</v>
      </c>
      <c r="BF635" s="23">
        <f>Tabla4[[#This Row],[VALOR ATENCIÓN (8 MESES)]]-Tabla4[[#This Row],[VALOR TOTAL]]</f>
        <v>0</v>
      </c>
      <c r="BG635" s="12" t="b">
        <f>EXACT(Tabla4[[#This Row],[TOTAL DESEMBOLSOS]],Tabla4[[#This Row],[VALOR ATENCIÓN (8 MESES)]])</f>
        <v>1</v>
      </c>
      <c r="BH635" s="29">
        <f>Tabla4[[#This Row],[TOTAL DESEMBOLSOS]]-Tabla4[[#This Row],[VALOR ATENCIÓN (8 MESES)]]</f>
        <v>0</v>
      </c>
      <c r="BI635" t="s">
        <v>1431</v>
      </c>
      <c r="BJ635">
        <v>1948</v>
      </c>
    </row>
    <row r="636" spans="1:62">
      <c r="A636" s="13">
        <v>1948</v>
      </c>
      <c r="B636" s="13" t="e">
        <v>#N/A</v>
      </c>
      <c r="C636" s="12" t="s">
        <v>87</v>
      </c>
      <c r="D636" s="12" t="s">
        <v>987</v>
      </c>
      <c r="E636" s="12" t="s">
        <v>1404</v>
      </c>
      <c r="F636" s="12" t="s">
        <v>18</v>
      </c>
      <c r="G636" s="12" t="s">
        <v>90</v>
      </c>
      <c r="H636" s="12" t="s">
        <v>1446</v>
      </c>
      <c r="I636" s="12">
        <v>52501150553</v>
      </c>
      <c r="J636" s="12" t="s">
        <v>1447</v>
      </c>
      <c r="K636" s="12">
        <v>1</v>
      </c>
      <c r="L636" s="12">
        <v>16</v>
      </c>
      <c r="M636" s="12"/>
      <c r="N636" s="13">
        <v>1948</v>
      </c>
      <c r="O636" s="12" t="s">
        <v>93</v>
      </c>
      <c r="P636" s="12"/>
      <c r="Q636" s="12"/>
      <c r="R636" s="12" t="s">
        <v>94</v>
      </c>
      <c r="S636" s="12">
        <v>10</v>
      </c>
      <c r="T636" s="12" t="s">
        <v>1429</v>
      </c>
      <c r="U636" s="12" t="s">
        <v>1430</v>
      </c>
      <c r="V636" s="12">
        <f>VLOOKUP(Tabla4[[#This Row],[ZONA DEFINITIVO]],Hoja1!$A$1:$D$121,3,0)</f>
        <v>229957</v>
      </c>
      <c r="W636" s="12">
        <f>VLOOKUP(Tabla4[[#This Row],[ZONA DEFINITIVO]],Hoja1!$A$1:$D$121,2,0)</f>
        <v>17467</v>
      </c>
      <c r="X636" s="12">
        <f>VLOOKUP(Tabla4[[#This Row],[ZONA DEFINITIVO]],Hoja1!$A$1:$D$121,4,0)</f>
        <v>107825</v>
      </c>
      <c r="Y636" s="12" t="str">
        <f>+IF(Tabla4[[#This Row],[AGRUPACIONES]]=1,SUMIFS(Tabla4[UDS],Tabla4[ZONA DEFINITIVO],Tabla4[[#This Row],[ZONA DEFINITIVO]])," ")</f>
        <v xml:space="preserve"> </v>
      </c>
      <c r="Z636" s="12" t="str">
        <f>+IF(Tabla4[[#This Row],[AGRUPACIONES]]=1,SUMIFS(Tabla4[TOTAL COBERTURA],Tabla4[ZONA DEFINITIVO],Tabla4[[#This Row],[ZONA DEFINITIVO]])," ")</f>
        <v xml:space="preserve"> </v>
      </c>
      <c r="AA636" s="12"/>
      <c r="AB636" s="38">
        <v>34883088</v>
      </c>
      <c r="AC636" s="37">
        <v>0.02</v>
      </c>
      <c r="AD636" s="38">
        <f t="shared" si="10"/>
        <v>697661.76</v>
      </c>
      <c r="AE636" s="12"/>
      <c r="AF636" s="12">
        <f>COUNTIF($A$20:A636,A636)</f>
        <v>10</v>
      </c>
      <c r="AG636" s="38">
        <v>34883088</v>
      </c>
      <c r="AH636" s="38">
        <f>Tabla4[[#This Row],[VALOR CONTRAPARTIDA]]+Tabla4[[#This Row],[TOTAL APORTES ICBF]]</f>
        <v>35580749.759999998</v>
      </c>
      <c r="AI636" s="35"/>
      <c r="AJ636" s="38"/>
      <c r="AK636" s="38"/>
      <c r="AL636" s="23"/>
      <c r="AM636" s="35">
        <f>VLOOKUP(Tabla4[[#This Row],[SERVICIO 2025]],$J$2:$V$14,5,0)*Tabla4[[#This Row],[TOTAL COBERTURA]]</f>
        <v>790016</v>
      </c>
      <c r="AN636" s="35">
        <f>VLOOKUP(Tabla4[[#This Row],[SERVICIO 2025]],$J$2:$V$14,6,0)*Tabla4[[#This Row],[TOTAL COBERTURA]]</f>
        <v>656464</v>
      </c>
      <c r="AO636" s="35">
        <f>VLOOKUP(Tabla4[[#This Row],[SERVICIO 2025]],$J$2:$V$14,8,0)*Tabla4[[#This Row],[TOTAL COBERTURA]]</f>
        <v>465600</v>
      </c>
      <c r="AP636" s="35">
        <f>VLOOKUP(Tabla4[[#This Row],[SERVICIO 2025]],$J$2:$V$14,3,0)*Tabla4[[#This Row],[TOTAL COBERTURA]]*8</f>
        <v>32971008</v>
      </c>
      <c r="AQ636" s="35"/>
      <c r="AR636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636" s="35" t="str">
        <f>+IF(Tabla4[[#This Row],[AGRUPACIONES]]=1,SUMIFS(Tabla4[VALOR TOTAL],Tabla4[ZONA DEFINITIVO],Tabla4[[#This Row],[ZONA DEFINITIVO]])," ")</f>
        <v xml:space="preserve"> </v>
      </c>
      <c r="AT636" s="27">
        <f>(VLOOKUP(Tabla4[[#This Row],[SERVICIO 2025]],$J$2:$V$14,3,0)*Tabla4[[#This Row],[TOTAL COBERTURA]])+Tabla4[[#This Row],[VALOR FASE PREPARATORIA DE ALISTAMIENTO]]+Tabla4[[#This Row],[DOTACIÓN ÚNICA]]</f>
        <v>5376992</v>
      </c>
      <c r="AU636" s="35">
        <f>(VLOOKUP(Tabla4[[#This Row],[SERVICIO 2025]],$J$2:$V$14,3,0)*Tabla4[[#This Row],[TOTAL COBERTURA]])</f>
        <v>4121376</v>
      </c>
      <c r="AV636" s="35">
        <f>(VLOOKUP(Tabla4[[#This Row],[SERVICIO 2025]],$J$2:$V$14,3,0)*Tabla4[[#This Row],[TOTAL COBERTURA]])</f>
        <v>4121376</v>
      </c>
      <c r="AW636" s="35">
        <f>(VLOOKUP(Tabla4[[#This Row],[SERVICIO 2025]],$J$2:$V$14,3,0)*Tabla4[[#This Row],[TOTAL COBERTURA]])</f>
        <v>4121376</v>
      </c>
      <c r="AX636" s="35">
        <f>(VLOOKUP(Tabla4[[#This Row],[SERVICIO 2025]],$J$2:$V$14,3,0)*Tabla4[[#This Row],[TOTAL COBERTURA]])</f>
        <v>4121376</v>
      </c>
      <c r="AY636" s="35">
        <f>(VLOOKUP(Tabla4[[#This Row],[SERVICIO 2025]],$J$2:$V$14,3,0)*Tabla4[[#This Row],[TOTAL COBERTURA]])</f>
        <v>4121376</v>
      </c>
      <c r="AZ636" s="35">
        <f>(VLOOKUP(Tabla4[[#This Row],[SERVICIO 2025]],$J$2:$V$14,3,0)*Tabla4[[#This Row],[TOTAL COBERTURA]])</f>
        <v>4121376</v>
      </c>
      <c r="BA636" s="35">
        <f>(VLOOKUP(Tabla4[[#This Row],[SERVICIO 2025]],$J$2:$V$14,3,0)*Tabla4[[#This Row],[TOTAL COBERTURA]])+Tabla4[[#This Row],[VALOR FASE PREPARATORIA DE CIERRE]]</f>
        <v>4777840</v>
      </c>
      <c r="BB636" s="35">
        <f>SUM(Tabla4[[#This Row],[DESEMBOLSO 1]:[DESEMBOLSO 8]])</f>
        <v>34883088</v>
      </c>
      <c r="BC636" s="35">
        <f>VLOOKUP(Tabla4[[#This Row],[SERVICIO 2025]],$J$2:$V$14,10,0)*Tabla4[[#This Row],[TOTAL COBERTURA]]*$W$3</f>
        <v>23089024</v>
      </c>
      <c r="BD636" s="47" t="s">
        <v>211</v>
      </c>
      <c r="BE636" s="12" t="b">
        <f>EXACT(Tabla4[[#This Row],[VALOR ATENCIÓN (8 MESES)]],Tabla4[[#This Row],[VALOR TOTAL]])</f>
        <v>1</v>
      </c>
      <c r="BF636" s="23">
        <f>Tabla4[[#This Row],[VALOR ATENCIÓN (8 MESES)]]-Tabla4[[#This Row],[VALOR TOTAL]]</f>
        <v>0</v>
      </c>
      <c r="BG636" s="12" t="b">
        <f>EXACT(Tabla4[[#This Row],[TOTAL DESEMBOLSOS]],Tabla4[[#This Row],[VALOR ATENCIÓN (8 MESES)]])</f>
        <v>1</v>
      </c>
      <c r="BH636" s="29">
        <f>Tabla4[[#This Row],[TOTAL DESEMBOLSOS]]-Tabla4[[#This Row],[VALOR ATENCIÓN (8 MESES)]]</f>
        <v>0</v>
      </c>
      <c r="BI636" t="s">
        <v>1431</v>
      </c>
      <c r="BJ636">
        <v>1948</v>
      </c>
    </row>
    <row r="637" spans="1:62">
      <c r="A637" s="13">
        <v>1948</v>
      </c>
      <c r="B637" s="13" t="e">
        <v>#N/A</v>
      </c>
      <c r="C637" s="12" t="s">
        <v>87</v>
      </c>
      <c r="D637" s="12" t="s">
        <v>987</v>
      </c>
      <c r="E637" s="12" t="s">
        <v>1404</v>
      </c>
      <c r="F637" s="12" t="s">
        <v>18</v>
      </c>
      <c r="G637" s="12" t="s">
        <v>90</v>
      </c>
      <c r="H637" s="12" t="s">
        <v>1446</v>
      </c>
      <c r="I637" s="12">
        <v>52501150554</v>
      </c>
      <c r="J637" s="12" t="s">
        <v>1448</v>
      </c>
      <c r="K637" s="12">
        <v>1</v>
      </c>
      <c r="L637" s="12">
        <v>16</v>
      </c>
      <c r="M637" s="12"/>
      <c r="N637" s="13">
        <v>1948</v>
      </c>
      <c r="O637" s="12" t="s">
        <v>93</v>
      </c>
      <c r="P637" s="12"/>
      <c r="Q637" s="12"/>
      <c r="R637" s="12" t="s">
        <v>94</v>
      </c>
      <c r="S637" s="12">
        <v>10</v>
      </c>
      <c r="T637" s="12" t="s">
        <v>1429</v>
      </c>
      <c r="U637" s="12" t="s">
        <v>1430</v>
      </c>
      <c r="V637" s="12">
        <f>VLOOKUP(Tabla4[[#This Row],[ZONA DEFINITIVO]],Hoja1!$A$1:$D$121,3,0)</f>
        <v>229957</v>
      </c>
      <c r="W637" s="12">
        <f>VLOOKUP(Tabla4[[#This Row],[ZONA DEFINITIVO]],Hoja1!$A$1:$D$121,2,0)</f>
        <v>17467</v>
      </c>
      <c r="X637" s="12">
        <f>VLOOKUP(Tabla4[[#This Row],[ZONA DEFINITIVO]],Hoja1!$A$1:$D$121,4,0)</f>
        <v>107825</v>
      </c>
      <c r="Y637" s="12" t="str">
        <f>+IF(Tabla4[[#This Row],[AGRUPACIONES]]=1,SUMIFS(Tabla4[UDS],Tabla4[ZONA DEFINITIVO],Tabla4[[#This Row],[ZONA DEFINITIVO]])," ")</f>
        <v xml:space="preserve"> </v>
      </c>
      <c r="Z637" s="12" t="str">
        <f>+IF(Tabla4[[#This Row],[AGRUPACIONES]]=1,SUMIFS(Tabla4[TOTAL COBERTURA],Tabla4[ZONA DEFINITIVO],Tabla4[[#This Row],[ZONA DEFINITIVO]])," ")</f>
        <v xml:space="preserve"> </v>
      </c>
      <c r="AA637" s="12"/>
      <c r="AB637" s="38">
        <v>34883088</v>
      </c>
      <c r="AC637" s="37">
        <v>0.02</v>
      </c>
      <c r="AD637" s="38">
        <f t="shared" si="10"/>
        <v>697661.76</v>
      </c>
      <c r="AE637" s="12"/>
      <c r="AF637" s="12">
        <f>COUNTIF($A$20:A637,A637)</f>
        <v>11</v>
      </c>
      <c r="AG637" s="38">
        <v>34883088</v>
      </c>
      <c r="AH637" s="38">
        <f>Tabla4[[#This Row],[VALOR CONTRAPARTIDA]]+Tabla4[[#This Row],[TOTAL APORTES ICBF]]</f>
        <v>35580749.759999998</v>
      </c>
      <c r="AI637" s="35"/>
      <c r="AJ637" s="38"/>
      <c r="AK637" s="38"/>
      <c r="AL637" s="23"/>
      <c r="AM637" s="35">
        <f>VLOOKUP(Tabla4[[#This Row],[SERVICIO 2025]],$J$2:$V$14,5,0)*Tabla4[[#This Row],[TOTAL COBERTURA]]</f>
        <v>790016</v>
      </c>
      <c r="AN637" s="35">
        <f>VLOOKUP(Tabla4[[#This Row],[SERVICIO 2025]],$J$2:$V$14,6,0)*Tabla4[[#This Row],[TOTAL COBERTURA]]</f>
        <v>656464</v>
      </c>
      <c r="AO637" s="35">
        <f>VLOOKUP(Tabla4[[#This Row],[SERVICIO 2025]],$J$2:$V$14,8,0)*Tabla4[[#This Row],[TOTAL COBERTURA]]</f>
        <v>465600</v>
      </c>
      <c r="AP637" s="35">
        <f>VLOOKUP(Tabla4[[#This Row],[SERVICIO 2025]],$J$2:$V$14,3,0)*Tabla4[[#This Row],[TOTAL COBERTURA]]*8</f>
        <v>32971008</v>
      </c>
      <c r="AQ637" s="35"/>
      <c r="AR637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637" s="35" t="str">
        <f>+IF(Tabla4[[#This Row],[AGRUPACIONES]]=1,SUMIFS(Tabla4[VALOR TOTAL],Tabla4[ZONA DEFINITIVO],Tabla4[[#This Row],[ZONA DEFINITIVO]])," ")</f>
        <v xml:space="preserve"> </v>
      </c>
      <c r="AT637" s="27">
        <f>(VLOOKUP(Tabla4[[#This Row],[SERVICIO 2025]],$J$2:$V$14,3,0)*Tabla4[[#This Row],[TOTAL COBERTURA]])+Tabla4[[#This Row],[VALOR FASE PREPARATORIA DE ALISTAMIENTO]]+Tabla4[[#This Row],[DOTACIÓN ÚNICA]]</f>
        <v>5376992</v>
      </c>
      <c r="AU637" s="35">
        <f>(VLOOKUP(Tabla4[[#This Row],[SERVICIO 2025]],$J$2:$V$14,3,0)*Tabla4[[#This Row],[TOTAL COBERTURA]])</f>
        <v>4121376</v>
      </c>
      <c r="AV637" s="35">
        <f>(VLOOKUP(Tabla4[[#This Row],[SERVICIO 2025]],$J$2:$V$14,3,0)*Tabla4[[#This Row],[TOTAL COBERTURA]])</f>
        <v>4121376</v>
      </c>
      <c r="AW637" s="35">
        <f>(VLOOKUP(Tabla4[[#This Row],[SERVICIO 2025]],$J$2:$V$14,3,0)*Tabla4[[#This Row],[TOTAL COBERTURA]])</f>
        <v>4121376</v>
      </c>
      <c r="AX637" s="35">
        <f>(VLOOKUP(Tabla4[[#This Row],[SERVICIO 2025]],$J$2:$V$14,3,0)*Tabla4[[#This Row],[TOTAL COBERTURA]])</f>
        <v>4121376</v>
      </c>
      <c r="AY637" s="35">
        <f>(VLOOKUP(Tabla4[[#This Row],[SERVICIO 2025]],$J$2:$V$14,3,0)*Tabla4[[#This Row],[TOTAL COBERTURA]])</f>
        <v>4121376</v>
      </c>
      <c r="AZ637" s="35">
        <f>(VLOOKUP(Tabla4[[#This Row],[SERVICIO 2025]],$J$2:$V$14,3,0)*Tabla4[[#This Row],[TOTAL COBERTURA]])</f>
        <v>4121376</v>
      </c>
      <c r="BA637" s="35">
        <f>(VLOOKUP(Tabla4[[#This Row],[SERVICIO 2025]],$J$2:$V$14,3,0)*Tabla4[[#This Row],[TOTAL COBERTURA]])+Tabla4[[#This Row],[VALOR FASE PREPARATORIA DE CIERRE]]</f>
        <v>4777840</v>
      </c>
      <c r="BB637" s="35">
        <f>SUM(Tabla4[[#This Row],[DESEMBOLSO 1]:[DESEMBOLSO 8]])</f>
        <v>34883088</v>
      </c>
      <c r="BC637" s="35">
        <f>VLOOKUP(Tabla4[[#This Row],[SERVICIO 2025]],$J$2:$V$14,10,0)*Tabla4[[#This Row],[TOTAL COBERTURA]]*$W$3</f>
        <v>23089024</v>
      </c>
      <c r="BD637" s="47" t="s">
        <v>211</v>
      </c>
      <c r="BE637" s="12" t="b">
        <f>EXACT(Tabla4[[#This Row],[VALOR ATENCIÓN (8 MESES)]],Tabla4[[#This Row],[VALOR TOTAL]])</f>
        <v>1</v>
      </c>
      <c r="BF637" s="23">
        <f>Tabla4[[#This Row],[VALOR ATENCIÓN (8 MESES)]]-Tabla4[[#This Row],[VALOR TOTAL]]</f>
        <v>0</v>
      </c>
      <c r="BG637" s="12" t="b">
        <f>EXACT(Tabla4[[#This Row],[TOTAL DESEMBOLSOS]],Tabla4[[#This Row],[VALOR ATENCIÓN (8 MESES)]])</f>
        <v>1</v>
      </c>
      <c r="BH637" s="29">
        <f>Tabla4[[#This Row],[TOTAL DESEMBOLSOS]]-Tabla4[[#This Row],[VALOR ATENCIÓN (8 MESES)]]</f>
        <v>0</v>
      </c>
      <c r="BI637" t="s">
        <v>1431</v>
      </c>
      <c r="BJ637">
        <v>1948</v>
      </c>
    </row>
    <row r="638" spans="1:62">
      <c r="A638" s="13">
        <v>1948</v>
      </c>
      <c r="B638" s="13" t="e">
        <v>#N/A</v>
      </c>
      <c r="C638" s="12" t="s">
        <v>87</v>
      </c>
      <c r="D638" s="12" t="s">
        <v>987</v>
      </c>
      <c r="E638" s="12" t="s">
        <v>1404</v>
      </c>
      <c r="F638" s="12" t="s">
        <v>18</v>
      </c>
      <c r="G638" s="12" t="s">
        <v>90</v>
      </c>
      <c r="H638" s="12" t="s">
        <v>1449</v>
      </c>
      <c r="I638" s="12">
        <v>52501150555</v>
      </c>
      <c r="J638" s="12" t="s">
        <v>1450</v>
      </c>
      <c r="K638" s="12">
        <v>1</v>
      </c>
      <c r="L638" s="12">
        <v>16</v>
      </c>
      <c r="M638" s="12"/>
      <c r="N638" s="13">
        <v>1948</v>
      </c>
      <c r="O638" s="12" t="s">
        <v>93</v>
      </c>
      <c r="P638" s="12"/>
      <c r="Q638" s="12"/>
      <c r="R638" s="12" t="s">
        <v>94</v>
      </c>
      <c r="S638" s="12">
        <v>10</v>
      </c>
      <c r="T638" s="12" t="s">
        <v>1429</v>
      </c>
      <c r="U638" s="12" t="s">
        <v>1430</v>
      </c>
      <c r="V638" s="12">
        <f>VLOOKUP(Tabla4[[#This Row],[ZONA DEFINITIVO]],Hoja1!$A$1:$D$121,3,0)</f>
        <v>229957</v>
      </c>
      <c r="W638" s="12">
        <f>VLOOKUP(Tabla4[[#This Row],[ZONA DEFINITIVO]],Hoja1!$A$1:$D$121,2,0)</f>
        <v>17467</v>
      </c>
      <c r="X638" s="12">
        <f>VLOOKUP(Tabla4[[#This Row],[ZONA DEFINITIVO]],Hoja1!$A$1:$D$121,4,0)</f>
        <v>107825</v>
      </c>
      <c r="Y638" s="12" t="str">
        <f>+IF(Tabla4[[#This Row],[AGRUPACIONES]]=1,SUMIFS(Tabla4[UDS],Tabla4[ZONA DEFINITIVO],Tabla4[[#This Row],[ZONA DEFINITIVO]])," ")</f>
        <v xml:space="preserve"> </v>
      </c>
      <c r="Z638" s="12" t="str">
        <f>+IF(Tabla4[[#This Row],[AGRUPACIONES]]=1,SUMIFS(Tabla4[TOTAL COBERTURA],Tabla4[ZONA DEFINITIVO],Tabla4[[#This Row],[ZONA DEFINITIVO]])," ")</f>
        <v xml:space="preserve"> </v>
      </c>
      <c r="AA638" s="12"/>
      <c r="AB638" s="38">
        <v>34883088</v>
      </c>
      <c r="AC638" s="37">
        <v>0.02</v>
      </c>
      <c r="AD638" s="38">
        <f t="shared" si="10"/>
        <v>697661.76</v>
      </c>
      <c r="AE638" s="12"/>
      <c r="AF638" s="12">
        <f>COUNTIF($A$20:A638,A638)</f>
        <v>12</v>
      </c>
      <c r="AG638" s="38">
        <v>34883088</v>
      </c>
      <c r="AH638" s="38">
        <f>Tabla4[[#This Row],[VALOR CONTRAPARTIDA]]+Tabla4[[#This Row],[TOTAL APORTES ICBF]]</f>
        <v>35580749.759999998</v>
      </c>
      <c r="AI638" s="35"/>
      <c r="AJ638" s="38"/>
      <c r="AK638" s="38"/>
      <c r="AL638" s="23"/>
      <c r="AM638" s="35">
        <f>VLOOKUP(Tabla4[[#This Row],[SERVICIO 2025]],$J$2:$V$14,5,0)*Tabla4[[#This Row],[TOTAL COBERTURA]]</f>
        <v>790016</v>
      </c>
      <c r="AN638" s="35">
        <f>VLOOKUP(Tabla4[[#This Row],[SERVICIO 2025]],$J$2:$V$14,6,0)*Tabla4[[#This Row],[TOTAL COBERTURA]]</f>
        <v>656464</v>
      </c>
      <c r="AO638" s="35">
        <f>VLOOKUP(Tabla4[[#This Row],[SERVICIO 2025]],$J$2:$V$14,8,0)*Tabla4[[#This Row],[TOTAL COBERTURA]]</f>
        <v>465600</v>
      </c>
      <c r="AP638" s="35">
        <f>VLOOKUP(Tabla4[[#This Row],[SERVICIO 2025]],$J$2:$V$14,3,0)*Tabla4[[#This Row],[TOTAL COBERTURA]]*8</f>
        <v>32971008</v>
      </c>
      <c r="AQ638" s="35"/>
      <c r="AR638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638" s="35" t="str">
        <f>+IF(Tabla4[[#This Row],[AGRUPACIONES]]=1,SUMIFS(Tabla4[VALOR TOTAL],Tabla4[ZONA DEFINITIVO],Tabla4[[#This Row],[ZONA DEFINITIVO]])," ")</f>
        <v xml:space="preserve"> </v>
      </c>
      <c r="AT638" s="27">
        <f>(VLOOKUP(Tabla4[[#This Row],[SERVICIO 2025]],$J$2:$V$14,3,0)*Tabla4[[#This Row],[TOTAL COBERTURA]])+Tabla4[[#This Row],[VALOR FASE PREPARATORIA DE ALISTAMIENTO]]+Tabla4[[#This Row],[DOTACIÓN ÚNICA]]</f>
        <v>5376992</v>
      </c>
      <c r="AU638" s="35">
        <f>(VLOOKUP(Tabla4[[#This Row],[SERVICIO 2025]],$J$2:$V$14,3,0)*Tabla4[[#This Row],[TOTAL COBERTURA]])</f>
        <v>4121376</v>
      </c>
      <c r="AV638" s="35">
        <f>(VLOOKUP(Tabla4[[#This Row],[SERVICIO 2025]],$J$2:$V$14,3,0)*Tabla4[[#This Row],[TOTAL COBERTURA]])</f>
        <v>4121376</v>
      </c>
      <c r="AW638" s="35">
        <f>(VLOOKUP(Tabla4[[#This Row],[SERVICIO 2025]],$J$2:$V$14,3,0)*Tabla4[[#This Row],[TOTAL COBERTURA]])</f>
        <v>4121376</v>
      </c>
      <c r="AX638" s="35">
        <f>(VLOOKUP(Tabla4[[#This Row],[SERVICIO 2025]],$J$2:$V$14,3,0)*Tabla4[[#This Row],[TOTAL COBERTURA]])</f>
        <v>4121376</v>
      </c>
      <c r="AY638" s="35">
        <f>(VLOOKUP(Tabla4[[#This Row],[SERVICIO 2025]],$J$2:$V$14,3,0)*Tabla4[[#This Row],[TOTAL COBERTURA]])</f>
        <v>4121376</v>
      </c>
      <c r="AZ638" s="35">
        <f>(VLOOKUP(Tabla4[[#This Row],[SERVICIO 2025]],$J$2:$V$14,3,0)*Tabla4[[#This Row],[TOTAL COBERTURA]])</f>
        <v>4121376</v>
      </c>
      <c r="BA638" s="35">
        <f>(VLOOKUP(Tabla4[[#This Row],[SERVICIO 2025]],$J$2:$V$14,3,0)*Tabla4[[#This Row],[TOTAL COBERTURA]])+Tabla4[[#This Row],[VALOR FASE PREPARATORIA DE CIERRE]]</f>
        <v>4777840</v>
      </c>
      <c r="BB638" s="35">
        <f>SUM(Tabla4[[#This Row],[DESEMBOLSO 1]:[DESEMBOLSO 8]])</f>
        <v>34883088</v>
      </c>
      <c r="BC638" s="35">
        <f>VLOOKUP(Tabla4[[#This Row],[SERVICIO 2025]],$J$2:$V$14,10,0)*Tabla4[[#This Row],[TOTAL COBERTURA]]*$W$3</f>
        <v>23089024</v>
      </c>
      <c r="BD638" s="47" t="s">
        <v>211</v>
      </c>
      <c r="BE638" s="12" t="b">
        <f>EXACT(Tabla4[[#This Row],[VALOR ATENCIÓN (8 MESES)]],Tabla4[[#This Row],[VALOR TOTAL]])</f>
        <v>1</v>
      </c>
      <c r="BF638" s="23">
        <f>Tabla4[[#This Row],[VALOR ATENCIÓN (8 MESES)]]-Tabla4[[#This Row],[VALOR TOTAL]]</f>
        <v>0</v>
      </c>
      <c r="BG638" s="12" t="b">
        <f>EXACT(Tabla4[[#This Row],[TOTAL DESEMBOLSOS]],Tabla4[[#This Row],[VALOR ATENCIÓN (8 MESES)]])</f>
        <v>1</v>
      </c>
      <c r="BH638" s="29">
        <f>Tabla4[[#This Row],[TOTAL DESEMBOLSOS]]-Tabla4[[#This Row],[VALOR ATENCIÓN (8 MESES)]]</f>
        <v>0</v>
      </c>
      <c r="BI638" t="s">
        <v>1431</v>
      </c>
      <c r="BJ638">
        <v>1948</v>
      </c>
    </row>
    <row r="639" spans="1:62">
      <c r="A639" s="13">
        <v>1948</v>
      </c>
      <c r="B639" s="13" t="e">
        <v>#N/A</v>
      </c>
      <c r="C639" s="12" t="s">
        <v>87</v>
      </c>
      <c r="D639" s="12" t="s">
        <v>987</v>
      </c>
      <c r="E639" s="12" t="s">
        <v>1404</v>
      </c>
      <c r="F639" s="12" t="s">
        <v>18</v>
      </c>
      <c r="G639" s="12" t="s">
        <v>90</v>
      </c>
      <c r="H639" s="12" t="s">
        <v>1449</v>
      </c>
      <c r="I639" s="12">
        <v>52501150556</v>
      </c>
      <c r="J639" s="12" t="s">
        <v>425</v>
      </c>
      <c r="K639" s="12">
        <v>1</v>
      </c>
      <c r="L639" s="12">
        <v>16</v>
      </c>
      <c r="M639" s="12"/>
      <c r="N639" s="13">
        <v>1948</v>
      </c>
      <c r="O639" s="12" t="s">
        <v>93</v>
      </c>
      <c r="P639" s="12"/>
      <c r="Q639" s="12"/>
      <c r="R639" s="12" t="s">
        <v>94</v>
      </c>
      <c r="S639" s="12">
        <v>10</v>
      </c>
      <c r="T639" s="12" t="s">
        <v>1429</v>
      </c>
      <c r="U639" s="12" t="s">
        <v>1430</v>
      </c>
      <c r="V639" s="12">
        <f>VLOOKUP(Tabla4[[#This Row],[ZONA DEFINITIVO]],Hoja1!$A$1:$D$121,3,0)</f>
        <v>229957</v>
      </c>
      <c r="W639" s="12">
        <f>VLOOKUP(Tabla4[[#This Row],[ZONA DEFINITIVO]],Hoja1!$A$1:$D$121,2,0)</f>
        <v>17467</v>
      </c>
      <c r="X639" s="12">
        <f>VLOOKUP(Tabla4[[#This Row],[ZONA DEFINITIVO]],Hoja1!$A$1:$D$121,4,0)</f>
        <v>107825</v>
      </c>
      <c r="Y639" s="12" t="str">
        <f>+IF(Tabla4[[#This Row],[AGRUPACIONES]]=1,SUMIFS(Tabla4[UDS],Tabla4[ZONA DEFINITIVO],Tabla4[[#This Row],[ZONA DEFINITIVO]])," ")</f>
        <v xml:space="preserve"> </v>
      </c>
      <c r="Z639" s="12" t="str">
        <f>+IF(Tabla4[[#This Row],[AGRUPACIONES]]=1,SUMIFS(Tabla4[TOTAL COBERTURA],Tabla4[ZONA DEFINITIVO],Tabla4[[#This Row],[ZONA DEFINITIVO]])," ")</f>
        <v xml:space="preserve"> </v>
      </c>
      <c r="AA639" s="12"/>
      <c r="AB639" s="38">
        <v>34883088</v>
      </c>
      <c r="AC639" s="37">
        <v>0.02</v>
      </c>
      <c r="AD639" s="38">
        <f t="shared" si="10"/>
        <v>697661.76</v>
      </c>
      <c r="AE639" s="12"/>
      <c r="AF639" s="12">
        <f>COUNTIF($A$20:A639,A639)</f>
        <v>13</v>
      </c>
      <c r="AG639" s="38">
        <v>34883088</v>
      </c>
      <c r="AH639" s="38">
        <f>Tabla4[[#This Row],[VALOR CONTRAPARTIDA]]+Tabla4[[#This Row],[TOTAL APORTES ICBF]]</f>
        <v>35580749.759999998</v>
      </c>
      <c r="AI639" s="35"/>
      <c r="AJ639" s="38"/>
      <c r="AK639" s="38"/>
      <c r="AL639" s="23"/>
      <c r="AM639" s="35">
        <f>VLOOKUP(Tabla4[[#This Row],[SERVICIO 2025]],$J$2:$V$14,5,0)*Tabla4[[#This Row],[TOTAL COBERTURA]]</f>
        <v>790016</v>
      </c>
      <c r="AN639" s="35">
        <f>VLOOKUP(Tabla4[[#This Row],[SERVICIO 2025]],$J$2:$V$14,6,0)*Tabla4[[#This Row],[TOTAL COBERTURA]]</f>
        <v>656464</v>
      </c>
      <c r="AO639" s="35">
        <f>VLOOKUP(Tabla4[[#This Row],[SERVICIO 2025]],$J$2:$V$14,8,0)*Tabla4[[#This Row],[TOTAL COBERTURA]]</f>
        <v>465600</v>
      </c>
      <c r="AP639" s="35">
        <f>VLOOKUP(Tabla4[[#This Row],[SERVICIO 2025]],$J$2:$V$14,3,0)*Tabla4[[#This Row],[TOTAL COBERTURA]]*8</f>
        <v>32971008</v>
      </c>
      <c r="AQ639" s="35"/>
      <c r="AR639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639" s="35" t="str">
        <f>+IF(Tabla4[[#This Row],[AGRUPACIONES]]=1,SUMIFS(Tabla4[VALOR TOTAL],Tabla4[ZONA DEFINITIVO],Tabla4[[#This Row],[ZONA DEFINITIVO]])," ")</f>
        <v xml:space="preserve"> </v>
      </c>
      <c r="AT639" s="27">
        <f>(VLOOKUP(Tabla4[[#This Row],[SERVICIO 2025]],$J$2:$V$14,3,0)*Tabla4[[#This Row],[TOTAL COBERTURA]])+Tabla4[[#This Row],[VALOR FASE PREPARATORIA DE ALISTAMIENTO]]+Tabla4[[#This Row],[DOTACIÓN ÚNICA]]</f>
        <v>5376992</v>
      </c>
      <c r="AU639" s="35">
        <f>(VLOOKUP(Tabla4[[#This Row],[SERVICIO 2025]],$J$2:$V$14,3,0)*Tabla4[[#This Row],[TOTAL COBERTURA]])</f>
        <v>4121376</v>
      </c>
      <c r="AV639" s="35">
        <f>(VLOOKUP(Tabla4[[#This Row],[SERVICIO 2025]],$J$2:$V$14,3,0)*Tabla4[[#This Row],[TOTAL COBERTURA]])</f>
        <v>4121376</v>
      </c>
      <c r="AW639" s="35">
        <f>(VLOOKUP(Tabla4[[#This Row],[SERVICIO 2025]],$J$2:$V$14,3,0)*Tabla4[[#This Row],[TOTAL COBERTURA]])</f>
        <v>4121376</v>
      </c>
      <c r="AX639" s="35">
        <f>(VLOOKUP(Tabla4[[#This Row],[SERVICIO 2025]],$J$2:$V$14,3,0)*Tabla4[[#This Row],[TOTAL COBERTURA]])</f>
        <v>4121376</v>
      </c>
      <c r="AY639" s="35">
        <f>(VLOOKUP(Tabla4[[#This Row],[SERVICIO 2025]],$J$2:$V$14,3,0)*Tabla4[[#This Row],[TOTAL COBERTURA]])</f>
        <v>4121376</v>
      </c>
      <c r="AZ639" s="35">
        <f>(VLOOKUP(Tabla4[[#This Row],[SERVICIO 2025]],$J$2:$V$14,3,0)*Tabla4[[#This Row],[TOTAL COBERTURA]])</f>
        <v>4121376</v>
      </c>
      <c r="BA639" s="35">
        <f>(VLOOKUP(Tabla4[[#This Row],[SERVICIO 2025]],$J$2:$V$14,3,0)*Tabla4[[#This Row],[TOTAL COBERTURA]])+Tabla4[[#This Row],[VALOR FASE PREPARATORIA DE CIERRE]]</f>
        <v>4777840</v>
      </c>
      <c r="BB639" s="35">
        <f>SUM(Tabla4[[#This Row],[DESEMBOLSO 1]:[DESEMBOLSO 8]])</f>
        <v>34883088</v>
      </c>
      <c r="BC639" s="35">
        <f>VLOOKUP(Tabla4[[#This Row],[SERVICIO 2025]],$J$2:$V$14,10,0)*Tabla4[[#This Row],[TOTAL COBERTURA]]*$W$3</f>
        <v>23089024</v>
      </c>
      <c r="BD639" s="47" t="s">
        <v>211</v>
      </c>
      <c r="BE639" s="12" t="b">
        <f>EXACT(Tabla4[[#This Row],[VALOR ATENCIÓN (8 MESES)]],Tabla4[[#This Row],[VALOR TOTAL]])</f>
        <v>1</v>
      </c>
      <c r="BF639" s="23">
        <f>Tabla4[[#This Row],[VALOR ATENCIÓN (8 MESES)]]-Tabla4[[#This Row],[VALOR TOTAL]]</f>
        <v>0</v>
      </c>
      <c r="BG639" s="12" t="b">
        <f>EXACT(Tabla4[[#This Row],[TOTAL DESEMBOLSOS]],Tabla4[[#This Row],[VALOR ATENCIÓN (8 MESES)]])</f>
        <v>1</v>
      </c>
      <c r="BH639" s="29">
        <f>Tabla4[[#This Row],[TOTAL DESEMBOLSOS]]-Tabla4[[#This Row],[VALOR ATENCIÓN (8 MESES)]]</f>
        <v>0</v>
      </c>
      <c r="BI639" t="s">
        <v>1431</v>
      </c>
      <c r="BJ639">
        <v>1948</v>
      </c>
    </row>
    <row r="640" spans="1:62">
      <c r="A640" s="13">
        <v>1948</v>
      </c>
      <c r="B640" s="13" t="e">
        <v>#N/A</v>
      </c>
      <c r="C640" s="12" t="s">
        <v>87</v>
      </c>
      <c r="D640" s="12" t="s">
        <v>987</v>
      </c>
      <c r="E640" s="12" t="s">
        <v>1404</v>
      </c>
      <c r="F640" s="12" t="s">
        <v>18</v>
      </c>
      <c r="G640" s="12" t="s">
        <v>90</v>
      </c>
      <c r="H640" s="12" t="s">
        <v>1446</v>
      </c>
      <c r="I640" s="12">
        <v>52501150557</v>
      </c>
      <c r="J640" s="12" t="s">
        <v>1451</v>
      </c>
      <c r="K640" s="12">
        <v>1</v>
      </c>
      <c r="L640" s="12">
        <v>16</v>
      </c>
      <c r="M640" s="12"/>
      <c r="N640" s="13">
        <v>1948</v>
      </c>
      <c r="O640" s="12" t="s">
        <v>93</v>
      </c>
      <c r="P640" s="12"/>
      <c r="Q640" s="12"/>
      <c r="R640" s="12" t="s">
        <v>94</v>
      </c>
      <c r="S640" s="12">
        <v>10</v>
      </c>
      <c r="T640" s="12" t="s">
        <v>1429</v>
      </c>
      <c r="U640" s="12" t="s">
        <v>1430</v>
      </c>
      <c r="V640" s="12">
        <f>VLOOKUP(Tabla4[[#This Row],[ZONA DEFINITIVO]],Hoja1!$A$1:$D$121,3,0)</f>
        <v>229957</v>
      </c>
      <c r="W640" s="12">
        <f>VLOOKUP(Tabla4[[#This Row],[ZONA DEFINITIVO]],Hoja1!$A$1:$D$121,2,0)</f>
        <v>17467</v>
      </c>
      <c r="X640" s="12">
        <f>VLOOKUP(Tabla4[[#This Row],[ZONA DEFINITIVO]],Hoja1!$A$1:$D$121,4,0)</f>
        <v>107825</v>
      </c>
      <c r="Y640" s="12" t="str">
        <f>+IF(Tabla4[[#This Row],[AGRUPACIONES]]=1,SUMIFS(Tabla4[UDS],Tabla4[ZONA DEFINITIVO],Tabla4[[#This Row],[ZONA DEFINITIVO]])," ")</f>
        <v xml:space="preserve"> </v>
      </c>
      <c r="Z640" s="12" t="str">
        <f>+IF(Tabla4[[#This Row],[AGRUPACIONES]]=1,SUMIFS(Tabla4[TOTAL COBERTURA],Tabla4[ZONA DEFINITIVO],Tabla4[[#This Row],[ZONA DEFINITIVO]])," ")</f>
        <v xml:space="preserve"> </v>
      </c>
      <c r="AA640" s="12"/>
      <c r="AB640" s="38">
        <v>34883088</v>
      </c>
      <c r="AC640" s="37">
        <v>0.02</v>
      </c>
      <c r="AD640" s="38">
        <f t="shared" si="10"/>
        <v>697661.76</v>
      </c>
      <c r="AE640" s="12"/>
      <c r="AF640" s="12">
        <f>COUNTIF($A$20:A640,A640)</f>
        <v>14</v>
      </c>
      <c r="AG640" s="38">
        <v>34883088</v>
      </c>
      <c r="AH640" s="38">
        <f>Tabla4[[#This Row],[VALOR CONTRAPARTIDA]]+Tabla4[[#This Row],[TOTAL APORTES ICBF]]</f>
        <v>35580749.759999998</v>
      </c>
      <c r="AI640" s="35"/>
      <c r="AJ640" s="38"/>
      <c r="AK640" s="38"/>
      <c r="AL640" s="23"/>
      <c r="AM640" s="35">
        <f>VLOOKUP(Tabla4[[#This Row],[SERVICIO 2025]],$J$2:$V$14,5,0)*Tabla4[[#This Row],[TOTAL COBERTURA]]</f>
        <v>790016</v>
      </c>
      <c r="AN640" s="35">
        <f>VLOOKUP(Tabla4[[#This Row],[SERVICIO 2025]],$J$2:$V$14,6,0)*Tabla4[[#This Row],[TOTAL COBERTURA]]</f>
        <v>656464</v>
      </c>
      <c r="AO640" s="35">
        <f>VLOOKUP(Tabla4[[#This Row],[SERVICIO 2025]],$J$2:$V$14,8,0)*Tabla4[[#This Row],[TOTAL COBERTURA]]</f>
        <v>465600</v>
      </c>
      <c r="AP640" s="35">
        <f>VLOOKUP(Tabla4[[#This Row],[SERVICIO 2025]],$J$2:$V$14,3,0)*Tabla4[[#This Row],[TOTAL COBERTURA]]*8</f>
        <v>32971008</v>
      </c>
      <c r="AQ640" s="35"/>
      <c r="AR640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640" s="35" t="str">
        <f>+IF(Tabla4[[#This Row],[AGRUPACIONES]]=1,SUMIFS(Tabla4[VALOR TOTAL],Tabla4[ZONA DEFINITIVO],Tabla4[[#This Row],[ZONA DEFINITIVO]])," ")</f>
        <v xml:space="preserve"> </v>
      </c>
      <c r="AT640" s="27">
        <f>(VLOOKUP(Tabla4[[#This Row],[SERVICIO 2025]],$J$2:$V$14,3,0)*Tabla4[[#This Row],[TOTAL COBERTURA]])+Tabla4[[#This Row],[VALOR FASE PREPARATORIA DE ALISTAMIENTO]]+Tabla4[[#This Row],[DOTACIÓN ÚNICA]]</f>
        <v>5376992</v>
      </c>
      <c r="AU640" s="35">
        <f>(VLOOKUP(Tabla4[[#This Row],[SERVICIO 2025]],$J$2:$V$14,3,0)*Tabla4[[#This Row],[TOTAL COBERTURA]])</f>
        <v>4121376</v>
      </c>
      <c r="AV640" s="35">
        <f>(VLOOKUP(Tabla4[[#This Row],[SERVICIO 2025]],$J$2:$V$14,3,0)*Tabla4[[#This Row],[TOTAL COBERTURA]])</f>
        <v>4121376</v>
      </c>
      <c r="AW640" s="35">
        <f>(VLOOKUP(Tabla4[[#This Row],[SERVICIO 2025]],$J$2:$V$14,3,0)*Tabla4[[#This Row],[TOTAL COBERTURA]])</f>
        <v>4121376</v>
      </c>
      <c r="AX640" s="35">
        <f>(VLOOKUP(Tabla4[[#This Row],[SERVICIO 2025]],$J$2:$V$14,3,0)*Tabla4[[#This Row],[TOTAL COBERTURA]])</f>
        <v>4121376</v>
      </c>
      <c r="AY640" s="35">
        <f>(VLOOKUP(Tabla4[[#This Row],[SERVICIO 2025]],$J$2:$V$14,3,0)*Tabla4[[#This Row],[TOTAL COBERTURA]])</f>
        <v>4121376</v>
      </c>
      <c r="AZ640" s="35">
        <f>(VLOOKUP(Tabla4[[#This Row],[SERVICIO 2025]],$J$2:$V$14,3,0)*Tabla4[[#This Row],[TOTAL COBERTURA]])</f>
        <v>4121376</v>
      </c>
      <c r="BA640" s="35">
        <f>(VLOOKUP(Tabla4[[#This Row],[SERVICIO 2025]],$J$2:$V$14,3,0)*Tabla4[[#This Row],[TOTAL COBERTURA]])+Tabla4[[#This Row],[VALOR FASE PREPARATORIA DE CIERRE]]</f>
        <v>4777840</v>
      </c>
      <c r="BB640" s="35">
        <f>SUM(Tabla4[[#This Row],[DESEMBOLSO 1]:[DESEMBOLSO 8]])</f>
        <v>34883088</v>
      </c>
      <c r="BC640" s="35">
        <f>VLOOKUP(Tabla4[[#This Row],[SERVICIO 2025]],$J$2:$V$14,10,0)*Tabla4[[#This Row],[TOTAL COBERTURA]]*$W$3</f>
        <v>23089024</v>
      </c>
      <c r="BD640" s="47" t="s">
        <v>211</v>
      </c>
      <c r="BE640" s="12" t="b">
        <f>EXACT(Tabla4[[#This Row],[VALOR ATENCIÓN (8 MESES)]],Tabla4[[#This Row],[VALOR TOTAL]])</f>
        <v>1</v>
      </c>
      <c r="BF640" s="23">
        <f>Tabla4[[#This Row],[VALOR ATENCIÓN (8 MESES)]]-Tabla4[[#This Row],[VALOR TOTAL]]</f>
        <v>0</v>
      </c>
      <c r="BG640" s="12" t="b">
        <f>EXACT(Tabla4[[#This Row],[TOTAL DESEMBOLSOS]],Tabla4[[#This Row],[VALOR ATENCIÓN (8 MESES)]])</f>
        <v>1</v>
      </c>
      <c r="BH640" s="29">
        <f>Tabla4[[#This Row],[TOTAL DESEMBOLSOS]]-Tabla4[[#This Row],[VALOR ATENCIÓN (8 MESES)]]</f>
        <v>0</v>
      </c>
      <c r="BI640" t="s">
        <v>1431</v>
      </c>
      <c r="BJ640">
        <v>1948</v>
      </c>
    </row>
    <row r="641" spans="1:62">
      <c r="A641" s="13">
        <v>1948</v>
      </c>
      <c r="B641" s="13" t="e">
        <v>#N/A</v>
      </c>
      <c r="C641" s="12" t="s">
        <v>87</v>
      </c>
      <c r="D641" s="12" t="s">
        <v>987</v>
      </c>
      <c r="E641" s="12" t="s">
        <v>1404</v>
      </c>
      <c r="F641" s="12" t="s">
        <v>18</v>
      </c>
      <c r="G641" s="12" t="s">
        <v>90</v>
      </c>
      <c r="H641" s="12" t="s">
        <v>1446</v>
      </c>
      <c r="I641" s="12">
        <v>52501150558</v>
      </c>
      <c r="J641" s="12" t="s">
        <v>1452</v>
      </c>
      <c r="K641" s="12">
        <v>1</v>
      </c>
      <c r="L641" s="12">
        <v>15</v>
      </c>
      <c r="M641" s="12"/>
      <c r="N641" s="13">
        <v>1948</v>
      </c>
      <c r="O641" s="12" t="s">
        <v>93</v>
      </c>
      <c r="P641" s="12"/>
      <c r="Q641" s="12"/>
      <c r="R641" s="12" t="s">
        <v>94</v>
      </c>
      <c r="S641" s="12">
        <v>10</v>
      </c>
      <c r="T641" s="12" t="s">
        <v>1429</v>
      </c>
      <c r="U641" s="12" t="s">
        <v>1430</v>
      </c>
      <c r="V641" s="12">
        <f>VLOOKUP(Tabla4[[#This Row],[ZONA DEFINITIVO]],Hoja1!$A$1:$D$121,3,0)</f>
        <v>229957</v>
      </c>
      <c r="W641" s="12">
        <f>VLOOKUP(Tabla4[[#This Row],[ZONA DEFINITIVO]],Hoja1!$A$1:$D$121,2,0)</f>
        <v>17467</v>
      </c>
      <c r="X641" s="12">
        <f>VLOOKUP(Tabla4[[#This Row],[ZONA DEFINITIVO]],Hoja1!$A$1:$D$121,4,0)</f>
        <v>107825</v>
      </c>
      <c r="Y641" s="12" t="str">
        <f>+IF(Tabla4[[#This Row],[AGRUPACIONES]]=1,SUMIFS(Tabla4[UDS],Tabla4[ZONA DEFINITIVO],Tabla4[[#This Row],[ZONA DEFINITIVO]])," ")</f>
        <v xml:space="preserve"> </v>
      </c>
      <c r="Z641" s="12" t="str">
        <f>+IF(Tabla4[[#This Row],[AGRUPACIONES]]=1,SUMIFS(Tabla4[TOTAL COBERTURA],Tabla4[ZONA DEFINITIVO],Tabla4[[#This Row],[ZONA DEFINITIVO]])," ")</f>
        <v xml:space="preserve"> </v>
      </c>
      <c r="AA641" s="12"/>
      <c r="AB641" s="38">
        <v>32702895</v>
      </c>
      <c r="AC641" s="37">
        <v>0.02</v>
      </c>
      <c r="AD641" s="38">
        <f t="shared" si="10"/>
        <v>654057.9</v>
      </c>
      <c r="AE641" s="12"/>
      <c r="AF641" s="12">
        <f>COUNTIF($A$20:A641,A641)</f>
        <v>15</v>
      </c>
      <c r="AG641" s="38">
        <v>32702895</v>
      </c>
      <c r="AH641" s="38">
        <f>Tabla4[[#This Row],[VALOR CONTRAPARTIDA]]+Tabla4[[#This Row],[TOTAL APORTES ICBF]]</f>
        <v>33356952.899999999</v>
      </c>
      <c r="AI641" s="35"/>
      <c r="AJ641" s="38"/>
      <c r="AK641" s="38"/>
      <c r="AL641" s="23"/>
      <c r="AM641" s="35">
        <f>VLOOKUP(Tabla4[[#This Row],[SERVICIO 2025]],$J$2:$V$14,5,0)*Tabla4[[#This Row],[TOTAL COBERTURA]]</f>
        <v>740640</v>
      </c>
      <c r="AN641" s="35">
        <f>VLOOKUP(Tabla4[[#This Row],[SERVICIO 2025]],$J$2:$V$14,6,0)*Tabla4[[#This Row],[TOTAL COBERTURA]]</f>
        <v>615435</v>
      </c>
      <c r="AO641" s="35">
        <f>VLOOKUP(Tabla4[[#This Row],[SERVICIO 2025]],$J$2:$V$14,8,0)*Tabla4[[#This Row],[TOTAL COBERTURA]]</f>
        <v>436500</v>
      </c>
      <c r="AP641" s="35">
        <f>VLOOKUP(Tabla4[[#This Row],[SERVICIO 2025]],$J$2:$V$14,3,0)*Tabla4[[#This Row],[TOTAL COBERTURA]]*8</f>
        <v>30910320</v>
      </c>
      <c r="AQ641" s="35"/>
      <c r="AR641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641" s="35" t="str">
        <f>+IF(Tabla4[[#This Row],[AGRUPACIONES]]=1,SUMIFS(Tabla4[VALOR TOTAL],Tabla4[ZONA DEFINITIVO],Tabla4[[#This Row],[ZONA DEFINITIVO]])," ")</f>
        <v xml:space="preserve"> </v>
      </c>
      <c r="AT641" s="27">
        <f>(VLOOKUP(Tabla4[[#This Row],[SERVICIO 2025]],$J$2:$V$14,3,0)*Tabla4[[#This Row],[TOTAL COBERTURA]])+Tabla4[[#This Row],[VALOR FASE PREPARATORIA DE ALISTAMIENTO]]+Tabla4[[#This Row],[DOTACIÓN ÚNICA]]</f>
        <v>5040930</v>
      </c>
      <c r="AU641" s="35">
        <f>(VLOOKUP(Tabla4[[#This Row],[SERVICIO 2025]],$J$2:$V$14,3,0)*Tabla4[[#This Row],[TOTAL COBERTURA]])</f>
        <v>3863790</v>
      </c>
      <c r="AV641" s="35">
        <f>(VLOOKUP(Tabla4[[#This Row],[SERVICIO 2025]],$J$2:$V$14,3,0)*Tabla4[[#This Row],[TOTAL COBERTURA]])</f>
        <v>3863790</v>
      </c>
      <c r="AW641" s="35">
        <f>(VLOOKUP(Tabla4[[#This Row],[SERVICIO 2025]],$J$2:$V$14,3,0)*Tabla4[[#This Row],[TOTAL COBERTURA]])</f>
        <v>3863790</v>
      </c>
      <c r="AX641" s="35">
        <f>(VLOOKUP(Tabla4[[#This Row],[SERVICIO 2025]],$J$2:$V$14,3,0)*Tabla4[[#This Row],[TOTAL COBERTURA]])</f>
        <v>3863790</v>
      </c>
      <c r="AY641" s="35">
        <f>(VLOOKUP(Tabla4[[#This Row],[SERVICIO 2025]],$J$2:$V$14,3,0)*Tabla4[[#This Row],[TOTAL COBERTURA]])</f>
        <v>3863790</v>
      </c>
      <c r="AZ641" s="35">
        <f>(VLOOKUP(Tabla4[[#This Row],[SERVICIO 2025]],$J$2:$V$14,3,0)*Tabla4[[#This Row],[TOTAL COBERTURA]])</f>
        <v>3863790</v>
      </c>
      <c r="BA641" s="35">
        <f>(VLOOKUP(Tabla4[[#This Row],[SERVICIO 2025]],$J$2:$V$14,3,0)*Tabla4[[#This Row],[TOTAL COBERTURA]])+Tabla4[[#This Row],[VALOR FASE PREPARATORIA DE CIERRE]]</f>
        <v>4479225</v>
      </c>
      <c r="BB641" s="35">
        <f>SUM(Tabla4[[#This Row],[DESEMBOLSO 1]:[DESEMBOLSO 8]])</f>
        <v>32702895</v>
      </c>
      <c r="BC641" s="35">
        <f>VLOOKUP(Tabla4[[#This Row],[SERVICIO 2025]],$J$2:$V$14,10,0)*Tabla4[[#This Row],[TOTAL COBERTURA]]*$W$3</f>
        <v>21645960</v>
      </c>
      <c r="BD641" s="47" t="s">
        <v>211</v>
      </c>
      <c r="BE641" s="12" t="b">
        <f>EXACT(Tabla4[[#This Row],[VALOR ATENCIÓN (8 MESES)]],Tabla4[[#This Row],[VALOR TOTAL]])</f>
        <v>1</v>
      </c>
      <c r="BF641" s="23">
        <f>Tabla4[[#This Row],[VALOR ATENCIÓN (8 MESES)]]-Tabla4[[#This Row],[VALOR TOTAL]]</f>
        <v>0</v>
      </c>
      <c r="BG641" s="12" t="b">
        <f>EXACT(Tabla4[[#This Row],[TOTAL DESEMBOLSOS]],Tabla4[[#This Row],[VALOR ATENCIÓN (8 MESES)]])</f>
        <v>1</v>
      </c>
      <c r="BH641" s="29">
        <f>Tabla4[[#This Row],[TOTAL DESEMBOLSOS]]-Tabla4[[#This Row],[VALOR ATENCIÓN (8 MESES)]]</f>
        <v>0</v>
      </c>
      <c r="BI641" t="s">
        <v>1431</v>
      </c>
      <c r="BJ641">
        <v>1948</v>
      </c>
    </row>
    <row r="642" spans="1:62">
      <c r="A642" s="13">
        <v>1948</v>
      </c>
      <c r="B642" s="13" t="e">
        <v>#N/A</v>
      </c>
      <c r="C642" s="12" t="s">
        <v>87</v>
      </c>
      <c r="D642" s="12" t="s">
        <v>987</v>
      </c>
      <c r="E642" s="12" t="s">
        <v>1404</v>
      </c>
      <c r="F642" s="12" t="s">
        <v>18</v>
      </c>
      <c r="G642" s="12" t="s">
        <v>90</v>
      </c>
      <c r="H642" s="12" t="s">
        <v>1453</v>
      </c>
      <c r="I642" s="12">
        <v>52501150559</v>
      </c>
      <c r="J642" s="12" t="s">
        <v>1454</v>
      </c>
      <c r="K642" s="12">
        <v>1</v>
      </c>
      <c r="L642" s="12">
        <v>16</v>
      </c>
      <c r="M642" s="12"/>
      <c r="N642" s="13">
        <v>1948</v>
      </c>
      <c r="O642" s="12" t="s">
        <v>93</v>
      </c>
      <c r="P642" s="12"/>
      <c r="Q642" s="12"/>
      <c r="R642" s="12" t="s">
        <v>94</v>
      </c>
      <c r="S642" s="12">
        <v>10</v>
      </c>
      <c r="T642" s="12" t="s">
        <v>1429</v>
      </c>
      <c r="U642" s="12" t="s">
        <v>1430</v>
      </c>
      <c r="V642" s="12">
        <f>VLOOKUP(Tabla4[[#This Row],[ZONA DEFINITIVO]],Hoja1!$A$1:$D$121,3,0)</f>
        <v>229957</v>
      </c>
      <c r="W642" s="12">
        <f>VLOOKUP(Tabla4[[#This Row],[ZONA DEFINITIVO]],Hoja1!$A$1:$D$121,2,0)</f>
        <v>17467</v>
      </c>
      <c r="X642" s="12">
        <f>VLOOKUP(Tabla4[[#This Row],[ZONA DEFINITIVO]],Hoja1!$A$1:$D$121,4,0)</f>
        <v>107825</v>
      </c>
      <c r="Y642" s="12" t="str">
        <f>+IF(Tabla4[[#This Row],[AGRUPACIONES]]=1,SUMIFS(Tabla4[UDS],Tabla4[ZONA DEFINITIVO],Tabla4[[#This Row],[ZONA DEFINITIVO]])," ")</f>
        <v xml:space="preserve"> </v>
      </c>
      <c r="Z642" s="12" t="str">
        <f>+IF(Tabla4[[#This Row],[AGRUPACIONES]]=1,SUMIFS(Tabla4[TOTAL COBERTURA],Tabla4[ZONA DEFINITIVO],Tabla4[[#This Row],[ZONA DEFINITIVO]])," ")</f>
        <v xml:space="preserve"> </v>
      </c>
      <c r="AA642" s="12"/>
      <c r="AB642" s="38">
        <v>34883088</v>
      </c>
      <c r="AC642" s="37">
        <v>0.02</v>
      </c>
      <c r="AD642" s="38">
        <f t="shared" si="10"/>
        <v>697661.76</v>
      </c>
      <c r="AE642" s="12"/>
      <c r="AF642" s="12">
        <f>COUNTIF($A$20:A642,A642)</f>
        <v>16</v>
      </c>
      <c r="AG642" s="38">
        <v>34883088</v>
      </c>
      <c r="AH642" s="38">
        <f>Tabla4[[#This Row],[VALOR CONTRAPARTIDA]]+Tabla4[[#This Row],[TOTAL APORTES ICBF]]</f>
        <v>35580749.759999998</v>
      </c>
      <c r="AI642" s="35"/>
      <c r="AJ642" s="38"/>
      <c r="AK642" s="38"/>
      <c r="AL642" s="23"/>
      <c r="AM642" s="35">
        <f>VLOOKUP(Tabla4[[#This Row],[SERVICIO 2025]],$J$2:$V$14,5,0)*Tabla4[[#This Row],[TOTAL COBERTURA]]</f>
        <v>790016</v>
      </c>
      <c r="AN642" s="35">
        <f>VLOOKUP(Tabla4[[#This Row],[SERVICIO 2025]],$J$2:$V$14,6,0)*Tabla4[[#This Row],[TOTAL COBERTURA]]</f>
        <v>656464</v>
      </c>
      <c r="AO642" s="35">
        <f>VLOOKUP(Tabla4[[#This Row],[SERVICIO 2025]],$J$2:$V$14,8,0)*Tabla4[[#This Row],[TOTAL COBERTURA]]</f>
        <v>465600</v>
      </c>
      <c r="AP642" s="35">
        <f>VLOOKUP(Tabla4[[#This Row],[SERVICIO 2025]],$J$2:$V$14,3,0)*Tabla4[[#This Row],[TOTAL COBERTURA]]*8</f>
        <v>32971008</v>
      </c>
      <c r="AQ642" s="35"/>
      <c r="AR642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642" s="35" t="str">
        <f>+IF(Tabla4[[#This Row],[AGRUPACIONES]]=1,SUMIFS(Tabla4[VALOR TOTAL],Tabla4[ZONA DEFINITIVO],Tabla4[[#This Row],[ZONA DEFINITIVO]])," ")</f>
        <v xml:space="preserve"> </v>
      </c>
      <c r="AT642" s="27">
        <f>(VLOOKUP(Tabla4[[#This Row],[SERVICIO 2025]],$J$2:$V$14,3,0)*Tabla4[[#This Row],[TOTAL COBERTURA]])+Tabla4[[#This Row],[VALOR FASE PREPARATORIA DE ALISTAMIENTO]]+Tabla4[[#This Row],[DOTACIÓN ÚNICA]]</f>
        <v>5376992</v>
      </c>
      <c r="AU642" s="35">
        <f>(VLOOKUP(Tabla4[[#This Row],[SERVICIO 2025]],$J$2:$V$14,3,0)*Tabla4[[#This Row],[TOTAL COBERTURA]])</f>
        <v>4121376</v>
      </c>
      <c r="AV642" s="35">
        <f>(VLOOKUP(Tabla4[[#This Row],[SERVICIO 2025]],$J$2:$V$14,3,0)*Tabla4[[#This Row],[TOTAL COBERTURA]])</f>
        <v>4121376</v>
      </c>
      <c r="AW642" s="35">
        <f>(VLOOKUP(Tabla4[[#This Row],[SERVICIO 2025]],$J$2:$V$14,3,0)*Tabla4[[#This Row],[TOTAL COBERTURA]])</f>
        <v>4121376</v>
      </c>
      <c r="AX642" s="35">
        <f>(VLOOKUP(Tabla4[[#This Row],[SERVICIO 2025]],$J$2:$V$14,3,0)*Tabla4[[#This Row],[TOTAL COBERTURA]])</f>
        <v>4121376</v>
      </c>
      <c r="AY642" s="35">
        <f>(VLOOKUP(Tabla4[[#This Row],[SERVICIO 2025]],$J$2:$V$14,3,0)*Tabla4[[#This Row],[TOTAL COBERTURA]])</f>
        <v>4121376</v>
      </c>
      <c r="AZ642" s="35">
        <f>(VLOOKUP(Tabla4[[#This Row],[SERVICIO 2025]],$J$2:$V$14,3,0)*Tabla4[[#This Row],[TOTAL COBERTURA]])</f>
        <v>4121376</v>
      </c>
      <c r="BA642" s="35">
        <f>(VLOOKUP(Tabla4[[#This Row],[SERVICIO 2025]],$J$2:$V$14,3,0)*Tabla4[[#This Row],[TOTAL COBERTURA]])+Tabla4[[#This Row],[VALOR FASE PREPARATORIA DE CIERRE]]</f>
        <v>4777840</v>
      </c>
      <c r="BB642" s="35">
        <f>SUM(Tabla4[[#This Row],[DESEMBOLSO 1]:[DESEMBOLSO 8]])</f>
        <v>34883088</v>
      </c>
      <c r="BC642" s="35">
        <f>VLOOKUP(Tabla4[[#This Row],[SERVICIO 2025]],$J$2:$V$14,10,0)*Tabla4[[#This Row],[TOTAL COBERTURA]]*$W$3</f>
        <v>23089024</v>
      </c>
      <c r="BD642" s="47" t="s">
        <v>211</v>
      </c>
      <c r="BE642" s="12" t="b">
        <f>EXACT(Tabla4[[#This Row],[VALOR ATENCIÓN (8 MESES)]],Tabla4[[#This Row],[VALOR TOTAL]])</f>
        <v>1</v>
      </c>
      <c r="BF642" s="23">
        <f>Tabla4[[#This Row],[VALOR ATENCIÓN (8 MESES)]]-Tabla4[[#This Row],[VALOR TOTAL]]</f>
        <v>0</v>
      </c>
      <c r="BG642" s="12" t="b">
        <f>EXACT(Tabla4[[#This Row],[TOTAL DESEMBOLSOS]],Tabla4[[#This Row],[VALOR ATENCIÓN (8 MESES)]])</f>
        <v>1</v>
      </c>
      <c r="BH642" s="29">
        <f>Tabla4[[#This Row],[TOTAL DESEMBOLSOS]]-Tabla4[[#This Row],[VALOR ATENCIÓN (8 MESES)]]</f>
        <v>0</v>
      </c>
      <c r="BI642" t="s">
        <v>1431</v>
      </c>
      <c r="BJ642">
        <v>1948</v>
      </c>
    </row>
    <row r="643" spans="1:62">
      <c r="A643" s="13">
        <v>1948</v>
      </c>
      <c r="B643" s="13" t="e">
        <v>#N/A</v>
      </c>
      <c r="C643" s="12" t="s">
        <v>87</v>
      </c>
      <c r="D643" s="12" t="s">
        <v>987</v>
      </c>
      <c r="E643" s="12" t="s">
        <v>1404</v>
      </c>
      <c r="F643" s="12" t="s">
        <v>18</v>
      </c>
      <c r="G643" s="12" t="s">
        <v>90</v>
      </c>
      <c r="H643" s="12" t="s">
        <v>1446</v>
      </c>
      <c r="I643" s="12">
        <v>52501150560</v>
      </c>
      <c r="J643" s="12" t="s">
        <v>1455</v>
      </c>
      <c r="K643" s="12">
        <v>1</v>
      </c>
      <c r="L643" s="12">
        <v>16</v>
      </c>
      <c r="M643" s="12"/>
      <c r="N643" s="13">
        <v>1948</v>
      </c>
      <c r="O643" s="12" t="s">
        <v>93</v>
      </c>
      <c r="P643" s="12"/>
      <c r="Q643" s="12"/>
      <c r="R643" s="12" t="s">
        <v>94</v>
      </c>
      <c r="S643" s="12">
        <v>10</v>
      </c>
      <c r="T643" s="12" t="s">
        <v>1429</v>
      </c>
      <c r="U643" s="12" t="s">
        <v>1430</v>
      </c>
      <c r="V643" s="12">
        <f>VLOOKUP(Tabla4[[#This Row],[ZONA DEFINITIVO]],Hoja1!$A$1:$D$121,3,0)</f>
        <v>229957</v>
      </c>
      <c r="W643" s="12">
        <f>VLOOKUP(Tabla4[[#This Row],[ZONA DEFINITIVO]],Hoja1!$A$1:$D$121,2,0)</f>
        <v>17467</v>
      </c>
      <c r="X643" s="12">
        <f>VLOOKUP(Tabla4[[#This Row],[ZONA DEFINITIVO]],Hoja1!$A$1:$D$121,4,0)</f>
        <v>107825</v>
      </c>
      <c r="Y643" s="12" t="str">
        <f>+IF(Tabla4[[#This Row],[AGRUPACIONES]]=1,SUMIFS(Tabla4[UDS],Tabla4[ZONA DEFINITIVO],Tabla4[[#This Row],[ZONA DEFINITIVO]])," ")</f>
        <v xml:space="preserve"> </v>
      </c>
      <c r="Z643" s="12" t="str">
        <f>+IF(Tabla4[[#This Row],[AGRUPACIONES]]=1,SUMIFS(Tabla4[TOTAL COBERTURA],Tabla4[ZONA DEFINITIVO],Tabla4[[#This Row],[ZONA DEFINITIVO]])," ")</f>
        <v xml:space="preserve"> </v>
      </c>
      <c r="AA643" s="12"/>
      <c r="AB643" s="38">
        <v>34883088</v>
      </c>
      <c r="AC643" s="37">
        <v>0.02</v>
      </c>
      <c r="AD643" s="38">
        <f t="shared" si="10"/>
        <v>697661.76</v>
      </c>
      <c r="AE643" s="12"/>
      <c r="AF643" s="12">
        <f>COUNTIF($A$20:A643,A643)</f>
        <v>17</v>
      </c>
      <c r="AG643" s="38">
        <v>34883088</v>
      </c>
      <c r="AH643" s="38">
        <f>Tabla4[[#This Row],[VALOR CONTRAPARTIDA]]+Tabla4[[#This Row],[TOTAL APORTES ICBF]]</f>
        <v>35580749.759999998</v>
      </c>
      <c r="AI643" s="35"/>
      <c r="AJ643" s="38"/>
      <c r="AK643" s="38"/>
      <c r="AL643" s="23"/>
      <c r="AM643" s="35">
        <f>VLOOKUP(Tabla4[[#This Row],[SERVICIO 2025]],$J$2:$V$14,5,0)*Tabla4[[#This Row],[TOTAL COBERTURA]]</f>
        <v>790016</v>
      </c>
      <c r="AN643" s="35">
        <f>VLOOKUP(Tabla4[[#This Row],[SERVICIO 2025]],$J$2:$V$14,6,0)*Tabla4[[#This Row],[TOTAL COBERTURA]]</f>
        <v>656464</v>
      </c>
      <c r="AO643" s="35">
        <f>VLOOKUP(Tabla4[[#This Row],[SERVICIO 2025]],$J$2:$V$14,8,0)*Tabla4[[#This Row],[TOTAL COBERTURA]]</f>
        <v>465600</v>
      </c>
      <c r="AP643" s="35">
        <f>VLOOKUP(Tabla4[[#This Row],[SERVICIO 2025]],$J$2:$V$14,3,0)*Tabla4[[#This Row],[TOTAL COBERTURA]]*8</f>
        <v>32971008</v>
      </c>
      <c r="AQ643" s="35"/>
      <c r="AR643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643" s="35" t="str">
        <f>+IF(Tabla4[[#This Row],[AGRUPACIONES]]=1,SUMIFS(Tabla4[VALOR TOTAL],Tabla4[ZONA DEFINITIVO],Tabla4[[#This Row],[ZONA DEFINITIVO]])," ")</f>
        <v xml:space="preserve"> </v>
      </c>
      <c r="AT643" s="27">
        <f>(VLOOKUP(Tabla4[[#This Row],[SERVICIO 2025]],$J$2:$V$14,3,0)*Tabla4[[#This Row],[TOTAL COBERTURA]])+Tabla4[[#This Row],[VALOR FASE PREPARATORIA DE ALISTAMIENTO]]+Tabla4[[#This Row],[DOTACIÓN ÚNICA]]</f>
        <v>5376992</v>
      </c>
      <c r="AU643" s="35">
        <f>(VLOOKUP(Tabla4[[#This Row],[SERVICIO 2025]],$J$2:$V$14,3,0)*Tabla4[[#This Row],[TOTAL COBERTURA]])</f>
        <v>4121376</v>
      </c>
      <c r="AV643" s="35">
        <f>(VLOOKUP(Tabla4[[#This Row],[SERVICIO 2025]],$J$2:$V$14,3,0)*Tabla4[[#This Row],[TOTAL COBERTURA]])</f>
        <v>4121376</v>
      </c>
      <c r="AW643" s="35">
        <f>(VLOOKUP(Tabla4[[#This Row],[SERVICIO 2025]],$J$2:$V$14,3,0)*Tabla4[[#This Row],[TOTAL COBERTURA]])</f>
        <v>4121376</v>
      </c>
      <c r="AX643" s="35">
        <f>(VLOOKUP(Tabla4[[#This Row],[SERVICIO 2025]],$J$2:$V$14,3,0)*Tabla4[[#This Row],[TOTAL COBERTURA]])</f>
        <v>4121376</v>
      </c>
      <c r="AY643" s="35">
        <f>(VLOOKUP(Tabla4[[#This Row],[SERVICIO 2025]],$J$2:$V$14,3,0)*Tabla4[[#This Row],[TOTAL COBERTURA]])</f>
        <v>4121376</v>
      </c>
      <c r="AZ643" s="35">
        <f>(VLOOKUP(Tabla4[[#This Row],[SERVICIO 2025]],$J$2:$V$14,3,0)*Tabla4[[#This Row],[TOTAL COBERTURA]])</f>
        <v>4121376</v>
      </c>
      <c r="BA643" s="35">
        <f>(VLOOKUP(Tabla4[[#This Row],[SERVICIO 2025]],$J$2:$V$14,3,0)*Tabla4[[#This Row],[TOTAL COBERTURA]])+Tabla4[[#This Row],[VALOR FASE PREPARATORIA DE CIERRE]]</f>
        <v>4777840</v>
      </c>
      <c r="BB643" s="35">
        <f>SUM(Tabla4[[#This Row],[DESEMBOLSO 1]:[DESEMBOLSO 8]])</f>
        <v>34883088</v>
      </c>
      <c r="BC643" s="35">
        <f>VLOOKUP(Tabla4[[#This Row],[SERVICIO 2025]],$J$2:$V$14,10,0)*Tabla4[[#This Row],[TOTAL COBERTURA]]*$W$3</f>
        <v>23089024</v>
      </c>
      <c r="BD643" s="47" t="s">
        <v>211</v>
      </c>
      <c r="BE643" s="12" t="b">
        <f>EXACT(Tabla4[[#This Row],[VALOR ATENCIÓN (8 MESES)]],Tabla4[[#This Row],[VALOR TOTAL]])</f>
        <v>1</v>
      </c>
      <c r="BF643" s="23">
        <f>Tabla4[[#This Row],[VALOR ATENCIÓN (8 MESES)]]-Tabla4[[#This Row],[VALOR TOTAL]]</f>
        <v>0</v>
      </c>
      <c r="BG643" s="12" t="b">
        <f>EXACT(Tabla4[[#This Row],[TOTAL DESEMBOLSOS]],Tabla4[[#This Row],[VALOR ATENCIÓN (8 MESES)]])</f>
        <v>1</v>
      </c>
      <c r="BH643" s="29">
        <f>Tabla4[[#This Row],[TOTAL DESEMBOLSOS]]-Tabla4[[#This Row],[VALOR ATENCIÓN (8 MESES)]]</f>
        <v>0</v>
      </c>
      <c r="BI643" t="s">
        <v>1431</v>
      </c>
      <c r="BJ643">
        <v>1948</v>
      </c>
    </row>
    <row r="644" spans="1:62">
      <c r="A644" s="13">
        <v>1948</v>
      </c>
      <c r="B644" s="13" t="e">
        <v>#N/A</v>
      </c>
      <c r="C644" s="12" t="s">
        <v>87</v>
      </c>
      <c r="D644" s="12" t="s">
        <v>987</v>
      </c>
      <c r="E644" s="12" t="s">
        <v>1404</v>
      </c>
      <c r="F644" s="12" t="s">
        <v>18</v>
      </c>
      <c r="G644" s="12" t="s">
        <v>90</v>
      </c>
      <c r="H644" s="12" t="s">
        <v>1456</v>
      </c>
      <c r="I644" s="12">
        <v>52501150561</v>
      </c>
      <c r="J644" s="12" t="s">
        <v>1457</v>
      </c>
      <c r="K644" s="12">
        <v>1</v>
      </c>
      <c r="L644" s="12">
        <v>16</v>
      </c>
      <c r="M644" s="12"/>
      <c r="N644" s="13">
        <v>1948</v>
      </c>
      <c r="O644" s="12" t="s">
        <v>93</v>
      </c>
      <c r="P644" s="12"/>
      <c r="Q644" s="12"/>
      <c r="R644" s="12" t="s">
        <v>94</v>
      </c>
      <c r="S644" s="12">
        <v>10</v>
      </c>
      <c r="T644" s="12" t="s">
        <v>1429</v>
      </c>
      <c r="U644" s="12" t="s">
        <v>1430</v>
      </c>
      <c r="V644" s="12">
        <f>VLOOKUP(Tabla4[[#This Row],[ZONA DEFINITIVO]],Hoja1!$A$1:$D$121,3,0)</f>
        <v>229957</v>
      </c>
      <c r="W644" s="12">
        <f>VLOOKUP(Tabla4[[#This Row],[ZONA DEFINITIVO]],Hoja1!$A$1:$D$121,2,0)</f>
        <v>17467</v>
      </c>
      <c r="X644" s="12">
        <f>VLOOKUP(Tabla4[[#This Row],[ZONA DEFINITIVO]],Hoja1!$A$1:$D$121,4,0)</f>
        <v>107825</v>
      </c>
      <c r="Y644" s="12" t="str">
        <f>+IF(Tabla4[[#This Row],[AGRUPACIONES]]=1,SUMIFS(Tabla4[UDS],Tabla4[ZONA DEFINITIVO],Tabla4[[#This Row],[ZONA DEFINITIVO]])," ")</f>
        <v xml:space="preserve"> </v>
      </c>
      <c r="Z644" s="12" t="str">
        <f>+IF(Tabla4[[#This Row],[AGRUPACIONES]]=1,SUMIFS(Tabla4[TOTAL COBERTURA],Tabla4[ZONA DEFINITIVO],Tabla4[[#This Row],[ZONA DEFINITIVO]])," ")</f>
        <v xml:space="preserve"> </v>
      </c>
      <c r="AA644" s="12"/>
      <c r="AB644" s="38">
        <v>34883088</v>
      </c>
      <c r="AC644" s="37">
        <v>0.02</v>
      </c>
      <c r="AD644" s="38">
        <f t="shared" si="10"/>
        <v>697661.76</v>
      </c>
      <c r="AE644" s="12"/>
      <c r="AF644" s="12">
        <f>COUNTIF($A$20:A644,A644)</f>
        <v>18</v>
      </c>
      <c r="AG644" s="38">
        <v>34883088</v>
      </c>
      <c r="AH644" s="38">
        <f>Tabla4[[#This Row],[VALOR CONTRAPARTIDA]]+Tabla4[[#This Row],[TOTAL APORTES ICBF]]</f>
        <v>35580749.759999998</v>
      </c>
      <c r="AI644" s="35"/>
      <c r="AJ644" s="38"/>
      <c r="AK644" s="38"/>
      <c r="AL644" s="23"/>
      <c r="AM644" s="35">
        <f>VLOOKUP(Tabla4[[#This Row],[SERVICIO 2025]],$J$2:$V$14,5,0)*Tabla4[[#This Row],[TOTAL COBERTURA]]</f>
        <v>790016</v>
      </c>
      <c r="AN644" s="35">
        <f>VLOOKUP(Tabla4[[#This Row],[SERVICIO 2025]],$J$2:$V$14,6,0)*Tabla4[[#This Row],[TOTAL COBERTURA]]</f>
        <v>656464</v>
      </c>
      <c r="AO644" s="35">
        <f>VLOOKUP(Tabla4[[#This Row],[SERVICIO 2025]],$J$2:$V$14,8,0)*Tabla4[[#This Row],[TOTAL COBERTURA]]</f>
        <v>465600</v>
      </c>
      <c r="AP644" s="35">
        <f>VLOOKUP(Tabla4[[#This Row],[SERVICIO 2025]],$J$2:$V$14,3,0)*Tabla4[[#This Row],[TOTAL COBERTURA]]*8</f>
        <v>32971008</v>
      </c>
      <c r="AQ644" s="35"/>
      <c r="AR644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644" s="35" t="str">
        <f>+IF(Tabla4[[#This Row],[AGRUPACIONES]]=1,SUMIFS(Tabla4[VALOR TOTAL],Tabla4[ZONA DEFINITIVO],Tabla4[[#This Row],[ZONA DEFINITIVO]])," ")</f>
        <v xml:space="preserve"> </v>
      </c>
      <c r="AT644" s="27">
        <f>(VLOOKUP(Tabla4[[#This Row],[SERVICIO 2025]],$J$2:$V$14,3,0)*Tabla4[[#This Row],[TOTAL COBERTURA]])+Tabla4[[#This Row],[VALOR FASE PREPARATORIA DE ALISTAMIENTO]]+Tabla4[[#This Row],[DOTACIÓN ÚNICA]]</f>
        <v>5376992</v>
      </c>
      <c r="AU644" s="35">
        <f>(VLOOKUP(Tabla4[[#This Row],[SERVICIO 2025]],$J$2:$V$14,3,0)*Tabla4[[#This Row],[TOTAL COBERTURA]])</f>
        <v>4121376</v>
      </c>
      <c r="AV644" s="35">
        <f>(VLOOKUP(Tabla4[[#This Row],[SERVICIO 2025]],$J$2:$V$14,3,0)*Tabla4[[#This Row],[TOTAL COBERTURA]])</f>
        <v>4121376</v>
      </c>
      <c r="AW644" s="35">
        <f>(VLOOKUP(Tabla4[[#This Row],[SERVICIO 2025]],$J$2:$V$14,3,0)*Tabla4[[#This Row],[TOTAL COBERTURA]])</f>
        <v>4121376</v>
      </c>
      <c r="AX644" s="35">
        <f>(VLOOKUP(Tabla4[[#This Row],[SERVICIO 2025]],$J$2:$V$14,3,0)*Tabla4[[#This Row],[TOTAL COBERTURA]])</f>
        <v>4121376</v>
      </c>
      <c r="AY644" s="35">
        <f>(VLOOKUP(Tabla4[[#This Row],[SERVICIO 2025]],$J$2:$V$14,3,0)*Tabla4[[#This Row],[TOTAL COBERTURA]])</f>
        <v>4121376</v>
      </c>
      <c r="AZ644" s="35">
        <f>(VLOOKUP(Tabla4[[#This Row],[SERVICIO 2025]],$J$2:$V$14,3,0)*Tabla4[[#This Row],[TOTAL COBERTURA]])</f>
        <v>4121376</v>
      </c>
      <c r="BA644" s="35">
        <f>(VLOOKUP(Tabla4[[#This Row],[SERVICIO 2025]],$J$2:$V$14,3,0)*Tabla4[[#This Row],[TOTAL COBERTURA]])+Tabla4[[#This Row],[VALOR FASE PREPARATORIA DE CIERRE]]</f>
        <v>4777840</v>
      </c>
      <c r="BB644" s="35">
        <f>SUM(Tabla4[[#This Row],[DESEMBOLSO 1]:[DESEMBOLSO 8]])</f>
        <v>34883088</v>
      </c>
      <c r="BC644" s="35">
        <f>VLOOKUP(Tabla4[[#This Row],[SERVICIO 2025]],$J$2:$V$14,10,0)*Tabla4[[#This Row],[TOTAL COBERTURA]]*$W$3</f>
        <v>23089024</v>
      </c>
      <c r="BD644" s="47" t="s">
        <v>211</v>
      </c>
      <c r="BE644" s="12" t="b">
        <f>EXACT(Tabla4[[#This Row],[VALOR ATENCIÓN (8 MESES)]],Tabla4[[#This Row],[VALOR TOTAL]])</f>
        <v>1</v>
      </c>
      <c r="BF644" s="23">
        <f>Tabla4[[#This Row],[VALOR ATENCIÓN (8 MESES)]]-Tabla4[[#This Row],[VALOR TOTAL]]</f>
        <v>0</v>
      </c>
      <c r="BG644" s="12" t="b">
        <f>EXACT(Tabla4[[#This Row],[TOTAL DESEMBOLSOS]],Tabla4[[#This Row],[VALOR ATENCIÓN (8 MESES)]])</f>
        <v>1</v>
      </c>
      <c r="BH644" s="29">
        <f>Tabla4[[#This Row],[TOTAL DESEMBOLSOS]]-Tabla4[[#This Row],[VALOR ATENCIÓN (8 MESES)]]</f>
        <v>0</v>
      </c>
      <c r="BI644" t="s">
        <v>1431</v>
      </c>
      <c r="BJ644">
        <v>1948</v>
      </c>
    </row>
    <row r="645" spans="1:62">
      <c r="A645" s="13">
        <v>1948</v>
      </c>
      <c r="B645" s="13" t="e">
        <v>#N/A</v>
      </c>
      <c r="C645" s="12" t="s">
        <v>87</v>
      </c>
      <c r="D645" s="12" t="s">
        <v>987</v>
      </c>
      <c r="E645" s="12" t="s">
        <v>1404</v>
      </c>
      <c r="F645" s="12" t="s">
        <v>18</v>
      </c>
      <c r="G645" s="12" t="s">
        <v>90</v>
      </c>
      <c r="H645" s="12" t="s">
        <v>1446</v>
      </c>
      <c r="I645" s="12">
        <v>52501150562</v>
      </c>
      <c r="J645" s="12" t="s">
        <v>1458</v>
      </c>
      <c r="K645" s="12">
        <v>1</v>
      </c>
      <c r="L645" s="12">
        <v>16</v>
      </c>
      <c r="M645" s="12"/>
      <c r="N645" s="13">
        <v>1948</v>
      </c>
      <c r="O645" s="12" t="s">
        <v>93</v>
      </c>
      <c r="P645" s="12"/>
      <c r="Q645" s="12"/>
      <c r="R645" s="12" t="s">
        <v>94</v>
      </c>
      <c r="S645" s="12">
        <v>10</v>
      </c>
      <c r="T645" s="12" t="s">
        <v>1429</v>
      </c>
      <c r="U645" s="12" t="s">
        <v>1430</v>
      </c>
      <c r="V645" s="12">
        <f>VLOOKUP(Tabla4[[#This Row],[ZONA DEFINITIVO]],Hoja1!$A$1:$D$121,3,0)</f>
        <v>229957</v>
      </c>
      <c r="W645" s="12">
        <f>VLOOKUP(Tabla4[[#This Row],[ZONA DEFINITIVO]],Hoja1!$A$1:$D$121,2,0)</f>
        <v>17467</v>
      </c>
      <c r="X645" s="12">
        <f>VLOOKUP(Tabla4[[#This Row],[ZONA DEFINITIVO]],Hoja1!$A$1:$D$121,4,0)</f>
        <v>107825</v>
      </c>
      <c r="Y645" s="12" t="str">
        <f>+IF(Tabla4[[#This Row],[AGRUPACIONES]]=1,SUMIFS(Tabla4[UDS],Tabla4[ZONA DEFINITIVO],Tabla4[[#This Row],[ZONA DEFINITIVO]])," ")</f>
        <v xml:space="preserve"> </v>
      </c>
      <c r="Z645" s="12" t="str">
        <f>+IF(Tabla4[[#This Row],[AGRUPACIONES]]=1,SUMIFS(Tabla4[TOTAL COBERTURA],Tabla4[ZONA DEFINITIVO],Tabla4[[#This Row],[ZONA DEFINITIVO]])," ")</f>
        <v xml:space="preserve"> </v>
      </c>
      <c r="AA645" s="12"/>
      <c r="AB645" s="38">
        <v>34883088</v>
      </c>
      <c r="AC645" s="37">
        <v>0.02</v>
      </c>
      <c r="AD645" s="38">
        <f t="shared" si="10"/>
        <v>697661.76</v>
      </c>
      <c r="AE645" s="12"/>
      <c r="AF645" s="12">
        <f>COUNTIF($A$20:A645,A645)</f>
        <v>19</v>
      </c>
      <c r="AG645" s="38">
        <v>34883088</v>
      </c>
      <c r="AH645" s="38">
        <f>Tabla4[[#This Row],[VALOR CONTRAPARTIDA]]+Tabla4[[#This Row],[TOTAL APORTES ICBF]]</f>
        <v>35580749.759999998</v>
      </c>
      <c r="AI645" s="35"/>
      <c r="AJ645" s="38"/>
      <c r="AK645" s="38"/>
      <c r="AL645" s="23"/>
      <c r="AM645" s="35">
        <f>VLOOKUP(Tabla4[[#This Row],[SERVICIO 2025]],$J$2:$V$14,5,0)*Tabla4[[#This Row],[TOTAL COBERTURA]]</f>
        <v>790016</v>
      </c>
      <c r="AN645" s="35">
        <f>VLOOKUP(Tabla4[[#This Row],[SERVICIO 2025]],$J$2:$V$14,6,0)*Tabla4[[#This Row],[TOTAL COBERTURA]]</f>
        <v>656464</v>
      </c>
      <c r="AO645" s="35">
        <f>VLOOKUP(Tabla4[[#This Row],[SERVICIO 2025]],$J$2:$V$14,8,0)*Tabla4[[#This Row],[TOTAL COBERTURA]]</f>
        <v>465600</v>
      </c>
      <c r="AP645" s="35">
        <f>VLOOKUP(Tabla4[[#This Row],[SERVICIO 2025]],$J$2:$V$14,3,0)*Tabla4[[#This Row],[TOTAL COBERTURA]]*8</f>
        <v>32971008</v>
      </c>
      <c r="AQ645" s="35"/>
      <c r="AR645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645" s="35" t="str">
        <f>+IF(Tabla4[[#This Row],[AGRUPACIONES]]=1,SUMIFS(Tabla4[VALOR TOTAL],Tabla4[ZONA DEFINITIVO],Tabla4[[#This Row],[ZONA DEFINITIVO]])," ")</f>
        <v xml:space="preserve"> </v>
      </c>
      <c r="AT645" s="27">
        <f>(VLOOKUP(Tabla4[[#This Row],[SERVICIO 2025]],$J$2:$V$14,3,0)*Tabla4[[#This Row],[TOTAL COBERTURA]])+Tabla4[[#This Row],[VALOR FASE PREPARATORIA DE ALISTAMIENTO]]+Tabla4[[#This Row],[DOTACIÓN ÚNICA]]</f>
        <v>5376992</v>
      </c>
      <c r="AU645" s="35">
        <f>(VLOOKUP(Tabla4[[#This Row],[SERVICIO 2025]],$J$2:$V$14,3,0)*Tabla4[[#This Row],[TOTAL COBERTURA]])</f>
        <v>4121376</v>
      </c>
      <c r="AV645" s="35">
        <f>(VLOOKUP(Tabla4[[#This Row],[SERVICIO 2025]],$J$2:$V$14,3,0)*Tabla4[[#This Row],[TOTAL COBERTURA]])</f>
        <v>4121376</v>
      </c>
      <c r="AW645" s="35">
        <f>(VLOOKUP(Tabla4[[#This Row],[SERVICIO 2025]],$J$2:$V$14,3,0)*Tabla4[[#This Row],[TOTAL COBERTURA]])</f>
        <v>4121376</v>
      </c>
      <c r="AX645" s="35">
        <f>(VLOOKUP(Tabla4[[#This Row],[SERVICIO 2025]],$J$2:$V$14,3,0)*Tabla4[[#This Row],[TOTAL COBERTURA]])</f>
        <v>4121376</v>
      </c>
      <c r="AY645" s="35">
        <f>(VLOOKUP(Tabla4[[#This Row],[SERVICIO 2025]],$J$2:$V$14,3,0)*Tabla4[[#This Row],[TOTAL COBERTURA]])</f>
        <v>4121376</v>
      </c>
      <c r="AZ645" s="35">
        <f>(VLOOKUP(Tabla4[[#This Row],[SERVICIO 2025]],$J$2:$V$14,3,0)*Tabla4[[#This Row],[TOTAL COBERTURA]])</f>
        <v>4121376</v>
      </c>
      <c r="BA645" s="35">
        <f>(VLOOKUP(Tabla4[[#This Row],[SERVICIO 2025]],$J$2:$V$14,3,0)*Tabla4[[#This Row],[TOTAL COBERTURA]])+Tabla4[[#This Row],[VALOR FASE PREPARATORIA DE CIERRE]]</f>
        <v>4777840</v>
      </c>
      <c r="BB645" s="35">
        <f>SUM(Tabla4[[#This Row],[DESEMBOLSO 1]:[DESEMBOLSO 8]])</f>
        <v>34883088</v>
      </c>
      <c r="BC645" s="35">
        <f>VLOOKUP(Tabla4[[#This Row],[SERVICIO 2025]],$J$2:$V$14,10,0)*Tabla4[[#This Row],[TOTAL COBERTURA]]*$W$3</f>
        <v>23089024</v>
      </c>
      <c r="BD645" s="47" t="s">
        <v>211</v>
      </c>
      <c r="BE645" s="12" t="b">
        <f>EXACT(Tabla4[[#This Row],[VALOR ATENCIÓN (8 MESES)]],Tabla4[[#This Row],[VALOR TOTAL]])</f>
        <v>1</v>
      </c>
      <c r="BF645" s="23">
        <f>Tabla4[[#This Row],[VALOR ATENCIÓN (8 MESES)]]-Tabla4[[#This Row],[VALOR TOTAL]]</f>
        <v>0</v>
      </c>
      <c r="BG645" s="12" t="b">
        <f>EXACT(Tabla4[[#This Row],[TOTAL DESEMBOLSOS]],Tabla4[[#This Row],[VALOR ATENCIÓN (8 MESES)]])</f>
        <v>1</v>
      </c>
      <c r="BH645" s="29">
        <f>Tabla4[[#This Row],[TOTAL DESEMBOLSOS]]-Tabla4[[#This Row],[VALOR ATENCIÓN (8 MESES)]]</f>
        <v>0</v>
      </c>
      <c r="BI645" t="s">
        <v>1431</v>
      </c>
      <c r="BJ645">
        <v>1948</v>
      </c>
    </row>
    <row r="646" spans="1:62">
      <c r="A646" s="13">
        <v>1948</v>
      </c>
      <c r="B646" s="13" t="e">
        <v>#N/A</v>
      </c>
      <c r="C646" s="12" t="s">
        <v>87</v>
      </c>
      <c r="D646" s="12" t="s">
        <v>987</v>
      </c>
      <c r="E646" s="12" t="s">
        <v>1404</v>
      </c>
      <c r="F646" s="12" t="s">
        <v>18</v>
      </c>
      <c r="G646" s="12" t="s">
        <v>90</v>
      </c>
      <c r="H646" s="12" t="s">
        <v>1459</v>
      </c>
      <c r="I646" s="12">
        <v>52501150593</v>
      </c>
      <c r="J646" s="12" t="s">
        <v>1460</v>
      </c>
      <c r="K646" s="12">
        <v>1</v>
      </c>
      <c r="L646" s="12">
        <v>20</v>
      </c>
      <c r="M646" s="12"/>
      <c r="N646" s="13">
        <v>1948</v>
      </c>
      <c r="O646" s="12" t="s">
        <v>93</v>
      </c>
      <c r="P646" s="12"/>
      <c r="Q646" s="12"/>
      <c r="R646" s="12" t="s">
        <v>94</v>
      </c>
      <c r="S646" s="12">
        <v>10</v>
      </c>
      <c r="T646" s="12" t="s">
        <v>1429</v>
      </c>
      <c r="U646" s="12" t="s">
        <v>1430</v>
      </c>
      <c r="V646" s="12">
        <f>VLOOKUP(Tabla4[[#This Row],[ZONA DEFINITIVO]],Hoja1!$A$1:$D$121,3,0)</f>
        <v>229957</v>
      </c>
      <c r="W646" s="12">
        <f>VLOOKUP(Tabla4[[#This Row],[ZONA DEFINITIVO]],Hoja1!$A$1:$D$121,2,0)</f>
        <v>17467</v>
      </c>
      <c r="X646" s="12">
        <f>VLOOKUP(Tabla4[[#This Row],[ZONA DEFINITIVO]],Hoja1!$A$1:$D$121,4,0)</f>
        <v>107825</v>
      </c>
      <c r="Y646" s="12" t="str">
        <f>+IF(Tabla4[[#This Row],[AGRUPACIONES]]=1,SUMIFS(Tabla4[UDS],Tabla4[ZONA DEFINITIVO],Tabla4[[#This Row],[ZONA DEFINITIVO]])," ")</f>
        <v xml:space="preserve"> </v>
      </c>
      <c r="Z646" s="12" t="str">
        <f>+IF(Tabla4[[#This Row],[AGRUPACIONES]]=1,SUMIFS(Tabla4[TOTAL COBERTURA],Tabla4[ZONA DEFINITIVO],Tabla4[[#This Row],[ZONA DEFINITIVO]])," ")</f>
        <v xml:space="preserve"> </v>
      </c>
      <c r="AA646" s="12"/>
      <c r="AB646" s="38">
        <v>43603860</v>
      </c>
      <c r="AC646" s="37">
        <v>0.02</v>
      </c>
      <c r="AD646" s="38">
        <f t="shared" si="10"/>
        <v>872077.20000000007</v>
      </c>
      <c r="AE646" s="12"/>
      <c r="AF646" s="12">
        <f>COUNTIF($A$20:A646,A646)</f>
        <v>20</v>
      </c>
      <c r="AG646" s="38">
        <v>43603860</v>
      </c>
      <c r="AH646" s="38">
        <f>Tabla4[[#This Row],[VALOR CONTRAPARTIDA]]+Tabla4[[#This Row],[TOTAL APORTES ICBF]]</f>
        <v>44475937.200000003</v>
      </c>
      <c r="AI646" s="35"/>
      <c r="AJ646" s="38"/>
      <c r="AK646" s="38"/>
      <c r="AL646" s="23"/>
      <c r="AM646" s="35">
        <f>VLOOKUP(Tabla4[[#This Row],[SERVICIO 2025]],$J$2:$V$14,5,0)*Tabla4[[#This Row],[TOTAL COBERTURA]]</f>
        <v>987520</v>
      </c>
      <c r="AN646" s="35">
        <f>VLOOKUP(Tabla4[[#This Row],[SERVICIO 2025]],$J$2:$V$14,6,0)*Tabla4[[#This Row],[TOTAL COBERTURA]]</f>
        <v>820580</v>
      </c>
      <c r="AO646" s="35">
        <f>VLOOKUP(Tabla4[[#This Row],[SERVICIO 2025]],$J$2:$V$14,8,0)*Tabla4[[#This Row],[TOTAL COBERTURA]]</f>
        <v>582000</v>
      </c>
      <c r="AP646" s="35">
        <f>VLOOKUP(Tabla4[[#This Row],[SERVICIO 2025]],$J$2:$V$14,3,0)*Tabla4[[#This Row],[TOTAL COBERTURA]]*8</f>
        <v>41213760</v>
      </c>
      <c r="AQ646" s="35"/>
      <c r="AR646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646" s="35" t="str">
        <f>+IF(Tabla4[[#This Row],[AGRUPACIONES]]=1,SUMIFS(Tabla4[VALOR TOTAL],Tabla4[ZONA DEFINITIVO],Tabla4[[#This Row],[ZONA DEFINITIVO]])," ")</f>
        <v xml:space="preserve"> </v>
      </c>
      <c r="AT646" s="27">
        <f>(VLOOKUP(Tabla4[[#This Row],[SERVICIO 2025]],$J$2:$V$14,3,0)*Tabla4[[#This Row],[TOTAL COBERTURA]])+Tabla4[[#This Row],[VALOR FASE PREPARATORIA DE ALISTAMIENTO]]+Tabla4[[#This Row],[DOTACIÓN ÚNICA]]</f>
        <v>6721240</v>
      </c>
      <c r="AU646" s="35">
        <f>(VLOOKUP(Tabla4[[#This Row],[SERVICIO 2025]],$J$2:$V$14,3,0)*Tabla4[[#This Row],[TOTAL COBERTURA]])</f>
        <v>5151720</v>
      </c>
      <c r="AV646" s="35">
        <f>(VLOOKUP(Tabla4[[#This Row],[SERVICIO 2025]],$J$2:$V$14,3,0)*Tabla4[[#This Row],[TOTAL COBERTURA]])</f>
        <v>5151720</v>
      </c>
      <c r="AW646" s="35">
        <f>(VLOOKUP(Tabla4[[#This Row],[SERVICIO 2025]],$J$2:$V$14,3,0)*Tabla4[[#This Row],[TOTAL COBERTURA]])</f>
        <v>5151720</v>
      </c>
      <c r="AX646" s="35">
        <f>(VLOOKUP(Tabla4[[#This Row],[SERVICIO 2025]],$J$2:$V$14,3,0)*Tabla4[[#This Row],[TOTAL COBERTURA]])</f>
        <v>5151720</v>
      </c>
      <c r="AY646" s="35">
        <f>(VLOOKUP(Tabla4[[#This Row],[SERVICIO 2025]],$J$2:$V$14,3,0)*Tabla4[[#This Row],[TOTAL COBERTURA]])</f>
        <v>5151720</v>
      </c>
      <c r="AZ646" s="35">
        <f>(VLOOKUP(Tabla4[[#This Row],[SERVICIO 2025]],$J$2:$V$14,3,0)*Tabla4[[#This Row],[TOTAL COBERTURA]])</f>
        <v>5151720</v>
      </c>
      <c r="BA646" s="35">
        <f>(VLOOKUP(Tabla4[[#This Row],[SERVICIO 2025]],$J$2:$V$14,3,0)*Tabla4[[#This Row],[TOTAL COBERTURA]])+Tabla4[[#This Row],[VALOR FASE PREPARATORIA DE CIERRE]]</f>
        <v>5972300</v>
      </c>
      <c r="BB646" s="35">
        <f>SUM(Tabla4[[#This Row],[DESEMBOLSO 1]:[DESEMBOLSO 8]])</f>
        <v>43603860</v>
      </c>
      <c r="BC646" s="35">
        <f>VLOOKUP(Tabla4[[#This Row],[SERVICIO 2025]],$J$2:$V$14,10,0)*Tabla4[[#This Row],[TOTAL COBERTURA]]*$W$3</f>
        <v>28861280</v>
      </c>
      <c r="BD646" s="47" t="s">
        <v>211</v>
      </c>
      <c r="BE646" s="12" t="b">
        <f>EXACT(Tabla4[[#This Row],[VALOR ATENCIÓN (8 MESES)]],Tabla4[[#This Row],[VALOR TOTAL]])</f>
        <v>1</v>
      </c>
      <c r="BF646" s="23">
        <f>Tabla4[[#This Row],[VALOR ATENCIÓN (8 MESES)]]-Tabla4[[#This Row],[VALOR TOTAL]]</f>
        <v>0</v>
      </c>
      <c r="BG646" s="12" t="b">
        <f>EXACT(Tabla4[[#This Row],[TOTAL DESEMBOLSOS]],Tabla4[[#This Row],[VALOR ATENCIÓN (8 MESES)]])</f>
        <v>1</v>
      </c>
      <c r="BH646" s="29">
        <f>Tabla4[[#This Row],[TOTAL DESEMBOLSOS]]-Tabla4[[#This Row],[VALOR ATENCIÓN (8 MESES)]]</f>
        <v>0</v>
      </c>
      <c r="BI646" t="s">
        <v>1431</v>
      </c>
      <c r="BJ646">
        <v>1948</v>
      </c>
    </row>
    <row r="647" spans="1:62">
      <c r="A647" s="13">
        <v>1948</v>
      </c>
      <c r="B647" s="13" t="e">
        <v>#N/A</v>
      </c>
      <c r="C647" s="12" t="s">
        <v>87</v>
      </c>
      <c r="D647" s="12" t="s">
        <v>987</v>
      </c>
      <c r="E647" s="12" t="s">
        <v>1404</v>
      </c>
      <c r="F647" s="12" t="s">
        <v>18</v>
      </c>
      <c r="G647" s="12" t="s">
        <v>90</v>
      </c>
      <c r="H647" s="12" t="s">
        <v>1461</v>
      </c>
      <c r="I647" s="12">
        <v>52501150594</v>
      </c>
      <c r="J647" s="12" t="s">
        <v>1462</v>
      </c>
      <c r="K647" s="12">
        <v>1</v>
      </c>
      <c r="L647" s="12">
        <v>20</v>
      </c>
      <c r="M647" s="12"/>
      <c r="N647" s="13">
        <v>1948</v>
      </c>
      <c r="O647" s="12" t="s">
        <v>93</v>
      </c>
      <c r="P647" s="12"/>
      <c r="Q647" s="12"/>
      <c r="R647" s="12" t="s">
        <v>94</v>
      </c>
      <c r="S647" s="12">
        <v>10</v>
      </c>
      <c r="T647" s="12" t="s">
        <v>1429</v>
      </c>
      <c r="U647" s="12" t="s">
        <v>1430</v>
      </c>
      <c r="V647" s="12">
        <f>VLOOKUP(Tabla4[[#This Row],[ZONA DEFINITIVO]],Hoja1!$A$1:$D$121,3,0)</f>
        <v>229957</v>
      </c>
      <c r="W647" s="12">
        <f>VLOOKUP(Tabla4[[#This Row],[ZONA DEFINITIVO]],Hoja1!$A$1:$D$121,2,0)</f>
        <v>17467</v>
      </c>
      <c r="X647" s="12">
        <f>VLOOKUP(Tabla4[[#This Row],[ZONA DEFINITIVO]],Hoja1!$A$1:$D$121,4,0)</f>
        <v>107825</v>
      </c>
      <c r="Y647" s="12" t="str">
        <f>+IF(Tabla4[[#This Row],[AGRUPACIONES]]=1,SUMIFS(Tabla4[UDS],Tabla4[ZONA DEFINITIVO],Tabla4[[#This Row],[ZONA DEFINITIVO]])," ")</f>
        <v xml:space="preserve"> </v>
      </c>
      <c r="Z647" s="12" t="str">
        <f>+IF(Tabla4[[#This Row],[AGRUPACIONES]]=1,SUMIFS(Tabla4[TOTAL COBERTURA],Tabla4[ZONA DEFINITIVO],Tabla4[[#This Row],[ZONA DEFINITIVO]])," ")</f>
        <v xml:space="preserve"> </v>
      </c>
      <c r="AA647" s="12"/>
      <c r="AB647" s="38">
        <v>43603860</v>
      </c>
      <c r="AC647" s="37">
        <v>0.02</v>
      </c>
      <c r="AD647" s="38">
        <f t="shared" si="10"/>
        <v>872077.20000000007</v>
      </c>
      <c r="AE647" s="12"/>
      <c r="AF647" s="12">
        <f>COUNTIF($A$20:A647,A647)</f>
        <v>21</v>
      </c>
      <c r="AG647" s="38">
        <v>43603860</v>
      </c>
      <c r="AH647" s="38">
        <f>Tabla4[[#This Row],[VALOR CONTRAPARTIDA]]+Tabla4[[#This Row],[TOTAL APORTES ICBF]]</f>
        <v>44475937.200000003</v>
      </c>
      <c r="AI647" s="35"/>
      <c r="AJ647" s="38"/>
      <c r="AK647" s="38"/>
      <c r="AL647" s="23"/>
      <c r="AM647" s="35">
        <f>VLOOKUP(Tabla4[[#This Row],[SERVICIO 2025]],$J$2:$V$14,5,0)*Tabla4[[#This Row],[TOTAL COBERTURA]]</f>
        <v>987520</v>
      </c>
      <c r="AN647" s="35">
        <f>VLOOKUP(Tabla4[[#This Row],[SERVICIO 2025]],$J$2:$V$14,6,0)*Tabla4[[#This Row],[TOTAL COBERTURA]]</f>
        <v>820580</v>
      </c>
      <c r="AO647" s="35">
        <f>VLOOKUP(Tabla4[[#This Row],[SERVICIO 2025]],$J$2:$V$14,8,0)*Tabla4[[#This Row],[TOTAL COBERTURA]]</f>
        <v>582000</v>
      </c>
      <c r="AP647" s="35">
        <f>VLOOKUP(Tabla4[[#This Row],[SERVICIO 2025]],$J$2:$V$14,3,0)*Tabla4[[#This Row],[TOTAL COBERTURA]]*8</f>
        <v>41213760</v>
      </c>
      <c r="AQ647" s="35"/>
      <c r="AR647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647" s="35" t="str">
        <f>+IF(Tabla4[[#This Row],[AGRUPACIONES]]=1,SUMIFS(Tabla4[VALOR TOTAL],Tabla4[ZONA DEFINITIVO],Tabla4[[#This Row],[ZONA DEFINITIVO]])," ")</f>
        <v xml:space="preserve"> </v>
      </c>
      <c r="AT647" s="27">
        <f>(VLOOKUP(Tabla4[[#This Row],[SERVICIO 2025]],$J$2:$V$14,3,0)*Tabla4[[#This Row],[TOTAL COBERTURA]])+Tabla4[[#This Row],[VALOR FASE PREPARATORIA DE ALISTAMIENTO]]+Tabla4[[#This Row],[DOTACIÓN ÚNICA]]</f>
        <v>6721240</v>
      </c>
      <c r="AU647" s="35">
        <f>(VLOOKUP(Tabla4[[#This Row],[SERVICIO 2025]],$J$2:$V$14,3,0)*Tabla4[[#This Row],[TOTAL COBERTURA]])</f>
        <v>5151720</v>
      </c>
      <c r="AV647" s="35">
        <f>(VLOOKUP(Tabla4[[#This Row],[SERVICIO 2025]],$J$2:$V$14,3,0)*Tabla4[[#This Row],[TOTAL COBERTURA]])</f>
        <v>5151720</v>
      </c>
      <c r="AW647" s="35">
        <f>(VLOOKUP(Tabla4[[#This Row],[SERVICIO 2025]],$J$2:$V$14,3,0)*Tabla4[[#This Row],[TOTAL COBERTURA]])</f>
        <v>5151720</v>
      </c>
      <c r="AX647" s="35">
        <f>(VLOOKUP(Tabla4[[#This Row],[SERVICIO 2025]],$J$2:$V$14,3,0)*Tabla4[[#This Row],[TOTAL COBERTURA]])</f>
        <v>5151720</v>
      </c>
      <c r="AY647" s="35">
        <f>(VLOOKUP(Tabla4[[#This Row],[SERVICIO 2025]],$J$2:$V$14,3,0)*Tabla4[[#This Row],[TOTAL COBERTURA]])</f>
        <v>5151720</v>
      </c>
      <c r="AZ647" s="35">
        <f>(VLOOKUP(Tabla4[[#This Row],[SERVICIO 2025]],$J$2:$V$14,3,0)*Tabla4[[#This Row],[TOTAL COBERTURA]])</f>
        <v>5151720</v>
      </c>
      <c r="BA647" s="35">
        <f>(VLOOKUP(Tabla4[[#This Row],[SERVICIO 2025]],$J$2:$V$14,3,0)*Tabla4[[#This Row],[TOTAL COBERTURA]])+Tabla4[[#This Row],[VALOR FASE PREPARATORIA DE CIERRE]]</f>
        <v>5972300</v>
      </c>
      <c r="BB647" s="35">
        <f>SUM(Tabla4[[#This Row],[DESEMBOLSO 1]:[DESEMBOLSO 8]])</f>
        <v>43603860</v>
      </c>
      <c r="BC647" s="35">
        <f>VLOOKUP(Tabla4[[#This Row],[SERVICIO 2025]],$J$2:$V$14,10,0)*Tabla4[[#This Row],[TOTAL COBERTURA]]*$W$3</f>
        <v>28861280</v>
      </c>
      <c r="BD647" s="47" t="s">
        <v>211</v>
      </c>
      <c r="BE647" s="12" t="b">
        <f>EXACT(Tabla4[[#This Row],[VALOR ATENCIÓN (8 MESES)]],Tabla4[[#This Row],[VALOR TOTAL]])</f>
        <v>1</v>
      </c>
      <c r="BF647" s="23">
        <f>Tabla4[[#This Row],[VALOR ATENCIÓN (8 MESES)]]-Tabla4[[#This Row],[VALOR TOTAL]]</f>
        <v>0</v>
      </c>
      <c r="BG647" s="12" t="b">
        <f>EXACT(Tabla4[[#This Row],[TOTAL DESEMBOLSOS]],Tabla4[[#This Row],[VALOR ATENCIÓN (8 MESES)]])</f>
        <v>1</v>
      </c>
      <c r="BH647" s="29">
        <f>Tabla4[[#This Row],[TOTAL DESEMBOLSOS]]-Tabla4[[#This Row],[VALOR ATENCIÓN (8 MESES)]]</f>
        <v>0</v>
      </c>
      <c r="BI647" t="s">
        <v>1431</v>
      </c>
      <c r="BJ647">
        <v>1948</v>
      </c>
    </row>
    <row r="648" spans="1:62">
      <c r="A648" s="13">
        <v>1948</v>
      </c>
      <c r="B648" s="13" t="e">
        <v>#N/A</v>
      </c>
      <c r="C648" s="12" t="s">
        <v>87</v>
      </c>
      <c r="D648" s="12" t="s">
        <v>987</v>
      </c>
      <c r="E648" s="12" t="s">
        <v>1404</v>
      </c>
      <c r="F648" s="12" t="s">
        <v>18</v>
      </c>
      <c r="G648" s="12" t="s">
        <v>90</v>
      </c>
      <c r="H648" s="12" t="s">
        <v>1463</v>
      </c>
      <c r="I648" s="12">
        <v>52501150595</v>
      </c>
      <c r="J648" s="12" t="s">
        <v>1464</v>
      </c>
      <c r="K648" s="12">
        <v>1</v>
      </c>
      <c r="L648" s="12">
        <v>20</v>
      </c>
      <c r="M648" s="12"/>
      <c r="N648" s="13">
        <v>1948</v>
      </c>
      <c r="O648" s="12" t="s">
        <v>93</v>
      </c>
      <c r="P648" s="12"/>
      <c r="Q648" s="12"/>
      <c r="R648" s="12" t="s">
        <v>94</v>
      </c>
      <c r="S648" s="12">
        <v>10</v>
      </c>
      <c r="T648" s="12" t="s">
        <v>1429</v>
      </c>
      <c r="U648" s="12" t="s">
        <v>1430</v>
      </c>
      <c r="V648" s="12">
        <f>VLOOKUP(Tabla4[[#This Row],[ZONA DEFINITIVO]],Hoja1!$A$1:$D$121,3,0)</f>
        <v>229957</v>
      </c>
      <c r="W648" s="12">
        <f>VLOOKUP(Tabla4[[#This Row],[ZONA DEFINITIVO]],Hoja1!$A$1:$D$121,2,0)</f>
        <v>17467</v>
      </c>
      <c r="X648" s="12">
        <f>VLOOKUP(Tabla4[[#This Row],[ZONA DEFINITIVO]],Hoja1!$A$1:$D$121,4,0)</f>
        <v>107825</v>
      </c>
      <c r="Y648" s="12" t="str">
        <f>+IF(Tabla4[[#This Row],[AGRUPACIONES]]=1,SUMIFS(Tabla4[UDS],Tabla4[ZONA DEFINITIVO],Tabla4[[#This Row],[ZONA DEFINITIVO]])," ")</f>
        <v xml:space="preserve"> </v>
      </c>
      <c r="Z648" s="12" t="str">
        <f>+IF(Tabla4[[#This Row],[AGRUPACIONES]]=1,SUMIFS(Tabla4[TOTAL COBERTURA],Tabla4[ZONA DEFINITIVO],Tabla4[[#This Row],[ZONA DEFINITIVO]])," ")</f>
        <v xml:space="preserve"> </v>
      </c>
      <c r="AA648" s="12"/>
      <c r="AB648" s="38">
        <v>43603860</v>
      </c>
      <c r="AC648" s="37">
        <v>0.02</v>
      </c>
      <c r="AD648" s="38">
        <f t="shared" si="10"/>
        <v>872077.20000000007</v>
      </c>
      <c r="AE648" s="12"/>
      <c r="AF648" s="12">
        <f>COUNTIF($A$20:A648,A648)</f>
        <v>22</v>
      </c>
      <c r="AG648" s="38">
        <v>43603860</v>
      </c>
      <c r="AH648" s="38">
        <f>Tabla4[[#This Row],[VALOR CONTRAPARTIDA]]+Tabla4[[#This Row],[TOTAL APORTES ICBF]]</f>
        <v>44475937.200000003</v>
      </c>
      <c r="AI648" s="35"/>
      <c r="AJ648" s="38"/>
      <c r="AK648" s="38"/>
      <c r="AL648" s="23"/>
      <c r="AM648" s="35">
        <f>VLOOKUP(Tabla4[[#This Row],[SERVICIO 2025]],$J$2:$V$14,5,0)*Tabla4[[#This Row],[TOTAL COBERTURA]]</f>
        <v>987520</v>
      </c>
      <c r="AN648" s="35">
        <f>VLOOKUP(Tabla4[[#This Row],[SERVICIO 2025]],$J$2:$V$14,6,0)*Tabla4[[#This Row],[TOTAL COBERTURA]]</f>
        <v>820580</v>
      </c>
      <c r="AO648" s="35">
        <f>VLOOKUP(Tabla4[[#This Row],[SERVICIO 2025]],$J$2:$V$14,8,0)*Tabla4[[#This Row],[TOTAL COBERTURA]]</f>
        <v>582000</v>
      </c>
      <c r="AP648" s="35">
        <f>VLOOKUP(Tabla4[[#This Row],[SERVICIO 2025]],$J$2:$V$14,3,0)*Tabla4[[#This Row],[TOTAL COBERTURA]]*8</f>
        <v>41213760</v>
      </c>
      <c r="AQ648" s="35"/>
      <c r="AR648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648" s="35" t="str">
        <f>+IF(Tabla4[[#This Row],[AGRUPACIONES]]=1,SUMIFS(Tabla4[VALOR TOTAL],Tabla4[ZONA DEFINITIVO],Tabla4[[#This Row],[ZONA DEFINITIVO]])," ")</f>
        <v xml:space="preserve"> </v>
      </c>
      <c r="AT648" s="27">
        <f>(VLOOKUP(Tabla4[[#This Row],[SERVICIO 2025]],$J$2:$V$14,3,0)*Tabla4[[#This Row],[TOTAL COBERTURA]])+Tabla4[[#This Row],[VALOR FASE PREPARATORIA DE ALISTAMIENTO]]+Tabla4[[#This Row],[DOTACIÓN ÚNICA]]</f>
        <v>6721240</v>
      </c>
      <c r="AU648" s="35">
        <f>(VLOOKUP(Tabla4[[#This Row],[SERVICIO 2025]],$J$2:$V$14,3,0)*Tabla4[[#This Row],[TOTAL COBERTURA]])</f>
        <v>5151720</v>
      </c>
      <c r="AV648" s="35">
        <f>(VLOOKUP(Tabla4[[#This Row],[SERVICIO 2025]],$J$2:$V$14,3,0)*Tabla4[[#This Row],[TOTAL COBERTURA]])</f>
        <v>5151720</v>
      </c>
      <c r="AW648" s="35">
        <f>(VLOOKUP(Tabla4[[#This Row],[SERVICIO 2025]],$J$2:$V$14,3,0)*Tabla4[[#This Row],[TOTAL COBERTURA]])</f>
        <v>5151720</v>
      </c>
      <c r="AX648" s="35">
        <f>(VLOOKUP(Tabla4[[#This Row],[SERVICIO 2025]],$J$2:$V$14,3,0)*Tabla4[[#This Row],[TOTAL COBERTURA]])</f>
        <v>5151720</v>
      </c>
      <c r="AY648" s="35">
        <f>(VLOOKUP(Tabla4[[#This Row],[SERVICIO 2025]],$J$2:$V$14,3,0)*Tabla4[[#This Row],[TOTAL COBERTURA]])</f>
        <v>5151720</v>
      </c>
      <c r="AZ648" s="35">
        <f>(VLOOKUP(Tabla4[[#This Row],[SERVICIO 2025]],$J$2:$V$14,3,0)*Tabla4[[#This Row],[TOTAL COBERTURA]])</f>
        <v>5151720</v>
      </c>
      <c r="BA648" s="35">
        <f>(VLOOKUP(Tabla4[[#This Row],[SERVICIO 2025]],$J$2:$V$14,3,0)*Tabla4[[#This Row],[TOTAL COBERTURA]])+Tabla4[[#This Row],[VALOR FASE PREPARATORIA DE CIERRE]]</f>
        <v>5972300</v>
      </c>
      <c r="BB648" s="35">
        <f>SUM(Tabla4[[#This Row],[DESEMBOLSO 1]:[DESEMBOLSO 8]])</f>
        <v>43603860</v>
      </c>
      <c r="BC648" s="35">
        <f>VLOOKUP(Tabla4[[#This Row],[SERVICIO 2025]],$J$2:$V$14,10,0)*Tabla4[[#This Row],[TOTAL COBERTURA]]*$W$3</f>
        <v>28861280</v>
      </c>
      <c r="BD648" s="47" t="s">
        <v>211</v>
      </c>
      <c r="BE648" s="12" t="b">
        <f>EXACT(Tabla4[[#This Row],[VALOR ATENCIÓN (8 MESES)]],Tabla4[[#This Row],[VALOR TOTAL]])</f>
        <v>1</v>
      </c>
      <c r="BF648" s="23">
        <f>Tabla4[[#This Row],[VALOR ATENCIÓN (8 MESES)]]-Tabla4[[#This Row],[VALOR TOTAL]]</f>
        <v>0</v>
      </c>
      <c r="BG648" s="12" t="b">
        <f>EXACT(Tabla4[[#This Row],[TOTAL DESEMBOLSOS]],Tabla4[[#This Row],[VALOR ATENCIÓN (8 MESES)]])</f>
        <v>1</v>
      </c>
      <c r="BH648" s="29">
        <f>Tabla4[[#This Row],[TOTAL DESEMBOLSOS]]-Tabla4[[#This Row],[VALOR ATENCIÓN (8 MESES)]]</f>
        <v>0</v>
      </c>
      <c r="BI648" t="s">
        <v>1431</v>
      </c>
      <c r="BJ648">
        <v>1948</v>
      </c>
    </row>
    <row r="649" spans="1:62">
      <c r="A649" s="13">
        <v>1948</v>
      </c>
      <c r="B649" s="13" t="e">
        <v>#N/A</v>
      </c>
      <c r="C649" s="12" t="s">
        <v>87</v>
      </c>
      <c r="D649" s="12" t="s">
        <v>987</v>
      </c>
      <c r="E649" s="12" t="s">
        <v>1404</v>
      </c>
      <c r="F649" s="12" t="s">
        <v>18</v>
      </c>
      <c r="G649" s="12" t="s">
        <v>90</v>
      </c>
      <c r="H649" s="12" t="s">
        <v>1465</v>
      </c>
      <c r="I649" s="12">
        <v>52501150596</v>
      </c>
      <c r="J649" s="12" t="s">
        <v>1466</v>
      </c>
      <c r="K649" s="12">
        <v>1</v>
      </c>
      <c r="L649" s="12">
        <v>20</v>
      </c>
      <c r="M649" s="12"/>
      <c r="N649" s="13">
        <v>1948</v>
      </c>
      <c r="O649" s="12" t="s">
        <v>93</v>
      </c>
      <c r="P649" s="12"/>
      <c r="Q649" s="12"/>
      <c r="R649" s="12" t="s">
        <v>94</v>
      </c>
      <c r="S649" s="12">
        <v>10</v>
      </c>
      <c r="T649" s="12" t="s">
        <v>1429</v>
      </c>
      <c r="U649" s="12" t="s">
        <v>1430</v>
      </c>
      <c r="V649" s="12">
        <f>VLOOKUP(Tabla4[[#This Row],[ZONA DEFINITIVO]],Hoja1!$A$1:$D$121,3,0)</f>
        <v>229957</v>
      </c>
      <c r="W649" s="12">
        <f>VLOOKUP(Tabla4[[#This Row],[ZONA DEFINITIVO]],Hoja1!$A$1:$D$121,2,0)</f>
        <v>17467</v>
      </c>
      <c r="X649" s="12">
        <f>VLOOKUP(Tabla4[[#This Row],[ZONA DEFINITIVO]],Hoja1!$A$1:$D$121,4,0)</f>
        <v>107825</v>
      </c>
      <c r="Y649" s="12" t="str">
        <f>+IF(Tabla4[[#This Row],[AGRUPACIONES]]=1,SUMIFS(Tabla4[UDS],Tabla4[ZONA DEFINITIVO],Tabla4[[#This Row],[ZONA DEFINITIVO]])," ")</f>
        <v xml:space="preserve"> </v>
      </c>
      <c r="Z649" s="12" t="str">
        <f>+IF(Tabla4[[#This Row],[AGRUPACIONES]]=1,SUMIFS(Tabla4[TOTAL COBERTURA],Tabla4[ZONA DEFINITIVO],Tabla4[[#This Row],[ZONA DEFINITIVO]])," ")</f>
        <v xml:space="preserve"> </v>
      </c>
      <c r="AA649" s="12"/>
      <c r="AB649" s="38">
        <v>43603860</v>
      </c>
      <c r="AC649" s="37">
        <v>0.02</v>
      </c>
      <c r="AD649" s="38">
        <f t="shared" si="10"/>
        <v>872077.20000000007</v>
      </c>
      <c r="AE649" s="12"/>
      <c r="AF649" s="12">
        <f>COUNTIF($A$20:A649,A649)</f>
        <v>23</v>
      </c>
      <c r="AG649" s="38">
        <v>43603860</v>
      </c>
      <c r="AH649" s="38">
        <f>Tabla4[[#This Row],[VALOR CONTRAPARTIDA]]+Tabla4[[#This Row],[TOTAL APORTES ICBF]]</f>
        <v>44475937.200000003</v>
      </c>
      <c r="AI649" s="35"/>
      <c r="AJ649" s="38"/>
      <c r="AK649" s="38"/>
      <c r="AL649" s="23"/>
      <c r="AM649" s="35">
        <f>VLOOKUP(Tabla4[[#This Row],[SERVICIO 2025]],$J$2:$V$14,5,0)*Tabla4[[#This Row],[TOTAL COBERTURA]]</f>
        <v>987520</v>
      </c>
      <c r="AN649" s="35">
        <f>VLOOKUP(Tabla4[[#This Row],[SERVICIO 2025]],$J$2:$V$14,6,0)*Tabla4[[#This Row],[TOTAL COBERTURA]]</f>
        <v>820580</v>
      </c>
      <c r="AO649" s="35">
        <f>VLOOKUP(Tabla4[[#This Row],[SERVICIO 2025]],$J$2:$V$14,8,0)*Tabla4[[#This Row],[TOTAL COBERTURA]]</f>
        <v>582000</v>
      </c>
      <c r="AP649" s="35">
        <f>VLOOKUP(Tabla4[[#This Row],[SERVICIO 2025]],$J$2:$V$14,3,0)*Tabla4[[#This Row],[TOTAL COBERTURA]]*8</f>
        <v>41213760</v>
      </c>
      <c r="AQ649" s="35"/>
      <c r="AR649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649" s="35" t="str">
        <f>+IF(Tabla4[[#This Row],[AGRUPACIONES]]=1,SUMIFS(Tabla4[VALOR TOTAL],Tabla4[ZONA DEFINITIVO],Tabla4[[#This Row],[ZONA DEFINITIVO]])," ")</f>
        <v xml:space="preserve"> </v>
      </c>
      <c r="AT649" s="27">
        <f>(VLOOKUP(Tabla4[[#This Row],[SERVICIO 2025]],$J$2:$V$14,3,0)*Tabla4[[#This Row],[TOTAL COBERTURA]])+Tabla4[[#This Row],[VALOR FASE PREPARATORIA DE ALISTAMIENTO]]+Tabla4[[#This Row],[DOTACIÓN ÚNICA]]</f>
        <v>6721240</v>
      </c>
      <c r="AU649" s="35">
        <f>(VLOOKUP(Tabla4[[#This Row],[SERVICIO 2025]],$J$2:$V$14,3,0)*Tabla4[[#This Row],[TOTAL COBERTURA]])</f>
        <v>5151720</v>
      </c>
      <c r="AV649" s="35">
        <f>(VLOOKUP(Tabla4[[#This Row],[SERVICIO 2025]],$J$2:$V$14,3,0)*Tabla4[[#This Row],[TOTAL COBERTURA]])</f>
        <v>5151720</v>
      </c>
      <c r="AW649" s="35">
        <f>(VLOOKUP(Tabla4[[#This Row],[SERVICIO 2025]],$J$2:$V$14,3,0)*Tabla4[[#This Row],[TOTAL COBERTURA]])</f>
        <v>5151720</v>
      </c>
      <c r="AX649" s="35">
        <f>(VLOOKUP(Tabla4[[#This Row],[SERVICIO 2025]],$J$2:$V$14,3,0)*Tabla4[[#This Row],[TOTAL COBERTURA]])</f>
        <v>5151720</v>
      </c>
      <c r="AY649" s="35">
        <f>(VLOOKUP(Tabla4[[#This Row],[SERVICIO 2025]],$J$2:$V$14,3,0)*Tabla4[[#This Row],[TOTAL COBERTURA]])</f>
        <v>5151720</v>
      </c>
      <c r="AZ649" s="35">
        <f>(VLOOKUP(Tabla4[[#This Row],[SERVICIO 2025]],$J$2:$V$14,3,0)*Tabla4[[#This Row],[TOTAL COBERTURA]])</f>
        <v>5151720</v>
      </c>
      <c r="BA649" s="35">
        <f>(VLOOKUP(Tabla4[[#This Row],[SERVICIO 2025]],$J$2:$V$14,3,0)*Tabla4[[#This Row],[TOTAL COBERTURA]])+Tabla4[[#This Row],[VALOR FASE PREPARATORIA DE CIERRE]]</f>
        <v>5972300</v>
      </c>
      <c r="BB649" s="35">
        <f>SUM(Tabla4[[#This Row],[DESEMBOLSO 1]:[DESEMBOLSO 8]])</f>
        <v>43603860</v>
      </c>
      <c r="BC649" s="35">
        <f>VLOOKUP(Tabla4[[#This Row],[SERVICIO 2025]],$J$2:$V$14,10,0)*Tabla4[[#This Row],[TOTAL COBERTURA]]*$W$3</f>
        <v>28861280</v>
      </c>
      <c r="BD649" s="47" t="s">
        <v>211</v>
      </c>
      <c r="BE649" s="12" t="b">
        <f>EXACT(Tabla4[[#This Row],[VALOR ATENCIÓN (8 MESES)]],Tabla4[[#This Row],[VALOR TOTAL]])</f>
        <v>1</v>
      </c>
      <c r="BF649" s="23">
        <f>Tabla4[[#This Row],[VALOR ATENCIÓN (8 MESES)]]-Tabla4[[#This Row],[VALOR TOTAL]]</f>
        <v>0</v>
      </c>
      <c r="BG649" s="12" t="b">
        <f>EXACT(Tabla4[[#This Row],[TOTAL DESEMBOLSOS]],Tabla4[[#This Row],[VALOR ATENCIÓN (8 MESES)]])</f>
        <v>1</v>
      </c>
      <c r="BH649" s="29">
        <f>Tabla4[[#This Row],[TOTAL DESEMBOLSOS]]-Tabla4[[#This Row],[VALOR ATENCIÓN (8 MESES)]]</f>
        <v>0</v>
      </c>
      <c r="BI649" t="s">
        <v>1431</v>
      </c>
      <c r="BJ649">
        <v>1948</v>
      </c>
    </row>
    <row r="650" spans="1:62">
      <c r="A650" s="13">
        <v>1948</v>
      </c>
      <c r="B650" s="13" t="e">
        <v>#N/A</v>
      </c>
      <c r="C650" s="12" t="s">
        <v>87</v>
      </c>
      <c r="D650" s="12" t="s">
        <v>987</v>
      </c>
      <c r="E650" s="12" t="s">
        <v>1404</v>
      </c>
      <c r="F650" s="12" t="s">
        <v>18</v>
      </c>
      <c r="G650" s="12" t="s">
        <v>90</v>
      </c>
      <c r="H650" s="12" t="s">
        <v>1467</v>
      </c>
      <c r="I650" s="12">
        <v>52501151134</v>
      </c>
      <c r="J650" s="12" t="s">
        <v>1468</v>
      </c>
      <c r="K650" s="12">
        <v>1</v>
      </c>
      <c r="L650" s="12">
        <v>14</v>
      </c>
      <c r="M650" s="12"/>
      <c r="N650" s="13">
        <v>1948</v>
      </c>
      <c r="O650" s="12" t="s">
        <v>93</v>
      </c>
      <c r="P650" s="12"/>
      <c r="Q650" s="12"/>
      <c r="R650" s="12" t="s">
        <v>94</v>
      </c>
      <c r="S650" s="12">
        <v>10</v>
      </c>
      <c r="T650" s="12" t="s">
        <v>1429</v>
      </c>
      <c r="U650" s="12" t="s">
        <v>1430</v>
      </c>
      <c r="V650" s="12">
        <f>VLOOKUP(Tabla4[[#This Row],[ZONA DEFINITIVO]],Hoja1!$A$1:$D$121,3,0)</f>
        <v>229957</v>
      </c>
      <c r="W650" s="12">
        <f>VLOOKUP(Tabla4[[#This Row],[ZONA DEFINITIVO]],Hoja1!$A$1:$D$121,2,0)</f>
        <v>17467</v>
      </c>
      <c r="X650" s="12">
        <f>VLOOKUP(Tabla4[[#This Row],[ZONA DEFINITIVO]],Hoja1!$A$1:$D$121,4,0)</f>
        <v>107825</v>
      </c>
      <c r="Y650" s="12" t="str">
        <f>+IF(Tabla4[[#This Row],[AGRUPACIONES]]=1,SUMIFS(Tabla4[UDS],Tabla4[ZONA DEFINITIVO],Tabla4[[#This Row],[ZONA DEFINITIVO]])," ")</f>
        <v xml:space="preserve"> </v>
      </c>
      <c r="Z650" s="12" t="str">
        <f>+IF(Tabla4[[#This Row],[AGRUPACIONES]]=1,SUMIFS(Tabla4[TOTAL COBERTURA],Tabla4[ZONA DEFINITIVO],Tabla4[[#This Row],[ZONA DEFINITIVO]])," ")</f>
        <v xml:space="preserve"> </v>
      </c>
      <c r="AA650" s="12"/>
      <c r="AB650" s="38">
        <v>30522702</v>
      </c>
      <c r="AC650" s="37">
        <v>0.02</v>
      </c>
      <c r="AD650" s="38">
        <f t="shared" si="10"/>
        <v>610454.04</v>
      </c>
      <c r="AE650" s="12"/>
      <c r="AF650" s="12">
        <f>COUNTIF($A$20:A650,A650)</f>
        <v>24</v>
      </c>
      <c r="AG650" s="38">
        <v>30522702</v>
      </c>
      <c r="AH650" s="38">
        <f>Tabla4[[#This Row],[VALOR CONTRAPARTIDA]]+Tabla4[[#This Row],[TOTAL APORTES ICBF]]</f>
        <v>31133156.039999999</v>
      </c>
      <c r="AI650" s="35"/>
      <c r="AJ650" s="38"/>
      <c r="AK650" s="38"/>
      <c r="AL650" s="23"/>
      <c r="AM650" s="35">
        <f>VLOOKUP(Tabla4[[#This Row],[SERVICIO 2025]],$J$2:$V$14,5,0)*Tabla4[[#This Row],[TOTAL COBERTURA]]</f>
        <v>691264</v>
      </c>
      <c r="AN650" s="35">
        <f>VLOOKUP(Tabla4[[#This Row],[SERVICIO 2025]],$J$2:$V$14,6,0)*Tabla4[[#This Row],[TOTAL COBERTURA]]</f>
        <v>574406</v>
      </c>
      <c r="AO650" s="35">
        <f>VLOOKUP(Tabla4[[#This Row],[SERVICIO 2025]],$J$2:$V$14,8,0)*Tabla4[[#This Row],[TOTAL COBERTURA]]</f>
        <v>407400</v>
      </c>
      <c r="AP650" s="35">
        <f>VLOOKUP(Tabla4[[#This Row],[SERVICIO 2025]],$J$2:$V$14,3,0)*Tabla4[[#This Row],[TOTAL COBERTURA]]*8</f>
        <v>28849632</v>
      </c>
      <c r="AQ650" s="35"/>
      <c r="AR650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650" s="35" t="str">
        <f>+IF(Tabla4[[#This Row],[AGRUPACIONES]]=1,SUMIFS(Tabla4[VALOR TOTAL],Tabla4[ZONA DEFINITIVO],Tabla4[[#This Row],[ZONA DEFINITIVO]])," ")</f>
        <v xml:space="preserve"> </v>
      </c>
      <c r="AT650" s="27">
        <f>(VLOOKUP(Tabla4[[#This Row],[SERVICIO 2025]],$J$2:$V$14,3,0)*Tabla4[[#This Row],[TOTAL COBERTURA]])+Tabla4[[#This Row],[VALOR FASE PREPARATORIA DE ALISTAMIENTO]]+Tabla4[[#This Row],[DOTACIÓN ÚNICA]]</f>
        <v>4704868</v>
      </c>
      <c r="AU650" s="35">
        <f>(VLOOKUP(Tabla4[[#This Row],[SERVICIO 2025]],$J$2:$V$14,3,0)*Tabla4[[#This Row],[TOTAL COBERTURA]])</f>
        <v>3606204</v>
      </c>
      <c r="AV650" s="35">
        <f>(VLOOKUP(Tabla4[[#This Row],[SERVICIO 2025]],$J$2:$V$14,3,0)*Tabla4[[#This Row],[TOTAL COBERTURA]])</f>
        <v>3606204</v>
      </c>
      <c r="AW650" s="35">
        <f>(VLOOKUP(Tabla4[[#This Row],[SERVICIO 2025]],$J$2:$V$14,3,0)*Tabla4[[#This Row],[TOTAL COBERTURA]])</f>
        <v>3606204</v>
      </c>
      <c r="AX650" s="35">
        <f>(VLOOKUP(Tabla4[[#This Row],[SERVICIO 2025]],$J$2:$V$14,3,0)*Tabla4[[#This Row],[TOTAL COBERTURA]])</f>
        <v>3606204</v>
      </c>
      <c r="AY650" s="35">
        <f>(VLOOKUP(Tabla4[[#This Row],[SERVICIO 2025]],$J$2:$V$14,3,0)*Tabla4[[#This Row],[TOTAL COBERTURA]])</f>
        <v>3606204</v>
      </c>
      <c r="AZ650" s="35">
        <f>(VLOOKUP(Tabla4[[#This Row],[SERVICIO 2025]],$J$2:$V$14,3,0)*Tabla4[[#This Row],[TOTAL COBERTURA]])</f>
        <v>3606204</v>
      </c>
      <c r="BA650" s="35">
        <f>(VLOOKUP(Tabla4[[#This Row],[SERVICIO 2025]],$J$2:$V$14,3,0)*Tabla4[[#This Row],[TOTAL COBERTURA]])+Tabla4[[#This Row],[VALOR FASE PREPARATORIA DE CIERRE]]</f>
        <v>4180610</v>
      </c>
      <c r="BB650" s="35">
        <f>SUM(Tabla4[[#This Row],[DESEMBOLSO 1]:[DESEMBOLSO 8]])</f>
        <v>30522702</v>
      </c>
      <c r="BC650" s="35">
        <f>VLOOKUP(Tabla4[[#This Row],[SERVICIO 2025]],$J$2:$V$14,10,0)*Tabla4[[#This Row],[TOTAL COBERTURA]]*$W$3</f>
        <v>20202896</v>
      </c>
      <c r="BD650" s="47" t="s">
        <v>211</v>
      </c>
      <c r="BE650" s="12" t="b">
        <f>EXACT(Tabla4[[#This Row],[VALOR ATENCIÓN (8 MESES)]],Tabla4[[#This Row],[VALOR TOTAL]])</f>
        <v>1</v>
      </c>
      <c r="BF650" s="23">
        <f>Tabla4[[#This Row],[VALOR ATENCIÓN (8 MESES)]]-Tabla4[[#This Row],[VALOR TOTAL]]</f>
        <v>0</v>
      </c>
      <c r="BG650" s="12" t="b">
        <f>EXACT(Tabla4[[#This Row],[TOTAL DESEMBOLSOS]],Tabla4[[#This Row],[VALOR ATENCIÓN (8 MESES)]])</f>
        <v>1</v>
      </c>
      <c r="BH650" s="29">
        <f>Tabla4[[#This Row],[TOTAL DESEMBOLSOS]]-Tabla4[[#This Row],[VALOR ATENCIÓN (8 MESES)]]</f>
        <v>0</v>
      </c>
      <c r="BI650" t="s">
        <v>1431</v>
      </c>
      <c r="BJ650">
        <v>1948</v>
      </c>
    </row>
    <row r="651" spans="1:62">
      <c r="A651" s="13">
        <v>1948</v>
      </c>
      <c r="B651" s="13" t="e">
        <v>#N/A</v>
      </c>
      <c r="C651" s="12" t="s">
        <v>87</v>
      </c>
      <c r="D651" s="12" t="s">
        <v>987</v>
      </c>
      <c r="E651" s="12" t="s">
        <v>1404</v>
      </c>
      <c r="F651" s="12" t="s">
        <v>18</v>
      </c>
      <c r="G651" s="12" t="s">
        <v>90</v>
      </c>
      <c r="H651" s="12" t="s">
        <v>1469</v>
      </c>
      <c r="I651" s="12">
        <v>52501151135</v>
      </c>
      <c r="J651" s="12" t="s">
        <v>1470</v>
      </c>
      <c r="K651" s="12">
        <v>1</v>
      </c>
      <c r="L651" s="12">
        <v>20</v>
      </c>
      <c r="M651" s="12"/>
      <c r="N651" s="13">
        <v>1948</v>
      </c>
      <c r="O651" s="12" t="s">
        <v>93</v>
      </c>
      <c r="P651" s="12"/>
      <c r="Q651" s="12"/>
      <c r="R651" s="12" t="s">
        <v>94</v>
      </c>
      <c r="S651" s="12">
        <v>10</v>
      </c>
      <c r="T651" s="12" t="s">
        <v>1429</v>
      </c>
      <c r="U651" s="12" t="s">
        <v>1430</v>
      </c>
      <c r="V651" s="12">
        <f>VLOOKUP(Tabla4[[#This Row],[ZONA DEFINITIVO]],Hoja1!$A$1:$D$121,3,0)</f>
        <v>229957</v>
      </c>
      <c r="W651" s="12">
        <f>VLOOKUP(Tabla4[[#This Row],[ZONA DEFINITIVO]],Hoja1!$A$1:$D$121,2,0)</f>
        <v>17467</v>
      </c>
      <c r="X651" s="12">
        <f>VLOOKUP(Tabla4[[#This Row],[ZONA DEFINITIVO]],Hoja1!$A$1:$D$121,4,0)</f>
        <v>107825</v>
      </c>
      <c r="Y651" s="12" t="str">
        <f>+IF(Tabla4[[#This Row],[AGRUPACIONES]]=1,SUMIFS(Tabla4[UDS],Tabla4[ZONA DEFINITIVO],Tabla4[[#This Row],[ZONA DEFINITIVO]])," ")</f>
        <v xml:space="preserve"> </v>
      </c>
      <c r="Z651" s="12" t="str">
        <f>+IF(Tabla4[[#This Row],[AGRUPACIONES]]=1,SUMIFS(Tabla4[TOTAL COBERTURA],Tabla4[ZONA DEFINITIVO],Tabla4[[#This Row],[ZONA DEFINITIVO]])," ")</f>
        <v xml:space="preserve"> </v>
      </c>
      <c r="AA651" s="12"/>
      <c r="AB651" s="38">
        <v>43603860</v>
      </c>
      <c r="AC651" s="37">
        <v>0.02</v>
      </c>
      <c r="AD651" s="38">
        <f t="shared" si="10"/>
        <v>872077.20000000007</v>
      </c>
      <c r="AE651" s="12"/>
      <c r="AF651" s="12">
        <f>COUNTIF($A$20:A651,A651)</f>
        <v>25</v>
      </c>
      <c r="AG651" s="38">
        <v>43603860</v>
      </c>
      <c r="AH651" s="38">
        <f>Tabla4[[#This Row],[VALOR CONTRAPARTIDA]]+Tabla4[[#This Row],[TOTAL APORTES ICBF]]</f>
        <v>44475937.200000003</v>
      </c>
      <c r="AI651" s="35"/>
      <c r="AJ651" s="38"/>
      <c r="AK651" s="38"/>
      <c r="AL651" s="23"/>
      <c r="AM651" s="35">
        <f>VLOOKUP(Tabla4[[#This Row],[SERVICIO 2025]],$J$2:$V$14,5,0)*Tabla4[[#This Row],[TOTAL COBERTURA]]</f>
        <v>987520</v>
      </c>
      <c r="AN651" s="35">
        <f>VLOOKUP(Tabla4[[#This Row],[SERVICIO 2025]],$J$2:$V$14,6,0)*Tabla4[[#This Row],[TOTAL COBERTURA]]</f>
        <v>820580</v>
      </c>
      <c r="AO651" s="35">
        <f>VLOOKUP(Tabla4[[#This Row],[SERVICIO 2025]],$J$2:$V$14,8,0)*Tabla4[[#This Row],[TOTAL COBERTURA]]</f>
        <v>582000</v>
      </c>
      <c r="AP651" s="35">
        <f>VLOOKUP(Tabla4[[#This Row],[SERVICIO 2025]],$J$2:$V$14,3,0)*Tabla4[[#This Row],[TOTAL COBERTURA]]*8</f>
        <v>41213760</v>
      </c>
      <c r="AQ651" s="35"/>
      <c r="AR651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651" s="35" t="str">
        <f>+IF(Tabla4[[#This Row],[AGRUPACIONES]]=1,SUMIFS(Tabla4[VALOR TOTAL],Tabla4[ZONA DEFINITIVO],Tabla4[[#This Row],[ZONA DEFINITIVO]])," ")</f>
        <v xml:space="preserve"> </v>
      </c>
      <c r="AT651" s="27">
        <f>(VLOOKUP(Tabla4[[#This Row],[SERVICIO 2025]],$J$2:$V$14,3,0)*Tabla4[[#This Row],[TOTAL COBERTURA]])+Tabla4[[#This Row],[VALOR FASE PREPARATORIA DE ALISTAMIENTO]]+Tabla4[[#This Row],[DOTACIÓN ÚNICA]]</f>
        <v>6721240</v>
      </c>
      <c r="AU651" s="35">
        <f>(VLOOKUP(Tabla4[[#This Row],[SERVICIO 2025]],$J$2:$V$14,3,0)*Tabla4[[#This Row],[TOTAL COBERTURA]])</f>
        <v>5151720</v>
      </c>
      <c r="AV651" s="35">
        <f>(VLOOKUP(Tabla4[[#This Row],[SERVICIO 2025]],$J$2:$V$14,3,0)*Tabla4[[#This Row],[TOTAL COBERTURA]])</f>
        <v>5151720</v>
      </c>
      <c r="AW651" s="35">
        <f>(VLOOKUP(Tabla4[[#This Row],[SERVICIO 2025]],$J$2:$V$14,3,0)*Tabla4[[#This Row],[TOTAL COBERTURA]])</f>
        <v>5151720</v>
      </c>
      <c r="AX651" s="35">
        <f>(VLOOKUP(Tabla4[[#This Row],[SERVICIO 2025]],$J$2:$V$14,3,0)*Tabla4[[#This Row],[TOTAL COBERTURA]])</f>
        <v>5151720</v>
      </c>
      <c r="AY651" s="35">
        <f>(VLOOKUP(Tabla4[[#This Row],[SERVICIO 2025]],$J$2:$V$14,3,0)*Tabla4[[#This Row],[TOTAL COBERTURA]])</f>
        <v>5151720</v>
      </c>
      <c r="AZ651" s="35">
        <f>(VLOOKUP(Tabla4[[#This Row],[SERVICIO 2025]],$J$2:$V$14,3,0)*Tabla4[[#This Row],[TOTAL COBERTURA]])</f>
        <v>5151720</v>
      </c>
      <c r="BA651" s="35">
        <f>(VLOOKUP(Tabla4[[#This Row],[SERVICIO 2025]],$J$2:$V$14,3,0)*Tabla4[[#This Row],[TOTAL COBERTURA]])+Tabla4[[#This Row],[VALOR FASE PREPARATORIA DE CIERRE]]</f>
        <v>5972300</v>
      </c>
      <c r="BB651" s="35">
        <f>SUM(Tabla4[[#This Row],[DESEMBOLSO 1]:[DESEMBOLSO 8]])</f>
        <v>43603860</v>
      </c>
      <c r="BC651" s="35">
        <f>VLOOKUP(Tabla4[[#This Row],[SERVICIO 2025]],$J$2:$V$14,10,0)*Tabla4[[#This Row],[TOTAL COBERTURA]]*$W$3</f>
        <v>28861280</v>
      </c>
      <c r="BD651" s="47" t="s">
        <v>211</v>
      </c>
      <c r="BE651" s="12" t="b">
        <f>EXACT(Tabla4[[#This Row],[VALOR ATENCIÓN (8 MESES)]],Tabla4[[#This Row],[VALOR TOTAL]])</f>
        <v>1</v>
      </c>
      <c r="BF651" s="23">
        <f>Tabla4[[#This Row],[VALOR ATENCIÓN (8 MESES)]]-Tabla4[[#This Row],[VALOR TOTAL]]</f>
        <v>0</v>
      </c>
      <c r="BG651" s="12" t="b">
        <f>EXACT(Tabla4[[#This Row],[TOTAL DESEMBOLSOS]],Tabla4[[#This Row],[VALOR ATENCIÓN (8 MESES)]])</f>
        <v>1</v>
      </c>
      <c r="BH651" s="29">
        <f>Tabla4[[#This Row],[TOTAL DESEMBOLSOS]]-Tabla4[[#This Row],[VALOR ATENCIÓN (8 MESES)]]</f>
        <v>0</v>
      </c>
      <c r="BI651" t="s">
        <v>1431</v>
      </c>
      <c r="BJ651">
        <v>1948</v>
      </c>
    </row>
    <row r="652" spans="1:62">
      <c r="A652" s="13">
        <v>1948</v>
      </c>
      <c r="B652" s="13" t="e">
        <v>#N/A</v>
      </c>
      <c r="C652" s="12" t="s">
        <v>87</v>
      </c>
      <c r="D652" s="12" t="s">
        <v>987</v>
      </c>
      <c r="E652" s="12" t="s">
        <v>1404</v>
      </c>
      <c r="F652" s="12" t="s">
        <v>18</v>
      </c>
      <c r="G652" s="12" t="s">
        <v>90</v>
      </c>
      <c r="H652" s="12" t="s">
        <v>1471</v>
      </c>
      <c r="I652" s="12">
        <v>52501152440</v>
      </c>
      <c r="J652" s="12" t="s">
        <v>1472</v>
      </c>
      <c r="K652" s="12">
        <v>1</v>
      </c>
      <c r="L652" s="12">
        <v>19</v>
      </c>
      <c r="M652" s="12"/>
      <c r="N652" s="13">
        <v>1948</v>
      </c>
      <c r="O652" s="12" t="s">
        <v>93</v>
      </c>
      <c r="P652" s="12"/>
      <c r="Q652" s="12"/>
      <c r="R652" s="12" t="s">
        <v>94</v>
      </c>
      <c r="S652" s="12">
        <v>10</v>
      </c>
      <c r="T652" s="12" t="s">
        <v>1429</v>
      </c>
      <c r="U652" s="12" t="s">
        <v>1430</v>
      </c>
      <c r="V652" s="12">
        <f>VLOOKUP(Tabla4[[#This Row],[ZONA DEFINITIVO]],Hoja1!$A$1:$D$121,3,0)</f>
        <v>229957</v>
      </c>
      <c r="W652" s="12">
        <f>VLOOKUP(Tabla4[[#This Row],[ZONA DEFINITIVO]],Hoja1!$A$1:$D$121,2,0)</f>
        <v>17467</v>
      </c>
      <c r="X652" s="12">
        <f>VLOOKUP(Tabla4[[#This Row],[ZONA DEFINITIVO]],Hoja1!$A$1:$D$121,4,0)</f>
        <v>107825</v>
      </c>
      <c r="Y652" s="12" t="str">
        <f>+IF(Tabla4[[#This Row],[AGRUPACIONES]]=1,SUMIFS(Tabla4[UDS],Tabla4[ZONA DEFINITIVO],Tabla4[[#This Row],[ZONA DEFINITIVO]])," ")</f>
        <v xml:space="preserve"> </v>
      </c>
      <c r="Z652" s="12" t="str">
        <f>+IF(Tabla4[[#This Row],[AGRUPACIONES]]=1,SUMIFS(Tabla4[TOTAL COBERTURA],Tabla4[ZONA DEFINITIVO],Tabla4[[#This Row],[ZONA DEFINITIVO]])," ")</f>
        <v xml:space="preserve"> </v>
      </c>
      <c r="AA652" s="12"/>
      <c r="AB652" s="38">
        <v>41423667</v>
      </c>
      <c r="AC652" s="37">
        <v>0.02</v>
      </c>
      <c r="AD652" s="38">
        <f t="shared" si="10"/>
        <v>828473.34</v>
      </c>
      <c r="AE652" s="12"/>
      <c r="AF652" s="12">
        <f>COUNTIF($A$20:A652,A652)</f>
        <v>26</v>
      </c>
      <c r="AG652" s="38">
        <v>41423667</v>
      </c>
      <c r="AH652" s="38">
        <f>Tabla4[[#This Row],[VALOR CONTRAPARTIDA]]+Tabla4[[#This Row],[TOTAL APORTES ICBF]]</f>
        <v>42252140.340000004</v>
      </c>
      <c r="AI652" s="35"/>
      <c r="AJ652" s="38"/>
      <c r="AK652" s="38"/>
      <c r="AL652" s="23"/>
      <c r="AM652" s="35">
        <f>VLOOKUP(Tabla4[[#This Row],[SERVICIO 2025]],$J$2:$V$14,5,0)*Tabla4[[#This Row],[TOTAL COBERTURA]]</f>
        <v>938144</v>
      </c>
      <c r="AN652" s="35">
        <f>VLOOKUP(Tabla4[[#This Row],[SERVICIO 2025]],$J$2:$V$14,6,0)*Tabla4[[#This Row],[TOTAL COBERTURA]]</f>
        <v>779551</v>
      </c>
      <c r="AO652" s="35">
        <f>VLOOKUP(Tabla4[[#This Row],[SERVICIO 2025]],$J$2:$V$14,8,0)*Tabla4[[#This Row],[TOTAL COBERTURA]]</f>
        <v>552900</v>
      </c>
      <c r="AP652" s="35">
        <f>VLOOKUP(Tabla4[[#This Row],[SERVICIO 2025]],$J$2:$V$14,3,0)*Tabla4[[#This Row],[TOTAL COBERTURA]]*8</f>
        <v>39153072</v>
      </c>
      <c r="AQ652" s="35"/>
      <c r="AR652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652" s="35" t="str">
        <f>+IF(Tabla4[[#This Row],[AGRUPACIONES]]=1,SUMIFS(Tabla4[VALOR TOTAL],Tabla4[ZONA DEFINITIVO],Tabla4[[#This Row],[ZONA DEFINITIVO]])," ")</f>
        <v xml:space="preserve"> </v>
      </c>
      <c r="AT652" s="27">
        <f>(VLOOKUP(Tabla4[[#This Row],[SERVICIO 2025]],$J$2:$V$14,3,0)*Tabla4[[#This Row],[TOTAL COBERTURA]])+Tabla4[[#This Row],[VALOR FASE PREPARATORIA DE ALISTAMIENTO]]+Tabla4[[#This Row],[DOTACIÓN ÚNICA]]</f>
        <v>6385178</v>
      </c>
      <c r="AU652" s="35">
        <f>(VLOOKUP(Tabla4[[#This Row],[SERVICIO 2025]],$J$2:$V$14,3,0)*Tabla4[[#This Row],[TOTAL COBERTURA]])</f>
        <v>4894134</v>
      </c>
      <c r="AV652" s="35">
        <f>(VLOOKUP(Tabla4[[#This Row],[SERVICIO 2025]],$J$2:$V$14,3,0)*Tabla4[[#This Row],[TOTAL COBERTURA]])</f>
        <v>4894134</v>
      </c>
      <c r="AW652" s="35">
        <f>(VLOOKUP(Tabla4[[#This Row],[SERVICIO 2025]],$J$2:$V$14,3,0)*Tabla4[[#This Row],[TOTAL COBERTURA]])</f>
        <v>4894134</v>
      </c>
      <c r="AX652" s="35">
        <f>(VLOOKUP(Tabla4[[#This Row],[SERVICIO 2025]],$J$2:$V$14,3,0)*Tabla4[[#This Row],[TOTAL COBERTURA]])</f>
        <v>4894134</v>
      </c>
      <c r="AY652" s="35">
        <f>(VLOOKUP(Tabla4[[#This Row],[SERVICIO 2025]],$J$2:$V$14,3,0)*Tabla4[[#This Row],[TOTAL COBERTURA]])</f>
        <v>4894134</v>
      </c>
      <c r="AZ652" s="35">
        <f>(VLOOKUP(Tabla4[[#This Row],[SERVICIO 2025]],$J$2:$V$14,3,0)*Tabla4[[#This Row],[TOTAL COBERTURA]])</f>
        <v>4894134</v>
      </c>
      <c r="BA652" s="35">
        <f>(VLOOKUP(Tabla4[[#This Row],[SERVICIO 2025]],$J$2:$V$14,3,0)*Tabla4[[#This Row],[TOTAL COBERTURA]])+Tabla4[[#This Row],[VALOR FASE PREPARATORIA DE CIERRE]]</f>
        <v>5673685</v>
      </c>
      <c r="BB652" s="35">
        <f>SUM(Tabla4[[#This Row],[DESEMBOLSO 1]:[DESEMBOLSO 8]])</f>
        <v>41423667</v>
      </c>
      <c r="BC652" s="35">
        <f>VLOOKUP(Tabla4[[#This Row],[SERVICIO 2025]],$J$2:$V$14,10,0)*Tabla4[[#This Row],[TOTAL COBERTURA]]*$W$3</f>
        <v>27418216</v>
      </c>
      <c r="BD652" s="47" t="s">
        <v>211</v>
      </c>
      <c r="BE652" s="12" t="b">
        <f>EXACT(Tabla4[[#This Row],[VALOR ATENCIÓN (8 MESES)]],Tabla4[[#This Row],[VALOR TOTAL]])</f>
        <v>1</v>
      </c>
      <c r="BF652" s="23">
        <f>Tabla4[[#This Row],[VALOR ATENCIÓN (8 MESES)]]-Tabla4[[#This Row],[VALOR TOTAL]]</f>
        <v>0</v>
      </c>
      <c r="BG652" s="12" t="b">
        <f>EXACT(Tabla4[[#This Row],[TOTAL DESEMBOLSOS]],Tabla4[[#This Row],[VALOR ATENCIÓN (8 MESES)]])</f>
        <v>1</v>
      </c>
      <c r="BH652" s="29">
        <f>Tabla4[[#This Row],[TOTAL DESEMBOLSOS]]-Tabla4[[#This Row],[VALOR ATENCIÓN (8 MESES)]]</f>
        <v>0</v>
      </c>
      <c r="BI652" t="s">
        <v>1431</v>
      </c>
      <c r="BJ652">
        <v>1948</v>
      </c>
    </row>
    <row r="653" spans="1:62">
      <c r="A653" s="13">
        <v>1949</v>
      </c>
      <c r="B653" s="13" t="s">
        <v>1473</v>
      </c>
      <c r="C653" s="12" t="s">
        <v>87</v>
      </c>
      <c r="D653" s="12" t="s">
        <v>1293</v>
      </c>
      <c r="E653" s="12" t="s">
        <v>1474</v>
      </c>
      <c r="F653" s="12" t="s">
        <v>21</v>
      </c>
      <c r="G653" s="12" t="s">
        <v>90</v>
      </c>
      <c r="H653" s="12" t="s">
        <v>1475</v>
      </c>
      <c r="I653" s="12">
        <v>56971115445</v>
      </c>
      <c r="J653" s="12" t="s">
        <v>1476</v>
      </c>
      <c r="K653" s="12">
        <v>1</v>
      </c>
      <c r="L653" s="12">
        <v>50</v>
      </c>
      <c r="M653" s="12"/>
      <c r="N653" s="13">
        <v>1949</v>
      </c>
      <c r="O653" s="12" t="s">
        <v>93</v>
      </c>
      <c r="P653" s="12"/>
      <c r="Q653" s="12"/>
      <c r="R653" s="12" t="s">
        <v>94</v>
      </c>
      <c r="S653" s="12">
        <v>10</v>
      </c>
      <c r="T653" s="12" t="s">
        <v>1477</v>
      </c>
      <c r="U653" s="12" t="s">
        <v>1478</v>
      </c>
      <c r="V653" s="12">
        <f>VLOOKUP(Tabla4[[#This Row],[ZONA DEFINITIVO]],Hoja1!$A$1:$D$121,3,0)</f>
        <v>229114</v>
      </c>
      <c r="W653" s="12">
        <f>VLOOKUP(Tabla4[[#This Row],[ZONA DEFINITIVO]],Hoja1!$A$1:$D$121,2,0)</f>
        <v>15207</v>
      </c>
      <c r="X653" s="12">
        <f>VLOOKUP(Tabla4[[#This Row],[ZONA DEFINITIVO]],Hoja1!$A$1:$D$121,4,0)</f>
        <v>92525</v>
      </c>
      <c r="Y653" s="12">
        <f>+IF(Tabla4[[#This Row],[AGRUPACIONES]]=1,SUMIFS(Tabla4[UDS],Tabla4[ZONA DEFINITIVO],Tabla4[[#This Row],[ZONA DEFINITIVO]])," ")</f>
        <v>9</v>
      </c>
      <c r="Z653" s="12">
        <f>+IF(Tabla4[[#This Row],[AGRUPACIONES]]=1,SUMIFS(Tabla4[TOTAL COBERTURA],Tabla4[ZONA DEFINITIVO],Tabla4[[#This Row],[ZONA DEFINITIVO]])," ")</f>
        <v>746</v>
      </c>
      <c r="AA653" s="12"/>
      <c r="AB653" s="38">
        <v>75965250</v>
      </c>
      <c r="AC653" s="37">
        <v>0.02</v>
      </c>
      <c r="AD653" s="38">
        <f t="shared" si="10"/>
        <v>1519305</v>
      </c>
      <c r="AE653" s="12"/>
      <c r="AF653" s="12">
        <f>COUNTIF($A$20:A653,A653)</f>
        <v>1</v>
      </c>
      <c r="AG653" s="38">
        <v>75965250</v>
      </c>
      <c r="AH653" s="38">
        <f>Tabla4[[#This Row],[VALOR CONTRAPARTIDA]]+Tabla4[[#This Row],[TOTAL APORTES ICBF]]</f>
        <v>77484555</v>
      </c>
      <c r="AI653" s="35">
        <f>ROUND(+IF(Tabla4[[#This Row],[AGRUPACIONES]]=1,SUMIFS(Tabla4[TOTAL APORTES ICBF],Tabla4[ZONA DEFINITIVO],Tabla4[[#This Row],[ZONA DEFINITIVO]])," "),0)</f>
        <v>2659281372</v>
      </c>
      <c r="AJ653" s="38">
        <f>ROUND(+IF(Tabla4[[#This Row],[AGRUPACIONES]]=1,SUMIFS(Tabla4[VALOR CONTRAPARTIDA],Tabla4[ZONA DEFINITIVO],Tabla4[[#This Row],[ZONA DEFINITIVO]])," "),0)</f>
        <v>53185627</v>
      </c>
      <c r="AK653" s="38">
        <f>Tabla4[[#This Row],[TOTAL APORTES ICBF AGRUPADO]]+Tabla4[[#This Row],[TOTAL CONTRAPARTIDA AGRUPADO]]</f>
        <v>2712466999</v>
      </c>
      <c r="AL653" s="23">
        <f>Tabla4[[#This Row],[TOTAL APORTES ICBF AGRUPADO]]/$AL$18</f>
        <v>1868.128817702845</v>
      </c>
      <c r="AM653" s="35">
        <f>VLOOKUP(Tabla4[[#This Row],[SERVICIO 2025]],$J$2:$V$14,5,0)*Tabla4[[#This Row],[TOTAL COBERTURA]]</f>
        <v>2337200</v>
      </c>
      <c r="AN653" s="35">
        <f>VLOOKUP(Tabla4[[#This Row],[SERVICIO 2025]],$J$2:$V$14,6,0)*Tabla4[[#This Row],[TOTAL COBERTURA]]</f>
        <v>1892050</v>
      </c>
      <c r="AO653" s="35">
        <f>VLOOKUP(Tabla4[[#This Row],[SERVICIO 2025]],$J$2:$V$14,8,0)*Tabla4[[#This Row],[TOTAL COBERTURA]]</f>
        <v>0</v>
      </c>
      <c r="AP653" s="35">
        <f>VLOOKUP(Tabla4[[#This Row],[SERVICIO 2025]],$J$2:$V$14,3,0)*Tabla4[[#This Row],[TOTAL COBERTURA]]*8</f>
        <v>71736000</v>
      </c>
      <c r="AQ653" s="35"/>
      <c r="AR653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653" s="35">
        <f>+IF(Tabla4[[#This Row],[AGRUPACIONES]]=1,SUMIFS(Tabla4[VALOR TOTAL],Tabla4[ZONA DEFINITIVO],Tabla4[[#This Row],[ZONA DEFINITIVO]])," ")</f>
        <v>2659281372</v>
      </c>
      <c r="AT653" s="27">
        <f>(VLOOKUP(Tabla4[[#This Row],[SERVICIO 2025]],$J$2:$V$14,3,0)*Tabla4[[#This Row],[TOTAL COBERTURA]])+Tabla4[[#This Row],[VALOR FASE PREPARATORIA DE ALISTAMIENTO]]+Tabla4[[#This Row],[DOTACIÓN ÚNICA]]</f>
        <v>11304200</v>
      </c>
      <c r="AU653" s="35">
        <f>(VLOOKUP(Tabla4[[#This Row],[SERVICIO 2025]],$J$2:$V$14,3,0)*Tabla4[[#This Row],[TOTAL COBERTURA]])</f>
        <v>8967000</v>
      </c>
      <c r="AV653" s="35">
        <f>(VLOOKUP(Tabla4[[#This Row],[SERVICIO 2025]],$J$2:$V$14,3,0)*Tabla4[[#This Row],[TOTAL COBERTURA]])</f>
        <v>8967000</v>
      </c>
      <c r="AW653" s="35">
        <f>(VLOOKUP(Tabla4[[#This Row],[SERVICIO 2025]],$J$2:$V$14,3,0)*Tabla4[[#This Row],[TOTAL COBERTURA]])</f>
        <v>8967000</v>
      </c>
      <c r="AX653" s="35">
        <f>(VLOOKUP(Tabla4[[#This Row],[SERVICIO 2025]],$J$2:$V$14,3,0)*Tabla4[[#This Row],[TOTAL COBERTURA]])</f>
        <v>8967000</v>
      </c>
      <c r="AY653" s="35">
        <f>(VLOOKUP(Tabla4[[#This Row],[SERVICIO 2025]],$J$2:$V$14,3,0)*Tabla4[[#This Row],[TOTAL COBERTURA]])</f>
        <v>8967000</v>
      </c>
      <c r="AZ653" s="35">
        <f>(VLOOKUP(Tabla4[[#This Row],[SERVICIO 2025]],$J$2:$V$14,3,0)*Tabla4[[#This Row],[TOTAL COBERTURA]])</f>
        <v>8967000</v>
      </c>
      <c r="BA653" s="35">
        <f>(VLOOKUP(Tabla4[[#This Row],[SERVICIO 2025]],$J$2:$V$14,3,0)*Tabla4[[#This Row],[TOTAL COBERTURA]])+Tabla4[[#This Row],[VALOR FASE PREPARATORIA DE CIERRE]]</f>
        <v>10859050</v>
      </c>
      <c r="BB653" s="35">
        <f>SUM(Tabla4[[#This Row],[DESEMBOLSO 1]:[DESEMBOLSO 8]])</f>
        <v>75965250</v>
      </c>
      <c r="BC653" s="35">
        <f>VLOOKUP(Tabla4[[#This Row],[SERVICIO 2025]],$J$2:$V$14,10,0)*Tabla4[[#This Row],[TOTAL COBERTURA]]*$W$3</f>
        <v>75328400</v>
      </c>
      <c r="BD653" s="47" t="s">
        <v>211</v>
      </c>
      <c r="BE653" s="12" t="b">
        <f>EXACT(Tabla4[[#This Row],[VALOR ATENCIÓN (8 MESES)]],Tabla4[[#This Row],[VALOR TOTAL]])</f>
        <v>1</v>
      </c>
      <c r="BF653" s="23">
        <f>Tabla4[[#This Row],[VALOR ATENCIÓN (8 MESES)]]-Tabla4[[#This Row],[VALOR TOTAL]]</f>
        <v>0</v>
      </c>
      <c r="BG653" s="12" t="b">
        <f>EXACT(Tabla4[[#This Row],[TOTAL DESEMBOLSOS]],Tabla4[[#This Row],[VALOR ATENCIÓN (8 MESES)]])</f>
        <v>1</v>
      </c>
      <c r="BH653" s="29">
        <f>Tabla4[[#This Row],[TOTAL DESEMBOLSOS]]-Tabla4[[#This Row],[VALOR ATENCIÓN (8 MESES)]]</f>
        <v>0</v>
      </c>
      <c r="BI653" t="s">
        <v>98</v>
      </c>
      <c r="BJ653">
        <v>1949</v>
      </c>
    </row>
    <row r="654" spans="1:62">
      <c r="A654" s="13">
        <v>1949</v>
      </c>
      <c r="B654" s="13" t="s">
        <v>1473</v>
      </c>
      <c r="C654" s="12" t="s">
        <v>87</v>
      </c>
      <c r="D654" s="12" t="s">
        <v>1293</v>
      </c>
      <c r="E654" s="12" t="s">
        <v>1474</v>
      </c>
      <c r="F654" s="12" t="s">
        <v>21</v>
      </c>
      <c r="G654" s="12" t="s">
        <v>90</v>
      </c>
      <c r="H654" s="12" t="s">
        <v>1479</v>
      </c>
      <c r="I654" s="12">
        <v>56971136666</v>
      </c>
      <c r="J654" s="12" t="s">
        <v>1480</v>
      </c>
      <c r="K654" s="12">
        <v>1</v>
      </c>
      <c r="L654" s="12">
        <v>50</v>
      </c>
      <c r="M654" s="12"/>
      <c r="N654" s="13">
        <v>1949</v>
      </c>
      <c r="O654" s="12" t="s">
        <v>93</v>
      </c>
      <c r="P654" s="12"/>
      <c r="Q654" s="12"/>
      <c r="R654" s="12" t="s">
        <v>94</v>
      </c>
      <c r="S654" s="12">
        <v>10</v>
      </c>
      <c r="T654" s="12" t="s">
        <v>1477</v>
      </c>
      <c r="U654" s="12" t="s">
        <v>1478</v>
      </c>
      <c r="V654" s="12">
        <f>VLOOKUP(Tabla4[[#This Row],[ZONA DEFINITIVO]],Hoja1!$A$1:$D$121,3,0)</f>
        <v>229114</v>
      </c>
      <c r="W654" s="12">
        <f>VLOOKUP(Tabla4[[#This Row],[ZONA DEFINITIVO]],Hoja1!$A$1:$D$121,2,0)</f>
        <v>15207</v>
      </c>
      <c r="X654" s="12">
        <f>VLOOKUP(Tabla4[[#This Row],[ZONA DEFINITIVO]],Hoja1!$A$1:$D$121,4,0)</f>
        <v>92525</v>
      </c>
      <c r="Y654" s="12" t="str">
        <f>+IF(Tabla4[[#This Row],[AGRUPACIONES]]=1,SUMIFS(Tabla4[UDS],Tabla4[ZONA DEFINITIVO],Tabla4[[#This Row],[ZONA DEFINITIVO]])," ")</f>
        <v xml:space="preserve"> </v>
      </c>
      <c r="Z654" s="12" t="str">
        <f>+IF(Tabla4[[#This Row],[AGRUPACIONES]]=1,SUMIFS(Tabla4[TOTAL COBERTURA],Tabla4[ZONA DEFINITIVO],Tabla4[[#This Row],[ZONA DEFINITIVO]])," ")</f>
        <v xml:space="preserve"> </v>
      </c>
      <c r="AA654" s="12"/>
      <c r="AB654" s="38">
        <v>75965250</v>
      </c>
      <c r="AC654" s="37">
        <v>0.02</v>
      </c>
      <c r="AD654" s="38">
        <f t="shared" si="10"/>
        <v>1519305</v>
      </c>
      <c r="AE654" s="12"/>
      <c r="AF654" s="12">
        <f>COUNTIF($A$20:A654,A654)</f>
        <v>2</v>
      </c>
      <c r="AG654" s="38">
        <v>75965250</v>
      </c>
      <c r="AH654" s="38">
        <f>Tabla4[[#This Row],[VALOR CONTRAPARTIDA]]+Tabla4[[#This Row],[TOTAL APORTES ICBF]]</f>
        <v>77484555</v>
      </c>
      <c r="AI654" s="35"/>
      <c r="AJ654" s="38"/>
      <c r="AK654" s="38"/>
      <c r="AL654" s="23"/>
      <c r="AM654" s="35">
        <f>VLOOKUP(Tabla4[[#This Row],[SERVICIO 2025]],$J$2:$V$14,5,0)*Tabla4[[#This Row],[TOTAL COBERTURA]]</f>
        <v>2337200</v>
      </c>
      <c r="AN654" s="35">
        <f>VLOOKUP(Tabla4[[#This Row],[SERVICIO 2025]],$J$2:$V$14,6,0)*Tabla4[[#This Row],[TOTAL COBERTURA]]</f>
        <v>1892050</v>
      </c>
      <c r="AO654" s="35">
        <f>VLOOKUP(Tabla4[[#This Row],[SERVICIO 2025]],$J$2:$V$14,8,0)*Tabla4[[#This Row],[TOTAL COBERTURA]]</f>
        <v>0</v>
      </c>
      <c r="AP654" s="35">
        <f>VLOOKUP(Tabla4[[#This Row],[SERVICIO 2025]],$J$2:$V$14,3,0)*Tabla4[[#This Row],[TOTAL COBERTURA]]*8</f>
        <v>71736000</v>
      </c>
      <c r="AQ654" s="35"/>
      <c r="AR654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654" s="35" t="str">
        <f>+IF(Tabla4[[#This Row],[AGRUPACIONES]]=1,SUMIFS(Tabla4[VALOR TOTAL],Tabla4[ZONA DEFINITIVO],Tabla4[[#This Row],[ZONA DEFINITIVO]])," ")</f>
        <v xml:space="preserve"> </v>
      </c>
      <c r="AT654" s="27">
        <f>(VLOOKUP(Tabla4[[#This Row],[SERVICIO 2025]],$J$2:$V$14,3,0)*Tabla4[[#This Row],[TOTAL COBERTURA]])+Tabla4[[#This Row],[VALOR FASE PREPARATORIA DE ALISTAMIENTO]]+Tabla4[[#This Row],[DOTACIÓN ÚNICA]]</f>
        <v>11304200</v>
      </c>
      <c r="AU654" s="35">
        <f>(VLOOKUP(Tabla4[[#This Row],[SERVICIO 2025]],$J$2:$V$14,3,0)*Tabla4[[#This Row],[TOTAL COBERTURA]])</f>
        <v>8967000</v>
      </c>
      <c r="AV654" s="35">
        <f>(VLOOKUP(Tabla4[[#This Row],[SERVICIO 2025]],$J$2:$V$14,3,0)*Tabla4[[#This Row],[TOTAL COBERTURA]])</f>
        <v>8967000</v>
      </c>
      <c r="AW654" s="35">
        <f>(VLOOKUP(Tabla4[[#This Row],[SERVICIO 2025]],$J$2:$V$14,3,0)*Tabla4[[#This Row],[TOTAL COBERTURA]])</f>
        <v>8967000</v>
      </c>
      <c r="AX654" s="35">
        <f>(VLOOKUP(Tabla4[[#This Row],[SERVICIO 2025]],$J$2:$V$14,3,0)*Tabla4[[#This Row],[TOTAL COBERTURA]])</f>
        <v>8967000</v>
      </c>
      <c r="AY654" s="35">
        <f>(VLOOKUP(Tabla4[[#This Row],[SERVICIO 2025]],$J$2:$V$14,3,0)*Tabla4[[#This Row],[TOTAL COBERTURA]])</f>
        <v>8967000</v>
      </c>
      <c r="AZ654" s="35">
        <f>(VLOOKUP(Tabla4[[#This Row],[SERVICIO 2025]],$J$2:$V$14,3,0)*Tabla4[[#This Row],[TOTAL COBERTURA]])</f>
        <v>8967000</v>
      </c>
      <c r="BA654" s="35">
        <f>(VLOOKUP(Tabla4[[#This Row],[SERVICIO 2025]],$J$2:$V$14,3,0)*Tabla4[[#This Row],[TOTAL COBERTURA]])+Tabla4[[#This Row],[VALOR FASE PREPARATORIA DE CIERRE]]</f>
        <v>10859050</v>
      </c>
      <c r="BB654" s="35">
        <f>SUM(Tabla4[[#This Row],[DESEMBOLSO 1]:[DESEMBOLSO 8]])</f>
        <v>75965250</v>
      </c>
      <c r="BC654" s="35">
        <f>VLOOKUP(Tabla4[[#This Row],[SERVICIO 2025]],$J$2:$V$14,10,0)*Tabla4[[#This Row],[TOTAL COBERTURA]]*$W$3</f>
        <v>75328400</v>
      </c>
      <c r="BD654" s="47" t="s">
        <v>211</v>
      </c>
      <c r="BE654" s="12" t="b">
        <f>EXACT(Tabla4[[#This Row],[VALOR ATENCIÓN (8 MESES)]],Tabla4[[#This Row],[VALOR TOTAL]])</f>
        <v>1</v>
      </c>
      <c r="BF654" s="23">
        <f>Tabla4[[#This Row],[VALOR ATENCIÓN (8 MESES)]]-Tabla4[[#This Row],[VALOR TOTAL]]</f>
        <v>0</v>
      </c>
      <c r="BG654" s="12" t="b">
        <f>EXACT(Tabla4[[#This Row],[TOTAL DESEMBOLSOS]],Tabla4[[#This Row],[VALOR ATENCIÓN (8 MESES)]])</f>
        <v>1</v>
      </c>
      <c r="BH654" s="29">
        <f>Tabla4[[#This Row],[TOTAL DESEMBOLSOS]]-Tabla4[[#This Row],[VALOR ATENCIÓN (8 MESES)]]</f>
        <v>0</v>
      </c>
      <c r="BI654" t="s">
        <v>98</v>
      </c>
      <c r="BJ654">
        <v>1949</v>
      </c>
    </row>
    <row r="655" spans="1:62">
      <c r="A655" s="13">
        <v>1949</v>
      </c>
      <c r="B655" s="13" t="s">
        <v>1473</v>
      </c>
      <c r="C655" s="12" t="s">
        <v>87</v>
      </c>
      <c r="D655" s="12" t="s">
        <v>1293</v>
      </c>
      <c r="E655" s="12" t="s">
        <v>1474</v>
      </c>
      <c r="F655" s="12" t="s">
        <v>21</v>
      </c>
      <c r="G655" s="12" t="s">
        <v>90</v>
      </c>
      <c r="H655" s="12" t="s">
        <v>1481</v>
      </c>
      <c r="I655" s="12">
        <v>56971136680</v>
      </c>
      <c r="J655" s="12" t="s">
        <v>1482</v>
      </c>
      <c r="K655" s="12">
        <v>1</v>
      </c>
      <c r="L655" s="12">
        <v>50</v>
      </c>
      <c r="M655" s="12"/>
      <c r="N655" s="13">
        <v>1949</v>
      </c>
      <c r="O655" s="12" t="s">
        <v>93</v>
      </c>
      <c r="P655" s="12"/>
      <c r="Q655" s="12"/>
      <c r="R655" s="12" t="s">
        <v>94</v>
      </c>
      <c r="S655" s="12">
        <v>10</v>
      </c>
      <c r="T655" s="12" t="s">
        <v>1477</v>
      </c>
      <c r="U655" s="12" t="s">
        <v>1478</v>
      </c>
      <c r="V655" s="12">
        <f>VLOOKUP(Tabla4[[#This Row],[ZONA DEFINITIVO]],Hoja1!$A$1:$D$121,3,0)</f>
        <v>229114</v>
      </c>
      <c r="W655" s="12">
        <f>VLOOKUP(Tabla4[[#This Row],[ZONA DEFINITIVO]],Hoja1!$A$1:$D$121,2,0)</f>
        <v>15207</v>
      </c>
      <c r="X655" s="12">
        <f>VLOOKUP(Tabla4[[#This Row],[ZONA DEFINITIVO]],Hoja1!$A$1:$D$121,4,0)</f>
        <v>92525</v>
      </c>
      <c r="Y655" s="12" t="str">
        <f>+IF(Tabla4[[#This Row],[AGRUPACIONES]]=1,SUMIFS(Tabla4[UDS],Tabla4[ZONA DEFINITIVO],Tabla4[[#This Row],[ZONA DEFINITIVO]])," ")</f>
        <v xml:space="preserve"> </v>
      </c>
      <c r="Z655" s="12" t="str">
        <f>+IF(Tabla4[[#This Row],[AGRUPACIONES]]=1,SUMIFS(Tabla4[TOTAL COBERTURA],Tabla4[ZONA DEFINITIVO],Tabla4[[#This Row],[ZONA DEFINITIVO]])," ")</f>
        <v xml:space="preserve"> </v>
      </c>
      <c r="AA655" s="12"/>
      <c r="AB655" s="38">
        <v>75965250</v>
      </c>
      <c r="AC655" s="37">
        <v>0.02</v>
      </c>
      <c r="AD655" s="38">
        <f t="shared" si="10"/>
        <v>1519305</v>
      </c>
      <c r="AE655" s="12"/>
      <c r="AF655" s="12">
        <f>COUNTIF($A$20:A655,A655)</f>
        <v>3</v>
      </c>
      <c r="AG655" s="38">
        <v>75965250</v>
      </c>
      <c r="AH655" s="38">
        <f>Tabla4[[#This Row],[VALOR CONTRAPARTIDA]]+Tabla4[[#This Row],[TOTAL APORTES ICBF]]</f>
        <v>77484555</v>
      </c>
      <c r="AI655" s="35"/>
      <c r="AJ655" s="38"/>
      <c r="AK655" s="38"/>
      <c r="AL655" s="23"/>
      <c r="AM655" s="35">
        <f>VLOOKUP(Tabla4[[#This Row],[SERVICIO 2025]],$J$2:$V$14,5,0)*Tabla4[[#This Row],[TOTAL COBERTURA]]</f>
        <v>2337200</v>
      </c>
      <c r="AN655" s="35">
        <f>VLOOKUP(Tabla4[[#This Row],[SERVICIO 2025]],$J$2:$V$14,6,0)*Tabla4[[#This Row],[TOTAL COBERTURA]]</f>
        <v>1892050</v>
      </c>
      <c r="AO655" s="35">
        <f>VLOOKUP(Tabla4[[#This Row],[SERVICIO 2025]],$J$2:$V$14,8,0)*Tabla4[[#This Row],[TOTAL COBERTURA]]</f>
        <v>0</v>
      </c>
      <c r="AP655" s="35">
        <f>VLOOKUP(Tabla4[[#This Row],[SERVICIO 2025]],$J$2:$V$14,3,0)*Tabla4[[#This Row],[TOTAL COBERTURA]]*8</f>
        <v>71736000</v>
      </c>
      <c r="AQ655" s="35"/>
      <c r="AR655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655" s="35" t="str">
        <f>+IF(Tabla4[[#This Row],[AGRUPACIONES]]=1,SUMIFS(Tabla4[VALOR TOTAL],Tabla4[ZONA DEFINITIVO],Tabla4[[#This Row],[ZONA DEFINITIVO]])," ")</f>
        <v xml:space="preserve"> </v>
      </c>
      <c r="AT655" s="27">
        <f>(VLOOKUP(Tabla4[[#This Row],[SERVICIO 2025]],$J$2:$V$14,3,0)*Tabla4[[#This Row],[TOTAL COBERTURA]])+Tabla4[[#This Row],[VALOR FASE PREPARATORIA DE ALISTAMIENTO]]+Tabla4[[#This Row],[DOTACIÓN ÚNICA]]</f>
        <v>11304200</v>
      </c>
      <c r="AU655" s="35">
        <f>(VLOOKUP(Tabla4[[#This Row],[SERVICIO 2025]],$J$2:$V$14,3,0)*Tabla4[[#This Row],[TOTAL COBERTURA]])</f>
        <v>8967000</v>
      </c>
      <c r="AV655" s="35">
        <f>(VLOOKUP(Tabla4[[#This Row],[SERVICIO 2025]],$J$2:$V$14,3,0)*Tabla4[[#This Row],[TOTAL COBERTURA]])</f>
        <v>8967000</v>
      </c>
      <c r="AW655" s="35">
        <f>(VLOOKUP(Tabla4[[#This Row],[SERVICIO 2025]],$J$2:$V$14,3,0)*Tabla4[[#This Row],[TOTAL COBERTURA]])</f>
        <v>8967000</v>
      </c>
      <c r="AX655" s="35">
        <f>(VLOOKUP(Tabla4[[#This Row],[SERVICIO 2025]],$J$2:$V$14,3,0)*Tabla4[[#This Row],[TOTAL COBERTURA]])</f>
        <v>8967000</v>
      </c>
      <c r="AY655" s="35">
        <f>(VLOOKUP(Tabla4[[#This Row],[SERVICIO 2025]],$J$2:$V$14,3,0)*Tabla4[[#This Row],[TOTAL COBERTURA]])</f>
        <v>8967000</v>
      </c>
      <c r="AZ655" s="35">
        <f>(VLOOKUP(Tabla4[[#This Row],[SERVICIO 2025]],$J$2:$V$14,3,0)*Tabla4[[#This Row],[TOTAL COBERTURA]])</f>
        <v>8967000</v>
      </c>
      <c r="BA655" s="35">
        <f>(VLOOKUP(Tabla4[[#This Row],[SERVICIO 2025]],$J$2:$V$14,3,0)*Tabla4[[#This Row],[TOTAL COBERTURA]])+Tabla4[[#This Row],[VALOR FASE PREPARATORIA DE CIERRE]]</f>
        <v>10859050</v>
      </c>
      <c r="BB655" s="35">
        <f>SUM(Tabla4[[#This Row],[DESEMBOLSO 1]:[DESEMBOLSO 8]])</f>
        <v>75965250</v>
      </c>
      <c r="BC655" s="35">
        <f>VLOOKUP(Tabla4[[#This Row],[SERVICIO 2025]],$J$2:$V$14,10,0)*Tabla4[[#This Row],[TOTAL COBERTURA]]*$W$3</f>
        <v>75328400</v>
      </c>
      <c r="BD655" s="47" t="s">
        <v>211</v>
      </c>
      <c r="BE655" s="12" t="b">
        <f>EXACT(Tabla4[[#This Row],[VALOR ATENCIÓN (8 MESES)]],Tabla4[[#This Row],[VALOR TOTAL]])</f>
        <v>1</v>
      </c>
      <c r="BF655" s="23">
        <f>Tabla4[[#This Row],[VALOR ATENCIÓN (8 MESES)]]-Tabla4[[#This Row],[VALOR TOTAL]]</f>
        <v>0</v>
      </c>
      <c r="BG655" s="12" t="b">
        <f>EXACT(Tabla4[[#This Row],[TOTAL DESEMBOLSOS]],Tabla4[[#This Row],[VALOR ATENCIÓN (8 MESES)]])</f>
        <v>1</v>
      </c>
      <c r="BH655" s="29">
        <f>Tabla4[[#This Row],[TOTAL DESEMBOLSOS]]-Tabla4[[#This Row],[VALOR ATENCIÓN (8 MESES)]]</f>
        <v>0</v>
      </c>
      <c r="BI655" t="s">
        <v>98</v>
      </c>
      <c r="BJ655">
        <v>1949</v>
      </c>
    </row>
    <row r="656" spans="1:62">
      <c r="A656" s="13">
        <v>1949</v>
      </c>
      <c r="B656" s="13" t="s">
        <v>1473</v>
      </c>
      <c r="C656" s="12" t="s">
        <v>87</v>
      </c>
      <c r="D656" s="12" t="s">
        <v>1293</v>
      </c>
      <c r="E656" s="12" t="s">
        <v>1474</v>
      </c>
      <c r="F656" s="12" t="s">
        <v>21</v>
      </c>
      <c r="G656" s="12" t="s">
        <v>90</v>
      </c>
      <c r="H656" s="12" t="s">
        <v>1483</v>
      </c>
      <c r="I656" s="12">
        <v>56971150390</v>
      </c>
      <c r="J656" s="12" t="s">
        <v>1484</v>
      </c>
      <c r="K656" s="12">
        <v>1</v>
      </c>
      <c r="L656" s="12">
        <v>50</v>
      </c>
      <c r="M656" s="12"/>
      <c r="N656" s="13">
        <v>1949</v>
      </c>
      <c r="O656" s="12" t="s">
        <v>93</v>
      </c>
      <c r="P656" s="12"/>
      <c r="Q656" s="12"/>
      <c r="R656" s="12" t="s">
        <v>94</v>
      </c>
      <c r="S656" s="12">
        <v>10</v>
      </c>
      <c r="T656" s="12" t="s">
        <v>1477</v>
      </c>
      <c r="U656" s="12" t="s">
        <v>1478</v>
      </c>
      <c r="V656" s="12">
        <f>VLOOKUP(Tabla4[[#This Row],[ZONA DEFINITIVO]],Hoja1!$A$1:$D$121,3,0)</f>
        <v>229114</v>
      </c>
      <c r="W656" s="12">
        <f>VLOOKUP(Tabla4[[#This Row],[ZONA DEFINITIVO]],Hoja1!$A$1:$D$121,2,0)</f>
        <v>15207</v>
      </c>
      <c r="X656" s="12">
        <f>VLOOKUP(Tabla4[[#This Row],[ZONA DEFINITIVO]],Hoja1!$A$1:$D$121,4,0)</f>
        <v>92525</v>
      </c>
      <c r="Y656" s="12" t="str">
        <f>+IF(Tabla4[[#This Row],[AGRUPACIONES]]=1,SUMIFS(Tabla4[UDS],Tabla4[ZONA DEFINITIVO],Tabla4[[#This Row],[ZONA DEFINITIVO]])," ")</f>
        <v xml:space="preserve"> </v>
      </c>
      <c r="Z656" s="12" t="str">
        <f>+IF(Tabla4[[#This Row],[AGRUPACIONES]]=1,SUMIFS(Tabla4[TOTAL COBERTURA],Tabla4[ZONA DEFINITIVO],Tabla4[[#This Row],[ZONA DEFINITIVO]])," ")</f>
        <v xml:space="preserve"> </v>
      </c>
      <c r="AA656" s="12"/>
      <c r="AB656" s="38">
        <v>75965250</v>
      </c>
      <c r="AC656" s="37">
        <v>0.02</v>
      </c>
      <c r="AD656" s="38">
        <f t="shared" si="10"/>
        <v>1519305</v>
      </c>
      <c r="AE656" s="12"/>
      <c r="AF656" s="12">
        <f>COUNTIF($A$20:A656,A656)</f>
        <v>4</v>
      </c>
      <c r="AG656" s="38">
        <v>75965250</v>
      </c>
      <c r="AH656" s="38">
        <f>Tabla4[[#This Row],[VALOR CONTRAPARTIDA]]+Tabla4[[#This Row],[TOTAL APORTES ICBF]]</f>
        <v>77484555</v>
      </c>
      <c r="AI656" s="35"/>
      <c r="AJ656" s="38"/>
      <c r="AK656" s="38"/>
      <c r="AL656" s="23"/>
      <c r="AM656" s="35">
        <f>VLOOKUP(Tabla4[[#This Row],[SERVICIO 2025]],$J$2:$V$14,5,0)*Tabla4[[#This Row],[TOTAL COBERTURA]]</f>
        <v>2337200</v>
      </c>
      <c r="AN656" s="35">
        <f>VLOOKUP(Tabla4[[#This Row],[SERVICIO 2025]],$J$2:$V$14,6,0)*Tabla4[[#This Row],[TOTAL COBERTURA]]</f>
        <v>1892050</v>
      </c>
      <c r="AO656" s="35">
        <f>VLOOKUP(Tabla4[[#This Row],[SERVICIO 2025]],$J$2:$V$14,8,0)*Tabla4[[#This Row],[TOTAL COBERTURA]]</f>
        <v>0</v>
      </c>
      <c r="AP656" s="35">
        <f>VLOOKUP(Tabla4[[#This Row],[SERVICIO 2025]],$J$2:$V$14,3,0)*Tabla4[[#This Row],[TOTAL COBERTURA]]*8</f>
        <v>71736000</v>
      </c>
      <c r="AQ656" s="35"/>
      <c r="AR656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656" s="35" t="str">
        <f>+IF(Tabla4[[#This Row],[AGRUPACIONES]]=1,SUMIFS(Tabla4[VALOR TOTAL],Tabla4[ZONA DEFINITIVO],Tabla4[[#This Row],[ZONA DEFINITIVO]])," ")</f>
        <v xml:space="preserve"> </v>
      </c>
      <c r="AT656" s="27">
        <f>(VLOOKUP(Tabla4[[#This Row],[SERVICIO 2025]],$J$2:$V$14,3,0)*Tabla4[[#This Row],[TOTAL COBERTURA]])+Tabla4[[#This Row],[VALOR FASE PREPARATORIA DE ALISTAMIENTO]]+Tabla4[[#This Row],[DOTACIÓN ÚNICA]]</f>
        <v>11304200</v>
      </c>
      <c r="AU656" s="35">
        <f>(VLOOKUP(Tabla4[[#This Row],[SERVICIO 2025]],$J$2:$V$14,3,0)*Tabla4[[#This Row],[TOTAL COBERTURA]])</f>
        <v>8967000</v>
      </c>
      <c r="AV656" s="35">
        <f>(VLOOKUP(Tabla4[[#This Row],[SERVICIO 2025]],$J$2:$V$14,3,0)*Tabla4[[#This Row],[TOTAL COBERTURA]])</f>
        <v>8967000</v>
      </c>
      <c r="AW656" s="35">
        <f>(VLOOKUP(Tabla4[[#This Row],[SERVICIO 2025]],$J$2:$V$14,3,0)*Tabla4[[#This Row],[TOTAL COBERTURA]])</f>
        <v>8967000</v>
      </c>
      <c r="AX656" s="35">
        <f>(VLOOKUP(Tabla4[[#This Row],[SERVICIO 2025]],$J$2:$V$14,3,0)*Tabla4[[#This Row],[TOTAL COBERTURA]])</f>
        <v>8967000</v>
      </c>
      <c r="AY656" s="35">
        <f>(VLOOKUP(Tabla4[[#This Row],[SERVICIO 2025]],$J$2:$V$14,3,0)*Tabla4[[#This Row],[TOTAL COBERTURA]])</f>
        <v>8967000</v>
      </c>
      <c r="AZ656" s="35">
        <f>(VLOOKUP(Tabla4[[#This Row],[SERVICIO 2025]],$J$2:$V$14,3,0)*Tabla4[[#This Row],[TOTAL COBERTURA]])</f>
        <v>8967000</v>
      </c>
      <c r="BA656" s="35">
        <f>(VLOOKUP(Tabla4[[#This Row],[SERVICIO 2025]],$J$2:$V$14,3,0)*Tabla4[[#This Row],[TOTAL COBERTURA]])+Tabla4[[#This Row],[VALOR FASE PREPARATORIA DE CIERRE]]</f>
        <v>10859050</v>
      </c>
      <c r="BB656" s="35">
        <f>SUM(Tabla4[[#This Row],[DESEMBOLSO 1]:[DESEMBOLSO 8]])</f>
        <v>75965250</v>
      </c>
      <c r="BC656" s="35">
        <f>VLOOKUP(Tabla4[[#This Row],[SERVICIO 2025]],$J$2:$V$14,10,0)*Tabla4[[#This Row],[TOTAL COBERTURA]]*$W$3</f>
        <v>75328400</v>
      </c>
      <c r="BD656" s="47" t="s">
        <v>211</v>
      </c>
      <c r="BE656" s="12" t="b">
        <f>EXACT(Tabla4[[#This Row],[VALOR ATENCIÓN (8 MESES)]],Tabla4[[#This Row],[VALOR TOTAL]])</f>
        <v>1</v>
      </c>
      <c r="BF656" s="23">
        <f>Tabla4[[#This Row],[VALOR ATENCIÓN (8 MESES)]]-Tabla4[[#This Row],[VALOR TOTAL]]</f>
        <v>0</v>
      </c>
      <c r="BG656" s="12" t="b">
        <f>EXACT(Tabla4[[#This Row],[TOTAL DESEMBOLSOS]],Tabla4[[#This Row],[VALOR ATENCIÓN (8 MESES)]])</f>
        <v>1</v>
      </c>
      <c r="BH656" s="29">
        <f>Tabla4[[#This Row],[TOTAL DESEMBOLSOS]]-Tabla4[[#This Row],[VALOR ATENCIÓN (8 MESES)]]</f>
        <v>0</v>
      </c>
      <c r="BI656" t="s">
        <v>98</v>
      </c>
      <c r="BJ656">
        <v>1949</v>
      </c>
    </row>
    <row r="657" spans="1:62">
      <c r="A657" s="13">
        <v>1949</v>
      </c>
      <c r="B657" s="13" t="s">
        <v>1473</v>
      </c>
      <c r="C657" s="12" t="s">
        <v>87</v>
      </c>
      <c r="D657" s="12" t="s">
        <v>1293</v>
      </c>
      <c r="E657" s="12" t="s">
        <v>1474</v>
      </c>
      <c r="F657" s="12" t="s">
        <v>15</v>
      </c>
      <c r="G657" s="12" t="s">
        <v>90</v>
      </c>
      <c r="H657" s="12" t="s">
        <v>1485</v>
      </c>
      <c r="I657" s="12">
        <v>569700023862</v>
      </c>
      <c r="J657" s="12" t="s">
        <v>1486</v>
      </c>
      <c r="K657" s="12">
        <v>1</v>
      </c>
      <c r="L657" s="12">
        <v>200</v>
      </c>
      <c r="M657" s="12"/>
      <c r="N657" s="13">
        <v>1949</v>
      </c>
      <c r="O657" s="12" t="s">
        <v>93</v>
      </c>
      <c r="P657" s="12"/>
      <c r="Q657" s="12"/>
      <c r="R657" s="12" t="s">
        <v>94</v>
      </c>
      <c r="S657" s="12">
        <v>10</v>
      </c>
      <c r="T657" s="12" t="s">
        <v>1477</v>
      </c>
      <c r="U657" s="12" t="s">
        <v>1478</v>
      </c>
      <c r="V657" s="12">
        <f>VLOOKUP(Tabla4[[#This Row],[ZONA DEFINITIVO]],Hoja1!$A$1:$D$121,3,0)</f>
        <v>229114</v>
      </c>
      <c r="W657" s="12">
        <f>VLOOKUP(Tabla4[[#This Row],[ZONA DEFINITIVO]],Hoja1!$A$1:$D$121,2,0)</f>
        <v>15207</v>
      </c>
      <c r="X657" s="12">
        <f>VLOOKUP(Tabla4[[#This Row],[ZONA DEFINITIVO]],Hoja1!$A$1:$D$121,4,0)</f>
        <v>92525</v>
      </c>
      <c r="Y657" s="12" t="str">
        <f>+IF(Tabla4[[#This Row],[AGRUPACIONES]]=1,SUMIFS(Tabla4[UDS],Tabla4[ZONA DEFINITIVO],Tabla4[[#This Row],[ZONA DEFINITIVO]])," ")</f>
        <v xml:space="preserve"> </v>
      </c>
      <c r="Z657" s="12" t="str">
        <f>+IF(Tabla4[[#This Row],[AGRUPACIONES]]=1,SUMIFS(Tabla4[TOTAL COBERTURA],Tabla4[ZONA DEFINITIVO],Tabla4[[#This Row],[ZONA DEFINITIVO]])," ")</f>
        <v xml:space="preserve"> </v>
      </c>
      <c r="AA657" s="12"/>
      <c r="AB657" s="38">
        <v>865880400</v>
      </c>
      <c r="AC657" s="37">
        <v>0.02</v>
      </c>
      <c r="AD657" s="38">
        <f t="shared" si="10"/>
        <v>17317608</v>
      </c>
      <c r="AE657" s="12"/>
      <c r="AF657" s="12">
        <f>COUNTIF($A$20:A657,A657)</f>
        <v>5</v>
      </c>
      <c r="AG657" s="38">
        <v>865880400</v>
      </c>
      <c r="AH657" s="38">
        <f>Tabla4[[#This Row],[VALOR CONTRAPARTIDA]]+Tabla4[[#This Row],[TOTAL APORTES ICBF]]</f>
        <v>883198008</v>
      </c>
      <c r="AI657" s="35"/>
      <c r="AJ657" s="38"/>
      <c r="AK657" s="38"/>
      <c r="AL657" s="23"/>
      <c r="AM657" s="35">
        <f>VLOOKUP(Tabla4[[#This Row],[SERVICIO 2025]],$J$2:$V$14,5,0)*Tabla4[[#This Row],[TOTAL COBERTURA]]</f>
        <v>17628600</v>
      </c>
      <c r="AN657" s="35">
        <f>VLOOKUP(Tabla4[[#This Row],[SERVICIO 2025]],$J$2:$V$14,6,0)*Tabla4[[#This Row],[TOTAL COBERTURA]]</f>
        <v>15008600</v>
      </c>
      <c r="AO657" s="35">
        <f>VLOOKUP(Tabla4[[#This Row],[SERVICIO 2025]],$J$2:$V$14,8,0)*Tabla4[[#This Row],[TOTAL COBERTURA]]</f>
        <v>0</v>
      </c>
      <c r="AP657" s="35">
        <f>VLOOKUP(Tabla4[[#This Row],[SERVICIO 2025]],$J$2:$V$14,3,0)*Tabla4[[#This Row],[TOTAL COBERTURA]]*8</f>
        <v>833243200</v>
      </c>
      <c r="AQ657" s="35"/>
      <c r="AR657" s="35">
        <f>Tabla4[[#This Row],[VALOR FASE PREPARATORIA DE ALISTAMIENTO]]+Tabla4[[#This Row],[VALOR FASE PREPARATORIA DE CIERRE]]+Tabla4[[#This Row],[DOTACIÓN ÚNICA]]+Tabla4[[#This Row],[VALOR ATENCIÓN]]+Tabla4[[#This Row],[VALOR RACION PREPARADA]]</f>
        <v>865880400</v>
      </c>
      <c r="AS657" s="35" t="str">
        <f>+IF(Tabla4[[#This Row],[AGRUPACIONES]]=1,SUMIFS(Tabla4[VALOR TOTAL],Tabla4[ZONA DEFINITIVO],Tabla4[[#This Row],[ZONA DEFINITIVO]])," ")</f>
        <v xml:space="preserve"> </v>
      </c>
      <c r="AT657" s="27">
        <f>(VLOOKUP(Tabla4[[#This Row],[SERVICIO 2025]],$J$2:$V$14,3,0)*Tabla4[[#This Row],[TOTAL COBERTURA]])+Tabla4[[#This Row],[VALOR FASE PREPARATORIA DE ALISTAMIENTO]]+Tabla4[[#This Row],[DOTACIÓN ÚNICA]]</f>
        <v>121784000</v>
      </c>
      <c r="AU657" s="35">
        <f>(VLOOKUP(Tabla4[[#This Row],[SERVICIO 2025]],$J$2:$V$14,3,0)*Tabla4[[#This Row],[TOTAL COBERTURA]])</f>
        <v>104155400</v>
      </c>
      <c r="AV657" s="35">
        <f>(VLOOKUP(Tabla4[[#This Row],[SERVICIO 2025]],$J$2:$V$14,3,0)*Tabla4[[#This Row],[TOTAL COBERTURA]])</f>
        <v>104155400</v>
      </c>
      <c r="AW657" s="35">
        <f>(VLOOKUP(Tabla4[[#This Row],[SERVICIO 2025]],$J$2:$V$14,3,0)*Tabla4[[#This Row],[TOTAL COBERTURA]])</f>
        <v>104155400</v>
      </c>
      <c r="AX657" s="35">
        <f>(VLOOKUP(Tabla4[[#This Row],[SERVICIO 2025]],$J$2:$V$14,3,0)*Tabla4[[#This Row],[TOTAL COBERTURA]])</f>
        <v>104155400</v>
      </c>
      <c r="AY657" s="35">
        <f>(VLOOKUP(Tabla4[[#This Row],[SERVICIO 2025]],$J$2:$V$14,3,0)*Tabla4[[#This Row],[TOTAL COBERTURA]])</f>
        <v>104155400</v>
      </c>
      <c r="AZ657" s="35">
        <f>(VLOOKUP(Tabla4[[#This Row],[SERVICIO 2025]],$J$2:$V$14,3,0)*Tabla4[[#This Row],[TOTAL COBERTURA]])</f>
        <v>104155400</v>
      </c>
      <c r="BA657" s="35">
        <f>(VLOOKUP(Tabla4[[#This Row],[SERVICIO 2025]],$J$2:$V$14,3,0)*Tabla4[[#This Row],[TOTAL COBERTURA]])+Tabla4[[#This Row],[VALOR FASE PREPARATORIA DE CIERRE]]</f>
        <v>119164000</v>
      </c>
      <c r="BB657" s="35">
        <f>SUM(Tabla4[[#This Row],[DESEMBOLSO 1]:[DESEMBOLSO 8]])</f>
        <v>865880400</v>
      </c>
      <c r="BC657" s="35">
        <f>VLOOKUP(Tabla4[[#This Row],[SERVICIO 2025]],$J$2:$V$14,10,0)*Tabla4[[#This Row],[TOTAL COBERTURA]]*$W$3</f>
        <v>0</v>
      </c>
      <c r="BD657" s="47" t="s">
        <v>145</v>
      </c>
      <c r="BE657" s="12" t="b">
        <f>EXACT(Tabla4[[#This Row],[VALOR ATENCIÓN (8 MESES)]],Tabla4[[#This Row],[VALOR TOTAL]])</f>
        <v>1</v>
      </c>
      <c r="BF657" s="23">
        <f>Tabla4[[#This Row],[VALOR ATENCIÓN (8 MESES)]]-Tabla4[[#This Row],[VALOR TOTAL]]</f>
        <v>0</v>
      </c>
      <c r="BG657" s="12" t="b">
        <f>EXACT(Tabla4[[#This Row],[TOTAL DESEMBOLSOS]],Tabla4[[#This Row],[VALOR ATENCIÓN (8 MESES)]])</f>
        <v>1</v>
      </c>
      <c r="BH657" s="29">
        <f>Tabla4[[#This Row],[TOTAL DESEMBOLSOS]]-Tabla4[[#This Row],[VALOR ATENCIÓN (8 MESES)]]</f>
        <v>0</v>
      </c>
      <c r="BI657" t="s">
        <v>98</v>
      </c>
      <c r="BJ657">
        <v>1949</v>
      </c>
    </row>
    <row r="658" spans="1:62">
      <c r="A658" s="13">
        <v>1949</v>
      </c>
      <c r="B658" s="13" t="s">
        <v>1473</v>
      </c>
      <c r="C658" s="12" t="s">
        <v>87</v>
      </c>
      <c r="D658" s="12" t="s">
        <v>1293</v>
      </c>
      <c r="E658" s="12" t="s">
        <v>1474</v>
      </c>
      <c r="F658" s="12" t="s">
        <v>15</v>
      </c>
      <c r="G658" s="12" t="s">
        <v>90</v>
      </c>
      <c r="H658" s="12" t="s">
        <v>1487</v>
      </c>
      <c r="I658" s="12">
        <v>569700023881</v>
      </c>
      <c r="J658" s="12" t="s">
        <v>1488</v>
      </c>
      <c r="K658" s="12">
        <v>1</v>
      </c>
      <c r="L658" s="12">
        <v>154</v>
      </c>
      <c r="M658" s="12"/>
      <c r="N658" s="13">
        <v>1949</v>
      </c>
      <c r="O658" s="12" t="s">
        <v>93</v>
      </c>
      <c r="P658" s="12"/>
      <c r="Q658" s="12"/>
      <c r="R658" s="12" t="s">
        <v>94</v>
      </c>
      <c r="S658" s="12">
        <v>10</v>
      </c>
      <c r="T658" s="12" t="s">
        <v>1477</v>
      </c>
      <c r="U658" s="12" t="s">
        <v>1478</v>
      </c>
      <c r="V658" s="12">
        <f>VLOOKUP(Tabla4[[#This Row],[ZONA DEFINITIVO]],Hoja1!$A$1:$D$121,3,0)</f>
        <v>229114</v>
      </c>
      <c r="W658" s="12">
        <f>VLOOKUP(Tabla4[[#This Row],[ZONA DEFINITIVO]],Hoja1!$A$1:$D$121,2,0)</f>
        <v>15207</v>
      </c>
      <c r="X658" s="12">
        <f>VLOOKUP(Tabla4[[#This Row],[ZONA DEFINITIVO]],Hoja1!$A$1:$D$121,4,0)</f>
        <v>92525</v>
      </c>
      <c r="Y658" s="12" t="str">
        <f>+IF(Tabla4[[#This Row],[AGRUPACIONES]]=1,SUMIFS(Tabla4[UDS],Tabla4[ZONA DEFINITIVO],Tabla4[[#This Row],[ZONA DEFINITIVO]])," ")</f>
        <v xml:space="preserve"> </v>
      </c>
      <c r="Z658" s="12" t="str">
        <f>+IF(Tabla4[[#This Row],[AGRUPACIONES]]=1,SUMIFS(Tabla4[TOTAL COBERTURA],Tabla4[ZONA DEFINITIVO],Tabla4[[#This Row],[ZONA DEFINITIVO]])," ")</f>
        <v xml:space="preserve"> </v>
      </c>
      <c r="AA658" s="12"/>
      <c r="AB658" s="38">
        <v>666727908</v>
      </c>
      <c r="AC658" s="37">
        <v>0.02</v>
      </c>
      <c r="AD658" s="38">
        <f t="shared" si="10"/>
        <v>13334558.16</v>
      </c>
      <c r="AE658" s="12"/>
      <c r="AF658" s="12">
        <f>COUNTIF($A$20:A658,A658)</f>
        <v>6</v>
      </c>
      <c r="AG658" s="38">
        <v>666727908</v>
      </c>
      <c r="AH658" s="38">
        <f>Tabla4[[#This Row],[VALOR CONTRAPARTIDA]]+Tabla4[[#This Row],[TOTAL APORTES ICBF]]</f>
        <v>680062466.15999997</v>
      </c>
      <c r="AI658" s="35"/>
      <c r="AJ658" s="38"/>
      <c r="AK658" s="38"/>
      <c r="AL658" s="23"/>
      <c r="AM658" s="35">
        <f>VLOOKUP(Tabla4[[#This Row],[SERVICIO 2025]],$J$2:$V$14,5,0)*Tabla4[[#This Row],[TOTAL COBERTURA]]</f>
        <v>13574022</v>
      </c>
      <c r="AN658" s="35">
        <f>VLOOKUP(Tabla4[[#This Row],[SERVICIO 2025]],$J$2:$V$14,6,0)*Tabla4[[#This Row],[TOTAL COBERTURA]]</f>
        <v>11556622</v>
      </c>
      <c r="AO658" s="35">
        <f>VLOOKUP(Tabla4[[#This Row],[SERVICIO 2025]],$J$2:$V$14,8,0)*Tabla4[[#This Row],[TOTAL COBERTURA]]</f>
        <v>0</v>
      </c>
      <c r="AP658" s="35">
        <f>VLOOKUP(Tabla4[[#This Row],[SERVICIO 2025]],$J$2:$V$14,3,0)*Tabla4[[#This Row],[TOTAL COBERTURA]]*8</f>
        <v>641597264</v>
      </c>
      <c r="AQ658" s="35"/>
      <c r="AR658" s="35">
        <f>Tabla4[[#This Row],[VALOR FASE PREPARATORIA DE ALISTAMIENTO]]+Tabla4[[#This Row],[VALOR FASE PREPARATORIA DE CIERRE]]+Tabla4[[#This Row],[DOTACIÓN ÚNICA]]+Tabla4[[#This Row],[VALOR ATENCIÓN]]+Tabla4[[#This Row],[VALOR RACION PREPARADA]]</f>
        <v>666727908</v>
      </c>
      <c r="AS658" s="35" t="str">
        <f>+IF(Tabla4[[#This Row],[AGRUPACIONES]]=1,SUMIFS(Tabla4[VALOR TOTAL],Tabla4[ZONA DEFINITIVO],Tabla4[[#This Row],[ZONA DEFINITIVO]])," ")</f>
        <v xml:space="preserve"> </v>
      </c>
      <c r="AT658" s="27">
        <f>(VLOOKUP(Tabla4[[#This Row],[SERVICIO 2025]],$J$2:$V$14,3,0)*Tabla4[[#This Row],[TOTAL COBERTURA]])+Tabla4[[#This Row],[VALOR FASE PREPARATORIA DE ALISTAMIENTO]]+Tabla4[[#This Row],[DOTACIÓN ÚNICA]]</f>
        <v>93773680</v>
      </c>
      <c r="AU658" s="35">
        <f>(VLOOKUP(Tabla4[[#This Row],[SERVICIO 2025]],$J$2:$V$14,3,0)*Tabla4[[#This Row],[TOTAL COBERTURA]])</f>
        <v>80199658</v>
      </c>
      <c r="AV658" s="35">
        <f>(VLOOKUP(Tabla4[[#This Row],[SERVICIO 2025]],$J$2:$V$14,3,0)*Tabla4[[#This Row],[TOTAL COBERTURA]])</f>
        <v>80199658</v>
      </c>
      <c r="AW658" s="35">
        <f>(VLOOKUP(Tabla4[[#This Row],[SERVICIO 2025]],$J$2:$V$14,3,0)*Tabla4[[#This Row],[TOTAL COBERTURA]])</f>
        <v>80199658</v>
      </c>
      <c r="AX658" s="35">
        <f>(VLOOKUP(Tabla4[[#This Row],[SERVICIO 2025]],$J$2:$V$14,3,0)*Tabla4[[#This Row],[TOTAL COBERTURA]])</f>
        <v>80199658</v>
      </c>
      <c r="AY658" s="35">
        <f>(VLOOKUP(Tabla4[[#This Row],[SERVICIO 2025]],$J$2:$V$14,3,0)*Tabla4[[#This Row],[TOTAL COBERTURA]])</f>
        <v>80199658</v>
      </c>
      <c r="AZ658" s="35">
        <f>(VLOOKUP(Tabla4[[#This Row],[SERVICIO 2025]],$J$2:$V$14,3,0)*Tabla4[[#This Row],[TOTAL COBERTURA]])</f>
        <v>80199658</v>
      </c>
      <c r="BA658" s="35">
        <f>(VLOOKUP(Tabla4[[#This Row],[SERVICIO 2025]],$J$2:$V$14,3,0)*Tabla4[[#This Row],[TOTAL COBERTURA]])+Tabla4[[#This Row],[VALOR FASE PREPARATORIA DE CIERRE]]</f>
        <v>91756280</v>
      </c>
      <c r="BB658" s="35">
        <f>SUM(Tabla4[[#This Row],[DESEMBOLSO 1]:[DESEMBOLSO 8]])</f>
        <v>666727908</v>
      </c>
      <c r="BC658" s="35">
        <f>VLOOKUP(Tabla4[[#This Row],[SERVICIO 2025]],$J$2:$V$14,10,0)*Tabla4[[#This Row],[TOTAL COBERTURA]]*$W$3</f>
        <v>0</v>
      </c>
      <c r="BD658" s="47" t="s">
        <v>145</v>
      </c>
      <c r="BE658" s="12" t="b">
        <f>EXACT(Tabla4[[#This Row],[VALOR ATENCIÓN (8 MESES)]],Tabla4[[#This Row],[VALOR TOTAL]])</f>
        <v>1</v>
      </c>
      <c r="BF658" s="23">
        <f>Tabla4[[#This Row],[VALOR ATENCIÓN (8 MESES)]]-Tabla4[[#This Row],[VALOR TOTAL]]</f>
        <v>0</v>
      </c>
      <c r="BG658" s="12" t="b">
        <f>EXACT(Tabla4[[#This Row],[TOTAL DESEMBOLSOS]],Tabla4[[#This Row],[VALOR ATENCIÓN (8 MESES)]])</f>
        <v>1</v>
      </c>
      <c r="BH658" s="29">
        <f>Tabla4[[#This Row],[TOTAL DESEMBOLSOS]]-Tabla4[[#This Row],[VALOR ATENCIÓN (8 MESES)]]</f>
        <v>0</v>
      </c>
      <c r="BI658" t="s">
        <v>98</v>
      </c>
      <c r="BJ658">
        <v>1949</v>
      </c>
    </row>
    <row r="659" spans="1:62">
      <c r="A659" s="13">
        <v>1949</v>
      </c>
      <c r="B659" s="13" t="s">
        <v>1473</v>
      </c>
      <c r="C659" s="12" t="s">
        <v>87</v>
      </c>
      <c r="D659" s="12" t="s">
        <v>1293</v>
      </c>
      <c r="E659" s="12" t="s">
        <v>1474</v>
      </c>
      <c r="F659" s="12" t="s">
        <v>15</v>
      </c>
      <c r="G659" s="12" t="s">
        <v>90</v>
      </c>
      <c r="H659" s="12" t="s">
        <v>1489</v>
      </c>
      <c r="I659" s="12">
        <v>569700023924</v>
      </c>
      <c r="J659" s="12" t="s">
        <v>1490</v>
      </c>
      <c r="K659" s="12">
        <v>1</v>
      </c>
      <c r="L659" s="12">
        <v>60</v>
      </c>
      <c r="M659" s="12"/>
      <c r="N659" s="13">
        <v>1949</v>
      </c>
      <c r="O659" s="12" t="s">
        <v>93</v>
      </c>
      <c r="P659" s="12"/>
      <c r="Q659" s="12"/>
      <c r="R659" s="12" t="s">
        <v>94</v>
      </c>
      <c r="S659" s="12">
        <v>10</v>
      </c>
      <c r="T659" s="12" t="s">
        <v>1477</v>
      </c>
      <c r="U659" s="12" t="s">
        <v>1478</v>
      </c>
      <c r="V659" s="12">
        <f>VLOOKUP(Tabla4[[#This Row],[ZONA DEFINITIVO]],Hoja1!$A$1:$D$121,3,0)</f>
        <v>229114</v>
      </c>
      <c r="W659" s="12">
        <f>VLOOKUP(Tabla4[[#This Row],[ZONA DEFINITIVO]],Hoja1!$A$1:$D$121,2,0)</f>
        <v>15207</v>
      </c>
      <c r="X659" s="12">
        <f>VLOOKUP(Tabla4[[#This Row],[ZONA DEFINITIVO]],Hoja1!$A$1:$D$121,4,0)</f>
        <v>92525</v>
      </c>
      <c r="Y659" s="12" t="str">
        <f>+IF(Tabla4[[#This Row],[AGRUPACIONES]]=1,SUMIFS(Tabla4[UDS],Tabla4[ZONA DEFINITIVO],Tabla4[[#This Row],[ZONA DEFINITIVO]])," ")</f>
        <v xml:space="preserve"> </v>
      </c>
      <c r="Z659" s="12" t="str">
        <f>+IF(Tabla4[[#This Row],[AGRUPACIONES]]=1,SUMIFS(Tabla4[TOTAL COBERTURA],Tabla4[ZONA DEFINITIVO],Tabla4[[#This Row],[ZONA DEFINITIVO]])," ")</f>
        <v xml:space="preserve"> </v>
      </c>
      <c r="AA659" s="12"/>
      <c r="AB659" s="38">
        <v>259764120</v>
      </c>
      <c r="AC659" s="37">
        <v>0.02</v>
      </c>
      <c r="AD659" s="38">
        <f t="shared" si="10"/>
        <v>5195282.4000000004</v>
      </c>
      <c r="AE659" s="12"/>
      <c r="AF659" s="12">
        <f>COUNTIF($A$20:A659,A659)</f>
        <v>7</v>
      </c>
      <c r="AG659" s="38">
        <v>259764120</v>
      </c>
      <c r="AH659" s="38">
        <f>Tabla4[[#This Row],[VALOR CONTRAPARTIDA]]+Tabla4[[#This Row],[TOTAL APORTES ICBF]]</f>
        <v>264959402.40000001</v>
      </c>
      <c r="AI659" s="35"/>
      <c r="AJ659" s="38"/>
      <c r="AK659" s="38"/>
      <c r="AL659" s="23"/>
      <c r="AM659" s="35">
        <f>VLOOKUP(Tabla4[[#This Row],[SERVICIO 2025]],$J$2:$V$14,5,0)*Tabla4[[#This Row],[TOTAL COBERTURA]]</f>
        <v>5288580</v>
      </c>
      <c r="AN659" s="35">
        <f>VLOOKUP(Tabla4[[#This Row],[SERVICIO 2025]],$J$2:$V$14,6,0)*Tabla4[[#This Row],[TOTAL COBERTURA]]</f>
        <v>4502580</v>
      </c>
      <c r="AO659" s="35">
        <f>VLOOKUP(Tabla4[[#This Row],[SERVICIO 2025]],$J$2:$V$14,8,0)*Tabla4[[#This Row],[TOTAL COBERTURA]]</f>
        <v>0</v>
      </c>
      <c r="AP659" s="35">
        <f>VLOOKUP(Tabla4[[#This Row],[SERVICIO 2025]],$J$2:$V$14,3,0)*Tabla4[[#This Row],[TOTAL COBERTURA]]*8</f>
        <v>249972960</v>
      </c>
      <c r="AQ659" s="35"/>
      <c r="AR659" s="35">
        <f>Tabla4[[#This Row],[VALOR FASE PREPARATORIA DE ALISTAMIENTO]]+Tabla4[[#This Row],[VALOR FASE PREPARATORIA DE CIERRE]]+Tabla4[[#This Row],[DOTACIÓN ÚNICA]]+Tabla4[[#This Row],[VALOR ATENCIÓN]]+Tabla4[[#This Row],[VALOR RACION PREPARADA]]</f>
        <v>259764120</v>
      </c>
      <c r="AS659" s="35" t="str">
        <f>+IF(Tabla4[[#This Row],[AGRUPACIONES]]=1,SUMIFS(Tabla4[VALOR TOTAL],Tabla4[ZONA DEFINITIVO],Tabla4[[#This Row],[ZONA DEFINITIVO]])," ")</f>
        <v xml:space="preserve"> </v>
      </c>
      <c r="AT659" s="27">
        <f>(VLOOKUP(Tabla4[[#This Row],[SERVICIO 2025]],$J$2:$V$14,3,0)*Tabla4[[#This Row],[TOTAL COBERTURA]])+Tabla4[[#This Row],[VALOR FASE PREPARATORIA DE ALISTAMIENTO]]+Tabla4[[#This Row],[DOTACIÓN ÚNICA]]</f>
        <v>36535200</v>
      </c>
      <c r="AU659" s="35">
        <f>(VLOOKUP(Tabla4[[#This Row],[SERVICIO 2025]],$J$2:$V$14,3,0)*Tabla4[[#This Row],[TOTAL COBERTURA]])</f>
        <v>31246620</v>
      </c>
      <c r="AV659" s="35">
        <f>(VLOOKUP(Tabla4[[#This Row],[SERVICIO 2025]],$J$2:$V$14,3,0)*Tabla4[[#This Row],[TOTAL COBERTURA]])</f>
        <v>31246620</v>
      </c>
      <c r="AW659" s="35">
        <f>(VLOOKUP(Tabla4[[#This Row],[SERVICIO 2025]],$J$2:$V$14,3,0)*Tabla4[[#This Row],[TOTAL COBERTURA]])</f>
        <v>31246620</v>
      </c>
      <c r="AX659" s="35">
        <f>(VLOOKUP(Tabla4[[#This Row],[SERVICIO 2025]],$J$2:$V$14,3,0)*Tabla4[[#This Row],[TOTAL COBERTURA]])</f>
        <v>31246620</v>
      </c>
      <c r="AY659" s="35">
        <f>(VLOOKUP(Tabla4[[#This Row],[SERVICIO 2025]],$J$2:$V$14,3,0)*Tabla4[[#This Row],[TOTAL COBERTURA]])</f>
        <v>31246620</v>
      </c>
      <c r="AZ659" s="35">
        <f>(VLOOKUP(Tabla4[[#This Row],[SERVICIO 2025]],$J$2:$V$14,3,0)*Tabla4[[#This Row],[TOTAL COBERTURA]])</f>
        <v>31246620</v>
      </c>
      <c r="BA659" s="35">
        <f>(VLOOKUP(Tabla4[[#This Row],[SERVICIO 2025]],$J$2:$V$14,3,0)*Tabla4[[#This Row],[TOTAL COBERTURA]])+Tabla4[[#This Row],[VALOR FASE PREPARATORIA DE CIERRE]]</f>
        <v>35749200</v>
      </c>
      <c r="BB659" s="35">
        <f>SUM(Tabla4[[#This Row],[DESEMBOLSO 1]:[DESEMBOLSO 8]])</f>
        <v>259764120</v>
      </c>
      <c r="BC659" s="35">
        <f>VLOOKUP(Tabla4[[#This Row],[SERVICIO 2025]],$J$2:$V$14,10,0)*Tabla4[[#This Row],[TOTAL COBERTURA]]*$W$3</f>
        <v>0</v>
      </c>
      <c r="BD659" s="47" t="s">
        <v>145</v>
      </c>
      <c r="BE659" s="12" t="b">
        <f>EXACT(Tabla4[[#This Row],[VALOR ATENCIÓN (8 MESES)]],Tabla4[[#This Row],[VALOR TOTAL]])</f>
        <v>1</v>
      </c>
      <c r="BF659" s="23">
        <f>Tabla4[[#This Row],[VALOR ATENCIÓN (8 MESES)]]-Tabla4[[#This Row],[VALOR TOTAL]]</f>
        <v>0</v>
      </c>
      <c r="BG659" s="12" t="b">
        <f>EXACT(Tabla4[[#This Row],[TOTAL DESEMBOLSOS]],Tabla4[[#This Row],[VALOR ATENCIÓN (8 MESES)]])</f>
        <v>1</v>
      </c>
      <c r="BH659" s="29">
        <f>Tabla4[[#This Row],[TOTAL DESEMBOLSOS]]-Tabla4[[#This Row],[VALOR ATENCIÓN (8 MESES)]]</f>
        <v>0</v>
      </c>
      <c r="BI659" t="s">
        <v>98</v>
      </c>
      <c r="BJ659">
        <v>1949</v>
      </c>
    </row>
    <row r="660" spans="1:62">
      <c r="A660" s="13">
        <v>1949</v>
      </c>
      <c r="B660" s="13" t="s">
        <v>1473</v>
      </c>
      <c r="C660" s="12" t="s">
        <v>87</v>
      </c>
      <c r="D660" s="12" t="s">
        <v>1293</v>
      </c>
      <c r="E660" s="12" t="s">
        <v>1474</v>
      </c>
      <c r="F660" s="12" t="s">
        <v>14</v>
      </c>
      <c r="G660" s="12" t="s">
        <v>90</v>
      </c>
      <c r="H660" s="12" t="s">
        <v>1491</v>
      </c>
      <c r="I660" s="12">
        <v>569700023933</v>
      </c>
      <c r="J660" s="12" t="s">
        <v>1492</v>
      </c>
      <c r="K660" s="12">
        <v>1</v>
      </c>
      <c r="L660" s="12">
        <v>60</v>
      </c>
      <c r="M660" s="12"/>
      <c r="N660" s="13">
        <v>1949</v>
      </c>
      <c r="O660" s="12" t="s">
        <v>93</v>
      </c>
      <c r="P660" s="12"/>
      <c r="Q660" s="12"/>
      <c r="R660" s="12" t="s">
        <v>94</v>
      </c>
      <c r="S660" s="12">
        <v>10</v>
      </c>
      <c r="T660" s="12" t="s">
        <v>1477</v>
      </c>
      <c r="U660" s="12" t="s">
        <v>1478</v>
      </c>
      <c r="V660" s="12">
        <f>VLOOKUP(Tabla4[[#This Row],[ZONA DEFINITIVO]],Hoja1!$A$1:$D$121,3,0)</f>
        <v>229114</v>
      </c>
      <c r="W660" s="12">
        <f>VLOOKUP(Tabla4[[#This Row],[ZONA DEFINITIVO]],Hoja1!$A$1:$D$121,2,0)</f>
        <v>15207</v>
      </c>
      <c r="X660" s="12">
        <f>VLOOKUP(Tabla4[[#This Row],[ZONA DEFINITIVO]],Hoja1!$A$1:$D$121,4,0)</f>
        <v>92525</v>
      </c>
      <c r="Y660" s="12" t="str">
        <f>+IF(Tabla4[[#This Row],[AGRUPACIONES]]=1,SUMIFS(Tabla4[UDS],Tabla4[ZONA DEFINITIVO],Tabla4[[#This Row],[ZONA DEFINITIVO]])," ")</f>
        <v xml:space="preserve"> </v>
      </c>
      <c r="Z660" s="12" t="str">
        <f>+IF(Tabla4[[#This Row],[AGRUPACIONES]]=1,SUMIFS(Tabla4[TOTAL COBERTURA],Tabla4[ZONA DEFINITIVO],Tabla4[[#This Row],[ZONA DEFINITIVO]])," ")</f>
        <v xml:space="preserve"> </v>
      </c>
      <c r="AA660" s="12"/>
      <c r="AB660" s="38">
        <v>251331000</v>
      </c>
      <c r="AC660" s="37">
        <v>0.02</v>
      </c>
      <c r="AD660" s="38">
        <f t="shared" ref="AD660:AD723" si="11">AB660*AC660</f>
        <v>5026620</v>
      </c>
      <c r="AE660" s="12"/>
      <c r="AF660" s="12">
        <f>COUNTIF($A$20:A660,A660)</f>
        <v>8</v>
      </c>
      <c r="AG660" s="38">
        <v>251331000</v>
      </c>
      <c r="AH660" s="38">
        <f>Tabla4[[#This Row],[VALOR CONTRAPARTIDA]]+Tabla4[[#This Row],[TOTAL APORTES ICBF]]</f>
        <v>256357620</v>
      </c>
      <c r="AI660" s="35"/>
      <c r="AJ660" s="38"/>
      <c r="AK660" s="38"/>
      <c r="AL660" s="23"/>
      <c r="AM660" s="35">
        <f>VLOOKUP(Tabla4[[#This Row],[SERVICIO 2025]],$J$2:$V$14,5,0)*Tabla4[[#This Row],[TOTAL COBERTURA]]</f>
        <v>5288580</v>
      </c>
      <c r="AN660" s="35">
        <f>VLOOKUP(Tabla4[[#This Row],[SERVICIO 2025]],$J$2:$V$14,6,0)*Tabla4[[#This Row],[TOTAL COBERTURA]]</f>
        <v>4502580</v>
      </c>
      <c r="AO660" s="35">
        <f>VLOOKUP(Tabla4[[#This Row],[SERVICIO 2025]],$J$2:$V$14,8,0)*Tabla4[[#This Row],[TOTAL COBERTURA]]</f>
        <v>0</v>
      </c>
      <c r="AP660" s="35">
        <f>VLOOKUP(Tabla4[[#This Row],[SERVICIO 2025]],$J$2:$V$14,3,0)*Tabla4[[#This Row],[TOTAL COBERTURA]]*8</f>
        <v>241539840</v>
      </c>
      <c r="AQ660" s="35"/>
      <c r="AR660" s="35">
        <f>Tabla4[[#This Row],[VALOR FASE PREPARATORIA DE ALISTAMIENTO]]+Tabla4[[#This Row],[VALOR FASE PREPARATORIA DE CIERRE]]+Tabla4[[#This Row],[DOTACIÓN ÚNICA]]+Tabla4[[#This Row],[VALOR ATENCIÓN]]+Tabla4[[#This Row],[VALOR RACION PREPARADA]]</f>
        <v>251331000</v>
      </c>
      <c r="AS660" s="35" t="str">
        <f>+IF(Tabla4[[#This Row],[AGRUPACIONES]]=1,SUMIFS(Tabla4[VALOR TOTAL],Tabla4[ZONA DEFINITIVO],Tabla4[[#This Row],[ZONA DEFINITIVO]])," ")</f>
        <v xml:space="preserve"> </v>
      </c>
      <c r="AT660" s="27">
        <f>(VLOOKUP(Tabla4[[#This Row],[SERVICIO 2025]],$J$2:$V$14,3,0)*Tabla4[[#This Row],[TOTAL COBERTURA]])+Tabla4[[#This Row],[VALOR FASE PREPARATORIA DE ALISTAMIENTO]]+Tabla4[[#This Row],[DOTACIÓN ÚNICA]]</f>
        <v>35481060</v>
      </c>
      <c r="AU660" s="35">
        <f>(VLOOKUP(Tabla4[[#This Row],[SERVICIO 2025]],$J$2:$V$14,3,0)*Tabla4[[#This Row],[TOTAL COBERTURA]])</f>
        <v>30192480</v>
      </c>
      <c r="AV660" s="35">
        <f>(VLOOKUP(Tabla4[[#This Row],[SERVICIO 2025]],$J$2:$V$14,3,0)*Tabla4[[#This Row],[TOTAL COBERTURA]])</f>
        <v>30192480</v>
      </c>
      <c r="AW660" s="35">
        <f>(VLOOKUP(Tabla4[[#This Row],[SERVICIO 2025]],$J$2:$V$14,3,0)*Tabla4[[#This Row],[TOTAL COBERTURA]])</f>
        <v>30192480</v>
      </c>
      <c r="AX660" s="35">
        <f>(VLOOKUP(Tabla4[[#This Row],[SERVICIO 2025]],$J$2:$V$14,3,0)*Tabla4[[#This Row],[TOTAL COBERTURA]])</f>
        <v>30192480</v>
      </c>
      <c r="AY660" s="35">
        <f>(VLOOKUP(Tabla4[[#This Row],[SERVICIO 2025]],$J$2:$V$14,3,0)*Tabla4[[#This Row],[TOTAL COBERTURA]])</f>
        <v>30192480</v>
      </c>
      <c r="AZ660" s="35">
        <f>(VLOOKUP(Tabla4[[#This Row],[SERVICIO 2025]],$J$2:$V$14,3,0)*Tabla4[[#This Row],[TOTAL COBERTURA]])</f>
        <v>30192480</v>
      </c>
      <c r="BA660" s="35">
        <f>(VLOOKUP(Tabla4[[#This Row],[SERVICIO 2025]],$J$2:$V$14,3,0)*Tabla4[[#This Row],[TOTAL COBERTURA]])+Tabla4[[#This Row],[VALOR FASE PREPARATORIA DE CIERRE]]</f>
        <v>34695060</v>
      </c>
      <c r="BB660" s="35">
        <f>SUM(Tabla4[[#This Row],[DESEMBOLSO 1]:[DESEMBOLSO 8]])</f>
        <v>251331000</v>
      </c>
      <c r="BC660" s="35">
        <f>VLOOKUP(Tabla4[[#This Row],[SERVICIO 2025]],$J$2:$V$14,10,0)*Tabla4[[#This Row],[TOTAL COBERTURA]]*$W$3</f>
        <v>0</v>
      </c>
      <c r="BD660" s="47" t="s">
        <v>145</v>
      </c>
      <c r="BE660" s="12" t="b">
        <f>EXACT(Tabla4[[#This Row],[VALOR ATENCIÓN (8 MESES)]],Tabla4[[#This Row],[VALOR TOTAL]])</f>
        <v>1</v>
      </c>
      <c r="BF660" s="23">
        <f>Tabla4[[#This Row],[VALOR ATENCIÓN (8 MESES)]]-Tabla4[[#This Row],[VALOR TOTAL]]</f>
        <v>0</v>
      </c>
      <c r="BG660" s="12" t="b">
        <f>EXACT(Tabla4[[#This Row],[TOTAL DESEMBOLSOS]],Tabla4[[#This Row],[VALOR ATENCIÓN (8 MESES)]])</f>
        <v>1</v>
      </c>
      <c r="BH660" s="29">
        <f>Tabla4[[#This Row],[TOTAL DESEMBOLSOS]]-Tabla4[[#This Row],[VALOR ATENCIÓN (8 MESES)]]</f>
        <v>0</v>
      </c>
      <c r="BI660" t="s">
        <v>98</v>
      </c>
      <c r="BJ660">
        <v>1949</v>
      </c>
    </row>
    <row r="661" spans="1:62">
      <c r="A661" s="13">
        <v>1949</v>
      </c>
      <c r="B661" s="13" t="s">
        <v>1473</v>
      </c>
      <c r="C661" s="12" t="s">
        <v>87</v>
      </c>
      <c r="D661" s="12" t="s">
        <v>1293</v>
      </c>
      <c r="E661" s="12" t="s">
        <v>1493</v>
      </c>
      <c r="F661" s="12" t="s">
        <v>15</v>
      </c>
      <c r="G661" s="12" t="s">
        <v>90</v>
      </c>
      <c r="H661" s="12" t="s">
        <v>1494</v>
      </c>
      <c r="I661" s="12">
        <v>561500100375</v>
      </c>
      <c r="J661" s="12" t="s">
        <v>1495</v>
      </c>
      <c r="K661" s="12">
        <v>1</v>
      </c>
      <c r="L661" s="12">
        <v>72</v>
      </c>
      <c r="M661" s="12"/>
      <c r="N661" s="13">
        <v>1949</v>
      </c>
      <c r="O661" s="12" t="s">
        <v>93</v>
      </c>
      <c r="P661" s="12"/>
      <c r="Q661" s="12"/>
      <c r="R661" s="12" t="s">
        <v>94</v>
      </c>
      <c r="S661" s="12">
        <v>10</v>
      </c>
      <c r="T661" s="12" t="s">
        <v>1477</v>
      </c>
      <c r="U661" s="12" t="s">
        <v>1478</v>
      </c>
      <c r="V661" s="12">
        <f>VLOOKUP(Tabla4[[#This Row],[ZONA DEFINITIVO]],Hoja1!$A$1:$D$121,3,0)</f>
        <v>229114</v>
      </c>
      <c r="W661" s="12">
        <f>VLOOKUP(Tabla4[[#This Row],[ZONA DEFINITIVO]],Hoja1!$A$1:$D$121,2,0)</f>
        <v>15207</v>
      </c>
      <c r="X661" s="12">
        <f>VLOOKUP(Tabla4[[#This Row],[ZONA DEFINITIVO]],Hoja1!$A$1:$D$121,4,0)</f>
        <v>92525</v>
      </c>
      <c r="Y661" s="12" t="str">
        <f>+IF(Tabla4[[#This Row],[AGRUPACIONES]]=1,SUMIFS(Tabla4[UDS],Tabla4[ZONA DEFINITIVO],Tabla4[[#This Row],[ZONA DEFINITIVO]])," ")</f>
        <v xml:space="preserve"> </v>
      </c>
      <c r="Z661" s="12" t="str">
        <f>+IF(Tabla4[[#This Row],[AGRUPACIONES]]=1,SUMIFS(Tabla4[TOTAL COBERTURA],Tabla4[ZONA DEFINITIVO],Tabla4[[#This Row],[ZONA DEFINITIVO]])," ")</f>
        <v xml:space="preserve"> </v>
      </c>
      <c r="AA661" s="12"/>
      <c r="AB661" s="38">
        <v>311716944</v>
      </c>
      <c r="AC661" s="37">
        <v>0.02</v>
      </c>
      <c r="AD661" s="38">
        <f t="shared" si="11"/>
        <v>6234338.8799999999</v>
      </c>
      <c r="AE661" s="12"/>
      <c r="AF661" s="12">
        <f>COUNTIF($A$20:A661,A661)</f>
        <v>9</v>
      </c>
      <c r="AG661" s="38">
        <v>311716944</v>
      </c>
      <c r="AH661" s="38">
        <f>Tabla4[[#This Row],[VALOR CONTRAPARTIDA]]+Tabla4[[#This Row],[TOTAL APORTES ICBF]]</f>
        <v>317951282.88</v>
      </c>
      <c r="AI661" s="35"/>
      <c r="AJ661" s="38"/>
      <c r="AK661" s="38"/>
      <c r="AL661" s="23"/>
      <c r="AM661" s="35">
        <f>VLOOKUP(Tabla4[[#This Row],[SERVICIO 2025]],$J$2:$V$14,5,0)*Tabla4[[#This Row],[TOTAL COBERTURA]]</f>
        <v>6346296</v>
      </c>
      <c r="AN661" s="35">
        <f>VLOOKUP(Tabla4[[#This Row],[SERVICIO 2025]],$J$2:$V$14,6,0)*Tabla4[[#This Row],[TOTAL COBERTURA]]</f>
        <v>5403096</v>
      </c>
      <c r="AO661" s="35">
        <f>VLOOKUP(Tabla4[[#This Row],[SERVICIO 2025]],$J$2:$V$14,8,0)*Tabla4[[#This Row],[TOTAL COBERTURA]]</f>
        <v>0</v>
      </c>
      <c r="AP661" s="35">
        <f>VLOOKUP(Tabla4[[#This Row],[SERVICIO 2025]],$J$2:$V$14,3,0)*Tabla4[[#This Row],[TOTAL COBERTURA]]*8</f>
        <v>299967552</v>
      </c>
      <c r="AQ661" s="35"/>
      <c r="AR661" s="35">
        <f>Tabla4[[#This Row],[VALOR FASE PREPARATORIA DE ALISTAMIENTO]]+Tabla4[[#This Row],[VALOR FASE PREPARATORIA DE CIERRE]]+Tabla4[[#This Row],[DOTACIÓN ÚNICA]]+Tabla4[[#This Row],[VALOR ATENCIÓN]]+Tabla4[[#This Row],[VALOR RACION PREPARADA]]</f>
        <v>311716944</v>
      </c>
      <c r="AS661" s="35" t="str">
        <f>+IF(Tabla4[[#This Row],[AGRUPACIONES]]=1,SUMIFS(Tabla4[VALOR TOTAL],Tabla4[ZONA DEFINITIVO],Tabla4[[#This Row],[ZONA DEFINITIVO]])," ")</f>
        <v xml:space="preserve"> </v>
      </c>
      <c r="AT661" s="27">
        <f>(VLOOKUP(Tabla4[[#This Row],[SERVICIO 2025]],$J$2:$V$14,3,0)*Tabla4[[#This Row],[TOTAL COBERTURA]])+Tabla4[[#This Row],[VALOR FASE PREPARATORIA DE ALISTAMIENTO]]+Tabla4[[#This Row],[DOTACIÓN ÚNICA]]</f>
        <v>43842240</v>
      </c>
      <c r="AU661" s="35">
        <f>(VLOOKUP(Tabla4[[#This Row],[SERVICIO 2025]],$J$2:$V$14,3,0)*Tabla4[[#This Row],[TOTAL COBERTURA]])</f>
        <v>37495944</v>
      </c>
      <c r="AV661" s="35">
        <f>(VLOOKUP(Tabla4[[#This Row],[SERVICIO 2025]],$J$2:$V$14,3,0)*Tabla4[[#This Row],[TOTAL COBERTURA]])</f>
        <v>37495944</v>
      </c>
      <c r="AW661" s="35">
        <f>(VLOOKUP(Tabla4[[#This Row],[SERVICIO 2025]],$J$2:$V$14,3,0)*Tabla4[[#This Row],[TOTAL COBERTURA]])</f>
        <v>37495944</v>
      </c>
      <c r="AX661" s="35">
        <f>(VLOOKUP(Tabla4[[#This Row],[SERVICIO 2025]],$J$2:$V$14,3,0)*Tabla4[[#This Row],[TOTAL COBERTURA]])</f>
        <v>37495944</v>
      </c>
      <c r="AY661" s="35">
        <f>(VLOOKUP(Tabla4[[#This Row],[SERVICIO 2025]],$J$2:$V$14,3,0)*Tabla4[[#This Row],[TOTAL COBERTURA]])</f>
        <v>37495944</v>
      </c>
      <c r="AZ661" s="35">
        <f>(VLOOKUP(Tabla4[[#This Row],[SERVICIO 2025]],$J$2:$V$14,3,0)*Tabla4[[#This Row],[TOTAL COBERTURA]])</f>
        <v>37495944</v>
      </c>
      <c r="BA661" s="35">
        <f>(VLOOKUP(Tabla4[[#This Row],[SERVICIO 2025]],$J$2:$V$14,3,0)*Tabla4[[#This Row],[TOTAL COBERTURA]])+Tabla4[[#This Row],[VALOR FASE PREPARATORIA DE CIERRE]]</f>
        <v>42899040</v>
      </c>
      <c r="BB661" s="35">
        <f>SUM(Tabla4[[#This Row],[DESEMBOLSO 1]:[DESEMBOLSO 8]])</f>
        <v>311716944</v>
      </c>
      <c r="BC661" s="35">
        <f>VLOOKUP(Tabla4[[#This Row],[SERVICIO 2025]],$J$2:$V$14,10,0)*Tabla4[[#This Row],[TOTAL COBERTURA]]*$W$3</f>
        <v>0</v>
      </c>
      <c r="BD661" s="47" t="s">
        <v>145</v>
      </c>
      <c r="BE661" s="12" t="b">
        <f>EXACT(Tabla4[[#This Row],[VALOR ATENCIÓN (8 MESES)]],Tabla4[[#This Row],[VALOR TOTAL]])</f>
        <v>1</v>
      </c>
      <c r="BF661" s="23">
        <f>Tabla4[[#This Row],[VALOR ATENCIÓN (8 MESES)]]-Tabla4[[#This Row],[VALOR TOTAL]]</f>
        <v>0</v>
      </c>
      <c r="BG661" s="12" t="b">
        <f>EXACT(Tabla4[[#This Row],[TOTAL DESEMBOLSOS]],Tabla4[[#This Row],[VALOR ATENCIÓN (8 MESES)]])</f>
        <v>1</v>
      </c>
      <c r="BH661" s="29">
        <f>Tabla4[[#This Row],[TOTAL DESEMBOLSOS]]-Tabla4[[#This Row],[VALOR ATENCIÓN (8 MESES)]]</f>
        <v>0</v>
      </c>
      <c r="BI661" t="s">
        <v>98</v>
      </c>
      <c r="BJ661">
        <v>1949</v>
      </c>
    </row>
    <row r="662" spans="1:62">
      <c r="A662" s="13">
        <v>1951</v>
      </c>
      <c r="B662" s="13" t="s">
        <v>1496</v>
      </c>
      <c r="C662" s="12" t="s">
        <v>87</v>
      </c>
      <c r="D662" s="12" t="s">
        <v>651</v>
      </c>
      <c r="E662" s="12" t="s">
        <v>1497</v>
      </c>
      <c r="F662" s="12" t="s">
        <v>21</v>
      </c>
      <c r="G662" s="12" t="s">
        <v>90</v>
      </c>
      <c r="H662" s="12" t="s">
        <v>1498</v>
      </c>
      <c r="I662" s="12">
        <v>52821115066</v>
      </c>
      <c r="J662" s="12" t="s">
        <v>1499</v>
      </c>
      <c r="K662" s="12">
        <v>1</v>
      </c>
      <c r="L662" s="12">
        <v>20</v>
      </c>
      <c r="M662" s="12"/>
      <c r="N662" s="13">
        <v>1951</v>
      </c>
      <c r="O662" s="12" t="s">
        <v>93</v>
      </c>
      <c r="P662" s="12"/>
      <c r="Q662" s="12"/>
      <c r="R662" s="12" t="s">
        <v>94</v>
      </c>
      <c r="S662" s="12">
        <v>10</v>
      </c>
      <c r="T662" s="12" t="s">
        <v>655</v>
      </c>
      <c r="U662" s="12" t="s">
        <v>656</v>
      </c>
      <c r="V662" s="12">
        <f>VLOOKUP(Tabla4[[#This Row],[ZONA DEFINITIVO]],Hoja1!$A$1:$D$121,3,0)</f>
        <v>229115</v>
      </c>
      <c r="W662" s="12">
        <f>VLOOKUP(Tabla4[[#This Row],[ZONA DEFINITIVO]],Hoja1!$A$1:$D$121,2,0)</f>
        <v>15198</v>
      </c>
      <c r="X662" s="12">
        <f>VLOOKUP(Tabla4[[#This Row],[ZONA DEFINITIVO]],Hoja1!$A$1:$D$121,4,0)</f>
        <v>83325</v>
      </c>
      <c r="Y662" s="12">
        <f>+IF(Tabla4[[#This Row],[AGRUPACIONES]]=1,SUMIFS(Tabla4[UDS],Tabla4[ZONA DEFINITIVO],Tabla4[[#This Row],[ZONA DEFINITIVO]])," ")</f>
        <v>18</v>
      </c>
      <c r="Z662" s="12">
        <f>+IF(Tabla4[[#This Row],[AGRUPACIONES]]=1,SUMIFS(Tabla4[TOTAL COBERTURA],Tabla4[ZONA DEFINITIVO],Tabla4[[#This Row],[ZONA DEFINITIVO]])," ")</f>
        <v>389</v>
      </c>
      <c r="AA662" s="12"/>
      <c r="AB662" s="38">
        <v>30386100</v>
      </c>
      <c r="AC662" s="37">
        <v>0.02</v>
      </c>
      <c r="AD662" s="38">
        <f t="shared" si="11"/>
        <v>607722</v>
      </c>
      <c r="AE662" s="12"/>
      <c r="AF662" s="12">
        <f>COUNTIF($A$20:A662,A662)</f>
        <v>1</v>
      </c>
      <c r="AG662" s="38">
        <v>30386100</v>
      </c>
      <c r="AH662" s="38">
        <f>Tabla4[[#This Row],[VALOR CONTRAPARTIDA]]+Tabla4[[#This Row],[TOTAL APORTES ICBF]]</f>
        <v>30993822</v>
      </c>
      <c r="AI662" s="35">
        <f>ROUND(+IF(Tabla4[[#This Row],[AGRUPACIONES]]=1,SUMIFS(Tabla4[TOTAL APORTES ICBF],Tabla4[ZONA DEFINITIVO],Tabla4[[#This Row],[ZONA DEFINITIVO]])," "),0)</f>
        <v>844196650</v>
      </c>
      <c r="AJ662" s="38">
        <f>ROUND(+IF(Tabla4[[#This Row],[AGRUPACIONES]]=1,SUMIFS(Tabla4[VALOR CONTRAPARTIDA],Tabla4[ZONA DEFINITIVO],Tabla4[[#This Row],[ZONA DEFINITIVO]])," "),0)</f>
        <v>16883933</v>
      </c>
      <c r="AK662" s="38">
        <f>Tabla4[[#This Row],[TOTAL APORTES ICBF AGRUPADO]]+Tabla4[[#This Row],[TOTAL CONTRAPARTIDA AGRUPADO]]</f>
        <v>861080583</v>
      </c>
      <c r="AL662" s="23">
        <f>Tabla4[[#This Row],[TOTAL APORTES ICBF AGRUPADO]]/$AL$18</f>
        <v>593.04295749912183</v>
      </c>
      <c r="AM662" s="35">
        <f>VLOOKUP(Tabla4[[#This Row],[SERVICIO 2025]],$J$2:$V$14,5,0)*Tabla4[[#This Row],[TOTAL COBERTURA]]</f>
        <v>934880</v>
      </c>
      <c r="AN662" s="35">
        <f>VLOOKUP(Tabla4[[#This Row],[SERVICIO 2025]],$J$2:$V$14,6,0)*Tabla4[[#This Row],[TOTAL COBERTURA]]</f>
        <v>756820</v>
      </c>
      <c r="AO662" s="35">
        <f>VLOOKUP(Tabla4[[#This Row],[SERVICIO 2025]],$J$2:$V$14,8,0)*Tabla4[[#This Row],[TOTAL COBERTURA]]</f>
        <v>0</v>
      </c>
      <c r="AP662" s="35">
        <f>VLOOKUP(Tabla4[[#This Row],[SERVICIO 2025]],$J$2:$V$14,3,0)*Tabla4[[#This Row],[TOTAL COBERTURA]]*8</f>
        <v>28694400</v>
      </c>
      <c r="AQ662" s="35"/>
      <c r="AR662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662" s="35">
        <f>+IF(Tabla4[[#This Row],[AGRUPACIONES]]=1,SUMIFS(Tabla4[VALOR TOTAL],Tabla4[ZONA DEFINITIVO],Tabla4[[#This Row],[ZONA DEFINITIVO]])," ")</f>
        <v>844196650</v>
      </c>
      <c r="AT662" s="27">
        <f>(VLOOKUP(Tabla4[[#This Row],[SERVICIO 2025]],$J$2:$V$14,3,0)*Tabla4[[#This Row],[TOTAL COBERTURA]])+Tabla4[[#This Row],[VALOR FASE PREPARATORIA DE ALISTAMIENTO]]+Tabla4[[#This Row],[DOTACIÓN ÚNICA]]</f>
        <v>4521680</v>
      </c>
      <c r="AU662" s="35">
        <f>(VLOOKUP(Tabla4[[#This Row],[SERVICIO 2025]],$J$2:$V$14,3,0)*Tabla4[[#This Row],[TOTAL COBERTURA]])</f>
        <v>3586800</v>
      </c>
      <c r="AV662" s="35">
        <f>(VLOOKUP(Tabla4[[#This Row],[SERVICIO 2025]],$J$2:$V$14,3,0)*Tabla4[[#This Row],[TOTAL COBERTURA]])</f>
        <v>3586800</v>
      </c>
      <c r="AW662" s="35">
        <f>(VLOOKUP(Tabla4[[#This Row],[SERVICIO 2025]],$J$2:$V$14,3,0)*Tabla4[[#This Row],[TOTAL COBERTURA]])</f>
        <v>3586800</v>
      </c>
      <c r="AX662" s="35">
        <f>(VLOOKUP(Tabla4[[#This Row],[SERVICIO 2025]],$J$2:$V$14,3,0)*Tabla4[[#This Row],[TOTAL COBERTURA]])</f>
        <v>3586800</v>
      </c>
      <c r="AY662" s="35">
        <f>(VLOOKUP(Tabla4[[#This Row],[SERVICIO 2025]],$J$2:$V$14,3,0)*Tabla4[[#This Row],[TOTAL COBERTURA]])</f>
        <v>3586800</v>
      </c>
      <c r="AZ662" s="35">
        <f>(VLOOKUP(Tabla4[[#This Row],[SERVICIO 2025]],$J$2:$V$14,3,0)*Tabla4[[#This Row],[TOTAL COBERTURA]])</f>
        <v>3586800</v>
      </c>
      <c r="BA662" s="35">
        <f>(VLOOKUP(Tabla4[[#This Row],[SERVICIO 2025]],$J$2:$V$14,3,0)*Tabla4[[#This Row],[TOTAL COBERTURA]])+Tabla4[[#This Row],[VALOR FASE PREPARATORIA DE CIERRE]]</f>
        <v>4343620</v>
      </c>
      <c r="BB662" s="35">
        <f>SUM(Tabla4[[#This Row],[DESEMBOLSO 1]:[DESEMBOLSO 8]])</f>
        <v>30386100</v>
      </c>
      <c r="BC662" s="35">
        <f>VLOOKUP(Tabla4[[#This Row],[SERVICIO 2025]],$J$2:$V$14,10,0)*Tabla4[[#This Row],[TOTAL COBERTURA]]*$W$3</f>
        <v>30131360</v>
      </c>
      <c r="BD662" s="47" t="s">
        <v>211</v>
      </c>
      <c r="BE662" s="12" t="b">
        <f>EXACT(Tabla4[[#This Row],[VALOR ATENCIÓN (8 MESES)]],Tabla4[[#This Row],[VALOR TOTAL]])</f>
        <v>1</v>
      </c>
      <c r="BF662" s="23">
        <f>Tabla4[[#This Row],[VALOR ATENCIÓN (8 MESES)]]-Tabla4[[#This Row],[VALOR TOTAL]]</f>
        <v>0</v>
      </c>
      <c r="BG662" s="12" t="b">
        <f>EXACT(Tabla4[[#This Row],[TOTAL DESEMBOLSOS]],Tabla4[[#This Row],[VALOR ATENCIÓN (8 MESES)]])</f>
        <v>1</v>
      </c>
      <c r="BH662" s="29">
        <f>Tabla4[[#This Row],[TOTAL DESEMBOLSOS]]-Tabla4[[#This Row],[VALOR ATENCIÓN (8 MESES)]]</f>
        <v>0</v>
      </c>
      <c r="BI662" t="s">
        <v>98</v>
      </c>
      <c r="BJ662">
        <v>1951</v>
      </c>
    </row>
    <row r="663" spans="1:62">
      <c r="A663" s="13">
        <v>1951</v>
      </c>
      <c r="B663" s="13" t="s">
        <v>1496</v>
      </c>
      <c r="C663" s="12" t="s">
        <v>87</v>
      </c>
      <c r="D663" s="12" t="s">
        <v>651</v>
      </c>
      <c r="E663" s="12" t="s">
        <v>1497</v>
      </c>
      <c r="F663" s="12" t="s">
        <v>21</v>
      </c>
      <c r="G663" s="12" t="s">
        <v>90</v>
      </c>
      <c r="H663" s="12" t="s">
        <v>1500</v>
      </c>
      <c r="I663" s="12">
        <v>52821115071</v>
      </c>
      <c r="J663" s="12" t="s">
        <v>1501</v>
      </c>
      <c r="K663" s="12">
        <v>1</v>
      </c>
      <c r="L663" s="12">
        <v>16</v>
      </c>
      <c r="M663" s="12"/>
      <c r="N663" s="13">
        <v>1951</v>
      </c>
      <c r="O663" s="12" t="s">
        <v>93</v>
      </c>
      <c r="P663" s="12"/>
      <c r="Q663" s="12"/>
      <c r="R663" s="12" t="s">
        <v>94</v>
      </c>
      <c r="S663" s="12">
        <v>10</v>
      </c>
      <c r="T663" s="12" t="s">
        <v>655</v>
      </c>
      <c r="U663" s="12" t="s">
        <v>656</v>
      </c>
      <c r="V663" s="12">
        <f>VLOOKUP(Tabla4[[#This Row],[ZONA DEFINITIVO]],Hoja1!$A$1:$D$121,3,0)</f>
        <v>229115</v>
      </c>
      <c r="W663" s="12">
        <f>VLOOKUP(Tabla4[[#This Row],[ZONA DEFINITIVO]],Hoja1!$A$1:$D$121,2,0)</f>
        <v>15198</v>
      </c>
      <c r="X663" s="12">
        <f>VLOOKUP(Tabla4[[#This Row],[ZONA DEFINITIVO]],Hoja1!$A$1:$D$121,4,0)</f>
        <v>83325</v>
      </c>
      <c r="Y663" s="12" t="str">
        <f>+IF(Tabla4[[#This Row],[AGRUPACIONES]]=1,SUMIFS(Tabla4[UDS],Tabla4[ZONA DEFINITIVO],Tabla4[[#This Row],[ZONA DEFINITIVO]])," ")</f>
        <v xml:space="preserve"> </v>
      </c>
      <c r="Z663" s="12" t="str">
        <f>+IF(Tabla4[[#This Row],[AGRUPACIONES]]=1,SUMIFS(Tabla4[TOTAL COBERTURA],Tabla4[ZONA DEFINITIVO],Tabla4[[#This Row],[ZONA DEFINITIVO]])," ")</f>
        <v xml:space="preserve"> </v>
      </c>
      <c r="AA663" s="12"/>
      <c r="AB663" s="38">
        <v>24308880</v>
      </c>
      <c r="AC663" s="37">
        <v>0.02</v>
      </c>
      <c r="AD663" s="38">
        <f t="shared" si="11"/>
        <v>486177.60000000003</v>
      </c>
      <c r="AE663" s="12"/>
      <c r="AF663" s="12">
        <f>COUNTIF($A$20:A663,A663)</f>
        <v>2</v>
      </c>
      <c r="AG663" s="38">
        <v>24308880</v>
      </c>
      <c r="AH663" s="38">
        <f>Tabla4[[#This Row],[VALOR CONTRAPARTIDA]]+Tabla4[[#This Row],[TOTAL APORTES ICBF]]</f>
        <v>24795057.600000001</v>
      </c>
      <c r="AI663" s="35"/>
      <c r="AJ663" s="38"/>
      <c r="AK663" s="38"/>
      <c r="AL663" s="23"/>
      <c r="AM663" s="35">
        <f>VLOOKUP(Tabla4[[#This Row],[SERVICIO 2025]],$J$2:$V$14,5,0)*Tabla4[[#This Row],[TOTAL COBERTURA]]</f>
        <v>747904</v>
      </c>
      <c r="AN663" s="35">
        <f>VLOOKUP(Tabla4[[#This Row],[SERVICIO 2025]],$J$2:$V$14,6,0)*Tabla4[[#This Row],[TOTAL COBERTURA]]</f>
        <v>605456</v>
      </c>
      <c r="AO663" s="35">
        <f>VLOOKUP(Tabla4[[#This Row],[SERVICIO 2025]],$J$2:$V$14,8,0)*Tabla4[[#This Row],[TOTAL COBERTURA]]</f>
        <v>0</v>
      </c>
      <c r="AP663" s="35">
        <f>VLOOKUP(Tabla4[[#This Row],[SERVICIO 2025]],$J$2:$V$14,3,0)*Tabla4[[#This Row],[TOTAL COBERTURA]]*8</f>
        <v>22955520</v>
      </c>
      <c r="AQ663" s="35"/>
      <c r="AR663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663" s="35" t="str">
        <f>+IF(Tabla4[[#This Row],[AGRUPACIONES]]=1,SUMIFS(Tabla4[VALOR TOTAL],Tabla4[ZONA DEFINITIVO],Tabla4[[#This Row],[ZONA DEFINITIVO]])," ")</f>
        <v xml:space="preserve"> </v>
      </c>
      <c r="AT663" s="27">
        <f>(VLOOKUP(Tabla4[[#This Row],[SERVICIO 2025]],$J$2:$V$14,3,0)*Tabla4[[#This Row],[TOTAL COBERTURA]])+Tabla4[[#This Row],[VALOR FASE PREPARATORIA DE ALISTAMIENTO]]+Tabla4[[#This Row],[DOTACIÓN ÚNICA]]</f>
        <v>3617344</v>
      </c>
      <c r="AU663" s="35">
        <f>(VLOOKUP(Tabla4[[#This Row],[SERVICIO 2025]],$J$2:$V$14,3,0)*Tabla4[[#This Row],[TOTAL COBERTURA]])</f>
        <v>2869440</v>
      </c>
      <c r="AV663" s="35">
        <f>(VLOOKUP(Tabla4[[#This Row],[SERVICIO 2025]],$J$2:$V$14,3,0)*Tabla4[[#This Row],[TOTAL COBERTURA]])</f>
        <v>2869440</v>
      </c>
      <c r="AW663" s="35">
        <f>(VLOOKUP(Tabla4[[#This Row],[SERVICIO 2025]],$J$2:$V$14,3,0)*Tabla4[[#This Row],[TOTAL COBERTURA]])</f>
        <v>2869440</v>
      </c>
      <c r="AX663" s="35">
        <f>(VLOOKUP(Tabla4[[#This Row],[SERVICIO 2025]],$J$2:$V$14,3,0)*Tabla4[[#This Row],[TOTAL COBERTURA]])</f>
        <v>2869440</v>
      </c>
      <c r="AY663" s="35">
        <f>(VLOOKUP(Tabla4[[#This Row],[SERVICIO 2025]],$J$2:$V$14,3,0)*Tabla4[[#This Row],[TOTAL COBERTURA]])</f>
        <v>2869440</v>
      </c>
      <c r="AZ663" s="35">
        <f>(VLOOKUP(Tabla4[[#This Row],[SERVICIO 2025]],$J$2:$V$14,3,0)*Tabla4[[#This Row],[TOTAL COBERTURA]])</f>
        <v>2869440</v>
      </c>
      <c r="BA663" s="35">
        <f>(VLOOKUP(Tabla4[[#This Row],[SERVICIO 2025]],$J$2:$V$14,3,0)*Tabla4[[#This Row],[TOTAL COBERTURA]])+Tabla4[[#This Row],[VALOR FASE PREPARATORIA DE CIERRE]]</f>
        <v>3474896</v>
      </c>
      <c r="BB663" s="35">
        <f>SUM(Tabla4[[#This Row],[DESEMBOLSO 1]:[DESEMBOLSO 8]])</f>
        <v>24308880</v>
      </c>
      <c r="BC663" s="35">
        <f>VLOOKUP(Tabla4[[#This Row],[SERVICIO 2025]],$J$2:$V$14,10,0)*Tabla4[[#This Row],[TOTAL COBERTURA]]*$W$3</f>
        <v>24105088</v>
      </c>
      <c r="BD663" s="47" t="s">
        <v>211</v>
      </c>
      <c r="BE663" s="12" t="b">
        <f>EXACT(Tabla4[[#This Row],[VALOR ATENCIÓN (8 MESES)]],Tabla4[[#This Row],[VALOR TOTAL]])</f>
        <v>1</v>
      </c>
      <c r="BF663" s="23">
        <f>Tabla4[[#This Row],[VALOR ATENCIÓN (8 MESES)]]-Tabla4[[#This Row],[VALOR TOTAL]]</f>
        <v>0</v>
      </c>
      <c r="BG663" s="12" t="b">
        <f>EXACT(Tabla4[[#This Row],[TOTAL DESEMBOLSOS]],Tabla4[[#This Row],[VALOR ATENCIÓN (8 MESES)]])</f>
        <v>1</v>
      </c>
      <c r="BH663" s="29">
        <f>Tabla4[[#This Row],[TOTAL DESEMBOLSOS]]-Tabla4[[#This Row],[VALOR ATENCIÓN (8 MESES)]]</f>
        <v>0</v>
      </c>
      <c r="BI663" t="s">
        <v>98</v>
      </c>
      <c r="BJ663">
        <v>1951</v>
      </c>
    </row>
    <row r="664" spans="1:62">
      <c r="A664" s="13">
        <v>1951</v>
      </c>
      <c r="B664" s="13" t="s">
        <v>1496</v>
      </c>
      <c r="C664" s="12" t="s">
        <v>87</v>
      </c>
      <c r="D664" s="12" t="s">
        <v>651</v>
      </c>
      <c r="E664" s="12" t="s">
        <v>1497</v>
      </c>
      <c r="F664" s="12" t="s">
        <v>21</v>
      </c>
      <c r="G664" s="12" t="s">
        <v>90</v>
      </c>
      <c r="H664" s="12" t="s">
        <v>1502</v>
      </c>
      <c r="I664" s="12">
        <v>52821115074</v>
      </c>
      <c r="J664" s="12" t="s">
        <v>1503</v>
      </c>
      <c r="K664" s="12">
        <v>1</v>
      </c>
      <c r="L664" s="12">
        <v>17</v>
      </c>
      <c r="M664" s="12"/>
      <c r="N664" s="13">
        <v>1951</v>
      </c>
      <c r="O664" s="12" t="s">
        <v>93</v>
      </c>
      <c r="P664" s="12"/>
      <c r="Q664" s="12"/>
      <c r="R664" s="12" t="s">
        <v>94</v>
      </c>
      <c r="S664" s="12">
        <v>10</v>
      </c>
      <c r="T664" s="12" t="s">
        <v>655</v>
      </c>
      <c r="U664" s="12" t="s">
        <v>656</v>
      </c>
      <c r="V664" s="12">
        <f>VLOOKUP(Tabla4[[#This Row],[ZONA DEFINITIVO]],Hoja1!$A$1:$D$121,3,0)</f>
        <v>229115</v>
      </c>
      <c r="W664" s="12">
        <f>VLOOKUP(Tabla4[[#This Row],[ZONA DEFINITIVO]],Hoja1!$A$1:$D$121,2,0)</f>
        <v>15198</v>
      </c>
      <c r="X664" s="12">
        <f>VLOOKUP(Tabla4[[#This Row],[ZONA DEFINITIVO]],Hoja1!$A$1:$D$121,4,0)</f>
        <v>83325</v>
      </c>
      <c r="Y664" s="12" t="str">
        <f>+IF(Tabla4[[#This Row],[AGRUPACIONES]]=1,SUMIFS(Tabla4[UDS],Tabla4[ZONA DEFINITIVO],Tabla4[[#This Row],[ZONA DEFINITIVO]])," ")</f>
        <v xml:space="preserve"> </v>
      </c>
      <c r="Z664" s="12" t="str">
        <f>+IF(Tabla4[[#This Row],[AGRUPACIONES]]=1,SUMIFS(Tabla4[TOTAL COBERTURA],Tabla4[ZONA DEFINITIVO],Tabla4[[#This Row],[ZONA DEFINITIVO]])," ")</f>
        <v xml:space="preserve"> </v>
      </c>
      <c r="AA664" s="12"/>
      <c r="AB664" s="38">
        <v>25828185</v>
      </c>
      <c r="AC664" s="37">
        <v>0.02</v>
      </c>
      <c r="AD664" s="38">
        <f t="shared" si="11"/>
        <v>516563.7</v>
      </c>
      <c r="AE664" s="12"/>
      <c r="AF664" s="12">
        <f>COUNTIF($A$20:A664,A664)</f>
        <v>3</v>
      </c>
      <c r="AG664" s="38">
        <v>25828185</v>
      </c>
      <c r="AH664" s="38">
        <f>Tabla4[[#This Row],[VALOR CONTRAPARTIDA]]+Tabla4[[#This Row],[TOTAL APORTES ICBF]]</f>
        <v>26344748.699999999</v>
      </c>
      <c r="AI664" s="35"/>
      <c r="AJ664" s="38"/>
      <c r="AK664" s="38"/>
      <c r="AL664" s="23"/>
      <c r="AM664" s="35">
        <f>VLOOKUP(Tabla4[[#This Row],[SERVICIO 2025]],$J$2:$V$14,5,0)*Tabla4[[#This Row],[TOTAL COBERTURA]]</f>
        <v>794648</v>
      </c>
      <c r="AN664" s="35">
        <f>VLOOKUP(Tabla4[[#This Row],[SERVICIO 2025]],$J$2:$V$14,6,0)*Tabla4[[#This Row],[TOTAL COBERTURA]]</f>
        <v>643297</v>
      </c>
      <c r="AO664" s="35">
        <f>VLOOKUP(Tabla4[[#This Row],[SERVICIO 2025]],$J$2:$V$14,8,0)*Tabla4[[#This Row],[TOTAL COBERTURA]]</f>
        <v>0</v>
      </c>
      <c r="AP664" s="35">
        <f>VLOOKUP(Tabla4[[#This Row],[SERVICIO 2025]],$J$2:$V$14,3,0)*Tabla4[[#This Row],[TOTAL COBERTURA]]*8</f>
        <v>24390240</v>
      </c>
      <c r="AQ664" s="35"/>
      <c r="AR664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664" s="35" t="str">
        <f>+IF(Tabla4[[#This Row],[AGRUPACIONES]]=1,SUMIFS(Tabla4[VALOR TOTAL],Tabla4[ZONA DEFINITIVO],Tabla4[[#This Row],[ZONA DEFINITIVO]])," ")</f>
        <v xml:space="preserve"> </v>
      </c>
      <c r="AT664" s="27">
        <f>(VLOOKUP(Tabla4[[#This Row],[SERVICIO 2025]],$J$2:$V$14,3,0)*Tabla4[[#This Row],[TOTAL COBERTURA]])+Tabla4[[#This Row],[VALOR FASE PREPARATORIA DE ALISTAMIENTO]]+Tabla4[[#This Row],[DOTACIÓN ÚNICA]]</f>
        <v>3843428</v>
      </c>
      <c r="AU664" s="35">
        <f>(VLOOKUP(Tabla4[[#This Row],[SERVICIO 2025]],$J$2:$V$14,3,0)*Tabla4[[#This Row],[TOTAL COBERTURA]])</f>
        <v>3048780</v>
      </c>
      <c r="AV664" s="35">
        <f>(VLOOKUP(Tabla4[[#This Row],[SERVICIO 2025]],$J$2:$V$14,3,0)*Tabla4[[#This Row],[TOTAL COBERTURA]])</f>
        <v>3048780</v>
      </c>
      <c r="AW664" s="35">
        <f>(VLOOKUP(Tabla4[[#This Row],[SERVICIO 2025]],$J$2:$V$14,3,0)*Tabla4[[#This Row],[TOTAL COBERTURA]])</f>
        <v>3048780</v>
      </c>
      <c r="AX664" s="35">
        <f>(VLOOKUP(Tabla4[[#This Row],[SERVICIO 2025]],$J$2:$V$14,3,0)*Tabla4[[#This Row],[TOTAL COBERTURA]])</f>
        <v>3048780</v>
      </c>
      <c r="AY664" s="35">
        <f>(VLOOKUP(Tabla4[[#This Row],[SERVICIO 2025]],$J$2:$V$14,3,0)*Tabla4[[#This Row],[TOTAL COBERTURA]])</f>
        <v>3048780</v>
      </c>
      <c r="AZ664" s="35">
        <f>(VLOOKUP(Tabla4[[#This Row],[SERVICIO 2025]],$J$2:$V$14,3,0)*Tabla4[[#This Row],[TOTAL COBERTURA]])</f>
        <v>3048780</v>
      </c>
      <c r="BA664" s="35">
        <f>(VLOOKUP(Tabla4[[#This Row],[SERVICIO 2025]],$J$2:$V$14,3,0)*Tabla4[[#This Row],[TOTAL COBERTURA]])+Tabla4[[#This Row],[VALOR FASE PREPARATORIA DE CIERRE]]</f>
        <v>3692077</v>
      </c>
      <c r="BB664" s="35">
        <f>SUM(Tabla4[[#This Row],[DESEMBOLSO 1]:[DESEMBOLSO 8]])</f>
        <v>25828185</v>
      </c>
      <c r="BC664" s="35">
        <f>VLOOKUP(Tabla4[[#This Row],[SERVICIO 2025]],$J$2:$V$14,10,0)*Tabla4[[#This Row],[TOTAL COBERTURA]]*$W$3</f>
        <v>25611656</v>
      </c>
      <c r="BD664" s="47" t="s">
        <v>211</v>
      </c>
      <c r="BE664" s="12" t="b">
        <f>EXACT(Tabla4[[#This Row],[VALOR ATENCIÓN (8 MESES)]],Tabla4[[#This Row],[VALOR TOTAL]])</f>
        <v>1</v>
      </c>
      <c r="BF664" s="23">
        <f>Tabla4[[#This Row],[VALOR ATENCIÓN (8 MESES)]]-Tabla4[[#This Row],[VALOR TOTAL]]</f>
        <v>0</v>
      </c>
      <c r="BG664" s="12" t="b">
        <f>EXACT(Tabla4[[#This Row],[TOTAL DESEMBOLSOS]],Tabla4[[#This Row],[VALOR ATENCIÓN (8 MESES)]])</f>
        <v>1</v>
      </c>
      <c r="BH664" s="29">
        <f>Tabla4[[#This Row],[TOTAL DESEMBOLSOS]]-Tabla4[[#This Row],[VALOR ATENCIÓN (8 MESES)]]</f>
        <v>0</v>
      </c>
      <c r="BI664" t="s">
        <v>98</v>
      </c>
      <c r="BJ664">
        <v>1951</v>
      </c>
    </row>
    <row r="665" spans="1:62">
      <c r="A665" s="13">
        <v>1951</v>
      </c>
      <c r="B665" s="13" t="s">
        <v>1496</v>
      </c>
      <c r="C665" s="12" t="s">
        <v>87</v>
      </c>
      <c r="D665" s="12" t="s">
        <v>651</v>
      </c>
      <c r="E665" s="12" t="s">
        <v>1497</v>
      </c>
      <c r="F665" s="12" t="s">
        <v>21</v>
      </c>
      <c r="G665" s="12" t="s">
        <v>90</v>
      </c>
      <c r="H665" s="12" t="s">
        <v>1504</v>
      </c>
      <c r="I665" s="12">
        <v>52821136774</v>
      </c>
      <c r="J665" s="12" t="s">
        <v>1505</v>
      </c>
      <c r="K665" s="12">
        <v>1</v>
      </c>
      <c r="L665" s="12">
        <v>16</v>
      </c>
      <c r="M665" s="12"/>
      <c r="N665" s="13">
        <v>1951</v>
      </c>
      <c r="O665" s="12" t="s">
        <v>93</v>
      </c>
      <c r="P665" s="12"/>
      <c r="Q665" s="12"/>
      <c r="R665" s="12" t="s">
        <v>94</v>
      </c>
      <c r="S665" s="12">
        <v>10</v>
      </c>
      <c r="T665" s="12" t="s">
        <v>655</v>
      </c>
      <c r="U665" s="12" t="s">
        <v>656</v>
      </c>
      <c r="V665" s="12">
        <f>VLOOKUP(Tabla4[[#This Row],[ZONA DEFINITIVO]],Hoja1!$A$1:$D$121,3,0)</f>
        <v>229115</v>
      </c>
      <c r="W665" s="12">
        <f>VLOOKUP(Tabla4[[#This Row],[ZONA DEFINITIVO]],Hoja1!$A$1:$D$121,2,0)</f>
        <v>15198</v>
      </c>
      <c r="X665" s="12">
        <f>VLOOKUP(Tabla4[[#This Row],[ZONA DEFINITIVO]],Hoja1!$A$1:$D$121,4,0)</f>
        <v>83325</v>
      </c>
      <c r="Y665" s="12" t="str">
        <f>+IF(Tabla4[[#This Row],[AGRUPACIONES]]=1,SUMIFS(Tabla4[UDS],Tabla4[ZONA DEFINITIVO],Tabla4[[#This Row],[ZONA DEFINITIVO]])," ")</f>
        <v xml:space="preserve"> </v>
      </c>
      <c r="Z665" s="12" t="str">
        <f>+IF(Tabla4[[#This Row],[AGRUPACIONES]]=1,SUMIFS(Tabla4[TOTAL COBERTURA],Tabla4[ZONA DEFINITIVO],Tabla4[[#This Row],[ZONA DEFINITIVO]])," ")</f>
        <v xml:space="preserve"> </v>
      </c>
      <c r="AA665" s="12"/>
      <c r="AB665" s="38">
        <v>24308880</v>
      </c>
      <c r="AC665" s="37">
        <v>0.02</v>
      </c>
      <c r="AD665" s="38">
        <f t="shared" si="11"/>
        <v>486177.60000000003</v>
      </c>
      <c r="AE665" s="12"/>
      <c r="AF665" s="12">
        <f>COUNTIF($A$20:A665,A665)</f>
        <v>4</v>
      </c>
      <c r="AG665" s="38">
        <v>24308880</v>
      </c>
      <c r="AH665" s="38">
        <f>Tabla4[[#This Row],[VALOR CONTRAPARTIDA]]+Tabla4[[#This Row],[TOTAL APORTES ICBF]]</f>
        <v>24795057.600000001</v>
      </c>
      <c r="AI665" s="35"/>
      <c r="AJ665" s="38"/>
      <c r="AK665" s="38"/>
      <c r="AL665" s="23"/>
      <c r="AM665" s="35">
        <f>VLOOKUP(Tabla4[[#This Row],[SERVICIO 2025]],$J$2:$V$14,5,0)*Tabla4[[#This Row],[TOTAL COBERTURA]]</f>
        <v>747904</v>
      </c>
      <c r="AN665" s="35">
        <f>VLOOKUP(Tabla4[[#This Row],[SERVICIO 2025]],$J$2:$V$14,6,0)*Tabla4[[#This Row],[TOTAL COBERTURA]]</f>
        <v>605456</v>
      </c>
      <c r="AO665" s="35">
        <f>VLOOKUP(Tabla4[[#This Row],[SERVICIO 2025]],$J$2:$V$14,8,0)*Tabla4[[#This Row],[TOTAL COBERTURA]]</f>
        <v>0</v>
      </c>
      <c r="AP665" s="35">
        <f>VLOOKUP(Tabla4[[#This Row],[SERVICIO 2025]],$J$2:$V$14,3,0)*Tabla4[[#This Row],[TOTAL COBERTURA]]*8</f>
        <v>22955520</v>
      </c>
      <c r="AQ665" s="35"/>
      <c r="AR665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665" s="35" t="str">
        <f>+IF(Tabla4[[#This Row],[AGRUPACIONES]]=1,SUMIFS(Tabla4[VALOR TOTAL],Tabla4[ZONA DEFINITIVO],Tabla4[[#This Row],[ZONA DEFINITIVO]])," ")</f>
        <v xml:space="preserve"> </v>
      </c>
      <c r="AT665" s="27">
        <f>(VLOOKUP(Tabla4[[#This Row],[SERVICIO 2025]],$J$2:$V$14,3,0)*Tabla4[[#This Row],[TOTAL COBERTURA]])+Tabla4[[#This Row],[VALOR FASE PREPARATORIA DE ALISTAMIENTO]]+Tabla4[[#This Row],[DOTACIÓN ÚNICA]]</f>
        <v>3617344</v>
      </c>
      <c r="AU665" s="35">
        <f>(VLOOKUP(Tabla4[[#This Row],[SERVICIO 2025]],$J$2:$V$14,3,0)*Tabla4[[#This Row],[TOTAL COBERTURA]])</f>
        <v>2869440</v>
      </c>
      <c r="AV665" s="35">
        <f>(VLOOKUP(Tabla4[[#This Row],[SERVICIO 2025]],$J$2:$V$14,3,0)*Tabla4[[#This Row],[TOTAL COBERTURA]])</f>
        <v>2869440</v>
      </c>
      <c r="AW665" s="35">
        <f>(VLOOKUP(Tabla4[[#This Row],[SERVICIO 2025]],$J$2:$V$14,3,0)*Tabla4[[#This Row],[TOTAL COBERTURA]])</f>
        <v>2869440</v>
      </c>
      <c r="AX665" s="35">
        <f>(VLOOKUP(Tabla4[[#This Row],[SERVICIO 2025]],$J$2:$V$14,3,0)*Tabla4[[#This Row],[TOTAL COBERTURA]])</f>
        <v>2869440</v>
      </c>
      <c r="AY665" s="35">
        <f>(VLOOKUP(Tabla4[[#This Row],[SERVICIO 2025]],$J$2:$V$14,3,0)*Tabla4[[#This Row],[TOTAL COBERTURA]])</f>
        <v>2869440</v>
      </c>
      <c r="AZ665" s="35">
        <f>(VLOOKUP(Tabla4[[#This Row],[SERVICIO 2025]],$J$2:$V$14,3,0)*Tabla4[[#This Row],[TOTAL COBERTURA]])</f>
        <v>2869440</v>
      </c>
      <c r="BA665" s="35">
        <f>(VLOOKUP(Tabla4[[#This Row],[SERVICIO 2025]],$J$2:$V$14,3,0)*Tabla4[[#This Row],[TOTAL COBERTURA]])+Tabla4[[#This Row],[VALOR FASE PREPARATORIA DE CIERRE]]</f>
        <v>3474896</v>
      </c>
      <c r="BB665" s="35">
        <f>SUM(Tabla4[[#This Row],[DESEMBOLSO 1]:[DESEMBOLSO 8]])</f>
        <v>24308880</v>
      </c>
      <c r="BC665" s="35">
        <f>VLOOKUP(Tabla4[[#This Row],[SERVICIO 2025]],$J$2:$V$14,10,0)*Tabla4[[#This Row],[TOTAL COBERTURA]]*$W$3</f>
        <v>24105088</v>
      </c>
      <c r="BD665" s="47" t="s">
        <v>211</v>
      </c>
      <c r="BE665" s="12" t="b">
        <f>EXACT(Tabla4[[#This Row],[VALOR ATENCIÓN (8 MESES)]],Tabla4[[#This Row],[VALOR TOTAL]])</f>
        <v>1</v>
      </c>
      <c r="BF665" s="23">
        <f>Tabla4[[#This Row],[VALOR ATENCIÓN (8 MESES)]]-Tabla4[[#This Row],[VALOR TOTAL]]</f>
        <v>0</v>
      </c>
      <c r="BG665" s="12" t="b">
        <f>EXACT(Tabla4[[#This Row],[TOTAL DESEMBOLSOS]],Tabla4[[#This Row],[VALOR ATENCIÓN (8 MESES)]])</f>
        <v>1</v>
      </c>
      <c r="BH665" s="29">
        <f>Tabla4[[#This Row],[TOTAL DESEMBOLSOS]]-Tabla4[[#This Row],[VALOR ATENCIÓN (8 MESES)]]</f>
        <v>0</v>
      </c>
      <c r="BI665" t="s">
        <v>98</v>
      </c>
      <c r="BJ665">
        <v>1951</v>
      </c>
    </row>
    <row r="666" spans="1:62">
      <c r="A666" s="13">
        <v>1951</v>
      </c>
      <c r="B666" s="13" t="s">
        <v>1496</v>
      </c>
      <c r="C666" s="12" t="s">
        <v>87</v>
      </c>
      <c r="D666" s="12" t="s">
        <v>651</v>
      </c>
      <c r="E666" s="12" t="s">
        <v>1497</v>
      </c>
      <c r="F666" s="12" t="s">
        <v>21</v>
      </c>
      <c r="G666" s="12" t="s">
        <v>90</v>
      </c>
      <c r="H666" s="12" t="s">
        <v>1506</v>
      </c>
      <c r="I666" s="12">
        <v>52821136776</v>
      </c>
      <c r="J666" s="12" t="s">
        <v>1507</v>
      </c>
      <c r="K666" s="12">
        <v>1</v>
      </c>
      <c r="L666" s="12">
        <v>10</v>
      </c>
      <c r="M666" s="12"/>
      <c r="N666" s="13">
        <v>1951</v>
      </c>
      <c r="O666" s="12" t="s">
        <v>93</v>
      </c>
      <c r="P666" s="12"/>
      <c r="Q666" s="12"/>
      <c r="R666" s="12" t="s">
        <v>94</v>
      </c>
      <c r="S666" s="12">
        <v>10</v>
      </c>
      <c r="T666" s="12" t="s">
        <v>655</v>
      </c>
      <c r="U666" s="12" t="s">
        <v>656</v>
      </c>
      <c r="V666" s="12">
        <f>VLOOKUP(Tabla4[[#This Row],[ZONA DEFINITIVO]],Hoja1!$A$1:$D$121,3,0)</f>
        <v>229115</v>
      </c>
      <c r="W666" s="12">
        <f>VLOOKUP(Tabla4[[#This Row],[ZONA DEFINITIVO]],Hoja1!$A$1:$D$121,2,0)</f>
        <v>15198</v>
      </c>
      <c r="X666" s="12">
        <f>VLOOKUP(Tabla4[[#This Row],[ZONA DEFINITIVO]],Hoja1!$A$1:$D$121,4,0)</f>
        <v>83325</v>
      </c>
      <c r="Y666" s="12" t="str">
        <f>+IF(Tabla4[[#This Row],[AGRUPACIONES]]=1,SUMIFS(Tabla4[UDS],Tabla4[ZONA DEFINITIVO],Tabla4[[#This Row],[ZONA DEFINITIVO]])," ")</f>
        <v xml:space="preserve"> </v>
      </c>
      <c r="Z666" s="12" t="str">
        <f>+IF(Tabla4[[#This Row],[AGRUPACIONES]]=1,SUMIFS(Tabla4[TOTAL COBERTURA],Tabla4[ZONA DEFINITIVO],Tabla4[[#This Row],[ZONA DEFINITIVO]])," ")</f>
        <v xml:space="preserve"> </v>
      </c>
      <c r="AA666" s="12"/>
      <c r="AB666" s="38">
        <v>15193050</v>
      </c>
      <c r="AC666" s="37">
        <v>0.02</v>
      </c>
      <c r="AD666" s="38">
        <f t="shared" si="11"/>
        <v>303861</v>
      </c>
      <c r="AE666" s="12"/>
      <c r="AF666" s="12">
        <f>COUNTIF($A$20:A666,A666)</f>
        <v>5</v>
      </c>
      <c r="AG666" s="38">
        <v>15193050</v>
      </c>
      <c r="AH666" s="38">
        <f>Tabla4[[#This Row],[VALOR CONTRAPARTIDA]]+Tabla4[[#This Row],[TOTAL APORTES ICBF]]</f>
        <v>15496911</v>
      </c>
      <c r="AI666" s="35"/>
      <c r="AJ666" s="38"/>
      <c r="AK666" s="38"/>
      <c r="AL666" s="23"/>
      <c r="AM666" s="35">
        <f>VLOOKUP(Tabla4[[#This Row],[SERVICIO 2025]],$J$2:$V$14,5,0)*Tabla4[[#This Row],[TOTAL COBERTURA]]</f>
        <v>467440</v>
      </c>
      <c r="AN666" s="35">
        <f>VLOOKUP(Tabla4[[#This Row],[SERVICIO 2025]],$J$2:$V$14,6,0)*Tabla4[[#This Row],[TOTAL COBERTURA]]</f>
        <v>378410</v>
      </c>
      <c r="AO666" s="35">
        <f>VLOOKUP(Tabla4[[#This Row],[SERVICIO 2025]],$J$2:$V$14,8,0)*Tabla4[[#This Row],[TOTAL COBERTURA]]</f>
        <v>0</v>
      </c>
      <c r="AP666" s="35">
        <f>VLOOKUP(Tabla4[[#This Row],[SERVICIO 2025]],$J$2:$V$14,3,0)*Tabla4[[#This Row],[TOTAL COBERTURA]]*8</f>
        <v>14347200</v>
      </c>
      <c r="AQ666" s="35"/>
      <c r="AR666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666" s="35" t="str">
        <f>+IF(Tabla4[[#This Row],[AGRUPACIONES]]=1,SUMIFS(Tabla4[VALOR TOTAL],Tabla4[ZONA DEFINITIVO],Tabla4[[#This Row],[ZONA DEFINITIVO]])," ")</f>
        <v xml:space="preserve"> </v>
      </c>
      <c r="AT666" s="27">
        <f>(VLOOKUP(Tabla4[[#This Row],[SERVICIO 2025]],$J$2:$V$14,3,0)*Tabla4[[#This Row],[TOTAL COBERTURA]])+Tabla4[[#This Row],[VALOR FASE PREPARATORIA DE ALISTAMIENTO]]+Tabla4[[#This Row],[DOTACIÓN ÚNICA]]</f>
        <v>2260840</v>
      </c>
      <c r="AU666" s="35">
        <f>(VLOOKUP(Tabla4[[#This Row],[SERVICIO 2025]],$J$2:$V$14,3,0)*Tabla4[[#This Row],[TOTAL COBERTURA]])</f>
        <v>1793400</v>
      </c>
      <c r="AV666" s="35">
        <f>(VLOOKUP(Tabla4[[#This Row],[SERVICIO 2025]],$J$2:$V$14,3,0)*Tabla4[[#This Row],[TOTAL COBERTURA]])</f>
        <v>1793400</v>
      </c>
      <c r="AW666" s="35">
        <f>(VLOOKUP(Tabla4[[#This Row],[SERVICIO 2025]],$J$2:$V$14,3,0)*Tabla4[[#This Row],[TOTAL COBERTURA]])</f>
        <v>1793400</v>
      </c>
      <c r="AX666" s="35">
        <f>(VLOOKUP(Tabla4[[#This Row],[SERVICIO 2025]],$J$2:$V$14,3,0)*Tabla4[[#This Row],[TOTAL COBERTURA]])</f>
        <v>1793400</v>
      </c>
      <c r="AY666" s="35">
        <f>(VLOOKUP(Tabla4[[#This Row],[SERVICIO 2025]],$J$2:$V$14,3,0)*Tabla4[[#This Row],[TOTAL COBERTURA]])</f>
        <v>1793400</v>
      </c>
      <c r="AZ666" s="35">
        <f>(VLOOKUP(Tabla4[[#This Row],[SERVICIO 2025]],$J$2:$V$14,3,0)*Tabla4[[#This Row],[TOTAL COBERTURA]])</f>
        <v>1793400</v>
      </c>
      <c r="BA666" s="35">
        <f>(VLOOKUP(Tabla4[[#This Row],[SERVICIO 2025]],$J$2:$V$14,3,0)*Tabla4[[#This Row],[TOTAL COBERTURA]])+Tabla4[[#This Row],[VALOR FASE PREPARATORIA DE CIERRE]]</f>
        <v>2171810</v>
      </c>
      <c r="BB666" s="35">
        <f>SUM(Tabla4[[#This Row],[DESEMBOLSO 1]:[DESEMBOLSO 8]])</f>
        <v>15193050</v>
      </c>
      <c r="BC666" s="35">
        <f>VLOOKUP(Tabla4[[#This Row],[SERVICIO 2025]],$J$2:$V$14,10,0)*Tabla4[[#This Row],[TOTAL COBERTURA]]*$W$3</f>
        <v>15065680</v>
      </c>
      <c r="BD666" s="47" t="s">
        <v>211</v>
      </c>
      <c r="BE666" s="12" t="b">
        <f>EXACT(Tabla4[[#This Row],[VALOR ATENCIÓN (8 MESES)]],Tabla4[[#This Row],[VALOR TOTAL]])</f>
        <v>1</v>
      </c>
      <c r="BF666" s="23">
        <f>Tabla4[[#This Row],[VALOR ATENCIÓN (8 MESES)]]-Tabla4[[#This Row],[VALOR TOTAL]]</f>
        <v>0</v>
      </c>
      <c r="BG666" s="12" t="b">
        <f>EXACT(Tabla4[[#This Row],[TOTAL DESEMBOLSOS]],Tabla4[[#This Row],[VALOR ATENCIÓN (8 MESES)]])</f>
        <v>1</v>
      </c>
      <c r="BH666" s="29">
        <f>Tabla4[[#This Row],[TOTAL DESEMBOLSOS]]-Tabla4[[#This Row],[VALOR ATENCIÓN (8 MESES)]]</f>
        <v>0</v>
      </c>
      <c r="BI666" t="s">
        <v>98</v>
      </c>
      <c r="BJ666">
        <v>1951</v>
      </c>
    </row>
    <row r="667" spans="1:62">
      <c r="A667" s="13">
        <v>1951</v>
      </c>
      <c r="B667" s="13" t="s">
        <v>1496</v>
      </c>
      <c r="C667" s="12" t="s">
        <v>87</v>
      </c>
      <c r="D667" s="12" t="s">
        <v>651</v>
      </c>
      <c r="E667" s="12" t="s">
        <v>1497</v>
      </c>
      <c r="F667" s="12" t="s">
        <v>21</v>
      </c>
      <c r="G667" s="12" t="s">
        <v>90</v>
      </c>
      <c r="H667" s="12" t="s">
        <v>1508</v>
      </c>
      <c r="I667" s="12">
        <v>52821136779</v>
      </c>
      <c r="J667" s="12" t="s">
        <v>1509</v>
      </c>
      <c r="K667" s="12">
        <v>1</v>
      </c>
      <c r="L667" s="12">
        <v>12</v>
      </c>
      <c r="M667" s="12"/>
      <c r="N667" s="13">
        <v>1951</v>
      </c>
      <c r="O667" s="12" t="s">
        <v>93</v>
      </c>
      <c r="P667" s="12"/>
      <c r="Q667" s="12"/>
      <c r="R667" s="12" t="s">
        <v>94</v>
      </c>
      <c r="S667" s="12">
        <v>10</v>
      </c>
      <c r="T667" s="12" t="s">
        <v>655</v>
      </c>
      <c r="U667" s="12" t="s">
        <v>656</v>
      </c>
      <c r="V667" s="12">
        <f>VLOOKUP(Tabla4[[#This Row],[ZONA DEFINITIVO]],Hoja1!$A$1:$D$121,3,0)</f>
        <v>229115</v>
      </c>
      <c r="W667" s="12">
        <f>VLOOKUP(Tabla4[[#This Row],[ZONA DEFINITIVO]],Hoja1!$A$1:$D$121,2,0)</f>
        <v>15198</v>
      </c>
      <c r="X667" s="12">
        <f>VLOOKUP(Tabla4[[#This Row],[ZONA DEFINITIVO]],Hoja1!$A$1:$D$121,4,0)</f>
        <v>83325</v>
      </c>
      <c r="Y667" s="12" t="str">
        <f>+IF(Tabla4[[#This Row],[AGRUPACIONES]]=1,SUMIFS(Tabla4[UDS],Tabla4[ZONA DEFINITIVO],Tabla4[[#This Row],[ZONA DEFINITIVO]])," ")</f>
        <v xml:space="preserve"> </v>
      </c>
      <c r="Z667" s="12" t="str">
        <f>+IF(Tabla4[[#This Row],[AGRUPACIONES]]=1,SUMIFS(Tabla4[TOTAL COBERTURA],Tabla4[ZONA DEFINITIVO],Tabla4[[#This Row],[ZONA DEFINITIVO]])," ")</f>
        <v xml:space="preserve"> </v>
      </c>
      <c r="AA667" s="12"/>
      <c r="AB667" s="38">
        <v>18231660</v>
      </c>
      <c r="AC667" s="37">
        <v>0.02</v>
      </c>
      <c r="AD667" s="38">
        <f t="shared" si="11"/>
        <v>364633.2</v>
      </c>
      <c r="AE667" s="12"/>
      <c r="AF667" s="12">
        <f>COUNTIF($A$20:A667,A667)</f>
        <v>6</v>
      </c>
      <c r="AG667" s="38">
        <v>18231660</v>
      </c>
      <c r="AH667" s="38">
        <f>Tabla4[[#This Row],[VALOR CONTRAPARTIDA]]+Tabla4[[#This Row],[TOTAL APORTES ICBF]]</f>
        <v>18596293.199999999</v>
      </c>
      <c r="AI667" s="35"/>
      <c r="AJ667" s="38"/>
      <c r="AK667" s="38"/>
      <c r="AL667" s="23"/>
      <c r="AM667" s="35">
        <f>VLOOKUP(Tabla4[[#This Row],[SERVICIO 2025]],$J$2:$V$14,5,0)*Tabla4[[#This Row],[TOTAL COBERTURA]]</f>
        <v>560928</v>
      </c>
      <c r="AN667" s="35">
        <f>VLOOKUP(Tabla4[[#This Row],[SERVICIO 2025]],$J$2:$V$14,6,0)*Tabla4[[#This Row],[TOTAL COBERTURA]]</f>
        <v>454092</v>
      </c>
      <c r="AO667" s="35">
        <f>VLOOKUP(Tabla4[[#This Row],[SERVICIO 2025]],$J$2:$V$14,8,0)*Tabla4[[#This Row],[TOTAL COBERTURA]]</f>
        <v>0</v>
      </c>
      <c r="AP667" s="35">
        <f>VLOOKUP(Tabla4[[#This Row],[SERVICIO 2025]],$J$2:$V$14,3,0)*Tabla4[[#This Row],[TOTAL COBERTURA]]*8</f>
        <v>17216640</v>
      </c>
      <c r="AQ667" s="35"/>
      <c r="AR667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667" s="35" t="str">
        <f>+IF(Tabla4[[#This Row],[AGRUPACIONES]]=1,SUMIFS(Tabla4[VALOR TOTAL],Tabla4[ZONA DEFINITIVO],Tabla4[[#This Row],[ZONA DEFINITIVO]])," ")</f>
        <v xml:space="preserve"> </v>
      </c>
      <c r="AT667" s="27">
        <f>(VLOOKUP(Tabla4[[#This Row],[SERVICIO 2025]],$J$2:$V$14,3,0)*Tabla4[[#This Row],[TOTAL COBERTURA]])+Tabla4[[#This Row],[VALOR FASE PREPARATORIA DE ALISTAMIENTO]]+Tabla4[[#This Row],[DOTACIÓN ÚNICA]]</f>
        <v>2713008</v>
      </c>
      <c r="AU667" s="35">
        <f>(VLOOKUP(Tabla4[[#This Row],[SERVICIO 2025]],$J$2:$V$14,3,0)*Tabla4[[#This Row],[TOTAL COBERTURA]])</f>
        <v>2152080</v>
      </c>
      <c r="AV667" s="35">
        <f>(VLOOKUP(Tabla4[[#This Row],[SERVICIO 2025]],$J$2:$V$14,3,0)*Tabla4[[#This Row],[TOTAL COBERTURA]])</f>
        <v>2152080</v>
      </c>
      <c r="AW667" s="35">
        <f>(VLOOKUP(Tabla4[[#This Row],[SERVICIO 2025]],$J$2:$V$14,3,0)*Tabla4[[#This Row],[TOTAL COBERTURA]])</f>
        <v>2152080</v>
      </c>
      <c r="AX667" s="35">
        <f>(VLOOKUP(Tabla4[[#This Row],[SERVICIO 2025]],$J$2:$V$14,3,0)*Tabla4[[#This Row],[TOTAL COBERTURA]])</f>
        <v>2152080</v>
      </c>
      <c r="AY667" s="35">
        <f>(VLOOKUP(Tabla4[[#This Row],[SERVICIO 2025]],$J$2:$V$14,3,0)*Tabla4[[#This Row],[TOTAL COBERTURA]])</f>
        <v>2152080</v>
      </c>
      <c r="AZ667" s="35">
        <f>(VLOOKUP(Tabla4[[#This Row],[SERVICIO 2025]],$J$2:$V$14,3,0)*Tabla4[[#This Row],[TOTAL COBERTURA]])</f>
        <v>2152080</v>
      </c>
      <c r="BA667" s="35">
        <f>(VLOOKUP(Tabla4[[#This Row],[SERVICIO 2025]],$J$2:$V$14,3,0)*Tabla4[[#This Row],[TOTAL COBERTURA]])+Tabla4[[#This Row],[VALOR FASE PREPARATORIA DE CIERRE]]</f>
        <v>2606172</v>
      </c>
      <c r="BB667" s="35">
        <f>SUM(Tabla4[[#This Row],[DESEMBOLSO 1]:[DESEMBOLSO 8]])</f>
        <v>18231660</v>
      </c>
      <c r="BC667" s="35">
        <f>VLOOKUP(Tabla4[[#This Row],[SERVICIO 2025]],$J$2:$V$14,10,0)*Tabla4[[#This Row],[TOTAL COBERTURA]]*$W$3</f>
        <v>18078816</v>
      </c>
      <c r="BD667" s="47" t="s">
        <v>211</v>
      </c>
      <c r="BE667" s="12" t="b">
        <f>EXACT(Tabla4[[#This Row],[VALOR ATENCIÓN (8 MESES)]],Tabla4[[#This Row],[VALOR TOTAL]])</f>
        <v>1</v>
      </c>
      <c r="BF667" s="23">
        <f>Tabla4[[#This Row],[VALOR ATENCIÓN (8 MESES)]]-Tabla4[[#This Row],[VALOR TOTAL]]</f>
        <v>0</v>
      </c>
      <c r="BG667" s="12" t="b">
        <f>EXACT(Tabla4[[#This Row],[TOTAL DESEMBOLSOS]],Tabla4[[#This Row],[VALOR ATENCIÓN (8 MESES)]])</f>
        <v>1</v>
      </c>
      <c r="BH667" s="29">
        <f>Tabla4[[#This Row],[TOTAL DESEMBOLSOS]]-Tabla4[[#This Row],[VALOR ATENCIÓN (8 MESES)]]</f>
        <v>0</v>
      </c>
      <c r="BI667" t="s">
        <v>98</v>
      </c>
      <c r="BJ667">
        <v>1951</v>
      </c>
    </row>
    <row r="668" spans="1:62">
      <c r="A668" s="13">
        <v>1951</v>
      </c>
      <c r="B668" s="13" t="s">
        <v>1496</v>
      </c>
      <c r="C668" s="12" t="s">
        <v>87</v>
      </c>
      <c r="D668" s="12" t="s">
        <v>651</v>
      </c>
      <c r="E668" s="12" t="s">
        <v>1497</v>
      </c>
      <c r="F668" s="12" t="s">
        <v>21</v>
      </c>
      <c r="G668" s="12" t="s">
        <v>90</v>
      </c>
      <c r="H668" s="12" t="s">
        <v>1510</v>
      </c>
      <c r="I668" s="12">
        <v>52821136781</v>
      </c>
      <c r="J668" s="12" t="s">
        <v>1511</v>
      </c>
      <c r="K668" s="12">
        <v>1</v>
      </c>
      <c r="L668" s="12">
        <v>39</v>
      </c>
      <c r="M668" s="12"/>
      <c r="N668" s="13">
        <v>1951</v>
      </c>
      <c r="O668" s="12" t="s">
        <v>93</v>
      </c>
      <c r="P668" s="12"/>
      <c r="Q668" s="12"/>
      <c r="R668" s="12" t="s">
        <v>94</v>
      </c>
      <c r="S668" s="12">
        <v>10</v>
      </c>
      <c r="T668" s="12" t="s">
        <v>655</v>
      </c>
      <c r="U668" s="12" t="s">
        <v>656</v>
      </c>
      <c r="V668" s="12">
        <f>VLOOKUP(Tabla4[[#This Row],[ZONA DEFINITIVO]],Hoja1!$A$1:$D$121,3,0)</f>
        <v>229115</v>
      </c>
      <c r="W668" s="12">
        <f>VLOOKUP(Tabla4[[#This Row],[ZONA DEFINITIVO]],Hoja1!$A$1:$D$121,2,0)</f>
        <v>15198</v>
      </c>
      <c r="X668" s="12">
        <f>VLOOKUP(Tabla4[[#This Row],[ZONA DEFINITIVO]],Hoja1!$A$1:$D$121,4,0)</f>
        <v>83325</v>
      </c>
      <c r="Y668" s="12" t="str">
        <f>+IF(Tabla4[[#This Row],[AGRUPACIONES]]=1,SUMIFS(Tabla4[UDS],Tabla4[ZONA DEFINITIVO],Tabla4[[#This Row],[ZONA DEFINITIVO]])," ")</f>
        <v xml:space="preserve"> </v>
      </c>
      <c r="Z668" s="12" t="str">
        <f>+IF(Tabla4[[#This Row],[AGRUPACIONES]]=1,SUMIFS(Tabla4[TOTAL COBERTURA],Tabla4[ZONA DEFINITIVO],Tabla4[[#This Row],[ZONA DEFINITIVO]])," ")</f>
        <v xml:space="preserve"> </v>
      </c>
      <c r="AA668" s="12"/>
      <c r="AB668" s="38">
        <v>59252895</v>
      </c>
      <c r="AC668" s="37">
        <v>0.02</v>
      </c>
      <c r="AD668" s="38">
        <f t="shared" si="11"/>
        <v>1185057.9000000001</v>
      </c>
      <c r="AE668" s="12"/>
      <c r="AF668" s="12">
        <f>COUNTIF($A$20:A668,A668)</f>
        <v>7</v>
      </c>
      <c r="AG668" s="38">
        <v>59252895</v>
      </c>
      <c r="AH668" s="38">
        <f>Tabla4[[#This Row],[VALOR CONTRAPARTIDA]]+Tabla4[[#This Row],[TOTAL APORTES ICBF]]</f>
        <v>60437952.899999999</v>
      </c>
      <c r="AI668" s="35"/>
      <c r="AJ668" s="38"/>
      <c r="AK668" s="38"/>
      <c r="AL668" s="23"/>
      <c r="AM668" s="35">
        <f>VLOOKUP(Tabla4[[#This Row],[SERVICIO 2025]],$J$2:$V$14,5,0)*Tabla4[[#This Row],[TOTAL COBERTURA]]</f>
        <v>1823016</v>
      </c>
      <c r="AN668" s="35">
        <f>VLOOKUP(Tabla4[[#This Row],[SERVICIO 2025]],$J$2:$V$14,6,0)*Tabla4[[#This Row],[TOTAL COBERTURA]]</f>
        <v>1475799</v>
      </c>
      <c r="AO668" s="35">
        <f>VLOOKUP(Tabla4[[#This Row],[SERVICIO 2025]],$J$2:$V$14,8,0)*Tabla4[[#This Row],[TOTAL COBERTURA]]</f>
        <v>0</v>
      </c>
      <c r="AP668" s="35">
        <f>VLOOKUP(Tabla4[[#This Row],[SERVICIO 2025]],$J$2:$V$14,3,0)*Tabla4[[#This Row],[TOTAL COBERTURA]]*8</f>
        <v>55954080</v>
      </c>
      <c r="AQ668" s="35"/>
      <c r="AR668" s="35">
        <f>Tabla4[[#This Row],[VALOR FASE PREPARATORIA DE ALISTAMIENTO]]+Tabla4[[#This Row],[VALOR FASE PREPARATORIA DE CIERRE]]+Tabla4[[#This Row],[DOTACIÓN ÚNICA]]+Tabla4[[#This Row],[VALOR ATENCIÓN]]+Tabla4[[#This Row],[VALOR RACION PREPARADA]]</f>
        <v>59252895</v>
      </c>
      <c r="AS668" s="35" t="str">
        <f>+IF(Tabla4[[#This Row],[AGRUPACIONES]]=1,SUMIFS(Tabla4[VALOR TOTAL],Tabla4[ZONA DEFINITIVO],Tabla4[[#This Row],[ZONA DEFINITIVO]])," ")</f>
        <v xml:space="preserve"> </v>
      </c>
      <c r="AT668" s="27">
        <f>(VLOOKUP(Tabla4[[#This Row],[SERVICIO 2025]],$J$2:$V$14,3,0)*Tabla4[[#This Row],[TOTAL COBERTURA]])+Tabla4[[#This Row],[VALOR FASE PREPARATORIA DE ALISTAMIENTO]]+Tabla4[[#This Row],[DOTACIÓN ÚNICA]]</f>
        <v>8817276</v>
      </c>
      <c r="AU668" s="35">
        <f>(VLOOKUP(Tabla4[[#This Row],[SERVICIO 2025]],$J$2:$V$14,3,0)*Tabla4[[#This Row],[TOTAL COBERTURA]])</f>
        <v>6994260</v>
      </c>
      <c r="AV668" s="35">
        <f>(VLOOKUP(Tabla4[[#This Row],[SERVICIO 2025]],$J$2:$V$14,3,0)*Tabla4[[#This Row],[TOTAL COBERTURA]])</f>
        <v>6994260</v>
      </c>
      <c r="AW668" s="35">
        <f>(VLOOKUP(Tabla4[[#This Row],[SERVICIO 2025]],$J$2:$V$14,3,0)*Tabla4[[#This Row],[TOTAL COBERTURA]])</f>
        <v>6994260</v>
      </c>
      <c r="AX668" s="35">
        <f>(VLOOKUP(Tabla4[[#This Row],[SERVICIO 2025]],$J$2:$V$14,3,0)*Tabla4[[#This Row],[TOTAL COBERTURA]])</f>
        <v>6994260</v>
      </c>
      <c r="AY668" s="35">
        <f>(VLOOKUP(Tabla4[[#This Row],[SERVICIO 2025]],$J$2:$V$14,3,0)*Tabla4[[#This Row],[TOTAL COBERTURA]])</f>
        <v>6994260</v>
      </c>
      <c r="AZ668" s="35">
        <f>(VLOOKUP(Tabla4[[#This Row],[SERVICIO 2025]],$J$2:$V$14,3,0)*Tabla4[[#This Row],[TOTAL COBERTURA]])</f>
        <v>6994260</v>
      </c>
      <c r="BA668" s="35">
        <f>(VLOOKUP(Tabla4[[#This Row],[SERVICIO 2025]],$J$2:$V$14,3,0)*Tabla4[[#This Row],[TOTAL COBERTURA]])+Tabla4[[#This Row],[VALOR FASE PREPARATORIA DE CIERRE]]</f>
        <v>8470059</v>
      </c>
      <c r="BB668" s="35">
        <f>SUM(Tabla4[[#This Row],[DESEMBOLSO 1]:[DESEMBOLSO 8]])</f>
        <v>59252895</v>
      </c>
      <c r="BC668" s="35">
        <f>VLOOKUP(Tabla4[[#This Row],[SERVICIO 2025]],$J$2:$V$14,10,0)*Tabla4[[#This Row],[TOTAL COBERTURA]]*$W$3</f>
        <v>58756152</v>
      </c>
      <c r="BD668" s="47" t="s">
        <v>211</v>
      </c>
      <c r="BE668" s="12" t="b">
        <f>EXACT(Tabla4[[#This Row],[VALOR ATENCIÓN (8 MESES)]],Tabla4[[#This Row],[VALOR TOTAL]])</f>
        <v>1</v>
      </c>
      <c r="BF668" s="23">
        <f>Tabla4[[#This Row],[VALOR ATENCIÓN (8 MESES)]]-Tabla4[[#This Row],[VALOR TOTAL]]</f>
        <v>0</v>
      </c>
      <c r="BG668" s="12" t="b">
        <f>EXACT(Tabla4[[#This Row],[TOTAL DESEMBOLSOS]],Tabla4[[#This Row],[VALOR ATENCIÓN (8 MESES)]])</f>
        <v>1</v>
      </c>
      <c r="BH668" s="29">
        <f>Tabla4[[#This Row],[TOTAL DESEMBOLSOS]]-Tabla4[[#This Row],[VALOR ATENCIÓN (8 MESES)]]</f>
        <v>0</v>
      </c>
      <c r="BI668" t="s">
        <v>98</v>
      </c>
      <c r="BJ668">
        <v>1951</v>
      </c>
    </row>
    <row r="669" spans="1:62">
      <c r="A669" s="13">
        <v>1951</v>
      </c>
      <c r="B669" s="13" t="s">
        <v>1496</v>
      </c>
      <c r="C669" s="12" t="s">
        <v>87</v>
      </c>
      <c r="D669" s="12" t="s">
        <v>651</v>
      </c>
      <c r="E669" s="12" t="s">
        <v>1497</v>
      </c>
      <c r="F669" s="12" t="s">
        <v>21</v>
      </c>
      <c r="G669" s="12" t="s">
        <v>90</v>
      </c>
      <c r="H669" s="12" t="s">
        <v>1512</v>
      </c>
      <c r="I669" s="12">
        <v>52821136783</v>
      </c>
      <c r="J669" s="12" t="s">
        <v>1513</v>
      </c>
      <c r="K669" s="12">
        <v>1</v>
      </c>
      <c r="L669" s="12">
        <v>6</v>
      </c>
      <c r="M669" s="12"/>
      <c r="N669" s="13">
        <v>1951</v>
      </c>
      <c r="O669" s="12" t="s">
        <v>93</v>
      </c>
      <c r="P669" s="12"/>
      <c r="Q669" s="12"/>
      <c r="R669" s="12" t="s">
        <v>94</v>
      </c>
      <c r="S669" s="12">
        <v>10</v>
      </c>
      <c r="T669" s="12" t="s">
        <v>655</v>
      </c>
      <c r="U669" s="12" t="s">
        <v>656</v>
      </c>
      <c r="V669" s="12">
        <f>VLOOKUP(Tabla4[[#This Row],[ZONA DEFINITIVO]],Hoja1!$A$1:$D$121,3,0)</f>
        <v>229115</v>
      </c>
      <c r="W669" s="12">
        <f>VLOOKUP(Tabla4[[#This Row],[ZONA DEFINITIVO]],Hoja1!$A$1:$D$121,2,0)</f>
        <v>15198</v>
      </c>
      <c r="X669" s="12">
        <f>VLOOKUP(Tabla4[[#This Row],[ZONA DEFINITIVO]],Hoja1!$A$1:$D$121,4,0)</f>
        <v>83325</v>
      </c>
      <c r="Y669" s="12" t="str">
        <f>+IF(Tabla4[[#This Row],[AGRUPACIONES]]=1,SUMIFS(Tabla4[UDS],Tabla4[ZONA DEFINITIVO],Tabla4[[#This Row],[ZONA DEFINITIVO]])," ")</f>
        <v xml:space="preserve"> </v>
      </c>
      <c r="Z669" s="12" t="str">
        <f>+IF(Tabla4[[#This Row],[AGRUPACIONES]]=1,SUMIFS(Tabla4[TOTAL COBERTURA],Tabla4[ZONA DEFINITIVO],Tabla4[[#This Row],[ZONA DEFINITIVO]])," ")</f>
        <v xml:space="preserve"> </v>
      </c>
      <c r="AA669" s="12"/>
      <c r="AB669" s="38">
        <v>9115830</v>
      </c>
      <c r="AC669" s="37">
        <v>0.02</v>
      </c>
      <c r="AD669" s="38">
        <f t="shared" si="11"/>
        <v>182316.6</v>
      </c>
      <c r="AE669" s="12"/>
      <c r="AF669" s="12">
        <f>COUNTIF($A$20:A669,A669)</f>
        <v>8</v>
      </c>
      <c r="AG669" s="38">
        <v>9115830</v>
      </c>
      <c r="AH669" s="38">
        <f>Tabla4[[#This Row],[VALOR CONTRAPARTIDA]]+Tabla4[[#This Row],[TOTAL APORTES ICBF]]</f>
        <v>9298146.5999999996</v>
      </c>
      <c r="AI669" s="35"/>
      <c r="AJ669" s="38"/>
      <c r="AK669" s="38"/>
      <c r="AL669" s="23"/>
      <c r="AM669" s="35">
        <f>VLOOKUP(Tabla4[[#This Row],[SERVICIO 2025]],$J$2:$V$14,5,0)*Tabla4[[#This Row],[TOTAL COBERTURA]]</f>
        <v>280464</v>
      </c>
      <c r="AN669" s="35">
        <f>VLOOKUP(Tabla4[[#This Row],[SERVICIO 2025]],$J$2:$V$14,6,0)*Tabla4[[#This Row],[TOTAL COBERTURA]]</f>
        <v>227046</v>
      </c>
      <c r="AO669" s="35">
        <f>VLOOKUP(Tabla4[[#This Row],[SERVICIO 2025]],$J$2:$V$14,8,0)*Tabla4[[#This Row],[TOTAL COBERTURA]]</f>
        <v>0</v>
      </c>
      <c r="AP669" s="35">
        <f>VLOOKUP(Tabla4[[#This Row],[SERVICIO 2025]],$J$2:$V$14,3,0)*Tabla4[[#This Row],[TOTAL COBERTURA]]*8</f>
        <v>8608320</v>
      </c>
      <c r="AQ669" s="35"/>
      <c r="AR669" s="35">
        <f>Tabla4[[#This Row],[VALOR FASE PREPARATORIA DE ALISTAMIENTO]]+Tabla4[[#This Row],[VALOR FASE PREPARATORIA DE CIERRE]]+Tabla4[[#This Row],[DOTACIÓN ÚNICA]]+Tabla4[[#This Row],[VALOR ATENCIÓN]]+Tabla4[[#This Row],[VALOR RACION PREPARADA]]</f>
        <v>9115830</v>
      </c>
      <c r="AS669" s="35" t="str">
        <f>+IF(Tabla4[[#This Row],[AGRUPACIONES]]=1,SUMIFS(Tabla4[VALOR TOTAL],Tabla4[ZONA DEFINITIVO],Tabla4[[#This Row],[ZONA DEFINITIVO]])," ")</f>
        <v xml:space="preserve"> </v>
      </c>
      <c r="AT669" s="27">
        <f>(VLOOKUP(Tabla4[[#This Row],[SERVICIO 2025]],$J$2:$V$14,3,0)*Tabla4[[#This Row],[TOTAL COBERTURA]])+Tabla4[[#This Row],[VALOR FASE PREPARATORIA DE ALISTAMIENTO]]+Tabla4[[#This Row],[DOTACIÓN ÚNICA]]</f>
        <v>1356504</v>
      </c>
      <c r="AU669" s="35">
        <f>(VLOOKUP(Tabla4[[#This Row],[SERVICIO 2025]],$J$2:$V$14,3,0)*Tabla4[[#This Row],[TOTAL COBERTURA]])</f>
        <v>1076040</v>
      </c>
      <c r="AV669" s="35">
        <f>(VLOOKUP(Tabla4[[#This Row],[SERVICIO 2025]],$J$2:$V$14,3,0)*Tabla4[[#This Row],[TOTAL COBERTURA]])</f>
        <v>1076040</v>
      </c>
      <c r="AW669" s="35">
        <f>(VLOOKUP(Tabla4[[#This Row],[SERVICIO 2025]],$J$2:$V$14,3,0)*Tabla4[[#This Row],[TOTAL COBERTURA]])</f>
        <v>1076040</v>
      </c>
      <c r="AX669" s="35">
        <f>(VLOOKUP(Tabla4[[#This Row],[SERVICIO 2025]],$J$2:$V$14,3,0)*Tabla4[[#This Row],[TOTAL COBERTURA]])</f>
        <v>1076040</v>
      </c>
      <c r="AY669" s="35">
        <f>(VLOOKUP(Tabla4[[#This Row],[SERVICIO 2025]],$J$2:$V$14,3,0)*Tabla4[[#This Row],[TOTAL COBERTURA]])</f>
        <v>1076040</v>
      </c>
      <c r="AZ669" s="35">
        <f>(VLOOKUP(Tabla4[[#This Row],[SERVICIO 2025]],$J$2:$V$14,3,0)*Tabla4[[#This Row],[TOTAL COBERTURA]])</f>
        <v>1076040</v>
      </c>
      <c r="BA669" s="35">
        <f>(VLOOKUP(Tabla4[[#This Row],[SERVICIO 2025]],$J$2:$V$14,3,0)*Tabla4[[#This Row],[TOTAL COBERTURA]])+Tabla4[[#This Row],[VALOR FASE PREPARATORIA DE CIERRE]]</f>
        <v>1303086</v>
      </c>
      <c r="BB669" s="35">
        <f>SUM(Tabla4[[#This Row],[DESEMBOLSO 1]:[DESEMBOLSO 8]])</f>
        <v>9115830</v>
      </c>
      <c r="BC669" s="35">
        <f>VLOOKUP(Tabla4[[#This Row],[SERVICIO 2025]],$J$2:$V$14,10,0)*Tabla4[[#This Row],[TOTAL COBERTURA]]*$W$3</f>
        <v>9039408</v>
      </c>
      <c r="BD669" s="47" t="s">
        <v>211</v>
      </c>
      <c r="BE669" s="12" t="b">
        <f>EXACT(Tabla4[[#This Row],[VALOR ATENCIÓN (8 MESES)]],Tabla4[[#This Row],[VALOR TOTAL]])</f>
        <v>1</v>
      </c>
      <c r="BF669" s="23">
        <f>Tabla4[[#This Row],[VALOR ATENCIÓN (8 MESES)]]-Tabla4[[#This Row],[VALOR TOTAL]]</f>
        <v>0</v>
      </c>
      <c r="BG669" s="12" t="b">
        <f>EXACT(Tabla4[[#This Row],[TOTAL DESEMBOLSOS]],Tabla4[[#This Row],[VALOR ATENCIÓN (8 MESES)]])</f>
        <v>1</v>
      </c>
      <c r="BH669" s="29">
        <f>Tabla4[[#This Row],[TOTAL DESEMBOLSOS]]-Tabla4[[#This Row],[VALOR ATENCIÓN (8 MESES)]]</f>
        <v>0</v>
      </c>
      <c r="BI669" t="s">
        <v>98</v>
      </c>
      <c r="BJ669">
        <v>1951</v>
      </c>
    </row>
    <row r="670" spans="1:62">
      <c r="A670" s="13">
        <v>1951</v>
      </c>
      <c r="B670" s="13" t="s">
        <v>1496</v>
      </c>
      <c r="C670" s="12" t="s">
        <v>87</v>
      </c>
      <c r="D670" s="12" t="s">
        <v>651</v>
      </c>
      <c r="E670" s="12" t="s">
        <v>1497</v>
      </c>
      <c r="F670" s="12" t="s">
        <v>21</v>
      </c>
      <c r="G670" s="12" t="s">
        <v>90</v>
      </c>
      <c r="H670" s="12" t="s">
        <v>1514</v>
      </c>
      <c r="I670" s="12">
        <v>52821136785</v>
      </c>
      <c r="J670" s="12" t="s">
        <v>1515</v>
      </c>
      <c r="K670" s="12">
        <v>1</v>
      </c>
      <c r="L670" s="12">
        <v>16</v>
      </c>
      <c r="M670" s="12"/>
      <c r="N670" s="13">
        <v>1951</v>
      </c>
      <c r="O670" s="12" t="s">
        <v>93</v>
      </c>
      <c r="P670" s="12"/>
      <c r="Q670" s="12"/>
      <c r="R670" s="12" t="s">
        <v>94</v>
      </c>
      <c r="S670" s="12">
        <v>10</v>
      </c>
      <c r="T670" s="12" t="s">
        <v>655</v>
      </c>
      <c r="U670" s="12" t="s">
        <v>656</v>
      </c>
      <c r="V670" s="12">
        <f>VLOOKUP(Tabla4[[#This Row],[ZONA DEFINITIVO]],Hoja1!$A$1:$D$121,3,0)</f>
        <v>229115</v>
      </c>
      <c r="W670" s="12">
        <f>VLOOKUP(Tabla4[[#This Row],[ZONA DEFINITIVO]],Hoja1!$A$1:$D$121,2,0)</f>
        <v>15198</v>
      </c>
      <c r="X670" s="12">
        <f>VLOOKUP(Tabla4[[#This Row],[ZONA DEFINITIVO]],Hoja1!$A$1:$D$121,4,0)</f>
        <v>83325</v>
      </c>
      <c r="Y670" s="12" t="str">
        <f>+IF(Tabla4[[#This Row],[AGRUPACIONES]]=1,SUMIFS(Tabla4[UDS],Tabla4[ZONA DEFINITIVO],Tabla4[[#This Row],[ZONA DEFINITIVO]])," ")</f>
        <v xml:space="preserve"> </v>
      </c>
      <c r="Z670" s="12" t="str">
        <f>+IF(Tabla4[[#This Row],[AGRUPACIONES]]=1,SUMIFS(Tabla4[TOTAL COBERTURA],Tabla4[ZONA DEFINITIVO],Tabla4[[#This Row],[ZONA DEFINITIVO]])," ")</f>
        <v xml:space="preserve"> </v>
      </c>
      <c r="AA670" s="12"/>
      <c r="AB670" s="38">
        <v>24308880</v>
      </c>
      <c r="AC670" s="37">
        <v>0.02</v>
      </c>
      <c r="AD670" s="38">
        <f t="shared" si="11"/>
        <v>486177.60000000003</v>
      </c>
      <c r="AE670" s="12"/>
      <c r="AF670" s="12">
        <f>COUNTIF($A$20:A670,A670)</f>
        <v>9</v>
      </c>
      <c r="AG670" s="38">
        <v>24308880</v>
      </c>
      <c r="AH670" s="38">
        <f>Tabla4[[#This Row],[VALOR CONTRAPARTIDA]]+Tabla4[[#This Row],[TOTAL APORTES ICBF]]</f>
        <v>24795057.600000001</v>
      </c>
      <c r="AI670" s="35"/>
      <c r="AJ670" s="38"/>
      <c r="AK670" s="38"/>
      <c r="AL670" s="23"/>
      <c r="AM670" s="35">
        <f>VLOOKUP(Tabla4[[#This Row],[SERVICIO 2025]],$J$2:$V$14,5,0)*Tabla4[[#This Row],[TOTAL COBERTURA]]</f>
        <v>747904</v>
      </c>
      <c r="AN670" s="35">
        <f>VLOOKUP(Tabla4[[#This Row],[SERVICIO 2025]],$J$2:$V$14,6,0)*Tabla4[[#This Row],[TOTAL COBERTURA]]</f>
        <v>605456</v>
      </c>
      <c r="AO670" s="35">
        <f>VLOOKUP(Tabla4[[#This Row],[SERVICIO 2025]],$J$2:$V$14,8,0)*Tabla4[[#This Row],[TOTAL COBERTURA]]</f>
        <v>0</v>
      </c>
      <c r="AP670" s="35">
        <f>VLOOKUP(Tabla4[[#This Row],[SERVICIO 2025]],$J$2:$V$14,3,0)*Tabla4[[#This Row],[TOTAL COBERTURA]]*8</f>
        <v>22955520</v>
      </c>
      <c r="AQ670" s="35"/>
      <c r="AR670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670" s="35" t="str">
        <f>+IF(Tabla4[[#This Row],[AGRUPACIONES]]=1,SUMIFS(Tabla4[VALOR TOTAL],Tabla4[ZONA DEFINITIVO],Tabla4[[#This Row],[ZONA DEFINITIVO]])," ")</f>
        <v xml:space="preserve"> </v>
      </c>
      <c r="AT670" s="27">
        <f>(VLOOKUP(Tabla4[[#This Row],[SERVICIO 2025]],$J$2:$V$14,3,0)*Tabla4[[#This Row],[TOTAL COBERTURA]])+Tabla4[[#This Row],[VALOR FASE PREPARATORIA DE ALISTAMIENTO]]+Tabla4[[#This Row],[DOTACIÓN ÚNICA]]</f>
        <v>3617344</v>
      </c>
      <c r="AU670" s="35">
        <f>(VLOOKUP(Tabla4[[#This Row],[SERVICIO 2025]],$J$2:$V$14,3,0)*Tabla4[[#This Row],[TOTAL COBERTURA]])</f>
        <v>2869440</v>
      </c>
      <c r="AV670" s="35">
        <f>(VLOOKUP(Tabla4[[#This Row],[SERVICIO 2025]],$J$2:$V$14,3,0)*Tabla4[[#This Row],[TOTAL COBERTURA]])</f>
        <v>2869440</v>
      </c>
      <c r="AW670" s="35">
        <f>(VLOOKUP(Tabla4[[#This Row],[SERVICIO 2025]],$J$2:$V$14,3,0)*Tabla4[[#This Row],[TOTAL COBERTURA]])</f>
        <v>2869440</v>
      </c>
      <c r="AX670" s="35">
        <f>(VLOOKUP(Tabla4[[#This Row],[SERVICIO 2025]],$J$2:$V$14,3,0)*Tabla4[[#This Row],[TOTAL COBERTURA]])</f>
        <v>2869440</v>
      </c>
      <c r="AY670" s="35">
        <f>(VLOOKUP(Tabla4[[#This Row],[SERVICIO 2025]],$J$2:$V$14,3,0)*Tabla4[[#This Row],[TOTAL COBERTURA]])</f>
        <v>2869440</v>
      </c>
      <c r="AZ670" s="35">
        <f>(VLOOKUP(Tabla4[[#This Row],[SERVICIO 2025]],$J$2:$V$14,3,0)*Tabla4[[#This Row],[TOTAL COBERTURA]])</f>
        <v>2869440</v>
      </c>
      <c r="BA670" s="35">
        <f>(VLOOKUP(Tabla4[[#This Row],[SERVICIO 2025]],$J$2:$V$14,3,0)*Tabla4[[#This Row],[TOTAL COBERTURA]])+Tabla4[[#This Row],[VALOR FASE PREPARATORIA DE CIERRE]]</f>
        <v>3474896</v>
      </c>
      <c r="BB670" s="35">
        <f>SUM(Tabla4[[#This Row],[DESEMBOLSO 1]:[DESEMBOLSO 8]])</f>
        <v>24308880</v>
      </c>
      <c r="BC670" s="35">
        <f>VLOOKUP(Tabla4[[#This Row],[SERVICIO 2025]],$J$2:$V$14,10,0)*Tabla4[[#This Row],[TOTAL COBERTURA]]*$W$3</f>
        <v>24105088</v>
      </c>
      <c r="BD670" s="47" t="s">
        <v>211</v>
      </c>
      <c r="BE670" s="12" t="b">
        <f>EXACT(Tabla4[[#This Row],[VALOR ATENCIÓN (8 MESES)]],Tabla4[[#This Row],[VALOR TOTAL]])</f>
        <v>1</v>
      </c>
      <c r="BF670" s="23">
        <f>Tabla4[[#This Row],[VALOR ATENCIÓN (8 MESES)]]-Tabla4[[#This Row],[VALOR TOTAL]]</f>
        <v>0</v>
      </c>
      <c r="BG670" s="12" t="b">
        <f>EXACT(Tabla4[[#This Row],[TOTAL DESEMBOLSOS]],Tabla4[[#This Row],[VALOR ATENCIÓN (8 MESES)]])</f>
        <v>1</v>
      </c>
      <c r="BH670" s="29">
        <f>Tabla4[[#This Row],[TOTAL DESEMBOLSOS]]-Tabla4[[#This Row],[VALOR ATENCIÓN (8 MESES)]]</f>
        <v>0</v>
      </c>
      <c r="BI670" t="s">
        <v>98</v>
      </c>
      <c r="BJ670">
        <v>1951</v>
      </c>
    </row>
    <row r="671" spans="1:62">
      <c r="A671" s="13">
        <v>1951</v>
      </c>
      <c r="B671" s="13" t="s">
        <v>1496</v>
      </c>
      <c r="C671" s="12" t="s">
        <v>87</v>
      </c>
      <c r="D671" s="12" t="s">
        <v>651</v>
      </c>
      <c r="E671" s="12" t="s">
        <v>1497</v>
      </c>
      <c r="F671" s="12" t="s">
        <v>21</v>
      </c>
      <c r="G671" s="12" t="s">
        <v>90</v>
      </c>
      <c r="H671" s="12" t="s">
        <v>1516</v>
      </c>
      <c r="I671" s="12">
        <v>52821136786</v>
      </c>
      <c r="J671" s="12" t="s">
        <v>1517</v>
      </c>
      <c r="K671" s="12">
        <v>1</v>
      </c>
      <c r="L671" s="12">
        <v>21</v>
      </c>
      <c r="M671" s="12"/>
      <c r="N671" s="13">
        <v>1951</v>
      </c>
      <c r="O671" s="12" t="s">
        <v>93</v>
      </c>
      <c r="P671" s="12"/>
      <c r="Q671" s="12"/>
      <c r="R671" s="12" t="s">
        <v>94</v>
      </c>
      <c r="S671" s="12">
        <v>10</v>
      </c>
      <c r="T671" s="12" t="s">
        <v>655</v>
      </c>
      <c r="U671" s="12" t="s">
        <v>656</v>
      </c>
      <c r="V671" s="12">
        <f>VLOOKUP(Tabla4[[#This Row],[ZONA DEFINITIVO]],Hoja1!$A$1:$D$121,3,0)</f>
        <v>229115</v>
      </c>
      <c r="W671" s="12">
        <f>VLOOKUP(Tabla4[[#This Row],[ZONA DEFINITIVO]],Hoja1!$A$1:$D$121,2,0)</f>
        <v>15198</v>
      </c>
      <c r="X671" s="12">
        <f>VLOOKUP(Tabla4[[#This Row],[ZONA DEFINITIVO]],Hoja1!$A$1:$D$121,4,0)</f>
        <v>83325</v>
      </c>
      <c r="Y671" s="12" t="str">
        <f>+IF(Tabla4[[#This Row],[AGRUPACIONES]]=1,SUMIFS(Tabla4[UDS],Tabla4[ZONA DEFINITIVO],Tabla4[[#This Row],[ZONA DEFINITIVO]])," ")</f>
        <v xml:space="preserve"> </v>
      </c>
      <c r="Z671" s="12" t="str">
        <f>+IF(Tabla4[[#This Row],[AGRUPACIONES]]=1,SUMIFS(Tabla4[TOTAL COBERTURA],Tabla4[ZONA DEFINITIVO],Tabla4[[#This Row],[ZONA DEFINITIVO]])," ")</f>
        <v xml:space="preserve"> </v>
      </c>
      <c r="AA671" s="12"/>
      <c r="AB671" s="38">
        <v>31905405</v>
      </c>
      <c r="AC671" s="37">
        <v>0.02</v>
      </c>
      <c r="AD671" s="38">
        <f t="shared" si="11"/>
        <v>638108.1</v>
      </c>
      <c r="AE671" s="12"/>
      <c r="AF671" s="12">
        <f>COUNTIF($A$20:A671,A671)</f>
        <v>10</v>
      </c>
      <c r="AG671" s="38">
        <v>31905405</v>
      </c>
      <c r="AH671" s="38">
        <f>Tabla4[[#This Row],[VALOR CONTRAPARTIDA]]+Tabla4[[#This Row],[TOTAL APORTES ICBF]]</f>
        <v>32543513.100000001</v>
      </c>
      <c r="AI671" s="35"/>
      <c r="AJ671" s="38"/>
      <c r="AK671" s="38"/>
      <c r="AL671" s="23"/>
      <c r="AM671" s="35">
        <f>VLOOKUP(Tabla4[[#This Row],[SERVICIO 2025]],$J$2:$V$14,5,0)*Tabla4[[#This Row],[TOTAL COBERTURA]]</f>
        <v>981624</v>
      </c>
      <c r="AN671" s="35">
        <f>VLOOKUP(Tabla4[[#This Row],[SERVICIO 2025]],$J$2:$V$14,6,0)*Tabla4[[#This Row],[TOTAL COBERTURA]]</f>
        <v>794661</v>
      </c>
      <c r="AO671" s="35">
        <f>VLOOKUP(Tabla4[[#This Row],[SERVICIO 2025]],$J$2:$V$14,8,0)*Tabla4[[#This Row],[TOTAL COBERTURA]]</f>
        <v>0</v>
      </c>
      <c r="AP671" s="35">
        <f>VLOOKUP(Tabla4[[#This Row],[SERVICIO 2025]],$J$2:$V$14,3,0)*Tabla4[[#This Row],[TOTAL COBERTURA]]*8</f>
        <v>30129120</v>
      </c>
      <c r="AQ671" s="35"/>
      <c r="AR671" s="35">
        <f>Tabla4[[#This Row],[VALOR FASE PREPARATORIA DE ALISTAMIENTO]]+Tabla4[[#This Row],[VALOR FASE PREPARATORIA DE CIERRE]]+Tabla4[[#This Row],[DOTACIÓN ÚNICA]]+Tabla4[[#This Row],[VALOR ATENCIÓN]]+Tabla4[[#This Row],[VALOR RACION PREPARADA]]</f>
        <v>31905405</v>
      </c>
      <c r="AS671" s="35" t="str">
        <f>+IF(Tabla4[[#This Row],[AGRUPACIONES]]=1,SUMIFS(Tabla4[VALOR TOTAL],Tabla4[ZONA DEFINITIVO],Tabla4[[#This Row],[ZONA DEFINITIVO]])," ")</f>
        <v xml:space="preserve"> </v>
      </c>
      <c r="AT671" s="27">
        <f>(VLOOKUP(Tabla4[[#This Row],[SERVICIO 2025]],$J$2:$V$14,3,0)*Tabla4[[#This Row],[TOTAL COBERTURA]])+Tabla4[[#This Row],[VALOR FASE PREPARATORIA DE ALISTAMIENTO]]+Tabla4[[#This Row],[DOTACIÓN ÚNICA]]</f>
        <v>4747764</v>
      </c>
      <c r="AU671" s="35">
        <f>(VLOOKUP(Tabla4[[#This Row],[SERVICIO 2025]],$J$2:$V$14,3,0)*Tabla4[[#This Row],[TOTAL COBERTURA]])</f>
        <v>3766140</v>
      </c>
      <c r="AV671" s="35">
        <f>(VLOOKUP(Tabla4[[#This Row],[SERVICIO 2025]],$J$2:$V$14,3,0)*Tabla4[[#This Row],[TOTAL COBERTURA]])</f>
        <v>3766140</v>
      </c>
      <c r="AW671" s="35">
        <f>(VLOOKUP(Tabla4[[#This Row],[SERVICIO 2025]],$J$2:$V$14,3,0)*Tabla4[[#This Row],[TOTAL COBERTURA]])</f>
        <v>3766140</v>
      </c>
      <c r="AX671" s="35">
        <f>(VLOOKUP(Tabla4[[#This Row],[SERVICIO 2025]],$J$2:$V$14,3,0)*Tabla4[[#This Row],[TOTAL COBERTURA]])</f>
        <v>3766140</v>
      </c>
      <c r="AY671" s="35">
        <f>(VLOOKUP(Tabla4[[#This Row],[SERVICIO 2025]],$J$2:$V$14,3,0)*Tabla4[[#This Row],[TOTAL COBERTURA]])</f>
        <v>3766140</v>
      </c>
      <c r="AZ671" s="35">
        <f>(VLOOKUP(Tabla4[[#This Row],[SERVICIO 2025]],$J$2:$V$14,3,0)*Tabla4[[#This Row],[TOTAL COBERTURA]])</f>
        <v>3766140</v>
      </c>
      <c r="BA671" s="35">
        <f>(VLOOKUP(Tabla4[[#This Row],[SERVICIO 2025]],$J$2:$V$14,3,0)*Tabla4[[#This Row],[TOTAL COBERTURA]])+Tabla4[[#This Row],[VALOR FASE PREPARATORIA DE CIERRE]]</f>
        <v>4560801</v>
      </c>
      <c r="BB671" s="35">
        <f>SUM(Tabla4[[#This Row],[DESEMBOLSO 1]:[DESEMBOLSO 8]])</f>
        <v>31905405</v>
      </c>
      <c r="BC671" s="35">
        <f>VLOOKUP(Tabla4[[#This Row],[SERVICIO 2025]],$J$2:$V$14,10,0)*Tabla4[[#This Row],[TOTAL COBERTURA]]*$W$3</f>
        <v>31637928</v>
      </c>
      <c r="BD671" s="47" t="s">
        <v>211</v>
      </c>
      <c r="BE671" s="12" t="b">
        <f>EXACT(Tabla4[[#This Row],[VALOR ATENCIÓN (8 MESES)]],Tabla4[[#This Row],[VALOR TOTAL]])</f>
        <v>1</v>
      </c>
      <c r="BF671" s="23">
        <f>Tabla4[[#This Row],[VALOR ATENCIÓN (8 MESES)]]-Tabla4[[#This Row],[VALOR TOTAL]]</f>
        <v>0</v>
      </c>
      <c r="BG671" s="12" t="b">
        <f>EXACT(Tabla4[[#This Row],[TOTAL DESEMBOLSOS]],Tabla4[[#This Row],[VALOR ATENCIÓN (8 MESES)]])</f>
        <v>1</v>
      </c>
      <c r="BH671" s="29">
        <f>Tabla4[[#This Row],[TOTAL DESEMBOLSOS]]-Tabla4[[#This Row],[VALOR ATENCIÓN (8 MESES)]]</f>
        <v>0</v>
      </c>
      <c r="BI671" t="s">
        <v>98</v>
      </c>
      <c r="BJ671">
        <v>1951</v>
      </c>
    </row>
    <row r="672" spans="1:62">
      <c r="A672" s="13">
        <v>1951</v>
      </c>
      <c r="B672" s="13" t="s">
        <v>1496</v>
      </c>
      <c r="C672" s="12" t="s">
        <v>87</v>
      </c>
      <c r="D672" s="12" t="s">
        <v>651</v>
      </c>
      <c r="E672" s="12" t="s">
        <v>1497</v>
      </c>
      <c r="F672" s="12" t="s">
        <v>21</v>
      </c>
      <c r="G672" s="12" t="s">
        <v>90</v>
      </c>
      <c r="H672" s="12" t="s">
        <v>1518</v>
      </c>
      <c r="I672" s="12">
        <v>52821148646</v>
      </c>
      <c r="J672" s="12" t="s">
        <v>1519</v>
      </c>
      <c r="K672" s="12">
        <v>1</v>
      </c>
      <c r="L672" s="12">
        <v>8</v>
      </c>
      <c r="M672" s="12"/>
      <c r="N672" s="13">
        <v>1951</v>
      </c>
      <c r="O672" s="12" t="s">
        <v>93</v>
      </c>
      <c r="P672" s="12"/>
      <c r="Q672" s="12"/>
      <c r="R672" s="12" t="s">
        <v>94</v>
      </c>
      <c r="S672" s="12">
        <v>10</v>
      </c>
      <c r="T672" s="12" t="s">
        <v>655</v>
      </c>
      <c r="U672" s="12" t="s">
        <v>656</v>
      </c>
      <c r="V672" s="12">
        <f>VLOOKUP(Tabla4[[#This Row],[ZONA DEFINITIVO]],Hoja1!$A$1:$D$121,3,0)</f>
        <v>229115</v>
      </c>
      <c r="W672" s="12">
        <f>VLOOKUP(Tabla4[[#This Row],[ZONA DEFINITIVO]],Hoja1!$A$1:$D$121,2,0)</f>
        <v>15198</v>
      </c>
      <c r="X672" s="12">
        <f>VLOOKUP(Tabla4[[#This Row],[ZONA DEFINITIVO]],Hoja1!$A$1:$D$121,4,0)</f>
        <v>83325</v>
      </c>
      <c r="Y672" s="12" t="str">
        <f>+IF(Tabla4[[#This Row],[AGRUPACIONES]]=1,SUMIFS(Tabla4[UDS],Tabla4[ZONA DEFINITIVO],Tabla4[[#This Row],[ZONA DEFINITIVO]])," ")</f>
        <v xml:space="preserve"> </v>
      </c>
      <c r="Z672" s="12" t="str">
        <f>+IF(Tabla4[[#This Row],[AGRUPACIONES]]=1,SUMIFS(Tabla4[TOTAL COBERTURA],Tabla4[ZONA DEFINITIVO],Tabla4[[#This Row],[ZONA DEFINITIVO]])," ")</f>
        <v xml:space="preserve"> </v>
      </c>
      <c r="AA672" s="12"/>
      <c r="AB672" s="38">
        <v>12154440</v>
      </c>
      <c r="AC672" s="37">
        <v>0.02</v>
      </c>
      <c r="AD672" s="38">
        <f t="shared" si="11"/>
        <v>243088.80000000002</v>
      </c>
      <c r="AE672" s="12"/>
      <c r="AF672" s="12">
        <f>COUNTIF($A$20:A672,A672)</f>
        <v>11</v>
      </c>
      <c r="AG672" s="38">
        <v>12154440</v>
      </c>
      <c r="AH672" s="38">
        <f>Tabla4[[#This Row],[VALOR CONTRAPARTIDA]]+Tabla4[[#This Row],[TOTAL APORTES ICBF]]</f>
        <v>12397528.800000001</v>
      </c>
      <c r="AI672" s="35"/>
      <c r="AJ672" s="38"/>
      <c r="AK672" s="38"/>
      <c r="AL672" s="23"/>
      <c r="AM672" s="35">
        <f>VLOOKUP(Tabla4[[#This Row],[SERVICIO 2025]],$J$2:$V$14,5,0)*Tabla4[[#This Row],[TOTAL COBERTURA]]</f>
        <v>373952</v>
      </c>
      <c r="AN672" s="35">
        <f>VLOOKUP(Tabla4[[#This Row],[SERVICIO 2025]],$J$2:$V$14,6,0)*Tabla4[[#This Row],[TOTAL COBERTURA]]</f>
        <v>302728</v>
      </c>
      <c r="AO672" s="35">
        <f>VLOOKUP(Tabla4[[#This Row],[SERVICIO 2025]],$J$2:$V$14,8,0)*Tabla4[[#This Row],[TOTAL COBERTURA]]</f>
        <v>0</v>
      </c>
      <c r="AP672" s="35">
        <f>VLOOKUP(Tabla4[[#This Row],[SERVICIO 2025]],$J$2:$V$14,3,0)*Tabla4[[#This Row],[TOTAL COBERTURA]]*8</f>
        <v>11477760</v>
      </c>
      <c r="AQ672" s="35"/>
      <c r="AR672" s="35">
        <f>Tabla4[[#This Row],[VALOR FASE PREPARATORIA DE ALISTAMIENTO]]+Tabla4[[#This Row],[VALOR FASE PREPARATORIA DE CIERRE]]+Tabla4[[#This Row],[DOTACIÓN ÚNICA]]+Tabla4[[#This Row],[VALOR ATENCIÓN]]+Tabla4[[#This Row],[VALOR RACION PREPARADA]]</f>
        <v>12154440</v>
      </c>
      <c r="AS672" s="35" t="str">
        <f>+IF(Tabla4[[#This Row],[AGRUPACIONES]]=1,SUMIFS(Tabla4[VALOR TOTAL],Tabla4[ZONA DEFINITIVO],Tabla4[[#This Row],[ZONA DEFINITIVO]])," ")</f>
        <v xml:space="preserve"> </v>
      </c>
      <c r="AT672" s="27">
        <f>(VLOOKUP(Tabla4[[#This Row],[SERVICIO 2025]],$J$2:$V$14,3,0)*Tabla4[[#This Row],[TOTAL COBERTURA]])+Tabla4[[#This Row],[VALOR FASE PREPARATORIA DE ALISTAMIENTO]]+Tabla4[[#This Row],[DOTACIÓN ÚNICA]]</f>
        <v>1808672</v>
      </c>
      <c r="AU672" s="35">
        <f>(VLOOKUP(Tabla4[[#This Row],[SERVICIO 2025]],$J$2:$V$14,3,0)*Tabla4[[#This Row],[TOTAL COBERTURA]])</f>
        <v>1434720</v>
      </c>
      <c r="AV672" s="35">
        <f>(VLOOKUP(Tabla4[[#This Row],[SERVICIO 2025]],$J$2:$V$14,3,0)*Tabla4[[#This Row],[TOTAL COBERTURA]])</f>
        <v>1434720</v>
      </c>
      <c r="AW672" s="35">
        <f>(VLOOKUP(Tabla4[[#This Row],[SERVICIO 2025]],$J$2:$V$14,3,0)*Tabla4[[#This Row],[TOTAL COBERTURA]])</f>
        <v>1434720</v>
      </c>
      <c r="AX672" s="35">
        <f>(VLOOKUP(Tabla4[[#This Row],[SERVICIO 2025]],$J$2:$V$14,3,0)*Tabla4[[#This Row],[TOTAL COBERTURA]])</f>
        <v>1434720</v>
      </c>
      <c r="AY672" s="35">
        <f>(VLOOKUP(Tabla4[[#This Row],[SERVICIO 2025]],$J$2:$V$14,3,0)*Tabla4[[#This Row],[TOTAL COBERTURA]])</f>
        <v>1434720</v>
      </c>
      <c r="AZ672" s="35">
        <f>(VLOOKUP(Tabla4[[#This Row],[SERVICIO 2025]],$J$2:$V$14,3,0)*Tabla4[[#This Row],[TOTAL COBERTURA]])</f>
        <v>1434720</v>
      </c>
      <c r="BA672" s="35">
        <f>(VLOOKUP(Tabla4[[#This Row],[SERVICIO 2025]],$J$2:$V$14,3,0)*Tabla4[[#This Row],[TOTAL COBERTURA]])+Tabla4[[#This Row],[VALOR FASE PREPARATORIA DE CIERRE]]</f>
        <v>1737448</v>
      </c>
      <c r="BB672" s="35">
        <f>SUM(Tabla4[[#This Row],[DESEMBOLSO 1]:[DESEMBOLSO 8]])</f>
        <v>12154440</v>
      </c>
      <c r="BC672" s="35">
        <f>VLOOKUP(Tabla4[[#This Row],[SERVICIO 2025]],$J$2:$V$14,10,0)*Tabla4[[#This Row],[TOTAL COBERTURA]]*$W$3</f>
        <v>12052544</v>
      </c>
      <c r="BD672" s="47" t="s">
        <v>211</v>
      </c>
      <c r="BE672" s="12" t="b">
        <f>EXACT(Tabla4[[#This Row],[VALOR ATENCIÓN (8 MESES)]],Tabla4[[#This Row],[VALOR TOTAL]])</f>
        <v>1</v>
      </c>
      <c r="BF672" s="23">
        <f>Tabla4[[#This Row],[VALOR ATENCIÓN (8 MESES)]]-Tabla4[[#This Row],[VALOR TOTAL]]</f>
        <v>0</v>
      </c>
      <c r="BG672" s="12" t="b">
        <f>EXACT(Tabla4[[#This Row],[TOTAL DESEMBOLSOS]],Tabla4[[#This Row],[VALOR ATENCIÓN (8 MESES)]])</f>
        <v>1</v>
      </c>
      <c r="BH672" s="29">
        <f>Tabla4[[#This Row],[TOTAL DESEMBOLSOS]]-Tabla4[[#This Row],[VALOR ATENCIÓN (8 MESES)]]</f>
        <v>0</v>
      </c>
      <c r="BI672" t="s">
        <v>98</v>
      </c>
      <c r="BJ672">
        <v>1951</v>
      </c>
    </row>
    <row r="673" spans="1:62">
      <c r="A673" s="13">
        <v>1951</v>
      </c>
      <c r="B673" s="13" t="s">
        <v>1496</v>
      </c>
      <c r="C673" s="12" t="s">
        <v>87</v>
      </c>
      <c r="D673" s="12" t="s">
        <v>651</v>
      </c>
      <c r="E673" s="12" t="s">
        <v>1497</v>
      </c>
      <c r="F673" s="12" t="s">
        <v>21</v>
      </c>
      <c r="G673" s="12" t="s">
        <v>90</v>
      </c>
      <c r="H673" s="12" t="s">
        <v>1520</v>
      </c>
      <c r="I673" s="12">
        <v>52821152251</v>
      </c>
      <c r="J673" s="12" t="s">
        <v>1521</v>
      </c>
      <c r="K673" s="12">
        <v>1</v>
      </c>
      <c r="L673" s="12">
        <v>70</v>
      </c>
      <c r="M673" s="12"/>
      <c r="N673" s="13">
        <v>1951</v>
      </c>
      <c r="O673" s="12" t="s">
        <v>93</v>
      </c>
      <c r="P673" s="12"/>
      <c r="Q673" s="12"/>
      <c r="R673" s="12" t="s">
        <v>94</v>
      </c>
      <c r="S673" s="12">
        <v>10</v>
      </c>
      <c r="T673" s="12" t="s">
        <v>655</v>
      </c>
      <c r="U673" s="12" t="s">
        <v>656</v>
      </c>
      <c r="V673" s="12">
        <f>VLOOKUP(Tabla4[[#This Row],[ZONA DEFINITIVO]],Hoja1!$A$1:$D$121,3,0)</f>
        <v>229115</v>
      </c>
      <c r="W673" s="12">
        <f>VLOOKUP(Tabla4[[#This Row],[ZONA DEFINITIVO]],Hoja1!$A$1:$D$121,2,0)</f>
        <v>15198</v>
      </c>
      <c r="X673" s="12">
        <f>VLOOKUP(Tabla4[[#This Row],[ZONA DEFINITIVO]],Hoja1!$A$1:$D$121,4,0)</f>
        <v>83325</v>
      </c>
      <c r="Y673" s="12" t="str">
        <f>+IF(Tabla4[[#This Row],[AGRUPACIONES]]=1,SUMIFS(Tabla4[UDS],Tabla4[ZONA DEFINITIVO],Tabla4[[#This Row],[ZONA DEFINITIVO]])," ")</f>
        <v xml:space="preserve"> </v>
      </c>
      <c r="Z673" s="12" t="str">
        <f>+IF(Tabla4[[#This Row],[AGRUPACIONES]]=1,SUMIFS(Tabla4[TOTAL COBERTURA],Tabla4[ZONA DEFINITIVO],Tabla4[[#This Row],[ZONA DEFINITIVO]])," ")</f>
        <v xml:space="preserve"> </v>
      </c>
      <c r="AA673" s="12"/>
      <c r="AB673" s="38">
        <v>106351350</v>
      </c>
      <c r="AC673" s="37">
        <v>0.02</v>
      </c>
      <c r="AD673" s="38">
        <f t="shared" si="11"/>
        <v>2127027</v>
      </c>
      <c r="AE673" s="12"/>
      <c r="AF673" s="12">
        <f>COUNTIF($A$20:A673,A673)</f>
        <v>12</v>
      </c>
      <c r="AG673" s="38">
        <v>106351350</v>
      </c>
      <c r="AH673" s="38">
        <f>Tabla4[[#This Row],[VALOR CONTRAPARTIDA]]+Tabla4[[#This Row],[TOTAL APORTES ICBF]]</f>
        <v>108478377</v>
      </c>
      <c r="AI673" s="35"/>
      <c r="AJ673" s="38"/>
      <c r="AK673" s="38"/>
      <c r="AL673" s="23"/>
      <c r="AM673" s="35">
        <f>VLOOKUP(Tabla4[[#This Row],[SERVICIO 2025]],$J$2:$V$14,5,0)*Tabla4[[#This Row],[TOTAL COBERTURA]]</f>
        <v>3272080</v>
      </c>
      <c r="AN673" s="35">
        <f>VLOOKUP(Tabla4[[#This Row],[SERVICIO 2025]],$J$2:$V$14,6,0)*Tabla4[[#This Row],[TOTAL COBERTURA]]</f>
        <v>2648870</v>
      </c>
      <c r="AO673" s="35">
        <f>VLOOKUP(Tabla4[[#This Row],[SERVICIO 2025]],$J$2:$V$14,8,0)*Tabla4[[#This Row],[TOTAL COBERTURA]]</f>
        <v>0</v>
      </c>
      <c r="AP673" s="35">
        <f>VLOOKUP(Tabla4[[#This Row],[SERVICIO 2025]],$J$2:$V$14,3,0)*Tabla4[[#This Row],[TOTAL COBERTURA]]*8</f>
        <v>100430400</v>
      </c>
      <c r="AQ673" s="35"/>
      <c r="AR673" s="35">
        <f>Tabla4[[#This Row],[VALOR FASE PREPARATORIA DE ALISTAMIENTO]]+Tabla4[[#This Row],[VALOR FASE PREPARATORIA DE CIERRE]]+Tabla4[[#This Row],[DOTACIÓN ÚNICA]]+Tabla4[[#This Row],[VALOR ATENCIÓN]]+Tabla4[[#This Row],[VALOR RACION PREPARADA]]</f>
        <v>106351350</v>
      </c>
      <c r="AS673" s="35" t="str">
        <f>+IF(Tabla4[[#This Row],[AGRUPACIONES]]=1,SUMIFS(Tabla4[VALOR TOTAL],Tabla4[ZONA DEFINITIVO],Tabla4[[#This Row],[ZONA DEFINITIVO]])," ")</f>
        <v xml:space="preserve"> </v>
      </c>
      <c r="AT673" s="27">
        <f>(VLOOKUP(Tabla4[[#This Row],[SERVICIO 2025]],$J$2:$V$14,3,0)*Tabla4[[#This Row],[TOTAL COBERTURA]])+Tabla4[[#This Row],[VALOR FASE PREPARATORIA DE ALISTAMIENTO]]+Tabla4[[#This Row],[DOTACIÓN ÚNICA]]</f>
        <v>15825880</v>
      </c>
      <c r="AU673" s="35">
        <f>(VLOOKUP(Tabla4[[#This Row],[SERVICIO 2025]],$J$2:$V$14,3,0)*Tabla4[[#This Row],[TOTAL COBERTURA]])</f>
        <v>12553800</v>
      </c>
      <c r="AV673" s="35">
        <f>(VLOOKUP(Tabla4[[#This Row],[SERVICIO 2025]],$J$2:$V$14,3,0)*Tabla4[[#This Row],[TOTAL COBERTURA]])</f>
        <v>12553800</v>
      </c>
      <c r="AW673" s="35">
        <f>(VLOOKUP(Tabla4[[#This Row],[SERVICIO 2025]],$J$2:$V$14,3,0)*Tabla4[[#This Row],[TOTAL COBERTURA]])</f>
        <v>12553800</v>
      </c>
      <c r="AX673" s="35">
        <f>(VLOOKUP(Tabla4[[#This Row],[SERVICIO 2025]],$J$2:$V$14,3,0)*Tabla4[[#This Row],[TOTAL COBERTURA]])</f>
        <v>12553800</v>
      </c>
      <c r="AY673" s="35">
        <f>(VLOOKUP(Tabla4[[#This Row],[SERVICIO 2025]],$J$2:$V$14,3,0)*Tabla4[[#This Row],[TOTAL COBERTURA]])</f>
        <v>12553800</v>
      </c>
      <c r="AZ673" s="35">
        <f>(VLOOKUP(Tabla4[[#This Row],[SERVICIO 2025]],$J$2:$V$14,3,0)*Tabla4[[#This Row],[TOTAL COBERTURA]])</f>
        <v>12553800</v>
      </c>
      <c r="BA673" s="35">
        <f>(VLOOKUP(Tabla4[[#This Row],[SERVICIO 2025]],$J$2:$V$14,3,0)*Tabla4[[#This Row],[TOTAL COBERTURA]])+Tabla4[[#This Row],[VALOR FASE PREPARATORIA DE CIERRE]]</f>
        <v>15202670</v>
      </c>
      <c r="BB673" s="35">
        <f>SUM(Tabla4[[#This Row],[DESEMBOLSO 1]:[DESEMBOLSO 8]])</f>
        <v>106351350</v>
      </c>
      <c r="BC673" s="35">
        <f>VLOOKUP(Tabla4[[#This Row],[SERVICIO 2025]],$J$2:$V$14,10,0)*Tabla4[[#This Row],[TOTAL COBERTURA]]*$W$3</f>
        <v>105459760</v>
      </c>
      <c r="BD673" s="47" t="s">
        <v>211</v>
      </c>
      <c r="BE673" s="12" t="b">
        <f>EXACT(Tabla4[[#This Row],[VALOR ATENCIÓN (8 MESES)]],Tabla4[[#This Row],[VALOR TOTAL]])</f>
        <v>1</v>
      </c>
      <c r="BF673" s="23">
        <f>Tabla4[[#This Row],[VALOR ATENCIÓN (8 MESES)]]-Tabla4[[#This Row],[VALOR TOTAL]]</f>
        <v>0</v>
      </c>
      <c r="BG673" s="12" t="b">
        <f>EXACT(Tabla4[[#This Row],[TOTAL DESEMBOLSOS]],Tabla4[[#This Row],[VALOR ATENCIÓN (8 MESES)]])</f>
        <v>1</v>
      </c>
      <c r="BH673" s="29">
        <f>Tabla4[[#This Row],[TOTAL DESEMBOLSOS]]-Tabla4[[#This Row],[VALOR ATENCIÓN (8 MESES)]]</f>
        <v>0</v>
      </c>
      <c r="BI673" t="s">
        <v>98</v>
      </c>
      <c r="BJ673">
        <v>1951</v>
      </c>
    </row>
    <row r="674" spans="1:62">
      <c r="A674" s="13">
        <v>1951</v>
      </c>
      <c r="B674" s="13" t="s">
        <v>1496</v>
      </c>
      <c r="C674" s="12" t="s">
        <v>87</v>
      </c>
      <c r="D674" s="12" t="s">
        <v>651</v>
      </c>
      <c r="E674" s="12" t="s">
        <v>1497</v>
      </c>
      <c r="F674" s="12" t="s">
        <v>21</v>
      </c>
      <c r="G674" s="12" t="s">
        <v>90</v>
      </c>
      <c r="H674" s="12" t="s">
        <v>1522</v>
      </c>
      <c r="I674" s="12">
        <v>52821152252</v>
      </c>
      <c r="J674" s="12" t="s">
        <v>1523</v>
      </c>
      <c r="K674" s="12">
        <v>1</v>
      </c>
      <c r="L674" s="12">
        <v>16</v>
      </c>
      <c r="M674" s="12"/>
      <c r="N674" s="13">
        <v>1951</v>
      </c>
      <c r="O674" s="12" t="s">
        <v>93</v>
      </c>
      <c r="P674" s="12"/>
      <c r="Q674" s="12"/>
      <c r="R674" s="12" t="s">
        <v>94</v>
      </c>
      <c r="S674" s="12">
        <v>10</v>
      </c>
      <c r="T674" s="12" t="s">
        <v>655</v>
      </c>
      <c r="U674" s="12" t="s">
        <v>656</v>
      </c>
      <c r="V674" s="12">
        <f>VLOOKUP(Tabla4[[#This Row],[ZONA DEFINITIVO]],Hoja1!$A$1:$D$121,3,0)</f>
        <v>229115</v>
      </c>
      <c r="W674" s="12">
        <f>VLOOKUP(Tabla4[[#This Row],[ZONA DEFINITIVO]],Hoja1!$A$1:$D$121,2,0)</f>
        <v>15198</v>
      </c>
      <c r="X674" s="12">
        <f>VLOOKUP(Tabla4[[#This Row],[ZONA DEFINITIVO]],Hoja1!$A$1:$D$121,4,0)</f>
        <v>83325</v>
      </c>
      <c r="Y674" s="12" t="str">
        <f>+IF(Tabla4[[#This Row],[AGRUPACIONES]]=1,SUMIFS(Tabla4[UDS],Tabla4[ZONA DEFINITIVO],Tabla4[[#This Row],[ZONA DEFINITIVO]])," ")</f>
        <v xml:space="preserve"> </v>
      </c>
      <c r="Z674" s="12" t="str">
        <f>+IF(Tabla4[[#This Row],[AGRUPACIONES]]=1,SUMIFS(Tabla4[TOTAL COBERTURA],Tabla4[ZONA DEFINITIVO],Tabla4[[#This Row],[ZONA DEFINITIVO]])," ")</f>
        <v xml:space="preserve"> </v>
      </c>
      <c r="AA674" s="12"/>
      <c r="AB674" s="38">
        <v>24308880</v>
      </c>
      <c r="AC674" s="37">
        <v>0.02</v>
      </c>
      <c r="AD674" s="38">
        <f t="shared" si="11"/>
        <v>486177.60000000003</v>
      </c>
      <c r="AE674" s="12"/>
      <c r="AF674" s="12">
        <f>COUNTIF($A$20:A674,A674)</f>
        <v>13</v>
      </c>
      <c r="AG674" s="38">
        <v>24308880</v>
      </c>
      <c r="AH674" s="38">
        <f>Tabla4[[#This Row],[VALOR CONTRAPARTIDA]]+Tabla4[[#This Row],[TOTAL APORTES ICBF]]</f>
        <v>24795057.600000001</v>
      </c>
      <c r="AI674" s="35"/>
      <c r="AJ674" s="38"/>
      <c r="AK674" s="38"/>
      <c r="AL674" s="23"/>
      <c r="AM674" s="35">
        <f>VLOOKUP(Tabla4[[#This Row],[SERVICIO 2025]],$J$2:$V$14,5,0)*Tabla4[[#This Row],[TOTAL COBERTURA]]</f>
        <v>747904</v>
      </c>
      <c r="AN674" s="35">
        <f>VLOOKUP(Tabla4[[#This Row],[SERVICIO 2025]],$J$2:$V$14,6,0)*Tabla4[[#This Row],[TOTAL COBERTURA]]</f>
        <v>605456</v>
      </c>
      <c r="AO674" s="35">
        <f>VLOOKUP(Tabla4[[#This Row],[SERVICIO 2025]],$J$2:$V$14,8,0)*Tabla4[[#This Row],[TOTAL COBERTURA]]</f>
        <v>0</v>
      </c>
      <c r="AP674" s="35">
        <f>VLOOKUP(Tabla4[[#This Row],[SERVICIO 2025]],$J$2:$V$14,3,0)*Tabla4[[#This Row],[TOTAL COBERTURA]]*8</f>
        <v>22955520</v>
      </c>
      <c r="AQ674" s="35"/>
      <c r="AR674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674" s="35" t="str">
        <f>+IF(Tabla4[[#This Row],[AGRUPACIONES]]=1,SUMIFS(Tabla4[VALOR TOTAL],Tabla4[ZONA DEFINITIVO],Tabla4[[#This Row],[ZONA DEFINITIVO]])," ")</f>
        <v xml:space="preserve"> </v>
      </c>
      <c r="AT674" s="27">
        <f>(VLOOKUP(Tabla4[[#This Row],[SERVICIO 2025]],$J$2:$V$14,3,0)*Tabla4[[#This Row],[TOTAL COBERTURA]])+Tabla4[[#This Row],[VALOR FASE PREPARATORIA DE ALISTAMIENTO]]+Tabla4[[#This Row],[DOTACIÓN ÚNICA]]</f>
        <v>3617344</v>
      </c>
      <c r="AU674" s="35">
        <f>(VLOOKUP(Tabla4[[#This Row],[SERVICIO 2025]],$J$2:$V$14,3,0)*Tabla4[[#This Row],[TOTAL COBERTURA]])</f>
        <v>2869440</v>
      </c>
      <c r="AV674" s="35">
        <f>(VLOOKUP(Tabla4[[#This Row],[SERVICIO 2025]],$J$2:$V$14,3,0)*Tabla4[[#This Row],[TOTAL COBERTURA]])</f>
        <v>2869440</v>
      </c>
      <c r="AW674" s="35">
        <f>(VLOOKUP(Tabla4[[#This Row],[SERVICIO 2025]],$J$2:$V$14,3,0)*Tabla4[[#This Row],[TOTAL COBERTURA]])</f>
        <v>2869440</v>
      </c>
      <c r="AX674" s="35">
        <f>(VLOOKUP(Tabla4[[#This Row],[SERVICIO 2025]],$J$2:$V$14,3,0)*Tabla4[[#This Row],[TOTAL COBERTURA]])</f>
        <v>2869440</v>
      </c>
      <c r="AY674" s="35">
        <f>(VLOOKUP(Tabla4[[#This Row],[SERVICIO 2025]],$J$2:$V$14,3,0)*Tabla4[[#This Row],[TOTAL COBERTURA]])</f>
        <v>2869440</v>
      </c>
      <c r="AZ674" s="35">
        <f>(VLOOKUP(Tabla4[[#This Row],[SERVICIO 2025]],$J$2:$V$14,3,0)*Tabla4[[#This Row],[TOTAL COBERTURA]])</f>
        <v>2869440</v>
      </c>
      <c r="BA674" s="35">
        <f>(VLOOKUP(Tabla4[[#This Row],[SERVICIO 2025]],$J$2:$V$14,3,0)*Tabla4[[#This Row],[TOTAL COBERTURA]])+Tabla4[[#This Row],[VALOR FASE PREPARATORIA DE CIERRE]]</f>
        <v>3474896</v>
      </c>
      <c r="BB674" s="35">
        <f>SUM(Tabla4[[#This Row],[DESEMBOLSO 1]:[DESEMBOLSO 8]])</f>
        <v>24308880</v>
      </c>
      <c r="BC674" s="35">
        <f>VLOOKUP(Tabla4[[#This Row],[SERVICIO 2025]],$J$2:$V$14,10,0)*Tabla4[[#This Row],[TOTAL COBERTURA]]*$W$3</f>
        <v>24105088</v>
      </c>
      <c r="BD674" s="47" t="s">
        <v>211</v>
      </c>
      <c r="BE674" s="12" t="b">
        <f>EXACT(Tabla4[[#This Row],[VALOR ATENCIÓN (8 MESES)]],Tabla4[[#This Row],[VALOR TOTAL]])</f>
        <v>1</v>
      </c>
      <c r="BF674" s="23">
        <f>Tabla4[[#This Row],[VALOR ATENCIÓN (8 MESES)]]-Tabla4[[#This Row],[VALOR TOTAL]]</f>
        <v>0</v>
      </c>
      <c r="BG674" s="12" t="b">
        <f>EXACT(Tabla4[[#This Row],[TOTAL DESEMBOLSOS]],Tabla4[[#This Row],[VALOR ATENCIÓN (8 MESES)]])</f>
        <v>1</v>
      </c>
      <c r="BH674" s="29">
        <f>Tabla4[[#This Row],[TOTAL DESEMBOLSOS]]-Tabla4[[#This Row],[VALOR ATENCIÓN (8 MESES)]]</f>
        <v>0</v>
      </c>
      <c r="BI674" t="s">
        <v>98</v>
      </c>
      <c r="BJ674">
        <v>1951</v>
      </c>
    </row>
    <row r="675" spans="1:62">
      <c r="A675" s="13">
        <v>1951</v>
      </c>
      <c r="B675" s="13" t="s">
        <v>1496</v>
      </c>
      <c r="C675" s="12" t="s">
        <v>87</v>
      </c>
      <c r="D675" s="12" t="s">
        <v>651</v>
      </c>
      <c r="E675" s="12" t="s">
        <v>1497</v>
      </c>
      <c r="F675" s="12" t="s">
        <v>21</v>
      </c>
      <c r="G675" s="12" t="s">
        <v>90</v>
      </c>
      <c r="H675" s="12" t="s">
        <v>1524</v>
      </c>
      <c r="I675" s="12">
        <v>52821152253</v>
      </c>
      <c r="J675" s="12" t="s">
        <v>1525</v>
      </c>
      <c r="K675" s="12">
        <v>1</v>
      </c>
      <c r="L675" s="12">
        <v>12</v>
      </c>
      <c r="M675" s="12"/>
      <c r="N675" s="13">
        <v>1951</v>
      </c>
      <c r="O675" s="12" t="s">
        <v>93</v>
      </c>
      <c r="P675" s="12"/>
      <c r="Q675" s="12"/>
      <c r="R675" s="12" t="s">
        <v>94</v>
      </c>
      <c r="S675" s="12">
        <v>10</v>
      </c>
      <c r="T675" s="12" t="s">
        <v>655</v>
      </c>
      <c r="U675" s="12" t="s">
        <v>656</v>
      </c>
      <c r="V675" s="12">
        <f>VLOOKUP(Tabla4[[#This Row],[ZONA DEFINITIVO]],Hoja1!$A$1:$D$121,3,0)</f>
        <v>229115</v>
      </c>
      <c r="W675" s="12">
        <f>VLOOKUP(Tabla4[[#This Row],[ZONA DEFINITIVO]],Hoja1!$A$1:$D$121,2,0)</f>
        <v>15198</v>
      </c>
      <c r="X675" s="12">
        <f>VLOOKUP(Tabla4[[#This Row],[ZONA DEFINITIVO]],Hoja1!$A$1:$D$121,4,0)</f>
        <v>83325</v>
      </c>
      <c r="Y675" s="12" t="str">
        <f>+IF(Tabla4[[#This Row],[AGRUPACIONES]]=1,SUMIFS(Tabla4[UDS],Tabla4[ZONA DEFINITIVO],Tabla4[[#This Row],[ZONA DEFINITIVO]])," ")</f>
        <v xml:space="preserve"> </v>
      </c>
      <c r="Z675" s="12" t="str">
        <f>+IF(Tabla4[[#This Row],[AGRUPACIONES]]=1,SUMIFS(Tabla4[TOTAL COBERTURA],Tabla4[ZONA DEFINITIVO],Tabla4[[#This Row],[ZONA DEFINITIVO]])," ")</f>
        <v xml:space="preserve"> </v>
      </c>
      <c r="AA675" s="12"/>
      <c r="AB675" s="38">
        <v>18231660</v>
      </c>
      <c r="AC675" s="37">
        <v>0.02</v>
      </c>
      <c r="AD675" s="38">
        <f t="shared" si="11"/>
        <v>364633.2</v>
      </c>
      <c r="AE675" s="12"/>
      <c r="AF675" s="12">
        <f>COUNTIF($A$20:A675,A675)</f>
        <v>14</v>
      </c>
      <c r="AG675" s="38">
        <v>18231660</v>
      </c>
      <c r="AH675" s="38">
        <f>Tabla4[[#This Row],[VALOR CONTRAPARTIDA]]+Tabla4[[#This Row],[TOTAL APORTES ICBF]]</f>
        <v>18596293.199999999</v>
      </c>
      <c r="AI675" s="35"/>
      <c r="AJ675" s="38"/>
      <c r="AK675" s="38"/>
      <c r="AL675" s="23"/>
      <c r="AM675" s="35">
        <f>VLOOKUP(Tabla4[[#This Row],[SERVICIO 2025]],$J$2:$V$14,5,0)*Tabla4[[#This Row],[TOTAL COBERTURA]]</f>
        <v>560928</v>
      </c>
      <c r="AN675" s="35">
        <f>VLOOKUP(Tabla4[[#This Row],[SERVICIO 2025]],$J$2:$V$14,6,0)*Tabla4[[#This Row],[TOTAL COBERTURA]]</f>
        <v>454092</v>
      </c>
      <c r="AO675" s="35">
        <f>VLOOKUP(Tabla4[[#This Row],[SERVICIO 2025]],$J$2:$V$14,8,0)*Tabla4[[#This Row],[TOTAL COBERTURA]]</f>
        <v>0</v>
      </c>
      <c r="AP675" s="35">
        <f>VLOOKUP(Tabla4[[#This Row],[SERVICIO 2025]],$J$2:$V$14,3,0)*Tabla4[[#This Row],[TOTAL COBERTURA]]*8</f>
        <v>17216640</v>
      </c>
      <c r="AQ675" s="35"/>
      <c r="AR675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675" s="35" t="str">
        <f>+IF(Tabla4[[#This Row],[AGRUPACIONES]]=1,SUMIFS(Tabla4[VALOR TOTAL],Tabla4[ZONA DEFINITIVO],Tabla4[[#This Row],[ZONA DEFINITIVO]])," ")</f>
        <v xml:space="preserve"> </v>
      </c>
      <c r="AT675" s="27">
        <f>(VLOOKUP(Tabla4[[#This Row],[SERVICIO 2025]],$J$2:$V$14,3,0)*Tabla4[[#This Row],[TOTAL COBERTURA]])+Tabla4[[#This Row],[VALOR FASE PREPARATORIA DE ALISTAMIENTO]]+Tabla4[[#This Row],[DOTACIÓN ÚNICA]]</f>
        <v>2713008</v>
      </c>
      <c r="AU675" s="35">
        <f>(VLOOKUP(Tabla4[[#This Row],[SERVICIO 2025]],$J$2:$V$14,3,0)*Tabla4[[#This Row],[TOTAL COBERTURA]])</f>
        <v>2152080</v>
      </c>
      <c r="AV675" s="35">
        <f>(VLOOKUP(Tabla4[[#This Row],[SERVICIO 2025]],$J$2:$V$14,3,0)*Tabla4[[#This Row],[TOTAL COBERTURA]])</f>
        <v>2152080</v>
      </c>
      <c r="AW675" s="35">
        <f>(VLOOKUP(Tabla4[[#This Row],[SERVICIO 2025]],$J$2:$V$14,3,0)*Tabla4[[#This Row],[TOTAL COBERTURA]])</f>
        <v>2152080</v>
      </c>
      <c r="AX675" s="35">
        <f>(VLOOKUP(Tabla4[[#This Row],[SERVICIO 2025]],$J$2:$V$14,3,0)*Tabla4[[#This Row],[TOTAL COBERTURA]])</f>
        <v>2152080</v>
      </c>
      <c r="AY675" s="35">
        <f>(VLOOKUP(Tabla4[[#This Row],[SERVICIO 2025]],$J$2:$V$14,3,0)*Tabla4[[#This Row],[TOTAL COBERTURA]])</f>
        <v>2152080</v>
      </c>
      <c r="AZ675" s="35">
        <f>(VLOOKUP(Tabla4[[#This Row],[SERVICIO 2025]],$J$2:$V$14,3,0)*Tabla4[[#This Row],[TOTAL COBERTURA]])</f>
        <v>2152080</v>
      </c>
      <c r="BA675" s="35">
        <f>(VLOOKUP(Tabla4[[#This Row],[SERVICIO 2025]],$J$2:$V$14,3,0)*Tabla4[[#This Row],[TOTAL COBERTURA]])+Tabla4[[#This Row],[VALOR FASE PREPARATORIA DE CIERRE]]</f>
        <v>2606172</v>
      </c>
      <c r="BB675" s="35">
        <f>SUM(Tabla4[[#This Row],[DESEMBOLSO 1]:[DESEMBOLSO 8]])</f>
        <v>18231660</v>
      </c>
      <c r="BC675" s="35">
        <f>VLOOKUP(Tabla4[[#This Row],[SERVICIO 2025]],$J$2:$V$14,10,0)*Tabla4[[#This Row],[TOTAL COBERTURA]]*$W$3</f>
        <v>18078816</v>
      </c>
      <c r="BD675" s="47" t="s">
        <v>211</v>
      </c>
      <c r="BE675" s="12" t="b">
        <f>EXACT(Tabla4[[#This Row],[VALOR ATENCIÓN (8 MESES)]],Tabla4[[#This Row],[VALOR TOTAL]])</f>
        <v>1</v>
      </c>
      <c r="BF675" s="23">
        <f>Tabla4[[#This Row],[VALOR ATENCIÓN (8 MESES)]]-Tabla4[[#This Row],[VALOR TOTAL]]</f>
        <v>0</v>
      </c>
      <c r="BG675" s="12" t="b">
        <f>EXACT(Tabla4[[#This Row],[TOTAL DESEMBOLSOS]],Tabla4[[#This Row],[VALOR ATENCIÓN (8 MESES)]])</f>
        <v>1</v>
      </c>
      <c r="BH675" s="29">
        <f>Tabla4[[#This Row],[TOTAL DESEMBOLSOS]]-Tabla4[[#This Row],[VALOR ATENCIÓN (8 MESES)]]</f>
        <v>0</v>
      </c>
      <c r="BI675" t="s">
        <v>98</v>
      </c>
      <c r="BJ675">
        <v>1951</v>
      </c>
    </row>
    <row r="676" spans="1:62">
      <c r="A676" s="13">
        <v>1951</v>
      </c>
      <c r="B676" s="13" t="s">
        <v>1496</v>
      </c>
      <c r="C676" s="12" t="s">
        <v>87</v>
      </c>
      <c r="D676" s="12" t="s">
        <v>651</v>
      </c>
      <c r="E676" s="12" t="s">
        <v>1497</v>
      </c>
      <c r="F676" s="12" t="s">
        <v>21</v>
      </c>
      <c r="G676" s="12" t="s">
        <v>90</v>
      </c>
      <c r="H676" s="12" t="s">
        <v>1357</v>
      </c>
      <c r="I676" s="12">
        <v>528200022902</v>
      </c>
      <c r="J676" s="12" t="s">
        <v>1526</v>
      </c>
      <c r="K676" s="12">
        <v>1</v>
      </c>
      <c r="L676" s="12">
        <v>17</v>
      </c>
      <c r="M676" s="12"/>
      <c r="N676" s="13">
        <v>1951</v>
      </c>
      <c r="O676" s="12" t="s">
        <v>93</v>
      </c>
      <c r="P676" s="12"/>
      <c r="Q676" s="12"/>
      <c r="R676" s="12" t="s">
        <v>94</v>
      </c>
      <c r="S676" s="12">
        <v>10</v>
      </c>
      <c r="T676" s="12" t="s">
        <v>655</v>
      </c>
      <c r="U676" s="12" t="s">
        <v>656</v>
      </c>
      <c r="V676" s="12">
        <f>VLOOKUP(Tabla4[[#This Row],[ZONA DEFINITIVO]],Hoja1!$A$1:$D$121,3,0)</f>
        <v>229115</v>
      </c>
      <c r="W676" s="12">
        <f>VLOOKUP(Tabla4[[#This Row],[ZONA DEFINITIVO]],Hoja1!$A$1:$D$121,2,0)</f>
        <v>15198</v>
      </c>
      <c r="X676" s="12">
        <f>VLOOKUP(Tabla4[[#This Row],[ZONA DEFINITIVO]],Hoja1!$A$1:$D$121,4,0)</f>
        <v>83325</v>
      </c>
      <c r="Y676" s="12" t="str">
        <f>+IF(Tabla4[[#This Row],[AGRUPACIONES]]=1,SUMIFS(Tabla4[UDS],Tabla4[ZONA DEFINITIVO],Tabla4[[#This Row],[ZONA DEFINITIVO]])," ")</f>
        <v xml:space="preserve"> </v>
      </c>
      <c r="Z676" s="12" t="str">
        <f>+IF(Tabla4[[#This Row],[AGRUPACIONES]]=1,SUMIFS(Tabla4[TOTAL COBERTURA],Tabla4[ZONA DEFINITIVO],Tabla4[[#This Row],[ZONA DEFINITIVO]])," ")</f>
        <v xml:space="preserve"> </v>
      </c>
      <c r="AA676" s="12"/>
      <c r="AB676" s="38">
        <v>25828185</v>
      </c>
      <c r="AC676" s="37">
        <v>0.02</v>
      </c>
      <c r="AD676" s="38">
        <f t="shared" si="11"/>
        <v>516563.7</v>
      </c>
      <c r="AE676" s="12"/>
      <c r="AF676" s="12">
        <f>COUNTIF($A$20:A676,A676)</f>
        <v>15</v>
      </c>
      <c r="AG676" s="38">
        <v>25828185</v>
      </c>
      <c r="AH676" s="38">
        <f>Tabla4[[#This Row],[VALOR CONTRAPARTIDA]]+Tabla4[[#This Row],[TOTAL APORTES ICBF]]</f>
        <v>26344748.699999999</v>
      </c>
      <c r="AI676" s="35"/>
      <c r="AJ676" s="38"/>
      <c r="AK676" s="38"/>
      <c r="AL676" s="23"/>
      <c r="AM676" s="35">
        <f>VLOOKUP(Tabla4[[#This Row],[SERVICIO 2025]],$J$2:$V$14,5,0)*Tabla4[[#This Row],[TOTAL COBERTURA]]</f>
        <v>794648</v>
      </c>
      <c r="AN676" s="35">
        <f>VLOOKUP(Tabla4[[#This Row],[SERVICIO 2025]],$J$2:$V$14,6,0)*Tabla4[[#This Row],[TOTAL COBERTURA]]</f>
        <v>643297</v>
      </c>
      <c r="AO676" s="35">
        <f>VLOOKUP(Tabla4[[#This Row],[SERVICIO 2025]],$J$2:$V$14,8,0)*Tabla4[[#This Row],[TOTAL COBERTURA]]</f>
        <v>0</v>
      </c>
      <c r="AP676" s="35">
        <f>VLOOKUP(Tabla4[[#This Row],[SERVICIO 2025]],$J$2:$V$14,3,0)*Tabla4[[#This Row],[TOTAL COBERTURA]]*8</f>
        <v>24390240</v>
      </c>
      <c r="AQ676" s="35"/>
      <c r="AR676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676" s="35" t="str">
        <f>+IF(Tabla4[[#This Row],[AGRUPACIONES]]=1,SUMIFS(Tabla4[VALOR TOTAL],Tabla4[ZONA DEFINITIVO],Tabla4[[#This Row],[ZONA DEFINITIVO]])," ")</f>
        <v xml:space="preserve"> </v>
      </c>
      <c r="AT676" s="27">
        <f>(VLOOKUP(Tabla4[[#This Row],[SERVICIO 2025]],$J$2:$V$14,3,0)*Tabla4[[#This Row],[TOTAL COBERTURA]])+Tabla4[[#This Row],[VALOR FASE PREPARATORIA DE ALISTAMIENTO]]+Tabla4[[#This Row],[DOTACIÓN ÚNICA]]</f>
        <v>3843428</v>
      </c>
      <c r="AU676" s="35">
        <f>(VLOOKUP(Tabla4[[#This Row],[SERVICIO 2025]],$J$2:$V$14,3,0)*Tabla4[[#This Row],[TOTAL COBERTURA]])</f>
        <v>3048780</v>
      </c>
      <c r="AV676" s="35">
        <f>(VLOOKUP(Tabla4[[#This Row],[SERVICIO 2025]],$J$2:$V$14,3,0)*Tabla4[[#This Row],[TOTAL COBERTURA]])</f>
        <v>3048780</v>
      </c>
      <c r="AW676" s="35">
        <f>(VLOOKUP(Tabla4[[#This Row],[SERVICIO 2025]],$J$2:$V$14,3,0)*Tabla4[[#This Row],[TOTAL COBERTURA]])</f>
        <v>3048780</v>
      </c>
      <c r="AX676" s="35">
        <f>(VLOOKUP(Tabla4[[#This Row],[SERVICIO 2025]],$J$2:$V$14,3,0)*Tabla4[[#This Row],[TOTAL COBERTURA]])</f>
        <v>3048780</v>
      </c>
      <c r="AY676" s="35">
        <f>(VLOOKUP(Tabla4[[#This Row],[SERVICIO 2025]],$J$2:$V$14,3,0)*Tabla4[[#This Row],[TOTAL COBERTURA]])</f>
        <v>3048780</v>
      </c>
      <c r="AZ676" s="35">
        <f>(VLOOKUP(Tabla4[[#This Row],[SERVICIO 2025]],$J$2:$V$14,3,0)*Tabla4[[#This Row],[TOTAL COBERTURA]])</f>
        <v>3048780</v>
      </c>
      <c r="BA676" s="35">
        <f>(VLOOKUP(Tabla4[[#This Row],[SERVICIO 2025]],$J$2:$V$14,3,0)*Tabla4[[#This Row],[TOTAL COBERTURA]])+Tabla4[[#This Row],[VALOR FASE PREPARATORIA DE CIERRE]]</f>
        <v>3692077</v>
      </c>
      <c r="BB676" s="35">
        <f>SUM(Tabla4[[#This Row],[DESEMBOLSO 1]:[DESEMBOLSO 8]])</f>
        <v>25828185</v>
      </c>
      <c r="BC676" s="35">
        <f>VLOOKUP(Tabla4[[#This Row],[SERVICIO 2025]],$J$2:$V$14,10,0)*Tabla4[[#This Row],[TOTAL COBERTURA]]*$W$3</f>
        <v>25611656</v>
      </c>
      <c r="BD676" s="47" t="s">
        <v>211</v>
      </c>
      <c r="BE676" s="12" t="b">
        <f>EXACT(Tabla4[[#This Row],[VALOR ATENCIÓN (8 MESES)]],Tabla4[[#This Row],[VALOR TOTAL]])</f>
        <v>1</v>
      </c>
      <c r="BF676" s="23">
        <f>Tabla4[[#This Row],[VALOR ATENCIÓN (8 MESES)]]-Tabla4[[#This Row],[VALOR TOTAL]]</f>
        <v>0</v>
      </c>
      <c r="BG676" s="12" t="b">
        <f>EXACT(Tabla4[[#This Row],[TOTAL DESEMBOLSOS]],Tabla4[[#This Row],[VALOR ATENCIÓN (8 MESES)]])</f>
        <v>1</v>
      </c>
      <c r="BH676" s="29">
        <f>Tabla4[[#This Row],[TOTAL DESEMBOLSOS]]-Tabla4[[#This Row],[VALOR ATENCIÓN (8 MESES)]]</f>
        <v>0</v>
      </c>
      <c r="BI676" t="s">
        <v>98</v>
      </c>
      <c r="BJ676">
        <v>1951</v>
      </c>
    </row>
    <row r="677" spans="1:62">
      <c r="A677" s="13">
        <v>1951</v>
      </c>
      <c r="B677" s="13" t="s">
        <v>1496</v>
      </c>
      <c r="C677" s="12" t="s">
        <v>87</v>
      </c>
      <c r="D677" s="12" t="s">
        <v>651</v>
      </c>
      <c r="E677" s="12" t="s">
        <v>1497</v>
      </c>
      <c r="F677" s="12" t="s">
        <v>14</v>
      </c>
      <c r="G677" s="12" t="s">
        <v>90</v>
      </c>
      <c r="H677" s="12" t="s">
        <v>1527</v>
      </c>
      <c r="I677" s="12">
        <v>528200048728</v>
      </c>
      <c r="J677" s="12" t="s">
        <v>1528</v>
      </c>
      <c r="K677" s="12">
        <v>1</v>
      </c>
      <c r="L677" s="12">
        <v>36</v>
      </c>
      <c r="M677" s="12"/>
      <c r="N677" s="13">
        <v>1951</v>
      </c>
      <c r="O677" s="12" t="s">
        <v>93</v>
      </c>
      <c r="P677" s="12"/>
      <c r="Q677" s="12"/>
      <c r="R677" s="12" t="s">
        <v>94</v>
      </c>
      <c r="S677" s="12">
        <v>10</v>
      </c>
      <c r="T677" s="12" t="s">
        <v>655</v>
      </c>
      <c r="U677" s="12" t="s">
        <v>656</v>
      </c>
      <c r="V677" s="12">
        <f>VLOOKUP(Tabla4[[#This Row],[ZONA DEFINITIVO]],Hoja1!$A$1:$D$121,3,0)</f>
        <v>229115</v>
      </c>
      <c r="W677" s="12">
        <f>VLOOKUP(Tabla4[[#This Row],[ZONA DEFINITIVO]],Hoja1!$A$1:$D$121,2,0)</f>
        <v>15198</v>
      </c>
      <c r="X677" s="12">
        <f>VLOOKUP(Tabla4[[#This Row],[ZONA DEFINITIVO]],Hoja1!$A$1:$D$121,4,0)</f>
        <v>83325</v>
      </c>
      <c r="Y677" s="12" t="str">
        <f>+IF(Tabla4[[#This Row],[AGRUPACIONES]]=1,SUMIFS(Tabla4[UDS],Tabla4[ZONA DEFINITIVO],Tabla4[[#This Row],[ZONA DEFINITIVO]])," ")</f>
        <v xml:space="preserve"> </v>
      </c>
      <c r="Z677" s="12" t="str">
        <f>+IF(Tabla4[[#This Row],[AGRUPACIONES]]=1,SUMIFS(Tabla4[TOTAL COBERTURA],Tabla4[ZONA DEFINITIVO],Tabla4[[#This Row],[ZONA DEFINITIVO]])," ")</f>
        <v xml:space="preserve"> </v>
      </c>
      <c r="AA677" s="12"/>
      <c r="AB677" s="38">
        <v>150798600</v>
      </c>
      <c r="AC677" s="37">
        <v>0.02</v>
      </c>
      <c r="AD677" s="38">
        <f t="shared" si="11"/>
        <v>3015972</v>
      </c>
      <c r="AE677" s="12"/>
      <c r="AF677" s="12">
        <f>COUNTIF($A$20:A677,A677)</f>
        <v>16</v>
      </c>
      <c r="AG677" s="38">
        <v>150798600</v>
      </c>
      <c r="AH677" s="38">
        <f>Tabla4[[#This Row],[VALOR CONTRAPARTIDA]]+Tabla4[[#This Row],[TOTAL APORTES ICBF]]</f>
        <v>153814572</v>
      </c>
      <c r="AI677" s="35"/>
      <c r="AJ677" s="38"/>
      <c r="AK677" s="38"/>
      <c r="AL677" s="23"/>
      <c r="AM677" s="35">
        <f>VLOOKUP(Tabla4[[#This Row],[SERVICIO 2025]],$J$2:$V$14,5,0)*Tabla4[[#This Row],[TOTAL COBERTURA]]</f>
        <v>3173148</v>
      </c>
      <c r="AN677" s="35">
        <f>VLOOKUP(Tabla4[[#This Row],[SERVICIO 2025]],$J$2:$V$14,6,0)*Tabla4[[#This Row],[TOTAL COBERTURA]]</f>
        <v>2701548</v>
      </c>
      <c r="AO677" s="35">
        <f>VLOOKUP(Tabla4[[#This Row],[SERVICIO 2025]],$J$2:$V$14,8,0)*Tabla4[[#This Row],[TOTAL COBERTURA]]</f>
        <v>0</v>
      </c>
      <c r="AP677" s="35">
        <f>VLOOKUP(Tabla4[[#This Row],[SERVICIO 2025]],$J$2:$V$14,3,0)*Tabla4[[#This Row],[TOTAL COBERTURA]]*8</f>
        <v>144923904</v>
      </c>
      <c r="AQ677" s="35"/>
      <c r="AR677" s="35">
        <f>Tabla4[[#This Row],[VALOR FASE PREPARATORIA DE ALISTAMIENTO]]+Tabla4[[#This Row],[VALOR FASE PREPARATORIA DE CIERRE]]+Tabla4[[#This Row],[DOTACIÓN ÚNICA]]+Tabla4[[#This Row],[VALOR ATENCIÓN]]+Tabla4[[#This Row],[VALOR RACION PREPARADA]]</f>
        <v>150798600</v>
      </c>
      <c r="AS677" s="35" t="str">
        <f>+IF(Tabla4[[#This Row],[AGRUPACIONES]]=1,SUMIFS(Tabla4[VALOR TOTAL],Tabla4[ZONA DEFINITIVO],Tabla4[[#This Row],[ZONA DEFINITIVO]])," ")</f>
        <v xml:space="preserve"> </v>
      </c>
      <c r="AT677" s="27">
        <f>(VLOOKUP(Tabla4[[#This Row],[SERVICIO 2025]],$J$2:$V$14,3,0)*Tabla4[[#This Row],[TOTAL COBERTURA]])+Tabla4[[#This Row],[VALOR FASE PREPARATORIA DE ALISTAMIENTO]]+Tabla4[[#This Row],[DOTACIÓN ÚNICA]]</f>
        <v>21288636</v>
      </c>
      <c r="AU677" s="35">
        <f>(VLOOKUP(Tabla4[[#This Row],[SERVICIO 2025]],$J$2:$V$14,3,0)*Tabla4[[#This Row],[TOTAL COBERTURA]])</f>
        <v>18115488</v>
      </c>
      <c r="AV677" s="35">
        <f>(VLOOKUP(Tabla4[[#This Row],[SERVICIO 2025]],$J$2:$V$14,3,0)*Tabla4[[#This Row],[TOTAL COBERTURA]])</f>
        <v>18115488</v>
      </c>
      <c r="AW677" s="35">
        <f>(VLOOKUP(Tabla4[[#This Row],[SERVICIO 2025]],$J$2:$V$14,3,0)*Tabla4[[#This Row],[TOTAL COBERTURA]])</f>
        <v>18115488</v>
      </c>
      <c r="AX677" s="35">
        <f>(VLOOKUP(Tabla4[[#This Row],[SERVICIO 2025]],$J$2:$V$14,3,0)*Tabla4[[#This Row],[TOTAL COBERTURA]])</f>
        <v>18115488</v>
      </c>
      <c r="AY677" s="35">
        <f>(VLOOKUP(Tabla4[[#This Row],[SERVICIO 2025]],$J$2:$V$14,3,0)*Tabla4[[#This Row],[TOTAL COBERTURA]])</f>
        <v>18115488</v>
      </c>
      <c r="AZ677" s="35">
        <f>(VLOOKUP(Tabla4[[#This Row],[SERVICIO 2025]],$J$2:$V$14,3,0)*Tabla4[[#This Row],[TOTAL COBERTURA]])</f>
        <v>18115488</v>
      </c>
      <c r="BA677" s="35">
        <f>(VLOOKUP(Tabla4[[#This Row],[SERVICIO 2025]],$J$2:$V$14,3,0)*Tabla4[[#This Row],[TOTAL COBERTURA]])+Tabla4[[#This Row],[VALOR FASE PREPARATORIA DE CIERRE]]</f>
        <v>20817036</v>
      </c>
      <c r="BB677" s="35">
        <f>SUM(Tabla4[[#This Row],[DESEMBOLSO 1]:[DESEMBOLSO 8]])</f>
        <v>150798600</v>
      </c>
      <c r="BC677" s="35">
        <f>VLOOKUP(Tabla4[[#This Row],[SERVICIO 2025]],$J$2:$V$14,10,0)*Tabla4[[#This Row],[TOTAL COBERTURA]]*$W$3</f>
        <v>0</v>
      </c>
      <c r="BD677" s="47" t="s">
        <v>145</v>
      </c>
      <c r="BE677" s="12" t="b">
        <f>EXACT(Tabla4[[#This Row],[VALOR ATENCIÓN (8 MESES)]],Tabla4[[#This Row],[VALOR TOTAL]])</f>
        <v>1</v>
      </c>
      <c r="BF677" s="23">
        <f>Tabla4[[#This Row],[VALOR ATENCIÓN (8 MESES)]]-Tabla4[[#This Row],[VALOR TOTAL]]</f>
        <v>0</v>
      </c>
      <c r="BG677" s="12" t="b">
        <f>EXACT(Tabla4[[#This Row],[TOTAL DESEMBOLSOS]],Tabla4[[#This Row],[VALOR ATENCIÓN (8 MESES)]])</f>
        <v>1</v>
      </c>
      <c r="BH677" s="29">
        <f>Tabla4[[#This Row],[TOTAL DESEMBOLSOS]]-Tabla4[[#This Row],[VALOR ATENCIÓN (8 MESES)]]</f>
        <v>0</v>
      </c>
      <c r="BI677" t="s">
        <v>98</v>
      </c>
      <c r="BJ677">
        <v>1951</v>
      </c>
    </row>
    <row r="678" spans="1:62">
      <c r="A678" s="13">
        <v>1951</v>
      </c>
      <c r="B678" s="13" t="s">
        <v>1496</v>
      </c>
      <c r="C678" s="12" t="s">
        <v>87</v>
      </c>
      <c r="D678" s="12" t="s">
        <v>651</v>
      </c>
      <c r="E678" s="12" t="s">
        <v>1497</v>
      </c>
      <c r="F678" s="12" t="s">
        <v>15</v>
      </c>
      <c r="G678" s="12" t="s">
        <v>90</v>
      </c>
      <c r="H678" s="12" t="s">
        <v>1529</v>
      </c>
      <c r="I678" s="12">
        <v>528200104905</v>
      </c>
      <c r="J678" s="12" t="s">
        <v>1530</v>
      </c>
      <c r="K678" s="12">
        <v>1</v>
      </c>
      <c r="L678" s="12">
        <v>35</v>
      </c>
      <c r="M678" s="12"/>
      <c r="N678" s="13">
        <v>1951</v>
      </c>
      <c r="O678" s="12" t="s">
        <v>93</v>
      </c>
      <c r="P678" s="12"/>
      <c r="Q678" s="12"/>
      <c r="R678" s="12" t="s">
        <v>94</v>
      </c>
      <c r="S678" s="12">
        <v>10</v>
      </c>
      <c r="T678" s="12" t="s">
        <v>655</v>
      </c>
      <c r="U678" s="12" t="s">
        <v>656</v>
      </c>
      <c r="V678" s="12">
        <f>VLOOKUP(Tabla4[[#This Row],[ZONA DEFINITIVO]],Hoja1!$A$1:$D$121,3,0)</f>
        <v>229115</v>
      </c>
      <c r="W678" s="12">
        <f>VLOOKUP(Tabla4[[#This Row],[ZONA DEFINITIVO]],Hoja1!$A$1:$D$121,2,0)</f>
        <v>15198</v>
      </c>
      <c r="X678" s="12">
        <f>VLOOKUP(Tabla4[[#This Row],[ZONA DEFINITIVO]],Hoja1!$A$1:$D$121,4,0)</f>
        <v>83325</v>
      </c>
      <c r="Y678" s="12" t="str">
        <f>+IF(Tabla4[[#This Row],[AGRUPACIONES]]=1,SUMIFS(Tabla4[UDS],Tabla4[ZONA DEFINITIVO],Tabla4[[#This Row],[ZONA DEFINITIVO]])," ")</f>
        <v xml:space="preserve"> </v>
      </c>
      <c r="Z678" s="12" t="str">
        <f>+IF(Tabla4[[#This Row],[AGRUPACIONES]]=1,SUMIFS(Tabla4[TOTAL COBERTURA],Tabla4[ZONA DEFINITIVO],Tabla4[[#This Row],[ZONA DEFINITIVO]])," ")</f>
        <v xml:space="preserve"> </v>
      </c>
      <c r="AA678" s="12"/>
      <c r="AB678" s="38">
        <v>151529070</v>
      </c>
      <c r="AC678" s="37">
        <v>0.02</v>
      </c>
      <c r="AD678" s="38">
        <f t="shared" si="11"/>
        <v>3030581.4</v>
      </c>
      <c r="AE678" s="12"/>
      <c r="AF678" s="12">
        <f>COUNTIF($A$20:A678,A678)</f>
        <v>17</v>
      </c>
      <c r="AG678" s="38">
        <v>151529070</v>
      </c>
      <c r="AH678" s="38">
        <f>Tabla4[[#This Row],[VALOR CONTRAPARTIDA]]+Tabla4[[#This Row],[TOTAL APORTES ICBF]]</f>
        <v>154559651.40000001</v>
      </c>
      <c r="AI678" s="35"/>
      <c r="AJ678" s="38"/>
      <c r="AK678" s="38"/>
      <c r="AL678" s="23"/>
      <c r="AM678" s="35">
        <f>VLOOKUP(Tabla4[[#This Row],[SERVICIO 2025]],$J$2:$V$14,5,0)*Tabla4[[#This Row],[TOTAL COBERTURA]]</f>
        <v>3085005</v>
      </c>
      <c r="AN678" s="35">
        <f>VLOOKUP(Tabla4[[#This Row],[SERVICIO 2025]],$J$2:$V$14,6,0)*Tabla4[[#This Row],[TOTAL COBERTURA]]</f>
        <v>2626505</v>
      </c>
      <c r="AO678" s="35">
        <f>VLOOKUP(Tabla4[[#This Row],[SERVICIO 2025]],$J$2:$V$14,8,0)*Tabla4[[#This Row],[TOTAL COBERTURA]]</f>
        <v>0</v>
      </c>
      <c r="AP678" s="35">
        <f>VLOOKUP(Tabla4[[#This Row],[SERVICIO 2025]],$J$2:$V$14,3,0)*Tabla4[[#This Row],[TOTAL COBERTURA]]*8</f>
        <v>145817560</v>
      </c>
      <c r="AQ678" s="35"/>
      <c r="AR678" s="35">
        <f>Tabla4[[#This Row],[VALOR FASE PREPARATORIA DE ALISTAMIENTO]]+Tabla4[[#This Row],[VALOR FASE PREPARATORIA DE CIERRE]]+Tabla4[[#This Row],[DOTACIÓN ÚNICA]]+Tabla4[[#This Row],[VALOR ATENCIÓN]]+Tabla4[[#This Row],[VALOR RACION PREPARADA]]</f>
        <v>151529070</v>
      </c>
      <c r="AS678" s="35" t="str">
        <f>+IF(Tabla4[[#This Row],[AGRUPACIONES]]=1,SUMIFS(Tabla4[VALOR TOTAL],Tabla4[ZONA DEFINITIVO],Tabla4[[#This Row],[ZONA DEFINITIVO]])," ")</f>
        <v xml:space="preserve"> </v>
      </c>
      <c r="AT678" s="27">
        <f>(VLOOKUP(Tabla4[[#This Row],[SERVICIO 2025]],$J$2:$V$14,3,0)*Tabla4[[#This Row],[TOTAL COBERTURA]])+Tabla4[[#This Row],[VALOR FASE PREPARATORIA DE ALISTAMIENTO]]+Tabla4[[#This Row],[DOTACIÓN ÚNICA]]</f>
        <v>21312200</v>
      </c>
      <c r="AU678" s="35">
        <f>(VLOOKUP(Tabla4[[#This Row],[SERVICIO 2025]],$J$2:$V$14,3,0)*Tabla4[[#This Row],[TOTAL COBERTURA]])</f>
        <v>18227195</v>
      </c>
      <c r="AV678" s="35">
        <f>(VLOOKUP(Tabla4[[#This Row],[SERVICIO 2025]],$J$2:$V$14,3,0)*Tabla4[[#This Row],[TOTAL COBERTURA]])</f>
        <v>18227195</v>
      </c>
      <c r="AW678" s="35">
        <f>(VLOOKUP(Tabla4[[#This Row],[SERVICIO 2025]],$J$2:$V$14,3,0)*Tabla4[[#This Row],[TOTAL COBERTURA]])</f>
        <v>18227195</v>
      </c>
      <c r="AX678" s="35">
        <f>(VLOOKUP(Tabla4[[#This Row],[SERVICIO 2025]],$J$2:$V$14,3,0)*Tabla4[[#This Row],[TOTAL COBERTURA]])</f>
        <v>18227195</v>
      </c>
      <c r="AY678" s="35">
        <f>(VLOOKUP(Tabla4[[#This Row],[SERVICIO 2025]],$J$2:$V$14,3,0)*Tabla4[[#This Row],[TOTAL COBERTURA]])</f>
        <v>18227195</v>
      </c>
      <c r="AZ678" s="35">
        <f>(VLOOKUP(Tabla4[[#This Row],[SERVICIO 2025]],$J$2:$V$14,3,0)*Tabla4[[#This Row],[TOTAL COBERTURA]])</f>
        <v>18227195</v>
      </c>
      <c r="BA678" s="35">
        <f>(VLOOKUP(Tabla4[[#This Row],[SERVICIO 2025]],$J$2:$V$14,3,0)*Tabla4[[#This Row],[TOTAL COBERTURA]])+Tabla4[[#This Row],[VALOR FASE PREPARATORIA DE CIERRE]]</f>
        <v>20853700</v>
      </c>
      <c r="BB678" s="35">
        <f>SUM(Tabla4[[#This Row],[DESEMBOLSO 1]:[DESEMBOLSO 8]])</f>
        <v>151529070</v>
      </c>
      <c r="BC678" s="35">
        <f>VLOOKUP(Tabla4[[#This Row],[SERVICIO 2025]],$J$2:$V$14,10,0)*Tabla4[[#This Row],[TOTAL COBERTURA]]*$W$3</f>
        <v>0</v>
      </c>
      <c r="BD678" s="47" t="s">
        <v>145</v>
      </c>
      <c r="BE678" s="12" t="b">
        <f>EXACT(Tabla4[[#This Row],[VALOR ATENCIÓN (8 MESES)]],Tabla4[[#This Row],[VALOR TOTAL]])</f>
        <v>1</v>
      </c>
      <c r="BF678" s="23">
        <f>Tabla4[[#This Row],[VALOR ATENCIÓN (8 MESES)]]-Tabla4[[#This Row],[VALOR TOTAL]]</f>
        <v>0</v>
      </c>
      <c r="BG678" s="12" t="b">
        <f>EXACT(Tabla4[[#This Row],[TOTAL DESEMBOLSOS]],Tabla4[[#This Row],[VALOR ATENCIÓN (8 MESES)]])</f>
        <v>1</v>
      </c>
      <c r="BH678" s="29">
        <f>Tabla4[[#This Row],[TOTAL DESEMBOLSOS]]-Tabla4[[#This Row],[VALOR ATENCIÓN (8 MESES)]]</f>
        <v>0</v>
      </c>
      <c r="BI678" t="s">
        <v>98</v>
      </c>
      <c r="BJ678">
        <v>1951</v>
      </c>
    </row>
    <row r="679" spans="1:62">
      <c r="A679" s="13">
        <v>1951</v>
      </c>
      <c r="B679" s="13" t="s">
        <v>1496</v>
      </c>
      <c r="C679" s="12" t="s">
        <v>87</v>
      </c>
      <c r="D679" s="12" t="s">
        <v>651</v>
      </c>
      <c r="E679" s="12" t="s">
        <v>1497</v>
      </c>
      <c r="F679" s="12" t="s">
        <v>14</v>
      </c>
      <c r="G679" s="12" t="s">
        <v>90</v>
      </c>
      <c r="H679" s="12" t="s">
        <v>1531</v>
      </c>
      <c r="I679" s="12">
        <v>528200104906</v>
      </c>
      <c r="J679" s="12" t="s">
        <v>1532</v>
      </c>
      <c r="K679" s="12">
        <v>1</v>
      </c>
      <c r="L679" s="12">
        <v>22</v>
      </c>
      <c r="M679" s="12"/>
      <c r="N679" s="13">
        <v>1951</v>
      </c>
      <c r="O679" s="12" t="s">
        <v>93</v>
      </c>
      <c r="P679" s="12"/>
      <c r="Q679" s="12"/>
      <c r="R679" s="12" t="s">
        <v>94</v>
      </c>
      <c r="S679" s="12">
        <v>10</v>
      </c>
      <c r="T679" s="12" t="s">
        <v>655</v>
      </c>
      <c r="U679" s="12" t="s">
        <v>656</v>
      </c>
      <c r="V679" s="12">
        <f>VLOOKUP(Tabla4[[#This Row],[ZONA DEFINITIVO]],Hoja1!$A$1:$D$121,3,0)</f>
        <v>229115</v>
      </c>
      <c r="W679" s="12">
        <f>VLOOKUP(Tabla4[[#This Row],[ZONA DEFINITIVO]],Hoja1!$A$1:$D$121,2,0)</f>
        <v>15198</v>
      </c>
      <c r="X679" s="12">
        <f>VLOOKUP(Tabla4[[#This Row],[ZONA DEFINITIVO]],Hoja1!$A$1:$D$121,4,0)</f>
        <v>83325</v>
      </c>
      <c r="Y679" s="12" t="str">
        <f>+IF(Tabla4[[#This Row],[AGRUPACIONES]]=1,SUMIFS(Tabla4[UDS],Tabla4[ZONA DEFINITIVO],Tabla4[[#This Row],[ZONA DEFINITIVO]])," ")</f>
        <v xml:space="preserve"> </v>
      </c>
      <c r="Z679" s="12" t="str">
        <f>+IF(Tabla4[[#This Row],[AGRUPACIONES]]=1,SUMIFS(Tabla4[TOTAL COBERTURA],Tabla4[ZONA DEFINITIVO],Tabla4[[#This Row],[ZONA DEFINITIVO]])," ")</f>
        <v xml:space="preserve"> </v>
      </c>
      <c r="AA679" s="12"/>
      <c r="AB679" s="38">
        <v>92154700</v>
      </c>
      <c r="AC679" s="37">
        <v>0.02</v>
      </c>
      <c r="AD679" s="38">
        <f t="shared" si="11"/>
        <v>1843094</v>
      </c>
      <c r="AE679" s="12"/>
      <c r="AF679" s="12">
        <f>COUNTIF($A$20:A679,A679)</f>
        <v>18</v>
      </c>
      <c r="AG679" s="38">
        <v>92154700</v>
      </c>
      <c r="AH679" s="38">
        <f>Tabla4[[#This Row],[VALOR CONTRAPARTIDA]]+Tabla4[[#This Row],[TOTAL APORTES ICBF]]</f>
        <v>93997794</v>
      </c>
      <c r="AI679" s="35"/>
      <c r="AJ679" s="38"/>
      <c r="AK679" s="38"/>
      <c r="AL679" s="23"/>
      <c r="AM679" s="35">
        <f>VLOOKUP(Tabla4[[#This Row],[SERVICIO 2025]],$J$2:$V$14,5,0)*Tabla4[[#This Row],[TOTAL COBERTURA]]</f>
        <v>1939146</v>
      </c>
      <c r="AN679" s="35">
        <f>VLOOKUP(Tabla4[[#This Row],[SERVICIO 2025]],$J$2:$V$14,6,0)*Tabla4[[#This Row],[TOTAL COBERTURA]]</f>
        <v>1650946</v>
      </c>
      <c r="AO679" s="35">
        <f>VLOOKUP(Tabla4[[#This Row],[SERVICIO 2025]],$J$2:$V$14,8,0)*Tabla4[[#This Row],[TOTAL COBERTURA]]</f>
        <v>0</v>
      </c>
      <c r="AP679" s="35">
        <f>VLOOKUP(Tabla4[[#This Row],[SERVICIO 2025]],$J$2:$V$14,3,0)*Tabla4[[#This Row],[TOTAL COBERTURA]]*8</f>
        <v>88564608</v>
      </c>
      <c r="AQ679" s="35"/>
      <c r="AR679" s="35">
        <f>Tabla4[[#This Row],[VALOR FASE PREPARATORIA DE ALISTAMIENTO]]+Tabla4[[#This Row],[VALOR FASE PREPARATORIA DE CIERRE]]+Tabla4[[#This Row],[DOTACIÓN ÚNICA]]+Tabla4[[#This Row],[VALOR ATENCIÓN]]+Tabla4[[#This Row],[VALOR RACION PREPARADA]]</f>
        <v>92154700</v>
      </c>
      <c r="AS679" s="35" t="str">
        <f>+IF(Tabla4[[#This Row],[AGRUPACIONES]]=1,SUMIFS(Tabla4[VALOR TOTAL],Tabla4[ZONA DEFINITIVO],Tabla4[[#This Row],[ZONA DEFINITIVO]])," ")</f>
        <v xml:space="preserve"> </v>
      </c>
      <c r="AT679" s="27">
        <f>(VLOOKUP(Tabla4[[#This Row],[SERVICIO 2025]],$J$2:$V$14,3,0)*Tabla4[[#This Row],[TOTAL COBERTURA]])+Tabla4[[#This Row],[VALOR FASE PREPARATORIA DE ALISTAMIENTO]]+Tabla4[[#This Row],[DOTACIÓN ÚNICA]]</f>
        <v>13009722</v>
      </c>
      <c r="AU679" s="35">
        <f>(VLOOKUP(Tabla4[[#This Row],[SERVICIO 2025]],$J$2:$V$14,3,0)*Tabla4[[#This Row],[TOTAL COBERTURA]])</f>
        <v>11070576</v>
      </c>
      <c r="AV679" s="35">
        <f>(VLOOKUP(Tabla4[[#This Row],[SERVICIO 2025]],$J$2:$V$14,3,0)*Tabla4[[#This Row],[TOTAL COBERTURA]])</f>
        <v>11070576</v>
      </c>
      <c r="AW679" s="35">
        <f>(VLOOKUP(Tabla4[[#This Row],[SERVICIO 2025]],$J$2:$V$14,3,0)*Tabla4[[#This Row],[TOTAL COBERTURA]])</f>
        <v>11070576</v>
      </c>
      <c r="AX679" s="35">
        <f>(VLOOKUP(Tabla4[[#This Row],[SERVICIO 2025]],$J$2:$V$14,3,0)*Tabla4[[#This Row],[TOTAL COBERTURA]])</f>
        <v>11070576</v>
      </c>
      <c r="AY679" s="35">
        <f>(VLOOKUP(Tabla4[[#This Row],[SERVICIO 2025]],$J$2:$V$14,3,0)*Tabla4[[#This Row],[TOTAL COBERTURA]])</f>
        <v>11070576</v>
      </c>
      <c r="AZ679" s="35">
        <f>(VLOOKUP(Tabla4[[#This Row],[SERVICIO 2025]],$J$2:$V$14,3,0)*Tabla4[[#This Row],[TOTAL COBERTURA]])</f>
        <v>11070576</v>
      </c>
      <c r="BA679" s="35">
        <f>(VLOOKUP(Tabla4[[#This Row],[SERVICIO 2025]],$J$2:$V$14,3,0)*Tabla4[[#This Row],[TOTAL COBERTURA]])+Tabla4[[#This Row],[VALOR FASE PREPARATORIA DE CIERRE]]</f>
        <v>12721522</v>
      </c>
      <c r="BB679" s="35">
        <f>SUM(Tabla4[[#This Row],[DESEMBOLSO 1]:[DESEMBOLSO 8]])</f>
        <v>92154700</v>
      </c>
      <c r="BC679" s="35">
        <f>VLOOKUP(Tabla4[[#This Row],[SERVICIO 2025]],$J$2:$V$14,10,0)*Tabla4[[#This Row],[TOTAL COBERTURA]]*$W$3</f>
        <v>0</v>
      </c>
      <c r="BD679" s="47" t="s">
        <v>145</v>
      </c>
      <c r="BE679" s="12" t="b">
        <f>EXACT(Tabla4[[#This Row],[VALOR ATENCIÓN (8 MESES)]],Tabla4[[#This Row],[VALOR TOTAL]])</f>
        <v>1</v>
      </c>
      <c r="BF679" s="23">
        <f>Tabla4[[#This Row],[VALOR ATENCIÓN (8 MESES)]]-Tabla4[[#This Row],[VALOR TOTAL]]</f>
        <v>0</v>
      </c>
      <c r="BG679" s="12" t="b">
        <f>EXACT(Tabla4[[#This Row],[TOTAL DESEMBOLSOS]],Tabla4[[#This Row],[VALOR ATENCIÓN (8 MESES)]])</f>
        <v>1</v>
      </c>
      <c r="BH679" s="29">
        <f>Tabla4[[#This Row],[TOTAL DESEMBOLSOS]]-Tabla4[[#This Row],[VALOR ATENCIÓN (8 MESES)]]</f>
        <v>0</v>
      </c>
      <c r="BI679" t="s">
        <v>98</v>
      </c>
      <c r="BJ679">
        <v>1951</v>
      </c>
    </row>
    <row r="680" spans="1:62">
      <c r="A680" s="13">
        <v>1952</v>
      </c>
      <c r="B680" s="13" t="s">
        <v>1533</v>
      </c>
      <c r="C680" s="12" t="s">
        <v>87</v>
      </c>
      <c r="D680" s="12" t="s">
        <v>1534</v>
      </c>
      <c r="E680" s="12" t="s">
        <v>1535</v>
      </c>
      <c r="F680" s="12" t="s">
        <v>18</v>
      </c>
      <c r="G680" s="12" t="s">
        <v>90</v>
      </c>
      <c r="H680" s="12" t="s">
        <v>1536</v>
      </c>
      <c r="I680" s="12">
        <v>50441153012</v>
      </c>
      <c r="J680" s="12" t="s">
        <v>1537</v>
      </c>
      <c r="K680" s="12">
        <v>1</v>
      </c>
      <c r="L680" s="12">
        <v>11</v>
      </c>
      <c r="M680" s="12"/>
      <c r="N680" s="13">
        <v>1952</v>
      </c>
      <c r="O680" s="12" t="s">
        <v>93</v>
      </c>
      <c r="P680" s="12"/>
      <c r="Q680" s="12"/>
      <c r="R680" s="12" t="s">
        <v>94</v>
      </c>
      <c r="S680" s="12">
        <v>10</v>
      </c>
      <c r="T680" s="12" t="s">
        <v>1538</v>
      </c>
      <c r="U680" s="12" t="s">
        <v>1539</v>
      </c>
      <c r="V680" s="12">
        <f>VLOOKUP(Tabla4[[#This Row],[ZONA DEFINITIVO]],Hoja1!$A$1:$D$121,3,0)</f>
        <v>229116</v>
      </c>
      <c r="W680" s="12">
        <f>VLOOKUP(Tabla4[[#This Row],[ZONA DEFINITIVO]],Hoja1!$A$1:$D$121,2,0)</f>
        <v>15222</v>
      </c>
      <c r="X680" s="12">
        <f>VLOOKUP(Tabla4[[#This Row],[ZONA DEFINITIVO]],Hoja1!$A$1:$D$121,4,0)</f>
        <v>87525</v>
      </c>
      <c r="Y680" s="12">
        <f>+IF(Tabla4[[#This Row],[AGRUPACIONES]]=1,SUMIFS(Tabla4[UDS],Tabla4[ZONA DEFINITIVO],Tabla4[[#This Row],[ZONA DEFINITIVO]])," ")</f>
        <v>13</v>
      </c>
      <c r="Z680" s="12">
        <f>+IF(Tabla4[[#This Row],[AGRUPACIONES]]=1,SUMIFS(Tabla4[TOTAL COBERTURA],Tabla4[ZONA DEFINITIVO],Tabla4[[#This Row],[ZONA DEFINITIVO]])," ")</f>
        <v>260</v>
      </c>
      <c r="AA680" s="12"/>
      <c r="AB680" s="38">
        <v>23982123</v>
      </c>
      <c r="AC680" s="37">
        <v>0.02</v>
      </c>
      <c r="AD680" s="38">
        <f t="shared" si="11"/>
        <v>479642.46</v>
      </c>
      <c r="AE680" s="12"/>
      <c r="AF680" s="12">
        <f>COUNTIF($A$20:A680,A680)</f>
        <v>1</v>
      </c>
      <c r="AG680" s="38">
        <v>23982123</v>
      </c>
      <c r="AH680" s="38">
        <f>Tabla4[[#This Row],[VALOR CONTRAPARTIDA]]+Tabla4[[#This Row],[TOTAL APORTES ICBF]]</f>
        <v>24461765.460000001</v>
      </c>
      <c r="AI680" s="35">
        <f>ROUND(+IF(Tabla4[[#This Row],[AGRUPACIONES]]=1,SUMIFS(Tabla4[TOTAL APORTES ICBF],Tabla4[ZONA DEFINITIVO],Tabla4[[#This Row],[ZONA DEFINITIVO]])," "),0)</f>
        <v>738786900</v>
      </c>
      <c r="AJ680" s="38">
        <f>ROUND(+IF(Tabla4[[#This Row],[AGRUPACIONES]]=1,SUMIFS(Tabla4[VALOR CONTRAPARTIDA],Tabla4[ZONA DEFINITIVO],Tabla4[[#This Row],[ZONA DEFINITIVO]])," "),0)</f>
        <v>14775738</v>
      </c>
      <c r="AK680" s="38">
        <f>Tabla4[[#This Row],[TOTAL APORTES ICBF AGRUPADO]]+Tabla4[[#This Row],[TOTAL CONTRAPARTIDA AGRUPADO]]</f>
        <v>753562638</v>
      </c>
      <c r="AL680" s="23">
        <f>Tabla4[[#This Row],[TOTAL APORTES ICBF AGRUPADO]]/$AL$18</f>
        <v>518.99325605900947</v>
      </c>
      <c r="AM680" s="35">
        <f>VLOOKUP(Tabla4[[#This Row],[SERVICIO 2025]],$J$2:$V$14,5,0)*Tabla4[[#This Row],[TOTAL COBERTURA]]</f>
        <v>543136</v>
      </c>
      <c r="AN680" s="35">
        <f>VLOOKUP(Tabla4[[#This Row],[SERVICIO 2025]],$J$2:$V$14,6,0)*Tabla4[[#This Row],[TOTAL COBERTURA]]</f>
        <v>451319</v>
      </c>
      <c r="AO680" s="35">
        <f>VLOOKUP(Tabla4[[#This Row],[SERVICIO 2025]],$J$2:$V$14,8,0)*Tabla4[[#This Row],[TOTAL COBERTURA]]</f>
        <v>320100</v>
      </c>
      <c r="AP680" s="35">
        <f>VLOOKUP(Tabla4[[#This Row],[SERVICIO 2025]],$J$2:$V$14,3,0)*Tabla4[[#This Row],[TOTAL COBERTURA]]*8</f>
        <v>22667568</v>
      </c>
      <c r="AQ680" s="35"/>
      <c r="AR680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680" s="35">
        <f>+IF(Tabla4[[#This Row],[AGRUPACIONES]]=1,SUMIFS(Tabla4[VALOR TOTAL],Tabla4[ZONA DEFINITIVO],Tabla4[[#This Row],[ZONA DEFINITIVO]])," ")</f>
        <v>738786900</v>
      </c>
      <c r="AT680" s="27">
        <f>(VLOOKUP(Tabla4[[#This Row],[SERVICIO 2025]],$J$2:$V$14,3,0)*Tabla4[[#This Row],[TOTAL COBERTURA]])+Tabla4[[#This Row],[VALOR FASE PREPARATORIA DE ALISTAMIENTO]]+Tabla4[[#This Row],[DOTACIÓN ÚNICA]]</f>
        <v>3696682</v>
      </c>
      <c r="AU680" s="35">
        <f>(VLOOKUP(Tabla4[[#This Row],[SERVICIO 2025]],$J$2:$V$14,3,0)*Tabla4[[#This Row],[TOTAL COBERTURA]])</f>
        <v>2833446</v>
      </c>
      <c r="AV680" s="35">
        <f>(VLOOKUP(Tabla4[[#This Row],[SERVICIO 2025]],$J$2:$V$14,3,0)*Tabla4[[#This Row],[TOTAL COBERTURA]])</f>
        <v>2833446</v>
      </c>
      <c r="AW680" s="35">
        <f>(VLOOKUP(Tabla4[[#This Row],[SERVICIO 2025]],$J$2:$V$14,3,0)*Tabla4[[#This Row],[TOTAL COBERTURA]])</f>
        <v>2833446</v>
      </c>
      <c r="AX680" s="35">
        <f>(VLOOKUP(Tabla4[[#This Row],[SERVICIO 2025]],$J$2:$V$14,3,0)*Tabla4[[#This Row],[TOTAL COBERTURA]])</f>
        <v>2833446</v>
      </c>
      <c r="AY680" s="35">
        <f>(VLOOKUP(Tabla4[[#This Row],[SERVICIO 2025]],$J$2:$V$14,3,0)*Tabla4[[#This Row],[TOTAL COBERTURA]])</f>
        <v>2833446</v>
      </c>
      <c r="AZ680" s="35">
        <f>(VLOOKUP(Tabla4[[#This Row],[SERVICIO 2025]],$J$2:$V$14,3,0)*Tabla4[[#This Row],[TOTAL COBERTURA]])</f>
        <v>2833446</v>
      </c>
      <c r="BA680" s="35">
        <f>(VLOOKUP(Tabla4[[#This Row],[SERVICIO 2025]],$J$2:$V$14,3,0)*Tabla4[[#This Row],[TOTAL COBERTURA]])+Tabla4[[#This Row],[VALOR FASE PREPARATORIA DE CIERRE]]</f>
        <v>3284765</v>
      </c>
      <c r="BB680" s="35">
        <f>SUM(Tabla4[[#This Row],[DESEMBOLSO 1]:[DESEMBOLSO 8]])</f>
        <v>23982123</v>
      </c>
      <c r="BC680" s="35">
        <f>VLOOKUP(Tabla4[[#This Row],[SERVICIO 2025]],$J$2:$V$14,10,0)*Tabla4[[#This Row],[TOTAL COBERTURA]]*$W$3</f>
        <v>15873704</v>
      </c>
      <c r="BD680" s="47" t="s">
        <v>211</v>
      </c>
      <c r="BE680" s="12" t="b">
        <f>EXACT(Tabla4[[#This Row],[VALOR ATENCIÓN (8 MESES)]],Tabla4[[#This Row],[VALOR TOTAL]])</f>
        <v>1</v>
      </c>
      <c r="BF680" s="23">
        <f>Tabla4[[#This Row],[VALOR ATENCIÓN (8 MESES)]]-Tabla4[[#This Row],[VALOR TOTAL]]</f>
        <v>0</v>
      </c>
      <c r="BG680" s="12" t="b">
        <f>EXACT(Tabla4[[#This Row],[TOTAL DESEMBOLSOS]],Tabla4[[#This Row],[VALOR ATENCIÓN (8 MESES)]])</f>
        <v>1</v>
      </c>
      <c r="BH680" s="29">
        <f>Tabla4[[#This Row],[TOTAL DESEMBOLSOS]]-Tabla4[[#This Row],[VALOR ATENCIÓN (8 MESES)]]</f>
        <v>0</v>
      </c>
      <c r="BI680" t="s">
        <v>98</v>
      </c>
      <c r="BJ680">
        <v>1952</v>
      </c>
    </row>
    <row r="681" spans="1:62">
      <c r="A681" s="13">
        <v>1952</v>
      </c>
      <c r="B681" s="13" t="s">
        <v>1533</v>
      </c>
      <c r="C681" s="12" t="s">
        <v>87</v>
      </c>
      <c r="D681" s="12" t="s">
        <v>1534</v>
      </c>
      <c r="E681" s="12" t="s">
        <v>1535</v>
      </c>
      <c r="F681" s="12" t="s">
        <v>18</v>
      </c>
      <c r="G681" s="12" t="s">
        <v>90</v>
      </c>
      <c r="H681" s="12" t="s">
        <v>1540</v>
      </c>
      <c r="I681" s="12">
        <v>53061115456</v>
      </c>
      <c r="J681" s="12" t="s">
        <v>1541</v>
      </c>
      <c r="K681" s="12">
        <v>1</v>
      </c>
      <c r="L681" s="12">
        <v>14</v>
      </c>
      <c r="M681" s="12"/>
      <c r="N681" s="13">
        <v>1952</v>
      </c>
      <c r="O681" s="12" t="s">
        <v>93</v>
      </c>
      <c r="P681" s="12"/>
      <c r="Q681" s="12"/>
      <c r="R681" s="12" t="s">
        <v>94</v>
      </c>
      <c r="S681" s="12">
        <v>10</v>
      </c>
      <c r="T681" s="12" t="s">
        <v>1538</v>
      </c>
      <c r="U681" s="12" t="s">
        <v>1539</v>
      </c>
      <c r="V681" s="12">
        <f>VLOOKUP(Tabla4[[#This Row],[ZONA DEFINITIVO]],Hoja1!$A$1:$D$121,3,0)</f>
        <v>229116</v>
      </c>
      <c r="W681" s="12">
        <f>VLOOKUP(Tabla4[[#This Row],[ZONA DEFINITIVO]],Hoja1!$A$1:$D$121,2,0)</f>
        <v>15222</v>
      </c>
      <c r="X681" s="12">
        <f>VLOOKUP(Tabla4[[#This Row],[ZONA DEFINITIVO]],Hoja1!$A$1:$D$121,4,0)</f>
        <v>87525</v>
      </c>
      <c r="Y681" s="12" t="str">
        <f>+IF(Tabla4[[#This Row],[AGRUPACIONES]]=1,SUMIFS(Tabla4[UDS],Tabla4[ZONA DEFINITIVO],Tabla4[[#This Row],[ZONA DEFINITIVO]])," ")</f>
        <v xml:space="preserve"> </v>
      </c>
      <c r="Z681" s="12" t="str">
        <f>+IF(Tabla4[[#This Row],[AGRUPACIONES]]=1,SUMIFS(Tabla4[TOTAL COBERTURA],Tabla4[ZONA DEFINITIVO],Tabla4[[#This Row],[ZONA DEFINITIVO]])," ")</f>
        <v xml:space="preserve"> </v>
      </c>
      <c r="AA681" s="12"/>
      <c r="AB681" s="38">
        <v>30522702</v>
      </c>
      <c r="AC681" s="37">
        <v>0.02</v>
      </c>
      <c r="AD681" s="38">
        <f t="shared" si="11"/>
        <v>610454.04</v>
      </c>
      <c r="AE681" s="12"/>
      <c r="AF681" s="12">
        <f>COUNTIF($A$20:A681,A681)</f>
        <v>2</v>
      </c>
      <c r="AG681" s="38">
        <v>30522702</v>
      </c>
      <c r="AH681" s="38">
        <f>Tabla4[[#This Row],[VALOR CONTRAPARTIDA]]+Tabla4[[#This Row],[TOTAL APORTES ICBF]]</f>
        <v>31133156.039999999</v>
      </c>
      <c r="AI681" s="35"/>
      <c r="AJ681" s="38"/>
      <c r="AK681" s="38"/>
      <c r="AL681" s="23"/>
      <c r="AM681" s="35">
        <f>VLOOKUP(Tabla4[[#This Row],[SERVICIO 2025]],$J$2:$V$14,5,0)*Tabla4[[#This Row],[TOTAL COBERTURA]]</f>
        <v>691264</v>
      </c>
      <c r="AN681" s="35">
        <f>VLOOKUP(Tabla4[[#This Row],[SERVICIO 2025]],$J$2:$V$14,6,0)*Tabla4[[#This Row],[TOTAL COBERTURA]]</f>
        <v>574406</v>
      </c>
      <c r="AO681" s="35">
        <f>VLOOKUP(Tabla4[[#This Row],[SERVICIO 2025]],$J$2:$V$14,8,0)*Tabla4[[#This Row],[TOTAL COBERTURA]]</f>
        <v>407400</v>
      </c>
      <c r="AP681" s="35">
        <f>VLOOKUP(Tabla4[[#This Row],[SERVICIO 2025]],$J$2:$V$14,3,0)*Tabla4[[#This Row],[TOTAL COBERTURA]]*8</f>
        <v>28849632</v>
      </c>
      <c r="AQ681" s="35"/>
      <c r="AR681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681" s="35" t="str">
        <f>+IF(Tabla4[[#This Row],[AGRUPACIONES]]=1,SUMIFS(Tabla4[VALOR TOTAL],Tabla4[ZONA DEFINITIVO],Tabla4[[#This Row],[ZONA DEFINITIVO]])," ")</f>
        <v xml:space="preserve"> </v>
      </c>
      <c r="AT681" s="27">
        <f>(VLOOKUP(Tabla4[[#This Row],[SERVICIO 2025]],$J$2:$V$14,3,0)*Tabla4[[#This Row],[TOTAL COBERTURA]])+Tabla4[[#This Row],[VALOR FASE PREPARATORIA DE ALISTAMIENTO]]+Tabla4[[#This Row],[DOTACIÓN ÚNICA]]</f>
        <v>4704868</v>
      </c>
      <c r="AU681" s="35">
        <f>(VLOOKUP(Tabla4[[#This Row],[SERVICIO 2025]],$J$2:$V$14,3,0)*Tabla4[[#This Row],[TOTAL COBERTURA]])</f>
        <v>3606204</v>
      </c>
      <c r="AV681" s="35">
        <f>(VLOOKUP(Tabla4[[#This Row],[SERVICIO 2025]],$J$2:$V$14,3,0)*Tabla4[[#This Row],[TOTAL COBERTURA]])</f>
        <v>3606204</v>
      </c>
      <c r="AW681" s="35">
        <f>(VLOOKUP(Tabla4[[#This Row],[SERVICIO 2025]],$J$2:$V$14,3,0)*Tabla4[[#This Row],[TOTAL COBERTURA]])</f>
        <v>3606204</v>
      </c>
      <c r="AX681" s="35">
        <f>(VLOOKUP(Tabla4[[#This Row],[SERVICIO 2025]],$J$2:$V$14,3,0)*Tabla4[[#This Row],[TOTAL COBERTURA]])</f>
        <v>3606204</v>
      </c>
      <c r="AY681" s="35">
        <f>(VLOOKUP(Tabla4[[#This Row],[SERVICIO 2025]],$J$2:$V$14,3,0)*Tabla4[[#This Row],[TOTAL COBERTURA]])</f>
        <v>3606204</v>
      </c>
      <c r="AZ681" s="35">
        <f>(VLOOKUP(Tabla4[[#This Row],[SERVICIO 2025]],$J$2:$V$14,3,0)*Tabla4[[#This Row],[TOTAL COBERTURA]])</f>
        <v>3606204</v>
      </c>
      <c r="BA681" s="35">
        <f>(VLOOKUP(Tabla4[[#This Row],[SERVICIO 2025]],$J$2:$V$14,3,0)*Tabla4[[#This Row],[TOTAL COBERTURA]])+Tabla4[[#This Row],[VALOR FASE PREPARATORIA DE CIERRE]]</f>
        <v>4180610</v>
      </c>
      <c r="BB681" s="35">
        <f>SUM(Tabla4[[#This Row],[DESEMBOLSO 1]:[DESEMBOLSO 8]])</f>
        <v>30522702</v>
      </c>
      <c r="BC681" s="35">
        <f>VLOOKUP(Tabla4[[#This Row],[SERVICIO 2025]],$J$2:$V$14,10,0)*Tabla4[[#This Row],[TOTAL COBERTURA]]*$W$3</f>
        <v>20202896</v>
      </c>
      <c r="BD681" s="47" t="s">
        <v>211</v>
      </c>
      <c r="BE681" s="12" t="b">
        <f>EXACT(Tabla4[[#This Row],[VALOR ATENCIÓN (8 MESES)]],Tabla4[[#This Row],[VALOR TOTAL]])</f>
        <v>1</v>
      </c>
      <c r="BF681" s="23">
        <f>Tabla4[[#This Row],[VALOR ATENCIÓN (8 MESES)]]-Tabla4[[#This Row],[VALOR TOTAL]]</f>
        <v>0</v>
      </c>
      <c r="BG681" s="12" t="b">
        <f>EXACT(Tabla4[[#This Row],[TOTAL DESEMBOLSOS]],Tabla4[[#This Row],[VALOR ATENCIÓN (8 MESES)]])</f>
        <v>1</v>
      </c>
      <c r="BH681" s="29">
        <f>Tabla4[[#This Row],[TOTAL DESEMBOLSOS]]-Tabla4[[#This Row],[VALOR ATENCIÓN (8 MESES)]]</f>
        <v>0</v>
      </c>
      <c r="BI681" t="s">
        <v>98</v>
      </c>
      <c r="BJ681">
        <v>1952</v>
      </c>
    </row>
    <row r="682" spans="1:62">
      <c r="A682" s="13">
        <v>1952</v>
      </c>
      <c r="B682" s="13" t="s">
        <v>1533</v>
      </c>
      <c r="C682" s="12" t="s">
        <v>87</v>
      </c>
      <c r="D682" s="12" t="s">
        <v>1534</v>
      </c>
      <c r="E682" s="12" t="s">
        <v>1535</v>
      </c>
      <c r="F682" s="12" t="s">
        <v>18</v>
      </c>
      <c r="G682" s="12" t="s">
        <v>90</v>
      </c>
      <c r="H682" s="12" t="s">
        <v>1542</v>
      </c>
      <c r="I682" s="12">
        <v>53061135671</v>
      </c>
      <c r="J682" s="12" t="s">
        <v>1543</v>
      </c>
      <c r="K682" s="12">
        <v>1</v>
      </c>
      <c r="L682" s="12">
        <v>22</v>
      </c>
      <c r="M682" s="12"/>
      <c r="N682" s="13">
        <v>1952</v>
      </c>
      <c r="O682" s="12" t="s">
        <v>93</v>
      </c>
      <c r="P682" s="12"/>
      <c r="Q682" s="12"/>
      <c r="R682" s="12" t="s">
        <v>94</v>
      </c>
      <c r="S682" s="12">
        <v>10</v>
      </c>
      <c r="T682" s="12" t="s">
        <v>1538</v>
      </c>
      <c r="U682" s="12" t="s">
        <v>1539</v>
      </c>
      <c r="V682" s="12">
        <f>VLOOKUP(Tabla4[[#This Row],[ZONA DEFINITIVO]],Hoja1!$A$1:$D$121,3,0)</f>
        <v>229116</v>
      </c>
      <c r="W682" s="12">
        <f>VLOOKUP(Tabla4[[#This Row],[ZONA DEFINITIVO]],Hoja1!$A$1:$D$121,2,0)</f>
        <v>15222</v>
      </c>
      <c r="X682" s="12">
        <f>VLOOKUP(Tabla4[[#This Row],[ZONA DEFINITIVO]],Hoja1!$A$1:$D$121,4,0)</f>
        <v>87525</v>
      </c>
      <c r="Y682" s="12" t="str">
        <f>+IF(Tabla4[[#This Row],[AGRUPACIONES]]=1,SUMIFS(Tabla4[UDS],Tabla4[ZONA DEFINITIVO],Tabla4[[#This Row],[ZONA DEFINITIVO]])," ")</f>
        <v xml:space="preserve"> </v>
      </c>
      <c r="Z682" s="12" t="str">
        <f>+IF(Tabla4[[#This Row],[AGRUPACIONES]]=1,SUMIFS(Tabla4[TOTAL COBERTURA],Tabla4[ZONA DEFINITIVO],Tabla4[[#This Row],[ZONA DEFINITIVO]])," ")</f>
        <v xml:space="preserve"> </v>
      </c>
      <c r="AA682" s="12"/>
      <c r="AB682" s="38">
        <v>47964246</v>
      </c>
      <c r="AC682" s="37">
        <v>0.02</v>
      </c>
      <c r="AD682" s="38">
        <f t="shared" si="11"/>
        <v>959284.92</v>
      </c>
      <c r="AE682" s="12"/>
      <c r="AF682" s="12">
        <f>COUNTIF($A$20:A682,A682)</f>
        <v>3</v>
      </c>
      <c r="AG682" s="38">
        <v>47964246</v>
      </c>
      <c r="AH682" s="38">
        <f>Tabla4[[#This Row],[VALOR CONTRAPARTIDA]]+Tabla4[[#This Row],[TOTAL APORTES ICBF]]</f>
        <v>48923530.920000002</v>
      </c>
      <c r="AI682" s="35"/>
      <c r="AJ682" s="38"/>
      <c r="AK682" s="38"/>
      <c r="AL682" s="23"/>
      <c r="AM682" s="35">
        <f>VLOOKUP(Tabla4[[#This Row],[SERVICIO 2025]],$J$2:$V$14,5,0)*Tabla4[[#This Row],[TOTAL COBERTURA]]</f>
        <v>1086272</v>
      </c>
      <c r="AN682" s="35">
        <f>VLOOKUP(Tabla4[[#This Row],[SERVICIO 2025]],$J$2:$V$14,6,0)*Tabla4[[#This Row],[TOTAL COBERTURA]]</f>
        <v>902638</v>
      </c>
      <c r="AO682" s="35">
        <f>VLOOKUP(Tabla4[[#This Row],[SERVICIO 2025]],$J$2:$V$14,8,0)*Tabla4[[#This Row],[TOTAL COBERTURA]]</f>
        <v>640200</v>
      </c>
      <c r="AP682" s="35">
        <f>VLOOKUP(Tabla4[[#This Row],[SERVICIO 2025]],$J$2:$V$14,3,0)*Tabla4[[#This Row],[TOTAL COBERTURA]]*8</f>
        <v>45335136</v>
      </c>
      <c r="AQ682" s="35"/>
      <c r="AR682" s="35">
        <f>Tabla4[[#This Row],[VALOR FASE PREPARATORIA DE ALISTAMIENTO]]+Tabla4[[#This Row],[VALOR FASE PREPARATORIA DE CIERRE]]+Tabla4[[#This Row],[DOTACIÓN ÚNICA]]+Tabla4[[#This Row],[VALOR ATENCIÓN]]+Tabla4[[#This Row],[VALOR RACION PREPARADA]]</f>
        <v>47964246</v>
      </c>
      <c r="AS682" s="35" t="str">
        <f>+IF(Tabla4[[#This Row],[AGRUPACIONES]]=1,SUMIFS(Tabla4[VALOR TOTAL],Tabla4[ZONA DEFINITIVO],Tabla4[[#This Row],[ZONA DEFINITIVO]])," ")</f>
        <v xml:space="preserve"> </v>
      </c>
      <c r="AT682" s="27">
        <f>(VLOOKUP(Tabla4[[#This Row],[SERVICIO 2025]],$J$2:$V$14,3,0)*Tabla4[[#This Row],[TOTAL COBERTURA]])+Tabla4[[#This Row],[VALOR FASE PREPARATORIA DE ALISTAMIENTO]]+Tabla4[[#This Row],[DOTACIÓN ÚNICA]]</f>
        <v>7393364</v>
      </c>
      <c r="AU682" s="35">
        <f>(VLOOKUP(Tabla4[[#This Row],[SERVICIO 2025]],$J$2:$V$14,3,0)*Tabla4[[#This Row],[TOTAL COBERTURA]])</f>
        <v>5666892</v>
      </c>
      <c r="AV682" s="35">
        <f>(VLOOKUP(Tabla4[[#This Row],[SERVICIO 2025]],$J$2:$V$14,3,0)*Tabla4[[#This Row],[TOTAL COBERTURA]])</f>
        <v>5666892</v>
      </c>
      <c r="AW682" s="35">
        <f>(VLOOKUP(Tabla4[[#This Row],[SERVICIO 2025]],$J$2:$V$14,3,0)*Tabla4[[#This Row],[TOTAL COBERTURA]])</f>
        <v>5666892</v>
      </c>
      <c r="AX682" s="35">
        <f>(VLOOKUP(Tabla4[[#This Row],[SERVICIO 2025]],$J$2:$V$14,3,0)*Tabla4[[#This Row],[TOTAL COBERTURA]])</f>
        <v>5666892</v>
      </c>
      <c r="AY682" s="35">
        <f>(VLOOKUP(Tabla4[[#This Row],[SERVICIO 2025]],$J$2:$V$14,3,0)*Tabla4[[#This Row],[TOTAL COBERTURA]])</f>
        <v>5666892</v>
      </c>
      <c r="AZ682" s="35">
        <f>(VLOOKUP(Tabla4[[#This Row],[SERVICIO 2025]],$J$2:$V$14,3,0)*Tabla4[[#This Row],[TOTAL COBERTURA]])</f>
        <v>5666892</v>
      </c>
      <c r="BA682" s="35">
        <f>(VLOOKUP(Tabla4[[#This Row],[SERVICIO 2025]],$J$2:$V$14,3,0)*Tabla4[[#This Row],[TOTAL COBERTURA]])+Tabla4[[#This Row],[VALOR FASE PREPARATORIA DE CIERRE]]</f>
        <v>6569530</v>
      </c>
      <c r="BB682" s="35">
        <f>SUM(Tabla4[[#This Row],[DESEMBOLSO 1]:[DESEMBOLSO 8]])</f>
        <v>47964246</v>
      </c>
      <c r="BC682" s="35">
        <f>VLOOKUP(Tabla4[[#This Row],[SERVICIO 2025]],$J$2:$V$14,10,0)*Tabla4[[#This Row],[TOTAL COBERTURA]]*$W$3</f>
        <v>31747408</v>
      </c>
      <c r="BD682" s="47" t="s">
        <v>211</v>
      </c>
      <c r="BE682" s="12" t="b">
        <f>EXACT(Tabla4[[#This Row],[VALOR ATENCIÓN (8 MESES)]],Tabla4[[#This Row],[VALOR TOTAL]])</f>
        <v>1</v>
      </c>
      <c r="BF682" s="23">
        <f>Tabla4[[#This Row],[VALOR ATENCIÓN (8 MESES)]]-Tabla4[[#This Row],[VALOR TOTAL]]</f>
        <v>0</v>
      </c>
      <c r="BG682" s="12" t="b">
        <f>EXACT(Tabla4[[#This Row],[TOTAL DESEMBOLSOS]],Tabla4[[#This Row],[VALOR ATENCIÓN (8 MESES)]])</f>
        <v>1</v>
      </c>
      <c r="BH682" s="29">
        <f>Tabla4[[#This Row],[TOTAL DESEMBOLSOS]]-Tabla4[[#This Row],[VALOR ATENCIÓN (8 MESES)]]</f>
        <v>0</v>
      </c>
      <c r="BI682" t="s">
        <v>98</v>
      </c>
      <c r="BJ682">
        <v>1952</v>
      </c>
    </row>
    <row r="683" spans="1:62">
      <c r="A683" s="13">
        <v>1952</v>
      </c>
      <c r="B683" s="13" t="s">
        <v>1533</v>
      </c>
      <c r="C683" s="12" t="s">
        <v>87</v>
      </c>
      <c r="D683" s="12" t="s">
        <v>1534</v>
      </c>
      <c r="E683" s="12" t="s">
        <v>1535</v>
      </c>
      <c r="F683" s="12" t="s">
        <v>18</v>
      </c>
      <c r="G683" s="12" t="s">
        <v>90</v>
      </c>
      <c r="H683" s="12" t="s">
        <v>1544</v>
      </c>
      <c r="I683" s="12">
        <v>53061135746</v>
      </c>
      <c r="J683" s="12" t="s">
        <v>1545</v>
      </c>
      <c r="K683" s="12">
        <v>1</v>
      </c>
      <c r="L683" s="12">
        <v>20</v>
      </c>
      <c r="M683" s="12"/>
      <c r="N683" s="13">
        <v>1952</v>
      </c>
      <c r="O683" s="12" t="s">
        <v>93</v>
      </c>
      <c r="P683" s="12"/>
      <c r="Q683" s="12"/>
      <c r="R683" s="12" t="s">
        <v>94</v>
      </c>
      <c r="S683" s="12">
        <v>10</v>
      </c>
      <c r="T683" s="12" t="s">
        <v>1538</v>
      </c>
      <c r="U683" s="12" t="s">
        <v>1539</v>
      </c>
      <c r="V683" s="12">
        <f>VLOOKUP(Tabla4[[#This Row],[ZONA DEFINITIVO]],Hoja1!$A$1:$D$121,3,0)</f>
        <v>229116</v>
      </c>
      <c r="W683" s="12">
        <f>VLOOKUP(Tabla4[[#This Row],[ZONA DEFINITIVO]],Hoja1!$A$1:$D$121,2,0)</f>
        <v>15222</v>
      </c>
      <c r="X683" s="12">
        <f>VLOOKUP(Tabla4[[#This Row],[ZONA DEFINITIVO]],Hoja1!$A$1:$D$121,4,0)</f>
        <v>87525</v>
      </c>
      <c r="Y683" s="12" t="str">
        <f>+IF(Tabla4[[#This Row],[AGRUPACIONES]]=1,SUMIFS(Tabla4[UDS],Tabla4[ZONA DEFINITIVO],Tabla4[[#This Row],[ZONA DEFINITIVO]])," ")</f>
        <v xml:space="preserve"> </v>
      </c>
      <c r="Z683" s="12" t="str">
        <f>+IF(Tabla4[[#This Row],[AGRUPACIONES]]=1,SUMIFS(Tabla4[TOTAL COBERTURA],Tabla4[ZONA DEFINITIVO],Tabla4[[#This Row],[ZONA DEFINITIVO]])," ")</f>
        <v xml:space="preserve"> </v>
      </c>
      <c r="AA683" s="12"/>
      <c r="AB683" s="38">
        <v>43603860</v>
      </c>
      <c r="AC683" s="37">
        <v>0.02</v>
      </c>
      <c r="AD683" s="38">
        <f t="shared" si="11"/>
        <v>872077.20000000007</v>
      </c>
      <c r="AE683" s="12"/>
      <c r="AF683" s="12">
        <f>COUNTIF($A$20:A683,A683)</f>
        <v>4</v>
      </c>
      <c r="AG683" s="38">
        <v>43603860</v>
      </c>
      <c r="AH683" s="38">
        <f>Tabla4[[#This Row],[VALOR CONTRAPARTIDA]]+Tabla4[[#This Row],[TOTAL APORTES ICBF]]</f>
        <v>44475937.200000003</v>
      </c>
      <c r="AI683" s="35"/>
      <c r="AJ683" s="38"/>
      <c r="AK683" s="38"/>
      <c r="AL683" s="23"/>
      <c r="AM683" s="35">
        <f>VLOOKUP(Tabla4[[#This Row],[SERVICIO 2025]],$J$2:$V$14,5,0)*Tabla4[[#This Row],[TOTAL COBERTURA]]</f>
        <v>987520</v>
      </c>
      <c r="AN683" s="35">
        <f>VLOOKUP(Tabla4[[#This Row],[SERVICIO 2025]],$J$2:$V$14,6,0)*Tabla4[[#This Row],[TOTAL COBERTURA]]</f>
        <v>820580</v>
      </c>
      <c r="AO683" s="35">
        <f>VLOOKUP(Tabla4[[#This Row],[SERVICIO 2025]],$J$2:$V$14,8,0)*Tabla4[[#This Row],[TOTAL COBERTURA]]</f>
        <v>582000</v>
      </c>
      <c r="AP683" s="35">
        <f>VLOOKUP(Tabla4[[#This Row],[SERVICIO 2025]],$J$2:$V$14,3,0)*Tabla4[[#This Row],[TOTAL COBERTURA]]*8</f>
        <v>41213760</v>
      </c>
      <c r="AQ683" s="35"/>
      <c r="AR683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683" s="35" t="str">
        <f>+IF(Tabla4[[#This Row],[AGRUPACIONES]]=1,SUMIFS(Tabla4[VALOR TOTAL],Tabla4[ZONA DEFINITIVO],Tabla4[[#This Row],[ZONA DEFINITIVO]])," ")</f>
        <v xml:space="preserve"> </v>
      </c>
      <c r="AT683" s="27">
        <f>(VLOOKUP(Tabla4[[#This Row],[SERVICIO 2025]],$J$2:$V$14,3,0)*Tabla4[[#This Row],[TOTAL COBERTURA]])+Tabla4[[#This Row],[VALOR FASE PREPARATORIA DE ALISTAMIENTO]]+Tabla4[[#This Row],[DOTACIÓN ÚNICA]]</f>
        <v>6721240</v>
      </c>
      <c r="AU683" s="35">
        <f>(VLOOKUP(Tabla4[[#This Row],[SERVICIO 2025]],$J$2:$V$14,3,0)*Tabla4[[#This Row],[TOTAL COBERTURA]])</f>
        <v>5151720</v>
      </c>
      <c r="AV683" s="35">
        <f>(VLOOKUP(Tabla4[[#This Row],[SERVICIO 2025]],$J$2:$V$14,3,0)*Tabla4[[#This Row],[TOTAL COBERTURA]])</f>
        <v>5151720</v>
      </c>
      <c r="AW683" s="35">
        <f>(VLOOKUP(Tabla4[[#This Row],[SERVICIO 2025]],$J$2:$V$14,3,0)*Tabla4[[#This Row],[TOTAL COBERTURA]])</f>
        <v>5151720</v>
      </c>
      <c r="AX683" s="35">
        <f>(VLOOKUP(Tabla4[[#This Row],[SERVICIO 2025]],$J$2:$V$14,3,0)*Tabla4[[#This Row],[TOTAL COBERTURA]])</f>
        <v>5151720</v>
      </c>
      <c r="AY683" s="35">
        <f>(VLOOKUP(Tabla4[[#This Row],[SERVICIO 2025]],$J$2:$V$14,3,0)*Tabla4[[#This Row],[TOTAL COBERTURA]])</f>
        <v>5151720</v>
      </c>
      <c r="AZ683" s="35">
        <f>(VLOOKUP(Tabla4[[#This Row],[SERVICIO 2025]],$J$2:$V$14,3,0)*Tabla4[[#This Row],[TOTAL COBERTURA]])</f>
        <v>5151720</v>
      </c>
      <c r="BA683" s="35">
        <f>(VLOOKUP(Tabla4[[#This Row],[SERVICIO 2025]],$J$2:$V$14,3,0)*Tabla4[[#This Row],[TOTAL COBERTURA]])+Tabla4[[#This Row],[VALOR FASE PREPARATORIA DE CIERRE]]</f>
        <v>5972300</v>
      </c>
      <c r="BB683" s="35">
        <f>SUM(Tabla4[[#This Row],[DESEMBOLSO 1]:[DESEMBOLSO 8]])</f>
        <v>43603860</v>
      </c>
      <c r="BC683" s="35">
        <f>VLOOKUP(Tabla4[[#This Row],[SERVICIO 2025]],$J$2:$V$14,10,0)*Tabla4[[#This Row],[TOTAL COBERTURA]]*$W$3</f>
        <v>28861280</v>
      </c>
      <c r="BD683" s="47" t="s">
        <v>211</v>
      </c>
      <c r="BE683" s="12" t="b">
        <f>EXACT(Tabla4[[#This Row],[VALOR ATENCIÓN (8 MESES)]],Tabla4[[#This Row],[VALOR TOTAL]])</f>
        <v>1</v>
      </c>
      <c r="BF683" s="23">
        <f>Tabla4[[#This Row],[VALOR ATENCIÓN (8 MESES)]]-Tabla4[[#This Row],[VALOR TOTAL]]</f>
        <v>0</v>
      </c>
      <c r="BG683" s="12" t="b">
        <f>EXACT(Tabla4[[#This Row],[TOTAL DESEMBOLSOS]],Tabla4[[#This Row],[VALOR ATENCIÓN (8 MESES)]])</f>
        <v>1</v>
      </c>
      <c r="BH683" s="29">
        <f>Tabla4[[#This Row],[TOTAL DESEMBOLSOS]]-Tabla4[[#This Row],[VALOR ATENCIÓN (8 MESES)]]</f>
        <v>0</v>
      </c>
      <c r="BI683" t="s">
        <v>98</v>
      </c>
      <c r="BJ683">
        <v>1952</v>
      </c>
    </row>
    <row r="684" spans="1:62">
      <c r="A684" s="13">
        <v>1952</v>
      </c>
      <c r="B684" s="13" t="s">
        <v>1533</v>
      </c>
      <c r="C684" s="12" t="s">
        <v>87</v>
      </c>
      <c r="D684" s="12" t="s">
        <v>1534</v>
      </c>
      <c r="E684" s="12" t="s">
        <v>1535</v>
      </c>
      <c r="F684" s="12" t="s">
        <v>18</v>
      </c>
      <c r="G684" s="12" t="s">
        <v>90</v>
      </c>
      <c r="H684" s="12" t="s">
        <v>1546</v>
      </c>
      <c r="I684" s="12">
        <v>53061135911</v>
      </c>
      <c r="J684" s="12" t="s">
        <v>1547</v>
      </c>
      <c r="K684" s="12">
        <v>1</v>
      </c>
      <c r="L684" s="12">
        <v>12</v>
      </c>
      <c r="M684" s="12"/>
      <c r="N684" s="13">
        <v>1952</v>
      </c>
      <c r="O684" s="12" t="s">
        <v>93</v>
      </c>
      <c r="P684" s="12"/>
      <c r="Q684" s="12"/>
      <c r="R684" s="12" t="s">
        <v>94</v>
      </c>
      <c r="S684" s="12">
        <v>10</v>
      </c>
      <c r="T684" s="12" t="s">
        <v>1538</v>
      </c>
      <c r="U684" s="12" t="s">
        <v>1539</v>
      </c>
      <c r="V684" s="12">
        <f>VLOOKUP(Tabla4[[#This Row],[ZONA DEFINITIVO]],Hoja1!$A$1:$D$121,3,0)</f>
        <v>229116</v>
      </c>
      <c r="W684" s="12">
        <f>VLOOKUP(Tabla4[[#This Row],[ZONA DEFINITIVO]],Hoja1!$A$1:$D$121,2,0)</f>
        <v>15222</v>
      </c>
      <c r="X684" s="12">
        <f>VLOOKUP(Tabla4[[#This Row],[ZONA DEFINITIVO]],Hoja1!$A$1:$D$121,4,0)</f>
        <v>87525</v>
      </c>
      <c r="Y684" s="12" t="str">
        <f>+IF(Tabla4[[#This Row],[AGRUPACIONES]]=1,SUMIFS(Tabla4[UDS],Tabla4[ZONA DEFINITIVO],Tabla4[[#This Row],[ZONA DEFINITIVO]])," ")</f>
        <v xml:space="preserve"> </v>
      </c>
      <c r="Z684" s="12" t="str">
        <f>+IF(Tabla4[[#This Row],[AGRUPACIONES]]=1,SUMIFS(Tabla4[TOTAL COBERTURA],Tabla4[ZONA DEFINITIVO],Tabla4[[#This Row],[ZONA DEFINITIVO]])," ")</f>
        <v xml:space="preserve"> </v>
      </c>
      <c r="AA684" s="12"/>
      <c r="AB684" s="38">
        <v>26162316</v>
      </c>
      <c r="AC684" s="37">
        <v>0.02</v>
      </c>
      <c r="AD684" s="38">
        <f t="shared" si="11"/>
        <v>523246.32</v>
      </c>
      <c r="AE684" s="12"/>
      <c r="AF684" s="12">
        <f>COUNTIF($A$20:A684,A684)</f>
        <v>5</v>
      </c>
      <c r="AG684" s="38">
        <v>26162316</v>
      </c>
      <c r="AH684" s="38">
        <f>Tabla4[[#This Row],[VALOR CONTRAPARTIDA]]+Tabla4[[#This Row],[TOTAL APORTES ICBF]]</f>
        <v>26685562.32</v>
      </c>
      <c r="AI684" s="35"/>
      <c r="AJ684" s="38"/>
      <c r="AK684" s="38"/>
      <c r="AL684" s="23"/>
      <c r="AM684" s="35">
        <f>VLOOKUP(Tabla4[[#This Row],[SERVICIO 2025]],$J$2:$V$14,5,0)*Tabla4[[#This Row],[TOTAL COBERTURA]]</f>
        <v>592512</v>
      </c>
      <c r="AN684" s="35">
        <f>VLOOKUP(Tabla4[[#This Row],[SERVICIO 2025]],$J$2:$V$14,6,0)*Tabla4[[#This Row],[TOTAL COBERTURA]]</f>
        <v>492348</v>
      </c>
      <c r="AO684" s="35">
        <f>VLOOKUP(Tabla4[[#This Row],[SERVICIO 2025]],$J$2:$V$14,8,0)*Tabla4[[#This Row],[TOTAL COBERTURA]]</f>
        <v>349200</v>
      </c>
      <c r="AP684" s="35">
        <f>VLOOKUP(Tabla4[[#This Row],[SERVICIO 2025]],$J$2:$V$14,3,0)*Tabla4[[#This Row],[TOTAL COBERTURA]]*8</f>
        <v>24728256</v>
      </c>
      <c r="AQ684" s="35"/>
      <c r="AR684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684" s="35" t="str">
        <f>+IF(Tabla4[[#This Row],[AGRUPACIONES]]=1,SUMIFS(Tabla4[VALOR TOTAL],Tabla4[ZONA DEFINITIVO],Tabla4[[#This Row],[ZONA DEFINITIVO]])," ")</f>
        <v xml:space="preserve"> </v>
      </c>
      <c r="AT684" s="27">
        <f>(VLOOKUP(Tabla4[[#This Row],[SERVICIO 2025]],$J$2:$V$14,3,0)*Tabla4[[#This Row],[TOTAL COBERTURA]])+Tabla4[[#This Row],[VALOR FASE PREPARATORIA DE ALISTAMIENTO]]+Tabla4[[#This Row],[DOTACIÓN ÚNICA]]</f>
        <v>4032744</v>
      </c>
      <c r="AU684" s="35">
        <f>(VLOOKUP(Tabla4[[#This Row],[SERVICIO 2025]],$J$2:$V$14,3,0)*Tabla4[[#This Row],[TOTAL COBERTURA]])</f>
        <v>3091032</v>
      </c>
      <c r="AV684" s="35">
        <f>(VLOOKUP(Tabla4[[#This Row],[SERVICIO 2025]],$J$2:$V$14,3,0)*Tabla4[[#This Row],[TOTAL COBERTURA]])</f>
        <v>3091032</v>
      </c>
      <c r="AW684" s="35">
        <f>(VLOOKUP(Tabla4[[#This Row],[SERVICIO 2025]],$J$2:$V$14,3,0)*Tabla4[[#This Row],[TOTAL COBERTURA]])</f>
        <v>3091032</v>
      </c>
      <c r="AX684" s="35">
        <f>(VLOOKUP(Tabla4[[#This Row],[SERVICIO 2025]],$J$2:$V$14,3,0)*Tabla4[[#This Row],[TOTAL COBERTURA]])</f>
        <v>3091032</v>
      </c>
      <c r="AY684" s="35">
        <f>(VLOOKUP(Tabla4[[#This Row],[SERVICIO 2025]],$J$2:$V$14,3,0)*Tabla4[[#This Row],[TOTAL COBERTURA]])</f>
        <v>3091032</v>
      </c>
      <c r="AZ684" s="35">
        <f>(VLOOKUP(Tabla4[[#This Row],[SERVICIO 2025]],$J$2:$V$14,3,0)*Tabla4[[#This Row],[TOTAL COBERTURA]])</f>
        <v>3091032</v>
      </c>
      <c r="BA684" s="35">
        <f>(VLOOKUP(Tabla4[[#This Row],[SERVICIO 2025]],$J$2:$V$14,3,0)*Tabla4[[#This Row],[TOTAL COBERTURA]])+Tabla4[[#This Row],[VALOR FASE PREPARATORIA DE CIERRE]]</f>
        <v>3583380</v>
      </c>
      <c r="BB684" s="35">
        <f>SUM(Tabla4[[#This Row],[DESEMBOLSO 1]:[DESEMBOLSO 8]])</f>
        <v>26162316</v>
      </c>
      <c r="BC684" s="35">
        <f>VLOOKUP(Tabla4[[#This Row],[SERVICIO 2025]],$J$2:$V$14,10,0)*Tabla4[[#This Row],[TOTAL COBERTURA]]*$W$3</f>
        <v>17316768</v>
      </c>
      <c r="BD684" s="47" t="s">
        <v>211</v>
      </c>
      <c r="BE684" s="12" t="b">
        <f>EXACT(Tabla4[[#This Row],[VALOR ATENCIÓN (8 MESES)]],Tabla4[[#This Row],[VALOR TOTAL]])</f>
        <v>1</v>
      </c>
      <c r="BF684" s="23">
        <f>Tabla4[[#This Row],[VALOR ATENCIÓN (8 MESES)]]-Tabla4[[#This Row],[VALOR TOTAL]]</f>
        <v>0</v>
      </c>
      <c r="BG684" s="12" t="b">
        <f>EXACT(Tabla4[[#This Row],[TOTAL DESEMBOLSOS]],Tabla4[[#This Row],[VALOR ATENCIÓN (8 MESES)]])</f>
        <v>1</v>
      </c>
      <c r="BH684" s="29">
        <f>Tabla4[[#This Row],[TOTAL DESEMBOLSOS]]-Tabla4[[#This Row],[VALOR ATENCIÓN (8 MESES)]]</f>
        <v>0</v>
      </c>
      <c r="BI684" t="s">
        <v>98</v>
      </c>
      <c r="BJ684">
        <v>1952</v>
      </c>
    </row>
    <row r="685" spans="1:62">
      <c r="A685" s="13">
        <v>1952</v>
      </c>
      <c r="B685" s="13" t="s">
        <v>1533</v>
      </c>
      <c r="C685" s="12" t="s">
        <v>87</v>
      </c>
      <c r="D685" s="12" t="s">
        <v>1534</v>
      </c>
      <c r="E685" s="12" t="s">
        <v>1535</v>
      </c>
      <c r="F685" s="12" t="s">
        <v>18</v>
      </c>
      <c r="G685" s="12" t="s">
        <v>90</v>
      </c>
      <c r="H685" s="12" t="s">
        <v>1548</v>
      </c>
      <c r="I685" s="12">
        <v>53061135923</v>
      </c>
      <c r="J685" s="12" t="s">
        <v>1549</v>
      </c>
      <c r="K685" s="12">
        <v>1</v>
      </c>
      <c r="L685" s="12">
        <v>13</v>
      </c>
      <c r="M685" s="12"/>
      <c r="N685" s="13">
        <v>1952</v>
      </c>
      <c r="O685" s="12" t="s">
        <v>93</v>
      </c>
      <c r="P685" s="12"/>
      <c r="Q685" s="12"/>
      <c r="R685" s="12" t="s">
        <v>94</v>
      </c>
      <c r="S685" s="12">
        <v>10</v>
      </c>
      <c r="T685" s="12" t="s">
        <v>1538</v>
      </c>
      <c r="U685" s="12" t="s">
        <v>1539</v>
      </c>
      <c r="V685" s="12">
        <f>VLOOKUP(Tabla4[[#This Row],[ZONA DEFINITIVO]],Hoja1!$A$1:$D$121,3,0)</f>
        <v>229116</v>
      </c>
      <c r="W685" s="12">
        <f>VLOOKUP(Tabla4[[#This Row],[ZONA DEFINITIVO]],Hoja1!$A$1:$D$121,2,0)</f>
        <v>15222</v>
      </c>
      <c r="X685" s="12">
        <f>VLOOKUP(Tabla4[[#This Row],[ZONA DEFINITIVO]],Hoja1!$A$1:$D$121,4,0)</f>
        <v>87525</v>
      </c>
      <c r="Y685" s="12" t="str">
        <f>+IF(Tabla4[[#This Row],[AGRUPACIONES]]=1,SUMIFS(Tabla4[UDS],Tabla4[ZONA DEFINITIVO],Tabla4[[#This Row],[ZONA DEFINITIVO]])," ")</f>
        <v xml:space="preserve"> </v>
      </c>
      <c r="Z685" s="12" t="str">
        <f>+IF(Tabla4[[#This Row],[AGRUPACIONES]]=1,SUMIFS(Tabla4[TOTAL COBERTURA],Tabla4[ZONA DEFINITIVO],Tabla4[[#This Row],[ZONA DEFINITIVO]])," ")</f>
        <v xml:space="preserve"> </v>
      </c>
      <c r="AA685" s="12"/>
      <c r="AB685" s="38">
        <v>28342509</v>
      </c>
      <c r="AC685" s="37">
        <v>0.02</v>
      </c>
      <c r="AD685" s="38">
        <f t="shared" si="11"/>
        <v>566850.18000000005</v>
      </c>
      <c r="AE685" s="12"/>
      <c r="AF685" s="12">
        <f>COUNTIF($A$20:A685,A685)</f>
        <v>6</v>
      </c>
      <c r="AG685" s="38">
        <v>28342509</v>
      </c>
      <c r="AH685" s="38">
        <f>Tabla4[[#This Row],[VALOR CONTRAPARTIDA]]+Tabla4[[#This Row],[TOTAL APORTES ICBF]]</f>
        <v>28909359.18</v>
      </c>
      <c r="AI685" s="35"/>
      <c r="AJ685" s="38"/>
      <c r="AK685" s="38"/>
      <c r="AL685" s="23"/>
      <c r="AM685" s="35">
        <f>VLOOKUP(Tabla4[[#This Row],[SERVICIO 2025]],$J$2:$V$14,5,0)*Tabla4[[#This Row],[TOTAL COBERTURA]]</f>
        <v>641888</v>
      </c>
      <c r="AN685" s="35">
        <f>VLOOKUP(Tabla4[[#This Row],[SERVICIO 2025]],$J$2:$V$14,6,0)*Tabla4[[#This Row],[TOTAL COBERTURA]]</f>
        <v>533377</v>
      </c>
      <c r="AO685" s="35">
        <f>VLOOKUP(Tabla4[[#This Row],[SERVICIO 2025]],$J$2:$V$14,8,0)*Tabla4[[#This Row],[TOTAL COBERTURA]]</f>
        <v>378300</v>
      </c>
      <c r="AP685" s="35">
        <f>VLOOKUP(Tabla4[[#This Row],[SERVICIO 2025]],$J$2:$V$14,3,0)*Tabla4[[#This Row],[TOTAL COBERTURA]]*8</f>
        <v>26788944</v>
      </c>
      <c r="AQ685" s="35"/>
      <c r="AR685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685" s="35" t="str">
        <f>+IF(Tabla4[[#This Row],[AGRUPACIONES]]=1,SUMIFS(Tabla4[VALOR TOTAL],Tabla4[ZONA DEFINITIVO],Tabla4[[#This Row],[ZONA DEFINITIVO]])," ")</f>
        <v xml:space="preserve"> </v>
      </c>
      <c r="AT685" s="27">
        <f>(VLOOKUP(Tabla4[[#This Row],[SERVICIO 2025]],$J$2:$V$14,3,0)*Tabla4[[#This Row],[TOTAL COBERTURA]])+Tabla4[[#This Row],[VALOR FASE PREPARATORIA DE ALISTAMIENTO]]+Tabla4[[#This Row],[DOTACIÓN ÚNICA]]</f>
        <v>4368806</v>
      </c>
      <c r="AU685" s="35">
        <f>(VLOOKUP(Tabla4[[#This Row],[SERVICIO 2025]],$J$2:$V$14,3,0)*Tabla4[[#This Row],[TOTAL COBERTURA]])</f>
        <v>3348618</v>
      </c>
      <c r="AV685" s="35">
        <f>(VLOOKUP(Tabla4[[#This Row],[SERVICIO 2025]],$J$2:$V$14,3,0)*Tabla4[[#This Row],[TOTAL COBERTURA]])</f>
        <v>3348618</v>
      </c>
      <c r="AW685" s="35">
        <f>(VLOOKUP(Tabla4[[#This Row],[SERVICIO 2025]],$J$2:$V$14,3,0)*Tabla4[[#This Row],[TOTAL COBERTURA]])</f>
        <v>3348618</v>
      </c>
      <c r="AX685" s="35">
        <f>(VLOOKUP(Tabla4[[#This Row],[SERVICIO 2025]],$J$2:$V$14,3,0)*Tabla4[[#This Row],[TOTAL COBERTURA]])</f>
        <v>3348618</v>
      </c>
      <c r="AY685" s="35">
        <f>(VLOOKUP(Tabla4[[#This Row],[SERVICIO 2025]],$J$2:$V$14,3,0)*Tabla4[[#This Row],[TOTAL COBERTURA]])</f>
        <v>3348618</v>
      </c>
      <c r="AZ685" s="35">
        <f>(VLOOKUP(Tabla4[[#This Row],[SERVICIO 2025]],$J$2:$V$14,3,0)*Tabla4[[#This Row],[TOTAL COBERTURA]])</f>
        <v>3348618</v>
      </c>
      <c r="BA685" s="35">
        <f>(VLOOKUP(Tabla4[[#This Row],[SERVICIO 2025]],$J$2:$V$14,3,0)*Tabla4[[#This Row],[TOTAL COBERTURA]])+Tabla4[[#This Row],[VALOR FASE PREPARATORIA DE CIERRE]]</f>
        <v>3881995</v>
      </c>
      <c r="BB685" s="35">
        <f>SUM(Tabla4[[#This Row],[DESEMBOLSO 1]:[DESEMBOLSO 8]])</f>
        <v>28342509</v>
      </c>
      <c r="BC685" s="35">
        <f>VLOOKUP(Tabla4[[#This Row],[SERVICIO 2025]],$J$2:$V$14,10,0)*Tabla4[[#This Row],[TOTAL COBERTURA]]*$W$3</f>
        <v>18759832</v>
      </c>
      <c r="BD685" s="47" t="s">
        <v>211</v>
      </c>
      <c r="BE685" s="12" t="b">
        <f>EXACT(Tabla4[[#This Row],[VALOR ATENCIÓN (8 MESES)]],Tabla4[[#This Row],[VALOR TOTAL]])</f>
        <v>1</v>
      </c>
      <c r="BF685" s="23">
        <f>Tabla4[[#This Row],[VALOR ATENCIÓN (8 MESES)]]-Tabla4[[#This Row],[VALOR TOTAL]]</f>
        <v>0</v>
      </c>
      <c r="BG685" s="12" t="b">
        <f>EXACT(Tabla4[[#This Row],[TOTAL DESEMBOLSOS]],Tabla4[[#This Row],[VALOR ATENCIÓN (8 MESES)]])</f>
        <v>1</v>
      </c>
      <c r="BH685" s="29">
        <f>Tabla4[[#This Row],[TOTAL DESEMBOLSOS]]-Tabla4[[#This Row],[VALOR ATENCIÓN (8 MESES)]]</f>
        <v>0</v>
      </c>
      <c r="BI685" t="s">
        <v>98</v>
      </c>
      <c r="BJ685">
        <v>1952</v>
      </c>
    </row>
    <row r="686" spans="1:62">
      <c r="A686" s="13">
        <v>1952</v>
      </c>
      <c r="B686" s="13" t="s">
        <v>1533</v>
      </c>
      <c r="C686" s="12" t="s">
        <v>87</v>
      </c>
      <c r="D686" s="12" t="s">
        <v>1534</v>
      </c>
      <c r="E686" s="12" t="s">
        <v>1535</v>
      </c>
      <c r="F686" s="12" t="s">
        <v>18</v>
      </c>
      <c r="G686" s="12" t="s">
        <v>90</v>
      </c>
      <c r="H686" s="12" t="s">
        <v>1550</v>
      </c>
      <c r="I686" s="12">
        <v>53061135924</v>
      </c>
      <c r="J686" s="12" t="s">
        <v>1551</v>
      </c>
      <c r="K686" s="12">
        <v>1</v>
      </c>
      <c r="L686" s="12">
        <v>11</v>
      </c>
      <c r="M686" s="12"/>
      <c r="N686" s="13">
        <v>1952</v>
      </c>
      <c r="O686" s="12" t="s">
        <v>93</v>
      </c>
      <c r="P686" s="12"/>
      <c r="Q686" s="12"/>
      <c r="R686" s="12" t="s">
        <v>94</v>
      </c>
      <c r="S686" s="12">
        <v>10</v>
      </c>
      <c r="T686" s="12" t="s">
        <v>1538</v>
      </c>
      <c r="U686" s="12" t="s">
        <v>1539</v>
      </c>
      <c r="V686" s="12">
        <f>VLOOKUP(Tabla4[[#This Row],[ZONA DEFINITIVO]],Hoja1!$A$1:$D$121,3,0)</f>
        <v>229116</v>
      </c>
      <c r="W686" s="12">
        <f>VLOOKUP(Tabla4[[#This Row],[ZONA DEFINITIVO]],Hoja1!$A$1:$D$121,2,0)</f>
        <v>15222</v>
      </c>
      <c r="X686" s="12">
        <f>VLOOKUP(Tabla4[[#This Row],[ZONA DEFINITIVO]],Hoja1!$A$1:$D$121,4,0)</f>
        <v>87525</v>
      </c>
      <c r="Y686" s="12" t="str">
        <f>+IF(Tabla4[[#This Row],[AGRUPACIONES]]=1,SUMIFS(Tabla4[UDS],Tabla4[ZONA DEFINITIVO],Tabla4[[#This Row],[ZONA DEFINITIVO]])," ")</f>
        <v xml:space="preserve"> </v>
      </c>
      <c r="Z686" s="12" t="str">
        <f>+IF(Tabla4[[#This Row],[AGRUPACIONES]]=1,SUMIFS(Tabla4[TOTAL COBERTURA],Tabla4[ZONA DEFINITIVO],Tabla4[[#This Row],[ZONA DEFINITIVO]])," ")</f>
        <v xml:space="preserve"> </v>
      </c>
      <c r="AA686" s="12"/>
      <c r="AB686" s="38">
        <v>23982123</v>
      </c>
      <c r="AC686" s="37">
        <v>0.02</v>
      </c>
      <c r="AD686" s="38">
        <f t="shared" si="11"/>
        <v>479642.46</v>
      </c>
      <c r="AE686" s="12"/>
      <c r="AF686" s="12">
        <f>COUNTIF($A$20:A686,A686)</f>
        <v>7</v>
      </c>
      <c r="AG686" s="38">
        <v>23982123</v>
      </c>
      <c r="AH686" s="38">
        <f>Tabla4[[#This Row],[VALOR CONTRAPARTIDA]]+Tabla4[[#This Row],[TOTAL APORTES ICBF]]</f>
        <v>24461765.460000001</v>
      </c>
      <c r="AI686" s="35"/>
      <c r="AJ686" s="38"/>
      <c r="AK686" s="38"/>
      <c r="AL686" s="23"/>
      <c r="AM686" s="35">
        <f>VLOOKUP(Tabla4[[#This Row],[SERVICIO 2025]],$J$2:$V$14,5,0)*Tabla4[[#This Row],[TOTAL COBERTURA]]</f>
        <v>543136</v>
      </c>
      <c r="AN686" s="35">
        <f>VLOOKUP(Tabla4[[#This Row],[SERVICIO 2025]],$J$2:$V$14,6,0)*Tabla4[[#This Row],[TOTAL COBERTURA]]</f>
        <v>451319</v>
      </c>
      <c r="AO686" s="35">
        <f>VLOOKUP(Tabla4[[#This Row],[SERVICIO 2025]],$J$2:$V$14,8,0)*Tabla4[[#This Row],[TOTAL COBERTURA]]</f>
        <v>320100</v>
      </c>
      <c r="AP686" s="35">
        <f>VLOOKUP(Tabla4[[#This Row],[SERVICIO 2025]],$J$2:$V$14,3,0)*Tabla4[[#This Row],[TOTAL COBERTURA]]*8</f>
        <v>22667568</v>
      </c>
      <c r="AQ686" s="35"/>
      <c r="AR686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686" s="35" t="str">
        <f>+IF(Tabla4[[#This Row],[AGRUPACIONES]]=1,SUMIFS(Tabla4[VALOR TOTAL],Tabla4[ZONA DEFINITIVO],Tabla4[[#This Row],[ZONA DEFINITIVO]])," ")</f>
        <v xml:space="preserve"> </v>
      </c>
      <c r="AT686" s="27">
        <f>(VLOOKUP(Tabla4[[#This Row],[SERVICIO 2025]],$J$2:$V$14,3,0)*Tabla4[[#This Row],[TOTAL COBERTURA]])+Tabla4[[#This Row],[VALOR FASE PREPARATORIA DE ALISTAMIENTO]]+Tabla4[[#This Row],[DOTACIÓN ÚNICA]]</f>
        <v>3696682</v>
      </c>
      <c r="AU686" s="35">
        <f>(VLOOKUP(Tabla4[[#This Row],[SERVICIO 2025]],$J$2:$V$14,3,0)*Tabla4[[#This Row],[TOTAL COBERTURA]])</f>
        <v>2833446</v>
      </c>
      <c r="AV686" s="35">
        <f>(VLOOKUP(Tabla4[[#This Row],[SERVICIO 2025]],$J$2:$V$14,3,0)*Tabla4[[#This Row],[TOTAL COBERTURA]])</f>
        <v>2833446</v>
      </c>
      <c r="AW686" s="35">
        <f>(VLOOKUP(Tabla4[[#This Row],[SERVICIO 2025]],$J$2:$V$14,3,0)*Tabla4[[#This Row],[TOTAL COBERTURA]])</f>
        <v>2833446</v>
      </c>
      <c r="AX686" s="35">
        <f>(VLOOKUP(Tabla4[[#This Row],[SERVICIO 2025]],$J$2:$V$14,3,0)*Tabla4[[#This Row],[TOTAL COBERTURA]])</f>
        <v>2833446</v>
      </c>
      <c r="AY686" s="35">
        <f>(VLOOKUP(Tabla4[[#This Row],[SERVICIO 2025]],$J$2:$V$14,3,0)*Tabla4[[#This Row],[TOTAL COBERTURA]])</f>
        <v>2833446</v>
      </c>
      <c r="AZ686" s="35">
        <f>(VLOOKUP(Tabla4[[#This Row],[SERVICIO 2025]],$J$2:$V$14,3,0)*Tabla4[[#This Row],[TOTAL COBERTURA]])</f>
        <v>2833446</v>
      </c>
      <c r="BA686" s="35">
        <f>(VLOOKUP(Tabla4[[#This Row],[SERVICIO 2025]],$J$2:$V$14,3,0)*Tabla4[[#This Row],[TOTAL COBERTURA]])+Tabla4[[#This Row],[VALOR FASE PREPARATORIA DE CIERRE]]</f>
        <v>3284765</v>
      </c>
      <c r="BB686" s="35">
        <f>SUM(Tabla4[[#This Row],[DESEMBOLSO 1]:[DESEMBOLSO 8]])</f>
        <v>23982123</v>
      </c>
      <c r="BC686" s="35">
        <f>VLOOKUP(Tabla4[[#This Row],[SERVICIO 2025]],$J$2:$V$14,10,0)*Tabla4[[#This Row],[TOTAL COBERTURA]]*$W$3</f>
        <v>15873704</v>
      </c>
      <c r="BD686" s="47" t="s">
        <v>211</v>
      </c>
      <c r="BE686" s="12" t="b">
        <f>EXACT(Tabla4[[#This Row],[VALOR ATENCIÓN (8 MESES)]],Tabla4[[#This Row],[VALOR TOTAL]])</f>
        <v>1</v>
      </c>
      <c r="BF686" s="23">
        <f>Tabla4[[#This Row],[VALOR ATENCIÓN (8 MESES)]]-Tabla4[[#This Row],[VALOR TOTAL]]</f>
        <v>0</v>
      </c>
      <c r="BG686" s="12" t="b">
        <f>EXACT(Tabla4[[#This Row],[TOTAL DESEMBOLSOS]],Tabla4[[#This Row],[VALOR ATENCIÓN (8 MESES)]])</f>
        <v>1</v>
      </c>
      <c r="BH686" s="29">
        <f>Tabla4[[#This Row],[TOTAL DESEMBOLSOS]]-Tabla4[[#This Row],[VALOR ATENCIÓN (8 MESES)]]</f>
        <v>0</v>
      </c>
      <c r="BI686" t="s">
        <v>98</v>
      </c>
      <c r="BJ686">
        <v>1952</v>
      </c>
    </row>
    <row r="687" spans="1:62">
      <c r="A687" s="13">
        <v>1952</v>
      </c>
      <c r="B687" s="13" t="s">
        <v>1533</v>
      </c>
      <c r="C687" s="12" t="s">
        <v>87</v>
      </c>
      <c r="D687" s="12" t="s">
        <v>1534</v>
      </c>
      <c r="E687" s="12" t="s">
        <v>1535</v>
      </c>
      <c r="F687" s="12" t="s">
        <v>18</v>
      </c>
      <c r="G687" s="12" t="s">
        <v>90</v>
      </c>
      <c r="H687" s="12" t="s">
        <v>1552</v>
      </c>
      <c r="I687" s="12">
        <v>53061143836</v>
      </c>
      <c r="J687" s="12" t="s">
        <v>1553</v>
      </c>
      <c r="K687" s="12">
        <v>1</v>
      </c>
      <c r="L687" s="12">
        <v>23</v>
      </c>
      <c r="M687" s="12"/>
      <c r="N687" s="13">
        <v>1952</v>
      </c>
      <c r="O687" s="12" t="s">
        <v>93</v>
      </c>
      <c r="P687" s="12"/>
      <c r="Q687" s="12"/>
      <c r="R687" s="12" t="s">
        <v>94</v>
      </c>
      <c r="S687" s="12">
        <v>10</v>
      </c>
      <c r="T687" s="12" t="s">
        <v>1538</v>
      </c>
      <c r="U687" s="12" t="s">
        <v>1539</v>
      </c>
      <c r="V687" s="12">
        <f>VLOOKUP(Tabla4[[#This Row],[ZONA DEFINITIVO]],Hoja1!$A$1:$D$121,3,0)</f>
        <v>229116</v>
      </c>
      <c r="W687" s="12">
        <f>VLOOKUP(Tabla4[[#This Row],[ZONA DEFINITIVO]],Hoja1!$A$1:$D$121,2,0)</f>
        <v>15222</v>
      </c>
      <c r="X687" s="12">
        <f>VLOOKUP(Tabla4[[#This Row],[ZONA DEFINITIVO]],Hoja1!$A$1:$D$121,4,0)</f>
        <v>87525</v>
      </c>
      <c r="Y687" s="12" t="str">
        <f>+IF(Tabla4[[#This Row],[AGRUPACIONES]]=1,SUMIFS(Tabla4[UDS],Tabla4[ZONA DEFINITIVO],Tabla4[[#This Row],[ZONA DEFINITIVO]])," ")</f>
        <v xml:space="preserve"> </v>
      </c>
      <c r="Z687" s="12" t="str">
        <f>+IF(Tabla4[[#This Row],[AGRUPACIONES]]=1,SUMIFS(Tabla4[TOTAL COBERTURA],Tabla4[ZONA DEFINITIVO],Tabla4[[#This Row],[ZONA DEFINITIVO]])," ")</f>
        <v xml:space="preserve"> </v>
      </c>
      <c r="AA687" s="12"/>
      <c r="AB687" s="38">
        <v>50144439</v>
      </c>
      <c r="AC687" s="37">
        <v>0.02</v>
      </c>
      <c r="AD687" s="38">
        <f t="shared" si="11"/>
        <v>1002888.78</v>
      </c>
      <c r="AE687" s="12"/>
      <c r="AF687" s="12">
        <f>COUNTIF($A$20:A687,A687)</f>
        <v>8</v>
      </c>
      <c r="AG687" s="38">
        <v>50144439</v>
      </c>
      <c r="AH687" s="38">
        <f>Tabla4[[#This Row],[VALOR CONTRAPARTIDA]]+Tabla4[[#This Row],[TOTAL APORTES ICBF]]</f>
        <v>51147327.780000001</v>
      </c>
      <c r="AI687" s="35"/>
      <c r="AJ687" s="38"/>
      <c r="AK687" s="38"/>
      <c r="AL687" s="23"/>
      <c r="AM687" s="35">
        <f>VLOOKUP(Tabla4[[#This Row],[SERVICIO 2025]],$J$2:$V$14,5,0)*Tabla4[[#This Row],[TOTAL COBERTURA]]</f>
        <v>1135648</v>
      </c>
      <c r="AN687" s="35">
        <f>VLOOKUP(Tabla4[[#This Row],[SERVICIO 2025]],$J$2:$V$14,6,0)*Tabla4[[#This Row],[TOTAL COBERTURA]]</f>
        <v>943667</v>
      </c>
      <c r="AO687" s="35">
        <f>VLOOKUP(Tabla4[[#This Row],[SERVICIO 2025]],$J$2:$V$14,8,0)*Tabla4[[#This Row],[TOTAL COBERTURA]]</f>
        <v>669300</v>
      </c>
      <c r="AP687" s="35">
        <f>VLOOKUP(Tabla4[[#This Row],[SERVICIO 2025]],$J$2:$V$14,3,0)*Tabla4[[#This Row],[TOTAL COBERTURA]]*8</f>
        <v>47395824</v>
      </c>
      <c r="AQ687" s="35"/>
      <c r="AR687" s="35">
        <f>Tabla4[[#This Row],[VALOR FASE PREPARATORIA DE ALISTAMIENTO]]+Tabla4[[#This Row],[VALOR FASE PREPARATORIA DE CIERRE]]+Tabla4[[#This Row],[DOTACIÓN ÚNICA]]+Tabla4[[#This Row],[VALOR ATENCIÓN]]+Tabla4[[#This Row],[VALOR RACION PREPARADA]]</f>
        <v>50144439</v>
      </c>
      <c r="AS687" s="35" t="str">
        <f>+IF(Tabla4[[#This Row],[AGRUPACIONES]]=1,SUMIFS(Tabla4[VALOR TOTAL],Tabla4[ZONA DEFINITIVO],Tabla4[[#This Row],[ZONA DEFINITIVO]])," ")</f>
        <v xml:space="preserve"> </v>
      </c>
      <c r="AT687" s="27">
        <f>(VLOOKUP(Tabla4[[#This Row],[SERVICIO 2025]],$J$2:$V$14,3,0)*Tabla4[[#This Row],[TOTAL COBERTURA]])+Tabla4[[#This Row],[VALOR FASE PREPARATORIA DE ALISTAMIENTO]]+Tabla4[[#This Row],[DOTACIÓN ÚNICA]]</f>
        <v>7729426</v>
      </c>
      <c r="AU687" s="35">
        <f>(VLOOKUP(Tabla4[[#This Row],[SERVICIO 2025]],$J$2:$V$14,3,0)*Tabla4[[#This Row],[TOTAL COBERTURA]])</f>
        <v>5924478</v>
      </c>
      <c r="AV687" s="35">
        <f>(VLOOKUP(Tabla4[[#This Row],[SERVICIO 2025]],$J$2:$V$14,3,0)*Tabla4[[#This Row],[TOTAL COBERTURA]])</f>
        <v>5924478</v>
      </c>
      <c r="AW687" s="35">
        <f>(VLOOKUP(Tabla4[[#This Row],[SERVICIO 2025]],$J$2:$V$14,3,0)*Tabla4[[#This Row],[TOTAL COBERTURA]])</f>
        <v>5924478</v>
      </c>
      <c r="AX687" s="35">
        <f>(VLOOKUP(Tabla4[[#This Row],[SERVICIO 2025]],$J$2:$V$14,3,0)*Tabla4[[#This Row],[TOTAL COBERTURA]])</f>
        <v>5924478</v>
      </c>
      <c r="AY687" s="35">
        <f>(VLOOKUP(Tabla4[[#This Row],[SERVICIO 2025]],$J$2:$V$14,3,0)*Tabla4[[#This Row],[TOTAL COBERTURA]])</f>
        <v>5924478</v>
      </c>
      <c r="AZ687" s="35">
        <f>(VLOOKUP(Tabla4[[#This Row],[SERVICIO 2025]],$J$2:$V$14,3,0)*Tabla4[[#This Row],[TOTAL COBERTURA]])</f>
        <v>5924478</v>
      </c>
      <c r="BA687" s="35">
        <f>(VLOOKUP(Tabla4[[#This Row],[SERVICIO 2025]],$J$2:$V$14,3,0)*Tabla4[[#This Row],[TOTAL COBERTURA]])+Tabla4[[#This Row],[VALOR FASE PREPARATORIA DE CIERRE]]</f>
        <v>6868145</v>
      </c>
      <c r="BB687" s="35">
        <f>SUM(Tabla4[[#This Row],[DESEMBOLSO 1]:[DESEMBOLSO 8]])</f>
        <v>50144439</v>
      </c>
      <c r="BC687" s="35">
        <f>VLOOKUP(Tabla4[[#This Row],[SERVICIO 2025]],$J$2:$V$14,10,0)*Tabla4[[#This Row],[TOTAL COBERTURA]]*$W$3</f>
        <v>33190472</v>
      </c>
      <c r="BD687" s="47" t="s">
        <v>211</v>
      </c>
      <c r="BE687" s="12" t="b">
        <f>EXACT(Tabla4[[#This Row],[VALOR ATENCIÓN (8 MESES)]],Tabla4[[#This Row],[VALOR TOTAL]])</f>
        <v>1</v>
      </c>
      <c r="BF687" s="23">
        <f>Tabla4[[#This Row],[VALOR ATENCIÓN (8 MESES)]]-Tabla4[[#This Row],[VALOR TOTAL]]</f>
        <v>0</v>
      </c>
      <c r="BG687" s="12" t="b">
        <f>EXACT(Tabla4[[#This Row],[TOTAL DESEMBOLSOS]],Tabla4[[#This Row],[VALOR ATENCIÓN (8 MESES)]])</f>
        <v>1</v>
      </c>
      <c r="BH687" s="29">
        <f>Tabla4[[#This Row],[TOTAL DESEMBOLSOS]]-Tabla4[[#This Row],[VALOR ATENCIÓN (8 MESES)]]</f>
        <v>0</v>
      </c>
      <c r="BI687" t="s">
        <v>98</v>
      </c>
      <c r="BJ687">
        <v>1952</v>
      </c>
    </row>
    <row r="688" spans="1:62">
      <c r="A688" s="13">
        <v>1952</v>
      </c>
      <c r="B688" s="13" t="s">
        <v>1533</v>
      </c>
      <c r="C688" s="12" t="s">
        <v>87</v>
      </c>
      <c r="D688" s="12" t="s">
        <v>1534</v>
      </c>
      <c r="E688" s="12" t="s">
        <v>1535</v>
      </c>
      <c r="F688" s="12" t="s">
        <v>18</v>
      </c>
      <c r="G688" s="12" t="s">
        <v>90</v>
      </c>
      <c r="H688" s="12" t="s">
        <v>1554</v>
      </c>
      <c r="I688" s="12">
        <v>53061150339</v>
      </c>
      <c r="J688" s="12" t="s">
        <v>1555</v>
      </c>
      <c r="K688" s="12">
        <v>1</v>
      </c>
      <c r="L688" s="12">
        <v>8</v>
      </c>
      <c r="M688" s="12"/>
      <c r="N688" s="13">
        <v>1952</v>
      </c>
      <c r="O688" s="12" t="s">
        <v>93</v>
      </c>
      <c r="P688" s="12"/>
      <c r="Q688" s="12"/>
      <c r="R688" s="12" t="s">
        <v>94</v>
      </c>
      <c r="S688" s="12">
        <v>10</v>
      </c>
      <c r="T688" s="12" t="s">
        <v>1538</v>
      </c>
      <c r="U688" s="12" t="s">
        <v>1539</v>
      </c>
      <c r="V688" s="12">
        <f>VLOOKUP(Tabla4[[#This Row],[ZONA DEFINITIVO]],Hoja1!$A$1:$D$121,3,0)</f>
        <v>229116</v>
      </c>
      <c r="W688" s="12">
        <f>VLOOKUP(Tabla4[[#This Row],[ZONA DEFINITIVO]],Hoja1!$A$1:$D$121,2,0)</f>
        <v>15222</v>
      </c>
      <c r="X688" s="12">
        <f>VLOOKUP(Tabla4[[#This Row],[ZONA DEFINITIVO]],Hoja1!$A$1:$D$121,4,0)</f>
        <v>87525</v>
      </c>
      <c r="Y688" s="12" t="str">
        <f>+IF(Tabla4[[#This Row],[AGRUPACIONES]]=1,SUMIFS(Tabla4[UDS],Tabla4[ZONA DEFINITIVO],Tabla4[[#This Row],[ZONA DEFINITIVO]])," ")</f>
        <v xml:space="preserve"> </v>
      </c>
      <c r="Z688" s="12" t="str">
        <f>+IF(Tabla4[[#This Row],[AGRUPACIONES]]=1,SUMIFS(Tabla4[TOTAL COBERTURA],Tabla4[ZONA DEFINITIVO],Tabla4[[#This Row],[ZONA DEFINITIVO]])," ")</f>
        <v xml:space="preserve"> </v>
      </c>
      <c r="AA688" s="12"/>
      <c r="AB688" s="38">
        <v>17441544</v>
      </c>
      <c r="AC688" s="37">
        <v>0.02</v>
      </c>
      <c r="AD688" s="38">
        <f t="shared" si="11"/>
        <v>348830.88</v>
      </c>
      <c r="AE688" s="12"/>
      <c r="AF688" s="12">
        <f>COUNTIF($A$20:A688,A688)</f>
        <v>9</v>
      </c>
      <c r="AG688" s="38">
        <v>17441544</v>
      </c>
      <c r="AH688" s="38">
        <f>Tabla4[[#This Row],[VALOR CONTRAPARTIDA]]+Tabla4[[#This Row],[TOTAL APORTES ICBF]]</f>
        <v>17790374.879999999</v>
      </c>
      <c r="AI688" s="35"/>
      <c r="AJ688" s="38"/>
      <c r="AK688" s="38"/>
      <c r="AL688" s="23"/>
      <c r="AM688" s="35">
        <f>VLOOKUP(Tabla4[[#This Row],[SERVICIO 2025]],$J$2:$V$14,5,0)*Tabla4[[#This Row],[TOTAL COBERTURA]]</f>
        <v>395008</v>
      </c>
      <c r="AN688" s="35">
        <f>VLOOKUP(Tabla4[[#This Row],[SERVICIO 2025]],$J$2:$V$14,6,0)*Tabla4[[#This Row],[TOTAL COBERTURA]]</f>
        <v>328232</v>
      </c>
      <c r="AO688" s="35">
        <f>VLOOKUP(Tabla4[[#This Row],[SERVICIO 2025]],$J$2:$V$14,8,0)*Tabla4[[#This Row],[TOTAL COBERTURA]]</f>
        <v>232800</v>
      </c>
      <c r="AP688" s="35">
        <f>VLOOKUP(Tabla4[[#This Row],[SERVICIO 2025]],$J$2:$V$14,3,0)*Tabla4[[#This Row],[TOTAL COBERTURA]]*8</f>
        <v>16485504</v>
      </c>
      <c r="AQ688" s="35"/>
      <c r="AR688" s="35">
        <f>Tabla4[[#This Row],[VALOR FASE PREPARATORIA DE ALISTAMIENTO]]+Tabla4[[#This Row],[VALOR FASE PREPARATORIA DE CIERRE]]+Tabla4[[#This Row],[DOTACIÓN ÚNICA]]+Tabla4[[#This Row],[VALOR ATENCIÓN]]+Tabla4[[#This Row],[VALOR RACION PREPARADA]]</f>
        <v>17441544</v>
      </c>
      <c r="AS688" s="35" t="str">
        <f>+IF(Tabla4[[#This Row],[AGRUPACIONES]]=1,SUMIFS(Tabla4[VALOR TOTAL],Tabla4[ZONA DEFINITIVO],Tabla4[[#This Row],[ZONA DEFINITIVO]])," ")</f>
        <v xml:space="preserve"> </v>
      </c>
      <c r="AT688" s="27">
        <f>(VLOOKUP(Tabla4[[#This Row],[SERVICIO 2025]],$J$2:$V$14,3,0)*Tabla4[[#This Row],[TOTAL COBERTURA]])+Tabla4[[#This Row],[VALOR FASE PREPARATORIA DE ALISTAMIENTO]]+Tabla4[[#This Row],[DOTACIÓN ÚNICA]]</f>
        <v>2688496</v>
      </c>
      <c r="AU688" s="35">
        <f>(VLOOKUP(Tabla4[[#This Row],[SERVICIO 2025]],$J$2:$V$14,3,0)*Tabla4[[#This Row],[TOTAL COBERTURA]])</f>
        <v>2060688</v>
      </c>
      <c r="AV688" s="35">
        <f>(VLOOKUP(Tabla4[[#This Row],[SERVICIO 2025]],$J$2:$V$14,3,0)*Tabla4[[#This Row],[TOTAL COBERTURA]])</f>
        <v>2060688</v>
      </c>
      <c r="AW688" s="35">
        <f>(VLOOKUP(Tabla4[[#This Row],[SERVICIO 2025]],$J$2:$V$14,3,0)*Tabla4[[#This Row],[TOTAL COBERTURA]])</f>
        <v>2060688</v>
      </c>
      <c r="AX688" s="35">
        <f>(VLOOKUP(Tabla4[[#This Row],[SERVICIO 2025]],$J$2:$V$14,3,0)*Tabla4[[#This Row],[TOTAL COBERTURA]])</f>
        <v>2060688</v>
      </c>
      <c r="AY688" s="35">
        <f>(VLOOKUP(Tabla4[[#This Row],[SERVICIO 2025]],$J$2:$V$14,3,0)*Tabla4[[#This Row],[TOTAL COBERTURA]])</f>
        <v>2060688</v>
      </c>
      <c r="AZ688" s="35">
        <f>(VLOOKUP(Tabla4[[#This Row],[SERVICIO 2025]],$J$2:$V$14,3,0)*Tabla4[[#This Row],[TOTAL COBERTURA]])</f>
        <v>2060688</v>
      </c>
      <c r="BA688" s="35">
        <f>(VLOOKUP(Tabla4[[#This Row],[SERVICIO 2025]],$J$2:$V$14,3,0)*Tabla4[[#This Row],[TOTAL COBERTURA]])+Tabla4[[#This Row],[VALOR FASE PREPARATORIA DE CIERRE]]</f>
        <v>2388920</v>
      </c>
      <c r="BB688" s="35">
        <f>SUM(Tabla4[[#This Row],[DESEMBOLSO 1]:[DESEMBOLSO 8]])</f>
        <v>17441544</v>
      </c>
      <c r="BC688" s="35">
        <f>VLOOKUP(Tabla4[[#This Row],[SERVICIO 2025]],$J$2:$V$14,10,0)*Tabla4[[#This Row],[TOTAL COBERTURA]]*$W$3</f>
        <v>11544512</v>
      </c>
      <c r="BD688" s="47" t="s">
        <v>211</v>
      </c>
      <c r="BE688" s="12" t="b">
        <f>EXACT(Tabla4[[#This Row],[VALOR ATENCIÓN (8 MESES)]],Tabla4[[#This Row],[VALOR TOTAL]])</f>
        <v>1</v>
      </c>
      <c r="BF688" s="23">
        <f>Tabla4[[#This Row],[VALOR ATENCIÓN (8 MESES)]]-Tabla4[[#This Row],[VALOR TOTAL]]</f>
        <v>0</v>
      </c>
      <c r="BG688" s="12" t="b">
        <f>EXACT(Tabla4[[#This Row],[TOTAL DESEMBOLSOS]],Tabla4[[#This Row],[VALOR ATENCIÓN (8 MESES)]])</f>
        <v>1</v>
      </c>
      <c r="BH688" s="29">
        <f>Tabla4[[#This Row],[TOTAL DESEMBOLSOS]]-Tabla4[[#This Row],[VALOR ATENCIÓN (8 MESES)]]</f>
        <v>0</v>
      </c>
      <c r="BI688" t="s">
        <v>98</v>
      </c>
      <c r="BJ688">
        <v>1952</v>
      </c>
    </row>
    <row r="689" spans="1:62">
      <c r="A689" s="13">
        <v>1952</v>
      </c>
      <c r="B689" s="13" t="s">
        <v>1533</v>
      </c>
      <c r="C689" s="12" t="s">
        <v>87</v>
      </c>
      <c r="D689" s="12" t="s">
        <v>1534</v>
      </c>
      <c r="E689" s="12" t="s">
        <v>1535</v>
      </c>
      <c r="F689" s="12" t="s">
        <v>18</v>
      </c>
      <c r="G689" s="12" t="s">
        <v>90</v>
      </c>
      <c r="H689" s="12" t="s">
        <v>1556</v>
      </c>
      <c r="I689" s="12">
        <v>53061152438</v>
      </c>
      <c r="J689" s="12" t="s">
        <v>1557</v>
      </c>
      <c r="K689" s="12">
        <v>1</v>
      </c>
      <c r="L689" s="12">
        <v>12</v>
      </c>
      <c r="M689" s="12"/>
      <c r="N689" s="13">
        <v>1952</v>
      </c>
      <c r="O689" s="12" t="s">
        <v>93</v>
      </c>
      <c r="P689" s="12"/>
      <c r="Q689" s="12"/>
      <c r="R689" s="12" t="s">
        <v>94</v>
      </c>
      <c r="S689" s="12">
        <v>10</v>
      </c>
      <c r="T689" s="12" t="s">
        <v>1538</v>
      </c>
      <c r="U689" s="12" t="s">
        <v>1539</v>
      </c>
      <c r="V689" s="12">
        <f>VLOOKUP(Tabla4[[#This Row],[ZONA DEFINITIVO]],Hoja1!$A$1:$D$121,3,0)</f>
        <v>229116</v>
      </c>
      <c r="W689" s="12">
        <f>VLOOKUP(Tabla4[[#This Row],[ZONA DEFINITIVO]],Hoja1!$A$1:$D$121,2,0)</f>
        <v>15222</v>
      </c>
      <c r="X689" s="12">
        <f>VLOOKUP(Tabla4[[#This Row],[ZONA DEFINITIVO]],Hoja1!$A$1:$D$121,4,0)</f>
        <v>87525</v>
      </c>
      <c r="Y689" s="12" t="str">
        <f>+IF(Tabla4[[#This Row],[AGRUPACIONES]]=1,SUMIFS(Tabla4[UDS],Tabla4[ZONA DEFINITIVO],Tabla4[[#This Row],[ZONA DEFINITIVO]])," ")</f>
        <v xml:space="preserve"> </v>
      </c>
      <c r="Z689" s="12" t="str">
        <f>+IF(Tabla4[[#This Row],[AGRUPACIONES]]=1,SUMIFS(Tabla4[TOTAL COBERTURA],Tabla4[ZONA DEFINITIVO],Tabla4[[#This Row],[ZONA DEFINITIVO]])," ")</f>
        <v xml:space="preserve"> </v>
      </c>
      <c r="AA689" s="12"/>
      <c r="AB689" s="38">
        <v>26162316</v>
      </c>
      <c r="AC689" s="37">
        <v>0.02</v>
      </c>
      <c r="AD689" s="38">
        <f t="shared" si="11"/>
        <v>523246.32</v>
      </c>
      <c r="AE689" s="12"/>
      <c r="AF689" s="12">
        <f>COUNTIF($A$20:A689,A689)</f>
        <v>10</v>
      </c>
      <c r="AG689" s="38">
        <v>26162316</v>
      </c>
      <c r="AH689" s="38">
        <f>Tabla4[[#This Row],[VALOR CONTRAPARTIDA]]+Tabla4[[#This Row],[TOTAL APORTES ICBF]]</f>
        <v>26685562.32</v>
      </c>
      <c r="AI689" s="35"/>
      <c r="AJ689" s="38"/>
      <c r="AK689" s="38"/>
      <c r="AL689" s="23"/>
      <c r="AM689" s="35">
        <f>VLOOKUP(Tabla4[[#This Row],[SERVICIO 2025]],$J$2:$V$14,5,0)*Tabla4[[#This Row],[TOTAL COBERTURA]]</f>
        <v>592512</v>
      </c>
      <c r="AN689" s="35">
        <f>VLOOKUP(Tabla4[[#This Row],[SERVICIO 2025]],$J$2:$V$14,6,0)*Tabla4[[#This Row],[TOTAL COBERTURA]]</f>
        <v>492348</v>
      </c>
      <c r="AO689" s="35">
        <f>VLOOKUP(Tabla4[[#This Row],[SERVICIO 2025]],$J$2:$V$14,8,0)*Tabla4[[#This Row],[TOTAL COBERTURA]]</f>
        <v>349200</v>
      </c>
      <c r="AP689" s="35">
        <f>VLOOKUP(Tabla4[[#This Row],[SERVICIO 2025]],$J$2:$V$14,3,0)*Tabla4[[#This Row],[TOTAL COBERTURA]]*8</f>
        <v>24728256</v>
      </c>
      <c r="AQ689" s="35"/>
      <c r="AR689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689" s="35" t="str">
        <f>+IF(Tabla4[[#This Row],[AGRUPACIONES]]=1,SUMIFS(Tabla4[VALOR TOTAL],Tabla4[ZONA DEFINITIVO],Tabla4[[#This Row],[ZONA DEFINITIVO]])," ")</f>
        <v xml:space="preserve"> </v>
      </c>
      <c r="AT689" s="27">
        <f>(VLOOKUP(Tabla4[[#This Row],[SERVICIO 2025]],$J$2:$V$14,3,0)*Tabla4[[#This Row],[TOTAL COBERTURA]])+Tabla4[[#This Row],[VALOR FASE PREPARATORIA DE ALISTAMIENTO]]+Tabla4[[#This Row],[DOTACIÓN ÚNICA]]</f>
        <v>4032744</v>
      </c>
      <c r="AU689" s="35">
        <f>(VLOOKUP(Tabla4[[#This Row],[SERVICIO 2025]],$J$2:$V$14,3,0)*Tabla4[[#This Row],[TOTAL COBERTURA]])</f>
        <v>3091032</v>
      </c>
      <c r="AV689" s="35">
        <f>(VLOOKUP(Tabla4[[#This Row],[SERVICIO 2025]],$J$2:$V$14,3,0)*Tabla4[[#This Row],[TOTAL COBERTURA]])</f>
        <v>3091032</v>
      </c>
      <c r="AW689" s="35">
        <f>(VLOOKUP(Tabla4[[#This Row],[SERVICIO 2025]],$J$2:$V$14,3,0)*Tabla4[[#This Row],[TOTAL COBERTURA]])</f>
        <v>3091032</v>
      </c>
      <c r="AX689" s="35">
        <f>(VLOOKUP(Tabla4[[#This Row],[SERVICIO 2025]],$J$2:$V$14,3,0)*Tabla4[[#This Row],[TOTAL COBERTURA]])</f>
        <v>3091032</v>
      </c>
      <c r="AY689" s="35">
        <f>(VLOOKUP(Tabla4[[#This Row],[SERVICIO 2025]],$J$2:$V$14,3,0)*Tabla4[[#This Row],[TOTAL COBERTURA]])</f>
        <v>3091032</v>
      </c>
      <c r="AZ689" s="35">
        <f>(VLOOKUP(Tabla4[[#This Row],[SERVICIO 2025]],$J$2:$V$14,3,0)*Tabla4[[#This Row],[TOTAL COBERTURA]])</f>
        <v>3091032</v>
      </c>
      <c r="BA689" s="35">
        <f>(VLOOKUP(Tabla4[[#This Row],[SERVICIO 2025]],$J$2:$V$14,3,0)*Tabla4[[#This Row],[TOTAL COBERTURA]])+Tabla4[[#This Row],[VALOR FASE PREPARATORIA DE CIERRE]]</f>
        <v>3583380</v>
      </c>
      <c r="BB689" s="35">
        <f>SUM(Tabla4[[#This Row],[DESEMBOLSO 1]:[DESEMBOLSO 8]])</f>
        <v>26162316</v>
      </c>
      <c r="BC689" s="35">
        <f>VLOOKUP(Tabla4[[#This Row],[SERVICIO 2025]],$J$2:$V$14,10,0)*Tabla4[[#This Row],[TOTAL COBERTURA]]*$W$3</f>
        <v>17316768</v>
      </c>
      <c r="BD689" s="47" t="s">
        <v>211</v>
      </c>
      <c r="BE689" s="12" t="b">
        <f>EXACT(Tabla4[[#This Row],[VALOR ATENCIÓN (8 MESES)]],Tabla4[[#This Row],[VALOR TOTAL]])</f>
        <v>1</v>
      </c>
      <c r="BF689" s="23">
        <f>Tabla4[[#This Row],[VALOR ATENCIÓN (8 MESES)]]-Tabla4[[#This Row],[VALOR TOTAL]]</f>
        <v>0</v>
      </c>
      <c r="BG689" s="12" t="b">
        <f>EXACT(Tabla4[[#This Row],[TOTAL DESEMBOLSOS]],Tabla4[[#This Row],[VALOR ATENCIÓN (8 MESES)]])</f>
        <v>1</v>
      </c>
      <c r="BH689" s="29">
        <f>Tabla4[[#This Row],[TOTAL DESEMBOLSOS]]-Tabla4[[#This Row],[VALOR ATENCIÓN (8 MESES)]]</f>
        <v>0</v>
      </c>
      <c r="BI689" t="s">
        <v>98</v>
      </c>
      <c r="BJ689">
        <v>1952</v>
      </c>
    </row>
    <row r="690" spans="1:62">
      <c r="A690" s="13">
        <v>1952</v>
      </c>
      <c r="B690" s="13" t="s">
        <v>1533</v>
      </c>
      <c r="C690" s="12" t="s">
        <v>87</v>
      </c>
      <c r="D690" s="12" t="s">
        <v>1534</v>
      </c>
      <c r="E690" s="12" t="s">
        <v>1535</v>
      </c>
      <c r="F690" s="12" t="s">
        <v>18</v>
      </c>
      <c r="G690" s="12" t="s">
        <v>90</v>
      </c>
      <c r="H690" s="12" t="s">
        <v>1558</v>
      </c>
      <c r="I690" s="12">
        <v>53061152885</v>
      </c>
      <c r="J690" s="12" t="s">
        <v>1559</v>
      </c>
      <c r="K690" s="12">
        <v>1</v>
      </c>
      <c r="L690" s="12">
        <v>22</v>
      </c>
      <c r="M690" s="12"/>
      <c r="N690" s="13">
        <v>1952</v>
      </c>
      <c r="O690" s="12" t="s">
        <v>93</v>
      </c>
      <c r="P690" s="12"/>
      <c r="Q690" s="12"/>
      <c r="R690" s="12" t="s">
        <v>94</v>
      </c>
      <c r="S690" s="12">
        <v>10</v>
      </c>
      <c r="T690" s="12" t="s">
        <v>1538</v>
      </c>
      <c r="U690" s="12" t="s">
        <v>1539</v>
      </c>
      <c r="V690" s="12">
        <f>VLOOKUP(Tabla4[[#This Row],[ZONA DEFINITIVO]],Hoja1!$A$1:$D$121,3,0)</f>
        <v>229116</v>
      </c>
      <c r="W690" s="12">
        <f>VLOOKUP(Tabla4[[#This Row],[ZONA DEFINITIVO]],Hoja1!$A$1:$D$121,2,0)</f>
        <v>15222</v>
      </c>
      <c r="X690" s="12">
        <f>VLOOKUP(Tabla4[[#This Row],[ZONA DEFINITIVO]],Hoja1!$A$1:$D$121,4,0)</f>
        <v>87525</v>
      </c>
      <c r="Y690" s="12" t="str">
        <f>+IF(Tabla4[[#This Row],[AGRUPACIONES]]=1,SUMIFS(Tabla4[UDS],Tabla4[ZONA DEFINITIVO],Tabla4[[#This Row],[ZONA DEFINITIVO]])," ")</f>
        <v xml:space="preserve"> </v>
      </c>
      <c r="Z690" s="12" t="str">
        <f>+IF(Tabla4[[#This Row],[AGRUPACIONES]]=1,SUMIFS(Tabla4[TOTAL COBERTURA],Tabla4[ZONA DEFINITIVO],Tabla4[[#This Row],[ZONA DEFINITIVO]])," ")</f>
        <v xml:space="preserve"> </v>
      </c>
      <c r="AA690" s="12"/>
      <c r="AB690" s="38">
        <v>47964246</v>
      </c>
      <c r="AC690" s="37">
        <v>0.02</v>
      </c>
      <c r="AD690" s="38">
        <f t="shared" si="11"/>
        <v>959284.92</v>
      </c>
      <c r="AE690" s="12"/>
      <c r="AF690" s="12">
        <f>COUNTIF($A$20:A690,A690)</f>
        <v>11</v>
      </c>
      <c r="AG690" s="38">
        <v>47964246</v>
      </c>
      <c r="AH690" s="38">
        <f>Tabla4[[#This Row],[VALOR CONTRAPARTIDA]]+Tabla4[[#This Row],[TOTAL APORTES ICBF]]</f>
        <v>48923530.920000002</v>
      </c>
      <c r="AI690" s="35"/>
      <c r="AJ690" s="38"/>
      <c r="AK690" s="38"/>
      <c r="AL690" s="23"/>
      <c r="AM690" s="35">
        <f>VLOOKUP(Tabla4[[#This Row],[SERVICIO 2025]],$J$2:$V$14,5,0)*Tabla4[[#This Row],[TOTAL COBERTURA]]</f>
        <v>1086272</v>
      </c>
      <c r="AN690" s="35">
        <f>VLOOKUP(Tabla4[[#This Row],[SERVICIO 2025]],$J$2:$V$14,6,0)*Tabla4[[#This Row],[TOTAL COBERTURA]]</f>
        <v>902638</v>
      </c>
      <c r="AO690" s="35">
        <f>VLOOKUP(Tabla4[[#This Row],[SERVICIO 2025]],$J$2:$V$14,8,0)*Tabla4[[#This Row],[TOTAL COBERTURA]]</f>
        <v>640200</v>
      </c>
      <c r="AP690" s="35">
        <f>VLOOKUP(Tabla4[[#This Row],[SERVICIO 2025]],$J$2:$V$14,3,0)*Tabla4[[#This Row],[TOTAL COBERTURA]]*8</f>
        <v>45335136</v>
      </c>
      <c r="AQ690" s="35"/>
      <c r="AR690" s="35">
        <f>Tabla4[[#This Row],[VALOR FASE PREPARATORIA DE ALISTAMIENTO]]+Tabla4[[#This Row],[VALOR FASE PREPARATORIA DE CIERRE]]+Tabla4[[#This Row],[DOTACIÓN ÚNICA]]+Tabla4[[#This Row],[VALOR ATENCIÓN]]+Tabla4[[#This Row],[VALOR RACION PREPARADA]]</f>
        <v>47964246</v>
      </c>
      <c r="AS690" s="35" t="str">
        <f>+IF(Tabla4[[#This Row],[AGRUPACIONES]]=1,SUMIFS(Tabla4[VALOR TOTAL],Tabla4[ZONA DEFINITIVO],Tabla4[[#This Row],[ZONA DEFINITIVO]])," ")</f>
        <v xml:space="preserve"> </v>
      </c>
      <c r="AT690" s="27">
        <f>(VLOOKUP(Tabla4[[#This Row],[SERVICIO 2025]],$J$2:$V$14,3,0)*Tabla4[[#This Row],[TOTAL COBERTURA]])+Tabla4[[#This Row],[VALOR FASE PREPARATORIA DE ALISTAMIENTO]]+Tabla4[[#This Row],[DOTACIÓN ÚNICA]]</f>
        <v>7393364</v>
      </c>
      <c r="AU690" s="35">
        <f>(VLOOKUP(Tabla4[[#This Row],[SERVICIO 2025]],$J$2:$V$14,3,0)*Tabla4[[#This Row],[TOTAL COBERTURA]])</f>
        <v>5666892</v>
      </c>
      <c r="AV690" s="35">
        <f>(VLOOKUP(Tabla4[[#This Row],[SERVICIO 2025]],$J$2:$V$14,3,0)*Tabla4[[#This Row],[TOTAL COBERTURA]])</f>
        <v>5666892</v>
      </c>
      <c r="AW690" s="35">
        <f>(VLOOKUP(Tabla4[[#This Row],[SERVICIO 2025]],$J$2:$V$14,3,0)*Tabla4[[#This Row],[TOTAL COBERTURA]])</f>
        <v>5666892</v>
      </c>
      <c r="AX690" s="35">
        <f>(VLOOKUP(Tabla4[[#This Row],[SERVICIO 2025]],$J$2:$V$14,3,0)*Tabla4[[#This Row],[TOTAL COBERTURA]])</f>
        <v>5666892</v>
      </c>
      <c r="AY690" s="35">
        <f>(VLOOKUP(Tabla4[[#This Row],[SERVICIO 2025]],$J$2:$V$14,3,0)*Tabla4[[#This Row],[TOTAL COBERTURA]])</f>
        <v>5666892</v>
      </c>
      <c r="AZ690" s="35">
        <f>(VLOOKUP(Tabla4[[#This Row],[SERVICIO 2025]],$J$2:$V$14,3,0)*Tabla4[[#This Row],[TOTAL COBERTURA]])</f>
        <v>5666892</v>
      </c>
      <c r="BA690" s="35">
        <f>(VLOOKUP(Tabla4[[#This Row],[SERVICIO 2025]],$J$2:$V$14,3,0)*Tabla4[[#This Row],[TOTAL COBERTURA]])+Tabla4[[#This Row],[VALOR FASE PREPARATORIA DE CIERRE]]</f>
        <v>6569530</v>
      </c>
      <c r="BB690" s="35">
        <f>SUM(Tabla4[[#This Row],[DESEMBOLSO 1]:[DESEMBOLSO 8]])</f>
        <v>47964246</v>
      </c>
      <c r="BC690" s="35">
        <f>VLOOKUP(Tabla4[[#This Row],[SERVICIO 2025]],$J$2:$V$14,10,0)*Tabla4[[#This Row],[TOTAL COBERTURA]]*$W$3</f>
        <v>31747408</v>
      </c>
      <c r="BD690" s="47" t="s">
        <v>211</v>
      </c>
      <c r="BE690" s="12" t="b">
        <f>EXACT(Tabla4[[#This Row],[VALOR ATENCIÓN (8 MESES)]],Tabla4[[#This Row],[VALOR TOTAL]])</f>
        <v>1</v>
      </c>
      <c r="BF690" s="23">
        <f>Tabla4[[#This Row],[VALOR ATENCIÓN (8 MESES)]]-Tabla4[[#This Row],[VALOR TOTAL]]</f>
        <v>0</v>
      </c>
      <c r="BG690" s="12" t="b">
        <f>EXACT(Tabla4[[#This Row],[TOTAL DESEMBOLSOS]],Tabla4[[#This Row],[VALOR ATENCIÓN (8 MESES)]])</f>
        <v>1</v>
      </c>
      <c r="BH690" s="29">
        <f>Tabla4[[#This Row],[TOTAL DESEMBOLSOS]]-Tabla4[[#This Row],[VALOR ATENCIÓN (8 MESES)]]</f>
        <v>0</v>
      </c>
      <c r="BI690" t="s">
        <v>98</v>
      </c>
      <c r="BJ690">
        <v>1952</v>
      </c>
    </row>
    <row r="691" spans="1:62">
      <c r="A691" s="13">
        <v>1952</v>
      </c>
      <c r="B691" s="13" t="s">
        <v>1533</v>
      </c>
      <c r="C691" s="12" t="s">
        <v>87</v>
      </c>
      <c r="D691" s="12" t="s">
        <v>1534</v>
      </c>
      <c r="E691" s="12" t="s">
        <v>1535</v>
      </c>
      <c r="F691" s="12" t="s">
        <v>18</v>
      </c>
      <c r="G691" s="12" t="s">
        <v>90</v>
      </c>
      <c r="H691" s="12" t="s">
        <v>1560</v>
      </c>
      <c r="I691" s="12">
        <v>53061153189</v>
      </c>
      <c r="J691" s="12" t="s">
        <v>1561</v>
      </c>
      <c r="K691" s="12">
        <v>1</v>
      </c>
      <c r="L691" s="12">
        <v>12</v>
      </c>
      <c r="M691" s="12"/>
      <c r="N691" s="13">
        <v>1952</v>
      </c>
      <c r="O691" s="12" t="s">
        <v>93</v>
      </c>
      <c r="P691" s="12"/>
      <c r="Q691" s="12"/>
      <c r="R691" s="12" t="s">
        <v>94</v>
      </c>
      <c r="S691" s="12">
        <v>10</v>
      </c>
      <c r="T691" s="12" t="s">
        <v>1538</v>
      </c>
      <c r="U691" s="12" t="s">
        <v>1539</v>
      </c>
      <c r="V691" s="12">
        <f>VLOOKUP(Tabla4[[#This Row],[ZONA DEFINITIVO]],Hoja1!$A$1:$D$121,3,0)</f>
        <v>229116</v>
      </c>
      <c r="W691" s="12">
        <f>VLOOKUP(Tabla4[[#This Row],[ZONA DEFINITIVO]],Hoja1!$A$1:$D$121,2,0)</f>
        <v>15222</v>
      </c>
      <c r="X691" s="12">
        <f>VLOOKUP(Tabla4[[#This Row],[ZONA DEFINITIVO]],Hoja1!$A$1:$D$121,4,0)</f>
        <v>87525</v>
      </c>
      <c r="Y691" s="12" t="str">
        <f>+IF(Tabla4[[#This Row],[AGRUPACIONES]]=1,SUMIFS(Tabla4[UDS],Tabla4[ZONA DEFINITIVO],Tabla4[[#This Row],[ZONA DEFINITIVO]])," ")</f>
        <v xml:space="preserve"> </v>
      </c>
      <c r="Z691" s="12" t="str">
        <f>+IF(Tabla4[[#This Row],[AGRUPACIONES]]=1,SUMIFS(Tabla4[TOTAL COBERTURA],Tabla4[ZONA DEFINITIVO],Tabla4[[#This Row],[ZONA DEFINITIVO]])," ")</f>
        <v xml:space="preserve"> </v>
      </c>
      <c r="AA691" s="12"/>
      <c r="AB691" s="38">
        <v>26162316</v>
      </c>
      <c r="AC691" s="37">
        <v>0.02</v>
      </c>
      <c r="AD691" s="38">
        <f t="shared" si="11"/>
        <v>523246.32</v>
      </c>
      <c r="AE691" s="12"/>
      <c r="AF691" s="12">
        <f>COUNTIF($A$20:A691,A691)</f>
        <v>12</v>
      </c>
      <c r="AG691" s="38">
        <v>26162316</v>
      </c>
      <c r="AH691" s="38">
        <f>Tabla4[[#This Row],[VALOR CONTRAPARTIDA]]+Tabla4[[#This Row],[TOTAL APORTES ICBF]]</f>
        <v>26685562.32</v>
      </c>
      <c r="AI691" s="35"/>
      <c r="AJ691" s="38"/>
      <c r="AK691" s="38"/>
      <c r="AL691" s="23"/>
      <c r="AM691" s="35">
        <f>VLOOKUP(Tabla4[[#This Row],[SERVICIO 2025]],$J$2:$V$14,5,0)*Tabla4[[#This Row],[TOTAL COBERTURA]]</f>
        <v>592512</v>
      </c>
      <c r="AN691" s="35">
        <f>VLOOKUP(Tabla4[[#This Row],[SERVICIO 2025]],$J$2:$V$14,6,0)*Tabla4[[#This Row],[TOTAL COBERTURA]]</f>
        <v>492348</v>
      </c>
      <c r="AO691" s="35">
        <f>VLOOKUP(Tabla4[[#This Row],[SERVICIO 2025]],$J$2:$V$14,8,0)*Tabla4[[#This Row],[TOTAL COBERTURA]]</f>
        <v>349200</v>
      </c>
      <c r="AP691" s="35">
        <f>VLOOKUP(Tabla4[[#This Row],[SERVICIO 2025]],$J$2:$V$14,3,0)*Tabla4[[#This Row],[TOTAL COBERTURA]]*8</f>
        <v>24728256</v>
      </c>
      <c r="AQ691" s="35"/>
      <c r="AR691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691" s="35" t="str">
        <f>+IF(Tabla4[[#This Row],[AGRUPACIONES]]=1,SUMIFS(Tabla4[VALOR TOTAL],Tabla4[ZONA DEFINITIVO],Tabla4[[#This Row],[ZONA DEFINITIVO]])," ")</f>
        <v xml:space="preserve"> </v>
      </c>
      <c r="AT691" s="27">
        <f>(VLOOKUP(Tabla4[[#This Row],[SERVICIO 2025]],$J$2:$V$14,3,0)*Tabla4[[#This Row],[TOTAL COBERTURA]])+Tabla4[[#This Row],[VALOR FASE PREPARATORIA DE ALISTAMIENTO]]+Tabla4[[#This Row],[DOTACIÓN ÚNICA]]</f>
        <v>4032744</v>
      </c>
      <c r="AU691" s="35">
        <f>(VLOOKUP(Tabla4[[#This Row],[SERVICIO 2025]],$J$2:$V$14,3,0)*Tabla4[[#This Row],[TOTAL COBERTURA]])</f>
        <v>3091032</v>
      </c>
      <c r="AV691" s="35">
        <f>(VLOOKUP(Tabla4[[#This Row],[SERVICIO 2025]],$J$2:$V$14,3,0)*Tabla4[[#This Row],[TOTAL COBERTURA]])</f>
        <v>3091032</v>
      </c>
      <c r="AW691" s="35">
        <f>(VLOOKUP(Tabla4[[#This Row],[SERVICIO 2025]],$J$2:$V$14,3,0)*Tabla4[[#This Row],[TOTAL COBERTURA]])</f>
        <v>3091032</v>
      </c>
      <c r="AX691" s="35">
        <f>(VLOOKUP(Tabla4[[#This Row],[SERVICIO 2025]],$J$2:$V$14,3,0)*Tabla4[[#This Row],[TOTAL COBERTURA]])</f>
        <v>3091032</v>
      </c>
      <c r="AY691" s="35">
        <f>(VLOOKUP(Tabla4[[#This Row],[SERVICIO 2025]],$J$2:$V$14,3,0)*Tabla4[[#This Row],[TOTAL COBERTURA]])</f>
        <v>3091032</v>
      </c>
      <c r="AZ691" s="35">
        <f>(VLOOKUP(Tabla4[[#This Row],[SERVICIO 2025]],$J$2:$V$14,3,0)*Tabla4[[#This Row],[TOTAL COBERTURA]])</f>
        <v>3091032</v>
      </c>
      <c r="BA691" s="35">
        <f>(VLOOKUP(Tabla4[[#This Row],[SERVICIO 2025]],$J$2:$V$14,3,0)*Tabla4[[#This Row],[TOTAL COBERTURA]])+Tabla4[[#This Row],[VALOR FASE PREPARATORIA DE CIERRE]]</f>
        <v>3583380</v>
      </c>
      <c r="BB691" s="35">
        <f>SUM(Tabla4[[#This Row],[DESEMBOLSO 1]:[DESEMBOLSO 8]])</f>
        <v>26162316</v>
      </c>
      <c r="BC691" s="35">
        <f>VLOOKUP(Tabla4[[#This Row],[SERVICIO 2025]],$J$2:$V$14,10,0)*Tabla4[[#This Row],[TOTAL COBERTURA]]*$W$3</f>
        <v>17316768</v>
      </c>
      <c r="BD691" s="47" t="s">
        <v>211</v>
      </c>
      <c r="BE691" s="12" t="b">
        <f>EXACT(Tabla4[[#This Row],[VALOR ATENCIÓN (8 MESES)]],Tabla4[[#This Row],[VALOR TOTAL]])</f>
        <v>1</v>
      </c>
      <c r="BF691" s="23">
        <f>Tabla4[[#This Row],[VALOR ATENCIÓN (8 MESES)]]-Tabla4[[#This Row],[VALOR TOTAL]]</f>
        <v>0</v>
      </c>
      <c r="BG691" s="12" t="b">
        <f>EXACT(Tabla4[[#This Row],[TOTAL DESEMBOLSOS]],Tabla4[[#This Row],[VALOR ATENCIÓN (8 MESES)]])</f>
        <v>1</v>
      </c>
      <c r="BH691" s="29">
        <f>Tabla4[[#This Row],[TOTAL DESEMBOLSOS]]-Tabla4[[#This Row],[VALOR ATENCIÓN (8 MESES)]]</f>
        <v>0</v>
      </c>
      <c r="BI691" t="s">
        <v>98</v>
      </c>
      <c r="BJ691">
        <v>1952</v>
      </c>
    </row>
    <row r="692" spans="1:62">
      <c r="A692" s="13">
        <v>1952</v>
      </c>
      <c r="B692" s="13" t="s">
        <v>1533</v>
      </c>
      <c r="C692" s="12" t="s">
        <v>87</v>
      </c>
      <c r="D692" s="12" t="s">
        <v>1534</v>
      </c>
      <c r="E692" s="12" t="s">
        <v>1535</v>
      </c>
      <c r="F692" s="12" t="s">
        <v>15</v>
      </c>
      <c r="G692" s="12" t="s">
        <v>90</v>
      </c>
      <c r="H692" s="12" t="s">
        <v>1562</v>
      </c>
      <c r="I692" s="12">
        <v>530600102502</v>
      </c>
      <c r="J692" s="12" t="s">
        <v>1563</v>
      </c>
      <c r="K692" s="12">
        <v>1</v>
      </c>
      <c r="L692" s="12">
        <v>80</v>
      </c>
      <c r="M692" s="12"/>
      <c r="N692" s="13">
        <v>1952</v>
      </c>
      <c r="O692" s="12" t="s">
        <v>93</v>
      </c>
      <c r="P692" s="12"/>
      <c r="Q692" s="12"/>
      <c r="R692" s="12" t="s">
        <v>94</v>
      </c>
      <c r="S692" s="12">
        <v>10</v>
      </c>
      <c r="T692" s="12" t="s">
        <v>1538</v>
      </c>
      <c r="U692" s="12" t="s">
        <v>1539</v>
      </c>
      <c r="V692" s="12">
        <f>VLOOKUP(Tabla4[[#This Row],[ZONA DEFINITIVO]],Hoja1!$A$1:$D$121,3,0)</f>
        <v>229116</v>
      </c>
      <c r="W692" s="12">
        <f>VLOOKUP(Tabla4[[#This Row],[ZONA DEFINITIVO]],Hoja1!$A$1:$D$121,2,0)</f>
        <v>15222</v>
      </c>
      <c r="X692" s="12">
        <f>VLOOKUP(Tabla4[[#This Row],[ZONA DEFINITIVO]],Hoja1!$A$1:$D$121,4,0)</f>
        <v>87525</v>
      </c>
      <c r="Y692" s="12" t="str">
        <f>+IF(Tabla4[[#This Row],[AGRUPACIONES]]=1,SUMIFS(Tabla4[UDS],Tabla4[ZONA DEFINITIVO],Tabla4[[#This Row],[ZONA DEFINITIVO]])," ")</f>
        <v xml:space="preserve"> </v>
      </c>
      <c r="Z692" s="12" t="str">
        <f>+IF(Tabla4[[#This Row],[AGRUPACIONES]]=1,SUMIFS(Tabla4[TOTAL COBERTURA],Tabla4[ZONA DEFINITIVO],Tabla4[[#This Row],[ZONA DEFINITIVO]])," ")</f>
        <v xml:space="preserve"> </v>
      </c>
      <c r="AA692" s="12"/>
      <c r="AB692" s="38">
        <v>346352160</v>
      </c>
      <c r="AC692" s="37">
        <v>0.02</v>
      </c>
      <c r="AD692" s="38">
        <f t="shared" si="11"/>
        <v>6927043.2000000002</v>
      </c>
      <c r="AE692" s="12"/>
      <c r="AF692" s="12">
        <f>COUNTIF($A$20:A692,A692)</f>
        <v>13</v>
      </c>
      <c r="AG692" s="38">
        <v>346352160</v>
      </c>
      <c r="AH692" s="38">
        <f>Tabla4[[#This Row],[VALOR CONTRAPARTIDA]]+Tabla4[[#This Row],[TOTAL APORTES ICBF]]</f>
        <v>353279203.19999999</v>
      </c>
      <c r="AI692" s="35"/>
      <c r="AJ692" s="38"/>
      <c r="AK692" s="38"/>
      <c r="AL692" s="23"/>
      <c r="AM692" s="35">
        <f>VLOOKUP(Tabla4[[#This Row],[SERVICIO 2025]],$J$2:$V$14,5,0)*Tabla4[[#This Row],[TOTAL COBERTURA]]</f>
        <v>7051440</v>
      </c>
      <c r="AN692" s="35">
        <f>VLOOKUP(Tabla4[[#This Row],[SERVICIO 2025]],$J$2:$V$14,6,0)*Tabla4[[#This Row],[TOTAL COBERTURA]]</f>
        <v>6003440</v>
      </c>
      <c r="AO692" s="35">
        <f>VLOOKUP(Tabla4[[#This Row],[SERVICIO 2025]],$J$2:$V$14,8,0)*Tabla4[[#This Row],[TOTAL COBERTURA]]</f>
        <v>0</v>
      </c>
      <c r="AP692" s="35">
        <f>VLOOKUP(Tabla4[[#This Row],[SERVICIO 2025]],$J$2:$V$14,3,0)*Tabla4[[#This Row],[TOTAL COBERTURA]]*8</f>
        <v>333297280</v>
      </c>
      <c r="AQ692" s="35"/>
      <c r="AR692" s="35">
        <f>Tabla4[[#This Row],[VALOR FASE PREPARATORIA DE ALISTAMIENTO]]+Tabla4[[#This Row],[VALOR FASE PREPARATORIA DE CIERRE]]+Tabla4[[#This Row],[DOTACIÓN ÚNICA]]+Tabla4[[#This Row],[VALOR ATENCIÓN]]+Tabla4[[#This Row],[VALOR RACION PREPARADA]]</f>
        <v>346352160</v>
      </c>
      <c r="AS692" s="35" t="str">
        <f>+IF(Tabla4[[#This Row],[AGRUPACIONES]]=1,SUMIFS(Tabla4[VALOR TOTAL],Tabla4[ZONA DEFINITIVO],Tabla4[[#This Row],[ZONA DEFINITIVO]])," ")</f>
        <v xml:space="preserve"> </v>
      </c>
      <c r="AT692" s="27">
        <f>(VLOOKUP(Tabla4[[#This Row],[SERVICIO 2025]],$J$2:$V$14,3,0)*Tabla4[[#This Row],[TOTAL COBERTURA]])+Tabla4[[#This Row],[VALOR FASE PREPARATORIA DE ALISTAMIENTO]]+Tabla4[[#This Row],[DOTACIÓN ÚNICA]]</f>
        <v>48713600</v>
      </c>
      <c r="AU692" s="35">
        <f>(VLOOKUP(Tabla4[[#This Row],[SERVICIO 2025]],$J$2:$V$14,3,0)*Tabla4[[#This Row],[TOTAL COBERTURA]])</f>
        <v>41662160</v>
      </c>
      <c r="AV692" s="35">
        <f>(VLOOKUP(Tabla4[[#This Row],[SERVICIO 2025]],$J$2:$V$14,3,0)*Tabla4[[#This Row],[TOTAL COBERTURA]])</f>
        <v>41662160</v>
      </c>
      <c r="AW692" s="35">
        <f>(VLOOKUP(Tabla4[[#This Row],[SERVICIO 2025]],$J$2:$V$14,3,0)*Tabla4[[#This Row],[TOTAL COBERTURA]])</f>
        <v>41662160</v>
      </c>
      <c r="AX692" s="35">
        <f>(VLOOKUP(Tabla4[[#This Row],[SERVICIO 2025]],$J$2:$V$14,3,0)*Tabla4[[#This Row],[TOTAL COBERTURA]])</f>
        <v>41662160</v>
      </c>
      <c r="AY692" s="35">
        <f>(VLOOKUP(Tabla4[[#This Row],[SERVICIO 2025]],$J$2:$V$14,3,0)*Tabla4[[#This Row],[TOTAL COBERTURA]])</f>
        <v>41662160</v>
      </c>
      <c r="AZ692" s="35">
        <f>(VLOOKUP(Tabla4[[#This Row],[SERVICIO 2025]],$J$2:$V$14,3,0)*Tabla4[[#This Row],[TOTAL COBERTURA]])</f>
        <v>41662160</v>
      </c>
      <c r="BA692" s="35">
        <f>(VLOOKUP(Tabla4[[#This Row],[SERVICIO 2025]],$J$2:$V$14,3,0)*Tabla4[[#This Row],[TOTAL COBERTURA]])+Tabla4[[#This Row],[VALOR FASE PREPARATORIA DE CIERRE]]</f>
        <v>47665600</v>
      </c>
      <c r="BB692" s="35">
        <f>SUM(Tabla4[[#This Row],[DESEMBOLSO 1]:[DESEMBOLSO 8]])</f>
        <v>346352160</v>
      </c>
      <c r="BC692" s="35">
        <f>VLOOKUP(Tabla4[[#This Row],[SERVICIO 2025]],$J$2:$V$14,10,0)*Tabla4[[#This Row],[TOTAL COBERTURA]]*$W$3</f>
        <v>0</v>
      </c>
      <c r="BD692" s="47" t="s">
        <v>145</v>
      </c>
      <c r="BE692" s="12" t="b">
        <f>EXACT(Tabla4[[#This Row],[VALOR ATENCIÓN (8 MESES)]],Tabla4[[#This Row],[VALOR TOTAL]])</f>
        <v>1</v>
      </c>
      <c r="BF692" s="23">
        <f>Tabla4[[#This Row],[VALOR ATENCIÓN (8 MESES)]]-Tabla4[[#This Row],[VALOR TOTAL]]</f>
        <v>0</v>
      </c>
      <c r="BG692" s="12" t="b">
        <f>EXACT(Tabla4[[#This Row],[TOTAL DESEMBOLSOS]],Tabla4[[#This Row],[VALOR ATENCIÓN (8 MESES)]])</f>
        <v>1</v>
      </c>
      <c r="BH692" s="29">
        <f>Tabla4[[#This Row],[TOTAL DESEMBOLSOS]]-Tabla4[[#This Row],[VALOR ATENCIÓN (8 MESES)]]</f>
        <v>0</v>
      </c>
      <c r="BI692" t="s">
        <v>98</v>
      </c>
      <c r="BJ692">
        <v>1952</v>
      </c>
    </row>
    <row r="693" spans="1:62">
      <c r="A693" s="13">
        <v>1953</v>
      </c>
      <c r="B693" s="13" t="s">
        <v>1564</v>
      </c>
      <c r="C693" s="12" t="s">
        <v>87</v>
      </c>
      <c r="D693" s="12" t="s">
        <v>88</v>
      </c>
      <c r="E693" s="12" t="s">
        <v>1565</v>
      </c>
      <c r="F693" s="12" t="s">
        <v>21</v>
      </c>
      <c r="G693" s="12" t="s">
        <v>90</v>
      </c>
      <c r="H693" s="12" t="s">
        <v>1566</v>
      </c>
      <c r="I693" s="12">
        <v>53081115507</v>
      </c>
      <c r="J693" s="12" t="s">
        <v>1567</v>
      </c>
      <c r="K693" s="12">
        <v>1</v>
      </c>
      <c r="L693" s="12">
        <v>27</v>
      </c>
      <c r="M693" s="12"/>
      <c r="N693" s="13">
        <v>1953</v>
      </c>
      <c r="O693" s="12" t="s">
        <v>93</v>
      </c>
      <c r="P693" s="12"/>
      <c r="Q693" s="12"/>
      <c r="R693" s="12" t="s">
        <v>94</v>
      </c>
      <c r="S693" s="12">
        <v>10</v>
      </c>
      <c r="T693" s="12" t="s">
        <v>95</v>
      </c>
      <c r="U693" s="12" t="s">
        <v>96</v>
      </c>
      <c r="V693" s="12">
        <f>VLOOKUP(Tabla4[[#This Row],[ZONA DEFINITIVO]],Hoja1!$A$1:$D$121,3,0)</f>
        <v>229117</v>
      </c>
      <c r="W693" s="12">
        <f>VLOOKUP(Tabla4[[#This Row],[ZONA DEFINITIVO]],Hoja1!$A$1:$D$121,2,0)</f>
        <v>15211</v>
      </c>
      <c r="X693" s="12">
        <f>VLOOKUP(Tabla4[[#This Row],[ZONA DEFINITIVO]],Hoja1!$A$1:$D$121,4,0)</f>
        <v>86025</v>
      </c>
      <c r="Y693" s="12">
        <f>+IF(Tabla4[[#This Row],[AGRUPACIONES]]=1,SUMIFS(Tabla4[UDS],Tabla4[ZONA DEFINITIVO],Tabla4[[#This Row],[ZONA DEFINITIVO]])," ")</f>
        <v>22</v>
      </c>
      <c r="Z693" s="12">
        <f>+IF(Tabla4[[#This Row],[AGRUPACIONES]]=1,SUMIFS(Tabla4[TOTAL COBERTURA],Tabla4[ZONA DEFINITIVO],Tabla4[[#This Row],[ZONA DEFINITIVO]])," ")</f>
        <v>746</v>
      </c>
      <c r="AA693" s="12"/>
      <c r="AB693" s="38">
        <v>41021235</v>
      </c>
      <c r="AC693" s="37">
        <v>0.02</v>
      </c>
      <c r="AD693" s="38">
        <f t="shared" si="11"/>
        <v>820424.70000000007</v>
      </c>
      <c r="AE693" s="12"/>
      <c r="AF693" s="12">
        <f>COUNTIF($A$20:A693,A693)</f>
        <v>1</v>
      </c>
      <c r="AG693" s="38">
        <v>41021235</v>
      </c>
      <c r="AH693" s="38">
        <f>Tabla4[[#This Row],[VALOR CONTRAPARTIDA]]+Tabla4[[#This Row],[TOTAL APORTES ICBF]]</f>
        <v>41841659.700000003</v>
      </c>
      <c r="AI693" s="35">
        <f>ROUND(+IF(Tabla4[[#This Row],[AGRUPACIONES]]=1,SUMIFS(Tabla4[TOTAL APORTES ICBF],Tabla4[ZONA DEFINITIVO],Tabla4[[#This Row],[ZONA DEFINITIVO]])," "),0)</f>
        <v>1884959568</v>
      </c>
      <c r="AJ693" s="38">
        <f>ROUND(+IF(Tabla4[[#This Row],[AGRUPACIONES]]=1,SUMIFS(Tabla4[VALOR CONTRAPARTIDA],Tabla4[ZONA DEFINITIVO],Tabla4[[#This Row],[ZONA DEFINITIVO]])," "),0)</f>
        <v>37699191</v>
      </c>
      <c r="AK693" s="38">
        <f>Tabla4[[#This Row],[TOTAL APORTES ICBF AGRUPADO]]+Tabla4[[#This Row],[TOTAL CONTRAPARTIDA AGRUPADO]]</f>
        <v>1922658759</v>
      </c>
      <c r="AL693" s="23">
        <f>Tabla4[[#This Row],[TOTAL APORTES ICBF AGRUPADO]]/$AL$18</f>
        <v>1324.1725100105375</v>
      </c>
      <c r="AM693" s="35">
        <f>VLOOKUP(Tabla4[[#This Row],[SERVICIO 2025]],$J$2:$V$14,5,0)*Tabla4[[#This Row],[TOTAL COBERTURA]]</f>
        <v>1262088</v>
      </c>
      <c r="AN693" s="35">
        <f>VLOOKUP(Tabla4[[#This Row],[SERVICIO 2025]],$J$2:$V$14,6,0)*Tabla4[[#This Row],[TOTAL COBERTURA]]</f>
        <v>1021707</v>
      </c>
      <c r="AO693" s="35">
        <f>VLOOKUP(Tabla4[[#This Row],[SERVICIO 2025]],$J$2:$V$14,8,0)*Tabla4[[#This Row],[TOTAL COBERTURA]]</f>
        <v>0</v>
      </c>
      <c r="AP693" s="35">
        <f>VLOOKUP(Tabla4[[#This Row],[SERVICIO 2025]],$J$2:$V$14,3,0)*Tabla4[[#This Row],[TOTAL COBERTURA]]*8</f>
        <v>38737440</v>
      </c>
      <c r="AQ693" s="35"/>
      <c r="AR693" s="35">
        <f>Tabla4[[#This Row],[VALOR FASE PREPARATORIA DE ALISTAMIENTO]]+Tabla4[[#This Row],[VALOR FASE PREPARATORIA DE CIERRE]]+Tabla4[[#This Row],[DOTACIÓN ÚNICA]]+Tabla4[[#This Row],[VALOR ATENCIÓN]]+Tabla4[[#This Row],[VALOR RACION PREPARADA]]</f>
        <v>41021235</v>
      </c>
      <c r="AS693" s="35">
        <f>+IF(Tabla4[[#This Row],[AGRUPACIONES]]=1,SUMIFS(Tabla4[VALOR TOTAL],Tabla4[ZONA DEFINITIVO],Tabla4[[#This Row],[ZONA DEFINITIVO]])," ")</f>
        <v>1884959568</v>
      </c>
      <c r="AT693" s="27">
        <f>(VLOOKUP(Tabla4[[#This Row],[SERVICIO 2025]],$J$2:$V$14,3,0)*Tabla4[[#This Row],[TOTAL COBERTURA]])+Tabla4[[#This Row],[VALOR FASE PREPARATORIA DE ALISTAMIENTO]]+Tabla4[[#This Row],[DOTACIÓN ÚNICA]]</f>
        <v>6104268</v>
      </c>
      <c r="AU693" s="35">
        <f>(VLOOKUP(Tabla4[[#This Row],[SERVICIO 2025]],$J$2:$V$14,3,0)*Tabla4[[#This Row],[TOTAL COBERTURA]])</f>
        <v>4842180</v>
      </c>
      <c r="AV693" s="35">
        <f>(VLOOKUP(Tabla4[[#This Row],[SERVICIO 2025]],$J$2:$V$14,3,0)*Tabla4[[#This Row],[TOTAL COBERTURA]])</f>
        <v>4842180</v>
      </c>
      <c r="AW693" s="35">
        <f>(VLOOKUP(Tabla4[[#This Row],[SERVICIO 2025]],$J$2:$V$14,3,0)*Tabla4[[#This Row],[TOTAL COBERTURA]])</f>
        <v>4842180</v>
      </c>
      <c r="AX693" s="35">
        <f>(VLOOKUP(Tabla4[[#This Row],[SERVICIO 2025]],$J$2:$V$14,3,0)*Tabla4[[#This Row],[TOTAL COBERTURA]])</f>
        <v>4842180</v>
      </c>
      <c r="AY693" s="35">
        <f>(VLOOKUP(Tabla4[[#This Row],[SERVICIO 2025]],$J$2:$V$14,3,0)*Tabla4[[#This Row],[TOTAL COBERTURA]])</f>
        <v>4842180</v>
      </c>
      <c r="AZ693" s="35">
        <f>(VLOOKUP(Tabla4[[#This Row],[SERVICIO 2025]],$J$2:$V$14,3,0)*Tabla4[[#This Row],[TOTAL COBERTURA]])</f>
        <v>4842180</v>
      </c>
      <c r="BA693" s="35">
        <f>(VLOOKUP(Tabla4[[#This Row],[SERVICIO 2025]],$J$2:$V$14,3,0)*Tabla4[[#This Row],[TOTAL COBERTURA]])+Tabla4[[#This Row],[VALOR FASE PREPARATORIA DE CIERRE]]</f>
        <v>5863887</v>
      </c>
      <c r="BB693" s="35">
        <f>SUM(Tabla4[[#This Row],[DESEMBOLSO 1]:[DESEMBOLSO 8]])</f>
        <v>41021235</v>
      </c>
      <c r="BC693" s="35">
        <f>VLOOKUP(Tabla4[[#This Row],[SERVICIO 2025]],$J$2:$V$14,10,0)*Tabla4[[#This Row],[TOTAL COBERTURA]]*$W$3</f>
        <v>40677336</v>
      </c>
      <c r="BD693" s="47" t="s">
        <v>211</v>
      </c>
      <c r="BE693" s="12" t="b">
        <f>EXACT(Tabla4[[#This Row],[VALOR ATENCIÓN (8 MESES)]],Tabla4[[#This Row],[VALOR TOTAL]])</f>
        <v>1</v>
      </c>
      <c r="BF693" s="23">
        <f>Tabla4[[#This Row],[VALOR ATENCIÓN (8 MESES)]]-Tabla4[[#This Row],[VALOR TOTAL]]</f>
        <v>0</v>
      </c>
      <c r="BG693" s="12" t="b">
        <f>EXACT(Tabla4[[#This Row],[TOTAL DESEMBOLSOS]],Tabla4[[#This Row],[VALOR ATENCIÓN (8 MESES)]])</f>
        <v>1</v>
      </c>
      <c r="BH693" s="29">
        <f>Tabla4[[#This Row],[TOTAL DESEMBOLSOS]]-Tabla4[[#This Row],[VALOR ATENCIÓN (8 MESES)]]</f>
        <v>0</v>
      </c>
      <c r="BI693" t="s">
        <v>98</v>
      </c>
      <c r="BJ693">
        <v>1953</v>
      </c>
    </row>
    <row r="694" spans="1:62">
      <c r="A694" s="13">
        <v>1953</v>
      </c>
      <c r="B694" s="13" t="s">
        <v>1564</v>
      </c>
      <c r="C694" s="12" t="s">
        <v>87</v>
      </c>
      <c r="D694" s="12" t="s">
        <v>88</v>
      </c>
      <c r="E694" s="12" t="s">
        <v>1565</v>
      </c>
      <c r="F694" s="12" t="s">
        <v>21</v>
      </c>
      <c r="G694" s="12" t="s">
        <v>90</v>
      </c>
      <c r="H694" s="12" t="s">
        <v>1568</v>
      </c>
      <c r="I694" s="12">
        <v>53081115516</v>
      </c>
      <c r="J694" s="12" t="s">
        <v>1569</v>
      </c>
      <c r="K694" s="12">
        <v>1</v>
      </c>
      <c r="L694" s="12">
        <v>13</v>
      </c>
      <c r="M694" s="12"/>
      <c r="N694" s="13">
        <v>1953</v>
      </c>
      <c r="O694" s="12" t="s">
        <v>93</v>
      </c>
      <c r="P694" s="12"/>
      <c r="Q694" s="12"/>
      <c r="R694" s="12" t="s">
        <v>94</v>
      </c>
      <c r="S694" s="12">
        <v>10</v>
      </c>
      <c r="T694" s="12" t="s">
        <v>95</v>
      </c>
      <c r="U694" s="12" t="s">
        <v>96</v>
      </c>
      <c r="V694" s="12">
        <f>VLOOKUP(Tabla4[[#This Row],[ZONA DEFINITIVO]],Hoja1!$A$1:$D$121,3,0)</f>
        <v>229117</v>
      </c>
      <c r="W694" s="12">
        <f>VLOOKUP(Tabla4[[#This Row],[ZONA DEFINITIVO]],Hoja1!$A$1:$D$121,2,0)</f>
        <v>15211</v>
      </c>
      <c r="X694" s="12">
        <f>VLOOKUP(Tabla4[[#This Row],[ZONA DEFINITIVO]],Hoja1!$A$1:$D$121,4,0)</f>
        <v>86025</v>
      </c>
      <c r="Y694" s="12" t="str">
        <f>+IF(Tabla4[[#This Row],[AGRUPACIONES]]=1,SUMIFS(Tabla4[UDS],Tabla4[ZONA DEFINITIVO],Tabla4[[#This Row],[ZONA DEFINITIVO]])," ")</f>
        <v xml:space="preserve"> </v>
      </c>
      <c r="Z694" s="12" t="str">
        <f>+IF(Tabla4[[#This Row],[AGRUPACIONES]]=1,SUMIFS(Tabla4[TOTAL COBERTURA],Tabla4[ZONA DEFINITIVO],Tabla4[[#This Row],[ZONA DEFINITIVO]])," ")</f>
        <v xml:space="preserve"> </v>
      </c>
      <c r="AA694" s="12"/>
      <c r="AB694" s="38">
        <v>19750965</v>
      </c>
      <c r="AC694" s="37">
        <v>0.02</v>
      </c>
      <c r="AD694" s="38">
        <f t="shared" si="11"/>
        <v>395019.3</v>
      </c>
      <c r="AE694" s="12"/>
      <c r="AF694" s="12">
        <f>COUNTIF($A$20:A694,A694)</f>
        <v>2</v>
      </c>
      <c r="AG694" s="38">
        <v>19750965</v>
      </c>
      <c r="AH694" s="38">
        <f>Tabla4[[#This Row],[VALOR CONTRAPARTIDA]]+Tabla4[[#This Row],[TOTAL APORTES ICBF]]</f>
        <v>20145984.300000001</v>
      </c>
      <c r="AI694" s="35"/>
      <c r="AJ694" s="38"/>
      <c r="AK694" s="38"/>
      <c r="AL694" s="23"/>
      <c r="AM694" s="35">
        <f>VLOOKUP(Tabla4[[#This Row],[SERVICIO 2025]],$J$2:$V$14,5,0)*Tabla4[[#This Row],[TOTAL COBERTURA]]</f>
        <v>607672</v>
      </c>
      <c r="AN694" s="35">
        <f>VLOOKUP(Tabla4[[#This Row],[SERVICIO 2025]],$J$2:$V$14,6,0)*Tabla4[[#This Row],[TOTAL COBERTURA]]</f>
        <v>491933</v>
      </c>
      <c r="AO694" s="35">
        <f>VLOOKUP(Tabla4[[#This Row],[SERVICIO 2025]],$J$2:$V$14,8,0)*Tabla4[[#This Row],[TOTAL COBERTURA]]</f>
        <v>0</v>
      </c>
      <c r="AP694" s="35">
        <f>VLOOKUP(Tabla4[[#This Row],[SERVICIO 2025]],$J$2:$V$14,3,0)*Tabla4[[#This Row],[TOTAL COBERTURA]]*8</f>
        <v>18651360</v>
      </c>
      <c r="AQ694" s="35"/>
      <c r="AR694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694" s="35" t="str">
        <f>+IF(Tabla4[[#This Row],[AGRUPACIONES]]=1,SUMIFS(Tabla4[VALOR TOTAL],Tabla4[ZONA DEFINITIVO],Tabla4[[#This Row],[ZONA DEFINITIVO]])," ")</f>
        <v xml:space="preserve"> </v>
      </c>
      <c r="AT694" s="27">
        <f>(VLOOKUP(Tabla4[[#This Row],[SERVICIO 2025]],$J$2:$V$14,3,0)*Tabla4[[#This Row],[TOTAL COBERTURA]])+Tabla4[[#This Row],[VALOR FASE PREPARATORIA DE ALISTAMIENTO]]+Tabla4[[#This Row],[DOTACIÓN ÚNICA]]</f>
        <v>2939092</v>
      </c>
      <c r="AU694" s="35">
        <f>(VLOOKUP(Tabla4[[#This Row],[SERVICIO 2025]],$J$2:$V$14,3,0)*Tabla4[[#This Row],[TOTAL COBERTURA]])</f>
        <v>2331420</v>
      </c>
      <c r="AV694" s="35">
        <f>(VLOOKUP(Tabla4[[#This Row],[SERVICIO 2025]],$J$2:$V$14,3,0)*Tabla4[[#This Row],[TOTAL COBERTURA]])</f>
        <v>2331420</v>
      </c>
      <c r="AW694" s="35">
        <f>(VLOOKUP(Tabla4[[#This Row],[SERVICIO 2025]],$J$2:$V$14,3,0)*Tabla4[[#This Row],[TOTAL COBERTURA]])</f>
        <v>2331420</v>
      </c>
      <c r="AX694" s="35">
        <f>(VLOOKUP(Tabla4[[#This Row],[SERVICIO 2025]],$J$2:$V$14,3,0)*Tabla4[[#This Row],[TOTAL COBERTURA]])</f>
        <v>2331420</v>
      </c>
      <c r="AY694" s="35">
        <f>(VLOOKUP(Tabla4[[#This Row],[SERVICIO 2025]],$J$2:$V$14,3,0)*Tabla4[[#This Row],[TOTAL COBERTURA]])</f>
        <v>2331420</v>
      </c>
      <c r="AZ694" s="35">
        <f>(VLOOKUP(Tabla4[[#This Row],[SERVICIO 2025]],$J$2:$V$14,3,0)*Tabla4[[#This Row],[TOTAL COBERTURA]])</f>
        <v>2331420</v>
      </c>
      <c r="BA694" s="35">
        <f>(VLOOKUP(Tabla4[[#This Row],[SERVICIO 2025]],$J$2:$V$14,3,0)*Tabla4[[#This Row],[TOTAL COBERTURA]])+Tabla4[[#This Row],[VALOR FASE PREPARATORIA DE CIERRE]]</f>
        <v>2823353</v>
      </c>
      <c r="BB694" s="35">
        <f>SUM(Tabla4[[#This Row],[DESEMBOLSO 1]:[DESEMBOLSO 8]])</f>
        <v>19750965</v>
      </c>
      <c r="BC694" s="35">
        <f>VLOOKUP(Tabla4[[#This Row],[SERVICIO 2025]],$J$2:$V$14,10,0)*Tabla4[[#This Row],[TOTAL COBERTURA]]*$W$3</f>
        <v>19585384</v>
      </c>
      <c r="BD694" s="47" t="s">
        <v>211</v>
      </c>
      <c r="BE694" s="12" t="b">
        <f>EXACT(Tabla4[[#This Row],[VALOR ATENCIÓN (8 MESES)]],Tabla4[[#This Row],[VALOR TOTAL]])</f>
        <v>1</v>
      </c>
      <c r="BF694" s="23">
        <f>Tabla4[[#This Row],[VALOR ATENCIÓN (8 MESES)]]-Tabla4[[#This Row],[VALOR TOTAL]]</f>
        <v>0</v>
      </c>
      <c r="BG694" s="12" t="b">
        <f>EXACT(Tabla4[[#This Row],[TOTAL DESEMBOLSOS]],Tabla4[[#This Row],[VALOR ATENCIÓN (8 MESES)]])</f>
        <v>1</v>
      </c>
      <c r="BH694" s="29">
        <f>Tabla4[[#This Row],[TOTAL DESEMBOLSOS]]-Tabla4[[#This Row],[VALOR ATENCIÓN (8 MESES)]]</f>
        <v>0</v>
      </c>
      <c r="BI694" t="s">
        <v>98</v>
      </c>
      <c r="BJ694">
        <v>1953</v>
      </c>
    </row>
    <row r="695" spans="1:62">
      <c r="A695" s="13">
        <v>1953</v>
      </c>
      <c r="B695" s="13" t="s">
        <v>1564</v>
      </c>
      <c r="C695" s="12" t="s">
        <v>87</v>
      </c>
      <c r="D695" s="12" t="s">
        <v>88</v>
      </c>
      <c r="E695" s="12" t="s">
        <v>1565</v>
      </c>
      <c r="F695" s="12" t="s">
        <v>21</v>
      </c>
      <c r="G695" s="12" t="s">
        <v>90</v>
      </c>
      <c r="H695" s="12" t="s">
        <v>1570</v>
      </c>
      <c r="I695" s="12">
        <v>53081115519</v>
      </c>
      <c r="J695" s="12" t="s">
        <v>1571</v>
      </c>
      <c r="K695" s="12">
        <v>1</v>
      </c>
      <c r="L695" s="12">
        <v>15</v>
      </c>
      <c r="M695" s="12"/>
      <c r="N695" s="13">
        <v>1953</v>
      </c>
      <c r="O695" s="12" t="s">
        <v>93</v>
      </c>
      <c r="P695" s="12"/>
      <c r="Q695" s="12"/>
      <c r="R695" s="12" t="s">
        <v>94</v>
      </c>
      <c r="S695" s="12">
        <v>10</v>
      </c>
      <c r="T695" s="12" t="s">
        <v>95</v>
      </c>
      <c r="U695" s="12" t="s">
        <v>96</v>
      </c>
      <c r="V695" s="12">
        <f>VLOOKUP(Tabla4[[#This Row],[ZONA DEFINITIVO]],Hoja1!$A$1:$D$121,3,0)</f>
        <v>229117</v>
      </c>
      <c r="W695" s="12">
        <f>VLOOKUP(Tabla4[[#This Row],[ZONA DEFINITIVO]],Hoja1!$A$1:$D$121,2,0)</f>
        <v>15211</v>
      </c>
      <c r="X695" s="12">
        <f>VLOOKUP(Tabla4[[#This Row],[ZONA DEFINITIVO]],Hoja1!$A$1:$D$121,4,0)</f>
        <v>86025</v>
      </c>
      <c r="Y695" s="12" t="str">
        <f>+IF(Tabla4[[#This Row],[AGRUPACIONES]]=1,SUMIFS(Tabla4[UDS],Tabla4[ZONA DEFINITIVO],Tabla4[[#This Row],[ZONA DEFINITIVO]])," ")</f>
        <v xml:space="preserve"> </v>
      </c>
      <c r="Z695" s="12" t="str">
        <f>+IF(Tabla4[[#This Row],[AGRUPACIONES]]=1,SUMIFS(Tabla4[TOTAL COBERTURA],Tabla4[ZONA DEFINITIVO],Tabla4[[#This Row],[ZONA DEFINITIVO]])," ")</f>
        <v xml:space="preserve"> </v>
      </c>
      <c r="AA695" s="12"/>
      <c r="AB695" s="38">
        <v>22789575</v>
      </c>
      <c r="AC695" s="37">
        <v>0.02</v>
      </c>
      <c r="AD695" s="38">
        <f t="shared" si="11"/>
        <v>455791.5</v>
      </c>
      <c r="AE695" s="12"/>
      <c r="AF695" s="12">
        <f>COUNTIF($A$20:A695,A695)</f>
        <v>3</v>
      </c>
      <c r="AG695" s="38">
        <v>22789575</v>
      </c>
      <c r="AH695" s="38">
        <f>Tabla4[[#This Row],[VALOR CONTRAPARTIDA]]+Tabla4[[#This Row],[TOTAL APORTES ICBF]]</f>
        <v>23245366.5</v>
      </c>
      <c r="AI695" s="35"/>
      <c r="AJ695" s="38"/>
      <c r="AK695" s="38"/>
      <c r="AL695" s="23"/>
      <c r="AM695" s="35">
        <f>VLOOKUP(Tabla4[[#This Row],[SERVICIO 2025]],$J$2:$V$14,5,0)*Tabla4[[#This Row],[TOTAL COBERTURA]]</f>
        <v>701160</v>
      </c>
      <c r="AN695" s="35">
        <f>VLOOKUP(Tabla4[[#This Row],[SERVICIO 2025]],$J$2:$V$14,6,0)*Tabla4[[#This Row],[TOTAL COBERTURA]]</f>
        <v>567615</v>
      </c>
      <c r="AO695" s="35">
        <f>VLOOKUP(Tabla4[[#This Row],[SERVICIO 2025]],$J$2:$V$14,8,0)*Tabla4[[#This Row],[TOTAL COBERTURA]]</f>
        <v>0</v>
      </c>
      <c r="AP695" s="35">
        <f>VLOOKUP(Tabla4[[#This Row],[SERVICIO 2025]],$J$2:$V$14,3,0)*Tabla4[[#This Row],[TOTAL COBERTURA]]*8</f>
        <v>21520800</v>
      </c>
      <c r="AQ695" s="35"/>
      <c r="AR695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695" s="35" t="str">
        <f>+IF(Tabla4[[#This Row],[AGRUPACIONES]]=1,SUMIFS(Tabla4[VALOR TOTAL],Tabla4[ZONA DEFINITIVO],Tabla4[[#This Row],[ZONA DEFINITIVO]])," ")</f>
        <v xml:space="preserve"> </v>
      </c>
      <c r="AT695" s="27">
        <f>(VLOOKUP(Tabla4[[#This Row],[SERVICIO 2025]],$J$2:$V$14,3,0)*Tabla4[[#This Row],[TOTAL COBERTURA]])+Tabla4[[#This Row],[VALOR FASE PREPARATORIA DE ALISTAMIENTO]]+Tabla4[[#This Row],[DOTACIÓN ÚNICA]]</f>
        <v>3391260</v>
      </c>
      <c r="AU695" s="35">
        <f>(VLOOKUP(Tabla4[[#This Row],[SERVICIO 2025]],$J$2:$V$14,3,0)*Tabla4[[#This Row],[TOTAL COBERTURA]])</f>
        <v>2690100</v>
      </c>
      <c r="AV695" s="35">
        <f>(VLOOKUP(Tabla4[[#This Row],[SERVICIO 2025]],$J$2:$V$14,3,0)*Tabla4[[#This Row],[TOTAL COBERTURA]])</f>
        <v>2690100</v>
      </c>
      <c r="AW695" s="35">
        <f>(VLOOKUP(Tabla4[[#This Row],[SERVICIO 2025]],$J$2:$V$14,3,0)*Tabla4[[#This Row],[TOTAL COBERTURA]])</f>
        <v>2690100</v>
      </c>
      <c r="AX695" s="35">
        <f>(VLOOKUP(Tabla4[[#This Row],[SERVICIO 2025]],$J$2:$V$14,3,0)*Tabla4[[#This Row],[TOTAL COBERTURA]])</f>
        <v>2690100</v>
      </c>
      <c r="AY695" s="35">
        <f>(VLOOKUP(Tabla4[[#This Row],[SERVICIO 2025]],$J$2:$V$14,3,0)*Tabla4[[#This Row],[TOTAL COBERTURA]])</f>
        <v>2690100</v>
      </c>
      <c r="AZ695" s="35">
        <f>(VLOOKUP(Tabla4[[#This Row],[SERVICIO 2025]],$J$2:$V$14,3,0)*Tabla4[[#This Row],[TOTAL COBERTURA]])</f>
        <v>2690100</v>
      </c>
      <c r="BA695" s="35">
        <f>(VLOOKUP(Tabla4[[#This Row],[SERVICIO 2025]],$J$2:$V$14,3,0)*Tabla4[[#This Row],[TOTAL COBERTURA]])+Tabla4[[#This Row],[VALOR FASE PREPARATORIA DE CIERRE]]</f>
        <v>3257715</v>
      </c>
      <c r="BB695" s="35">
        <f>SUM(Tabla4[[#This Row],[DESEMBOLSO 1]:[DESEMBOLSO 8]])</f>
        <v>22789575</v>
      </c>
      <c r="BC695" s="35">
        <f>VLOOKUP(Tabla4[[#This Row],[SERVICIO 2025]],$J$2:$V$14,10,0)*Tabla4[[#This Row],[TOTAL COBERTURA]]*$W$3</f>
        <v>22598520</v>
      </c>
      <c r="BD695" s="47" t="s">
        <v>211</v>
      </c>
      <c r="BE695" s="12" t="b">
        <f>EXACT(Tabla4[[#This Row],[VALOR ATENCIÓN (8 MESES)]],Tabla4[[#This Row],[VALOR TOTAL]])</f>
        <v>1</v>
      </c>
      <c r="BF695" s="23">
        <f>Tabla4[[#This Row],[VALOR ATENCIÓN (8 MESES)]]-Tabla4[[#This Row],[VALOR TOTAL]]</f>
        <v>0</v>
      </c>
      <c r="BG695" s="12" t="b">
        <f>EXACT(Tabla4[[#This Row],[TOTAL DESEMBOLSOS]],Tabla4[[#This Row],[VALOR ATENCIÓN (8 MESES)]])</f>
        <v>1</v>
      </c>
      <c r="BH695" s="29">
        <f>Tabla4[[#This Row],[TOTAL DESEMBOLSOS]]-Tabla4[[#This Row],[VALOR ATENCIÓN (8 MESES)]]</f>
        <v>0</v>
      </c>
      <c r="BI695" t="s">
        <v>98</v>
      </c>
      <c r="BJ695">
        <v>1953</v>
      </c>
    </row>
    <row r="696" spans="1:62">
      <c r="A696" s="13">
        <v>1953</v>
      </c>
      <c r="B696" s="13" t="s">
        <v>1564</v>
      </c>
      <c r="C696" s="12" t="s">
        <v>87</v>
      </c>
      <c r="D696" s="12" t="s">
        <v>88</v>
      </c>
      <c r="E696" s="12" t="s">
        <v>1565</v>
      </c>
      <c r="F696" s="12" t="s">
        <v>21</v>
      </c>
      <c r="G696" s="12" t="s">
        <v>90</v>
      </c>
      <c r="H696" s="12" t="s">
        <v>1572</v>
      </c>
      <c r="I696" s="12">
        <v>53081136388</v>
      </c>
      <c r="J696" s="12" t="s">
        <v>1573</v>
      </c>
      <c r="K696" s="12">
        <v>1</v>
      </c>
      <c r="L696" s="12">
        <v>19</v>
      </c>
      <c r="M696" s="12"/>
      <c r="N696" s="13">
        <v>1953</v>
      </c>
      <c r="O696" s="12" t="s">
        <v>93</v>
      </c>
      <c r="P696" s="12"/>
      <c r="Q696" s="12"/>
      <c r="R696" s="12" t="s">
        <v>94</v>
      </c>
      <c r="S696" s="12">
        <v>10</v>
      </c>
      <c r="T696" s="12" t="s">
        <v>95</v>
      </c>
      <c r="U696" s="12" t="s">
        <v>96</v>
      </c>
      <c r="V696" s="12">
        <f>VLOOKUP(Tabla4[[#This Row],[ZONA DEFINITIVO]],Hoja1!$A$1:$D$121,3,0)</f>
        <v>229117</v>
      </c>
      <c r="W696" s="12">
        <f>VLOOKUP(Tabla4[[#This Row],[ZONA DEFINITIVO]],Hoja1!$A$1:$D$121,2,0)</f>
        <v>15211</v>
      </c>
      <c r="X696" s="12">
        <f>VLOOKUP(Tabla4[[#This Row],[ZONA DEFINITIVO]],Hoja1!$A$1:$D$121,4,0)</f>
        <v>86025</v>
      </c>
      <c r="Y696" s="12" t="str">
        <f>+IF(Tabla4[[#This Row],[AGRUPACIONES]]=1,SUMIFS(Tabla4[UDS],Tabla4[ZONA DEFINITIVO],Tabla4[[#This Row],[ZONA DEFINITIVO]])," ")</f>
        <v xml:space="preserve"> </v>
      </c>
      <c r="Z696" s="12" t="str">
        <f>+IF(Tabla4[[#This Row],[AGRUPACIONES]]=1,SUMIFS(Tabla4[TOTAL COBERTURA],Tabla4[ZONA DEFINITIVO],Tabla4[[#This Row],[ZONA DEFINITIVO]])," ")</f>
        <v xml:space="preserve"> </v>
      </c>
      <c r="AA696" s="12"/>
      <c r="AB696" s="38">
        <v>28866795</v>
      </c>
      <c r="AC696" s="37">
        <v>0.02</v>
      </c>
      <c r="AD696" s="38">
        <f t="shared" si="11"/>
        <v>577335.9</v>
      </c>
      <c r="AE696" s="12"/>
      <c r="AF696" s="12">
        <f>COUNTIF($A$20:A696,A696)</f>
        <v>4</v>
      </c>
      <c r="AG696" s="38">
        <v>28866795</v>
      </c>
      <c r="AH696" s="38">
        <f>Tabla4[[#This Row],[VALOR CONTRAPARTIDA]]+Tabla4[[#This Row],[TOTAL APORTES ICBF]]</f>
        <v>29444130.899999999</v>
      </c>
      <c r="AI696" s="35"/>
      <c r="AJ696" s="38"/>
      <c r="AK696" s="38"/>
      <c r="AL696" s="23"/>
      <c r="AM696" s="35">
        <f>VLOOKUP(Tabla4[[#This Row],[SERVICIO 2025]],$J$2:$V$14,5,0)*Tabla4[[#This Row],[TOTAL COBERTURA]]</f>
        <v>888136</v>
      </c>
      <c r="AN696" s="35">
        <f>VLOOKUP(Tabla4[[#This Row],[SERVICIO 2025]],$J$2:$V$14,6,0)*Tabla4[[#This Row],[TOTAL COBERTURA]]</f>
        <v>718979</v>
      </c>
      <c r="AO696" s="35">
        <f>VLOOKUP(Tabla4[[#This Row],[SERVICIO 2025]],$J$2:$V$14,8,0)*Tabla4[[#This Row],[TOTAL COBERTURA]]</f>
        <v>0</v>
      </c>
      <c r="AP696" s="35">
        <f>VLOOKUP(Tabla4[[#This Row],[SERVICIO 2025]],$J$2:$V$14,3,0)*Tabla4[[#This Row],[TOTAL COBERTURA]]*8</f>
        <v>27259680</v>
      </c>
      <c r="AQ696" s="35"/>
      <c r="AR696" s="35">
        <f>Tabla4[[#This Row],[VALOR FASE PREPARATORIA DE ALISTAMIENTO]]+Tabla4[[#This Row],[VALOR FASE PREPARATORIA DE CIERRE]]+Tabla4[[#This Row],[DOTACIÓN ÚNICA]]+Tabla4[[#This Row],[VALOR ATENCIÓN]]+Tabla4[[#This Row],[VALOR RACION PREPARADA]]</f>
        <v>28866795</v>
      </c>
      <c r="AS696" s="35" t="str">
        <f>+IF(Tabla4[[#This Row],[AGRUPACIONES]]=1,SUMIFS(Tabla4[VALOR TOTAL],Tabla4[ZONA DEFINITIVO],Tabla4[[#This Row],[ZONA DEFINITIVO]])," ")</f>
        <v xml:space="preserve"> </v>
      </c>
      <c r="AT696" s="27">
        <f>(VLOOKUP(Tabla4[[#This Row],[SERVICIO 2025]],$J$2:$V$14,3,0)*Tabla4[[#This Row],[TOTAL COBERTURA]])+Tabla4[[#This Row],[VALOR FASE PREPARATORIA DE ALISTAMIENTO]]+Tabla4[[#This Row],[DOTACIÓN ÚNICA]]</f>
        <v>4295596</v>
      </c>
      <c r="AU696" s="35">
        <f>(VLOOKUP(Tabla4[[#This Row],[SERVICIO 2025]],$J$2:$V$14,3,0)*Tabla4[[#This Row],[TOTAL COBERTURA]])</f>
        <v>3407460</v>
      </c>
      <c r="AV696" s="35">
        <f>(VLOOKUP(Tabla4[[#This Row],[SERVICIO 2025]],$J$2:$V$14,3,0)*Tabla4[[#This Row],[TOTAL COBERTURA]])</f>
        <v>3407460</v>
      </c>
      <c r="AW696" s="35">
        <f>(VLOOKUP(Tabla4[[#This Row],[SERVICIO 2025]],$J$2:$V$14,3,0)*Tabla4[[#This Row],[TOTAL COBERTURA]])</f>
        <v>3407460</v>
      </c>
      <c r="AX696" s="35">
        <f>(VLOOKUP(Tabla4[[#This Row],[SERVICIO 2025]],$J$2:$V$14,3,0)*Tabla4[[#This Row],[TOTAL COBERTURA]])</f>
        <v>3407460</v>
      </c>
      <c r="AY696" s="35">
        <f>(VLOOKUP(Tabla4[[#This Row],[SERVICIO 2025]],$J$2:$V$14,3,0)*Tabla4[[#This Row],[TOTAL COBERTURA]])</f>
        <v>3407460</v>
      </c>
      <c r="AZ696" s="35">
        <f>(VLOOKUP(Tabla4[[#This Row],[SERVICIO 2025]],$J$2:$V$14,3,0)*Tabla4[[#This Row],[TOTAL COBERTURA]])</f>
        <v>3407460</v>
      </c>
      <c r="BA696" s="35">
        <f>(VLOOKUP(Tabla4[[#This Row],[SERVICIO 2025]],$J$2:$V$14,3,0)*Tabla4[[#This Row],[TOTAL COBERTURA]])+Tabla4[[#This Row],[VALOR FASE PREPARATORIA DE CIERRE]]</f>
        <v>4126439</v>
      </c>
      <c r="BB696" s="35">
        <f>SUM(Tabla4[[#This Row],[DESEMBOLSO 1]:[DESEMBOLSO 8]])</f>
        <v>28866795</v>
      </c>
      <c r="BC696" s="35">
        <f>VLOOKUP(Tabla4[[#This Row],[SERVICIO 2025]],$J$2:$V$14,10,0)*Tabla4[[#This Row],[TOTAL COBERTURA]]*$W$3</f>
        <v>28624792</v>
      </c>
      <c r="BD696" s="47" t="s">
        <v>211</v>
      </c>
      <c r="BE696" s="12" t="b">
        <f>EXACT(Tabla4[[#This Row],[VALOR ATENCIÓN (8 MESES)]],Tabla4[[#This Row],[VALOR TOTAL]])</f>
        <v>1</v>
      </c>
      <c r="BF696" s="23">
        <f>Tabla4[[#This Row],[VALOR ATENCIÓN (8 MESES)]]-Tabla4[[#This Row],[VALOR TOTAL]]</f>
        <v>0</v>
      </c>
      <c r="BG696" s="12" t="b">
        <f>EXACT(Tabla4[[#This Row],[TOTAL DESEMBOLSOS]],Tabla4[[#This Row],[VALOR ATENCIÓN (8 MESES)]])</f>
        <v>1</v>
      </c>
      <c r="BH696" s="29">
        <f>Tabla4[[#This Row],[TOTAL DESEMBOLSOS]]-Tabla4[[#This Row],[VALOR ATENCIÓN (8 MESES)]]</f>
        <v>0</v>
      </c>
      <c r="BI696" t="s">
        <v>98</v>
      </c>
      <c r="BJ696">
        <v>1953</v>
      </c>
    </row>
    <row r="697" spans="1:62">
      <c r="A697" s="13">
        <v>1953</v>
      </c>
      <c r="B697" s="13" t="s">
        <v>1564</v>
      </c>
      <c r="C697" s="12" t="s">
        <v>87</v>
      </c>
      <c r="D697" s="12" t="s">
        <v>88</v>
      </c>
      <c r="E697" s="12" t="s">
        <v>1565</v>
      </c>
      <c r="F697" s="12" t="s">
        <v>21</v>
      </c>
      <c r="G697" s="12" t="s">
        <v>90</v>
      </c>
      <c r="H697" s="12" t="s">
        <v>1574</v>
      </c>
      <c r="I697" s="12">
        <v>53081136441</v>
      </c>
      <c r="J697" s="12" t="s">
        <v>1575</v>
      </c>
      <c r="K697" s="12">
        <v>1</v>
      </c>
      <c r="L697" s="12">
        <v>32</v>
      </c>
      <c r="M697" s="12"/>
      <c r="N697" s="13">
        <v>1953</v>
      </c>
      <c r="O697" s="12" t="s">
        <v>93</v>
      </c>
      <c r="P697" s="12"/>
      <c r="Q697" s="12"/>
      <c r="R697" s="12" t="s">
        <v>94</v>
      </c>
      <c r="S697" s="12">
        <v>10</v>
      </c>
      <c r="T697" s="12" t="s">
        <v>95</v>
      </c>
      <c r="U697" s="12" t="s">
        <v>96</v>
      </c>
      <c r="V697" s="12">
        <f>VLOOKUP(Tabla4[[#This Row],[ZONA DEFINITIVO]],Hoja1!$A$1:$D$121,3,0)</f>
        <v>229117</v>
      </c>
      <c r="W697" s="12">
        <f>VLOOKUP(Tabla4[[#This Row],[ZONA DEFINITIVO]],Hoja1!$A$1:$D$121,2,0)</f>
        <v>15211</v>
      </c>
      <c r="X697" s="12">
        <f>VLOOKUP(Tabla4[[#This Row],[ZONA DEFINITIVO]],Hoja1!$A$1:$D$121,4,0)</f>
        <v>86025</v>
      </c>
      <c r="Y697" s="12" t="str">
        <f>+IF(Tabla4[[#This Row],[AGRUPACIONES]]=1,SUMIFS(Tabla4[UDS],Tabla4[ZONA DEFINITIVO],Tabla4[[#This Row],[ZONA DEFINITIVO]])," ")</f>
        <v xml:space="preserve"> </v>
      </c>
      <c r="Z697" s="12" t="str">
        <f>+IF(Tabla4[[#This Row],[AGRUPACIONES]]=1,SUMIFS(Tabla4[TOTAL COBERTURA],Tabla4[ZONA DEFINITIVO],Tabla4[[#This Row],[ZONA DEFINITIVO]])," ")</f>
        <v xml:space="preserve"> </v>
      </c>
      <c r="AA697" s="12"/>
      <c r="AB697" s="38">
        <v>48617760</v>
      </c>
      <c r="AC697" s="37">
        <v>0.02</v>
      </c>
      <c r="AD697" s="38">
        <f t="shared" si="11"/>
        <v>972355.20000000007</v>
      </c>
      <c r="AE697" s="12"/>
      <c r="AF697" s="12">
        <f>COUNTIF($A$20:A697,A697)</f>
        <v>5</v>
      </c>
      <c r="AG697" s="38">
        <v>48617760</v>
      </c>
      <c r="AH697" s="38">
        <f>Tabla4[[#This Row],[VALOR CONTRAPARTIDA]]+Tabla4[[#This Row],[TOTAL APORTES ICBF]]</f>
        <v>49590115.200000003</v>
      </c>
      <c r="AI697" s="35"/>
      <c r="AJ697" s="38"/>
      <c r="AK697" s="38"/>
      <c r="AL697" s="23"/>
      <c r="AM697" s="35">
        <f>VLOOKUP(Tabla4[[#This Row],[SERVICIO 2025]],$J$2:$V$14,5,0)*Tabla4[[#This Row],[TOTAL COBERTURA]]</f>
        <v>1495808</v>
      </c>
      <c r="AN697" s="35">
        <f>VLOOKUP(Tabla4[[#This Row],[SERVICIO 2025]],$J$2:$V$14,6,0)*Tabla4[[#This Row],[TOTAL COBERTURA]]</f>
        <v>1210912</v>
      </c>
      <c r="AO697" s="35">
        <f>VLOOKUP(Tabla4[[#This Row],[SERVICIO 2025]],$J$2:$V$14,8,0)*Tabla4[[#This Row],[TOTAL COBERTURA]]</f>
        <v>0</v>
      </c>
      <c r="AP697" s="35">
        <f>VLOOKUP(Tabla4[[#This Row],[SERVICIO 2025]],$J$2:$V$14,3,0)*Tabla4[[#This Row],[TOTAL COBERTURA]]*8</f>
        <v>45911040</v>
      </c>
      <c r="AQ697" s="35"/>
      <c r="AR697" s="35">
        <f>Tabla4[[#This Row],[VALOR FASE PREPARATORIA DE ALISTAMIENTO]]+Tabla4[[#This Row],[VALOR FASE PREPARATORIA DE CIERRE]]+Tabla4[[#This Row],[DOTACIÓN ÚNICA]]+Tabla4[[#This Row],[VALOR ATENCIÓN]]+Tabla4[[#This Row],[VALOR RACION PREPARADA]]</f>
        <v>48617760</v>
      </c>
      <c r="AS697" s="35" t="str">
        <f>+IF(Tabla4[[#This Row],[AGRUPACIONES]]=1,SUMIFS(Tabla4[VALOR TOTAL],Tabla4[ZONA DEFINITIVO],Tabla4[[#This Row],[ZONA DEFINITIVO]])," ")</f>
        <v xml:space="preserve"> </v>
      </c>
      <c r="AT697" s="27">
        <f>(VLOOKUP(Tabla4[[#This Row],[SERVICIO 2025]],$J$2:$V$14,3,0)*Tabla4[[#This Row],[TOTAL COBERTURA]])+Tabla4[[#This Row],[VALOR FASE PREPARATORIA DE ALISTAMIENTO]]+Tabla4[[#This Row],[DOTACIÓN ÚNICA]]</f>
        <v>7234688</v>
      </c>
      <c r="AU697" s="35">
        <f>(VLOOKUP(Tabla4[[#This Row],[SERVICIO 2025]],$J$2:$V$14,3,0)*Tabla4[[#This Row],[TOTAL COBERTURA]])</f>
        <v>5738880</v>
      </c>
      <c r="AV697" s="35">
        <f>(VLOOKUP(Tabla4[[#This Row],[SERVICIO 2025]],$J$2:$V$14,3,0)*Tabla4[[#This Row],[TOTAL COBERTURA]])</f>
        <v>5738880</v>
      </c>
      <c r="AW697" s="35">
        <f>(VLOOKUP(Tabla4[[#This Row],[SERVICIO 2025]],$J$2:$V$14,3,0)*Tabla4[[#This Row],[TOTAL COBERTURA]])</f>
        <v>5738880</v>
      </c>
      <c r="AX697" s="35">
        <f>(VLOOKUP(Tabla4[[#This Row],[SERVICIO 2025]],$J$2:$V$14,3,0)*Tabla4[[#This Row],[TOTAL COBERTURA]])</f>
        <v>5738880</v>
      </c>
      <c r="AY697" s="35">
        <f>(VLOOKUP(Tabla4[[#This Row],[SERVICIO 2025]],$J$2:$V$14,3,0)*Tabla4[[#This Row],[TOTAL COBERTURA]])</f>
        <v>5738880</v>
      </c>
      <c r="AZ697" s="35">
        <f>(VLOOKUP(Tabla4[[#This Row],[SERVICIO 2025]],$J$2:$V$14,3,0)*Tabla4[[#This Row],[TOTAL COBERTURA]])</f>
        <v>5738880</v>
      </c>
      <c r="BA697" s="35">
        <f>(VLOOKUP(Tabla4[[#This Row],[SERVICIO 2025]],$J$2:$V$14,3,0)*Tabla4[[#This Row],[TOTAL COBERTURA]])+Tabla4[[#This Row],[VALOR FASE PREPARATORIA DE CIERRE]]</f>
        <v>6949792</v>
      </c>
      <c r="BB697" s="35">
        <f>SUM(Tabla4[[#This Row],[DESEMBOLSO 1]:[DESEMBOLSO 8]])</f>
        <v>48617760</v>
      </c>
      <c r="BC697" s="35">
        <f>VLOOKUP(Tabla4[[#This Row],[SERVICIO 2025]],$J$2:$V$14,10,0)*Tabla4[[#This Row],[TOTAL COBERTURA]]*$W$3</f>
        <v>48210176</v>
      </c>
      <c r="BD697" s="47" t="s">
        <v>211</v>
      </c>
      <c r="BE697" s="12" t="b">
        <f>EXACT(Tabla4[[#This Row],[VALOR ATENCIÓN (8 MESES)]],Tabla4[[#This Row],[VALOR TOTAL]])</f>
        <v>1</v>
      </c>
      <c r="BF697" s="23">
        <f>Tabla4[[#This Row],[VALOR ATENCIÓN (8 MESES)]]-Tabla4[[#This Row],[VALOR TOTAL]]</f>
        <v>0</v>
      </c>
      <c r="BG697" s="12" t="b">
        <f>EXACT(Tabla4[[#This Row],[TOTAL DESEMBOLSOS]],Tabla4[[#This Row],[VALOR ATENCIÓN (8 MESES)]])</f>
        <v>1</v>
      </c>
      <c r="BH697" s="29">
        <f>Tabla4[[#This Row],[TOTAL DESEMBOLSOS]]-Tabla4[[#This Row],[VALOR ATENCIÓN (8 MESES)]]</f>
        <v>0</v>
      </c>
      <c r="BI697" t="s">
        <v>98</v>
      </c>
      <c r="BJ697">
        <v>1953</v>
      </c>
    </row>
    <row r="698" spans="1:62">
      <c r="A698" s="13">
        <v>1953</v>
      </c>
      <c r="B698" s="13" t="s">
        <v>1564</v>
      </c>
      <c r="C698" s="12" t="s">
        <v>87</v>
      </c>
      <c r="D698" s="12" t="s">
        <v>88</v>
      </c>
      <c r="E698" s="12" t="s">
        <v>1565</v>
      </c>
      <c r="F698" s="12" t="s">
        <v>21</v>
      </c>
      <c r="G698" s="12" t="s">
        <v>90</v>
      </c>
      <c r="H698" s="12" t="s">
        <v>1576</v>
      </c>
      <c r="I698" s="12">
        <v>53081136442</v>
      </c>
      <c r="J698" s="12" t="s">
        <v>1577</v>
      </c>
      <c r="K698" s="12">
        <v>1</v>
      </c>
      <c r="L698" s="12">
        <v>12</v>
      </c>
      <c r="M698" s="12"/>
      <c r="N698" s="13">
        <v>1953</v>
      </c>
      <c r="O698" s="12" t="s">
        <v>93</v>
      </c>
      <c r="P698" s="12"/>
      <c r="Q698" s="12"/>
      <c r="R698" s="12" t="s">
        <v>94</v>
      </c>
      <c r="S698" s="12">
        <v>10</v>
      </c>
      <c r="T698" s="12" t="s">
        <v>95</v>
      </c>
      <c r="U698" s="12" t="s">
        <v>96</v>
      </c>
      <c r="V698" s="12">
        <f>VLOOKUP(Tabla4[[#This Row],[ZONA DEFINITIVO]],Hoja1!$A$1:$D$121,3,0)</f>
        <v>229117</v>
      </c>
      <c r="W698" s="12">
        <f>VLOOKUP(Tabla4[[#This Row],[ZONA DEFINITIVO]],Hoja1!$A$1:$D$121,2,0)</f>
        <v>15211</v>
      </c>
      <c r="X698" s="12">
        <f>VLOOKUP(Tabla4[[#This Row],[ZONA DEFINITIVO]],Hoja1!$A$1:$D$121,4,0)</f>
        <v>86025</v>
      </c>
      <c r="Y698" s="12" t="str">
        <f>+IF(Tabla4[[#This Row],[AGRUPACIONES]]=1,SUMIFS(Tabla4[UDS],Tabla4[ZONA DEFINITIVO],Tabla4[[#This Row],[ZONA DEFINITIVO]])," ")</f>
        <v xml:space="preserve"> </v>
      </c>
      <c r="Z698" s="12" t="str">
        <f>+IF(Tabla4[[#This Row],[AGRUPACIONES]]=1,SUMIFS(Tabla4[TOTAL COBERTURA],Tabla4[ZONA DEFINITIVO],Tabla4[[#This Row],[ZONA DEFINITIVO]])," ")</f>
        <v xml:space="preserve"> </v>
      </c>
      <c r="AA698" s="12"/>
      <c r="AB698" s="38">
        <v>18231660</v>
      </c>
      <c r="AC698" s="37">
        <v>0.02</v>
      </c>
      <c r="AD698" s="38">
        <f t="shared" si="11"/>
        <v>364633.2</v>
      </c>
      <c r="AE698" s="12"/>
      <c r="AF698" s="12">
        <f>COUNTIF($A$20:A698,A698)</f>
        <v>6</v>
      </c>
      <c r="AG698" s="38">
        <v>18231660</v>
      </c>
      <c r="AH698" s="38">
        <f>Tabla4[[#This Row],[VALOR CONTRAPARTIDA]]+Tabla4[[#This Row],[TOTAL APORTES ICBF]]</f>
        <v>18596293.199999999</v>
      </c>
      <c r="AI698" s="35"/>
      <c r="AJ698" s="38"/>
      <c r="AK698" s="38"/>
      <c r="AL698" s="23"/>
      <c r="AM698" s="35">
        <f>VLOOKUP(Tabla4[[#This Row],[SERVICIO 2025]],$J$2:$V$14,5,0)*Tabla4[[#This Row],[TOTAL COBERTURA]]</f>
        <v>560928</v>
      </c>
      <c r="AN698" s="35">
        <f>VLOOKUP(Tabla4[[#This Row],[SERVICIO 2025]],$J$2:$V$14,6,0)*Tabla4[[#This Row],[TOTAL COBERTURA]]</f>
        <v>454092</v>
      </c>
      <c r="AO698" s="35">
        <f>VLOOKUP(Tabla4[[#This Row],[SERVICIO 2025]],$J$2:$V$14,8,0)*Tabla4[[#This Row],[TOTAL COBERTURA]]</f>
        <v>0</v>
      </c>
      <c r="AP698" s="35">
        <f>VLOOKUP(Tabla4[[#This Row],[SERVICIO 2025]],$J$2:$V$14,3,0)*Tabla4[[#This Row],[TOTAL COBERTURA]]*8</f>
        <v>17216640</v>
      </c>
      <c r="AQ698" s="35"/>
      <c r="AR698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698" s="35" t="str">
        <f>+IF(Tabla4[[#This Row],[AGRUPACIONES]]=1,SUMIFS(Tabla4[VALOR TOTAL],Tabla4[ZONA DEFINITIVO],Tabla4[[#This Row],[ZONA DEFINITIVO]])," ")</f>
        <v xml:space="preserve"> </v>
      </c>
      <c r="AT698" s="27">
        <f>(VLOOKUP(Tabla4[[#This Row],[SERVICIO 2025]],$J$2:$V$14,3,0)*Tabla4[[#This Row],[TOTAL COBERTURA]])+Tabla4[[#This Row],[VALOR FASE PREPARATORIA DE ALISTAMIENTO]]+Tabla4[[#This Row],[DOTACIÓN ÚNICA]]</f>
        <v>2713008</v>
      </c>
      <c r="AU698" s="35">
        <f>(VLOOKUP(Tabla4[[#This Row],[SERVICIO 2025]],$J$2:$V$14,3,0)*Tabla4[[#This Row],[TOTAL COBERTURA]])</f>
        <v>2152080</v>
      </c>
      <c r="AV698" s="35">
        <f>(VLOOKUP(Tabla4[[#This Row],[SERVICIO 2025]],$J$2:$V$14,3,0)*Tabla4[[#This Row],[TOTAL COBERTURA]])</f>
        <v>2152080</v>
      </c>
      <c r="AW698" s="35">
        <f>(VLOOKUP(Tabla4[[#This Row],[SERVICIO 2025]],$J$2:$V$14,3,0)*Tabla4[[#This Row],[TOTAL COBERTURA]])</f>
        <v>2152080</v>
      </c>
      <c r="AX698" s="35">
        <f>(VLOOKUP(Tabla4[[#This Row],[SERVICIO 2025]],$J$2:$V$14,3,0)*Tabla4[[#This Row],[TOTAL COBERTURA]])</f>
        <v>2152080</v>
      </c>
      <c r="AY698" s="35">
        <f>(VLOOKUP(Tabla4[[#This Row],[SERVICIO 2025]],$J$2:$V$14,3,0)*Tabla4[[#This Row],[TOTAL COBERTURA]])</f>
        <v>2152080</v>
      </c>
      <c r="AZ698" s="35">
        <f>(VLOOKUP(Tabla4[[#This Row],[SERVICIO 2025]],$J$2:$V$14,3,0)*Tabla4[[#This Row],[TOTAL COBERTURA]])</f>
        <v>2152080</v>
      </c>
      <c r="BA698" s="35">
        <f>(VLOOKUP(Tabla4[[#This Row],[SERVICIO 2025]],$J$2:$V$14,3,0)*Tabla4[[#This Row],[TOTAL COBERTURA]])+Tabla4[[#This Row],[VALOR FASE PREPARATORIA DE CIERRE]]</f>
        <v>2606172</v>
      </c>
      <c r="BB698" s="35">
        <f>SUM(Tabla4[[#This Row],[DESEMBOLSO 1]:[DESEMBOLSO 8]])</f>
        <v>18231660</v>
      </c>
      <c r="BC698" s="35">
        <f>VLOOKUP(Tabla4[[#This Row],[SERVICIO 2025]],$J$2:$V$14,10,0)*Tabla4[[#This Row],[TOTAL COBERTURA]]*$W$3</f>
        <v>18078816</v>
      </c>
      <c r="BD698" s="47" t="s">
        <v>211</v>
      </c>
      <c r="BE698" s="12" t="b">
        <f>EXACT(Tabla4[[#This Row],[VALOR ATENCIÓN (8 MESES)]],Tabla4[[#This Row],[VALOR TOTAL]])</f>
        <v>1</v>
      </c>
      <c r="BF698" s="23">
        <f>Tabla4[[#This Row],[VALOR ATENCIÓN (8 MESES)]]-Tabla4[[#This Row],[VALOR TOTAL]]</f>
        <v>0</v>
      </c>
      <c r="BG698" s="12" t="b">
        <f>EXACT(Tabla4[[#This Row],[TOTAL DESEMBOLSOS]],Tabla4[[#This Row],[VALOR ATENCIÓN (8 MESES)]])</f>
        <v>1</v>
      </c>
      <c r="BH698" s="29">
        <f>Tabla4[[#This Row],[TOTAL DESEMBOLSOS]]-Tabla4[[#This Row],[VALOR ATENCIÓN (8 MESES)]]</f>
        <v>0</v>
      </c>
      <c r="BI698" t="s">
        <v>98</v>
      </c>
      <c r="BJ698">
        <v>1953</v>
      </c>
    </row>
    <row r="699" spans="1:62">
      <c r="A699" s="13">
        <v>1953</v>
      </c>
      <c r="B699" s="13" t="s">
        <v>1564</v>
      </c>
      <c r="C699" s="12" t="s">
        <v>87</v>
      </c>
      <c r="D699" s="12" t="s">
        <v>88</v>
      </c>
      <c r="E699" s="12" t="s">
        <v>1565</v>
      </c>
      <c r="F699" s="12" t="s">
        <v>21</v>
      </c>
      <c r="G699" s="12" t="s">
        <v>90</v>
      </c>
      <c r="H699" s="12" t="s">
        <v>1578</v>
      </c>
      <c r="I699" s="12">
        <v>53081136443</v>
      </c>
      <c r="J699" s="12" t="s">
        <v>1579</v>
      </c>
      <c r="K699" s="12">
        <v>1</v>
      </c>
      <c r="L699" s="12">
        <v>31</v>
      </c>
      <c r="M699" s="12"/>
      <c r="N699" s="13">
        <v>1953</v>
      </c>
      <c r="O699" s="12" t="s">
        <v>93</v>
      </c>
      <c r="P699" s="12"/>
      <c r="Q699" s="12"/>
      <c r="R699" s="12" t="s">
        <v>94</v>
      </c>
      <c r="S699" s="12">
        <v>10</v>
      </c>
      <c r="T699" s="12" t="s">
        <v>95</v>
      </c>
      <c r="U699" s="12" t="s">
        <v>96</v>
      </c>
      <c r="V699" s="12">
        <f>VLOOKUP(Tabla4[[#This Row],[ZONA DEFINITIVO]],Hoja1!$A$1:$D$121,3,0)</f>
        <v>229117</v>
      </c>
      <c r="W699" s="12">
        <f>VLOOKUP(Tabla4[[#This Row],[ZONA DEFINITIVO]],Hoja1!$A$1:$D$121,2,0)</f>
        <v>15211</v>
      </c>
      <c r="X699" s="12">
        <f>VLOOKUP(Tabla4[[#This Row],[ZONA DEFINITIVO]],Hoja1!$A$1:$D$121,4,0)</f>
        <v>86025</v>
      </c>
      <c r="Y699" s="12" t="str">
        <f>+IF(Tabla4[[#This Row],[AGRUPACIONES]]=1,SUMIFS(Tabla4[UDS],Tabla4[ZONA DEFINITIVO],Tabla4[[#This Row],[ZONA DEFINITIVO]])," ")</f>
        <v xml:space="preserve"> </v>
      </c>
      <c r="Z699" s="12" t="str">
        <f>+IF(Tabla4[[#This Row],[AGRUPACIONES]]=1,SUMIFS(Tabla4[TOTAL COBERTURA],Tabla4[ZONA DEFINITIVO],Tabla4[[#This Row],[ZONA DEFINITIVO]])," ")</f>
        <v xml:space="preserve"> </v>
      </c>
      <c r="AA699" s="12"/>
      <c r="AB699" s="38">
        <v>47098455</v>
      </c>
      <c r="AC699" s="37">
        <v>0.02</v>
      </c>
      <c r="AD699" s="38">
        <f t="shared" si="11"/>
        <v>941969.1</v>
      </c>
      <c r="AE699" s="12"/>
      <c r="AF699" s="12">
        <f>COUNTIF($A$20:A699,A699)</f>
        <v>7</v>
      </c>
      <c r="AG699" s="38">
        <v>47098455</v>
      </c>
      <c r="AH699" s="38">
        <f>Tabla4[[#This Row],[VALOR CONTRAPARTIDA]]+Tabla4[[#This Row],[TOTAL APORTES ICBF]]</f>
        <v>48040424.100000001</v>
      </c>
      <c r="AI699" s="35"/>
      <c r="AJ699" s="38"/>
      <c r="AK699" s="38"/>
      <c r="AL699" s="23"/>
      <c r="AM699" s="35">
        <f>VLOOKUP(Tabla4[[#This Row],[SERVICIO 2025]],$J$2:$V$14,5,0)*Tabla4[[#This Row],[TOTAL COBERTURA]]</f>
        <v>1449064</v>
      </c>
      <c r="AN699" s="35">
        <f>VLOOKUP(Tabla4[[#This Row],[SERVICIO 2025]],$J$2:$V$14,6,0)*Tabla4[[#This Row],[TOTAL COBERTURA]]</f>
        <v>1173071</v>
      </c>
      <c r="AO699" s="35">
        <f>VLOOKUP(Tabla4[[#This Row],[SERVICIO 2025]],$J$2:$V$14,8,0)*Tabla4[[#This Row],[TOTAL COBERTURA]]</f>
        <v>0</v>
      </c>
      <c r="AP699" s="35">
        <f>VLOOKUP(Tabla4[[#This Row],[SERVICIO 2025]],$J$2:$V$14,3,0)*Tabla4[[#This Row],[TOTAL COBERTURA]]*8</f>
        <v>44476320</v>
      </c>
      <c r="AQ699" s="35"/>
      <c r="AR699" s="35">
        <f>Tabla4[[#This Row],[VALOR FASE PREPARATORIA DE ALISTAMIENTO]]+Tabla4[[#This Row],[VALOR FASE PREPARATORIA DE CIERRE]]+Tabla4[[#This Row],[DOTACIÓN ÚNICA]]+Tabla4[[#This Row],[VALOR ATENCIÓN]]+Tabla4[[#This Row],[VALOR RACION PREPARADA]]</f>
        <v>47098455</v>
      </c>
      <c r="AS699" s="35" t="str">
        <f>+IF(Tabla4[[#This Row],[AGRUPACIONES]]=1,SUMIFS(Tabla4[VALOR TOTAL],Tabla4[ZONA DEFINITIVO],Tabla4[[#This Row],[ZONA DEFINITIVO]])," ")</f>
        <v xml:space="preserve"> </v>
      </c>
      <c r="AT699" s="27">
        <f>(VLOOKUP(Tabla4[[#This Row],[SERVICIO 2025]],$J$2:$V$14,3,0)*Tabla4[[#This Row],[TOTAL COBERTURA]])+Tabla4[[#This Row],[VALOR FASE PREPARATORIA DE ALISTAMIENTO]]+Tabla4[[#This Row],[DOTACIÓN ÚNICA]]</f>
        <v>7008604</v>
      </c>
      <c r="AU699" s="35">
        <f>(VLOOKUP(Tabla4[[#This Row],[SERVICIO 2025]],$J$2:$V$14,3,0)*Tabla4[[#This Row],[TOTAL COBERTURA]])</f>
        <v>5559540</v>
      </c>
      <c r="AV699" s="35">
        <f>(VLOOKUP(Tabla4[[#This Row],[SERVICIO 2025]],$J$2:$V$14,3,0)*Tabla4[[#This Row],[TOTAL COBERTURA]])</f>
        <v>5559540</v>
      </c>
      <c r="AW699" s="35">
        <f>(VLOOKUP(Tabla4[[#This Row],[SERVICIO 2025]],$J$2:$V$14,3,0)*Tabla4[[#This Row],[TOTAL COBERTURA]])</f>
        <v>5559540</v>
      </c>
      <c r="AX699" s="35">
        <f>(VLOOKUP(Tabla4[[#This Row],[SERVICIO 2025]],$J$2:$V$14,3,0)*Tabla4[[#This Row],[TOTAL COBERTURA]])</f>
        <v>5559540</v>
      </c>
      <c r="AY699" s="35">
        <f>(VLOOKUP(Tabla4[[#This Row],[SERVICIO 2025]],$J$2:$V$14,3,0)*Tabla4[[#This Row],[TOTAL COBERTURA]])</f>
        <v>5559540</v>
      </c>
      <c r="AZ699" s="35">
        <f>(VLOOKUP(Tabla4[[#This Row],[SERVICIO 2025]],$J$2:$V$14,3,0)*Tabla4[[#This Row],[TOTAL COBERTURA]])</f>
        <v>5559540</v>
      </c>
      <c r="BA699" s="35">
        <f>(VLOOKUP(Tabla4[[#This Row],[SERVICIO 2025]],$J$2:$V$14,3,0)*Tabla4[[#This Row],[TOTAL COBERTURA]])+Tabla4[[#This Row],[VALOR FASE PREPARATORIA DE CIERRE]]</f>
        <v>6732611</v>
      </c>
      <c r="BB699" s="35">
        <f>SUM(Tabla4[[#This Row],[DESEMBOLSO 1]:[DESEMBOLSO 8]])</f>
        <v>47098455</v>
      </c>
      <c r="BC699" s="35">
        <f>VLOOKUP(Tabla4[[#This Row],[SERVICIO 2025]],$J$2:$V$14,10,0)*Tabla4[[#This Row],[TOTAL COBERTURA]]*$W$3</f>
        <v>46703608</v>
      </c>
      <c r="BD699" s="47" t="s">
        <v>211</v>
      </c>
      <c r="BE699" s="12" t="b">
        <f>EXACT(Tabla4[[#This Row],[VALOR ATENCIÓN (8 MESES)]],Tabla4[[#This Row],[VALOR TOTAL]])</f>
        <v>1</v>
      </c>
      <c r="BF699" s="23">
        <f>Tabla4[[#This Row],[VALOR ATENCIÓN (8 MESES)]]-Tabla4[[#This Row],[VALOR TOTAL]]</f>
        <v>0</v>
      </c>
      <c r="BG699" s="12" t="b">
        <f>EXACT(Tabla4[[#This Row],[TOTAL DESEMBOLSOS]],Tabla4[[#This Row],[VALOR ATENCIÓN (8 MESES)]])</f>
        <v>1</v>
      </c>
      <c r="BH699" s="29">
        <f>Tabla4[[#This Row],[TOTAL DESEMBOLSOS]]-Tabla4[[#This Row],[VALOR ATENCIÓN (8 MESES)]]</f>
        <v>0</v>
      </c>
      <c r="BI699" t="s">
        <v>98</v>
      </c>
      <c r="BJ699">
        <v>1953</v>
      </c>
    </row>
    <row r="700" spans="1:62">
      <c r="A700" s="13">
        <v>1953</v>
      </c>
      <c r="B700" s="13" t="s">
        <v>1564</v>
      </c>
      <c r="C700" s="12" t="s">
        <v>87</v>
      </c>
      <c r="D700" s="12" t="s">
        <v>88</v>
      </c>
      <c r="E700" s="12" t="s">
        <v>1565</v>
      </c>
      <c r="F700" s="12" t="s">
        <v>21</v>
      </c>
      <c r="G700" s="12" t="s">
        <v>90</v>
      </c>
      <c r="H700" s="12" t="s">
        <v>1580</v>
      </c>
      <c r="I700" s="12">
        <v>53081136444</v>
      </c>
      <c r="J700" s="12" t="s">
        <v>1581</v>
      </c>
      <c r="K700" s="12">
        <v>1</v>
      </c>
      <c r="L700" s="12">
        <v>17</v>
      </c>
      <c r="M700" s="12"/>
      <c r="N700" s="13">
        <v>1953</v>
      </c>
      <c r="O700" s="12" t="s">
        <v>93</v>
      </c>
      <c r="P700" s="12"/>
      <c r="Q700" s="12"/>
      <c r="R700" s="12" t="s">
        <v>94</v>
      </c>
      <c r="S700" s="12">
        <v>10</v>
      </c>
      <c r="T700" s="12" t="s">
        <v>95</v>
      </c>
      <c r="U700" s="12" t="s">
        <v>96</v>
      </c>
      <c r="V700" s="12">
        <f>VLOOKUP(Tabla4[[#This Row],[ZONA DEFINITIVO]],Hoja1!$A$1:$D$121,3,0)</f>
        <v>229117</v>
      </c>
      <c r="W700" s="12">
        <f>VLOOKUP(Tabla4[[#This Row],[ZONA DEFINITIVO]],Hoja1!$A$1:$D$121,2,0)</f>
        <v>15211</v>
      </c>
      <c r="X700" s="12">
        <f>VLOOKUP(Tabla4[[#This Row],[ZONA DEFINITIVO]],Hoja1!$A$1:$D$121,4,0)</f>
        <v>86025</v>
      </c>
      <c r="Y700" s="12" t="str">
        <f>+IF(Tabla4[[#This Row],[AGRUPACIONES]]=1,SUMIFS(Tabla4[UDS],Tabla4[ZONA DEFINITIVO],Tabla4[[#This Row],[ZONA DEFINITIVO]])," ")</f>
        <v xml:space="preserve"> </v>
      </c>
      <c r="Z700" s="12" t="str">
        <f>+IF(Tabla4[[#This Row],[AGRUPACIONES]]=1,SUMIFS(Tabla4[TOTAL COBERTURA],Tabla4[ZONA DEFINITIVO],Tabla4[[#This Row],[ZONA DEFINITIVO]])," ")</f>
        <v xml:space="preserve"> </v>
      </c>
      <c r="AA700" s="12"/>
      <c r="AB700" s="38">
        <v>25828185</v>
      </c>
      <c r="AC700" s="37">
        <v>0.02</v>
      </c>
      <c r="AD700" s="38">
        <f t="shared" si="11"/>
        <v>516563.7</v>
      </c>
      <c r="AE700" s="12"/>
      <c r="AF700" s="12">
        <f>COUNTIF($A$20:A700,A700)</f>
        <v>8</v>
      </c>
      <c r="AG700" s="38">
        <v>25828185</v>
      </c>
      <c r="AH700" s="38">
        <f>Tabla4[[#This Row],[VALOR CONTRAPARTIDA]]+Tabla4[[#This Row],[TOTAL APORTES ICBF]]</f>
        <v>26344748.699999999</v>
      </c>
      <c r="AI700" s="35"/>
      <c r="AJ700" s="38"/>
      <c r="AK700" s="38"/>
      <c r="AL700" s="23"/>
      <c r="AM700" s="35">
        <f>VLOOKUP(Tabla4[[#This Row],[SERVICIO 2025]],$J$2:$V$14,5,0)*Tabla4[[#This Row],[TOTAL COBERTURA]]</f>
        <v>794648</v>
      </c>
      <c r="AN700" s="35">
        <f>VLOOKUP(Tabla4[[#This Row],[SERVICIO 2025]],$J$2:$V$14,6,0)*Tabla4[[#This Row],[TOTAL COBERTURA]]</f>
        <v>643297</v>
      </c>
      <c r="AO700" s="35">
        <f>VLOOKUP(Tabla4[[#This Row],[SERVICIO 2025]],$J$2:$V$14,8,0)*Tabla4[[#This Row],[TOTAL COBERTURA]]</f>
        <v>0</v>
      </c>
      <c r="AP700" s="35">
        <f>VLOOKUP(Tabla4[[#This Row],[SERVICIO 2025]],$J$2:$V$14,3,0)*Tabla4[[#This Row],[TOTAL COBERTURA]]*8</f>
        <v>24390240</v>
      </c>
      <c r="AQ700" s="35"/>
      <c r="AR700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700" s="35" t="str">
        <f>+IF(Tabla4[[#This Row],[AGRUPACIONES]]=1,SUMIFS(Tabla4[VALOR TOTAL],Tabla4[ZONA DEFINITIVO],Tabla4[[#This Row],[ZONA DEFINITIVO]])," ")</f>
        <v xml:space="preserve"> </v>
      </c>
      <c r="AT700" s="27">
        <f>(VLOOKUP(Tabla4[[#This Row],[SERVICIO 2025]],$J$2:$V$14,3,0)*Tabla4[[#This Row],[TOTAL COBERTURA]])+Tabla4[[#This Row],[VALOR FASE PREPARATORIA DE ALISTAMIENTO]]+Tabla4[[#This Row],[DOTACIÓN ÚNICA]]</f>
        <v>3843428</v>
      </c>
      <c r="AU700" s="35">
        <f>(VLOOKUP(Tabla4[[#This Row],[SERVICIO 2025]],$J$2:$V$14,3,0)*Tabla4[[#This Row],[TOTAL COBERTURA]])</f>
        <v>3048780</v>
      </c>
      <c r="AV700" s="35">
        <f>(VLOOKUP(Tabla4[[#This Row],[SERVICIO 2025]],$J$2:$V$14,3,0)*Tabla4[[#This Row],[TOTAL COBERTURA]])</f>
        <v>3048780</v>
      </c>
      <c r="AW700" s="35">
        <f>(VLOOKUP(Tabla4[[#This Row],[SERVICIO 2025]],$J$2:$V$14,3,0)*Tabla4[[#This Row],[TOTAL COBERTURA]])</f>
        <v>3048780</v>
      </c>
      <c r="AX700" s="35">
        <f>(VLOOKUP(Tabla4[[#This Row],[SERVICIO 2025]],$J$2:$V$14,3,0)*Tabla4[[#This Row],[TOTAL COBERTURA]])</f>
        <v>3048780</v>
      </c>
      <c r="AY700" s="35">
        <f>(VLOOKUP(Tabla4[[#This Row],[SERVICIO 2025]],$J$2:$V$14,3,0)*Tabla4[[#This Row],[TOTAL COBERTURA]])</f>
        <v>3048780</v>
      </c>
      <c r="AZ700" s="35">
        <f>(VLOOKUP(Tabla4[[#This Row],[SERVICIO 2025]],$J$2:$V$14,3,0)*Tabla4[[#This Row],[TOTAL COBERTURA]])</f>
        <v>3048780</v>
      </c>
      <c r="BA700" s="35">
        <f>(VLOOKUP(Tabla4[[#This Row],[SERVICIO 2025]],$J$2:$V$14,3,0)*Tabla4[[#This Row],[TOTAL COBERTURA]])+Tabla4[[#This Row],[VALOR FASE PREPARATORIA DE CIERRE]]</f>
        <v>3692077</v>
      </c>
      <c r="BB700" s="35">
        <f>SUM(Tabla4[[#This Row],[DESEMBOLSO 1]:[DESEMBOLSO 8]])</f>
        <v>25828185</v>
      </c>
      <c r="BC700" s="35">
        <f>VLOOKUP(Tabla4[[#This Row],[SERVICIO 2025]],$J$2:$V$14,10,0)*Tabla4[[#This Row],[TOTAL COBERTURA]]*$W$3</f>
        <v>25611656</v>
      </c>
      <c r="BD700" s="47" t="s">
        <v>211</v>
      </c>
      <c r="BE700" s="12" t="b">
        <f>EXACT(Tabla4[[#This Row],[VALOR ATENCIÓN (8 MESES)]],Tabla4[[#This Row],[VALOR TOTAL]])</f>
        <v>1</v>
      </c>
      <c r="BF700" s="23">
        <f>Tabla4[[#This Row],[VALOR ATENCIÓN (8 MESES)]]-Tabla4[[#This Row],[VALOR TOTAL]]</f>
        <v>0</v>
      </c>
      <c r="BG700" s="12" t="b">
        <f>EXACT(Tabla4[[#This Row],[TOTAL DESEMBOLSOS]],Tabla4[[#This Row],[VALOR ATENCIÓN (8 MESES)]])</f>
        <v>1</v>
      </c>
      <c r="BH700" s="29">
        <f>Tabla4[[#This Row],[TOTAL DESEMBOLSOS]]-Tabla4[[#This Row],[VALOR ATENCIÓN (8 MESES)]]</f>
        <v>0</v>
      </c>
      <c r="BI700" t="s">
        <v>98</v>
      </c>
      <c r="BJ700">
        <v>1953</v>
      </c>
    </row>
    <row r="701" spans="1:62">
      <c r="A701" s="13">
        <v>1953</v>
      </c>
      <c r="B701" s="13" t="s">
        <v>1564</v>
      </c>
      <c r="C701" s="12" t="s">
        <v>87</v>
      </c>
      <c r="D701" s="12" t="s">
        <v>88</v>
      </c>
      <c r="E701" s="12" t="s">
        <v>1565</v>
      </c>
      <c r="F701" s="12" t="s">
        <v>21</v>
      </c>
      <c r="G701" s="12" t="s">
        <v>90</v>
      </c>
      <c r="H701" s="12" t="s">
        <v>1582</v>
      </c>
      <c r="I701" s="12">
        <v>53081136451</v>
      </c>
      <c r="J701" s="12" t="s">
        <v>1583</v>
      </c>
      <c r="K701" s="12">
        <v>1</v>
      </c>
      <c r="L701" s="12">
        <v>17</v>
      </c>
      <c r="M701" s="12"/>
      <c r="N701" s="13">
        <v>1953</v>
      </c>
      <c r="O701" s="12" t="s">
        <v>93</v>
      </c>
      <c r="P701" s="12"/>
      <c r="Q701" s="12"/>
      <c r="R701" s="12" t="s">
        <v>94</v>
      </c>
      <c r="S701" s="12">
        <v>10</v>
      </c>
      <c r="T701" s="12" t="s">
        <v>95</v>
      </c>
      <c r="U701" s="12" t="s">
        <v>96</v>
      </c>
      <c r="V701" s="12">
        <f>VLOOKUP(Tabla4[[#This Row],[ZONA DEFINITIVO]],Hoja1!$A$1:$D$121,3,0)</f>
        <v>229117</v>
      </c>
      <c r="W701" s="12">
        <f>VLOOKUP(Tabla4[[#This Row],[ZONA DEFINITIVO]],Hoja1!$A$1:$D$121,2,0)</f>
        <v>15211</v>
      </c>
      <c r="X701" s="12">
        <f>VLOOKUP(Tabla4[[#This Row],[ZONA DEFINITIVO]],Hoja1!$A$1:$D$121,4,0)</f>
        <v>86025</v>
      </c>
      <c r="Y701" s="12" t="str">
        <f>+IF(Tabla4[[#This Row],[AGRUPACIONES]]=1,SUMIFS(Tabla4[UDS],Tabla4[ZONA DEFINITIVO],Tabla4[[#This Row],[ZONA DEFINITIVO]])," ")</f>
        <v xml:space="preserve"> </v>
      </c>
      <c r="Z701" s="12" t="str">
        <f>+IF(Tabla4[[#This Row],[AGRUPACIONES]]=1,SUMIFS(Tabla4[TOTAL COBERTURA],Tabla4[ZONA DEFINITIVO],Tabla4[[#This Row],[ZONA DEFINITIVO]])," ")</f>
        <v xml:space="preserve"> </v>
      </c>
      <c r="AA701" s="12"/>
      <c r="AB701" s="38">
        <v>25828185</v>
      </c>
      <c r="AC701" s="37">
        <v>0.02</v>
      </c>
      <c r="AD701" s="38">
        <f t="shared" si="11"/>
        <v>516563.7</v>
      </c>
      <c r="AE701" s="12"/>
      <c r="AF701" s="12">
        <f>COUNTIF($A$20:A701,A701)</f>
        <v>9</v>
      </c>
      <c r="AG701" s="38">
        <v>25828185</v>
      </c>
      <c r="AH701" s="38">
        <f>Tabla4[[#This Row],[VALOR CONTRAPARTIDA]]+Tabla4[[#This Row],[TOTAL APORTES ICBF]]</f>
        <v>26344748.699999999</v>
      </c>
      <c r="AI701" s="35"/>
      <c r="AJ701" s="38"/>
      <c r="AK701" s="38"/>
      <c r="AL701" s="23"/>
      <c r="AM701" s="35">
        <f>VLOOKUP(Tabla4[[#This Row],[SERVICIO 2025]],$J$2:$V$14,5,0)*Tabla4[[#This Row],[TOTAL COBERTURA]]</f>
        <v>794648</v>
      </c>
      <c r="AN701" s="35">
        <f>VLOOKUP(Tabla4[[#This Row],[SERVICIO 2025]],$J$2:$V$14,6,0)*Tabla4[[#This Row],[TOTAL COBERTURA]]</f>
        <v>643297</v>
      </c>
      <c r="AO701" s="35">
        <f>VLOOKUP(Tabla4[[#This Row],[SERVICIO 2025]],$J$2:$V$14,8,0)*Tabla4[[#This Row],[TOTAL COBERTURA]]</f>
        <v>0</v>
      </c>
      <c r="AP701" s="35">
        <f>VLOOKUP(Tabla4[[#This Row],[SERVICIO 2025]],$J$2:$V$14,3,0)*Tabla4[[#This Row],[TOTAL COBERTURA]]*8</f>
        <v>24390240</v>
      </c>
      <c r="AQ701" s="35"/>
      <c r="AR701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701" s="35" t="str">
        <f>+IF(Tabla4[[#This Row],[AGRUPACIONES]]=1,SUMIFS(Tabla4[VALOR TOTAL],Tabla4[ZONA DEFINITIVO],Tabla4[[#This Row],[ZONA DEFINITIVO]])," ")</f>
        <v xml:space="preserve"> </v>
      </c>
      <c r="AT701" s="27">
        <f>(VLOOKUP(Tabla4[[#This Row],[SERVICIO 2025]],$J$2:$V$14,3,0)*Tabla4[[#This Row],[TOTAL COBERTURA]])+Tabla4[[#This Row],[VALOR FASE PREPARATORIA DE ALISTAMIENTO]]+Tabla4[[#This Row],[DOTACIÓN ÚNICA]]</f>
        <v>3843428</v>
      </c>
      <c r="AU701" s="35">
        <f>(VLOOKUP(Tabla4[[#This Row],[SERVICIO 2025]],$J$2:$V$14,3,0)*Tabla4[[#This Row],[TOTAL COBERTURA]])</f>
        <v>3048780</v>
      </c>
      <c r="AV701" s="35">
        <f>(VLOOKUP(Tabla4[[#This Row],[SERVICIO 2025]],$J$2:$V$14,3,0)*Tabla4[[#This Row],[TOTAL COBERTURA]])</f>
        <v>3048780</v>
      </c>
      <c r="AW701" s="35">
        <f>(VLOOKUP(Tabla4[[#This Row],[SERVICIO 2025]],$J$2:$V$14,3,0)*Tabla4[[#This Row],[TOTAL COBERTURA]])</f>
        <v>3048780</v>
      </c>
      <c r="AX701" s="35">
        <f>(VLOOKUP(Tabla4[[#This Row],[SERVICIO 2025]],$J$2:$V$14,3,0)*Tabla4[[#This Row],[TOTAL COBERTURA]])</f>
        <v>3048780</v>
      </c>
      <c r="AY701" s="35">
        <f>(VLOOKUP(Tabla4[[#This Row],[SERVICIO 2025]],$J$2:$V$14,3,0)*Tabla4[[#This Row],[TOTAL COBERTURA]])</f>
        <v>3048780</v>
      </c>
      <c r="AZ701" s="35">
        <f>(VLOOKUP(Tabla4[[#This Row],[SERVICIO 2025]],$J$2:$V$14,3,0)*Tabla4[[#This Row],[TOTAL COBERTURA]])</f>
        <v>3048780</v>
      </c>
      <c r="BA701" s="35">
        <f>(VLOOKUP(Tabla4[[#This Row],[SERVICIO 2025]],$J$2:$V$14,3,0)*Tabla4[[#This Row],[TOTAL COBERTURA]])+Tabla4[[#This Row],[VALOR FASE PREPARATORIA DE CIERRE]]</f>
        <v>3692077</v>
      </c>
      <c r="BB701" s="35">
        <f>SUM(Tabla4[[#This Row],[DESEMBOLSO 1]:[DESEMBOLSO 8]])</f>
        <v>25828185</v>
      </c>
      <c r="BC701" s="35">
        <f>VLOOKUP(Tabla4[[#This Row],[SERVICIO 2025]],$J$2:$V$14,10,0)*Tabla4[[#This Row],[TOTAL COBERTURA]]*$W$3</f>
        <v>25611656</v>
      </c>
      <c r="BD701" s="47" t="s">
        <v>211</v>
      </c>
      <c r="BE701" s="12" t="b">
        <f>EXACT(Tabla4[[#This Row],[VALOR ATENCIÓN (8 MESES)]],Tabla4[[#This Row],[VALOR TOTAL]])</f>
        <v>1</v>
      </c>
      <c r="BF701" s="23">
        <f>Tabla4[[#This Row],[VALOR ATENCIÓN (8 MESES)]]-Tabla4[[#This Row],[VALOR TOTAL]]</f>
        <v>0</v>
      </c>
      <c r="BG701" s="12" t="b">
        <f>EXACT(Tabla4[[#This Row],[TOTAL DESEMBOLSOS]],Tabla4[[#This Row],[VALOR ATENCIÓN (8 MESES)]])</f>
        <v>1</v>
      </c>
      <c r="BH701" s="29">
        <f>Tabla4[[#This Row],[TOTAL DESEMBOLSOS]]-Tabla4[[#This Row],[VALOR ATENCIÓN (8 MESES)]]</f>
        <v>0</v>
      </c>
      <c r="BI701" t="s">
        <v>98</v>
      </c>
      <c r="BJ701">
        <v>1953</v>
      </c>
    </row>
    <row r="702" spans="1:62">
      <c r="A702" s="13">
        <v>1953</v>
      </c>
      <c r="B702" s="13" t="s">
        <v>1564</v>
      </c>
      <c r="C702" s="12" t="s">
        <v>87</v>
      </c>
      <c r="D702" s="12" t="s">
        <v>88</v>
      </c>
      <c r="E702" s="12" t="s">
        <v>1565</v>
      </c>
      <c r="F702" s="12" t="s">
        <v>21</v>
      </c>
      <c r="G702" s="12" t="s">
        <v>90</v>
      </c>
      <c r="H702" s="12" t="s">
        <v>1584</v>
      </c>
      <c r="I702" s="12">
        <v>53081136454</v>
      </c>
      <c r="J702" s="12" t="s">
        <v>1585</v>
      </c>
      <c r="K702" s="12">
        <v>1</v>
      </c>
      <c r="L702" s="12">
        <v>31</v>
      </c>
      <c r="M702" s="12"/>
      <c r="N702" s="13">
        <v>1953</v>
      </c>
      <c r="O702" s="12" t="s">
        <v>93</v>
      </c>
      <c r="P702" s="12"/>
      <c r="Q702" s="12"/>
      <c r="R702" s="12" t="s">
        <v>94</v>
      </c>
      <c r="S702" s="12">
        <v>10</v>
      </c>
      <c r="T702" s="12" t="s">
        <v>95</v>
      </c>
      <c r="U702" s="12" t="s">
        <v>96</v>
      </c>
      <c r="V702" s="12">
        <f>VLOOKUP(Tabla4[[#This Row],[ZONA DEFINITIVO]],Hoja1!$A$1:$D$121,3,0)</f>
        <v>229117</v>
      </c>
      <c r="W702" s="12">
        <f>VLOOKUP(Tabla4[[#This Row],[ZONA DEFINITIVO]],Hoja1!$A$1:$D$121,2,0)</f>
        <v>15211</v>
      </c>
      <c r="X702" s="12">
        <f>VLOOKUP(Tabla4[[#This Row],[ZONA DEFINITIVO]],Hoja1!$A$1:$D$121,4,0)</f>
        <v>86025</v>
      </c>
      <c r="Y702" s="12" t="str">
        <f>+IF(Tabla4[[#This Row],[AGRUPACIONES]]=1,SUMIFS(Tabla4[UDS],Tabla4[ZONA DEFINITIVO],Tabla4[[#This Row],[ZONA DEFINITIVO]])," ")</f>
        <v xml:space="preserve"> </v>
      </c>
      <c r="Z702" s="12" t="str">
        <f>+IF(Tabla4[[#This Row],[AGRUPACIONES]]=1,SUMIFS(Tabla4[TOTAL COBERTURA],Tabla4[ZONA DEFINITIVO],Tabla4[[#This Row],[ZONA DEFINITIVO]])," ")</f>
        <v xml:space="preserve"> </v>
      </c>
      <c r="AA702" s="12"/>
      <c r="AB702" s="38">
        <v>47098455</v>
      </c>
      <c r="AC702" s="37">
        <v>0.02</v>
      </c>
      <c r="AD702" s="38">
        <f t="shared" si="11"/>
        <v>941969.1</v>
      </c>
      <c r="AE702" s="12"/>
      <c r="AF702" s="12">
        <f>COUNTIF($A$20:A702,A702)</f>
        <v>10</v>
      </c>
      <c r="AG702" s="38">
        <v>47098455</v>
      </c>
      <c r="AH702" s="38">
        <f>Tabla4[[#This Row],[VALOR CONTRAPARTIDA]]+Tabla4[[#This Row],[TOTAL APORTES ICBF]]</f>
        <v>48040424.100000001</v>
      </c>
      <c r="AI702" s="35"/>
      <c r="AJ702" s="38"/>
      <c r="AK702" s="38"/>
      <c r="AL702" s="23"/>
      <c r="AM702" s="35">
        <f>VLOOKUP(Tabla4[[#This Row],[SERVICIO 2025]],$J$2:$V$14,5,0)*Tabla4[[#This Row],[TOTAL COBERTURA]]</f>
        <v>1449064</v>
      </c>
      <c r="AN702" s="35">
        <f>VLOOKUP(Tabla4[[#This Row],[SERVICIO 2025]],$J$2:$V$14,6,0)*Tabla4[[#This Row],[TOTAL COBERTURA]]</f>
        <v>1173071</v>
      </c>
      <c r="AO702" s="35">
        <f>VLOOKUP(Tabla4[[#This Row],[SERVICIO 2025]],$J$2:$V$14,8,0)*Tabla4[[#This Row],[TOTAL COBERTURA]]</f>
        <v>0</v>
      </c>
      <c r="AP702" s="35">
        <f>VLOOKUP(Tabla4[[#This Row],[SERVICIO 2025]],$J$2:$V$14,3,0)*Tabla4[[#This Row],[TOTAL COBERTURA]]*8</f>
        <v>44476320</v>
      </c>
      <c r="AQ702" s="35"/>
      <c r="AR702" s="35">
        <f>Tabla4[[#This Row],[VALOR FASE PREPARATORIA DE ALISTAMIENTO]]+Tabla4[[#This Row],[VALOR FASE PREPARATORIA DE CIERRE]]+Tabla4[[#This Row],[DOTACIÓN ÚNICA]]+Tabla4[[#This Row],[VALOR ATENCIÓN]]+Tabla4[[#This Row],[VALOR RACION PREPARADA]]</f>
        <v>47098455</v>
      </c>
      <c r="AS702" s="35" t="str">
        <f>+IF(Tabla4[[#This Row],[AGRUPACIONES]]=1,SUMIFS(Tabla4[VALOR TOTAL],Tabla4[ZONA DEFINITIVO],Tabla4[[#This Row],[ZONA DEFINITIVO]])," ")</f>
        <v xml:space="preserve"> </v>
      </c>
      <c r="AT702" s="27">
        <f>(VLOOKUP(Tabla4[[#This Row],[SERVICIO 2025]],$J$2:$V$14,3,0)*Tabla4[[#This Row],[TOTAL COBERTURA]])+Tabla4[[#This Row],[VALOR FASE PREPARATORIA DE ALISTAMIENTO]]+Tabla4[[#This Row],[DOTACIÓN ÚNICA]]</f>
        <v>7008604</v>
      </c>
      <c r="AU702" s="35">
        <f>(VLOOKUP(Tabla4[[#This Row],[SERVICIO 2025]],$J$2:$V$14,3,0)*Tabla4[[#This Row],[TOTAL COBERTURA]])</f>
        <v>5559540</v>
      </c>
      <c r="AV702" s="35">
        <f>(VLOOKUP(Tabla4[[#This Row],[SERVICIO 2025]],$J$2:$V$14,3,0)*Tabla4[[#This Row],[TOTAL COBERTURA]])</f>
        <v>5559540</v>
      </c>
      <c r="AW702" s="35">
        <f>(VLOOKUP(Tabla4[[#This Row],[SERVICIO 2025]],$J$2:$V$14,3,0)*Tabla4[[#This Row],[TOTAL COBERTURA]])</f>
        <v>5559540</v>
      </c>
      <c r="AX702" s="35">
        <f>(VLOOKUP(Tabla4[[#This Row],[SERVICIO 2025]],$J$2:$V$14,3,0)*Tabla4[[#This Row],[TOTAL COBERTURA]])</f>
        <v>5559540</v>
      </c>
      <c r="AY702" s="35">
        <f>(VLOOKUP(Tabla4[[#This Row],[SERVICIO 2025]],$J$2:$V$14,3,0)*Tabla4[[#This Row],[TOTAL COBERTURA]])</f>
        <v>5559540</v>
      </c>
      <c r="AZ702" s="35">
        <f>(VLOOKUP(Tabla4[[#This Row],[SERVICIO 2025]],$J$2:$V$14,3,0)*Tabla4[[#This Row],[TOTAL COBERTURA]])</f>
        <v>5559540</v>
      </c>
      <c r="BA702" s="35">
        <f>(VLOOKUP(Tabla4[[#This Row],[SERVICIO 2025]],$J$2:$V$14,3,0)*Tabla4[[#This Row],[TOTAL COBERTURA]])+Tabla4[[#This Row],[VALOR FASE PREPARATORIA DE CIERRE]]</f>
        <v>6732611</v>
      </c>
      <c r="BB702" s="35">
        <f>SUM(Tabla4[[#This Row],[DESEMBOLSO 1]:[DESEMBOLSO 8]])</f>
        <v>47098455</v>
      </c>
      <c r="BC702" s="35">
        <f>VLOOKUP(Tabla4[[#This Row],[SERVICIO 2025]],$J$2:$V$14,10,0)*Tabla4[[#This Row],[TOTAL COBERTURA]]*$W$3</f>
        <v>46703608</v>
      </c>
      <c r="BD702" s="47" t="s">
        <v>211</v>
      </c>
      <c r="BE702" s="12" t="b">
        <f>EXACT(Tabla4[[#This Row],[VALOR ATENCIÓN (8 MESES)]],Tabla4[[#This Row],[VALOR TOTAL]])</f>
        <v>1</v>
      </c>
      <c r="BF702" s="23">
        <f>Tabla4[[#This Row],[VALOR ATENCIÓN (8 MESES)]]-Tabla4[[#This Row],[VALOR TOTAL]]</f>
        <v>0</v>
      </c>
      <c r="BG702" s="12" t="b">
        <f>EXACT(Tabla4[[#This Row],[TOTAL DESEMBOLSOS]],Tabla4[[#This Row],[VALOR ATENCIÓN (8 MESES)]])</f>
        <v>1</v>
      </c>
      <c r="BH702" s="29">
        <f>Tabla4[[#This Row],[TOTAL DESEMBOLSOS]]-Tabla4[[#This Row],[VALOR ATENCIÓN (8 MESES)]]</f>
        <v>0</v>
      </c>
      <c r="BI702" t="s">
        <v>98</v>
      </c>
      <c r="BJ702">
        <v>1953</v>
      </c>
    </row>
    <row r="703" spans="1:62">
      <c r="A703" s="13">
        <v>1953</v>
      </c>
      <c r="B703" s="13" t="s">
        <v>1564</v>
      </c>
      <c r="C703" s="12" t="s">
        <v>87</v>
      </c>
      <c r="D703" s="12" t="s">
        <v>88</v>
      </c>
      <c r="E703" s="12" t="s">
        <v>1565</v>
      </c>
      <c r="F703" s="12" t="s">
        <v>21</v>
      </c>
      <c r="G703" s="12" t="s">
        <v>90</v>
      </c>
      <c r="H703" s="12" t="s">
        <v>1584</v>
      </c>
      <c r="I703" s="12">
        <v>53081136456</v>
      </c>
      <c r="J703" s="12" t="s">
        <v>1586</v>
      </c>
      <c r="K703" s="12">
        <v>1</v>
      </c>
      <c r="L703" s="12">
        <v>17</v>
      </c>
      <c r="M703" s="12"/>
      <c r="N703" s="13">
        <v>1953</v>
      </c>
      <c r="O703" s="12" t="s">
        <v>93</v>
      </c>
      <c r="P703" s="12"/>
      <c r="Q703" s="12"/>
      <c r="R703" s="12" t="s">
        <v>94</v>
      </c>
      <c r="S703" s="12">
        <v>10</v>
      </c>
      <c r="T703" s="12" t="s">
        <v>95</v>
      </c>
      <c r="U703" s="12" t="s">
        <v>96</v>
      </c>
      <c r="V703" s="12">
        <f>VLOOKUP(Tabla4[[#This Row],[ZONA DEFINITIVO]],Hoja1!$A$1:$D$121,3,0)</f>
        <v>229117</v>
      </c>
      <c r="W703" s="12">
        <f>VLOOKUP(Tabla4[[#This Row],[ZONA DEFINITIVO]],Hoja1!$A$1:$D$121,2,0)</f>
        <v>15211</v>
      </c>
      <c r="X703" s="12">
        <f>VLOOKUP(Tabla4[[#This Row],[ZONA DEFINITIVO]],Hoja1!$A$1:$D$121,4,0)</f>
        <v>86025</v>
      </c>
      <c r="Y703" s="12" t="str">
        <f>+IF(Tabla4[[#This Row],[AGRUPACIONES]]=1,SUMIFS(Tabla4[UDS],Tabla4[ZONA DEFINITIVO],Tabla4[[#This Row],[ZONA DEFINITIVO]])," ")</f>
        <v xml:space="preserve"> </v>
      </c>
      <c r="Z703" s="12" t="str">
        <f>+IF(Tabla4[[#This Row],[AGRUPACIONES]]=1,SUMIFS(Tabla4[TOTAL COBERTURA],Tabla4[ZONA DEFINITIVO],Tabla4[[#This Row],[ZONA DEFINITIVO]])," ")</f>
        <v xml:space="preserve"> </v>
      </c>
      <c r="AA703" s="12"/>
      <c r="AB703" s="38">
        <v>25828185</v>
      </c>
      <c r="AC703" s="37">
        <v>0.02</v>
      </c>
      <c r="AD703" s="38">
        <f t="shared" si="11"/>
        <v>516563.7</v>
      </c>
      <c r="AE703" s="12"/>
      <c r="AF703" s="12">
        <f>COUNTIF($A$20:A703,A703)</f>
        <v>11</v>
      </c>
      <c r="AG703" s="38">
        <v>25828185</v>
      </c>
      <c r="AH703" s="38">
        <f>Tabla4[[#This Row],[VALOR CONTRAPARTIDA]]+Tabla4[[#This Row],[TOTAL APORTES ICBF]]</f>
        <v>26344748.699999999</v>
      </c>
      <c r="AI703" s="35"/>
      <c r="AJ703" s="38"/>
      <c r="AK703" s="38"/>
      <c r="AL703" s="23"/>
      <c r="AM703" s="35">
        <f>VLOOKUP(Tabla4[[#This Row],[SERVICIO 2025]],$J$2:$V$14,5,0)*Tabla4[[#This Row],[TOTAL COBERTURA]]</f>
        <v>794648</v>
      </c>
      <c r="AN703" s="35">
        <f>VLOOKUP(Tabla4[[#This Row],[SERVICIO 2025]],$J$2:$V$14,6,0)*Tabla4[[#This Row],[TOTAL COBERTURA]]</f>
        <v>643297</v>
      </c>
      <c r="AO703" s="35">
        <f>VLOOKUP(Tabla4[[#This Row],[SERVICIO 2025]],$J$2:$V$14,8,0)*Tabla4[[#This Row],[TOTAL COBERTURA]]</f>
        <v>0</v>
      </c>
      <c r="AP703" s="35">
        <f>VLOOKUP(Tabla4[[#This Row],[SERVICIO 2025]],$J$2:$V$14,3,0)*Tabla4[[#This Row],[TOTAL COBERTURA]]*8</f>
        <v>24390240</v>
      </c>
      <c r="AQ703" s="35"/>
      <c r="AR703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703" s="35" t="str">
        <f>+IF(Tabla4[[#This Row],[AGRUPACIONES]]=1,SUMIFS(Tabla4[VALOR TOTAL],Tabla4[ZONA DEFINITIVO],Tabla4[[#This Row],[ZONA DEFINITIVO]])," ")</f>
        <v xml:space="preserve"> </v>
      </c>
      <c r="AT703" s="27">
        <f>(VLOOKUP(Tabla4[[#This Row],[SERVICIO 2025]],$J$2:$V$14,3,0)*Tabla4[[#This Row],[TOTAL COBERTURA]])+Tabla4[[#This Row],[VALOR FASE PREPARATORIA DE ALISTAMIENTO]]+Tabla4[[#This Row],[DOTACIÓN ÚNICA]]</f>
        <v>3843428</v>
      </c>
      <c r="AU703" s="35">
        <f>(VLOOKUP(Tabla4[[#This Row],[SERVICIO 2025]],$J$2:$V$14,3,0)*Tabla4[[#This Row],[TOTAL COBERTURA]])</f>
        <v>3048780</v>
      </c>
      <c r="AV703" s="35">
        <f>(VLOOKUP(Tabla4[[#This Row],[SERVICIO 2025]],$J$2:$V$14,3,0)*Tabla4[[#This Row],[TOTAL COBERTURA]])</f>
        <v>3048780</v>
      </c>
      <c r="AW703" s="35">
        <f>(VLOOKUP(Tabla4[[#This Row],[SERVICIO 2025]],$J$2:$V$14,3,0)*Tabla4[[#This Row],[TOTAL COBERTURA]])</f>
        <v>3048780</v>
      </c>
      <c r="AX703" s="35">
        <f>(VLOOKUP(Tabla4[[#This Row],[SERVICIO 2025]],$J$2:$V$14,3,0)*Tabla4[[#This Row],[TOTAL COBERTURA]])</f>
        <v>3048780</v>
      </c>
      <c r="AY703" s="35">
        <f>(VLOOKUP(Tabla4[[#This Row],[SERVICIO 2025]],$J$2:$V$14,3,0)*Tabla4[[#This Row],[TOTAL COBERTURA]])</f>
        <v>3048780</v>
      </c>
      <c r="AZ703" s="35">
        <f>(VLOOKUP(Tabla4[[#This Row],[SERVICIO 2025]],$J$2:$V$14,3,0)*Tabla4[[#This Row],[TOTAL COBERTURA]])</f>
        <v>3048780</v>
      </c>
      <c r="BA703" s="35">
        <f>(VLOOKUP(Tabla4[[#This Row],[SERVICIO 2025]],$J$2:$V$14,3,0)*Tabla4[[#This Row],[TOTAL COBERTURA]])+Tabla4[[#This Row],[VALOR FASE PREPARATORIA DE CIERRE]]</f>
        <v>3692077</v>
      </c>
      <c r="BB703" s="35">
        <f>SUM(Tabla4[[#This Row],[DESEMBOLSO 1]:[DESEMBOLSO 8]])</f>
        <v>25828185</v>
      </c>
      <c r="BC703" s="35">
        <f>VLOOKUP(Tabla4[[#This Row],[SERVICIO 2025]],$J$2:$V$14,10,0)*Tabla4[[#This Row],[TOTAL COBERTURA]]*$W$3</f>
        <v>25611656</v>
      </c>
      <c r="BD703" s="47" t="s">
        <v>211</v>
      </c>
      <c r="BE703" s="12" t="b">
        <f>EXACT(Tabla4[[#This Row],[VALOR ATENCIÓN (8 MESES)]],Tabla4[[#This Row],[VALOR TOTAL]])</f>
        <v>1</v>
      </c>
      <c r="BF703" s="23">
        <f>Tabla4[[#This Row],[VALOR ATENCIÓN (8 MESES)]]-Tabla4[[#This Row],[VALOR TOTAL]]</f>
        <v>0</v>
      </c>
      <c r="BG703" s="12" t="b">
        <f>EXACT(Tabla4[[#This Row],[TOTAL DESEMBOLSOS]],Tabla4[[#This Row],[VALOR ATENCIÓN (8 MESES)]])</f>
        <v>1</v>
      </c>
      <c r="BH703" s="29">
        <f>Tabla4[[#This Row],[TOTAL DESEMBOLSOS]]-Tabla4[[#This Row],[VALOR ATENCIÓN (8 MESES)]]</f>
        <v>0</v>
      </c>
      <c r="BI703" t="s">
        <v>98</v>
      </c>
      <c r="BJ703">
        <v>1953</v>
      </c>
    </row>
    <row r="704" spans="1:62">
      <c r="A704" s="13">
        <v>1953</v>
      </c>
      <c r="B704" s="13" t="s">
        <v>1564</v>
      </c>
      <c r="C704" s="12" t="s">
        <v>87</v>
      </c>
      <c r="D704" s="12" t="s">
        <v>88</v>
      </c>
      <c r="E704" s="12" t="s">
        <v>1565</v>
      </c>
      <c r="F704" s="12" t="s">
        <v>15</v>
      </c>
      <c r="G704" s="12" t="s">
        <v>90</v>
      </c>
      <c r="H704" s="12" t="s">
        <v>1587</v>
      </c>
      <c r="I704" s="12">
        <v>53081151923</v>
      </c>
      <c r="J704" s="12" t="s">
        <v>1304</v>
      </c>
      <c r="K704" s="12">
        <v>1</v>
      </c>
      <c r="L704" s="12">
        <v>149</v>
      </c>
      <c r="M704" s="12"/>
      <c r="N704" s="13">
        <v>1953</v>
      </c>
      <c r="O704" s="12" t="s">
        <v>93</v>
      </c>
      <c r="P704" s="12"/>
      <c r="Q704" s="12"/>
      <c r="R704" s="12" t="s">
        <v>94</v>
      </c>
      <c r="S704" s="12">
        <v>10</v>
      </c>
      <c r="T704" s="12" t="s">
        <v>95</v>
      </c>
      <c r="U704" s="12" t="s">
        <v>96</v>
      </c>
      <c r="V704" s="12">
        <f>VLOOKUP(Tabla4[[#This Row],[ZONA DEFINITIVO]],Hoja1!$A$1:$D$121,3,0)</f>
        <v>229117</v>
      </c>
      <c r="W704" s="12">
        <f>VLOOKUP(Tabla4[[#This Row],[ZONA DEFINITIVO]],Hoja1!$A$1:$D$121,2,0)</f>
        <v>15211</v>
      </c>
      <c r="X704" s="12">
        <f>VLOOKUP(Tabla4[[#This Row],[ZONA DEFINITIVO]],Hoja1!$A$1:$D$121,4,0)</f>
        <v>86025</v>
      </c>
      <c r="Y704" s="12" t="str">
        <f>+IF(Tabla4[[#This Row],[AGRUPACIONES]]=1,SUMIFS(Tabla4[UDS],Tabla4[ZONA DEFINITIVO],Tabla4[[#This Row],[ZONA DEFINITIVO]])," ")</f>
        <v xml:space="preserve"> </v>
      </c>
      <c r="Z704" s="12" t="str">
        <f>+IF(Tabla4[[#This Row],[AGRUPACIONES]]=1,SUMIFS(Tabla4[TOTAL COBERTURA],Tabla4[ZONA DEFINITIVO],Tabla4[[#This Row],[ZONA DEFINITIVO]])," ")</f>
        <v xml:space="preserve"> </v>
      </c>
      <c r="AA704" s="12"/>
      <c r="AB704" s="38">
        <v>645080898</v>
      </c>
      <c r="AC704" s="37">
        <v>0.02</v>
      </c>
      <c r="AD704" s="38">
        <f t="shared" si="11"/>
        <v>12901617.960000001</v>
      </c>
      <c r="AE704" s="12"/>
      <c r="AF704" s="12">
        <f>COUNTIF($A$20:A704,A704)</f>
        <v>12</v>
      </c>
      <c r="AG704" s="38">
        <v>645080898</v>
      </c>
      <c r="AH704" s="38">
        <f>Tabla4[[#This Row],[VALOR CONTRAPARTIDA]]+Tabla4[[#This Row],[TOTAL APORTES ICBF]]</f>
        <v>657982515.96000004</v>
      </c>
      <c r="AI704" s="35"/>
      <c r="AJ704" s="38"/>
      <c r="AK704" s="38"/>
      <c r="AL704" s="23"/>
      <c r="AM704" s="35">
        <f>VLOOKUP(Tabla4[[#This Row],[SERVICIO 2025]],$J$2:$V$14,5,0)*Tabla4[[#This Row],[TOTAL COBERTURA]]</f>
        <v>13133307</v>
      </c>
      <c r="AN704" s="35">
        <f>VLOOKUP(Tabla4[[#This Row],[SERVICIO 2025]],$J$2:$V$14,6,0)*Tabla4[[#This Row],[TOTAL COBERTURA]]</f>
        <v>11181407</v>
      </c>
      <c r="AO704" s="35">
        <f>VLOOKUP(Tabla4[[#This Row],[SERVICIO 2025]],$J$2:$V$14,8,0)*Tabla4[[#This Row],[TOTAL COBERTURA]]</f>
        <v>0</v>
      </c>
      <c r="AP704" s="35">
        <f>VLOOKUP(Tabla4[[#This Row],[SERVICIO 2025]],$J$2:$V$14,3,0)*Tabla4[[#This Row],[TOTAL COBERTURA]]*8</f>
        <v>620766184</v>
      </c>
      <c r="AQ704" s="35"/>
      <c r="AR704" s="35">
        <f>Tabla4[[#This Row],[VALOR FASE PREPARATORIA DE ALISTAMIENTO]]+Tabla4[[#This Row],[VALOR FASE PREPARATORIA DE CIERRE]]+Tabla4[[#This Row],[DOTACIÓN ÚNICA]]+Tabla4[[#This Row],[VALOR ATENCIÓN]]+Tabla4[[#This Row],[VALOR RACION PREPARADA]]</f>
        <v>645080898</v>
      </c>
      <c r="AS704" s="35" t="str">
        <f>+IF(Tabla4[[#This Row],[AGRUPACIONES]]=1,SUMIFS(Tabla4[VALOR TOTAL],Tabla4[ZONA DEFINITIVO],Tabla4[[#This Row],[ZONA DEFINITIVO]])," ")</f>
        <v xml:space="preserve"> </v>
      </c>
      <c r="AT704" s="27">
        <f>(VLOOKUP(Tabla4[[#This Row],[SERVICIO 2025]],$J$2:$V$14,3,0)*Tabla4[[#This Row],[TOTAL COBERTURA]])+Tabla4[[#This Row],[VALOR FASE PREPARATORIA DE ALISTAMIENTO]]+Tabla4[[#This Row],[DOTACIÓN ÚNICA]]</f>
        <v>90729080</v>
      </c>
      <c r="AU704" s="35">
        <f>(VLOOKUP(Tabla4[[#This Row],[SERVICIO 2025]],$J$2:$V$14,3,0)*Tabla4[[#This Row],[TOTAL COBERTURA]])</f>
        <v>77595773</v>
      </c>
      <c r="AV704" s="35">
        <f>(VLOOKUP(Tabla4[[#This Row],[SERVICIO 2025]],$J$2:$V$14,3,0)*Tabla4[[#This Row],[TOTAL COBERTURA]])</f>
        <v>77595773</v>
      </c>
      <c r="AW704" s="35">
        <f>(VLOOKUP(Tabla4[[#This Row],[SERVICIO 2025]],$J$2:$V$14,3,0)*Tabla4[[#This Row],[TOTAL COBERTURA]])</f>
        <v>77595773</v>
      </c>
      <c r="AX704" s="35">
        <f>(VLOOKUP(Tabla4[[#This Row],[SERVICIO 2025]],$J$2:$V$14,3,0)*Tabla4[[#This Row],[TOTAL COBERTURA]])</f>
        <v>77595773</v>
      </c>
      <c r="AY704" s="35">
        <f>(VLOOKUP(Tabla4[[#This Row],[SERVICIO 2025]],$J$2:$V$14,3,0)*Tabla4[[#This Row],[TOTAL COBERTURA]])</f>
        <v>77595773</v>
      </c>
      <c r="AZ704" s="35">
        <f>(VLOOKUP(Tabla4[[#This Row],[SERVICIO 2025]],$J$2:$V$14,3,0)*Tabla4[[#This Row],[TOTAL COBERTURA]])</f>
        <v>77595773</v>
      </c>
      <c r="BA704" s="35">
        <f>(VLOOKUP(Tabla4[[#This Row],[SERVICIO 2025]],$J$2:$V$14,3,0)*Tabla4[[#This Row],[TOTAL COBERTURA]])+Tabla4[[#This Row],[VALOR FASE PREPARATORIA DE CIERRE]]</f>
        <v>88777180</v>
      </c>
      <c r="BB704" s="35">
        <f>SUM(Tabla4[[#This Row],[DESEMBOLSO 1]:[DESEMBOLSO 8]])</f>
        <v>645080898</v>
      </c>
      <c r="BC704" s="35">
        <f>VLOOKUP(Tabla4[[#This Row],[SERVICIO 2025]],$J$2:$V$14,10,0)*Tabla4[[#This Row],[TOTAL COBERTURA]]*$W$3</f>
        <v>0</v>
      </c>
      <c r="BD704" s="47" t="s">
        <v>145</v>
      </c>
      <c r="BE704" s="12" t="b">
        <f>EXACT(Tabla4[[#This Row],[VALOR ATENCIÓN (8 MESES)]],Tabla4[[#This Row],[VALOR TOTAL]])</f>
        <v>1</v>
      </c>
      <c r="BF704" s="23">
        <f>Tabla4[[#This Row],[VALOR ATENCIÓN (8 MESES)]]-Tabla4[[#This Row],[VALOR TOTAL]]</f>
        <v>0</v>
      </c>
      <c r="BG704" s="12" t="b">
        <f>EXACT(Tabla4[[#This Row],[TOTAL DESEMBOLSOS]],Tabla4[[#This Row],[VALOR ATENCIÓN (8 MESES)]])</f>
        <v>1</v>
      </c>
      <c r="BH704" s="29">
        <f>Tabla4[[#This Row],[TOTAL DESEMBOLSOS]]-Tabla4[[#This Row],[VALOR ATENCIÓN (8 MESES)]]</f>
        <v>0</v>
      </c>
      <c r="BI704" t="s">
        <v>98</v>
      </c>
      <c r="BJ704">
        <v>1953</v>
      </c>
    </row>
    <row r="705" spans="1:62">
      <c r="A705" s="13">
        <v>1953</v>
      </c>
      <c r="B705" s="13" t="s">
        <v>1564</v>
      </c>
      <c r="C705" s="12" t="s">
        <v>87</v>
      </c>
      <c r="D705" s="12" t="s">
        <v>88</v>
      </c>
      <c r="E705" s="12" t="s">
        <v>1565</v>
      </c>
      <c r="F705" s="12" t="s">
        <v>21</v>
      </c>
      <c r="G705" s="12" t="s">
        <v>90</v>
      </c>
      <c r="H705" s="12" t="s">
        <v>1588</v>
      </c>
      <c r="I705" s="12">
        <v>53081152879</v>
      </c>
      <c r="J705" s="12" t="s">
        <v>1589</v>
      </c>
      <c r="K705" s="12">
        <v>1</v>
      </c>
      <c r="L705" s="12">
        <v>16</v>
      </c>
      <c r="M705" s="12"/>
      <c r="N705" s="13">
        <v>1953</v>
      </c>
      <c r="O705" s="12" t="s">
        <v>93</v>
      </c>
      <c r="P705" s="12"/>
      <c r="Q705" s="12"/>
      <c r="R705" s="12" t="s">
        <v>94</v>
      </c>
      <c r="S705" s="12">
        <v>10</v>
      </c>
      <c r="T705" s="12" t="s">
        <v>95</v>
      </c>
      <c r="U705" s="12" t="s">
        <v>96</v>
      </c>
      <c r="V705" s="12">
        <f>VLOOKUP(Tabla4[[#This Row],[ZONA DEFINITIVO]],Hoja1!$A$1:$D$121,3,0)</f>
        <v>229117</v>
      </c>
      <c r="W705" s="12">
        <f>VLOOKUP(Tabla4[[#This Row],[ZONA DEFINITIVO]],Hoja1!$A$1:$D$121,2,0)</f>
        <v>15211</v>
      </c>
      <c r="X705" s="12">
        <f>VLOOKUP(Tabla4[[#This Row],[ZONA DEFINITIVO]],Hoja1!$A$1:$D$121,4,0)</f>
        <v>86025</v>
      </c>
      <c r="Y705" s="12" t="str">
        <f>+IF(Tabla4[[#This Row],[AGRUPACIONES]]=1,SUMIFS(Tabla4[UDS],Tabla4[ZONA DEFINITIVO],Tabla4[[#This Row],[ZONA DEFINITIVO]])," ")</f>
        <v xml:space="preserve"> </v>
      </c>
      <c r="Z705" s="12" t="str">
        <f>+IF(Tabla4[[#This Row],[AGRUPACIONES]]=1,SUMIFS(Tabla4[TOTAL COBERTURA],Tabla4[ZONA DEFINITIVO],Tabla4[[#This Row],[ZONA DEFINITIVO]])," ")</f>
        <v xml:space="preserve"> </v>
      </c>
      <c r="AA705" s="12"/>
      <c r="AB705" s="38">
        <v>24308880</v>
      </c>
      <c r="AC705" s="37">
        <v>0.02</v>
      </c>
      <c r="AD705" s="38">
        <f t="shared" si="11"/>
        <v>486177.60000000003</v>
      </c>
      <c r="AE705" s="12"/>
      <c r="AF705" s="12">
        <f>COUNTIF($A$20:A705,A705)</f>
        <v>13</v>
      </c>
      <c r="AG705" s="38">
        <v>24308880</v>
      </c>
      <c r="AH705" s="38">
        <f>Tabla4[[#This Row],[VALOR CONTRAPARTIDA]]+Tabla4[[#This Row],[TOTAL APORTES ICBF]]</f>
        <v>24795057.600000001</v>
      </c>
      <c r="AI705" s="35"/>
      <c r="AJ705" s="38"/>
      <c r="AK705" s="38"/>
      <c r="AL705" s="23"/>
      <c r="AM705" s="35">
        <f>VLOOKUP(Tabla4[[#This Row],[SERVICIO 2025]],$J$2:$V$14,5,0)*Tabla4[[#This Row],[TOTAL COBERTURA]]</f>
        <v>747904</v>
      </c>
      <c r="AN705" s="35">
        <f>VLOOKUP(Tabla4[[#This Row],[SERVICIO 2025]],$J$2:$V$14,6,0)*Tabla4[[#This Row],[TOTAL COBERTURA]]</f>
        <v>605456</v>
      </c>
      <c r="AO705" s="35">
        <f>VLOOKUP(Tabla4[[#This Row],[SERVICIO 2025]],$J$2:$V$14,8,0)*Tabla4[[#This Row],[TOTAL COBERTURA]]</f>
        <v>0</v>
      </c>
      <c r="AP705" s="35">
        <f>VLOOKUP(Tabla4[[#This Row],[SERVICIO 2025]],$J$2:$V$14,3,0)*Tabla4[[#This Row],[TOTAL COBERTURA]]*8</f>
        <v>22955520</v>
      </c>
      <c r="AQ705" s="35"/>
      <c r="AR705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705" s="35" t="str">
        <f>+IF(Tabla4[[#This Row],[AGRUPACIONES]]=1,SUMIFS(Tabla4[VALOR TOTAL],Tabla4[ZONA DEFINITIVO],Tabla4[[#This Row],[ZONA DEFINITIVO]])," ")</f>
        <v xml:space="preserve"> </v>
      </c>
      <c r="AT705" s="27">
        <f>(VLOOKUP(Tabla4[[#This Row],[SERVICIO 2025]],$J$2:$V$14,3,0)*Tabla4[[#This Row],[TOTAL COBERTURA]])+Tabla4[[#This Row],[VALOR FASE PREPARATORIA DE ALISTAMIENTO]]+Tabla4[[#This Row],[DOTACIÓN ÚNICA]]</f>
        <v>3617344</v>
      </c>
      <c r="AU705" s="35">
        <f>(VLOOKUP(Tabla4[[#This Row],[SERVICIO 2025]],$J$2:$V$14,3,0)*Tabla4[[#This Row],[TOTAL COBERTURA]])</f>
        <v>2869440</v>
      </c>
      <c r="AV705" s="35">
        <f>(VLOOKUP(Tabla4[[#This Row],[SERVICIO 2025]],$J$2:$V$14,3,0)*Tabla4[[#This Row],[TOTAL COBERTURA]])</f>
        <v>2869440</v>
      </c>
      <c r="AW705" s="35">
        <f>(VLOOKUP(Tabla4[[#This Row],[SERVICIO 2025]],$J$2:$V$14,3,0)*Tabla4[[#This Row],[TOTAL COBERTURA]])</f>
        <v>2869440</v>
      </c>
      <c r="AX705" s="35">
        <f>(VLOOKUP(Tabla4[[#This Row],[SERVICIO 2025]],$J$2:$V$14,3,0)*Tabla4[[#This Row],[TOTAL COBERTURA]])</f>
        <v>2869440</v>
      </c>
      <c r="AY705" s="35">
        <f>(VLOOKUP(Tabla4[[#This Row],[SERVICIO 2025]],$J$2:$V$14,3,0)*Tabla4[[#This Row],[TOTAL COBERTURA]])</f>
        <v>2869440</v>
      </c>
      <c r="AZ705" s="35">
        <f>(VLOOKUP(Tabla4[[#This Row],[SERVICIO 2025]],$J$2:$V$14,3,0)*Tabla4[[#This Row],[TOTAL COBERTURA]])</f>
        <v>2869440</v>
      </c>
      <c r="BA705" s="35">
        <f>(VLOOKUP(Tabla4[[#This Row],[SERVICIO 2025]],$J$2:$V$14,3,0)*Tabla4[[#This Row],[TOTAL COBERTURA]])+Tabla4[[#This Row],[VALOR FASE PREPARATORIA DE CIERRE]]</f>
        <v>3474896</v>
      </c>
      <c r="BB705" s="35">
        <f>SUM(Tabla4[[#This Row],[DESEMBOLSO 1]:[DESEMBOLSO 8]])</f>
        <v>24308880</v>
      </c>
      <c r="BC705" s="35">
        <f>VLOOKUP(Tabla4[[#This Row],[SERVICIO 2025]],$J$2:$V$14,10,0)*Tabla4[[#This Row],[TOTAL COBERTURA]]*$W$3</f>
        <v>24105088</v>
      </c>
      <c r="BD705" s="47" t="s">
        <v>211</v>
      </c>
      <c r="BE705" s="12" t="b">
        <f>EXACT(Tabla4[[#This Row],[VALOR ATENCIÓN (8 MESES)]],Tabla4[[#This Row],[VALOR TOTAL]])</f>
        <v>1</v>
      </c>
      <c r="BF705" s="23">
        <f>Tabla4[[#This Row],[VALOR ATENCIÓN (8 MESES)]]-Tabla4[[#This Row],[VALOR TOTAL]]</f>
        <v>0</v>
      </c>
      <c r="BG705" s="12" t="b">
        <f>EXACT(Tabla4[[#This Row],[TOTAL DESEMBOLSOS]],Tabla4[[#This Row],[VALOR ATENCIÓN (8 MESES)]])</f>
        <v>1</v>
      </c>
      <c r="BH705" s="29">
        <f>Tabla4[[#This Row],[TOTAL DESEMBOLSOS]]-Tabla4[[#This Row],[VALOR ATENCIÓN (8 MESES)]]</f>
        <v>0</v>
      </c>
      <c r="BI705" t="s">
        <v>98</v>
      </c>
      <c r="BJ705">
        <v>1953</v>
      </c>
    </row>
    <row r="706" spans="1:62">
      <c r="A706" s="13">
        <v>1953</v>
      </c>
      <c r="B706" s="13" t="s">
        <v>1564</v>
      </c>
      <c r="C706" s="12" t="s">
        <v>87</v>
      </c>
      <c r="D706" s="12" t="s">
        <v>88</v>
      </c>
      <c r="E706" s="12" t="s">
        <v>1565</v>
      </c>
      <c r="F706" s="12" t="s">
        <v>21</v>
      </c>
      <c r="G706" s="12" t="s">
        <v>90</v>
      </c>
      <c r="H706" s="12" t="s">
        <v>1342</v>
      </c>
      <c r="I706" s="12">
        <v>53081152880</v>
      </c>
      <c r="J706" s="12" t="s">
        <v>1590</v>
      </c>
      <c r="K706" s="12">
        <v>1</v>
      </c>
      <c r="L706" s="12">
        <v>18</v>
      </c>
      <c r="M706" s="12"/>
      <c r="N706" s="13">
        <v>1953</v>
      </c>
      <c r="O706" s="12" t="s">
        <v>93</v>
      </c>
      <c r="P706" s="12"/>
      <c r="Q706" s="12"/>
      <c r="R706" s="12" t="s">
        <v>94</v>
      </c>
      <c r="S706" s="12">
        <v>10</v>
      </c>
      <c r="T706" s="12" t="s">
        <v>95</v>
      </c>
      <c r="U706" s="12" t="s">
        <v>96</v>
      </c>
      <c r="V706" s="12">
        <f>VLOOKUP(Tabla4[[#This Row],[ZONA DEFINITIVO]],Hoja1!$A$1:$D$121,3,0)</f>
        <v>229117</v>
      </c>
      <c r="W706" s="12">
        <f>VLOOKUP(Tabla4[[#This Row],[ZONA DEFINITIVO]],Hoja1!$A$1:$D$121,2,0)</f>
        <v>15211</v>
      </c>
      <c r="X706" s="12">
        <f>VLOOKUP(Tabla4[[#This Row],[ZONA DEFINITIVO]],Hoja1!$A$1:$D$121,4,0)</f>
        <v>86025</v>
      </c>
      <c r="Y706" s="12" t="str">
        <f>+IF(Tabla4[[#This Row],[AGRUPACIONES]]=1,SUMIFS(Tabla4[UDS],Tabla4[ZONA DEFINITIVO],Tabla4[[#This Row],[ZONA DEFINITIVO]])," ")</f>
        <v xml:space="preserve"> </v>
      </c>
      <c r="Z706" s="12" t="str">
        <f>+IF(Tabla4[[#This Row],[AGRUPACIONES]]=1,SUMIFS(Tabla4[TOTAL COBERTURA],Tabla4[ZONA DEFINITIVO],Tabla4[[#This Row],[ZONA DEFINITIVO]])," ")</f>
        <v xml:space="preserve"> </v>
      </c>
      <c r="AA706" s="12"/>
      <c r="AB706" s="38">
        <v>27347490</v>
      </c>
      <c r="AC706" s="37">
        <v>0.02</v>
      </c>
      <c r="AD706" s="38">
        <f t="shared" si="11"/>
        <v>546949.80000000005</v>
      </c>
      <c r="AE706" s="12"/>
      <c r="AF706" s="12">
        <f>COUNTIF($A$20:A706,A706)</f>
        <v>14</v>
      </c>
      <c r="AG706" s="38">
        <v>27347490</v>
      </c>
      <c r="AH706" s="38">
        <f>Tabla4[[#This Row],[VALOR CONTRAPARTIDA]]+Tabla4[[#This Row],[TOTAL APORTES ICBF]]</f>
        <v>27894439.800000001</v>
      </c>
      <c r="AI706" s="35"/>
      <c r="AJ706" s="38"/>
      <c r="AK706" s="38"/>
      <c r="AL706" s="23"/>
      <c r="AM706" s="35">
        <f>VLOOKUP(Tabla4[[#This Row],[SERVICIO 2025]],$J$2:$V$14,5,0)*Tabla4[[#This Row],[TOTAL COBERTURA]]</f>
        <v>841392</v>
      </c>
      <c r="AN706" s="35">
        <f>VLOOKUP(Tabla4[[#This Row],[SERVICIO 2025]],$J$2:$V$14,6,0)*Tabla4[[#This Row],[TOTAL COBERTURA]]</f>
        <v>681138</v>
      </c>
      <c r="AO706" s="35">
        <f>VLOOKUP(Tabla4[[#This Row],[SERVICIO 2025]],$J$2:$V$14,8,0)*Tabla4[[#This Row],[TOTAL COBERTURA]]</f>
        <v>0</v>
      </c>
      <c r="AP706" s="35">
        <f>VLOOKUP(Tabla4[[#This Row],[SERVICIO 2025]],$J$2:$V$14,3,0)*Tabla4[[#This Row],[TOTAL COBERTURA]]*8</f>
        <v>25824960</v>
      </c>
      <c r="AQ706" s="35"/>
      <c r="AR706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706" s="35" t="str">
        <f>+IF(Tabla4[[#This Row],[AGRUPACIONES]]=1,SUMIFS(Tabla4[VALOR TOTAL],Tabla4[ZONA DEFINITIVO],Tabla4[[#This Row],[ZONA DEFINITIVO]])," ")</f>
        <v xml:space="preserve"> </v>
      </c>
      <c r="AT706" s="27">
        <f>(VLOOKUP(Tabla4[[#This Row],[SERVICIO 2025]],$J$2:$V$14,3,0)*Tabla4[[#This Row],[TOTAL COBERTURA]])+Tabla4[[#This Row],[VALOR FASE PREPARATORIA DE ALISTAMIENTO]]+Tabla4[[#This Row],[DOTACIÓN ÚNICA]]</f>
        <v>4069512</v>
      </c>
      <c r="AU706" s="35">
        <f>(VLOOKUP(Tabla4[[#This Row],[SERVICIO 2025]],$J$2:$V$14,3,0)*Tabla4[[#This Row],[TOTAL COBERTURA]])</f>
        <v>3228120</v>
      </c>
      <c r="AV706" s="35">
        <f>(VLOOKUP(Tabla4[[#This Row],[SERVICIO 2025]],$J$2:$V$14,3,0)*Tabla4[[#This Row],[TOTAL COBERTURA]])</f>
        <v>3228120</v>
      </c>
      <c r="AW706" s="35">
        <f>(VLOOKUP(Tabla4[[#This Row],[SERVICIO 2025]],$J$2:$V$14,3,0)*Tabla4[[#This Row],[TOTAL COBERTURA]])</f>
        <v>3228120</v>
      </c>
      <c r="AX706" s="35">
        <f>(VLOOKUP(Tabla4[[#This Row],[SERVICIO 2025]],$J$2:$V$14,3,0)*Tabla4[[#This Row],[TOTAL COBERTURA]])</f>
        <v>3228120</v>
      </c>
      <c r="AY706" s="35">
        <f>(VLOOKUP(Tabla4[[#This Row],[SERVICIO 2025]],$J$2:$V$14,3,0)*Tabla4[[#This Row],[TOTAL COBERTURA]])</f>
        <v>3228120</v>
      </c>
      <c r="AZ706" s="35">
        <f>(VLOOKUP(Tabla4[[#This Row],[SERVICIO 2025]],$J$2:$V$14,3,0)*Tabla4[[#This Row],[TOTAL COBERTURA]])</f>
        <v>3228120</v>
      </c>
      <c r="BA706" s="35">
        <f>(VLOOKUP(Tabla4[[#This Row],[SERVICIO 2025]],$J$2:$V$14,3,0)*Tabla4[[#This Row],[TOTAL COBERTURA]])+Tabla4[[#This Row],[VALOR FASE PREPARATORIA DE CIERRE]]</f>
        <v>3909258</v>
      </c>
      <c r="BB706" s="35">
        <f>SUM(Tabla4[[#This Row],[DESEMBOLSO 1]:[DESEMBOLSO 8]])</f>
        <v>27347490</v>
      </c>
      <c r="BC706" s="35">
        <f>VLOOKUP(Tabla4[[#This Row],[SERVICIO 2025]],$J$2:$V$14,10,0)*Tabla4[[#This Row],[TOTAL COBERTURA]]*$W$3</f>
        <v>27118224</v>
      </c>
      <c r="BD706" s="47" t="s">
        <v>211</v>
      </c>
      <c r="BE706" s="12" t="b">
        <f>EXACT(Tabla4[[#This Row],[VALOR ATENCIÓN (8 MESES)]],Tabla4[[#This Row],[VALOR TOTAL]])</f>
        <v>1</v>
      </c>
      <c r="BF706" s="23">
        <f>Tabla4[[#This Row],[VALOR ATENCIÓN (8 MESES)]]-Tabla4[[#This Row],[VALOR TOTAL]]</f>
        <v>0</v>
      </c>
      <c r="BG706" s="12" t="b">
        <f>EXACT(Tabla4[[#This Row],[TOTAL DESEMBOLSOS]],Tabla4[[#This Row],[VALOR ATENCIÓN (8 MESES)]])</f>
        <v>1</v>
      </c>
      <c r="BH706" s="29">
        <f>Tabla4[[#This Row],[TOTAL DESEMBOLSOS]]-Tabla4[[#This Row],[VALOR ATENCIÓN (8 MESES)]]</f>
        <v>0</v>
      </c>
      <c r="BI706" t="s">
        <v>98</v>
      </c>
      <c r="BJ706">
        <v>1953</v>
      </c>
    </row>
    <row r="707" spans="1:62">
      <c r="A707" s="13">
        <v>1953</v>
      </c>
      <c r="B707" s="13" t="s">
        <v>1564</v>
      </c>
      <c r="C707" s="12" t="s">
        <v>87</v>
      </c>
      <c r="D707" s="12" t="s">
        <v>88</v>
      </c>
      <c r="E707" s="12" t="s">
        <v>1565</v>
      </c>
      <c r="F707" s="12" t="s">
        <v>21</v>
      </c>
      <c r="G707" s="12" t="s">
        <v>90</v>
      </c>
      <c r="H707" s="12" t="s">
        <v>1591</v>
      </c>
      <c r="I707" s="12">
        <v>53081152882</v>
      </c>
      <c r="J707" s="12" t="s">
        <v>1592</v>
      </c>
      <c r="K707" s="12">
        <v>1</v>
      </c>
      <c r="L707" s="12">
        <v>34</v>
      </c>
      <c r="M707" s="12"/>
      <c r="N707" s="13">
        <v>1953</v>
      </c>
      <c r="O707" s="12" t="s">
        <v>93</v>
      </c>
      <c r="P707" s="12"/>
      <c r="Q707" s="12"/>
      <c r="R707" s="12" t="s">
        <v>94</v>
      </c>
      <c r="S707" s="12">
        <v>10</v>
      </c>
      <c r="T707" s="12" t="s">
        <v>95</v>
      </c>
      <c r="U707" s="12" t="s">
        <v>96</v>
      </c>
      <c r="V707" s="12">
        <f>VLOOKUP(Tabla4[[#This Row],[ZONA DEFINITIVO]],Hoja1!$A$1:$D$121,3,0)</f>
        <v>229117</v>
      </c>
      <c r="W707" s="12">
        <f>VLOOKUP(Tabla4[[#This Row],[ZONA DEFINITIVO]],Hoja1!$A$1:$D$121,2,0)</f>
        <v>15211</v>
      </c>
      <c r="X707" s="12">
        <f>VLOOKUP(Tabla4[[#This Row],[ZONA DEFINITIVO]],Hoja1!$A$1:$D$121,4,0)</f>
        <v>86025</v>
      </c>
      <c r="Y707" s="12" t="str">
        <f>+IF(Tabla4[[#This Row],[AGRUPACIONES]]=1,SUMIFS(Tabla4[UDS],Tabla4[ZONA DEFINITIVO],Tabla4[[#This Row],[ZONA DEFINITIVO]])," ")</f>
        <v xml:space="preserve"> </v>
      </c>
      <c r="Z707" s="12" t="str">
        <f>+IF(Tabla4[[#This Row],[AGRUPACIONES]]=1,SUMIFS(Tabla4[TOTAL COBERTURA],Tabla4[ZONA DEFINITIVO],Tabla4[[#This Row],[ZONA DEFINITIVO]])," ")</f>
        <v xml:space="preserve"> </v>
      </c>
      <c r="AA707" s="12"/>
      <c r="AB707" s="38">
        <v>51656370</v>
      </c>
      <c r="AC707" s="37">
        <v>0.02</v>
      </c>
      <c r="AD707" s="38">
        <f t="shared" si="11"/>
        <v>1033127.4</v>
      </c>
      <c r="AE707" s="12"/>
      <c r="AF707" s="12">
        <f>COUNTIF($A$20:A707,A707)</f>
        <v>15</v>
      </c>
      <c r="AG707" s="38">
        <v>51656370</v>
      </c>
      <c r="AH707" s="38">
        <f>Tabla4[[#This Row],[VALOR CONTRAPARTIDA]]+Tabla4[[#This Row],[TOTAL APORTES ICBF]]</f>
        <v>52689497.399999999</v>
      </c>
      <c r="AI707" s="35"/>
      <c r="AJ707" s="38"/>
      <c r="AK707" s="38"/>
      <c r="AL707" s="23"/>
      <c r="AM707" s="35">
        <f>VLOOKUP(Tabla4[[#This Row],[SERVICIO 2025]],$J$2:$V$14,5,0)*Tabla4[[#This Row],[TOTAL COBERTURA]]</f>
        <v>1589296</v>
      </c>
      <c r="AN707" s="35">
        <f>VLOOKUP(Tabla4[[#This Row],[SERVICIO 2025]],$J$2:$V$14,6,0)*Tabla4[[#This Row],[TOTAL COBERTURA]]</f>
        <v>1286594</v>
      </c>
      <c r="AO707" s="35">
        <f>VLOOKUP(Tabla4[[#This Row],[SERVICIO 2025]],$J$2:$V$14,8,0)*Tabla4[[#This Row],[TOTAL COBERTURA]]</f>
        <v>0</v>
      </c>
      <c r="AP707" s="35">
        <f>VLOOKUP(Tabla4[[#This Row],[SERVICIO 2025]],$J$2:$V$14,3,0)*Tabla4[[#This Row],[TOTAL COBERTURA]]*8</f>
        <v>48780480</v>
      </c>
      <c r="AQ707" s="35"/>
      <c r="AR707" s="35">
        <f>Tabla4[[#This Row],[VALOR FASE PREPARATORIA DE ALISTAMIENTO]]+Tabla4[[#This Row],[VALOR FASE PREPARATORIA DE CIERRE]]+Tabla4[[#This Row],[DOTACIÓN ÚNICA]]+Tabla4[[#This Row],[VALOR ATENCIÓN]]+Tabla4[[#This Row],[VALOR RACION PREPARADA]]</f>
        <v>51656370</v>
      </c>
      <c r="AS707" s="35" t="str">
        <f>+IF(Tabla4[[#This Row],[AGRUPACIONES]]=1,SUMIFS(Tabla4[VALOR TOTAL],Tabla4[ZONA DEFINITIVO],Tabla4[[#This Row],[ZONA DEFINITIVO]])," ")</f>
        <v xml:space="preserve"> </v>
      </c>
      <c r="AT707" s="27">
        <f>(VLOOKUP(Tabla4[[#This Row],[SERVICIO 2025]],$J$2:$V$14,3,0)*Tabla4[[#This Row],[TOTAL COBERTURA]])+Tabla4[[#This Row],[VALOR FASE PREPARATORIA DE ALISTAMIENTO]]+Tabla4[[#This Row],[DOTACIÓN ÚNICA]]</f>
        <v>7686856</v>
      </c>
      <c r="AU707" s="35">
        <f>(VLOOKUP(Tabla4[[#This Row],[SERVICIO 2025]],$J$2:$V$14,3,0)*Tabla4[[#This Row],[TOTAL COBERTURA]])</f>
        <v>6097560</v>
      </c>
      <c r="AV707" s="35">
        <f>(VLOOKUP(Tabla4[[#This Row],[SERVICIO 2025]],$J$2:$V$14,3,0)*Tabla4[[#This Row],[TOTAL COBERTURA]])</f>
        <v>6097560</v>
      </c>
      <c r="AW707" s="35">
        <f>(VLOOKUP(Tabla4[[#This Row],[SERVICIO 2025]],$J$2:$V$14,3,0)*Tabla4[[#This Row],[TOTAL COBERTURA]])</f>
        <v>6097560</v>
      </c>
      <c r="AX707" s="35">
        <f>(VLOOKUP(Tabla4[[#This Row],[SERVICIO 2025]],$J$2:$V$14,3,0)*Tabla4[[#This Row],[TOTAL COBERTURA]])</f>
        <v>6097560</v>
      </c>
      <c r="AY707" s="35">
        <f>(VLOOKUP(Tabla4[[#This Row],[SERVICIO 2025]],$J$2:$V$14,3,0)*Tabla4[[#This Row],[TOTAL COBERTURA]])</f>
        <v>6097560</v>
      </c>
      <c r="AZ707" s="35">
        <f>(VLOOKUP(Tabla4[[#This Row],[SERVICIO 2025]],$J$2:$V$14,3,0)*Tabla4[[#This Row],[TOTAL COBERTURA]])</f>
        <v>6097560</v>
      </c>
      <c r="BA707" s="35">
        <f>(VLOOKUP(Tabla4[[#This Row],[SERVICIO 2025]],$J$2:$V$14,3,0)*Tabla4[[#This Row],[TOTAL COBERTURA]])+Tabla4[[#This Row],[VALOR FASE PREPARATORIA DE CIERRE]]</f>
        <v>7384154</v>
      </c>
      <c r="BB707" s="35">
        <f>SUM(Tabla4[[#This Row],[DESEMBOLSO 1]:[DESEMBOLSO 8]])</f>
        <v>51656370</v>
      </c>
      <c r="BC707" s="35">
        <f>VLOOKUP(Tabla4[[#This Row],[SERVICIO 2025]],$J$2:$V$14,10,0)*Tabla4[[#This Row],[TOTAL COBERTURA]]*$W$3</f>
        <v>51223312</v>
      </c>
      <c r="BD707" s="47" t="s">
        <v>211</v>
      </c>
      <c r="BE707" s="12" t="b">
        <f>EXACT(Tabla4[[#This Row],[VALOR ATENCIÓN (8 MESES)]],Tabla4[[#This Row],[VALOR TOTAL]])</f>
        <v>1</v>
      </c>
      <c r="BF707" s="23">
        <f>Tabla4[[#This Row],[VALOR ATENCIÓN (8 MESES)]]-Tabla4[[#This Row],[VALOR TOTAL]]</f>
        <v>0</v>
      </c>
      <c r="BG707" s="12" t="b">
        <f>EXACT(Tabla4[[#This Row],[TOTAL DESEMBOLSOS]],Tabla4[[#This Row],[VALOR ATENCIÓN (8 MESES)]])</f>
        <v>1</v>
      </c>
      <c r="BH707" s="29">
        <f>Tabla4[[#This Row],[TOTAL DESEMBOLSOS]]-Tabla4[[#This Row],[VALOR ATENCIÓN (8 MESES)]]</f>
        <v>0</v>
      </c>
      <c r="BI707" t="s">
        <v>98</v>
      </c>
      <c r="BJ707">
        <v>1953</v>
      </c>
    </row>
    <row r="708" spans="1:62">
      <c r="A708" s="13">
        <v>1953</v>
      </c>
      <c r="B708" s="13" t="s">
        <v>1564</v>
      </c>
      <c r="C708" s="12" t="s">
        <v>87</v>
      </c>
      <c r="D708" s="12" t="s">
        <v>88</v>
      </c>
      <c r="E708" s="12" t="s">
        <v>1565</v>
      </c>
      <c r="F708" s="12" t="s">
        <v>21</v>
      </c>
      <c r="G708" s="12" t="s">
        <v>90</v>
      </c>
      <c r="H708" s="12" t="s">
        <v>1593</v>
      </c>
      <c r="I708" s="12">
        <v>53081152883</v>
      </c>
      <c r="J708" s="12" t="s">
        <v>1594</v>
      </c>
      <c r="K708" s="12">
        <v>1</v>
      </c>
      <c r="L708" s="12">
        <v>15</v>
      </c>
      <c r="M708" s="12"/>
      <c r="N708" s="13">
        <v>1953</v>
      </c>
      <c r="O708" s="12" t="s">
        <v>93</v>
      </c>
      <c r="P708" s="12"/>
      <c r="Q708" s="12"/>
      <c r="R708" s="12" t="s">
        <v>94</v>
      </c>
      <c r="S708" s="12">
        <v>10</v>
      </c>
      <c r="T708" s="12" t="s">
        <v>95</v>
      </c>
      <c r="U708" s="12" t="s">
        <v>96</v>
      </c>
      <c r="V708" s="12">
        <f>VLOOKUP(Tabla4[[#This Row],[ZONA DEFINITIVO]],Hoja1!$A$1:$D$121,3,0)</f>
        <v>229117</v>
      </c>
      <c r="W708" s="12">
        <f>VLOOKUP(Tabla4[[#This Row],[ZONA DEFINITIVO]],Hoja1!$A$1:$D$121,2,0)</f>
        <v>15211</v>
      </c>
      <c r="X708" s="12">
        <f>VLOOKUP(Tabla4[[#This Row],[ZONA DEFINITIVO]],Hoja1!$A$1:$D$121,4,0)</f>
        <v>86025</v>
      </c>
      <c r="Y708" s="12" t="str">
        <f>+IF(Tabla4[[#This Row],[AGRUPACIONES]]=1,SUMIFS(Tabla4[UDS],Tabla4[ZONA DEFINITIVO],Tabla4[[#This Row],[ZONA DEFINITIVO]])," ")</f>
        <v xml:space="preserve"> </v>
      </c>
      <c r="Z708" s="12" t="str">
        <f>+IF(Tabla4[[#This Row],[AGRUPACIONES]]=1,SUMIFS(Tabla4[TOTAL COBERTURA],Tabla4[ZONA DEFINITIVO],Tabla4[[#This Row],[ZONA DEFINITIVO]])," ")</f>
        <v xml:space="preserve"> </v>
      </c>
      <c r="AA708" s="12"/>
      <c r="AB708" s="38">
        <v>22789575</v>
      </c>
      <c r="AC708" s="37">
        <v>0.02</v>
      </c>
      <c r="AD708" s="38">
        <f t="shared" si="11"/>
        <v>455791.5</v>
      </c>
      <c r="AE708" s="12"/>
      <c r="AF708" s="12">
        <f>COUNTIF($A$20:A708,A708)</f>
        <v>16</v>
      </c>
      <c r="AG708" s="38">
        <v>22789575</v>
      </c>
      <c r="AH708" s="38">
        <f>Tabla4[[#This Row],[VALOR CONTRAPARTIDA]]+Tabla4[[#This Row],[TOTAL APORTES ICBF]]</f>
        <v>23245366.5</v>
      </c>
      <c r="AI708" s="35"/>
      <c r="AJ708" s="38"/>
      <c r="AK708" s="38"/>
      <c r="AL708" s="23"/>
      <c r="AM708" s="35">
        <f>VLOOKUP(Tabla4[[#This Row],[SERVICIO 2025]],$J$2:$V$14,5,0)*Tabla4[[#This Row],[TOTAL COBERTURA]]</f>
        <v>701160</v>
      </c>
      <c r="AN708" s="35">
        <f>VLOOKUP(Tabla4[[#This Row],[SERVICIO 2025]],$J$2:$V$14,6,0)*Tabla4[[#This Row],[TOTAL COBERTURA]]</f>
        <v>567615</v>
      </c>
      <c r="AO708" s="35">
        <f>VLOOKUP(Tabla4[[#This Row],[SERVICIO 2025]],$J$2:$V$14,8,0)*Tabla4[[#This Row],[TOTAL COBERTURA]]</f>
        <v>0</v>
      </c>
      <c r="AP708" s="35">
        <f>VLOOKUP(Tabla4[[#This Row],[SERVICIO 2025]],$J$2:$V$14,3,0)*Tabla4[[#This Row],[TOTAL COBERTURA]]*8</f>
        <v>21520800</v>
      </c>
      <c r="AQ708" s="35"/>
      <c r="AR708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708" s="35" t="str">
        <f>+IF(Tabla4[[#This Row],[AGRUPACIONES]]=1,SUMIFS(Tabla4[VALOR TOTAL],Tabla4[ZONA DEFINITIVO],Tabla4[[#This Row],[ZONA DEFINITIVO]])," ")</f>
        <v xml:space="preserve"> </v>
      </c>
      <c r="AT708" s="27">
        <f>(VLOOKUP(Tabla4[[#This Row],[SERVICIO 2025]],$J$2:$V$14,3,0)*Tabla4[[#This Row],[TOTAL COBERTURA]])+Tabla4[[#This Row],[VALOR FASE PREPARATORIA DE ALISTAMIENTO]]+Tabla4[[#This Row],[DOTACIÓN ÚNICA]]</f>
        <v>3391260</v>
      </c>
      <c r="AU708" s="35">
        <f>(VLOOKUP(Tabla4[[#This Row],[SERVICIO 2025]],$J$2:$V$14,3,0)*Tabla4[[#This Row],[TOTAL COBERTURA]])</f>
        <v>2690100</v>
      </c>
      <c r="AV708" s="35">
        <f>(VLOOKUP(Tabla4[[#This Row],[SERVICIO 2025]],$J$2:$V$14,3,0)*Tabla4[[#This Row],[TOTAL COBERTURA]])</f>
        <v>2690100</v>
      </c>
      <c r="AW708" s="35">
        <f>(VLOOKUP(Tabla4[[#This Row],[SERVICIO 2025]],$J$2:$V$14,3,0)*Tabla4[[#This Row],[TOTAL COBERTURA]])</f>
        <v>2690100</v>
      </c>
      <c r="AX708" s="35">
        <f>(VLOOKUP(Tabla4[[#This Row],[SERVICIO 2025]],$J$2:$V$14,3,0)*Tabla4[[#This Row],[TOTAL COBERTURA]])</f>
        <v>2690100</v>
      </c>
      <c r="AY708" s="35">
        <f>(VLOOKUP(Tabla4[[#This Row],[SERVICIO 2025]],$J$2:$V$14,3,0)*Tabla4[[#This Row],[TOTAL COBERTURA]])</f>
        <v>2690100</v>
      </c>
      <c r="AZ708" s="35">
        <f>(VLOOKUP(Tabla4[[#This Row],[SERVICIO 2025]],$J$2:$V$14,3,0)*Tabla4[[#This Row],[TOTAL COBERTURA]])</f>
        <v>2690100</v>
      </c>
      <c r="BA708" s="35">
        <f>(VLOOKUP(Tabla4[[#This Row],[SERVICIO 2025]],$J$2:$V$14,3,0)*Tabla4[[#This Row],[TOTAL COBERTURA]])+Tabla4[[#This Row],[VALOR FASE PREPARATORIA DE CIERRE]]</f>
        <v>3257715</v>
      </c>
      <c r="BB708" s="35">
        <f>SUM(Tabla4[[#This Row],[DESEMBOLSO 1]:[DESEMBOLSO 8]])</f>
        <v>22789575</v>
      </c>
      <c r="BC708" s="35">
        <f>VLOOKUP(Tabla4[[#This Row],[SERVICIO 2025]],$J$2:$V$14,10,0)*Tabla4[[#This Row],[TOTAL COBERTURA]]*$W$3</f>
        <v>22598520</v>
      </c>
      <c r="BD708" s="47" t="s">
        <v>211</v>
      </c>
      <c r="BE708" s="12" t="b">
        <f>EXACT(Tabla4[[#This Row],[VALOR ATENCIÓN (8 MESES)]],Tabla4[[#This Row],[VALOR TOTAL]])</f>
        <v>1</v>
      </c>
      <c r="BF708" s="23">
        <f>Tabla4[[#This Row],[VALOR ATENCIÓN (8 MESES)]]-Tabla4[[#This Row],[VALOR TOTAL]]</f>
        <v>0</v>
      </c>
      <c r="BG708" s="12" t="b">
        <f>EXACT(Tabla4[[#This Row],[TOTAL DESEMBOLSOS]],Tabla4[[#This Row],[VALOR ATENCIÓN (8 MESES)]])</f>
        <v>1</v>
      </c>
      <c r="BH708" s="29">
        <f>Tabla4[[#This Row],[TOTAL DESEMBOLSOS]]-Tabla4[[#This Row],[VALOR ATENCIÓN (8 MESES)]]</f>
        <v>0</v>
      </c>
      <c r="BI708" t="s">
        <v>98</v>
      </c>
      <c r="BJ708">
        <v>1953</v>
      </c>
    </row>
    <row r="709" spans="1:62">
      <c r="A709" s="13">
        <v>1953</v>
      </c>
      <c r="B709" s="13" t="s">
        <v>1564</v>
      </c>
      <c r="C709" s="12" t="s">
        <v>87</v>
      </c>
      <c r="D709" s="12" t="s">
        <v>88</v>
      </c>
      <c r="E709" s="12" t="s">
        <v>1565</v>
      </c>
      <c r="F709" s="12" t="s">
        <v>21</v>
      </c>
      <c r="G709" s="12" t="s">
        <v>90</v>
      </c>
      <c r="H709" s="12" t="s">
        <v>1595</v>
      </c>
      <c r="I709" s="12">
        <v>53081152910</v>
      </c>
      <c r="J709" s="12" t="s">
        <v>1596</v>
      </c>
      <c r="K709" s="12">
        <v>1</v>
      </c>
      <c r="L709" s="12">
        <v>32</v>
      </c>
      <c r="M709" s="12"/>
      <c r="N709" s="13">
        <v>1953</v>
      </c>
      <c r="O709" s="12" t="s">
        <v>93</v>
      </c>
      <c r="P709" s="12"/>
      <c r="Q709" s="12"/>
      <c r="R709" s="12" t="s">
        <v>94</v>
      </c>
      <c r="S709" s="12">
        <v>10</v>
      </c>
      <c r="T709" s="12" t="s">
        <v>95</v>
      </c>
      <c r="U709" s="12" t="s">
        <v>96</v>
      </c>
      <c r="V709" s="12">
        <f>VLOOKUP(Tabla4[[#This Row],[ZONA DEFINITIVO]],Hoja1!$A$1:$D$121,3,0)</f>
        <v>229117</v>
      </c>
      <c r="W709" s="12">
        <f>VLOOKUP(Tabla4[[#This Row],[ZONA DEFINITIVO]],Hoja1!$A$1:$D$121,2,0)</f>
        <v>15211</v>
      </c>
      <c r="X709" s="12">
        <f>VLOOKUP(Tabla4[[#This Row],[ZONA DEFINITIVO]],Hoja1!$A$1:$D$121,4,0)</f>
        <v>86025</v>
      </c>
      <c r="Y709" s="12" t="str">
        <f>+IF(Tabla4[[#This Row],[AGRUPACIONES]]=1,SUMIFS(Tabla4[UDS],Tabla4[ZONA DEFINITIVO],Tabla4[[#This Row],[ZONA DEFINITIVO]])," ")</f>
        <v xml:space="preserve"> </v>
      </c>
      <c r="Z709" s="12" t="str">
        <f>+IF(Tabla4[[#This Row],[AGRUPACIONES]]=1,SUMIFS(Tabla4[TOTAL COBERTURA],Tabla4[ZONA DEFINITIVO],Tabla4[[#This Row],[ZONA DEFINITIVO]])," ")</f>
        <v xml:space="preserve"> </v>
      </c>
      <c r="AA709" s="12"/>
      <c r="AB709" s="38">
        <v>48617760</v>
      </c>
      <c r="AC709" s="37">
        <v>0.02</v>
      </c>
      <c r="AD709" s="38">
        <f t="shared" si="11"/>
        <v>972355.20000000007</v>
      </c>
      <c r="AE709" s="12"/>
      <c r="AF709" s="12">
        <f>COUNTIF($A$20:A709,A709)</f>
        <v>17</v>
      </c>
      <c r="AG709" s="38">
        <v>48617760</v>
      </c>
      <c r="AH709" s="38">
        <f>Tabla4[[#This Row],[VALOR CONTRAPARTIDA]]+Tabla4[[#This Row],[TOTAL APORTES ICBF]]</f>
        <v>49590115.200000003</v>
      </c>
      <c r="AI709" s="35"/>
      <c r="AJ709" s="38"/>
      <c r="AK709" s="38"/>
      <c r="AL709" s="23"/>
      <c r="AM709" s="35">
        <f>VLOOKUP(Tabla4[[#This Row],[SERVICIO 2025]],$J$2:$V$14,5,0)*Tabla4[[#This Row],[TOTAL COBERTURA]]</f>
        <v>1495808</v>
      </c>
      <c r="AN709" s="35">
        <f>VLOOKUP(Tabla4[[#This Row],[SERVICIO 2025]],$J$2:$V$14,6,0)*Tabla4[[#This Row],[TOTAL COBERTURA]]</f>
        <v>1210912</v>
      </c>
      <c r="AO709" s="35">
        <f>VLOOKUP(Tabla4[[#This Row],[SERVICIO 2025]],$J$2:$V$14,8,0)*Tabla4[[#This Row],[TOTAL COBERTURA]]</f>
        <v>0</v>
      </c>
      <c r="AP709" s="35">
        <f>VLOOKUP(Tabla4[[#This Row],[SERVICIO 2025]],$J$2:$V$14,3,0)*Tabla4[[#This Row],[TOTAL COBERTURA]]*8</f>
        <v>45911040</v>
      </c>
      <c r="AQ709" s="35"/>
      <c r="AR709" s="35">
        <f>Tabla4[[#This Row],[VALOR FASE PREPARATORIA DE ALISTAMIENTO]]+Tabla4[[#This Row],[VALOR FASE PREPARATORIA DE CIERRE]]+Tabla4[[#This Row],[DOTACIÓN ÚNICA]]+Tabla4[[#This Row],[VALOR ATENCIÓN]]+Tabla4[[#This Row],[VALOR RACION PREPARADA]]</f>
        <v>48617760</v>
      </c>
      <c r="AS709" s="35" t="str">
        <f>+IF(Tabla4[[#This Row],[AGRUPACIONES]]=1,SUMIFS(Tabla4[VALOR TOTAL],Tabla4[ZONA DEFINITIVO],Tabla4[[#This Row],[ZONA DEFINITIVO]])," ")</f>
        <v xml:space="preserve"> </v>
      </c>
      <c r="AT709" s="27">
        <f>(VLOOKUP(Tabla4[[#This Row],[SERVICIO 2025]],$J$2:$V$14,3,0)*Tabla4[[#This Row],[TOTAL COBERTURA]])+Tabla4[[#This Row],[VALOR FASE PREPARATORIA DE ALISTAMIENTO]]+Tabla4[[#This Row],[DOTACIÓN ÚNICA]]</f>
        <v>7234688</v>
      </c>
      <c r="AU709" s="35">
        <f>(VLOOKUP(Tabla4[[#This Row],[SERVICIO 2025]],$J$2:$V$14,3,0)*Tabla4[[#This Row],[TOTAL COBERTURA]])</f>
        <v>5738880</v>
      </c>
      <c r="AV709" s="35">
        <f>(VLOOKUP(Tabla4[[#This Row],[SERVICIO 2025]],$J$2:$V$14,3,0)*Tabla4[[#This Row],[TOTAL COBERTURA]])</f>
        <v>5738880</v>
      </c>
      <c r="AW709" s="35">
        <f>(VLOOKUP(Tabla4[[#This Row],[SERVICIO 2025]],$J$2:$V$14,3,0)*Tabla4[[#This Row],[TOTAL COBERTURA]])</f>
        <v>5738880</v>
      </c>
      <c r="AX709" s="35">
        <f>(VLOOKUP(Tabla4[[#This Row],[SERVICIO 2025]],$J$2:$V$14,3,0)*Tabla4[[#This Row],[TOTAL COBERTURA]])</f>
        <v>5738880</v>
      </c>
      <c r="AY709" s="35">
        <f>(VLOOKUP(Tabla4[[#This Row],[SERVICIO 2025]],$J$2:$V$14,3,0)*Tabla4[[#This Row],[TOTAL COBERTURA]])</f>
        <v>5738880</v>
      </c>
      <c r="AZ709" s="35">
        <f>(VLOOKUP(Tabla4[[#This Row],[SERVICIO 2025]],$J$2:$V$14,3,0)*Tabla4[[#This Row],[TOTAL COBERTURA]])</f>
        <v>5738880</v>
      </c>
      <c r="BA709" s="35">
        <f>(VLOOKUP(Tabla4[[#This Row],[SERVICIO 2025]],$J$2:$V$14,3,0)*Tabla4[[#This Row],[TOTAL COBERTURA]])+Tabla4[[#This Row],[VALOR FASE PREPARATORIA DE CIERRE]]</f>
        <v>6949792</v>
      </c>
      <c r="BB709" s="35">
        <f>SUM(Tabla4[[#This Row],[DESEMBOLSO 1]:[DESEMBOLSO 8]])</f>
        <v>48617760</v>
      </c>
      <c r="BC709" s="35">
        <f>VLOOKUP(Tabla4[[#This Row],[SERVICIO 2025]],$J$2:$V$14,10,0)*Tabla4[[#This Row],[TOTAL COBERTURA]]*$W$3</f>
        <v>48210176</v>
      </c>
      <c r="BD709" s="47" t="s">
        <v>211</v>
      </c>
      <c r="BE709" s="12" t="b">
        <f>EXACT(Tabla4[[#This Row],[VALOR ATENCIÓN (8 MESES)]],Tabla4[[#This Row],[VALOR TOTAL]])</f>
        <v>1</v>
      </c>
      <c r="BF709" s="23">
        <f>Tabla4[[#This Row],[VALOR ATENCIÓN (8 MESES)]]-Tabla4[[#This Row],[VALOR TOTAL]]</f>
        <v>0</v>
      </c>
      <c r="BG709" s="12" t="b">
        <f>EXACT(Tabla4[[#This Row],[TOTAL DESEMBOLSOS]],Tabla4[[#This Row],[VALOR ATENCIÓN (8 MESES)]])</f>
        <v>1</v>
      </c>
      <c r="BH709" s="29">
        <f>Tabla4[[#This Row],[TOTAL DESEMBOLSOS]]-Tabla4[[#This Row],[VALOR ATENCIÓN (8 MESES)]]</f>
        <v>0</v>
      </c>
      <c r="BI709" t="s">
        <v>98</v>
      </c>
      <c r="BJ709">
        <v>1953</v>
      </c>
    </row>
    <row r="710" spans="1:62">
      <c r="A710" s="13">
        <v>1953</v>
      </c>
      <c r="B710" s="13" t="s">
        <v>1564</v>
      </c>
      <c r="C710" s="12" t="s">
        <v>87</v>
      </c>
      <c r="D710" s="12" t="s">
        <v>88</v>
      </c>
      <c r="E710" s="12" t="s">
        <v>1565</v>
      </c>
      <c r="F710" s="12" t="s">
        <v>21</v>
      </c>
      <c r="G710" s="12" t="s">
        <v>90</v>
      </c>
      <c r="H710" s="12" t="s">
        <v>1597</v>
      </c>
      <c r="I710" s="12">
        <v>53081155786</v>
      </c>
      <c r="J710" s="12" t="s">
        <v>1598</v>
      </c>
      <c r="K710" s="12">
        <v>1</v>
      </c>
      <c r="L710" s="12">
        <v>44</v>
      </c>
      <c r="M710" s="12"/>
      <c r="N710" s="13">
        <v>1953</v>
      </c>
      <c r="O710" s="12" t="s">
        <v>93</v>
      </c>
      <c r="P710" s="12"/>
      <c r="Q710" s="12"/>
      <c r="R710" s="12" t="s">
        <v>94</v>
      </c>
      <c r="S710" s="12">
        <v>10</v>
      </c>
      <c r="T710" s="12" t="s">
        <v>95</v>
      </c>
      <c r="U710" s="12" t="s">
        <v>96</v>
      </c>
      <c r="V710" s="12">
        <f>VLOOKUP(Tabla4[[#This Row],[ZONA DEFINITIVO]],Hoja1!$A$1:$D$121,3,0)</f>
        <v>229117</v>
      </c>
      <c r="W710" s="12">
        <f>VLOOKUP(Tabla4[[#This Row],[ZONA DEFINITIVO]],Hoja1!$A$1:$D$121,2,0)</f>
        <v>15211</v>
      </c>
      <c r="X710" s="12">
        <f>VLOOKUP(Tabla4[[#This Row],[ZONA DEFINITIVO]],Hoja1!$A$1:$D$121,4,0)</f>
        <v>86025</v>
      </c>
      <c r="Y710" s="12" t="str">
        <f>+IF(Tabla4[[#This Row],[AGRUPACIONES]]=1,SUMIFS(Tabla4[UDS],Tabla4[ZONA DEFINITIVO],Tabla4[[#This Row],[ZONA DEFINITIVO]])," ")</f>
        <v xml:space="preserve"> </v>
      </c>
      <c r="Z710" s="12" t="str">
        <f>+IF(Tabla4[[#This Row],[AGRUPACIONES]]=1,SUMIFS(Tabla4[TOTAL COBERTURA],Tabla4[ZONA DEFINITIVO],Tabla4[[#This Row],[ZONA DEFINITIVO]])," ")</f>
        <v xml:space="preserve"> </v>
      </c>
      <c r="AA710" s="12"/>
      <c r="AB710" s="38">
        <v>66849420</v>
      </c>
      <c r="AC710" s="37">
        <v>0.02</v>
      </c>
      <c r="AD710" s="38">
        <f t="shared" si="11"/>
        <v>1336988.4000000001</v>
      </c>
      <c r="AE710" s="12"/>
      <c r="AF710" s="12">
        <f>COUNTIF($A$20:A710,A710)</f>
        <v>18</v>
      </c>
      <c r="AG710" s="38">
        <v>66849420</v>
      </c>
      <c r="AH710" s="38">
        <f>Tabla4[[#This Row],[VALOR CONTRAPARTIDA]]+Tabla4[[#This Row],[TOTAL APORTES ICBF]]</f>
        <v>68186408.400000006</v>
      </c>
      <c r="AI710" s="35"/>
      <c r="AJ710" s="38"/>
      <c r="AK710" s="38"/>
      <c r="AL710" s="23"/>
      <c r="AM710" s="35">
        <f>VLOOKUP(Tabla4[[#This Row],[SERVICIO 2025]],$J$2:$V$14,5,0)*Tabla4[[#This Row],[TOTAL COBERTURA]]</f>
        <v>2056736</v>
      </c>
      <c r="AN710" s="35">
        <f>VLOOKUP(Tabla4[[#This Row],[SERVICIO 2025]],$J$2:$V$14,6,0)*Tabla4[[#This Row],[TOTAL COBERTURA]]</f>
        <v>1665004</v>
      </c>
      <c r="AO710" s="35">
        <f>VLOOKUP(Tabla4[[#This Row],[SERVICIO 2025]],$J$2:$V$14,8,0)*Tabla4[[#This Row],[TOTAL COBERTURA]]</f>
        <v>0</v>
      </c>
      <c r="AP710" s="35">
        <f>VLOOKUP(Tabla4[[#This Row],[SERVICIO 2025]],$J$2:$V$14,3,0)*Tabla4[[#This Row],[TOTAL COBERTURA]]*8</f>
        <v>63127680</v>
      </c>
      <c r="AQ710" s="35"/>
      <c r="AR710" s="35">
        <f>Tabla4[[#This Row],[VALOR FASE PREPARATORIA DE ALISTAMIENTO]]+Tabla4[[#This Row],[VALOR FASE PREPARATORIA DE CIERRE]]+Tabla4[[#This Row],[DOTACIÓN ÚNICA]]+Tabla4[[#This Row],[VALOR ATENCIÓN]]+Tabla4[[#This Row],[VALOR RACION PREPARADA]]</f>
        <v>66849420</v>
      </c>
      <c r="AS710" s="35" t="str">
        <f>+IF(Tabla4[[#This Row],[AGRUPACIONES]]=1,SUMIFS(Tabla4[VALOR TOTAL],Tabla4[ZONA DEFINITIVO],Tabla4[[#This Row],[ZONA DEFINITIVO]])," ")</f>
        <v xml:space="preserve"> </v>
      </c>
      <c r="AT710" s="27">
        <f>(VLOOKUP(Tabla4[[#This Row],[SERVICIO 2025]],$J$2:$V$14,3,0)*Tabla4[[#This Row],[TOTAL COBERTURA]])+Tabla4[[#This Row],[VALOR FASE PREPARATORIA DE ALISTAMIENTO]]+Tabla4[[#This Row],[DOTACIÓN ÚNICA]]</f>
        <v>9947696</v>
      </c>
      <c r="AU710" s="35">
        <f>(VLOOKUP(Tabla4[[#This Row],[SERVICIO 2025]],$J$2:$V$14,3,0)*Tabla4[[#This Row],[TOTAL COBERTURA]])</f>
        <v>7890960</v>
      </c>
      <c r="AV710" s="35">
        <f>(VLOOKUP(Tabla4[[#This Row],[SERVICIO 2025]],$J$2:$V$14,3,0)*Tabla4[[#This Row],[TOTAL COBERTURA]])</f>
        <v>7890960</v>
      </c>
      <c r="AW710" s="35">
        <f>(VLOOKUP(Tabla4[[#This Row],[SERVICIO 2025]],$J$2:$V$14,3,0)*Tabla4[[#This Row],[TOTAL COBERTURA]])</f>
        <v>7890960</v>
      </c>
      <c r="AX710" s="35">
        <f>(VLOOKUP(Tabla4[[#This Row],[SERVICIO 2025]],$J$2:$V$14,3,0)*Tabla4[[#This Row],[TOTAL COBERTURA]])</f>
        <v>7890960</v>
      </c>
      <c r="AY710" s="35">
        <f>(VLOOKUP(Tabla4[[#This Row],[SERVICIO 2025]],$J$2:$V$14,3,0)*Tabla4[[#This Row],[TOTAL COBERTURA]])</f>
        <v>7890960</v>
      </c>
      <c r="AZ710" s="35">
        <f>(VLOOKUP(Tabla4[[#This Row],[SERVICIO 2025]],$J$2:$V$14,3,0)*Tabla4[[#This Row],[TOTAL COBERTURA]])</f>
        <v>7890960</v>
      </c>
      <c r="BA710" s="35">
        <f>(VLOOKUP(Tabla4[[#This Row],[SERVICIO 2025]],$J$2:$V$14,3,0)*Tabla4[[#This Row],[TOTAL COBERTURA]])+Tabla4[[#This Row],[VALOR FASE PREPARATORIA DE CIERRE]]</f>
        <v>9555964</v>
      </c>
      <c r="BB710" s="35">
        <f>SUM(Tabla4[[#This Row],[DESEMBOLSO 1]:[DESEMBOLSO 8]])</f>
        <v>66849420</v>
      </c>
      <c r="BC710" s="35">
        <f>VLOOKUP(Tabla4[[#This Row],[SERVICIO 2025]],$J$2:$V$14,10,0)*Tabla4[[#This Row],[TOTAL COBERTURA]]*$W$3</f>
        <v>66288992</v>
      </c>
      <c r="BD710" s="47" t="s">
        <v>211</v>
      </c>
      <c r="BE710" s="12" t="b">
        <f>EXACT(Tabla4[[#This Row],[VALOR ATENCIÓN (8 MESES)]],Tabla4[[#This Row],[VALOR TOTAL]])</f>
        <v>1</v>
      </c>
      <c r="BF710" s="23">
        <f>Tabla4[[#This Row],[VALOR ATENCIÓN (8 MESES)]]-Tabla4[[#This Row],[VALOR TOTAL]]</f>
        <v>0</v>
      </c>
      <c r="BG710" s="12" t="b">
        <f>EXACT(Tabla4[[#This Row],[TOTAL DESEMBOLSOS]],Tabla4[[#This Row],[VALOR ATENCIÓN (8 MESES)]])</f>
        <v>1</v>
      </c>
      <c r="BH710" s="29">
        <f>Tabla4[[#This Row],[TOTAL DESEMBOLSOS]]-Tabla4[[#This Row],[VALOR ATENCIÓN (8 MESES)]]</f>
        <v>0</v>
      </c>
      <c r="BI710" t="s">
        <v>98</v>
      </c>
      <c r="BJ710">
        <v>1953</v>
      </c>
    </row>
    <row r="711" spans="1:62">
      <c r="A711" s="13">
        <v>1953</v>
      </c>
      <c r="B711" s="13" t="s">
        <v>1564</v>
      </c>
      <c r="C711" s="12" t="s">
        <v>87</v>
      </c>
      <c r="D711" s="12" t="s">
        <v>88</v>
      </c>
      <c r="E711" s="12" t="s">
        <v>1565</v>
      </c>
      <c r="F711" s="12" t="s">
        <v>21</v>
      </c>
      <c r="G711" s="12" t="s">
        <v>90</v>
      </c>
      <c r="H711" s="12" t="s">
        <v>765</v>
      </c>
      <c r="I711" s="12">
        <v>53081155787</v>
      </c>
      <c r="J711" s="12" t="s">
        <v>1599</v>
      </c>
      <c r="K711" s="12">
        <v>1</v>
      </c>
      <c r="L711" s="12">
        <v>49</v>
      </c>
      <c r="M711" s="12"/>
      <c r="N711" s="13">
        <v>1953</v>
      </c>
      <c r="O711" s="12" t="s">
        <v>93</v>
      </c>
      <c r="P711" s="12"/>
      <c r="Q711" s="12"/>
      <c r="R711" s="12" t="s">
        <v>94</v>
      </c>
      <c r="S711" s="12">
        <v>10</v>
      </c>
      <c r="T711" s="12" t="s">
        <v>95</v>
      </c>
      <c r="U711" s="12" t="s">
        <v>96</v>
      </c>
      <c r="V711" s="12">
        <f>VLOOKUP(Tabla4[[#This Row],[ZONA DEFINITIVO]],Hoja1!$A$1:$D$121,3,0)</f>
        <v>229117</v>
      </c>
      <c r="W711" s="12">
        <f>VLOOKUP(Tabla4[[#This Row],[ZONA DEFINITIVO]],Hoja1!$A$1:$D$121,2,0)</f>
        <v>15211</v>
      </c>
      <c r="X711" s="12">
        <f>VLOOKUP(Tabla4[[#This Row],[ZONA DEFINITIVO]],Hoja1!$A$1:$D$121,4,0)</f>
        <v>86025</v>
      </c>
      <c r="Y711" s="12" t="str">
        <f>+IF(Tabla4[[#This Row],[AGRUPACIONES]]=1,SUMIFS(Tabla4[UDS],Tabla4[ZONA DEFINITIVO],Tabla4[[#This Row],[ZONA DEFINITIVO]])," ")</f>
        <v xml:space="preserve"> </v>
      </c>
      <c r="Z711" s="12" t="str">
        <f>+IF(Tabla4[[#This Row],[AGRUPACIONES]]=1,SUMIFS(Tabla4[TOTAL COBERTURA],Tabla4[ZONA DEFINITIVO],Tabla4[[#This Row],[ZONA DEFINITIVO]])," ")</f>
        <v xml:space="preserve"> </v>
      </c>
      <c r="AA711" s="12"/>
      <c r="AB711" s="38">
        <v>74445945</v>
      </c>
      <c r="AC711" s="37">
        <v>0.02</v>
      </c>
      <c r="AD711" s="38">
        <f t="shared" si="11"/>
        <v>1488918.9000000001</v>
      </c>
      <c r="AE711" s="12"/>
      <c r="AF711" s="12">
        <f>COUNTIF($A$20:A711,A711)</f>
        <v>19</v>
      </c>
      <c r="AG711" s="38">
        <v>74445945</v>
      </c>
      <c r="AH711" s="38">
        <f>Tabla4[[#This Row],[VALOR CONTRAPARTIDA]]+Tabla4[[#This Row],[TOTAL APORTES ICBF]]</f>
        <v>75934863.900000006</v>
      </c>
      <c r="AI711" s="35"/>
      <c r="AJ711" s="38"/>
      <c r="AK711" s="38"/>
      <c r="AL711" s="23"/>
      <c r="AM711" s="35">
        <f>VLOOKUP(Tabla4[[#This Row],[SERVICIO 2025]],$J$2:$V$14,5,0)*Tabla4[[#This Row],[TOTAL COBERTURA]]</f>
        <v>2290456</v>
      </c>
      <c r="AN711" s="35">
        <f>VLOOKUP(Tabla4[[#This Row],[SERVICIO 2025]],$J$2:$V$14,6,0)*Tabla4[[#This Row],[TOTAL COBERTURA]]</f>
        <v>1854209</v>
      </c>
      <c r="AO711" s="35">
        <f>VLOOKUP(Tabla4[[#This Row],[SERVICIO 2025]],$J$2:$V$14,8,0)*Tabla4[[#This Row],[TOTAL COBERTURA]]</f>
        <v>0</v>
      </c>
      <c r="AP711" s="35">
        <f>VLOOKUP(Tabla4[[#This Row],[SERVICIO 2025]],$J$2:$V$14,3,0)*Tabla4[[#This Row],[TOTAL COBERTURA]]*8</f>
        <v>70301280</v>
      </c>
      <c r="AQ711" s="35"/>
      <c r="AR711" s="35">
        <f>Tabla4[[#This Row],[VALOR FASE PREPARATORIA DE ALISTAMIENTO]]+Tabla4[[#This Row],[VALOR FASE PREPARATORIA DE CIERRE]]+Tabla4[[#This Row],[DOTACIÓN ÚNICA]]+Tabla4[[#This Row],[VALOR ATENCIÓN]]+Tabla4[[#This Row],[VALOR RACION PREPARADA]]</f>
        <v>74445945</v>
      </c>
      <c r="AS711" s="35" t="str">
        <f>+IF(Tabla4[[#This Row],[AGRUPACIONES]]=1,SUMIFS(Tabla4[VALOR TOTAL],Tabla4[ZONA DEFINITIVO],Tabla4[[#This Row],[ZONA DEFINITIVO]])," ")</f>
        <v xml:space="preserve"> </v>
      </c>
      <c r="AT711" s="27">
        <f>(VLOOKUP(Tabla4[[#This Row],[SERVICIO 2025]],$J$2:$V$14,3,0)*Tabla4[[#This Row],[TOTAL COBERTURA]])+Tabla4[[#This Row],[VALOR FASE PREPARATORIA DE ALISTAMIENTO]]+Tabla4[[#This Row],[DOTACIÓN ÚNICA]]</f>
        <v>11078116</v>
      </c>
      <c r="AU711" s="35">
        <f>(VLOOKUP(Tabla4[[#This Row],[SERVICIO 2025]],$J$2:$V$14,3,0)*Tabla4[[#This Row],[TOTAL COBERTURA]])</f>
        <v>8787660</v>
      </c>
      <c r="AV711" s="35">
        <f>(VLOOKUP(Tabla4[[#This Row],[SERVICIO 2025]],$J$2:$V$14,3,0)*Tabla4[[#This Row],[TOTAL COBERTURA]])</f>
        <v>8787660</v>
      </c>
      <c r="AW711" s="35">
        <f>(VLOOKUP(Tabla4[[#This Row],[SERVICIO 2025]],$J$2:$V$14,3,0)*Tabla4[[#This Row],[TOTAL COBERTURA]])</f>
        <v>8787660</v>
      </c>
      <c r="AX711" s="35">
        <f>(VLOOKUP(Tabla4[[#This Row],[SERVICIO 2025]],$J$2:$V$14,3,0)*Tabla4[[#This Row],[TOTAL COBERTURA]])</f>
        <v>8787660</v>
      </c>
      <c r="AY711" s="35">
        <f>(VLOOKUP(Tabla4[[#This Row],[SERVICIO 2025]],$J$2:$V$14,3,0)*Tabla4[[#This Row],[TOTAL COBERTURA]])</f>
        <v>8787660</v>
      </c>
      <c r="AZ711" s="35">
        <f>(VLOOKUP(Tabla4[[#This Row],[SERVICIO 2025]],$J$2:$V$14,3,0)*Tabla4[[#This Row],[TOTAL COBERTURA]])</f>
        <v>8787660</v>
      </c>
      <c r="BA711" s="35">
        <f>(VLOOKUP(Tabla4[[#This Row],[SERVICIO 2025]],$J$2:$V$14,3,0)*Tabla4[[#This Row],[TOTAL COBERTURA]])+Tabla4[[#This Row],[VALOR FASE PREPARATORIA DE CIERRE]]</f>
        <v>10641869</v>
      </c>
      <c r="BB711" s="35">
        <f>SUM(Tabla4[[#This Row],[DESEMBOLSO 1]:[DESEMBOLSO 8]])</f>
        <v>74445945</v>
      </c>
      <c r="BC711" s="35">
        <f>VLOOKUP(Tabla4[[#This Row],[SERVICIO 2025]],$J$2:$V$14,10,0)*Tabla4[[#This Row],[TOTAL COBERTURA]]*$W$3</f>
        <v>73821832</v>
      </c>
      <c r="BD711" s="47" t="s">
        <v>211</v>
      </c>
      <c r="BE711" s="12" t="b">
        <f>EXACT(Tabla4[[#This Row],[VALOR ATENCIÓN (8 MESES)]],Tabla4[[#This Row],[VALOR TOTAL]])</f>
        <v>1</v>
      </c>
      <c r="BF711" s="23">
        <f>Tabla4[[#This Row],[VALOR ATENCIÓN (8 MESES)]]-Tabla4[[#This Row],[VALOR TOTAL]]</f>
        <v>0</v>
      </c>
      <c r="BG711" s="12" t="b">
        <f>EXACT(Tabla4[[#This Row],[TOTAL DESEMBOLSOS]],Tabla4[[#This Row],[VALOR ATENCIÓN (8 MESES)]])</f>
        <v>1</v>
      </c>
      <c r="BH711" s="29">
        <f>Tabla4[[#This Row],[TOTAL DESEMBOLSOS]]-Tabla4[[#This Row],[VALOR ATENCIÓN (8 MESES)]]</f>
        <v>0</v>
      </c>
      <c r="BI711" t="s">
        <v>98</v>
      </c>
      <c r="BJ711">
        <v>1953</v>
      </c>
    </row>
    <row r="712" spans="1:62">
      <c r="A712" s="13">
        <v>1953</v>
      </c>
      <c r="B712" s="13" t="s">
        <v>1564</v>
      </c>
      <c r="C712" s="12" t="s">
        <v>87</v>
      </c>
      <c r="D712" s="12" t="s">
        <v>88</v>
      </c>
      <c r="E712" s="12" t="s">
        <v>1565</v>
      </c>
      <c r="F712" s="12" t="s">
        <v>15</v>
      </c>
      <c r="G712" s="12" t="s">
        <v>90</v>
      </c>
      <c r="H712" s="12" t="s">
        <v>1600</v>
      </c>
      <c r="I712" s="12">
        <v>530800023722</v>
      </c>
      <c r="J712" s="12" t="s">
        <v>1601</v>
      </c>
      <c r="K712" s="12">
        <v>1</v>
      </c>
      <c r="L712" s="12">
        <v>70</v>
      </c>
      <c r="M712" s="12"/>
      <c r="N712" s="13">
        <v>1953</v>
      </c>
      <c r="O712" s="12" t="s">
        <v>93</v>
      </c>
      <c r="P712" s="12"/>
      <c r="Q712" s="12"/>
      <c r="R712" s="12" t="s">
        <v>94</v>
      </c>
      <c r="S712" s="12">
        <v>10</v>
      </c>
      <c r="T712" s="12" t="s">
        <v>95</v>
      </c>
      <c r="U712" s="12" t="s">
        <v>96</v>
      </c>
      <c r="V712" s="12">
        <f>VLOOKUP(Tabla4[[#This Row],[ZONA DEFINITIVO]],Hoja1!$A$1:$D$121,3,0)</f>
        <v>229117</v>
      </c>
      <c r="W712" s="12">
        <f>VLOOKUP(Tabla4[[#This Row],[ZONA DEFINITIVO]],Hoja1!$A$1:$D$121,2,0)</f>
        <v>15211</v>
      </c>
      <c r="X712" s="12">
        <f>VLOOKUP(Tabla4[[#This Row],[ZONA DEFINITIVO]],Hoja1!$A$1:$D$121,4,0)</f>
        <v>86025</v>
      </c>
      <c r="Y712" s="12" t="str">
        <f>+IF(Tabla4[[#This Row],[AGRUPACIONES]]=1,SUMIFS(Tabla4[UDS],Tabla4[ZONA DEFINITIVO],Tabla4[[#This Row],[ZONA DEFINITIVO]])," ")</f>
        <v xml:space="preserve"> </v>
      </c>
      <c r="Z712" s="12" t="str">
        <f>+IF(Tabla4[[#This Row],[AGRUPACIONES]]=1,SUMIFS(Tabla4[TOTAL COBERTURA],Tabla4[ZONA DEFINITIVO],Tabla4[[#This Row],[ZONA DEFINITIVO]])," ")</f>
        <v xml:space="preserve"> </v>
      </c>
      <c r="AA712" s="12"/>
      <c r="AB712" s="38">
        <v>303058140</v>
      </c>
      <c r="AC712" s="37">
        <v>0.02</v>
      </c>
      <c r="AD712" s="38">
        <f t="shared" si="11"/>
        <v>6061162.7999999998</v>
      </c>
      <c r="AE712" s="12"/>
      <c r="AF712" s="12">
        <f>COUNTIF($A$20:A712,A712)</f>
        <v>20</v>
      </c>
      <c r="AG712" s="38">
        <v>303058140</v>
      </c>
      <c r="AH712" s="38">
        <f>Tabla4[[#This Row],[VALOR CONTRAPARTIDA]]+Tabla4[[#This Row],[TOTAL APORTES ICBF]]</f>
        <v>309119302.80000001</v>
      </c>
      <c r="AI712" s="35"/>
      <c r="AJ712" s="38"/>
      <c r="AK712" s="38"/>
      <c r="AL712" s="23"/>
      <c r="AM712" s="35">
        <f>VLOOKUP(Tabla4[[#This Row],[SERVICIO 2025]],$J$2:$V$14,5,0)*Tabla4[[#This Row],[TOTAL COBERTURA]]</f>
        <v>6170010</v>
      </c>
      <c r="AN712" s="35">
        <f>VLOOKUP(Tabla4[[#This Row],[SERVICIO 2025]],$J$2:$V$14,6,0)*Tabla4[[#This Row],[TOTAL COBERTURA]]</f>
        <v>5253010</v>
      </c>
      <c r="AO712" s="35">
        <f>VLOOKUP(Tabla4[[#This Row],[SERVICIO 2025]],$J$2:$V$14,8,0)*Tabla4[[#This Row],[TOTAL COBERTURA]]</f>
        <v>0</v>
      </c>
      <c r="AP712" s="35">
        <f>VLOOKUP(Tabla4[[#This Row],[SERVICIO 2025]],$J$2:$V$14,3,0)*Tabla4[[#This Row],[TOTAL COBERTURA]]*8</f>
        <v>291635120</v>
      </c>
      <c r="AQ712" s="35"/>
      <c r="AR712" s="35">
        <f>Tabla4[[#This Row],[VALOR FASE PREPARATORIA DE ALISTAMIENTO]]+Tabla4[[#This Row],[VALOR FASE PREPARATORIA DE CIERRE]]+Tabla4[[#This Row],[DOTACIÓN ÚNICA]]+Tabla4[[#This Row],[VALOR ATENCIÓN]]+Tabla4[[#This Row],[VALOR RACION PREPARADA]]</f>
        <v>303058140</v>
      </c>
      <c r="AS712" s="35" t="str">
        <f>+IF(Tabla4[[#This Row],[AGRUPACIONES]]=1,SUMIFS(Tabla4[VALOR TOTAL],Tabla4[ZONA DEFINITIVO],Tabla4[[#This Row],[ZONA DEFINITIVO]])," ")</f>
        <v xml:space="preserve"> </v>
      </c>
      <c r="AT712" s="27">
        <f>(VLOOKUP(Tabla4[[#This Row],[SERVICIO 2025]],$J$2:$V$14,3,0)*Tabla4[[#This Row],[TOTAL COBERTURA]])+Tabla4[[#This Row],[VALOR FASE PREPARATORIA DE ALISTAMIENTO]]+Tabla4[[#This Row],[DOTACIÓN ÚNICA]]</f>
        <v>42624400</v>
      </c>
      <c r="AU712" s="35">
        <f>(VLOOKUP(Tabla4[[#This Row],[SERVICIO 2025]],$J$2:$V$14,3,0)*Tabla4[[#This Row],[TOTAL COBERTURA]])</f>
        <v>36454390</v>
      </c>
      <c r="AV712" s="35">
        <f>(VLOOKUP(Tabla4[[#This Row],[SERVICIO 2025]],$J$2:$V$14,3,0)*Tabla4[[#This Row],[TOTAL COBERTURA]])</f>
        <v>36454390</v>
      </c>
      <c r="AW712" s="35">
        <f>(VLOOKUP(Tabla4[[#This Row],[SERVICIO 2025]],$J$2:$V$14,3,0)*Tabla4[[#This Row],[TOTAL COBERTURA]])</f>
        <v>36454390</v>
      </c>
      <c r="AX712" s="35">
        <f>(VLOOKUP(Tabla4[[#This Row],[SERVICIO 2025]],$J$2:$V$14,3,0)*Tabla4[[#This Row],[TOTAL COBERTURA]])</f>
        <v>36454390</v>
      </c>
      <c r="AY712" s="35">
        <f>(VLOOKUP(Tabla4[[#This Row],[SERVICIO 2025]],$J$2:$V$14,3,0)*Tabla4[[#This Row],[TOTAL COBERTURA]])</f>
        <v>36454390</v>
      </c>
      <c r="AZ712" s="35">
        <f>(VLOOKUP(Tabla4[[#This Row],[SERVICIO 2025]],$J$2:$V$14,3,0)*Tabla4[[#This Row],[TOTAL COBERTURA]])</f>
        <v>36454390</v>
      </c>
      <c r="BA712" s="35">
        <f>(VLOOKUP(Tabla4[[#This Row],[SERVICIO 2025]],$J$2:$V$14,3,0)*Tabla4[[#This Row],[TOTAL COBERTURA]])+Tabla4[[#This Row],[VALOR FASE PREPARATORIA DE CIERRE]]</f>
        <v>41707400</v>
      </c>
      <c r="BB712" s="35">
        <f>SUM(Tabla4[[#This Row],[DESEMBOLSO 1]:[DESEMBOLSO 8]])</f>
        <v>303058140</v>
      </c>
      <c r="BC712" s="35">
        <f>VLOOKUP(Tabla4[[#This Row],[SERVICIO 2025]],$J$2:$V$14,10,0)*Tabla4[[#This Row],[TOTAL COBERTURA]]*$W$3</f>
        <v>0</v>
      </c>
      <c r="BD712" s="47" t="s">
        <v>145</v>
      </c>
      <c r="BE712" s="12" t="b">
        <f>EXACT(Tabla4[[#This Row],[VALOR ATENCIÓN (8 MESES)]],Tabla4[[#This Row],[VALOR TOTAL]])</f>
        <v>1</v>
      </c>
      <c r="BF712" s="23">
        <f>Tabla4[[#This Row],[VALOR ATENCIÓN (8 MESES)]]-Tabla4[[#This Row],[VALOR TOTAL]]</f>
        <v>0</v>
      </c>
      <c r="BG712" s="12" t="b">
        <f>EXACT(Tabla4[[#This Row],[TOTAL DESEMBOLSOS]],Tabla4[[#This Row],[VALOR ATENCIÓN (8 MESES)]])</f>
        <v>1</v>
      </c>
      <c r="BH712" s="29">
        <f>Tabla4[[#This Row],[TOTAL DESEMBOLSOS]]-Tabla4[[#This Row],[VALOR ATENCIÓN (8 MESES)]]</f>
        <v>0</v>
      </c>
      <c r="BI712" t="s">
        <v>98</v>
      </c>
      <c r="BJ712">
        <v>1953</v>
      </c>
    </row>
    <row r="713" spans="1:62">
      <c r="A713" s="13">
        <v>1953</v>
      </c>
      <c r="B713" s="13" t="s">
        <v>1564</v>
      </c>
      <c r="C713" s="12" t="s">
        <v>87</v>
      </c>
      <c r="D713" s="12" t="s">
        <v>88</v>
      </c>
      <c r="E713" s="12" t="s">
        <v>1565</v>
      </c>
      <c r="F713" s="12" t="s">
        <v>21</v>
      </c>
      <c r="G713" s="12" t="s">
        <v>90</v>
      </c>
      <c r="H713" s="12" t="s">
        <v>1602</v>
      </c>
      <c r="I713" s="12">
        <v>530800084957</v>
      </c>
      <c r="J713" s="12" t="s">
        <v>1603</v>
      </c>
      <c r="K713" s="12">
        <v>1</v>
      </c>
      <c r="L713" s="12">
        <v>37</v>
      </c>
      <c r="M713" s="12"/>
      <c r="N713" s="13">
        <v>1953</v>
      </c>
      <c r="O713" s="12" t="s">
        <v>93</v>
      </c>
      <c r="P713" s="12"/>
      <c r="Q713" s="12"/>
      <c r="R713" s="12" t="s">
        <v>94</v>
      </c>
      <c r="S713" s="12">
        <v>10</v>
      </c>
      <c r="T713" s="12" t="s">
        <v>95</v>
      </c>
      <c r="U713" s="12" t="s">
        <v>96</v>
      </c>
      <c r="V713" s="12">
        <f>VLOOKUP(Tabla4[[#This Row],[ZONA DEFINITIVO]],Hoja1!$A$1:$D$121,3,0)</f>
        <v>229117</v>
      </c>
      <c r="W713" s="12">
        <f>VLOOKUP(Tabla4[[#This Row],[ZONA DEFINITIVO]],Hoja1!$A$1:$D$121,2,0)</f>
        <v>15211</v>
      </c>
      <c r="X713" s="12">
        <f>VLOOKUP(Tabla4[[#This Row],[ZONA DEFINITIVO]],Hoja1!$A$1:$D$121,4,0)</f>
        <v>86025</v>
      </c>
      <c r="Y713" s="12" t="str">
        <f>+IF(Tabla4[[#This Row],[AGRUPACIONES]]=1,SUMIFS(Tabla4[UDS],Tabla4[ZONA DEFINITIVO],Tabla4[[#This Row],[ZONA DEFINITIVO]])," ")</f>
        <v xml:space="preserve"> </v>
      </c>
      <c r="Z713" s="12" t="str">
        <f>+IF(Tabla4[[#This Row],[AGRUPACIONES]]=1,SUMIFS(Tabla4[TOTAL COBERTURA],Tabla4[ZONA DEFINITIVO],Tabla4[[#This Row],[ZONA DEFINITIVO]])," ")</f>
        <v xml:space="preserve"> </v>
      </c>
      <c r="AA713" s="12"/>
      <c r="AB713" s="38">
        <v>56214285</v>
      </c>
      <c r="AC713" s="37">
        <v>0.02</v>
      </c>
      <c r="AD713" s="38">
        <f t="shared" si="11"/>
        <v>1124285.7</v>
      </c>
      <c r="AE713" s="12"/>
      <c r="AF713" s="12">
        <f>COUNTIF($A$20:A713,A713)</f>
        <v>21</v>
      </c>
      <c r="AG713" s="38">
        <v>56214285</v>
      </c>
      <c r="AH713" s="38">
        <f>Tabla4[[#This Row],[VALOR CONTRAPARTIDA]]+Tabla4[[#This Row],[TOTAL APORTES ICBF]]</f>
        <v>57338570.700000003</v>
      </c>
      <c r="AI713" s="35"/>
      <c r="AJ713" s="38"/>
      <c r="AK713" s="38"/>
      <c r="AL713" s="23"/>
      <c r="AM713" s="35">
        <f>VLOOKUP(Tabla4[[#This Row],[SERVICIO 2025]],$J$2:$V$14,5,0)*Tabla4[[#This Row],[TOTAL COBERTURA]]</f>
        <v>1729528</v>
      </c>
      <c r="AN713" s="35">
        <f>VLOOKUP(Tabla4[[#This Row],[SERVICIO 2025]],$J$2:$V$14,6,0)*Tabla4[[#This Row],[TOTAL COBERTURA]]</f>
        <v>1400117</v>
      </c>
      <c r="AO713" s="35">
        <f>VLOOKUP(Tabla4[[#This Row],[SERVICIO 2025]],$J$2:$V$14,8,0)*Tabla4[[#This Row],[TOTAL COBERTURA]]</f>
        <v>0</v>
      </c>
      <c r="AP713" s="35">
        <f>VLOOKUP(Tabla4[[#This Row],[SERVICIO 2025]],$J$2:$V$14,3,0)*Tabla4[[#This Row],[TOTAL COBERTURA]]*8</f>
        <v>53084640</v>
      </c>
      <c r="AQ713" s="35"/>
      <c r="AR713" s="35">
        <f>Tabla4[[#This Row],[VALOR FASE PREPARATORIA DE ALISTAMIENTO]]+Tabla4[[#This Row],[VALOR FASE PREPARATORIA DE CIERRE]]+Tabla4[[#This Row],[DOTACIÓN ÚNICA]]+Tabla4[[#This Row],[VALOR ATENCIÓN]]+Tabla4[[#This Row],[VALOR RACION PREPARADA]]</f>
        <v>56214285</v>
      </c>
      <c r="AS713" s="35" t="str">
        <f>+IF(Tabla4[[#This Row],[AGRUPACIONES]]=1,SUMIFS(Tabla4[VALOR TOTAL],Tabla4[ZONA DEFINITIVO],Tabla4[[#This Row],[ZONA DEFINITIVO]])," ")</f>
        <v xml:space="preserve"> </v>
      </c>
      <c r="AT713" s="27">
        <f>(VLOOKUP(Tabla4[[#This Row],[SERVICIO 2025]],$J$2:$V$14,3,0)*Tabla4[[#This Row],[TOTAL COBERTURA]])+Tabla4[[#This Row],[VALOR FASE PREPARATORIA DE ALISTAMIENTO]]+Tabla4[[#This Row],[DOTACIÓN ÚNICA]]</f>
        <v>8365108</v>
      </c>
      <c r="AU713" s="35">
        <f>(VLOOKUP(Tabla4[[#This Row],[SERVICIO 2025]],$J$2:$V$14,3,0)*Tabla4[[#This Row],[TOTAL COBERTURA]])</f>
        <v>6635580</v>
      </c>
      <c r="AV713" s="35">
        <f>(VLOOKUP(Tabla4[[#This Row],[SERVICIO 2025]],$J$2:$V$14,3,0)*Tabla4[[#This Row],[TOTAL COBERTURA]])</f>
        <v>6635580</v>
      </c>
      <c r="AW713" s="35">
        <f>(VLOOKUP(Tabla4[[#This Row],[SERVICIO 2025]],$J$2:$V$14,3,0)*Tabla4[[#This Row],[TOTAL COBERTURA]])</f>
        <v>6635580</v>
      </c>
      <c r="AX713" s="35">
        <f>(VLOOKUP(Tabla4[[#This Row],[SERVICIO 2025]],$J$2:$V$14,3,0)*Tabla4[[#This Row],[TOTAL COBERTURA]])</f>
        <v>6635580</v>
      </c>
      <c r="AY713" s="35">
        <f>(VLOOKUP(Tabla4[[#This Row],[SERVICIO 2025]],$J$2:$V$14,3,0)*Tabla4[[#This Row],[TOTAL COBERTURA]])</f>
        <v>6635580</v>
      </c>
      <c r="AZ713" s="35">
        <f>(VLOOKUP(Tabla4[[#This Row],[SERVICIO 2025]],$J$2:$V$14,3,0)*Tabla4[[#This Row],[TOTAL COBERTURA]])</f>
        <v>6635580</v>
      </c>
      <c r="BA713" s="35">
        <f>(VLOOKUP(Tabla4[[#This Row],[SERVICIO 2025]],$J$2:$V$14,3,0)*Tabla4[[#This Row],[TOTAL COBERTURA]])+Tabla4[[#This Row],[VALOR FASE PREPARATORIA DE CIERRE]]</f>
        <v>8035697</v>
      </c>
      <c r="BB713" s="35">
        <f>SUM(Tabla4[[#This Row],[DESEMBOLSO 1]:[DESEMBOLSO 8]])</f>
        <v>56214285</v>
      </c>
      <c r="BC713" s="35">
        <f>VLOOKUP(Tabla4[[#This Row],[SERVICIO 2025]],$J$2:$V$14,10,0)*Tabla4[[#This Row],[TOTAL COBERTURA]]*$W$3</f>
        <v>55743016</v>
      </c>
      <c r="BD713" s="47" t="s">
        <v>211</v>
      </c>
      <c r="BE713" s="12" t="b">
        <f>EXACT(Tabla4[[#This Row],[VALOR ATENCIÓN (8 MESES)]],Tabla4[[#This Row],[VALOR TOTAL]])</f>
        <v>1</v>
      </c>
      <c r="BF713" s="23">
        <f>Tabla4[[#This Row],[VALOR ATENCIÓN (8 MESES)]]-Tabla4[[#This Row],[VALOR TOTAL]]</f>
        <v>0</v>
      </c>
      <c r="BG713" s="12" t="b">
        <f>EXACT(Tabla4[[#This Row],[TOTAL DESEMBOLSOS]],Tabla4[[#This Row],[VALOR ATENCIÓN (8 MESES)]])</f>
        <v>1</v>
      </c>
      <c r="BH713" s="29">
        <f>Tabla4[[#This Row],[TOTAL DESEMBOLSOS]]-Tabla4[[#This Row],[VALOR ATENCIÓN (8 MESES)]]</f>
        <v>0</v>
      </c>
      <c r="BI713" t="s">
        <v>98</v>
      </c>
      <c r="BJ713">
        <v>1953</v>
      </c>
    </row>
    <row r="714" spans="1:62">
      <c r="A714" s="13">
        <v>1953</v>
      </c>
      <c r="B714" s="13" t="s">
        <v>1564</v>
      </c>
      <c r="C714" s="12" t="s">
        <v>87</v>
      </c>
      <c r="D714" s="12" t="s">
        <v>88</v>
      </c>
      <c r="E714" s="12" t="s">
        <v>1565</v>
      </c>
      <c r="F714" s="12" t="s">
        <v>14</v>
      </c>
      <c r="G714" s="12" t="s">
        <v>90</v>
      </c>
      <c r="H714" s="12" t="s">
        <v>1604</v>
      </c>
      <c r="I714" s="12">
        <v>530800122015</v>
      </c>
      <c r="J714" s="12" t="s">
        <v>1605</v>
      </c>
      <c r="K714" s="12">
        <v>1</v>
      </c>
      <c r="L714" s="12">
        <v>51</v>
      </c>
      <c r="M714" s="12"/>
      <c r="N714" s="13">
        <v>1953</v>
      </c>
      <c r="O714" s="12" t="s">
        <v>93</v>
      </c>
      <c r="P714" s="12"/>
      <c r="Q714" s="12"/>
      <c r="R714" s="12" t="s">
        <v>94</v>
      </c>
      <c r="S714" s="12">
        <v>10</v>
      </c>
      <c r="T714" s="12" t="s">
        <v>95</v>
      </c>
      <c r="U714" s="12" t="s">
        <v>96</v>
      </c>
      <c r="V714" s="12">
        <f>VLOOKUP(Tabla4[[#This Row],[ZONA DEFINITIVO]],Hoja1!$A$1:$D$121,3,0)</f>
        <v>229117</v>
      </c>
      <c r="W714" s="12">
        <f>VLOOKUP(Tabla4[[#This Row],[ZONA DEFINITIVO]],Hoja1!$A$1:$D$121,2,0)</f>
        <v>15211</v>
      </c>
      <c r="X714" s="12">
        <f>VLOOKUP(Tabla4[[#This Row],[ZONA DEFINITIVO]],Hoja1!$A$1:$D$121,4,0)</f>
        <v>86025</v>
      </c>
      <c r="Y714" s="12" t="str">
        <f>+IF(Tabla4[[#This Row],[AGRUPACIONES]]=1,SUMIFS(Tabla4[UDS],Tabla4[ZONA DEFINITIVO],Tabla4[[#This Row],[ZONA DEFINITIVO]])," ")</f>
        <v xml:space="preserve"> </v>
      </c>
      <c r="Z714" s="12" t="str">
        <f>+IF(Tabla4[[#This Row],[AGRUPACIONES]]=1,SUMIFS(Tabla4[TOTAL COBERTURA],Tabla4[ZONA DEFINITIVO],Tabla4[[#This Row],[ZONA DEFINITIVO]])," ")</f>
        <v xml:space="preserve"> </v>
      </c>
      <c r="AA714" s="12"/>
      <c r="AB714" s="38">
        <v>213631350</v>
      </c>
      <c r="AC714" s="37">
        <v>0.02</v>
      </c>
      <c r="AD714" s="38">
        <f t="shared" si="11"/>
        <v>4272627</v>
      </c>
      <c r="AE714" s="12"/>
      <c r="AF714" s="12">
        <f>COUNTIF($A$20:A714,A714)</f>
        <v>22</v>
      </c>
      <c r="AG714" s="38">
        <v>213631350</v>
      </c>
      <c r="AH714" s="38">
        <f>Tabla4[[#This Row],[VALOR CONTRAPARTIDA]]+Tabla4[[#This Row],[TOTAL APORTES ICBF]]</f>
        <v>217903977</v>
      </c>
      <c r="AI714" s="35"/>
      <c r="AJ714" s="38"/>
      <c r="AK714" s="38"/>
      <c r="AL714" s="23"/>
      <c r="AM714" s="35">
        <f>VLOOKUP(Tabla4[[#This Row],[SERVICIO 2025]],$J$2:$V$14,5,0)*Tabla4[[#This Row],[TOTAL COBERTURA]]</f>
        <v>4495293</v>
      </c>
      <c r="AN714" s="35">
        <f>VLOOKUP(Tabla4[[#This Row],[SERVICIO 2025]],$J$2:$V$14,6,0)*Tabla4[[#This Row],[TOTAL COBERTURA]]</f>
        <v>3827193</v>
      </c>
      <c r="AO714" s="35">
        <f>VLOOKUP(Tabla4[[#This Row],[SERVICIO 2025]],$J$2:$V$14,8,0)*Tabla4[[#This Row],[TOTAL COBERTURA]]</f>
        <v>0</v>
      </c>
      <c r="AP714" s="35">
        <f>VLOOKUP(Tabla4[[#This Row],[SERVICIO 2025]],$J$2:$V$14,3,0)*Tabla4[[#This Row],[TOTAL COBERTURA]]*8</f>
        <v>205308864</v>
      </c>
      <c r="AQ714" s="35"/>
      <c r="AR714" s="35">
        <f>Tabla4[[#This Row],[VALOR FASE PREPARATORIA DE ALISTAMIENTO]]+Tabla4[[#This Row],[VALOR FASE PREPARATORIA DE CIERRE]]+Tabla4[[#This Row],[DOTACIÓN ÚNICA]]+Tabla4[[#This Row],[VALOR ATENCIÓN]]+Tabla4[[#This Row],[VALOR RACION PREPARADA]]</f>
        <v>213631350</v>
      </c>
      <c r="AS714" s="35" t="str">
        <f>+IF(Tabla4[[#This Row],[AGRUPACIONES]]=1,SUMIFS(Tabla4[VALOR TOTAL],Tabla4[ZONA DEFINITIVO],Tabla4[[#This Row],[ZONA DEFINITIVO]])," ")</f>
        <v xml:space="preserve"> </v>
      </c>
      <c r="AT714" s="27">
        <f>(VLOOKUP(Tabla4[[#This Row],[SERVICIO 2025]],$J$2:$V$14,3,0)*Tabla4[[#This Row],[TOTAL COBERTURA]])+Tabla4[[#This Row],[VALOR FASE PREPARATORIA DE ALISTAMIENTO]]+Tabla4[[#This Row],[DOTACIÓN ÚNICA]]</f>
        <v>30158901</v>
      </c>
      <c r="AU714" s="35">
        <f>(VLOOKUP(Tabla4[[#This Row],[SERVICIO 2025]],$J$2:$V$14,3,0)*Tabla4[[#This Row],[TOTAL COBERTURA]])</f>
        <v>25663608</v>
      </c>
      <c r="AV714" s="35">
        <f>(VLOOKUP(Tabla4[[#This Row],[SERVICIO 2025]],$J$2:$V$14,3,0)*Tabla4[[#This Row],[TOTAL COBERTURA]])</f>
        <v>25663608</v>
      </c>
      <c r="AW714" s="35">
        <f>(VLOOKUP(Tabla4[[#This Row],[SERVICIO 2025]],$J$2:$V$14,3,0)*Tabla4[[#This Row],[TOTAL COBERTURA]])</f>
        <v>25663608</v>
      </c>
      <c r="AX714" s="35">
        <f>(VLOOKUP(Tabla4[[#This Row],[SERVICIO 2025]],$J$2:$V$14,3,0)*Tabla4[[#This Row],[TOTAL COBERTURA]])</f>
        <v>25663608</v>
      </c>
      <c r="AY714" s="35">
        <f>(VLOOKUP(Tabla4[[#This Row],[SERVICIO 2025]],$J$2:$V$14,3,0)*Tabla4[[#This Row],[TOTAL COBERTURA]])</f>
        <v>25663608</v>
      </c>
      <c r="AZ714" s="35">
        <f>(VLOOKUP(Tabla4[[#This Row],[SERVICIO 2025]],$J$2:$V$14,3,0)*Tabla4[[#This Row],[TOTAL COBERTURA]])</f>
        <v>25663608</v>
      </c>
      <c r="BA714" s="35">
        <f>(VLOOKUP(Tabla4[[#This Row],[SERVICIO 2025]],$J$2:$V$14,3,0)*Tabla4[[#This Row],[TOTAL COBERTURA]])+Tabla4[[#This Row],[VALOR FASE PREPARATORIA DE CIERRE]]</f>
        <v>29490801</v>
      </c>
      <c r="BB714" s="35">
        <f>SUM(Tabla4[[#This Row],[DESEMBOLSO 1]:[DESEMBOLSO 8]])</f>
        <v>213631350</v>
      </c>
      <c r="BC714" s="35">
        <f>VLOOKUP(Tabla4[[#This Row],[SERVICIO 2025]],$J$2:$V$14,10,0)*Tabla4[[#This Row],[TOTAL COBERTURA]]*$W$3</f>
        <v>0</v>
      </c>
      <c r="BD714" s="47" t="s">
        <v>145</v>
      </c>
      <c r="BE714" s="12" t="b">
        <f>EXACT(Tabla4[[#This Row],[VALOR ATENCIÓN (8 MESES)]],Tabla4[[#This Row],[VALOR TOTAL]])</f>
        <v>1</v>
      </c>
      <c r="BF714" s="23">
        <f>Tabla4[[#This Row],[VALOR ATENCIÓN (8 MESES)]]-Tabla4[[#This Row],[VALOR TOTAL]]</f>
        <v>0</v>
      </c>
      <c r="BG714" s="12" t="b">
        <f>EXACT(Tabla4[[#This Row],[TOTAL DESEMBOLSOS]],Tabla4[[#This Row],[VALOR ATENCIÓN (8 MESES)]])</f>
        <v>1</v>
      </c>
      <c r="BH714" s="29">
        <f>Tabla4[[#This Row],[TOTAL DESEMBOLSOS]]-Tabla4[[#This Row],[VALOR ATENCIÓN (8 MESES)]]</f>
        <v>0</v>
      </c>
      <c r="BI714" t="s">
        <v>98</v>
      </c>
      <c r="BJ714">
        <v>1953</v>
      </c>
    </row>
    <row r="715" spans="1:62">
      <c r="A715" s="13">
        <v>1954</v>
      </c>
      <c r="B715" s="13" t="s">
        <v>1606</v>
      </c>
      <c r="C715" s="12" t="s">
        <v>87</v>
      </c>
      <c r="D715" s="12" t="s">
        <v>1293</v>
      </c>
      <c r="E715" s="12" t="s">
        <v>1607</v>
      </c>
      <c r="F715" s="12" t="s">
        <v>18</v>
      </c>
      <c r="G715" s="12" t="s">
        <v>90</v>
      </c>
      <c r="H715" s="12" t="s">
        <v>1608</v>
      </c>
      <c r="I715" s="12">
        <v>53131136709</v>
      </c>
      <c r="J715" s="12" t="s">
        <v>1609</v>
      </c>
      <c r="K715" s="12">
        <v>1</v>
      </c>
      <c r="L715" s="12">
        <v>50</v>
      </c>
      <c r="M715" s="12"/>
      <c r="N715" s="13">
        <v>1954</v>
      </c>
      <c r="O715" s="12" t="s">
        <v>93</v>
      </c>
      <c r="P715" s="12"/>
      <c r="Q715" s="12"/>
      <c r="R715" s="12" t="s">
        <v>94</v>
      </c>
      <c r="S715" s="12">
        <v>10</v>
      </c>
      <c r="T715" s="12" t="s">
        <v>143</v>
      </c>
      <c r="U715" s="12" t="s">
        <v>144</v>
      </c>
      <c r="V715" s="12">
        <f>VLOOKUP(Tabla4[[#This Row],[ZONA DEFINITIVO]],Hoja1!$A$1:$D$121,3,0)</f>
        <v>229118</v>
      </c>
      <c r="W715" s="12">
        <f>VLOOKUP(Tabla4[[#This Row],[ZONA DEFINITIVO]],Hoja1!$A$1:$D$121,2,0)</f>
        <v>15202</v>
      </c>
      <c r="X715" s="12">
        <f>VLOOKUP(Tabla4[[#This Row],[ZONA DEFINITIVO]],Hoja1!$A$1:$D$121,4,0)</f>
        <v>91825</v>
      </c>
      <c r="Y715" s="12">
        <f>+IF(Tabla4[[#This Row],[AGRUPACIONES]]=1,SUMIFS(Tabla4[UDS],Tabla4[ZONA DEFINITIVO],Tabla4[[#This Row],[ZONA DEFINITIVO]])," ")</f>
        <v>2</v>
      </c>
      <c r="Z715" s="12">
        <f>+IF(Tabla4[[#This Row],[AGRUPACIONES]]=1,SUMIFS(Tabla4[TOTAL COBERTURA],Tabla4[ZONA DEFINITIVO],Tabla4[[#This Row],[ZONA DEFINITIVO]])," ")</f>
        <v>210</v>
      </c>
      <c r="AA715" s="12"/>
      <c r="AB715" s="38">
        <v>109009650</v>
      </c>
      <c r="AC715" s="37">
        <v>0.02</v>
      </c>
      <c r="AD715" s="38">
        <f t="shared" si="11"/>
        <v>2180193</v>
      </c>
      <c r="AE715" s="12"/>
      <c r="AF715" s="12">
        <f>COUNTIF($A$20:A715,A715)</f>
        <v>1</v>
      </c>
      <c r="AG715" s="38">
        <v>109009650</v>
      </c>
      <c r="AH715" s="38">
        <f>Tabla4[[#This Row],[VALOR CONTRAPARTIDA]]+Tabla4[[#This Row],[TOTAL APORTES ICBF]]</f>
        <v>111189843</v>
      </c>
      <c r="AI715" s="35">
        <f>ROUND(+IF(Tabla4[[#This Row],[AGRUPACIONES]]=1,SUMIFS(Tabla4[TOTAL APORTES ICBF],Tabla4[ZONA DEFINITIVO],Tabla4[[#This Row],[ZONA DEFINITIVO]])," "),0)</f>
        <v>779225650</v>
      </c>
      <c r="AJ715" s="38">
        <f>ROUND(+IF(Tabla4[[#This Row],[AGRUPACIONES]]=1,SUMIFS(Tabla4[VALOR CONTRAPARTIDA],Tabla4[ZONA DEFINITIVO],Tabla4[[#This Row],[ZONA DEFINITIVO]])," "),0)</f>
        <v>15584513</v>
      </c>
      <c r="AK715" s="38">
        <f>Tabla4[[#This Row],[TOTAL APORTES ICBF AGRUPADO]]+Tabla4[[#This Row],[TOTAL CONTRAPARTIDA AGRUPADO]]</f>
        <v>794810163</v>
      </c>
      <c r="AL715" s="23">
        <f>Tabla4[[#This Row],[TOTAL APORTES ICBF AGRUPADO]]/$AL$18</f>
        <v>547.40122936424302</v>
      </c>
      <c r="AM715" s="35">
        <f>VLOOKUP(Tabla4[[#This Row],[SERVICIO 2025]],$J$2:$V$14,5,0)*Tabla4[[#This Row],[TOTAL COBERTURA]]</f>
        <v>2468800</v>
      </c>
      <c r="AN715" s="35">
        <f>VLOOKUP(Tabla4[[#This Row],[SERVICIO 2025]],$J$2:$V$14,6,0)*Tabla4[[#This Row],[TOTAL COBERTURA]]</f>
        <v>2051450</v>
      </c>
      <c r="AO715" s="35">
        <f>VLOOKUP(Tabla4[[#This Row],[SERVICIO 2025]],$J$2:$V$14,8,0)*Tabla4[[#This Row],[TOTAL COBERTURA]]</f>
        <v>1455000</v>
      </c>
      <c r="AP715" s="35">
        <f>VLOOKUP(Tabla4[[#This Row],[SERVICIO 2025]],$J$2:$V$14,3,0)*Tabla4[[#This Row],[TOTAL COBERTURA]]*8</f>
        <v>103034400</v>
      </c>
      <c r="AQ715" s="35"/>
      <c r="AR715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715" s="35">
        <f>+IF(Tabla4[[#This Row],[AGRUPACIONES]]=1,SUMIFS(Tabla4[VALOR TOTAL],Tabla4[ZONA DEFINITIVO],Tabla4[[#This Row],[ZONA DEFINITIVO]])," ")</f>
        <v>779225650</v>
      </c>
      <c r="AT715" s="27">
        <f>(VLOOKUP(Tabla4[[#This Row],[SERVICIO 2025]],$J$2:$V$14,3,0)*Tabla4[[#This Row],[TOTAL COBERTURA]])+Tabla4[[#This Row],[VALOR FASE PREPARATORIA DE ALISTAMIENTO]]+Tabla4[[#This Row],[DOTACIÓN ÚNICA]]</f>
        <v>16803100</v>
      </c>
      <c r="AU715" s="35">
        <f>(VLOOKUP(Tabla4[[#This Row],[SERVICIO 2025]],$J$2:$V$14,3,0)*Tabla4[[#This Row],[TOTAL COBERTURA]])</f>
        <v>12879300</v>
      </c>
      <c r="AV715" s="35">
        <f>(VLOOKUP(Tabla4[[#This Row],[SERVICIO 2025]],$J$2:$V$14,3,0)*Tabla4[[#This Row],[TOTAL COBERTURA]])</f>
        <v>12879300</v>
      </c>
      <c r="AW715" s="35">
        <f>(VLOOKUP(Tabla4[[#This Row],[SERVICIO 2025]],$J$2:$V$14,3,0)*Tabla4[[#This Row],[TOTAL COBERTURA]])</f>
        <v>12879300</v>
      </c>
      <c r="AX715" s="35">
        <f>(VLOOKUP(Tabla4[[#This Row],[SERVICIO 2025]],$J$2:$V$14,3,0)*Tabla4[[#This Row],[TOTAL COBERTURA]])</f>
        <v>12879300</v>
      </c>
      <c r="AY715" s="35">
        <f>(VLOOKUP(Tabla4[[#This Row],[SERVICIO 2025]],$J$2:$V$14,3,0)*Tabla4[[#This Row],[TOTAL COBERTURA]])</f>
        <v>12879300</v>
      </c>
      <c r="AZ715" s="35">
        <f>(VLOOKUP(Tabla4[[#This Row],[SERVICIO 2025]],$J$2:$V$14,3,0)*Tabla4[[#This Row],[TOTAL COBERTURA]])</f>
        <v>12879300</v>
      </c>
      <c r="BA715" s="35">
        <f>(VLOOKUP(Tabla4[[#This Row],[SERVICIO 2025]],$J$2:$V$14,3,0)*Tabla4[[#This Row],[TOTAL COBERTURA]])+Tabla4[[#This Row],[VALOR FASE PREPARATORIA DE CIERRE]]</f>
        <v>14930750</v>
      </c>
      <c r="BB715" s="35">
        <f>SUM(Tabla4[[#This Row],[DESEMBOLSO 1]:[DESEMBOLSO 8]])</f>
        <v>109009650</v>
      </c>
      <c r="BC715" s="35">
        <f>VLOOKUP(Tabla4[[#This Row],[SERVICIO 2025]],$J$2:$V$14,10,0)*Tabla4[[#This Row],[TOTAL COBERTURA]]*$W$3</f>
        <v>72153200</v>
      </c>
      <c r="BD715" s="47" t="s">
        <v>211</v>
      </c>
      <c r="BE715" s="12" t="b">
        <f>EXACT(Tabla4[[#This Row],[VALOR ATENCIÓN (8 MESES)]],Tabla4[[#This Row],[VALOR TOTAL]])</f>
        <v>1</v>
      </c>
      <c r="BF715" s="23">
        <f>Tabla4[[#This Row],[VALOR ATENCIÓN (8 MESES)]]-Tabla4[[#This Row],[VALOR TOTAL]]</f>
        <v>0</v>
      </c>
      <c r="BG715" s="12" t="b">
        <f>EXACT(Tabla4[[#This Row],[TOTAL DESEMBOLSOS]],Tabla4[[#This Row],[VALOR ATENCIÓN (8 MESES)]])</f>
        <v>1</v>
      </c>
      <c r="BH715" s="29">
        <f>Tabla4[[#This Row],[TOTAL DESEMBOLSOS]]-Tabla4[[#This Row],[VALOR ATENCIÓN (8 MESES)]]</f>
        <v>0</v>
      </c>
      <c r="BI715" t="s">
        <v>98</v>
      </c>
      <c r="BJ715">
        <v>1954</v>
      </c>
    </row>
    <row r="716" spans="1:62">
      <c r="A716" s="13">
        <v>1954</v>
      </c>
      <c r="B716" s="13" t="s">
        <v>1606</v>
      </c>
      <c r="C716" s="12" t="s">
        <v>87</v>
      </c>
      <c r="D716" s="12" t="s">
        <v>1293</v>
      </c>
      <c r="E716" s="12" t="s">
        <v>1607</v>
      </c>
      <c r="F716" s="12" t="s">
        <v>14</v>
      </c>
      <c r="G716" s="12" t="s">
        <v>90</v>
      </c>
      <c r="H716" s="12" t="s">
        <v>1610</v>
      </c>
      <c r="I716" s="12">
        <v>531300026385</v>
      </c>
      <c r="J716" s="12" t="s">
        <v>1611</v>
      </c>
      <c r="K716" s="12">
        <v>1</v>
      </c>
      <c r="L716" s="12">
        <v>160</v>
      </c>
      <c r="M716" s="12"/>
      <c r="N716" s="13">
        <v>1954</v>
      </c>
      <c r="O716" s="12" t="s">
        <v>93</v>
      </c>
      <c r="P716" s="12"/>
      <c r="Q716" s="12"/>
      <c r="R716" s="12" t="s">
        <v>94</v>
      </c>
      <c r="S716" s="12">
        <v>10</v>
      </c>
      <c r="T716" s="12" t="s">
        <v>143</v>
      </c>
      <c r="U716" s="12" t="s">
        <v>144</v>
      </c>
      <c r="V716" s="12">
        <f>VLOOKUP(Tabla4[[#This Row],[ZONA DEFINITIVO]],Hoja1!$A$1:$D$121,3,0)</f>
        <v>229118</v>
      </c>
      <c r="W716" s="12">
        <f>VLOOKUP(Tabla4[[#This Row],[ZONA DEFINITIVO]],Hoja1!$A$1:$D$121,2,0)</f>
        <v>15202</v>
      </c>
      <c r="X716" s="12">
        <f>VLOOKUP(Tabla4[[#This Row],[ZONA DEFINITIVO]],Hoja1!$A$1:$D$121,4,0)</f>
        <v>91825</v>
      </c>
      <c r="Y716" s="12" t="str">
        <f>+IF(Tabla4[[#This Row],[AGRUPACIONES]]=1,SUMIFS(Tabla4[UDS],Tabla4[ZONA DEFINITIVO],Tabla4[[#This Row],[ZONA DEFINITIVO]])," ")</f>
        <v xml:space="preserve"> </v>
      </c>
      <c r="Z716" s="12" t="str">
        <f>+IF(Tabla4[[#This Row],[AGRUPACIONES]]=1,SUMIFS(Tabla4[TOTAL COBERTURA],Tabla4[ZONA DEFINITIVO],Tabla4[[#This Row],[ZONA DEFINITIVO]])," ")</f>
        <v xml:space="preserve"> </v>
      </c>
      <c r="AA716" s="12"/>
      <c r="AB716" s="38">
        <v>670216000</v>
      </c>
      <c r="AC716" s="37">
        <v>0.02</v>
      </c>
      <c r="AD716" s="38">
        <f t="shared" si="11"/>
        <v>13404320</v>
      </c>
      <c r="AE716" s="12"/>
      <c r="AF716" s="12">
        <f>COUNTIF($A$20:A716,A716)</f>
        <v>2</v>
      </c>
      <c r="AG716" s="38">
        <v>670216000</v>
      </c>
      <c r="AH716" s="38">
        <f>Tabla4[[#This Row],[VALOR CONTRAPARTIDA]]+Tabla4[[#This Row],[TOTAL APORTES ICBF]]</f>
        <v>683620320</v>
      </c>
      <c r="AI716" s="35"/>
      <c r="AJ716" s="38"/>
      <c r="AK716" s="38"/>
      <c r="AL716" s="23"/>
      <c r="AM716" s="35">
        <f>VLOOKUP(Tabla4[[#This Row],[SERVICIO 2025]],$J$2:$V$14,5,0)*Tabla4[[#This Row],[TOTAL COBERTURA]]</f>
        <v>14102880</v>
      </c>
      <c r="AN716" s="35">
        <f>VLOOKUP(Tabla4[[#This Row],[SERVICIO 2025]],$J$2:$V$14,6,0)*Tabla4[[#This Row],[TOTAL COBERTURA]]</f>
        <v>12006880</v>
      </c>
      <c r="AO716" s="35">
        <f>VLOOKUP(Tabla4[[#This Row],[SERVICIO 2025]],$J$2:$V$14,8,0)*Tabla4[[#This Row],[TOTAL COBERTURA]]</f>
        <v>0</v>
      </c>
      <c r="AP716" s="35">
        <f>VLOOKUP(Tabla4[[#This Row],[SERVICIO 2025]],$J$2:$V$14,3,0)*Tabla4[[#This Row],[TOTAL COBERTURA]]*8</f>
        <v>644106240</v>
      </c>
      <c r="AQ716" s="35"/>
      <c r="AR716" s="35">
        <f>Tabla4[[#This Row],[VALOR FASE PREPARATORIA DE ALISTAMIENTO]]+Tabla4[[#This Row],[VALOR FASE PREPARATORIA DE CIERRE]]+Tabla4[[#This Row],[DOTACIÓN ÚNICA]]+Tabla4[[#This Row],[VALOR ATENCIÓN]]+Tabla4[[#This Row],[VALOR RACION PREPARADA]]</f>
        <v>670216000</v>
      </c>
      <c r="AS716" s="35" t="str">
        <f>+IF(Tabla4[[#This Row],[AGRUPACIONES]]=1,SUMIFS(Tabla4[VALOR TOTAL],Tabla4[ZONA DEFINITIVO],Tabla4[[#This Row],[ZONA DEFINITIVO]])," ")</f>
        <v xml:space="preserve"> </v>
      </c>
      <c r="AT716" s="27">
        <f>(VLOOKUP(Tabla4[[#This Row],[SERVICIO 2025]],$J$2:$V$14,3,0)*Tabla4[[#This Row],[TOTAL COBERTURA]])+Tabla4[[#This Row],[VALOR FASE PREPARATORIA DE ALISTAMIENTO]]+Tabla4[[#This Row],[DOTACIÓN ÚNICA]]</f>
        <v>94616160</v>
      </c>
      <c r="AU716" s="35">
        <f>(VLOOKUP(Tabla4[[#This Row],[SERVICIO 2025]],$J$2:$V$14,3,0)*Tabla4[[#This Row],[TOTAL COBERTURA]])</f>
        <v>80513280</v>
      </c>
      <c r="AV716" s="35">
        <f>(VLOOKUP(Tabla4[[#This Row],[SERVICIO 2025]],$J$2:$V$14,3,0)*Tabla4[[#This Row],[TOTAL COBERTURA]])</f>
        <v>80513280</v>
      </c>
      <c r="AW716" s="35">
        <f>(VLOOKUP(Tabla4[[#This Row],[SERVICIO 2025]],$J$2:$V$14,3,0)*Tabla4[[#This Row],[TOTAL COBERTURA]])</f>
        <v>80513280</v>
      </c>
      <c r="AX716" s="35">
        <f>(VLOOKUP(Tabla4[[#This Row],[SERVICIO 2025]],$J$2:$V$14,3,0)*Tabla4[[#This Row],[TOTAL COBERTURA]])</f>
        <v>80513280</v>
      </c>
      <c r="AY716" s="35">
        <f>(VLOOKUP(Tabla4[[#This Row],[SERVICIO 2025]],$J$2:$V$14,3,0)*Tabla4[[#This Row],[TOTAL COBERTURA]])</f>
        <v>80513280</v>
      </c>
      <c r="AZ716" s="35">
        <f>(VLOOKUP(Tabla4[[#This Row],[SERVICIO 2025]],$J$2:$V$14,3,0)*Tabla4[[#This Row],[TOTAL COBERTURA]])</f>
        <v>80513280</v>
      </c>
      <c r="BA716" s="35">
        <f>(VLOOKUP(Tabla4[[#This Row],[SERVICIO 2025]],$J$2:$V$14,3,0)*Tabla4[[#This Row],[TOTAL COBERTURA]])+Tabla4[[#This Row],[VALOR FASE PREPARATORIA DE CIERRE]]</f>
        <v>92520160</v>
      </c>
      <c r="BB716" s="35">
        <f>SUM(Tabla4[[#This Row],[DESEMBOLSO 1]:[DESEMBOLSO 8]])</f>
        <v>670216000</v>
      </c>
      <c r="BC716" s="35">
        <f>VLOOKUP(Tabla4[[#This Row],[SERVICIO 2025]],$J$2:$V$14,10,0)*Tabla4[[#This Row],[TOTAL COBERTURA]]*$W$3</f>
        <v>0</v>
      </c>
      <c r="BD716" s="47" t="s">
        <v>145</v>
      </c>
      <c r="BE716" s="12" t="b">
        <f>EXACT(Tabla4[[#This Row],[VALOR ATENCIÓN (8 MESES)]],Tabla4[[#This Row],[VALOR TOTAL]])</f>
        <v>1</v>
      </c>
      <c r="BF716" s="23">
        <f>Tabla4[[#This Row],[VALOR ATENCIÓN (8 MESES)]]-Tabla4[[#This Row],[VALOR TOTAL]]</f>
        <v>0</v>
      </c>
      <c r="BG716" s="12" t="b">
        <f>EXACT(Tabla4[[#This Row],[TOTAL DESEMBOLSOS]],Tabla4[[#This Row],[VALOR ATENCIÓN (8 MESES)]])</f>
        <v>1</v>
      </c>
      <c r="BH716" s="29">
        <f>Tabla4[[#This Row],[TOTAL DESEMBOLSOS]]-Tabla4[[#This Row],[VALOR ATENCIÓN (8 MESES)]]</f>
        <v>0</v>
      </c>
      <c r="BI716" t="s">
        <v>98</v>
      </c>
      <c r="BJ716">
        <v>1954</v>
      </c>
    </row>
    <row r="717" spans="1:62">
      <c r="A717" s="13">
        <v>1956</v>
      </c>
      <c r="B717" s="13" t="s">
        <v>1612</v>
      </c>
      <c r="C717" s="12" t="s">
        <v>87</v>
      </c>
      <c r="D717" s="12" t="s">
        <v>527</v>
      </c>
      <c r="E717" s="12" t="s">
        <v>1613</v>
      </c>
      <c r="F717" s="12" t="s">
        <v>21</v>
      </c>
      <c r="G717" s="12" t="s">
        <v>90</v>
      </c>
      <c r="H717" s="12" t="s">
        <v>1614</v>
      </c>
      <c r="I717" s="12">
        <v>53181115673</v>
      </c>
      <c r="J717" s="12" t="s">
        <v>1615</v>
      </c>
      <c r="K717" s="12">
        <v>1</v>
      </c>
      <c r="L717" s="12">
        <v>50</v>
      </c>
      <c r="M717" s="12"/>
      <c r="N717" s="13">
        <v>1956</v>
      </c>
      <c r="O717" s="12" t="s">
        <v>93</v>
      </c>
      <c r="P717" s="12"/>
      <c r="Q717" s="12"/>
      <c r="R717" s="12" t="s">
        <v>94</v>
      </c>
      <c r="S717" s="12">
        <v>10</v>
      </c>
      <c r="T717" s="12" t="s">
        <v>991</v>
      </c>
      <c r="U717" s="12" t="s">
        <v>992</v>
      </c>
      <c r="V717" s="12">
        <f>VLOOKUP(Tabla4[[#This Row],[ZONA DEFINITIVO]],Hoja1!$A$1:$D$121,3,0)</f>
        <v>229119</v>
      </c>
      <c r="W717" s="12">
        <f>VLOOKUP(Tabla4[[#This Row],[ZONA DEFINITIVO]],Hoja1!$A$1:$D$121,2,0)</f>
        <v>15225</v>
      </c>
      <c r="X717" s="12">
        <f>VLOOKUP(Tabla4[[#This Row],[ZONA DEFINITIVO]],Hoja1!$A$1:$D$121,4,0)</f>
        <v>83625</v>
      </c>
      <c r="Y717" s="12">
        <f>+IF(Tabla4[[#This Row],[AGRUPACIONES]]=1,SUMIFS(Tabla4[UDS],Tabla4[ZONA DEFINITIVO],Tabla4[[#This Row],[ZONA DEFINITIVO]])," ")</f>
        <v>8</v>
      </c>
      <c r="Z717" s="12">
        <f>+IF(Tabla4[[#This Row],[AGRUPACIONES]]=1,SUMIFS(Tabla4[TOTAL COBERTURA],Tabla4[ZONA DEFINITIVO],Tabla4[[#This Row],[ZONA DEFINITIVO]])," ")</f>
        <v>471</v>
      </c>
      <c r="AA717" s="12"/>
      <c r="AB717" s="38">
        <v>75965250</v>
      </c>
      <c r="AC717" s="37">
        <v>0.02</v>
      </c>
      <c r="AD717" s="38">
        <f t="shared" si="11"/>
        <v>1519305</v>
      </c>
      <c r="AE717" s="12"/>
      <c r="AF717" s="12">
        <f>COUNTIF($A$20:A717,A717)</f>
        <v>1</v>
      </c>
      <c r="AG717" s="38">
        <v>75965250</v>
      </c>
      <c r="AH717" s="38">
        <f>Tabla4[[#This Row],[VALOR CONTRAPARTIDA]]+Tabla4[[#This Row],[TOTAL APORTES ICBF]]</f>
        <v>77484555</v>
      </c>
      <c r="AI717" s="35">
        <f>ROUND(+IF(Tabla4[[#This Row],[AGRUPACIONES]]=1,SUMIFS(Tabla4[TOTAL APORTES ICBF],Tabla4[ZONA DEFINITIVO],Tabla4[[#This Row],[ZONA DEFINITIVO]])," "),0)</f>
        <v>1201733778</v>
      </c>
      <c r="AJ717" s="38">
        <f>ROUND(+IF(Tabla4[[#This Row],[AGRUPACIONES]]=1,SUMIFS(Tabla4[VALOR CONTRAPARTIDA],Tabla4[ZONA DEFINITIVO],Tabla4[[#This Row],[ZONA DEFINITIVO]])," "),0)</f>
        <v>24034676</v>
      </c>
      <c r="AK717" s="38">
        <f>Tabla4[[#This Row],[TOTAL APORTES ICBF AGRUPADO]]+Tabla4[[#This Row],[TOTAL CONTRAPARTIDA AGRUPADO]]</f>
        <v>1225768454</v>
      </c>
      <c r="AL717" s="23">
        <f>Tabla4[[#This Row],[TOTAL APORTES ICBF AGRUPADO]]/$AL$18</f>
        <v>844.21059220231825</v>
      </c>
      <c r="AM717" s="35">
        <f>VLOOKUP(Tabla4[[#This Row],[SERVICIO 2025]],$J$2:$V$14,5,0)*Tabla4[[#This Row],[TOTAL COBERTURA]]</f>
        <v>2337200</v>
      </c>
      <c r="AN717" s="35">
        <f>VLOOKUP(Tabla4[[#This Row],[SERVICIO 2025]],$J$2:$V$14,6,0)*Tabla4[[#This Row],[TOTAL COBERTURA]]</f>
        <v>1892050</v>
      </c>
      <c r="AO717" s="35">
        <f>VLOOKUP(Tabla4[[#This Row],[SERVICIO 2025]],$J$2:$V$14,8,0)*Tabla4[[#This Row],[TOTAL COBERTURA]]</f>
        <v>0</v>
      </c>
      <c r="AP717" s="35">
        <f>VLOOKUP(Tabla4[[#This Row],[SERVICIO 2025]],$J$2:$V$14,3,0)*Tabla4[[#This Row],[TOTAL COBERTURA]]*8</f>
        <v>71736000</v>
      </c>
      <c r="AQ717" s="35"/>
      <c r="AR717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717" s="35">
        <f>+IF(Tabla4[[#This Row],[AGRUPACIONES]]=1,SUMIFS(Tabla4[VALOR TOTAL],Tabla4[ZONA DEFINITIVO],Tabla4[[#This Row],[ZONA DEFINITIVO]])," ")</f>
        <v>1201733778</v>
      </c>
      <c r="AT717" s="27">
        <f>(VLOOKUP(Tabla4[[#This Row],[SERVICIO 2025]],$J$2:$V$14,3,0)*Tabla4[[#This Row],[TOTAL COBERTURA]])+Tabla4[[#This Row],[VALOR FASE PREPARATORIA DE ALISTAMIENTO]]+Tabla4[[#This Row],[DOTACIÓN ÚNICA]]</f>
        <v>11304200</v>
      </c>
      <c r="AU717" s="35">
        <f>(VLOOKUP(Tabla4[[#This Row],[SERVICIO 2025]],$J$2:$V$14,3,0)*Tabla4[[#This Row],[TOTAL COBERTURA]])</f>
        <v>8967000</v>
      </c>
      <c r="AV717" s="35">
        <f>(VLOOKUP(Tabla4[[#This Row],[SERVICIO 2025]],$J$2:$V$14,3,0)*Tabla4[[#This Row],[TOTAL COBERTURA]])</f>
        <v>8967000</v>
      </c>
      <c r="AW717" s="35">
        <f>(VLOOKUP(Tabla4[[#This Row],[SERVICIO 2025]],$J$2:$V$14,3,0)*Tabla4[[#This Row],[TOTAL COBERTURA]])</f>
        <v>8967000</v>
      </c>
      <c r="AX717" s="35">
        <f>(VLOOKUP(Tabla4[[#This Row],[SERVICIO 2025]],$J$2:$V$14,3,0)*Tabla4[[#This Row],[TOTAL COBERTURA]])</f>
        <v>8967000</v>
      </c>
      <c r="AY717" s="35">
        <f>(VLOOKUP(Tabla4[[#This Row],[SERVICIO 2025]],$J$2:$V$14,3,0)*Tabla4[[#This Row],[TOTAL COBERTURA]])</f>
        <v>8967000</v>
      </c>
      <c r="AZ717" s="35">
        <f>(VLOOKUP(Tabla4[[#This Row],[SERVICIO 2025]],$J$2:$V$14,3,0)*Tabla4[[#This Row],[TOTAL COBERTURA]])</f>
        <v>8967000</v>
      </c>
      <c r="BA717" s="35">
        <f>(VLOOKUP(Tabla4[[#This Row],[SERVICIO 2025]],$J$2:$V$14,3,0)*Tabla4[[#This Row],[TOTAL COBERTURA]])+Tabla4[[#This Row],[VALOR FASE PREPARATORIA DE CIERRE]]</f>
        <v>10859050</v>
      </c>
      <c r="BB717" s="35">
        <f>SUM(Tabla4[[#This Row],[DESEMBOLSO 1]:[DESEMBOLSO 8]])</f>
        <v>75965250</v>
      </c>
      <c r="BC717" s="35"/>
      <c r="BD717" s="47" t="s">
        <v>97</v>
      </c>
      <c r="BE717" s="12" t="b">
        <f>EXACT(Tabla4[[#This Row],[VALOR ATENCIÓN (8 MESES)]],Tabla4[[#This Row],[VALOR TOTAL]])</f>
        <v>1</v>
      </c>
      <c r="BF717" s="23">
        <f>Tabla4[[#This Row],[VALOR ATENCIÓN (8 MESES)]]-Tabla4[[#This Row],[VALOR TOTAL]]</f>
        <v>0</v>
      </c>
      <c r="BG717" s="12" t="b">
        <f>EXACT(Tabla4[[#This Row],[TOTAL DESEMBOLSOS]],Tabla4[[#This Row],[VALOR ATENCIÓN (8 MESES)]])</f>
        <v>1</v>
      </c>
      <c r="BH717" s="29">
        <f>Tabla4[[#This Row],[TOTAL DESEMBOLSOS]]-Tabla4[[#This Row],[VALOR ATENCIÓN (8 MESES)]]</f>
        <v>0</v>
      </c>
      <c r="BI717" t="s">
        <v>98</v>
      </c>
    </row>
    <row r="718" spans="1:62">
      <c r="A718" s="13">
        <v>1956</v>
      </c>
      <c r="B718" s="13" t="s">
        <v>1612</v>
      </c>
      <c r="C718" s="12" t="s">
        <v>87</v>
      </c>
      <c r="D718" s="12" t="s">
        <v>527</v>
      </c>
      <c r="E718" s="12" t="s">
        <v>1613</v>
      </c>
      <c r="F718" s="12" t="s">
        <v>21</v>
      </c>
      <c r="G718" s="12" t="s">
        <v>90</v>
      </c>
      <c r="H718" s="12" t="s">
        <v>1616</v>
      </c>
      <c r="I718" s="12">
        <v>53181115674</v>
      </c>
      <c r="J718" s="12" t="s">
        <v>1617</v>
      </c>
      <c r="K718" s="12">
        <v>1</v>
      </c>
      <c r="L718" s="12">
        <v>50</v>
      </c>
      <c r="M718" s="12"/>
      <c r="N718" s="13">
        <v>1956</v>
      </c>
      <c r="O718" s="12" t="s">
        <v>93</v>
      </c>
      <c r="P718" s="12"/>
      <c r="Q718" s="12"/>
      <c r="R718" s="12" t="s">
        <v>94</v>
      </c>
      <c r="S718" s="12">
        <v>10</v>
      </c>
      <c r="T718" s="12" t="s">
        <v>991</v>
      </c>
      <c r="U718" s="12" t="s">
        <v>992</v>
      </c>
      <c r="V718" s="12">
        <f>VLOOKUP(Tabla4[[#This Row],[ZONA DEFINITIVO]],Hoja1!$A$1:$D$121,3,0)</f>
        <v>229119</v>
      </c>
      <c r="W718" s="12">
        <f>VLOOKUP(Tabla4[[#This Row],[ZONA DEFINITIVO]],Hoja1!$A$1:$D$121,2,0)</f>
        <v>15225</v>
      </c>
      <c r="X718" s="12">
        <f>VLOOKUP(Tabla4[[#This Row],[ZONA DEFINITIVO]],Hoja1!$A$1:$D$121,4,0)</f>
        <v>83625</v>
      </c>
      <c r="Y718" s="12" t="str">
        <f>+IF(Tabla4[[#This Row],[AGRUPACIONES]]=1,SUMIFS(Tabla4[UDS],Tabla4[ZONA DEFINITIVO],Tabla4[[#This Row],[ZONA DEFINITIVO]])," ")</f>
        <v xml:space="preserve"> </v>
      </c>
      <c r="Z718" s="12" t="str">
        <f>+IF(Tabla4[[#This Row],[AGRUPACIONES]]=1,SUMIFS(Tabla4[TOTAL COBERTURA],Tabla4[ZONA DEFINITIVO],Tabla4[[#This Row],[ZONA DEFINITIVO]])," ")</f>
        <v xml:space="preserve"> </v>
      </c>
      <c r="AA718" s="12"/>
      <c r="AB718" s="38">
        <v>75965250</v>
      </c>
      <c r="AC718" s="37">
        <v>0.02</v>
      </c>
      <c r="AD718" s="38">
        <f t="shared" si="11"/>
        <v>1519305</v>
      </c>
      <c r="AE718" s="12"/>
      <c r="AF718" s="12">
        <f>COUNTIF($A$20:A718,A718)</f>
        <v>2</v>
      </c>
      <c r="AG718" s="38">
        <v>75965250</v>
      </c>
      <c r="AH718" s="38">
        <f>Tabla4[[#This Row],[VALOR CONTRAPARTIDA]]+Tabla4[[#This Row],[TOTAL APORTES ICBF]]</f>
        <v>77484555</v>
      </c>
      <c r="AI718" s="35"/>
      <c r="AJ718" s="38"/>
      <c r="AK718" s="38"/>
      <c r="AL718" s="23"/>
      <c r="AM718" s="35">
        <f>VLOOKUP(Tabla4[[#This Row],[SERVICIO 2025]],$J$2:$V$14,5,0)*Tabla4[[#This Row],[TOTAL COBERTURA]]</f>
        <v>2337200</v>
      </c>
      <c r="AN718" s="35">
        <f>VLOOKUP(Tabla4[[#This Row],[SERVICIO 2025]],$J$2:$V$14,6,0)*Tabla4[[#This Row],[TOTAL COBERTURA]]</f>
        <v>1892050</v>
      </c>
      <c r="AO718" s="35">
        <f>VLOOKUP(Tabla4[[#This Row],[SERVICIO 2025]],$J$2:$V$14,8,0)*Tabla4[[#This Row],[TOTAL COBERTURA]]</f>
        <v>0</v>
      </c>
      <c r="AP718" s="35">
        <f>VLOOKUP(Tabla4[[#This Row],[SERVICIO 2025]],$J$2:$V$14,3,0)*Tabla4[[#This Row],[TOTAL COBERTURA]]*8</f>
        <v>71736000</v>
      </c>
      <c r="AQ718" s="35"/>
      <c r="AR718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718" s="35" t="str">
        <f>+IF(Tabla4[[#This Row],[AGRUPACIONES]]=1,SUMIFS(Tabla4[VALOR TOTAL],Tabla4[ZONA DEFINITIVO],Tabla4[[#This Row],[ZONA DEFINITIVO]])," ")</f>
        <v xml:space="preserve"> </v>
      </c>
      <c r="AT718" s="27">
        <f>(VLOOKUP(Tabla4[[#This Row],[SERVICIO 2025]],$J$2:$V$14,3,0)*Tabla4[[#This Row],[TOTAL COBERTURA]])+Tabla4[[#This Row],[VALOR FASE PREPARATORIA DE ALISTAMIENTO]]+Tabla4[[#This Row],[DOTACIÓN ÚNICA]]</f>
        <v>11304200</v>
      </c>
      <c r="AU718" s="35">
        <f>(VLOOKUP(Tabla4[[#This Row],[SERVICIO 2025]],$J$2:$V$14,3,0)*Tabla4[[#This Row],[TOTAL COBERTURA]])</f>
        <v>8967000</v>
      </c>
      <c r="AV718" s="35">
        <f>(VLOOKUP(Tabla4[[#This Row],[SERVICIO 2025]],$J$2:$V$14,3,0)*Tabla4[[#This Row],[TOTAL COBERTURA]])</f>
        <v>8967000</v>
      </c>
      <c r="AW718" s="35">
        <f>(VLOOKUP(Tabla4[[#This Row],[SERVICIO 2025]],$J$2:$V$14,3,0)*Tabla4[[#This Row],[TOTAL COBERTURA]])</f>
        <v>8967000</v>
      </c>
      <c r="AX718" s="35">
        <f>(VLOOKUP(Tabla4[[#This Row],[SERVICIO 2025]],$J$2:$V$14,3,0)*Tabla4[[#This Row],[TOTAL COBERTURA]])</f>
        <v>8967000</v>
      </c>
      <c r="AY718" s="35">
        <f>(VLOOKUP(Tabla4[[#This Row],[SERVICIO 2025]],$J$2:$V$14,3,0)*Tabla4[[#This Row],[TOTAL COBERTURA]])</f>
        <v>8967000</v>
      </c>
      <c r="AZ718" s="35">
        <f>(VLOOKUP(Tabla4[[#This Row],[SERVICIO 2025]],$J$2:$V$14,3,0)*Tabla4[[#This Row],[TOTAL COBERTURA]])</f>
        <v>8967000</v>
      </c>
      <c r="BA718" s="35">
        <f>(VLOOKUP(Tabla4[[#This Row],[SERVICIO 2025]],$J$2:$V$14,3,0)*Tabla4[[#This Row],[TOTAL COBERTURA]])+Tabla4[[#This Row],[VALOR FASE PREPARATORIA DE CIERRE]]</f>
        <v>10859050</v>
      </c>
      <c r="BB718" s="35">
        <f>SUM(Tabla4[[#This Row],[DESEMBOLSO 1]:[DESEMBOLSO 8]])</f>
        <v>75965250</v>
      </c>
      <c r="BC718" s="35"/>
      <c r="BD718" s="47" t="s">
        <v>97</v>
      </c>
      <c r="BE718" s="12" t="b">
        <f>EXACT(Tabla4[[#This Row],[VALOR ATENCIÓN (8 MESES)]],Tabla4[[#This Row],[VALOR TOTAL]])</f>
        <v>1</v>
      </c>
      <c r="BF718" s="23">
        <f>Tabla4[[#This Row],[VALOR ATENCIÓN (8 MESES)]]-Tabla4[[#This Row],[VALOR TOTAL]]</f>
        <v>0</v>
      </c>
      <c r="BG718" s="12" t="b">
        <f>EXACT(Tabla4[[#This Row],[TOTAL DESEMBOLSOS]],Tabla4[[#This Row],[VALOR ATENCIÓN (8 MESES)]])</f>
        <v>1</v>
      </c>
      <c r="BH718" s="29">
        <f>Tabla4[[#This Row],[TOTAL DESEMBOLSOS]]-Tabla4[[#This Row],[VALOR ATENCIÓN (8 MESES)]]</f>
        <v>0</v>
      </c>
      <c r="BI718" t="s">
        <v>98</v>
      </c>
    </row>
    <row r="719" spans="1:62">
      <c r="A719" s="13">
        <v>1956</v>
      </c>
      <c r="B719" s="13" t="s">
        <v>1612</v>
      </c>
      <c r="C719" s="12" t="s">
        <v>87</v>
      </c>
      <c r="D719" s="12" t="s">
        <v>527</v>
      </c>
      <c r="E719" s="12" t="s">
        <v>1613</v>
      </c>
      <c r="F719" s="12" t="s">
        <v>21</v>
      </c>
      <c r="G719" s="12" t="s">
        <v>90</v>
      </c>
      <c r="H719" s="12" t="s">
        <v>1618</v>
      </c>
      <c r="I719" s="12">
        <v>53181134797</v>
      </c>
      <c r="J719" s="12" t="s">
        <v>1619</v>
      </c>
      <c r="K719" s="12">
        <v>1</v>
      </c>
      <c r="L719" s="12">
        <v>50</v>
      </c>
      <c r="M719" s="12"/>
      <c r="N719" s="13">
        <v>1956</v>
      </c>
      <c r="O719" s="12" t="s">
        <v>93</v>
      </c>
      <c r="P719" s="12"/>
      <c r="Q719" s="12"/>
      <c r="R719" s="12" t="s">
        <v>94</v>
      </c>
      <c r="S719" s="12">
        <v>10</v>
      </c>
      <c r="T719" s="12" t="s">
        <v>991</v>
      </c>
      <c r="U719" s="12" t="s">
        <v>992</v>
      </c>
      <c r="V719" s="12">
        <f>VLOOKUP(Tabla4[[#This Row],[ZONA DEFINITIVO]],Hoja1!$A$1:$D$121,3,0)</f>
        <v>229119</v>
      </c>
      <c r="W719" s="12">
        <f>VLOOKUP(Tabla4[[#This Row],[ZONA DEFINITIVO]],Hoja1!$A$1:$D$121,2,0)</f>
        <v>15225</v>
      </c>
      <c r="X719" s="12">
        <f>VLOOKUP(Tabla4[[#This Row],[ZONA DEFINITIVO]],Hoja1!$A$1:$D$121,4,0)</f>
        <v>83625</v>
      </c>
      <c r="Y719" s="12" t="str">
        <f>+IF(Tabla4[[#This Row],[AGRUPACIONES]]=1,SUMIFS(Tabla4[UDS],Tabla4[ZONA DEFINITIVO],Tabla4[[#This Row],[ZONA DEFINITIVO]])," ")</f>
        <v xml:space="preserve"> </v>
      </c>
      <c r="Z719" s="12" t="str">
        <f>+IF(Tabla4[[#This Row],[AGRUPACIONES]]=1,SUMIFS(Tabla4[TOTAL COBERTURA],Tabla4[ZONA DEFINITIVO],Tabla4[[#This Row],[ZONA DEFINITIVO]])," ")</f>
        <v xml:space="preserve"> </v>
      </c>
      <c r="AA719" s="12"/>
      <c r="AB719" s="38">
        <v>75965250</v>
      </c>
      <c r="AC719" s="37">
        <v>0.02</v>
      </c>
      <c r="AD719" s="38">
        <f t="shared" si="11"/>
        <v>1519305</v>
      </c>
      <c r="AE719" s="12"/>
      <c r="AF719" s="12">
        <f>COUNTIF($A$20:A719,A719)</f>
        <v>3</v>
      </c>
      <c r="AG719" s="38">
        <v>75965250</v>
      </c>
      <c r="AH719" s="38">
        <f>Tabla4[[#This Row],[VALOR CONTRAPARTIDA]]+Tabla4[[#This Row],[TOTAL APORTES ICBF]]</f>
        <v>77484555</v>
      </c>
      <c r="AI719" s="35"/>
      <c r="AJ719" s="38"/>
      <c r="AK719" s="38"/>
      <c r="AL719" s="23"/>
      <c r="AM719" s="35">
        <f>VLOOKUP(Tabla4[[#This Row],[SERVICIO 2025]],$J$2:$V$14,5,0)*Tabla4[[#This Row],[TOTAL COBERTURA]]</f>
        <v>2337200</v>
      </c>
      <c r="AN719" s="35">
        <f>VLOOKUP(Tabla4[[#This Row],[SERVICIO 2025]],$J$2:$V$14,6,0)*Tabla4[[#This Row],[TOTAL COBERTURA]]</f>
        <v>1892050</v>
      </c>
      <c r="AO719" s="35">
        <f>VLOOKUP(Tabla4[[#This Row],[SERVICIO 2025]],$J$2:$V$14,8,0)*Tabla4[[#This Row],[TOTAL COBERTURA]]</f>
        <v>0</v>
      </c>
      <c r="AP719" s="35">
        <f>VLOOKUP(Tabla4[[#This Row],[SERVICIO 2025]],$J$2:$V$14,3,0)*Tabla4[[#This Row],[TOTAL COBERTURA]]*8</f>
        <v>71736000</v>
      </c>
      <c r="AQ719" s="35"/>
      <c r="AR719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719" s="35" t="str">
        <f>+IF(Tabla4[[#This Row],[AGRUPACIONES]]=1,SUMIFS(Tabla4[VALOR TOTAL],Tabla4[ZONA DEFINITIVO],Tabla4[[#This Row],[ZONA DEFINITIVO]])," ")</f>
        <v xml:space="preserve"> </v>
      </c>
      <c r="AT719" s="27">
        <f>(VLOOKUP(Tabla4[[#This Row],[SERVICIO 2025]],$J$2:$V$14,3,0)*Tabla4[[#This Row],[TOTAL COBERTURA]])+Tabla4[[#This Row],[VALOR FASE PREPARATORIA DE ALISTAMIENTO]]+Tabla4[[#This Row],[DOTACIÓN ÚNICA]]</f>
        <v>11304200</v>
      </c>
      <c r="AU719" s="35">
        <f>(VLOOKUP(Tabla4[[#This Row],[SERVICIO 2025]],$J$2:$V$14,3,0)*Tabla4[[#This Row],[TOTAL COBERTURA]])</f>
        <v>8967000</v>
      </c>
      <c r="AV719" s="35">
        <f>(VLOOKUP(Tabla4[[#This Row],[SERVICIO 2025]],$J$2:$V$14,3,0)*Tabla4[[#This Row],[TOTAL COBERTURA]])</f>
        <v>8967000</v>
      </c>
      <c r="AW719" s="35">
        <f>(VLOOKUP(Tabla4[[#This Row],[SERVICIO 2025]],$J$2:$V$14,3,0)*Tabla4[[#This Row],[TOTAL COBERTURA]])</f>
        <v>8967000</v>
      </c>
      <c r="AX719" s="35">
        <f>(VLOOKUP(Tabla4[[#This Row],[SERVICIO 2025]],$J$2:$V$14,3,0)*Tabla4[[#This Row],[TOTAL COBERTURA]])</f>
        <v>8967000</v>
      </c>
      <c r="AY719" s="35">
        <f>(VLOOKUP(Tabla4[[#This Row],[SERVICIO 2025]],$J$2:$V$14,3,0)*Tabla4[[#This Row],[TOTAL COBERTURA]])</f>
        <v>8967000</v>
      </c>
      <c r="AZ719" s="35">
        <f>(VLOOKUP(Tabla4[[#This Row],[SERVICIO 2025]],$J$2:$V$14,3,0)*Tabla4[[#This Row],[TOTAL COBERTURA]])</f>
        <v>8967000</v>
      </c>
      <c r="BA719" s="35">
        <f>(VLOOKUP(Tabla4[[#This Row],[SERVICIO 2025]],$J$2:$V$14,3,0)*Tabla4[[#This Row],[TOTAL COBERTURA]])+Tabla4[[#This Row],[VALOR FASE PREPARATORIA DE CIERRE]]</f>
        <v>10859050</v>
      </c>
      <c r="BB719" s="35">
        <f>SUM(Tabla4[[#This Row],[DESEMBOLSO 1]:[DESEMBOLSO 8]])</f>
        <v>75965250</v>
      </c>
      <c r="BC719" s="35"/>
      <c r="BD719" s="47" t="s">
        <v>97</v>
      </c>
      <c r="BE719" s="12" t="b">
        <f>EXACT(Tabla4[[#This Row],[VALOR ATENCIÓN (8 MESES)]],Tabla4[[#This Row],[VALOR TOTAL]])</f>
        <v>1</v>
      </c>
      <c r="BF719" s="23">
        <f>Tabla4[[#This Row],[VALOR ATENCIÓN (8 MESES)]]-Tabla4[[#This Row],[VALOR TOTAL]]</f>
        <v>0</v>
      </c>
      <c r="BG719" s="12" t="b">
        <f>EXACT(Tabla4[[#This Row],[TOTAL DESEMBOLSOS]],Tabla4[[#This Row],[VALOR ATENCIÓN (8 MESES)]])</f>
        <v>1</v>
      </c>
      <c r="BH719" s="29">
        <f>Tabla4[[#This Row],[TOTAL DESEMBOLSOS]]-Tabla4[[#This Row],[VALOR ATENCIÓN (8 MESES)]]</f>
        <v>0</v>
      </c>
      <c r="BI719" t="s">
        <v>98</v>
      </c>
    </row>
    <row r="720" spans="1:62">
      <c r="A720" s="13">
        <v>1956</v>
      </c>
      <c r="B720" s="13" t="s">
        <v>1612</v>
      </c>
      <c r="C720" s="12" t="s">
        <v>87</v>
      </c>
      <c r="D720" s="12" t="s">
        <v>527</v>
      </c>
      <c r="E720" s="12" t="s">
        <v>1613</v>
      </c>
      <c r="F720" s="12" t="s">
        <v>21</v>
      </c>
      <c r="G720" s="12" t="s">
        <v>90</v>
      </c>
      <c r="H720" s="12" t="s">
        <v>1620</v>
      </c>
      <c r="I720" s="12">
        <v>53181134805</v>
      </c>
      <c r="J720" s="12" t="s">
        <v>260</v>
      </c>
      <c r="K720" s="12">
        <v>1</v>
      </c>
      <c r="L720" s="12">
        <v>42</v>
      </c>
      <c r="M720" s="12"/>
      <c r="N720" s="13">
        <v>1956</v>
      </c>
      <c r="O720" s="12" t="s">
        <v>93</v>
      </c>
      <c r="P720" s="12"/>
      <c r="Q720" s="12"/>
      <c r="R720" s="12" t="s">
        <v>94</v>
      </c>
      <c r="S720" s="12">
        <v>10</v>
      </c>
      <c r="T720" s="12" t="s">
        <v>991</v>
      </c>
      <c r="U720" s="12" t="s">
        <v>992</v>
      </c>
      <c r="V720" s="12">
        <f>VLOOKUP(Tabla4[[#This Row],[ZONA DEFINITIVO]],Hoja1!$A$1:$D$121,3,0)</f>
        <v>229119</v>
      </c>
      <c r="W720" s="12">
        <f>VLOOKUP(Tabla4[[#This Row],[ZONA DEFINITIVO]],Hoja1!$A$1:$D$121,2,0)</f>
        <v>15225</v>
      </c>
      <c r="X720" s="12">
        <f>VLOOKUP(Tabla4[[#This Row],[ZONA DEFINITIVO]],Hoja1!$A$1:$D$121,4,0)</f>
        <v>83625</v>
      </c>
      <c r="Y720" s="12" t="str">
        <f>+IF(Tabla4[[#This Row],[AGRUPACIONES]]=1,SUMIFS(Tabla4[UDS],Tabla4[ZONA DEFINITIVO],Tabla4[[#This Row],[ZONA DEFINITIVO]])," ")</f>
        <v xml:space="preserve"> </v>
      </c>
      <c r="Z720" s="12" t="str">
        <f>+IF(Tabla4[[#This Row],[AGRUPACIONES]]=1,SUMIFS(Tabla4[TOTAL COBERTURA],Tabla4[ZONA DEFINITIVO],Tabla4[[#This Row],[ZONA DEFINITIVO]])," ")</f>
        <v xml:space="preserve"> </v>
      </c>
      <c r="AA720" s="12"/>
      <c r="AB720" s="38">
        <v>63810810</v>
      </c>
      <c r="AC720" s="37">
        <v>0.02</v>
      </c>
      <c r="AD720" s="38">
        <f t="shared" si="11"/>
        <v>1276216.2</v>
      </c>
      <c r="AE720" s="12"/>
      <c r="AF720" s="12">
        <f>COUNTIF($A$20:A720,A720)</f>
        <v>4</v>
      </c>
      <c r="AG720" s="38">
        <v>63810810</v>
      </c>
      <c r="AH720" s="38">
        <f>Tabla4[[#This Row],[VALOR CONTRAPARTIDA]]+Tabla4[[#This Row],[TOTAL APORTES ICBF]]</f>
        <v>65087026.200000003</v>
      </c>
      <c r="AI720" s="35"/>
      <c r="AJ720" s="38"/>
      <c r="AK720" s="38"/>
      <c r="AL720" s="23"/>
      <c r="AM720" s="35">
        <f>VLOOKUP(Tabla4[[#This Row],[SERVICIO 2025]],$J$2:$V$14,5,0)*Tabla4[[#This Row],[TOTAL COBERTURA]]</f>
        <v>1963248</v>
      </c>
      <c r="AN720" s="35">
        <f>VLOOKUP(Tabla4[[#This Row],[SERVICIO 2025]],$J$2:$V$14,6,0)*Tabla4[[#This Row],[TOTAL COBERTURA]]</f>
        <v>1589322</v>
      </c>
      <c r="AO720" s="35">
        <f>VLOOKUP(Tabla4[[#This Row],[SERVICIO 2025]],$J$2:$V$14,8,0)*Tabla4[[#This Row],[TOTAL COBERTURA]]</f>
        <v>0</v>
      </c>
      <c r="AP720" s="35">
        <f>VLOOKUP(Tabla4[[#This Row],[SERVICIO 2025]],$J$2:$V$14,3,0)*Tabla4[[#This Row],[TOTAL COBERTURA]]*8</f>
        <v>60258240</v>
      </c>
      <c r="AQ720" s="35"/>
      <c r="AR720" s="35">
        <f>Tabla4[[#This Row],[VALOR FASE PREPARATORIA DE ALISTAMIENTO]]+Tabla4[[#This Row],[VALOR FASE PREPARATORIA DE CIERRE]]+Tabla4[[#This Row],[DOTACIÓN ÚNICA]]+Tabla4[[#This Row],[VALOR ATENCIÓN]]+Tabla4[[#This Row],[VALOR RACION PREPARADA]]</f>
        <v>63810810</v>
      </c>
      <c r="AS720" s="35" t="str">
        <f>+IF(Tabla4[[#This Row],[AGRUPACIONES]]=1,SUMIFS(Tabla4[VALOR TOTAL],Tabla4[ZONA DEFINITIVO],Tabla4[[#This Row],[ZONA DEFINITIVO]])," ")</f>
        <v xml:space="preserve"> </v>
      </c>
      <c r="AT720" s="27">
        <f>(VLOOKUP(Tabla4[[#This Row],[SERVICIO 2025]],$J$2:$V$14,3,0)*Tabla4[[#This Row],[TOTAL COBERTURA]])+Tabla4[[#This Row],[VALOR FASE PREPARATORIA DE ALISTAMIENTO]]+Tabla4[[#This Row],[DOTACIÓN ÚNICA]]</f>
        <v>9495528</v>
      </c>
      <c r="AU720" s="35">
        <f>(VLOOKUP(Tabla4[[#This Row],[SERVICIO 2025]],$J$2:$V$14,3,0)*Tabla4[[#This Row],[TOTAL COBERTURA]])</f>
        <v>7532280</v>
      </c>
      <c r="AV720" s="35">
        <f>(VLOOKUP(Tabla4[[#This Row],[SERVICIO 2025]],$J$2:$V$14,3,0)*Tabla4[[#This Row],[TOTAL COBERTURA]])</f>
        <v>7532280</v>
      </c>
      <c r="AW720" s="35">
        <f>(VLOOKUP(Tabla4[[#This Row],[SERVICIO 2025]],$J$2:$V$14,3,0)*Tabla4[[#This Row],[TOTAL COBERTURA]])</f>
        <v>7532280</v>
      </c>
      <c r="AX720" s="35">
        <f>(VLOOKUP(Tabla4[[#This Row],[SERVICIO 2025]],$J$2:$V$14,3,0)*Tabla4[[#This Row],[TOTAL COBERTURA]])</f>
        <v>7532280</v>
      </c>
      <c r="AY720" s="35">
        <f>(VLOOKUP(Tabla4[[#This Row],[SERVICIO 2025]],$J$2:$V$14,3,0)*Tabla4[[#This Row],[TOTAL COBERTURA]])</f>
        <v>7532280</v>
      </c>
      <c r="AZ720" s="35">
        <f>(VLOOKUP(Tabla4[[#This Row],[SERVICIO 2025]],$J$2:$V$14,3,0)*Tabla4[[#This Row],[TOTAL COBERTURA]])</f>
        <v>7532280</v>
      </c>
      <c r="BA720" s="35">
        <f>(VLOOKUP(Tabla4[[#This Row],[SERVICIO 2025]],$J$2:$V$14,3,0)*Tabla4[[#This Row],[TOTAL COBERTURA]])+Tabla4[[#This Row],[VALOR FASE PREPARATORIA DE CIERRE]]</f>
        <v>9121602</v>
      </c>
      <c r="BB720" s="35">
        <f>SUM(Tabla4[[#This Row],[DESEMBOLSO 1]:[DESEMBOLSO 8]])</f>
        <v>63810810</v>
      </c>
      <c r="BC720" s="35"/>
      <c r="BD720" s="47" t="s">
        <v>97</v>
      </c>
      <c r="BE720" s="12" t="b">
        <f>EXACT(Tabla4[[#This Row],[VALOR ATENCIÓN (8 MESES)]],Tabla4[[#This Row],[VALOR TOTAL]])</f>
        <v>1</v>
      </c>
      <c r="BF720" s="23">
        <f>Tabla4[[#This Row],[VALOR ATENCIÓN (8 MESES)]]-Tabla4[[#This Row],[VALOR TOTAL]]</f>
        <v>0</v>
      </c>
      <c r="BG720" s="12" t="b">
        <f>EXACT(Tabla4[[#This Row],[TOTAL DESEMBOLSOS]],Tabla4[[#This Row],[VALOR ATENCIÓN (8 MESES)]])</f>
        <v>1</v>
      </c>
      <c r="BH720" s="29">
        <f>Tabla4[[#This Row],[TOTAL DESEMBOLSOS]]-Tabla4[[#This Row],[VALOR ATENCIÓN (8 MESES)]]</f>
        <v>0</v>
      </c>
      <c r="BI720" t="s">
        <v>98</v>
      </c>
    </row>
    <row r="721" spans="1:62">
      <c r="A721" s="13">
        <v>1956</v>
      </c>
      <c r="B721" s="13" t="s">
        <v>1612</v>
      </c>
      <c r="C721" s="12" t="s">
        <v>87</v>
      </c>
      <c r="D721" s="12" t="s">
        <v>527</v>
      </c>
      <c r="E721" s="12" t="s">
        <v>1613</v>
      </c>
      <c r="F721" s="12" t="s">
        <v>21</v>
      </c>
      <c r="G721" s="12" t="s">
        <v>90</v>
      </c>
      <c r="H721" s="12" t="s">
        <v>1621</v>
      </c>
      <c r="I721" s="12">
        <v>53181134815</v>
      </c>
      <c r="J721" s="12" t="s">
        <v>566</v>
      </c>
      <c r="K721" s="12">
        <v>1</v>
      </c>
      <c r="L721" s="12">
        <v>50</v>
      </c>
      <c r="M721" s="12"/>
      <c r="N721" s="13">
        <v>1956</v>
      </c>
      <c r="O721" s="12" t="s">
        <v>93</v>
      </c>
      <c r="P721" s="12"/>
      <c r="Q721" s="12"/>
      <c r="R721" s="12" t="s">
        <v>94</v>
      </c>
      <c r="S721" s="12">
        <v>10</v>
      </c>
      <c r="T721" s="12" t="s">
        <v>991</v>
      </c>
      <c r="U721" s="12" t="s">
        <v>992</v>
      </c>
      <c r="V721" s="12">
        <f>VLOOKUP(Tabla4[[#This Row],[ZONA DEFINITIVO]],Hoja1!$A$1:$D$121,3,0)</f>
        <v>229119</v>
      </c>
      <c r="W721" s="12">
        <f>VLOOKUP(Tabla4[[#This Row],[ZONA DEFINITIVO]],Hoja1!$A$1:$D$121,2,0)</f>
        <v>15225</v>
      </c>
      <c r="X721" s="12">
        <f>VLOOKUP(Tabla4[[#This Row],[ZONA DEFINITIVO]],Hoja1!$A$1:$D$121,4,0)</f>
        <v>83625</v>
      </c>
      <c r="Y721" s="12" t="str">
        <f>+IF(Tabla4[[#This Row],[AGRUPACIONES]]=1,SUMIFS(Tabla4[UDS],Tabla4[ZONA DEFINITIVO],Tabla4[[#This Row],[ZONA DEFINITIVO]])," ")</f>
        <v xml:space="preserve"> </v>
      </c>
      <c r="Z721" s="12" t="str">
        <f>+IF(Tabla4[[#This Row],[AGRUPACIONES]]=1,SUMIFS(Tabla4[TOTAL COBERTURA],Tabla4[ZONA DEFINITIVO],Tabla4[[#This Row],[ZONA DEFINITIVO]])," ")</f>
        <v xml:space="preserve"> </v>
      </c>
      <c r="AA721" s="12"/>
      <c r="AB721" s="38">
        <v>75965250</v>
      </c>
      <c r="AC721" s="37">
        <v>0.02</v>
      </c>
      <c r="AD721" s="38">
        <f t="shared" si="11"/>
        <v>1519305</v>
      </c>
      <c r="AE721" s="12"/>
      <c r="AF721" s="12">
        <f>COUNTIF($A$20:A721,A721)</f>
        <v>5</v>
      </c>
      <c r="AG721" s="38">
        <v>75965250</v>
      </c>
      <c r="AH721" s="38">
        <f>Tabla4[[#This Row],[VALOR CONTRAPARTIDA]]+Tabla4[[#This Row],[TOTAL APORTES ICBF]]</f>
        <v>77484555</v>
      </c>
      <c r="AI721" s="35"/>
      <c r="AJ721" s="38"/>
      <c r="AK721" s="38"/>
      <c r="AL721" s="23"/>
      <c r="AM721" s="35">
        <f>VLOOKUP(Tabla4[[#This Row],[SERVICIO 2025]],$J$2:$V$14,5,0)*Tabla4[[#This Row],[TOTAL COBERTURA]]</f>
        <v>2337200</v>
      </c>
      <c r="AN721" s="35">
        <f>VLOOKUP(Tabla4[[#This Row],[SERVICIO 2025]],$J$2:$V$14,6,0)*Tabla4[[#This Row],[TOTAL COBERTURA]]</f>
        <v>1892050</v>
      </c>
      <c r="AO721" s="35">
        <f>VLOOKUP(Tabla4[[#This Row],[SERVICIO 2025]],$J$2:$V$14,8,0)*Tabla4[[#This Row],[TOTAL COBERTURA]]</f>
        <v>0</v>
      </c>
      <c r="AP721" s="35">
        <f>VLOOKUP(Tabla4[[#This Row],[SERVICIO 2025]],$J$2:$V$14,3,0)*Tabla4[[#This Row],[TOTAL COBERTURA]]*8</f>
        <v>71736000</v>
      </c>
      <c r="AQ721" s="35"/>
      <c r="AR721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721" s="35" t="str">
        <f>+IF(Tabla4[[#This Row],[AGRUPACIONES]]=1,SUMIFS(Tabla4[VALOR TOTAL],Tabla4[ZONA DEFINITIVO],Tabla4[[#This Row],[ZONA DEFINITIVO]])," ")</f>
        <v xml:space="preserve"> </v>
      </c>
      <c r="AT721" s="27">
        <f>(VLOOKUP(Tabla4[[#This Row],[SERVICIO 2025]],$J$2:$V$14,3,0)*Tabla4[[#This Row],[TOTAL COBERTURA]])+Tabla4[[#This Row],[VALOR FASE PREPARATORIA DE ALISTAMIENTO]]+Tabla4[[#This Row],[DOTACIÓN ÚNICA]]</f>
        <v>11304200</v>
      </c>
      <c r="AU721" s="35">
        <f>(VLOOKUP(Tabla4[[#This Row],[SERVICIO 2025]],$J$2:$V$14,3,0)*Tabla4[[#This Row],[TOTAL COBERTURA]])</f>
        <v>8967000</v>
      </c>
      <c r="AV721" s="35">
        <f>(VLOOKUP(Tabla4[[#This Row],[SERVICIO 2025]],$J$2:$V$14,3,0)*Tabla4[[#This Row],[TOTAL COBERTURA]])</f>
        <v>8967000</v>
      </c>
      <c r="AW721" s="35">
        <f>(VLOOKUP(Tabla4[[#This Row],[SERVICIO 2025]],$J$2:$V$14,3,0)*Tabla4[[#This Row],[TOTAL COBERTURA]])</f>
        <v>8967000</v>
      </c>
      <c r="AX721" s="35">
        <f>(VLOOKUP(Tabla4[[#This Row],[SERVICIO 2025]],$J$2:$V$14,3,0)*Tabla4[[#This Row],[TOTAL COBERTURA]])</f>
        <v>8967000</v>
      </c>
      <c r="AY721" s="35">
        <f>(VLOOKUP(Tabla4[[#This Row],[SERVICIO 2025]],$J$2:$V$14,3,0)*Tabla4[[#This Row],[TOTAL COBERTURA]])</f>
        <v>8967000</v>
      </c>
      <c r="AZ721" s="35">
        <f>(VLOOKUP(Tabla4[[#This Row],[SERVICIO 2025]],$J$2:$V$14,3,0)*Tabla4[[#This Row],[TOTAL COBERTURA]])</f>
        <v>8967000</v>
      </c>
      <c r="BA721" s="35">
        <f>(VLOOKUP(Tabla4[[#This Row],[SERVICIO 2025]],$J$2:$V$14,3,0)*Tabla4[[#This Row],[TOTAL COBERTURA]])+Tabla4[[#This Row],[VALOR FASE PREPARATORIA DE CIERRE]]</f>
        <v>10859050</v>
      </c>
      <c r="BB721" s="35">
        <f>SUM(Tabla4[[#This Row],[DESEMBOLSO 1]:[DESEMBOLSO 8]])</f>
        <v>75965250</v>
      </c>
      <c r="BC721" s="35"/>
      <c r="BD721" s="47" t="s">
        <v>97</v>
      </c>
      <c r="BE721" s="12" t="b">
        <f>EXACT(Tabla4[[#This Row],[VALOR ATENCIÓN (8 MESES)]],Tabla4[[#This Row],[VALOR TOTAL]])</f>
        <v>1</v>
      </c>
      <c r="BF721" s="23">
        <f>Tabla4[[#This Row],[VALOR ATENCIÓN (8 MESES)]]-Tabla4[[#This Row],[VALOR TOTAL]]</f>
        <v>0</v>
      </c>
      <c r="BG721" s="12" t="b">
        <f>EXACT(Tabla4[[#This Row],[TOTAL DESEMBOLSOS]],Tabla4[[#This Row],[VALOR ATENCIÓN (8 MESES)]])</f>
        <v>1</v>
      </c>
      <c r="BH721" s="29">
        <f>Tabla4[[#This Row],[TOTAL DESEMBOLSOS]]-Tabla4[[#This Row],[VALOR ATENCIÓN (8 MESES)]]</f>
        <v>0</v>
      </c>
      <c r="BI721" t="s">
        <v>98</v>
      </c>
    </row>
    <row r="722" spans="1:62">
      <c r="A722" s="13">
        <v>1956</v>
      </c>
      <c r="B722" s="13" t="s">
        <v>1612</v>
      </c>
      <c r="C722" s="12" t="s">
        <v>87</v>
      </c>
      <c r="D722" s="12" t="s">
        <v>527</v>
      </c>
      <c r="E722" s="12" t="s">
        <v>1613</v>
      </c>
      <c r="F722" s="12" t="s">
        <v>21</v>
      </c>
      <c r="G722" s="12" t="s">
        <v>90</v>
      </c>
      <c r="H722" s="12" t="s">
        <v>261</v>
      </c>
      <c r="I722" s="12">
        <v>53181148647</v>
      </c>
      <c r="J722" s="12" t="s">
        <v>1622</v>
      </c>
      <c r="K722" s="12">
        <v>1</v>
      </c>
      <c r="L722" s="12">
        <v>50</v>
      </c>
      <c r="M722" s="12"/>
      <c r="N722" s="13">
        <v>1956</v>
      </c>
      <c r="O722" s="12" t="s">
        <v>93</v>
      </c>
      <c r="P722" s="12"/>
      <c r="Q722" s="12"/>
      <c r="R722" s="12" t="s">
        <v>94</v>
      </c>
      <c r="S722" s="12">
        <v>10</v>
      </c>
      <c r="T722" s="12" t="s">
        <v>991</v>
      </c>
      <c r="U722" s="12" t="s">
        <v>992</v>
      </c>
      <c r="V722" s="12">
        <f>VLOOKUP(Tabla4[[#This Row],[ZONA DEFINITIVO]],Hoja1!$A$1:$D$121,3,0)</f>
        <v>229119</v>
      </c>
      <c r="W722" s="12">
        <f>VLOOKUP(Tabla4[[#This Row],[ZONA DEFINITIVO]],Hoja1!$A$1:$D$121,2,0)</f>
        <v>15225</v>
      </c>
      <c r="X722" s="12">
        <f>VLOOKUP(Tabla4[[#This Row],[ZONA DEFINITIVO]],Hoja1!$A$1:$D$121,4,0)</f>
        <v>83625</v>
      </c>
      <c r="Y722" s="12" t="str">
        <f>+IF(Tabla4[[#This Row],[AGRUPACIONES]]=1,SUMIFS(Tabla4[UDS],Tabla4[ZONA DEFINITIVO],Tabla4[[#This Row],[ZONA DEFINITIVO]])," ")</f>
        <v xml:space="preserve"> </v>
      </c>
      <c r="Z722" s="12" t="str">
        <f>+IF(Tabla4[[#This Row],[AGRUPACIONES]]=1,SUMIFS(Tabla4[TOTAL COBERTURA],Tabla4[ZONA DEFINITIVO],Tabla4[[#This Row],[ZONA DEFINITIVO]])," ")</f>
        <v xml:space="preserve"> </v>
      </c>
      <c r="AA722" s="12"/>
      <c r="AB722" s="38">
        <v>75965250</v>
      </c>
      <c r="AC722" s="37">
        <v>0.02</v>
      </c>
      <c r="AD722" s="38">
        <f t="shared" si="11"/>
        <v>1519305</v>
      </c>
      <c r="AE722" s="12"/>
      <c r="AF722" s="12">
        <f>COUNTIF($A$20:A722,A722)</f>
        <v>6</v>
      </c>
      <c r="AG722" s="38">
        <v>75965250</v>
      </c>
      <c r="AH722" s="38">
        <f>Tabla4[[#This Row],[VALOR CONTRAPARTIDA]]+Tabla4[[#This Row],[TOTAL APORTES ICBF]]</f>
        <v>77484555</v>
      </c>
      <c r="AI722" s="35"/>
      <c r="AJ722" s="38"/>
      <c r="AK722" s="38"/>
      <c r="AL722" s="23"/>
      <c r="AM722" s="35">
        <f>VLOOKUP(Tabla4[[#This Row],[SERVICIO 2025]],$J$2:$V$14,5,0)*Tabla4[[#This Row],[TOTAL COBERTURA]]</f>
        <v>2337200</v>
      </c>
      <c r="AN722" s="35">
        <f>VLOOKUP(Tabla4[[#This Row],[SERVICIO 2025]],$J$2:$V$14,6,0)*Tabla4[[#This Row],[TOTAL COBERTURA]]</f>
        <v>1892050</v>
      </c>
      <c r="AO722" s="35">
        <f>VLOOKUP(Tabla4[[#This Row],[SERVICIO 2025]],$J$2:$V$14,8,0)*Tabla4[[#This Row],[TOTAL COBERTURA]]</f>
        <v>0</v>
      </c>
      <c r="AP722" s="35">
        <f>VLOOKUP(Tabla4[[#This Row],[SERVICIO 2025]],$J$2:$V$14,3,0)*Tabla4[[#This Row],[TOTAL COBERTURA]]*8</f>
        <v>71736000</v>
      </c>
      <c r="AQ722" s="35"/>
      <c r="AR722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722" s="35" t="str">
        <f>+IF(Tabla4[[#This Row],[AGRUPACIONES]]=1,SUMIFS(Tabla4[VALOR TOTAL],Tabla4[ZONA DEFINITIVO],Tabla4[[#This Row],[ZONA DEFINITIVO]])," ")</f>
        <v xml:space="preserve"> </v>
      </c>
      <c r="AT722" s="27">
        <f>(VLOOKUP(Tabla4[[#This Row],[SERVICIO 2025]],$J$2:$V$14,3,0)*Tabla4[[#This Row],[TOTAL COBERTURA]])+Tabla4[[#This Row],[VALOR FASE PREPARATORIA DE ALISTAMIENTO]]+Tabla4[[#This Row],[DOTACIÓN ÚNICA]]</f>
        <v>11304200</v>
      </c>
      <c r="AU722" s="35">
        <f>(VLOOKUP(Tabla4[[#This Row],[SERVICIO 2025]],$J$2:$V$14,3,0)*Tabla4[[#This Row],[TOTAL COBERTURA]])</f>
        <v>8967000</v>
      </c>
      <c r="AV722" s="35">
        <f>(VLOOKUP(Tabla4[[#This Row],[SERVICIO 2025]],$J$2:$V$14,3,0)*Tabla4[[#This Row],[TOTAL COBERTURA]])</f>
        <v>8967000</v>
      </c>
      <c r="AW722" s="35">
        <f>(VLOOKUP(Tabla4[[#This Row],[SERVICIO 2025]],$J$2:$V$14,3,0)*Tabla4[[#This Row],[TOTAL COBERTURA]])</f>
        <v>8967000</v>
      </c>
      <c r="AX722" s="35">
        <f>(VLOOKUP(Tabla4[[#This Row],[SERVICIO 2025]],$J$2:$V$14,3,0)*Tabla4[[#This Row],[TOTAL COBERTURA]])</f>
        <v>8967000</v>
      </c>
      <c r="AY722" s="35">
        <f>(VLOOKUP(Tabla4[[#This Row],[SERVICIO 2025]],$J$2:$V$14,3,0)*Tabla4[[#This Row],[TOTAL COBERTURA]])</f>
        <v>8967000</v>
      </c>
      <c r="AZ722" s="35">
        <f>(VLOOKUP(Tabla4[[#This Row],[SERVICIO 2025]],$J$2:$V$14,3,0)*Tabla4[[#This Row],[TOTAL COBERTURA]])</f>
        <v>8967000</v>
      </c>
      <c r="BA722" s="35">
        <f>(VLOOKUP(Tabla4[[#This Row],[SERVICIO 2025]],$J$2:$V$14,3,0)*Tabla4[[#This Row],[TOTAL COBERTURA]])+Tabla4[[#This Row],[VALOR FASE PREPARATORIA DE CIERRE]]</f>
        <v>10859050</v>
      </c>
      <c r="BB722" s="35">
        <f>SUM(Tabla4[[#This Row],[DESEMBOLSO 1]:[DESEMBOLSO 8]])</f>
        <v>75965250</v>
      </c>
      <c r="BC722" s="35"/>
      <c r="BD722" s="47" t="s">
        <v>97</v>
      </c>
      <c r="BE722" s="12" t="b">
        <f>EXACT(Tabla4[[#This Row],[VALOR ATENCIÓN (8 MESES)]],Tabla4[[#This Row],[VALOR TOTAL]])</f>
        <v>1</v>
      </c>
      <c r="BF722" s="23">
        <f>Tabla4[[#This Row],[VALOR ATENCIÓN (8 MESES)]]-Tabla4[[#This Row],[VALOR TOTAL]]</f>
        <v>0</v>
      </c>
      <c r="BG722" s="12" t="b">
        <f>EXACT(Tabla4[[#This Row],[TOTAL DESEMBOLSOS]],Tabla4[[#This Row],[VALOR ATENCIÓN (8 MESES)]])</f>
        <v>1</v>
      </c>
      <c r="BH722" s="29">
        <f>Tabla4[[#This Row],[TOTAL DESEMBOLSOS]]-Tabla4[[#This Row],[VALOR ATENCIÓN (8 MESES)]]</f>
        <v>0</v>
      </c>
      <c r="BI722" t="s">
        <v>98</v>
      </c>
    </row>
    <row r="723" spans="1:62">
      <c r="A723" s="13">
        <v>1956</v>
      </c>
      <c r="B723" s="13" t="s">
        <v>1612</v>
      </c>
      <c r="C723" s="12" t="s">
        <v>87</v>
      </c>
      <c r="D723" s="12" t="s">
        <v>527</v>
      </c>
      <c r="E723" s="12" t="s">
        <v>1613</v>
      </c>
      <c r="F723" s="12" t="s">
        <v>14</v>
      </c>
      <c r="G723" s="12" t="s">
        <v>90</v>
      </c>
      <c r="H723" s="12" t="s">
        <v>1623</v>
      </c>
      <c r="I723" s="12">
        <v>531800099372</v>
      </c>
      <c r="J723" s="12" t="s">
        <v>1624</v>
      </c>
      <c r="K723" s="12">
        <v>1</v>
      </c>
      <c r="L723" s="12">
        <v>120</v>
      </c>
      <c r="M723" s="12"/>
      <c r="N723" s="13">
        <v>1956</v>
      </c>
      <c r="O723" s="12" t="s">
        <v>93</v>
      </c>
      <c r="P723" s="12"/>
      <c r="Q723" s="12"/>
      <c r="R723" s="12" t="s">
        <v>94</v>
      </c>
      <c r="S723" s="12">
        <v>10</v>
      </c>
      <c r="T723" s="12" t="s">
        <v>991</v>
      </c>
      <c r="U723" s="12" t="s">
        <v>992</v>
      </c>
      <c r="V723" s="12">
        <f>VLOOKUP(Tabla4[[#This Row],[ZONA DEFINITIVO]],Hoja1!$A$1:$D$121,3,0)</f>
        <v>229119</v>
      </c>
      <c r="W723" s="12">
        <f>VLOOKUP(Tabla4[[#This Row],[ZONA DEFINITIVO]],Hoja1!$A$1:$D$121,2,0)</f>
        <v>15225</v>
      </c>
      <c r="X723" s="12">
        <f>VLOOKUP(Tabla4[[#This Row],[ZONA DEFINITIVO]],Hoja1!$A$1:$D$121,4,0)</f>
        <v>83625</v>
      </c>
      <c r="Y723" s="12" t="str">
        <f>+IF(Tabla4[[#This Row],[AGRUPACIONES]]=1,SUMIFS(Tabla4[UDS],Tabla4[ZONA DEFINITIVO],Tabla4[[#This Row],[ZONA DEFINITIVO]])," ")</f>
        <v xml:space="preserve"> </v>
      </c>
      <c r="Z723" s="12" t="str">
        <f>+IF(Tabla4[[#This Row],[AGRUPACIONES]]=1,SUMIFS(Tabla4[TOTAL COBERTURA],Tabla4[ZONA DEFINITIVO],Tabla4[[#This Row],[ZONA DEFINITIVO]])," ")</f>
        <v xml:space="preserve"> </v>
      </c>
      <c r="AA723" s="12"/>
      <c r="AB723" s="38">
        <v>502662000</v>
      </c>
      <c r="AC723" s="37">
        <v>0.02</v>
      </c>
      <c r="AD723" s="38">
        <f t="shared" si="11"/>
        <v>10053240</v>
      </c>
      <c r="AE723" s="12"/>
      <c r="AF723" s="12">
        <f>COUNTIF($A$20:A723,A723)</f>
        <v>7</v>
      </c>
      <c r="AG723" s="38">
        <v>502662000</v>
      </c>
      <c r="AH723" s="38">
        <f>Tabla4[[#This Row],[VALOR CONTRAPARTIDA]]+Tabla4[[#This Row],[TOTAL APORTES ICBF]]</f>
        <v>512715240</v>
      </c>
      <c r="AI723" s="35"/>
      <c r="AJ723" s="38"/>
      <c r="AK723" s="38"/>
      <c r="AL723" s="23"/>
      <c r="AM723" s="35">
        <f>VLOOKUP(Tabla4[[#This Row],[SERVICIO 2025]],$J$2:$V$14,5,0)*Tabla4[[#This Row],[TOTAL COBERTURA]]</f>
        <v>10577160</v>
      </c>
      <c r="AN723" s="35">
        <f>VLOOKUP(Tabla4[[#This Row],[SERVICIO 2025]],$J$2:$V$14,6,0)*Tabla4[[#This Row],[TOTAL COBERTURA]]</f>
        <v>9005160</v>
      </c>
      <c r="AO723" s="35">
        <f>VLOOKUP(Tabla4[[#This Row],[SERVICIO 2025]],$J$2:$V$14,8,0)*Tabla4[[#This Row],[TOTAL COBERTURA]]</f>
        <v>0</v>
      </c>
      <c r="AP723" s="35">
        <f>VLOOKUP(Tabla4[[#This Row],[SERVICIO 2025]],$J$2:$V$14,3,0)*Tabla4[[#This Row],[TOTAL COBERTURA]]*8</f>
        <v>483079680</v>
      </c>
      <c r="AQ723" s="35"/>
      <c r="AR723" s="35">
        <f>Tabla4[[#This Row],[VALOR FASE PREPARATORIA DE ALISTAMIENTO]]+Tabla4[[#This Row],[VALOR FASE PREPARATORIA DE CIERRE]]+Tabla4[[#This Row],[DOTACIÓN ÚNICA]]+Tabla4[[#This Row],[VALOR ATENCIÓN]]+Tabla4[[#This Row],[VALOR RACION PREPARADA]]</f>
        <v>502662000</v>
      </c>
      <c r="AS723" s="35" t="str">
        <f>+IF(Tabla4[[#This Row],[AGRUPACIONES]]=1,SUMIFS(Tabla4[VALOR TOTAL],Tabla4[ZONA DEFINITIVO],Tabla4[[#This Row],[ZONA DEFINITIVO]])," ")</f>
        <v xml:space="preserve"> </v>
      </c>
      <c r="AT723" s="27">
        <f>(VLOOKUP(Tabla4[[#This Row],[SERVICIO 2025]],$J$2:$V$14,3,0)*Tabla4[[#This Row],[TOTAL COBERTURA]])+Tabla4[[#This Row],[VALOR FASE PREPARATORIA DE ALISTAMIENTO]]+Tabla4[[#This Row],[DOTACIÓN ÚNICA]]</f>
        <v>70962120</v>
      </c>
      <c r="AU723" s="35">
        <f>(VLOOKUP(Tabla4[[#This Row],[SERVICIO 2025]],$J$2:$V$14,3,0)*Tabla4[[#This Row],[TOTAL COBERTURA]])</f>
        <v>60384960</v>
      </c>
      <c r="AV723" s="35">
        <f>(VLOOKUP(Tabla4[[#This Row],[SERVICIO 2025]],$J$2:$V$14,3,0)*Tabla4[[#This Row],[TOTAL COBERTURA]])</f>
        <v>60384960</v>
      </c>
      <c r="AW723" s="35">
        <f>(VLOOKUP(Tabla4[[#This Row],[SERVICIO 2025]],$J$2:$V$14,3,0)*Tabla4[[#This Row],[TOTAL COBERTURA]])</f>
        <v>60384960</v>
      </c>
      <c r="AX723" s="35">
        <f>(VLOOKUP(Tabla4[[#This Row],[SERVICIO 2025]],$J$2:$V$14,3,0)*Tabla4[[#This Row],[TOTAL COBERTURA]])</f>
        <v>60384960</v>
      </c>
      <c r="AY723" s="35">
        <f>(VLOOKUP(Tabla4[[#This Row],[SERVICIO 2025]],$J$2:$V$14,3,0)*Tabla4[[#This Row],[TOTAL COBERTURA]])</f>
        <v>60384960</v>
      </c>
      <c r="AZ723" s="35">
        <f>(VLOOKUP(Tabla4[[#This Row],[SERVICIO 2025]],$J$2:$V$14,3,0)*Tabla4[[#This Row],[TOTAL COBERTURA]])</f>
        <v>60384960</v>
      </c>
      <c r="BA723" s="35">
        <f>(VLOOKUP(Tabla4[[#This Row],[SERVICIO 2025]],$J$2:$V$14,3,0)*Tabla4[[#This Row],[TOTAL COBERTURA]])+Tabla4[[#This Row],[VALOR FASE PREPARATORIA DE CIERRE]]</f>
        <v>69390120</v>
      </c>
      <c r="BB723" s="35">
        <f>SUM(Tabla4[[#This Row],[DESEMBOLSO 1]:[DESEMBOLSO 8]])</f>
        <v>502662000</v>
      </c>
      <c r="BC723" s="35">
        <f>VLOOKUP(Tabla4[[#This Row],[SERVICIO 2025]],$J$2:$V$14,10,0)*Tabla4[[#This Row],[TOTAL COBERTURA]]*$W$3</f>
        <v>0</v>
      </c>
      <c r="BD723" s="47" t="s">
        <v>145</v>
      </c>
      <c r="BE723" s="12" t="b">
        <f>EXACT(Tabla4[[#This Row],[VALOR ATENCIÓN (8 MESES)]],Tabla4[[#This Row],[VALOR TOTAL]])</f>
        <v>1</v>
      </c>
      <c r="BF723" s="23">
        <f>Tabla4[[#This Row],[VALOR ATENCIÓN (8 MESES)]]-Tabla4[[#This Row],[VALOR TOTAL]]</f>
        <v>0</v>
      </c>
      <c r="BG723" s="12" t="b">
        <f>EXACT(Tabla4[[#This Row],[TOTAL DESEMBOLSOS]],Tabla4[[#This Row],[VALOR ATENCIÓN (8 MESES)]])</f>
        <v>1</v>
      </c>
      <c r="BH723" s="29">
        <f>Tabla4[[#This Row],[TOTAL DESEMBOLSOS]]-Tabla4[[#This Row],[VALOR ATENCIÓN (8 MESES)]]</f>
        <v>0</v>
      </c>
      <c r="BI723" t="s">
        <v>98</v>
      </c>
    </row>
    <row r="724" spans="1:62">
      <c r="A724" s="13">
        <v>1956</v>
      </c>
      <c r="B724" s="13" t="s">
        <v>1612</v>
      </c>
      <c r="C724" s="12" t="s">
        <v>87</v>
      </c>
      <c r="D724" s="12" t="s">
        <v>527</v>
      </c>
      <c r="E724" s="12" t="s">
        <v>1613</v>
      </c>
      <c r="F724" s="12" t="s">
        <v>15</v>
      </c>
      <c r="G724" s="12" t="s">
        <v>90</v>
      </c>
      <c r="H724" s="12" t="s">
        <v>1625</v>
      </c>
      <c r="I724" s="12">
        <v>531800113007</v>
      </c>
      <c r="J724" s="12" t="s">
        <v>1626</v>
      </c>
      <c r="K724" s="12">
        <v>1</v>
      </c>
      <c r="L724" s="12">
        <v>59</v>
      </c>
      <c r="M724" s="12"/>
      <c r="N724" s="13">
        <v>1956</v>
      </c>
      <c r="O724" s="12" t="s">
        <v>93</v>
      </c>
      <c r="P724" s="12"/>
      <c r="Q724" s="12"/>
      <c r="R724" s="12" t="s">
        <v>94</v>
      </c>
      <c r="S724" s="12">
        <v>10</v>
      </c>
      <c r="T724" s="12" t="s">
        <v>991</v>
      </c>
      <c r="U724" s="12" t="s">
        <v>992</v>
      </c>
      <c r="V724" s="12">
        <f>VLOOKUP(Tabla4[[#This Row],[ZONA DEFINITIVO]],Hoja1!$A$1:$D$121,3,0)</f>
        <v>229119</v>
      </c>
      <c r="W724" s="12">
        <f>VLOOKUP(Tabla4[[#This Row],[ZONA DEFINITIVO]],Hoja1!$A$1:$D$121,2,0)</f>
        <v>15225</v>
      </c>
      <c r="X724" s="12">
        <f>VLOOKUP(Tabla4[[#This Row],[ZONA DEFINITIVO]],Hoja1!$A$1:$D$121,4,0)</f>
        <v>83625</v>
      </c>
      <c r="Y724" s="12" t="str">
        <f>+IF(Tabla4[[#This Row],[AGRUPACIONES]]=1,SUMIFS(Tabla4[UDS],Tabla4[ZONA DEFINITIVO],Tabla4[[#This Row],[ZONA DEFINITIVO]])," ")</f>
        <v xml:space="preserve"> </v>
      </c>
      <c r="Z724" s="12" t="str">
        <f>+IF(Tabla4[[#This Row],[AGRUPACIONES]]=1,SUMIFS(Tabla4[TOTAL COBERTURA],Tabla4[ZONA DEFINITIVO],Tabla4[[#This Row],[ZONA DEFINITIVO]])," ")</f>
        <v xml:space="preserve"> </v>
      </c>
      <c r="AA724" s="12"/>
      <c r="AB724" s="38">
        <v>255434718</v>
      </c>
      <c r="AC724" s="37">
        <v>0.02</v>
      </c>
      <c r="AD724" s="38">
        <f t="shared" ref="AD724:AD787" si="12">AB724*AC724</f>
        <v>5108694.3600000003</v>
      </c>
      <c r="AE724" s="12"/>
      <c r="AF724" s="12">
        <f>COUNTIF($A$20:A724,A724)</f>
        <v>8</v>
      </c>
      <c r="AG724" s="38">
        <v>255434718</v>
      </c>
      <c r="AH724" s="38">
        <f>Tabla4[[#This Row],[VALOR CONTRAPARTIDA]]+Tabla4[[#This Row],[TOTAL APORTES ICBF]]</f>
        <v>260543412.36000001</v>
      </c>
      <c r="AI724" s="35"/>
      <c r="AJ724" s="38"/>
      <c r="AK724" s="38"/>
      <c r="AL724" s="23"/>
      <c r="AM724" s="35">
        <f>VLOOKUP(Tabla4[[#This Row],[SERVICIO 2025]],$J$2:$V$14,5,0)*Tabla4[[#This Row],[TOTAL COBERTURA]]</f>
        <v>5200437</v>
      </c>
      <c r="AN724" s="35">
        <f>VLOOKUP(Tabla4[[#This Row],[SERVICIO 2025]],$J$2:$V$14,6,0)*Tabla4[[#This Row],[TOTAL COBERTURA]]</f>
        <v>4427537</v>
      </c>
      <c r="AO724" s="35">
        <f>VLOOKUP(Tabla4[[#This Row],[SERVICIO 2025]],$J$2:$V$14,8,0)*Tabla4[[#This Row],[TOTAL COBERTURA]]</f>
        <v>0</v>
      </c>
      <c r="AP724" s="35">
        <f>VLOOKUP(Tabla4[[#This Row],[SERVICIO 2025]],$J$2:$V$14,3,0)*Tabla4[[#This Row],[TOTAL COBERTURA]]*8</f>
        <v>245806744</v>
      </c>
      <c r="AQ724" s="35"/>
      <c r="AR724" s="35">
        <f>Tabla4[[#This Row],[VALOR FASE PREPARATORIA DE ALISTAMIENTO]]+Tabla4[[#This Row],[VALOR FASE PREPARATORIA DE CIERRE]]+Tabla4[[#This Row],[DOTACIÓN ÚNICA]]+Tabla4[[#This Row],[VALOR ATENCIÓN]]+Tabla4[[#This Row],[VALOR RACION PREPARADA]]</f>
        <v>255434718</v>
      </c>
      <c r="AS724" s="35" t="str">
        <f>+IF(Tabla4[[#This Row],[AGRUPACIONES]]=1,SUMIFS(Tabla4[VALOR TOTAL],Tabla4[ZONA DEFINITIVO],Tabla4[[#This Row],[ZONA DEFINITIVO]])," ")</f>
        <v xml:space="preserve"> </v>
      </c>
      <c r="AT724" s="27">
        <f>(VLOOKUP(Tabla4[[#This Row],[SERVICIO 2025]],$J$2:$V$14,3,0)*Tabla4[[#This Row],[TOTAL COBERTURA]])+Tabla4[[#This Row],[VALOR FASE PREPARATORIA DE ALISTAMIENTO]]+Tabla4[[#This Row],[DOTACIÓN ÚNICA]]</f>
        <v>35926280</v>
      </c>
      <c r="AU724" s="35">
        <f>(VLOOKUP(Tabla4[[#This Row],[SERVICIO 2025]],$J$2:$V$14,3,0)*Tabla4[[#This Row],[TOTAL COBERTURA]])</f>
        <v>30725843</v>
      </c>
      <c r="AV724" s="35">
        <f>(VLOOKUP(Tabla4[[#This Row],[SERVICIO 2025]],$J$2:$V$14,3,0)*Tabla4[[#This Row],[TOTAL COBERTURA]])</f>
        <v>30725843</v>
      </c>
      <c r="AW724" s="35">
        <f>(VLOOKUP(Tabla4[[#This Row],[SERVICIO 2025]],$J$2:$V$14,3,0)*Tabla4[[#This Row],[TOTAL COBERTURA]])</f>
        <v>30725843</v>
      </c>
      <c r="AX724" s="35">
        <f>(VLOOKUP(Tabla4[[#This Row],[SERVICIO 2025]],$J$2:$V$14,3,0)*Tabla4[[#This Row],[TOTAL COBERTURA]])</f>
        <v>30725843</v>
      </c>
      <c r="AY724" s="35">
        <f>(VLOOKUP(Tabla4[[#This Row],[SERVICIO 2025]],$J$2:$V$14,3,0)*Tabla4[[#This Row],[TOTAL COBERTURA]])</f>
        <v>30725843</v>
      </c>
      <c r="AZ724" s="35">
        <f>(VLOOKUP(Tabla4[[#This Row],[SERVICIO 2025]],$J$2:$V$14,3,0)*Tabla4[[#This Row],[TOTAL COBERTURA]])</f>
        <v>30725843</v>
      </c>
      <c r="BA724" s="35">
        <f>(VLOOKUP(Tabla4[[#This Row],[SERVICIO 2025]],$J$2:$V$14,3,0)*Tabla4[[#This Row],[TOTAL COBERTURA]])+Tabla4[[#This Row],[VALOR FASE PREPARATORIA DE CIERRE]]</f>
        <v>35153380</v>
      </c>
      <c r="BB724" s="35">
        <f>SUM(Tabla4[[#This Row],[DESEMBOLSO 1]:[DESEMBOLSO 8]])</f>
        <v>255434718</v>
      </c>
      <c r="BC724" s="35">
        <f>VLOOKUP(Tabla4[[#This Row],[SERVICIO 2025]],$J$2:$V$14,10,0)*Tabla4[[#This Row],[TOTAL COBERTURA]]*$W$3</f>
        <v>0</v>
      </c>
      <c r="BD724" s="47" t="s">
        <v>145</v>
      </c>
      <c r="BE724" s="12" t="b">
        <f>EXACT(Tabla4[[#This Row],[VALOR ATENCIÓN (8 MESES)]],Tabla4[[#This Row],[VALOR TOTAL]])</f>
        <v>1</v>
      </c>
      <c r="BF724" s="23">
        <f>Tabla4[[#This Row],[VALOR ATENCIÓN (8 MESES)]]-Tabla4[[#This Row],[VALOR TOTAL]]</f>
        <v>0</v>
      </c>
      <c r="BG724" s="12" t="b">
        <f>EXACT(Tabla4[[#This Row],[TOTAL DESEMBOLSOS]],Tabla4[[#This Row],[VALOR ATENCIÓN (8 MESES)]])</f>
        <v>1</v>
      </c>
      <c r="BH724" s="29">
        <f>Tabla4[[#This Row],[TOTAL DESEMBOLSOS]]-Tabla4[[#This Row],[VALOR ATENCIÓN (8 MESES)]]</f>
        <v>0</v>
      </c>
      <c r="BI724" t="s">
        <v>98</v>
      </c>
    </row>
    <row r="725" spans="1:62">
      <c r="A725" s="13">
        <v>1959</v>
      </c>
      <c r="B725" s="13" t="s">
        <v>1627</v>
      </c>
      <c r="C725" s="12" t="s">
        <v>87</v>
      </c>
      <c r="D725" s="12" t="s">
        <v>1628</v>
      </c>
      <c r="E725" s="12" t="s">
        <v>1629</v>
      </c>
      <c r="F725" s="12" t="s">
        <v>18</v>
      </c>
      <c r="G725" s="12" t="s">
        <v>90</v>
      </c>
      <c r="H725" s="12" t="s">
        <v>1630</v>
      </c>
      <c r="I725" s="12">
        <v>53611115773</v>
      </c>
      <c r="J725" s="12" t="s">
        <v>1631</v>
      </c>
      <c r="K725" s="12">
        <v>1</v>
      </c>
      <c r="L725" s="12">
        <v>48</v>
      </c>
      <c r="M725" s="12"/>
      <c r="N725" s="13">
        <v>1959</v>
      </c>
      <c r="O725" s="12" t="s">
        <v>93</v>
      </c>
      <c r="P725" s="12"/>
      <c r="Q725" s="12"/>
      <c r="R725" s="12" t="s">
        <v>94</v>
      </c>
      <c r="S725" s="12">
        <v>10</v>
      </c>
      <c r="T725" s="12" t="s">
        <v>270</v>
      </c>
      <c r="U725" s="12" t="s">
        <v>271</v>
      </c>
      <c r="V725" s="12">
        <f>VLOOKUP(Tabla4[[#This Row],[ZONA DEFINITIVO]],Hoja1!$A$1:$D$121,3,0)</f>
        <v>229120</v>
      </c>
      <c r="W725" s="12">
        <f>VLOOKUP(Tabla4[[#This Row],[ZONA DEFINITIVO]],Hoja1!$A$1:$D$121,2,0)</f>
        <v>15214</v>
      </c>
      <c r="X725" s="12">
        <f>VLOOKUP(Tabla4[[#This Row],[ZONA DEFINITIVO]],Hoja1!$A$1:$D$121,4,0)</f>
        <v>86325</v>
      </c>
      <c r="Y725" s="12">
        <f>+IF(Tabla4[[#This Row],[AGRUPACIONES]]=1,SUMIFS(Tabla4[UDS],Tabla4[ZONA DEFINITIVO],Tabla4[[#This Row],[ZONA DEFINITIVO]])," ")</f>
        <v>34</v>
      </c>
      <c r="Z725" s="12">
        <f>+IF(Tabla4[[#This Row],[AGRUPACIONES]]=1,SUMIFS(Tabla4[TOTAL COBERTURA],Tabla4[ZONA DEFINITIVO],Tabla4[[#This Row],[ZONA DEFINITIVO]])," ")</f>
        <v>704</v>
      </c>
      <c r="AA725" s="12"/>
      <c r="AB725" s="38">
        <v>104649264</v>
      </c>
      <c r="AC725" s="37">
        <v>0.02</v>
      </c>
      <c r="AD725" s="38">
        <f t="shared" si="12"/>
        <v>2092985.28</v>
      </c>
      <c r="AE725" s="12"/>
      <c r="AF725" s="12">
        <f>COUNTIF($A$20:A725,A725)</f>
        <v>1</v>
      </c>
      <c r="AG725" s="38">
        <v>104649264</v>
      </c>
      <c r="AH725" s="38">
        <f>Tabla4[[#This Row],[VALOR CONTRAPARTIDA]]+Tabla4[[#This Row],[TOTAL APORTES ICBF]]</f>
        <v>106742249.28</v>
      </c>
      <c r="AI725" s="35">
        <f>ROUND(+IF(Tabla4[[#This Row],[AGRUPACIONES]]=1,SUMIFS(Tabla4[TOTAL APORTES ICBF],Tabla4[ZONA DEFINITIVO],Tabla4[[#This Row],[ZONA DEFINITIVO]])," "),0)</f>
        <v>1534855872</v>
      </c>
      <c r="AJ725" s="38">
        <f>ROUND(+IF(Tabla4[[#This Row],[AGRUPACIONES]]=1,SUMIFS(Tabla4[VALOR CONTRAPARTIDA],Tabla4[ZONA DEFINITIVO],Tabla4[[#This Row],[ZONA DEFINITIVO]])," "),0)</f>
        <v>30697117</v>
      </c>
      <c r="AK725" s="38">
        <f>Tabla4[[#This Row],[TOTAL APORTES ICBF AGRUPADO]]+Tabla4[[#This Row],[TOTAL CONTRAPARTIDA AGRUPADO]]</f>
        <v>1565552989</v>
      </c>
      <c r="AL725" s="23">
        <f>Tabla4[[#This Row],[TOTAL APORTES ICBF AGRUPADO]]/$AL$18</f>
        <v>1078.2268155953636</v>
      </c>
      <c r="AM725" s="35">
        <f>VLOOKUP(Tabla4[[#This Row],[SERVICIO 2025]],$J$2:$V$14,5,0)*Tabla4[[#This Row],[TOTAL COBERTURA]]</f>
        <v>2370048</v>
      </c>
      <c r="AN725" s="35">
        <f>VLOOKUP(Tabla4[[#This Row],[SERVICIO 2025]],$J$2:$V$14,6,0)*Tabla4[[#This Row],[TOTAL COBERTURA]]</f>
        <v>1969392</v>
      </c>
      <c r="AO725" s="35">
        <f>VLOOKUP(Tabla4[[#This Row],[SERVICIO 2025]],$J$2:$V$14,8,0)*Tabla4[[#This Row],[TOTAL COBERTURA]]</f>
        <v>1396800</v>
      </c>
      <c r="AP725" s="35">
        <f>VLOOKUP(Tabla4[[#This Row],[SERVICIO 2025]],$J$2:$V$14,3,0)*Tabla4[[#This Row],[TOTAL COBERTURA]]*8</f>
        <v>98913024</v>
      </c>
      <c r="AQ725" s="35"/>
      <c r="AR725" s="35">
        <f>Tabla4[[#This Row],[VALOR FASE PREPARATORIA DE ALISTAMIENTO]]+Tabla4[[#This Row],[VALOR FASE PREPARATORIA DE CIERRE]]+Tabla4[[#This Row],[DOTACIÓN ÚNICA]]+Tabla4[[#This Row],[VALOR ATENCIÓN]]+Tabla4[[#This Row],[VALOR RACION PREPARADA]]</f>
        <v>104649264</v>
      </c>
      <c r="AS725" s="35">
        <f>+IF(Tabla4[[#This Row],[AGRUPACIONES]]=1,SUMIFS(Tabla4[VALOR TOTAL],Tabla4[ZONA DEFINITIVO],Tabla4[[#This Row],[ZONA DEFINITIVO]])," ")</f>
        <v>1534855872</v>
      </c>
      <c r="AT725" s="27">
        <f>(VLOOKUP(Tabla4[[#This Row],[SERVICIO 2025]],$J$2:$V$14,3,0)*Tabla4[[#This Row],[TOTAL COBERTURA]])+Tabla4[[#This Row],[VALOR FASE PREPARATORIA DE ALISTAMIENTO]]+Tabla4[[#This Row],[DOTACIÓN ÚNICA]]</f>
        <v>16130976</v>
      </c>
      <c r="AU725" s="35">
        <f>(VLOOKUP(Tabla4[[#This Row],[SERVICIO 2025]],$J$2:$V$14,3,0)*Tabla4[[#This Row],[TOTAL COBERTURA]])</f>
        <v>12364128</v>
      </c>
      <c r="AV725" s="35">
        <f>(VLOOKUP(Tabla4[[#This Row],[SERVICIO 2025]],$J$2:$V$14,3,0)*Tabla4[[#This Row],[TOTAL COBERTURA]])</f>
        <v>12364128</v>
      </c>
      <c r="AW725" s="35">
        <f>(VLOOKUP(Tabla4[[#This Row],[SERVICIO 2025]],$J$2:$V$14,3,0)*Tabla4[[#This Row],[TOTAL COBERTURA]])</f>
        <v>12364128</v>
      </c>
      <c r="AX725" s="35">
        <f>(VLOOKUP(Tabla4[[#This Row],[SERVICIO 2025]],$J$2:$V$14,3,0)*Tabla4[[#This Row],[TOTAL COBERTURA]])</f>
        <v>12364128</v>
      </c>
      <c r="AY725" s="35">
        <f>(VLOOKUP(Tabla4[[#This Row],[SERVICIO 2025]],$J$2:$V$14,3,0)*Tabla4[[#This Row],[TOTAL COBERTURA]])</f>
        <v>12364128</v>
      </c>
      <c r="AZ725" s="35">
        <f>(VLOOKUP(Tabla4[[#This Row],[SERVICIO 2025]],$J$2:$V$14,3,0)*Tabla4[[#This Row],[TOTAL COBERTURA]])</f>
        <v>12364128</v>
      </c>
      <c r="BA725" s="35">
        <f>(VLOOKUP(Tabla4[[#This Row],[SERVICIO 2025]],$J$2:$V$14,3,0)*Tabla4[[#This Row],[TOTAL COBERTURA]])+Tabla4[[#This Row],[VALOR FASE PREPARATORIA DE CIERRE]]</f>
        <v>14333520</v>
      </c>
      <c r="BB725" s="35">
        <f>SUM(Tabla4[[#This Row],[DESEMBOLSO 1]:[DESEMBOLSO 8]])</f>
        <v>104649264</v>
      </c>
      <c r="BC725" s="35">
        <f>VLOOKUP(Tabla4[[#This Row],[SERVICIO 2025]],$J$2:$V$14,10,0)*Tabla4[[#This Row],[TOTAL COBERTURA]]*$W$3</f>
        <v>69267072</v>
      </c>
      <c r="BD725" s="47" t="s">
        <v>211</v>
      </c>
      <c r="BE725" s="12" t="b">
        <f>EXACT(Tabla4[[#This Row],[VALOR ATENCIÓN (8 MESES)]],Tabla4[[#This Row],[VALOR TOTAL]])</f>
        <v>1</v>
      </c>
      <c r="BF725" s="23">
        <f>Tabla4[[#This Row],[VALOR ATENCIÓN (8 MESES)]]-Tabla4[[#This Row],[VALOR TOTAL]]</f>
        <v>0</v>
      </c>
      <c r="BG725" s="12" t="b">
        <f>EXACT(Tabla4[[#This Row],[TOTAL DESEMBOLSOS]],Tabla4[[#This Row],[VALOR ATENCIÓN (8 MESES)]])</f>
        <v>1</v>
      </c>
      <c r="BH725" s="29">
        <f>Tabla4[[#This Row],[TOTAL DESEMBOLSOS]]-Tabla4[[#This Row],[VALOR ATENCIÓN (8 MESES)]]</f>
        <v>0</v>
      </c>
      <c r="BI725" t="s">
        <v>98</v>
      </c>
      <c r="BJ725">
        <v>1959</v>
      </c>
    </row>
    <row r="726" spans="1:62">
      <c r="A726" s="13">
        <v>1959</v>
      </c>
      <c r="B726" s="13" t="s">
        <v>1627</v>
      </c>
      <c r="C726" s="12" t="s">
        <v>87</v>
      </c>
      <c r="D726" s="12" t="s">
        <v>1628</v>
      </c>
      <c r="E726" s="12" t="s">
        <v>1629</v>
      </c>
      <c r="F726" s="12" t="s">
        <v>18</v>
      </c>
      <c r="G726" s="12" t="s">
        <v>90</v>
      </c>
      <c r="H726" s="12" t="s">
        <v>1632</v>
      </c>
      <c r="I726" s="12">
        <v>53611115777</v>
      </c>
      <c r="J726" s="12" t="s">
        <v>1633</v>
      </c>
      <c r="K726" s="12">
        <v>1</v>
      </c>
      <c r="L726" s="12">
        <v>17</v>
      </c>
      <c r="M726" s="12"/>
      <c r="N726" s="13">
        <v>1959</v>
      </c>
      <c r="O726" s="12" t="s">
        <v>93</v>
      </c>
      <c r="P726" s="12"/>
      <c r="Q726" s="12"/>
      <c r="R726" s="12" t="s">
        <v>94</v>
      </c>
      <c r="S726" s="12">
        <v>10</v>
      </c>
      <c r="T726" s="12" t="s">
        <v>270</v>
      </c>
      <c r="U726" s="12" t="s">
        <v>271</v>
      </c>
      <c r="V726" s="12">
        <f>VLOOKUP(Tabla4[[#This Row],[ZONA DEFINITIVO]],Hoja1!$A$1:$D$121,3,0)</f>
        <v>229120</v>
      </c>
      <c r="W726" s="12">
        <f>VLOOKUP(Tabla4[[#This Row],[ZONA DEFINITIVO]],Hoja1!$A$1:$D$121,2,0)</f>
        <v>15214</v>
      </c>
      <c r="X726" s="12">
        <f>VLOOKUP(Tabla4[[#This Row],[ZONA DEFINITIVO]],Hoja1!$A$1:$D$121,4,0)</f>
        <v>86325</v>
      </c>
      <c r="Y726" s="12" t="str">
        <f>+IF(Tabla4[[#This Row],[AGRUPACIONES]]=1,SUMIFS(Tabla4[UDS],Tabla4[ZONA DEFINITIVO],Tabla4[[#This Row],[ZONA DEFINITIVO]])," ")</f>
        <v xml:space="preserve"> </v>
      </c>
      <c r="Z726" s="12" t="str">
        <f>+IF(Tabla4[[#This Row],[AGRUPACIONES]]=1,SUMIFS(Tabla4[TOTAL COBERTURA],Tabla4[ZONA DEFINITIVO],Tabla4[[#This Row],[ZONA DEFINITIVO]])," ")</f>
        <v xml:space="preserve"> </v>
      </c>
      <c r="AA726" s="12"/>
      <c r="AB726" s="38">
        <v>37063281</v>
      </c>
      <c r="AC726" s="37">
        <v>0.02</v>
      </c>
      <c r="AD726" s="38">
        <f t="shared" si="12"/>
        <v>741265.62</v>
      </c>
      <c r="AE726" s="12"/>
      <c r="AF726" s="12">
        <f>COUNTIF($A$20:A726,A726)</f>
        <v>2</v>
      </c>
      <c r="AG726" s="38">
        <v>37063281</v>
      </c>
      <c r="AH726" s="38">
        <f>Tabla4[[#This Row],[VALOR CONTRAPARTIDA]]+Tabla4[[#This Row],[TOTAL APORTES ICBF]]</f>
        <v>37804546.619999997</v>
      </c>
      <c r="AI726" s="35"/>
      <c r="AJ726" s="38"/>
      <c r="AK726" s="38"/>
      <c r="AL726" s="23"/>
      <c r="AM726" s="35">
        <f>VLOOKUP(Tabla4[[#This Row],[SERVICIO 2025]],$J$2:$V$14,5,0)*Tabla4[[#This Row],[TOTAL COBERTURA]]</f>
        <v>839392</v>
      </c>
      <c r="AN726" s="35">
        <f>VLOOKUP(Tabla4[[#This Row],[SERVICIO 2025]],$J$2:$V$14,6,0)*Tabla4[[#This Row],[TOTAL COBERTURA]]</f>
        <v>697493</v>
      </c>
      <c r="AO726" s="35">
        <f>VLOOKUP(Tabla4[[#This Row],[SERVICIO 2025]],$J$2:$V$14,8,0)*Tabla4[[#This Row],[TOTAL COBERTURA]]</f>
        <v>494700</v>
      </c>
      <c r="AP726" s="35">
        <f>VLOOKUP(Tabla4[[#This Row],[SERVICIO 2025]],$J$2:$V$14,3,0)*Tabla4[[#This Row],[TOTAL COBERTURA]]*8</f>
        <v>35031696</v>
      </c>
      <c r="AQ726" s="35"/>
      <c r="AR726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726" s="35" t="str">
        <f>+IF(Tabla4[[#This Row],[AGRUPACIONES]]=1,SUMIFS(Tabla4[VALOR TOTAL],Tabla4[ZONA DEFINITIVO],Tabla4[[#This Row],[ZONA DEFINITIVO]])," ")</f>
        <v xml:space="preserve"> </v>
      </c>
      <c r="AT726" s="27">
        <f>(VLOOKUP(Tabla4[[#This Row],[SERVICIO 2025]],$J$2:$V$14,3,0)*Tabla4[[#This Row],[TOTAL COBERTURA]])+Tabla4[[#This Row],[VALOR FASE PREPARATORIA DE ALISTAMIENTO]]+Tabla4[[#This Row],[DOTACIÓN ÚNICA]]</f>
        <v>5713054</v>
      </c>
      <c r="AU726" s="35">
        <f>(VLOOKUP(Tabla4[[#This Row],[SERVICIO 2025]],$J$2:$V$14,3,0)*Tabla4[[#This Row],[TOTAL COBERTURA]])</f>
        <v>4378962</v>
      </c>
      <c r="AV726" s="35">
        <f>(VLOOKUP(Tabla4[[#This Row],[SERVICIO 2025]],$J$2:$V$14,3,0)*Tabla4[[#This Row],[TOTAL COBERTURA]])</f>
        <v>4378962</v>
      </c>
      <c r="AW726" s="35">
        <f>(VLOOKUP(Tabla4[[#This Row],[SERVICIO 2025]],$J$2:$V$14,3,0)*Tabla4[[#This Row],[TOTAL COBERTURA]])</f>
        <v>4378962</v>
      </c>
      <c r="AX726" s="35">
        <f>(VLOOKUP(Tabla4[[#This Row],[SERVICIO 2025]],$J$2:$V$14,3,0)*Tabla4[[#This Row],[TOTAL COBERTURA]])</f>
        <v>4378962</v>
      </c>
      <c r="AY726" s="35">
        <f>(VLOOKUP(Tabla4[[#This Row],[SERVICIO 2025]],$J$2:$V$14,3,0)*Tabla4[[#This Row],[TOTAL COBERTURA]])</f>
        <v>4378962</v>
      </c>
      <c r="AZ726" s="35">
        <f>(VLOOKUP(Tabla4[[#This Row],[SERVICIO 2025]],$J$2:$V$14,3,0)*Tabla4[[#This Row],[TOTAL COBERTURA]])</f>
        <v>4378962</v>
      </c>
      <c r="BA726" s="35">
        <f>(VLOOKUP(Tabla4[[#This Row],[SERVICIO 2025]],$J$2:$V$14,3,0)*Tabla4[[#This Row],[TOTAL COBERTURA]])+Tabla4[[#This Row],[VALOR FASE PREPARATORIA DE CIERRE]]</f>
        <v>5076455</v>
      </c>
      <c r="BB726" s="35">
        <f>SUM(Tabla4[[#This Row],[DESEMBOLSO 1]:[DESEMBOLSO 8]])</f>
        <v>37063281</v>
      </c>
      <c r="BC726" s="35">
        <f>VLOOKUP(Tabla4[[#This Row],[SERVICIO 2025]],$J$2:$V$14,10,0)*Tabla4[[#This Row],[TOTAL COBERTURA]]*$W$3</f>
        <v>24532088</v>
      </c>
      <c r="BD726" s="47" t="s">
        <v>211</v>
      </c>
      <c r="BE726" s="12" t="b">
        <f>EXACT(Tabla4[[#This Row],[VALOR ATENCIÓN (8 MESES)]],Tabla4[[#This Row],[VALOR TOTAL]])</f>
        <v>1</v>
      </c>
      <c r="BF726" s="23">
        <f>Tabla4[[#This Row],[VALOR ATENCIÓN (8 MESES)]]-Tabla4[[#This Row],[VALOR TOTAL]]</f>
        <v>0</v>
      </c>
      <c r="BG726" s="12" t="b">
        <f>EXACT(Tabla4[[#This Row],[TOTAL DESEMBOLSOS]],Tabla4[[#This Row],[VALOR ATENCIÓN (8 MESES)]])</f>
        <v>1</v>
      </c>
      <c r="BH726" s="29">
        <f>Tabla4[[#This Row],[TOTAL DESEMBOLSOS]]-Tabla4[[#This Row],[VALOR ATENCIÓN (8 MESES)]]</f>
        <v>0</v>
      </c>
      <c r="BI726" t="s">
        <v>98</v>
      </c>
      <c r="BJ726">
        <v>1959</v>
      </c>
    </row>
    <row r="727" spans="1:62">
      <c r="A727" s="13">
        <v>1959</v>
      </c>
      <c r="B727" s="13" t="s">
        <v>1627</v>
      </c>
      <c r="C727" s="12" t="s">
        <v>87</v>
      </c>
      <c r="D727" s="12" t="s">
        <v>1628</v>
      </c>
      <c r="E727" s="12" t="s">
        <v>1629</v>
      </c>
      <c r="F727" s="12" t="s">
        <v>18</v>
      </c>
      <c r="G727" s="12" t="s">
        <v>90</v>
      </c>
      <c r="H727" s="12" t="s">
        <v>1634</v>
      </c>
      <c r="I727" s="12">
        <v>53611115781</v>
      </c>
      <c r="J727" s="12" t="s">
        <v>1635</v>
      </c>
      <c r="K727" s="12">
        <v>1</v>
      </c>
      <c r="L727" s="12">
        <v>13</v>
      </c>
      <c r="M727" s="12"/>
      <c r="N727" s="13">
        <v>1959</v>
      </c>
      <c r="O727" s="12" t="s">
        <v>93</v>
      </c>
      <c r="P727" s="12"/>
      <c r="Q727" s="12"/>
      <c r="R727" s="12" t="s">
        <v>94</v>
      </c>
      <c r="S727" s="12">
        <v>10</v>
      </c>
      <c r="T727" s="12" t="s">
        <v>270</v>
      </c>
      <c r="U727" s="12" t="s">
        <v>271</v>
      </c>
      <c r="V727" s="12">
        <f>VLOOKUP(Tabla4[[#This Row],[ZONA DEFINITIVO]],Hoja1!$A$1:$D$121,3,0)</f>
        <v>229120</v>
      </c>
      <c r="W727" s="12">
        <f>VLOOKUP(Tabla4[[#This Row],[ZONA DEFINITIVO]],Hoja1!$A$1:$D$121,2,0)</f>
        <v>15214</v>
      </c>
      <c r="X727" s="12">
        <f>VLOOKUP(Tabla4[[#This Row],[ZONA DEFINITIVO]],Hoja1!$A$1:$D$121,4,0)</f>
        <v>86325</v>
      </c>
      <c r="Y727" s="12" t="str">
        <f>+IF(Tabla4[[#This Row],[AGRUPACIONES]]=1,SUMIFS(Tabla4[UDS],Tabla4[ZONA DEFINITIVO],Tabla4[[#This Row],[ZONA DEFINITIVO]])," ")</f>
        <v xml:space="preserve"> </v>
      </c>
      <c r="Z727" s="12" t="str">
        <f>+IF(Tabla4[[#This Row],[AGRUPACIONES]]=1,SUMIFS(Tabla4[TOTAL COBERTURA],Tabla4[ZONA DEFINITIVO],Tabla4[[#This Row],[ZONA DEFINITIVO]])," ")</f>
        <v xml:space="preserve"> </v>
      </c>
      <c r="AA727" s="12"/>
      <c r="AB727" s="38">
        <v>28342509</v>
      </c>
      <c r="AC727" s="37">
        <v>0.02</v>
      </c>
      <c r="AD727" s="38">
        <f t="shared" si="12"/>
        <v>566850.18000000005</v>
      </c>
      <c r="AE727" s="12"/>
      <c r="AF727" s="12">
        <f>COUNTIF($A$20:A727,A727)</f>
        <v>3</v>
      </c>
      <c r="AG727" s="38">
        <v>28342509</v>
      </c>
      <c r="AH727" s="38">
        <f>Tabla4[[#This Row],[VALOR CONTRAPARTIDA]]+Tabla4[[#This Row],[TOTAL APORTES ICBF]]</f>
        <v>28909359.18</v>
      </c>
      <c r="AI727" s="35"/>
      <c r="AJ727" s="38"/>
      <c r="AK727" s="38"/>
      <c r="AL727" s="23"/>
      <c r="AM727" s="35">
        <f>VLOOKUP(Tabla4[[#This Row],[SERVICIO 2025]],$J$2:$V$14,5,0)*Tabla4[[#This Row],[TOTAL COBERTURA]]</f>
        <v>641888</v>
      </c>
      <c r="AN727" s="35">
        <f>VLOOKUP(Tabla4[[#This Row],[SERVICIO 2025]],$J$2:$V$14,6,0)*Tabla4[[#This Row],[TOTAL COBERTURA]]</f>
        <v>533377</v>
      </c>
      <c r="AO727" s="35">
        <f>VLOOKUP(Tabla4[[#This Row],[SERVICIO 2025]],$J$2:$V$14,8,0)*Tabla4[[#This Row],[TOTAL COBERTURA]]</f>
        <v>378300</v>
      </c>
      <c r="AP727" s="35">
        <f>VLOOKUP(Tabla4[[#This Row],[SERVICIO 2025]],$J$2:$V$14,3,0)*Tabla4[[#This Row],[TOTAL COBERTURA]]*8</f>
        <v>26788944</v>
      </c>
      <c r="AQ727" s="35"/>
      <c r="AR727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727" s="35" t="str">
        <f>+IF(Tabla4[[#This Row],[AGRUPACIONES]]=1,SUMIFS(Tabla4[VALOR TOTAL],Tabla4[ZONA DEFINITIVO],Tabla4[[#This Row],[ZONA DEFINITIVO]])," ")</f>
        <v xml:space="preserve"> </v>
      </c>
      <c r="AT727" s="27">
        <f>(VLOOKUP(Tabla4[[#This Row],[SERVICIO 2025]],$J$2:$V$14,3,0)*Tabla4[[#This Row],[TOTAL COBERTURA]])+Tabla4[[#This Row],[VALOR FASE PREPARATORIA DE ALISTAMIENTO]]+Tabla4[[#This Row],[DOTACIÓN ÚNICA]]</f>
        <v>4368806</v>
      </c>
      <c r="AU727" s="35">
        <f>(VLOOKUP(Tabla4[[#This Row],[SERVICIO 2025]],$J$2:$V$14,3,0)*Tabla4[[#This Row],[TOTAL COBERTURA]])</f>
        <v>3348618</v>
      </c>
      <c r="AV727" s="35">
        <f>(VLOOKUP(Tabla4[[#This Row],[SERVICIO 2025]],$J$2:$V$14,3,0)*Tabla4[[#This Row],[TOTAL COBERTURA]])</f>
        <v>3348618</v>
      </c>
      <c r="AW727" s="35">
        <f>(VLOOKUP(Tabla4[[#This Row],[SERVICIO 2025]],$J$2:$V$14,3,0)*Tabla4[[#This Row],[TOTAL COBERTURA]])</f>
        <v>3348618</v>
      </c>
      <c r="AX727" s="35">
        <f>(VLOOKUP(Tabla4[[#This Row],[SERVICIO 2025]],$J$2:$V$14,3,0)*Tabla4[[#This Row],[TOTAL COBERTURA]])</f>
        <v>3348618</v>
      </c>
      <c r="AY727" s="35">
        <f>(VLOOKUP(Tabla4[[#This Row],[SERVICIO 2025]],$J$2:$V$14,3,0)*Tabla4[[#This Row],[TOTAL COBERTURA]])</f>
        <v>3348618</v>
      </c>
      <c r="AZ727" s="35">
        <f>(VLOOKUP(Tabla4[[#This Row],[SERVICIO 2025]],$J$2:$V$14,3,0)*Tabla4[[#This Row],[TOTAL COBERTURA]])</f>
        <v>3348618</v>
      </c>
      <c r="BA727" s="35">
        <f>(VLOOKUP(Tabla4[[#This Row],[SERVICIO 2025]],$J$2:$V$14,3,0)*Tabla4[[#This Row],[TOTAL COBERTURA]])+Tabla4[[#This Row],[VALOR FASE PREPARATORIA DE CIERRE]]</f>
        <v>3881995</v>
      </c>
      <c r="BB727" s="35">
        <f>SUM(Tabla4[[#This Row],[DESEMBOLSO 1]:[DESEMBOLSO 8]])</f>
        <v>28342509</v>
      </c>
      <c r="BC727" s="35">
        <f>VLOOKUP(Tabla4[[#This Row],[SERVICIO 2025]],$J$2:$V$14,10,0)*Tabla4[[#This Row],[TOTAL COBERTURA]]*$W$3</f>
        <v>18759832</v>
      </c>
      <c r="BD727" s="47" t="s">
        <v>211</v>
      </c>
      <c r="BE727" s="12" t="b">
        <f>EXACT(Tabla4[[#This Row],[VALOR ATENCIÓN (8 MESES)]],Tabla4[[#This Row],[VALOR TOTAL]])</f>
        <v>1</v>
      </c>
      <c r="BF727" s="23">
        <f>Tabla4[[#This Row],[VALOR ATENCIÓN (8 MESES)]]-Tabla4[[#This Row],[VALOR TOTAL]]</f>
        <v>0</v>
      </c>
      <c r="BG727" s="12" t="b">
        <f>EXACT(Tabla4[[#This Row],[TOTAL DESEMBOLSOS]],Tabla4[[#This Row],[VALOR ATENCIÓN (8 MESES)]])</f>
        <v>1</v>
      </c>
      <c r="BH727" s="29">
        <f>Tabla4[[#This Row],[TOTAL DESEMBOLSOS]]-Tabla4[[#This Row],[VALOR ATENCIÓN (8 MESES)]]</f>
        <v>0</v>
      </c>
      <c r="BI727" t="s">
        <v>98</v>
      </c>
      <c r="BJ727">
        <v>1959</v>
      </c>
    </row>
    <row r="728" spans="1:62">
      <c r="A728" s="13">
        <v>1959</v>
      </c>
      <c r="B728" s="13" t="s">
        <v>1627</v>
      </c>
      <c r="C728" s="12" t="s">
        <v>87</v>
      </c>
      <c r="D728" s="12" t="s">
        <v>1628</v>
      </c>
      <c r="E728" s="12" t="s">
        <v>1629</v>
      </c>
      <c r="F728" s="12" t="s">
        <v>18</v>
      </c>
      <c r="G728" s="12" t="s">
        <v>90</v>
      </c>
      <c r="H728" s="12" t="s">
        <v>1636</v>
      </c>
      <c r="I728" s="12">
        <v>53611115784</v>
      </c>
      <c r="J728" s="12" t="s">
        <v>1637</v>
      </c>
      <c r="K728" s="12">
        <v>1</v>
      </c>
      <c r="L728" s="12">
        <v>6</v>
      </c>
      <c r="M728" s="12"/>
      <c r="N728" s="13">
        <v>1959</v>
      </c>
      <c r="O728" s="12" t="s">
        <v>93</v>
      </c>
      <c r="P728" s="12"/>
      <c r="Q728" s="12"/>
      <c r="R728" s="12" t="s">
        <v>94</v>
      </c>
      <c r="S728" s="12">
        <v>10</v>
      </c>
      <c r="T728" s="12" t="s">
        <v>270</v>
      </c>
      <c r="U728" s="12" t="s">
        <v>271</v>
      </c>
      <c r="V728" s="12">
        <f>VLOOKUP(Tabla4[[#This Row],[ZONA DEFINITIVO]],Hoja1!$A$1:$D$121,3,0)</f>
        <v>229120</v>
      </c>
      <c r="W728" s="12">
        <f>VLOOKUP(Tabla4[[#This Row],[ZONA DEFINITIVO]],Hoja1!$A$1:$D$121,2,0)</f>
        <v>15214</v>
      </c>
      <c r="X728" s="12">
        <f>VLOOKUP(Tabla4[[#This Row],[ZONA DEFINITIVO]],Hoja1!$A$1:$D$121,4,0)</f>
        <v>86325</v>
      </c>
      <c r="Y728" s="12" t="str">
        <f>+IF(Tabla4[[#This Row],[AGRUPACIONES]]=1,SUMIFS(Tabla4[UDS],Tabla4[ZONA DEFINITIVO],Tabla4[[#This Row],[ZONA DEFINITIVO]])," ")</f>
        <v xml:space="preserve"> </v>
      </c>
      <c r="Z728" s="12" t="str">
        <f>+IF(Tabla4[[#This Row],[AGRUPACIONES]]=1,SUMIFS(Tabla4[TOTAL COBERTURA],Tabla4[ZONA DEFINITIVO],Tabla4[[#This Row],[ZONA DEFINITIVO]])," ")</f>
        <v xml:space="preserve"> </v>
      </c>
      <c r="AA728" s="12"/>
      <c r="AB728" s="38">
        <v>13081158</v>
      </c>
      <c r="AC728" s="37">
        <v>0.02</v>
      </c>
      <c r="AD728" s="38">
        <f t="shared" si="12"/>
        <v>261623.16</v>
      </c>
      <c r="AE728" s="12"/>
      <c r="AF728" s="12">
        <f>COUNTIF($A$20:A728,A728)</f>
        <v>4</v>
      </c>
      <c r="AG728" s="38">
        <v>13081158</v>
      </c>
      <c r="AH728" s="38">
        <f>Tabla4[[#This Row],[VALOR CONTRAPARTIDA]]+Tabla4[[#This Row],[TOTAL APORTES ICBF]]</f>
        <v>13342781.16</v>
      </c>
      <c r="AI728" s="35"/>
      <c r="AJ728" s="38"/>
      <c r="AK728" s="38"/>
      <c r="AL728" s="23"/>
      <c r="AM728" s="35">
        <f>VLOOKUP(Tabla4[[#This Row],[SERVICIO 2025]],$J$2:$V$14,5,0)*Tabla4[[#This Row],[TOTAL COBERTURA]]</f>
        <v>296256</v>
      </c>
      <c r="AN728" s="35">
        <f>VLOOKUP(Tabla4[[#This Row],[SERVICIO 2025]],$J$2:$V$14,6,0)*Tabla4[[#This Row],[TOTAL COBERTURA]]</f>
        <v>246174</v>
      </c>
      <c r="AO728" s="35">
        <f>VLOOKUP(Tabla4[[#This Row],[SERVICIO 2025]],$J$2:$V$14,8,0)*Tabla4[[#This Row],[TOTAL COBERTURA]]</f>
        <v>174600</v>
      </c>
      <c r="AP728" s="35">
        <f>VLOOKUP(Tabla4[[#This Row],[SERVICIO 2025]],$J$2:$V$14,3,0)*Tabla4[[#This Row],[TOTAL COBERTURA]]*8</f>
        <v>12364128</v>
      </c>
      <c r="AQ728" s="35"/>
      <c r="AR728" s="35">
        <f>Tabla4[[#This Row],[VALOR FASE PREPARATORIA DE ALISTAMIENTO]]+Tabla4[[#This Row],[VALOR FASE PREPARATORIA DE CIERRE]]+Tabla4[[#This Row],[DOTACIÓN ÚNICA]]+Tabla4[[#This Row],[VALOR ATENCIÓN]]+Tabla4[[#This Row],[VALOR RACION PREPARADA]]</f>
        <v>13081158</v>
      </c>
      <c r="AS728" s="35" t="str">
        <f>+IF(Tabla4[[#This Row],[AGRUPACIONES]]=1,SUMIFS(Tabla4[VALOR TOTAL],Tabla4[ZONA DEFINITIVO],Tabla4[[#This Row],[ZONA DEFINITIVO]])," ")</f>
        <v xml:space="preserve"> </v>
      </c>
      <c r="AT728" s="27">
        <f>(VLOOKUP(Tabla4[[#This Row],[SERVICIO 2025]],$J$2:$V$14,3,0)*Tabla4[[#This Row],[TOTAL COBERTURA]])+Tabla4[[#This Row],[VALOR FASE PREPARATORIA DE ALISTAMIENTO]]+Tabla4[[#This Row],[DOTACIÓN ÚNICA]]</f>
        <v>2016372</v>
      </c>
      <c r="AU728" s="35">
        <f>(VLOOKUP(Tabla4[[#This Row],[SERVICIO 2025]],$J$2:$V$14,3,0)*Tabla4[[#This Row],[TOTAL COBERTURA]])</f>
        <v>1545516</v>
      </c>
      <c r="AV728" s="35">
        <f>(VLOOKUP(Tabla4[[#This Row],[SERVICIO 2025]],$J$2:$V$14,3,0)*Tabla4[[#This Row],[TOTAL COBERTURA]])</f>
        <v>1545516</v>
      </c>
      <c r="AW728" s="35">
        <f>(VLOOKUP(Tabla4[[#This Row],[SERVICIO 2025]],$J$2:$V$14,3,0)*Tabla4[[#This Row],[TOTAL COBERTURA]])</f>
        <v>1545516</v>
      </c>
      <c r="AX728" s="35">
        <f>(VLOOKUP(Tabla4[[#This Row],[SERVICIO 2025]],$J$2:$V$14,3,0)*Tabla4[[#This Row],[TOTAL COBERTURA]])</f>
        <v>1545516</v>
      </c>
      <c r="AY728" s="35">
        <f>(VLOOKUP(Tabla4[[#This Row],[SERVICIO 2025]],$J$2:$V$14,3,0)*Tabla4[[#This Row],[TOTAL COBERTURA]])</f>
        <v>1545516</v>
      </c>
      <c r="AZ728" s="35">
        <f>(VLOOKUP(Tabla4[[#This Row],[SERVICIO 2025]],$J$2:$V$14,3,0)*Tabla4[[#This Row],[TOTAL COBERTURA]])</f>
        <v>1545516</v>
      </c>
      <c r="BA728" s="35">
        <f>(VLOOKUP(Tabla4[[#This Row],[SERVICIO 2025]],$J$2:$V$14,3,0)*Tabla4[[#This Row],[TOTAL COBERTURA]])+Tabla4[[#This Row],[VALOR FASE PREPARATORIA DE CIERRE]]</f>
        <v>1791690</v>
      </c>
      <c r="BB728" s="35">
        <f>SUM(Tabla4[[#This Row],[DESEMBOLSO 1]:[DESEMBOLSO 8]])</f>
        <v>13081158</v>
      </c>
      <c r="BC728" s="35">
        <f>VLOOKUP(Tabla4[[#This Row],[SERVICIO 2025]],$J$2:$V$14,10,0)*Tabla4[[#This Row],[TOTAL COBERTURA]]*$W$3</f>
        <v>8658384</v>
      </c>
      <c r="BD728" s="47" t="s">
        <v>211</v>
      </c>
      <c r="BE728" s="12" t="b">
        <f>EXACT(Tabla4[[#This Row],[VALOR ATENCIÓN (8 MESES)]],Tabla4[[#This Row],[VALOR TOTAL]])</f>
        <v>1</v>
      </c>
      <c r="BF728" s="23">
        <f>Tabla4[[#This Row],[VALOR ATENCIÓN (8 MESES)]]-Tabla4[[#This Row],[VALOR TOTAL]]</f>
        <v>0</v>
      </c>
      <c r="BG728" s="12" t="b">
        <f>EXACT(Tabla4[[#This Row],[TOTAL DESEMBOLSOS]],Tabla4[[#This Row],[VALOR ATENCIÓN (8 MESES)]])</f>
        <v>1</v>
      </c>
      <c r="BH728" s="29">
        <f>Tabla4[[#This Row],[TOTAL DESEMBOLSOS]]-Tabla4[[#This Row],[VALOR ATENCIÓN (8 MESES)]]</f>
        <v>0</v>
      </c>
      <c r="BI728" t="s">
        <v>98</v>
      </c>
      <c r="BJ728">
        <v>1959</v>
      </c>
    </row>
    <row r="729" spans="1:62">
      <c r="A729" s="13">
        <v>1959</v>
      </c>
      <c r="B729" s="13" t="s">
        <v>1627</v>
      </c>
      <c r="C729" s="12" t="s">
        <v>87</v>
      </c>
      <c r="D729" s="12" t="s">
        <v>1628</v>
      </c>
      <c r="E729" s="12" t="s">
        <v>1629</v>
      </c>
      <c r="F729" s="12" t="s">
        <v>18</v>
      </c>
      <c r="G729" s="12" t="s">
        <v>90</v>
      </c>
      <c r="H729" s="12" t="s">
        <v>1638</v>
      </c>
      <c r="I729" s="12">
        <v>53611115785</v>
      </c>
      <c r="J729" s="12" t="s">
        <v>1639</v>
      </c>
      <c r="K729" s="12">
        <v>1</v>
      </c>
      <c r="L729" s="12">
        <v>17</v>
      </c>
      <c r="M729" s="12"/>
      <c r="N729" s="13">
        <v>1959</v>
      </c>
      <c r="O729" s="12" t="s">
        <v>93</v>
      </c>
      <c r="P729" s="12"/>
      <c r="Q729" s="12"/>
      <c r="R729" s="12" t="s">
        <v>94</v>
      </c>
      <c r="S729" s="12">
        <v>10</v>
      </c>
      <c r="T729" s="12" t="s">
        <v>270</v>
      </c>
      <c r="U729" s="12" t="s">
        <v>271</v>
      </c>
      <c r="V729" s="12">
        <f>VLOOKUP(Tabla4[[#This Row],[ZONA DEFINITIVO]],Hoja1!$A$1:$D$121,3,0)</f>
        <v>229120</v>
      </c>
      <c r="W729" s="12">
        <f>VLOOKUP(Tabla4[[#This Row],[ZONA DEFINITIVO]],Hoja1!$A$1:$D$121,2,0)</f>
        <v>15214</v>
      </c>
      <c r="X729" s="12">
        <f>VLOOKUP(Tabla4[[#This Row],[ZONA DEFINITIVO]],Hoja1!$A$1:$D$121,4,0)</f>
        <v>86325</v>
      </c>
      <c r="Y729" s="12" t="str">
        <f>+IF(Tabla4[[#This Row],[AGRUPACIONES]]=1,SUMIFS(Tabla4[UDS],Tabla4[ZONA DEFINITIVO],Tabla4[[#This Row],[ZONA DEFINITIVO]])," ")</f>
        <v xml:space="preserve"> </v>
      </c>
      <c r="Z729" s="12" t="str">
        <f>+IF(Tabla4[[#This Row],[AGRUPACIONES]]=1,SUMIFS(Tabla4[TOTAL COBERTURA],Tabla4[ZONA DEFINITIVO],Tabla4[[#This Row],[ZONA DEFINITIVO]])," ")</f>
        <v xml:space="preserve"> </v>
      </c>
      <c r="AA729" s="12"/>
      <c r="AB729" s="38">
        <v>37063281</v>
      </c>
      <c r="AC729" s="37">
        <v>0.02</v>
      </c>
      <c r="AD729" s="38">
        <f t="shared" si="12"/>
        <v>741265.62</v>
      </c>
      <c r="AE729" s="12"/>
      <c r="AF729" s="12">
        <f>COUNTIF($A$20:A729,A729)</f>
        <v>5</v>
      </c>
      <c r="AG729" s="38">
        <v>37063281</v>
      </c>
      <c r="AH729" s="38">
        <f>Tabla4[[#This Row],[VALOR CONTRAPARTIDA]]+Tabla4[[#This Row],[TOTAL APORTES ICBF]]</f>
        <v>37804546.619999997</v>
      </c>
      <c r="AI729" s="35"/>
      <c r="AJ729" s="38"/>
      <c r="AK729" s="38"/>
      <c r="AL729" s="23"/>
      <c r="AM729" s="35">
        <f>VLOOKUP(Tabla4[[#This Row],[SERVICIO 2025]],$J$2:$V$14,5,0)*Tabla4[[#This Row],[TOTAL COBERTURA]]</f>
        <v>839392</v>
      </c>
      <c r="AN729" s="35">
        <f>VLOOKUP(Tabla4[[#This Row],[SERVICIO 2025]],$J$2:$V$14,6,0)*Tabla4[[#This Row],[TOTAL COBERTURA]]</f>
        <v>697493</v>
      </c>
      <c r="AO729" s="35">
        <f>VLOOKUP(Tabla4[[#This Row],[SERVICIO 2025]],$J$2:$V$14,8,0)*Tabla4[[#This Row],[TOTAL COBERTURA]]</f>
        <v>494700</v>
      </c>
      <c r="AP729" s="35">
        <f>VLOOKUP(Tabla4[[#This Row],[SERVICIO 2025]],$J$2:$V$14,3,0)*Tabla4[[#This Row],[TOTAL COBERTURA]]*8</f>
        <v>35031696</v>
      </c>
      <c r="AQ729" s="35"/>
      <c r="AR729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729" s="35" t="str">
        <f>+IF(Tabla4[[#This Row],[AGRUPACIONES]]=1,SUMIFS(Tabla4[VALOR TOTAL],Tabla4[ZONA DEFINITIVO],Tabla4[[#This Row],[ZONA DEFINITIVO]])," ")</f>
        <v xml:space="preserve"> </v>
      </c>
      <c r="AT729" s="27">
        <f>(VLOOKUP(Tabla4[[#This Row],[SERVICIO 2025]],$J$2:$V$14,3,0)*Tabla4[[#This Row],[TOTAL COBERTURA]])+Tabla4[[#This Row],[VALOR FASE PREPARATORIA DE ALISTAMIENTO]]+Tabla4[[#This Row],[DOTACIÓN ÚNICA]]</f>
        <v>5713054</v>
      </c>
      <c r="AU729" s="35">
        <f>(VLOOKUP(Tabla4[[#This Row],[SERVICIO 2025]],$J$2:$V$14,3,0)*Tabla4[[#This Row],[TOTAL COBERTURA]])</f>
        <v>4378962</v>
      </c>
      <c r="AV729" s="35">
        <f>(VLOOKUP(Tabla4[[#This Row],[SERVICIO 2025]],$J$2:$V$14,3,0)*Tabla4[[#This Row],[TOTAL COBERTURA]])</f>
        <v>4378962</v>
      </c>
      <c r="AW729" s="35">
        <f>(VLOOKUP(Tabla4[[#This Row],[SERVICIO 2025]],$J$2:$V$14,3,0)*Tabla4[[#This Row],[TOTAL COBERTURA]])</f>
        <v>4378962</v>
      </c>
      <c r="AX729" s="35">
        <f>(VLOOKUP(Tabla4[[#This Row],[SERVICIO 2025]],$J$2:$V$14,3,0)*Tabla4[[#This Row],[TOTAL COBERTURA]])</f>
        <v>4378962</v>
      </c>
      <c r="AY729" s="35">
        <f>(VLOOKUP(Tabla4[[#This Row],[SERVICIO 2025]],$J$2:$V$14,3,0)*Tabla4[[#This Row],[TOTAL COBERTURA]])</f>
        <v>4378962</v>
      </c>
      <c r="AZ729" s="35">
        <f>(VLOOKUP(Tabla4[[#This Row],[SERVICIO 2025]],$J$2:$V$14,3,0)*Tabla4[[#This Row],[TOTAL COBERTURA]])</f>
        <v>4378962</v>
      </c>
      <c r="BA729" s="35">
        <f>(VLOOKUP(Tabla4[[#This Row],[SERVICIO 2025]],$J$2:$V$14,3,0)*Tabla4[[#This Row],[TOTAL COBERTURA]])+Tabla4[[#This Row],[VALOR FASE PREPARATORIA DE CIERRE]]</f>
        <v>5076455</v>
      </c>
      <c r="BB729" s="35">
        <f>SUM(Tabla4[[#This Row],[DESEMBOLSO 1]:[DESEMBOLSO 8]])</f>
        <v>37063281</v>
      </c>
      <c r="BC729" s="35">
        <f>VLOOKUP(Tabla4[[#This Row],[SERVICIO 2025]],$J$2:$V$14,10,0)*Tabla4[[#This Row],[TOTAL COBERTURA]]*$W$3</f>
        <v>24532088</v>
      </c>
      <c r="BD729" s="47" t="s">
        <v>211</v>
      </c>
      <c r="BE729" s="12" t="b">
        <f>EXACT(Tabla4[[#This Row],[VALOR ATENCIÓN (8 MESES)]],Tabla4[[#This Row],[VALOR TOTAL]])</f>
        <v>1</v>
      </c>
      <c r="BF729" s="23">
        <f>Tabla4[[#This Row],[VALOR ATENCIÓN (8 MESES)]]-Tabla4[[#This Row],[VALOR TOTAL]]</f>
        <v>0</v>
      </c>
      <c r="BG729" s="12" t="b">
        <f>EXACT(Tabla4[[#This Row],[TOTAL DESEMBOLSOS]],Tabla4[[#This Row],[VALOR ATENCIÓN (8 MESES)]])</f>
        <v>1</v>
      </c>
      <c r="BH729" s="29">
        <f>Tabla4[[#This Row],[TOTAL DESEMBOLSOS]]-Tabla4[[#This Row],[VALOR ATENCIÓN (8 MESES)]]</f>
        <v>0</v>
      </c>
      <c r="BI729" t="s">
        <v>98</v>
      </c>
      <c r="BJ729">
        <v>1959</v>
      </c>
    </row>
    <row r="730" spans="1:62">
      <c r="A730" s="13">
        <v>1959</v>
      </c>
      <c r="B730" s="13" t="s">
        <v>1627</v>
      </c>
      <c r="C730" s="12" t="s">
        <v>87</v>
      </c>
      <c r="D730" s="12" t="s">
        <v>1628</v>
      </c>
      <c r="E730" s="12" t="s">
        <v>1629</v>
      </c>
      <c r="F730" s="12" t="s">
        <v>18</v>
      </c>
      <c r="G730" s="12" t="s">
        <v>90</v>
      </c>
      <c r="H730" s="12" t="s">
        <v>1640</v>
      </c>
      <c r="I730" s="12">
        <v>53611115790</v>
      </c>
      <c r="J730" s="12" t="s">
        <v>1641</v>
      </c>
      <c r="K730" s="12">
        <v>1</v>
      </c>
      <c r="L730" s="12">
        <v>14</v>
      </c>
      <c r="M730" s="12"/>
      <c r="N730" s="13">
        <v>1959</v>
      </c>
      <c r="O730" s="12" t="s">
        <v>93</v>
      </c>
      <c r="P730" s="12"/>
      <c r="Q730" s="12"/>
      <c r="R730" s="12" t="s">
        <v>94</v>
      </c>
      <c r="S730" s="12">
        <v>10</v>
      </c>
      <c r="T730" s="12" t="s">
        <v>270</v>
      </c>
      <c r="U730" s="12" t="s">
        <v>271</v>
      </c>
      <c r="V730" s="12">
        <f>VLOOKUP(Tabla4[[#This Row],[ZONA DEFINITIVO]],Hoja1!$A$1:$D$121,3,0)</f>
        <v>229120</v>
      </c>
      <c r="W730" s="12">
        <f>VLOOKUP(Tabla4[[#This Row],[ZONA DEFINITIVO]],Hoja1!$A$1:$D$121,2,0)</f>
        <v>15214</v>
      </c>
      <c r="X730" s="12">
        <f>VLOOKUP(Tabla4[[#This Row],[ZONA DEFINITIVO]],Hoja1!$A$1:$D$121,4,0)</f>
        <v>86325</v>
      </c>
      <c r="Y730" s="12" t="str">
        <f>+IF(Tabla4[[#This Row],[AGRUPACIONES]]=1,SUMIFS(Tabla4[UDS],Tabla4[ZONA DEFINITIVO],Tabla4[[#This Row],[ZONA DEFINITIVO]])," ")</f>
        <v xml:space="preserve"> </v>
      </c>
      <c r="Z730" s="12" t="str">
        <f>+IF(Tabla4[[#This Row],[AGRUPACIONES]]=1,SUMIFS(Tabla4[TOTAL COBERTURA],Tabla4[ZONA DEFINITIVO],Tabla4[[#This Row],[ZONA DEFINITIVO]])," ")</f>
        <v xml:space="preserve"> </v>
      </c>
      <c r="AA730" s="12"/>
      <c r="AB730" s="38">
        <v>30522702</v>
      </c>
      <c r="AC730" s="37">
        <v>0.02</v>
      </c>
      <c r="AD730" s="38">
        <f t="shared" si="12"/>
        <v>610454.04</v>
      </c>
      <c r="AE730" s="12"/>
      <c r="AF730" s="12">
        <f>COUNTIF($A$20:A730,A730)</f>
        <v>6</v>
      </c>
      <c r="AG730" s="38">
        <v>30522702</v>
      </c>
      <c r="AH730" s="38">
        <f>Tabla4[[#This Row],[VALOR CONTRAPARTIDA]]+Tabla4[[#This Row],[TOTAL APORTES ICBF]]</f>
        <v>31133156.039999999</v>
      </c>
      <c r="AI730" s="35"/>
      <c r="AJ730" s="38"/>
      <c r="AK730" s="38"/>
      <c r="AL730" s="23"/>
      <c r="AM730" s="35">
        <f>VLOOKUP(Tabla4[[#This Row],[SERVICIO 2025]],$J$2:$V$14,5,0)*Tabla4[[#This Row],[TOTAL COBERTURA]]</f>
        <v>691264</v>
      </c>
      <c r="AN730" s="35">
        <f>VLOOKUP(Tabla4[[#This Row],[SERVICIO 2025]],$J$2:$V$14,6,0)*Tabla4[[#This Row],[TOTAL COBERTURA]]</f>
        <v>574406</v>
      </c>
      <c r="AO730" s="35">
        <f>VLOOKUP(Tabla4[[#This Row],[SERVICIO 2025]],$J$2:$V$14,8,0)*Tabla4[[#This Row],[TOTAL COBERTURA]]</f>
        <v>407400</v>
      </c>
      <c r="AP730" s="35">
        <f>VLOOKUP(Tabla4[[#This Row],[SERVICIO 2025]],$J$2:$V$14,3,0)*Tabla4[[#This Row],[TOTAL COBERTURA]]*8</f>
        <v>28849632</v>
      </c>
      <c r="AQ730" s="35"/>
      <c r="AR730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730" s="35" t="str">
        <f>+IF(Tabla4[[#This Row],[AGRUPACIONES]]=1,SUMIFS(Tabla4[VALOR TOTAL],Tabla4[ZONA DEFINITIVO],Tabla4[[#This Row],[ZONA DEFINITIVO]])," ")</f>
        <v xml:space="preserve"> </v>
      </c>
      <c r="AT730" s="27">
        <f>(VLOOKUP(Tabla4[[#This Row],[SERVICIO 2025]],$J$2:$V$14,3,0)*Tabla4[[#This Row],[TOTAL COBERTURA]])+Tabla4[[#This Row],[VALOR FASE PREPARATORIA DE ALISTAMIENTO]]+Tabla4[[#This Row],[DOTACIÓN ÚNICA]]</f>
        <v>4704868</v>
      </c>
      <c r="AU730" s="35">
        <f>(VLOOKUP(Tabla4[[#This Row],[SERVICIO 2025]],$J$2:$V$14,3,0)*Tabla4[[#This Row],[TOTAL COBERTURA]])</f>
        <v>3606204</v>
      </c>
      <c r="AV730" s="35">
        <f>(VLOOKUP(Tabla4[[#This Row],[SERVICIO 2025]],$J$2:$V$14,3,0)*Tabla4[[#This Row],[TOTAL COBERTURA]])</f>
        <v>3606204</v>
      </c>
      <c r="AW730" s="35">
        <f>(VLOOKUP(Tabla4[[#This Row],[SERVICIO 2025]],$J$2:$V$14,3,0)*Tabla4[[#This Row],[TOTAL COBERTURA]])</f>
        <v>3606204</v>
      </c>
      <c r="AX730" s="35">
        <f>(VLOOKUP(Tabla4[[#This Row],[SERVICIO 2025]],$J$2:$V$14,3,0)*Tabla4[[#This Row],[TOTAL COBERTURA]])</f>
        <v>3606204</v>
      </c>
      <c r="AY730" s="35">
        <f>(VLOOKUP(Tabla4[[#This Row],[SERVICIO 2025]],$J$2:$V$14,3,0)*Tabla4[[#This Row],[TOTAL COBERTURA]])</f>
        <v>3606204</v>
      </c>
      <c r="AZ730" s="35">
        <f>(VLOOKUP(Tabla4[[#This Row],[SERVICIO 2025]],$J$2:$V$14,3,0)*Tabla4[[#This Row],[TOTAL COBERTURA]])</f>
        <v>3606204</v>
      </c>
      <c r="BA730" s="35">
        <f>(VLOOKUP(Tabla4[[#This Row],[SERVICIO 2025]],$J$2:$V$14,3,0)*Tabla4[[#This Row],[TOTAL COBERTURA]])+Tabla4[[#This Row],[VALOR FASE PREPARATORIA DE CIERRE]]</f>
        <v>4180610</v>
      </c>
      <c r="BB730" s="35">
        <f>SUM(Tabla4[[#This Row],[DESEMBOLSO 1]:[DESEMBOLSO 8]])</f>
        <v>30522702</v>
      </c>
      <c r="BC730" s="35">
        <f>VLOOKUP(Tabla4[[#This Row],[SERVICIO 2025]],$J$2:$V$14,10,0)*Tabla4[[#This Row],[TOTAL COBERTURA]]*$W$3</f>
        <v>20202896</v>
      </c>
      <c r="BD730" s="47" t="s">
        <v>211</v>
      </c>
      <c r="BE730" s="12" t="b">
        <f>EXACT(Tabla4[[#This Row],[VALOR ATENCIÓN (8 MESES)]],Tabla4[[#This Row],[VALOR TOTAL]])</f>
        <v>1</v>
      </c>
      <c r="BF730" s="23">
        <f>Tabla4[[#This Row],[VALOR ATENCIÓN (8 MESES)]]-Tabla4[[#This Row],[VALOR TOTAL]]</f>
        <v>0</v>
      </c>
      <c r="BG730" s="12" t="b">
        <f>EXACT(Tabla4[[#This Row],[TOTAL DESEMBOLSOS]],Tabla4[[#This Row],[VALOR ATENCIÓN (8 MESES)]])</f>
        <v>1</v>
      </c>
      <c r="BH730" s="29">
        <f>Tabla4[[#This Row],[TOTAL DESEMBOLSOS]]-Tabla4[[#This Row],[VALOR ATENCIÓN (8 MESES)]]</f>
        <v>0</v>
      </c>
      <c r="BI730" t="s">
        <v>98</v>
      </c>
      <c r="BJ730">
        <v>1959</v>
      </c>
    </row>
    <row r="731" spans="1:62">
      <c r="A731" s="13">
        <v>1959</v>
      </c>
      <c r="B731" s="13" t="s">
        <v>1627</v>
      </c>
      <c r="C731" s="12" t="s">
        <v>87</v>
      </c>
      <c r="D731" s="12" t="s">
        <v>1628</v>
      </c>
      <c r="E731" s="12" t="s">
        <v>1629</v>
      </c>
      <c r="F731" s="12" t="s">
        <v>18</v>
      </c>
      <c r="G731" s="12" t="s">
        <v>90</v>
      </c>
      <c r="H731" s="12" t="s">
        <v>1642</v>
      </c>
      <c r="I731" s="12">
        <v>53611136640</v>
      </c>
      <c r="J731" s="12" t="s">
        <v>1643</v>
      </c>
      <c r="K731" s="12">
        <v>1</v>
      </c>
      <c r="L731" s="12">
        <v>45</v>
      </c>
      <c r="M731" s="12"/>
      <c r="N731" s="13">
        <v>1959</v>
      </c>
      <c r="O731" s="12" t="s">
        <v>93</v>
      </c>
      <c r="P731" s="12"/>
      <c r="Q731" s="12"/>
      <c r="R731" s="12" t="s">
        <v>94</v>
      </c>
      <c r="S731" s="12">
        <v>10</v>
      </c>
      <c r="T731" s="12" t="s">
        <v>270</v>
      </c>
      <c r="U731" s="12" t="s">
        <v>271</v>
      </c>
      <c r="V731" s="12">
        <f>VLOOKUP(Tabla4[[#This Row],[ZONA DEFINITIVO]],Hoja1!$A$1:$D$121,3,0)</f>
        <v>229120</v>
      </c>
      <c r="W731" s="12">
        <f>VLOOKUP(Tabla4[[#This Row],[ZONA DEFINITIVO]],Hoja1!$A$1:$D$121,2,0)</f>
        <v>15214</v>
      </c>
      <c r="X731" s="12">
        <f>VLOOKUP(Tabla4[[#This Row],[ZONA DEFINITIVO]],Hoja1!$A$1:$D$121,4,0)</f>
        <v>86325</v>
      </c>
      <c r="Y731" s="12" t="str">
        <f>+IF(Tabla4[[#This Row],[AGRUPACIONES]]=1,SUMIFS(Tabla4[UDS],Tabla4[ZONA DEFINITIVO],Tabla4[[#This Row],[ZONA DEFINITIVO]])," ")</f>
        <v xml:space="preserve"> </v>
      </c>
      <c r="Z731" s="12" t="str">
        <f>+IF(Tabla4[[#This Row],[AGRUPACIONES]]=1,SUMIFS(Tabla4[TOTAL COBERTURA],Tabla4[ZONA DEFINITIVO],Tabla4[[#This Row],[ZONA DEFINITIVO]])," ")</f>
        <v xml:space="preserve"> </v>
      </c>
      <c r="AA731" s="12"/>
      <c r="AB731" s="38">
        <v>98108685</v>
      </c>
      <c r="AC731" s="37">
        <v>0.02</v>
      </c>
      <c r="AD731" s="38">
        <f t="shared" si="12"/>
        <v>1962173.7</v>
      </c>
      <c r="AE731" s="12"/>
      <c r="AF731" s="12">
        <f>COUNTIF($A$20:A731,A731)</f>
        <v>7</v>
      </c>
      <c r="AG731" s="38">
        <v>98108685</v>
      </c>
      <c r="AH731" s="38">
        <f>Tabla4[[#This Row],[VALOR CONTRAPARTIDA]]+Tabla4[[#This Row],[TOTAL APORTES ICBF]]</f>
        <v>100070858.7</v>
      </c>
      <c r="AI731" s="35"/>
      <c r="AJ731" s="38"/>
      <c r="AK731" s="38"/>
      <c r="AL731" s="23"/>
      <c r="AM731" s="35">
        <f>VLOOKUP(Tabla4[[#This Row],[SERVICIO 2025]],$J$2:$V$14,5,0)*Tabla4[[#This Row],[TOTAL COBERTURA]]</f>
        <v>2221920</v>
      </c>
      <c r="AN731" s="35">
        <f>VLOOKUP(Tabla4[[#This Row],[SERVICIO 2025]],$J$2:$V$14,6,0)*Tabla4[[#This Row],[TOTAL COBERTURA]]</f>
        <v>1846305</v>
      </c>
      <c r="AO731" s="35">
        <f>VLOOKUP(Tabla4[[#This Row],[SERVICIO 2025]],$J$2:$V$14,8,0)*Tabla4[[#This Row],[TOTAL COBERTURA]]</f>
        <v>1309500</v>
      </c>
      <c r="AP731" s="35">
        <f>VLOOKUP(Tabla4[[#This Row],[SERVICIO 2025]],$J$2:$V$14,3,0)*Tabla4[[#This Row],[TOTAL COBERTURA]]*8</f>
        <v>92730960</v>
      </c>
      <c r="AQ731" s="35"/>
      <c r="AR731" s="35">
        <f>Tabla4[[#This Row],[VALOR FASE PREPARATORIA DE ALISTAMIENTO]]+Tabla4[[#This Row],[VALOR FASE PREPARATORIA DE CIERRE]]+Tabla4[[#This Row],[DOTACIÓN ÚNICA]]+Tabla4[[#This Row],[VALOR ATENCIÓN]]+Tabla4[[#This Row],[VALOR RACION PREPARADA]]</f>
        <v>98108685</v>
      </c>
      <c r="AS731" s="35" t="str">
        <f>+IF(Tabla4[[#This Row],[AGRUPACIONES]]=1,SUMIFS(Tabla4[VALOR TOTAL],Tabla4[ZONA DEFINITIVO],Tabla4[[#This Row],[ZONA DEFINITIVO]])," ")</f>
        <v xml:space="preserve"> </v>
      </c>
      <c r="AT731" s="27">
        <f>(VLOOKUP(Tabla4[[#This Row],[SERVICIO 2025]],$J$2:$V$14,3,0)*Tabla4[[#This Row],[TOTAL COBERTURA]])+Tabla4[[#This Row],[VALOR FASE PREPARATORIA DE ALISTAMIENTO]]+Tabla4[[#This Row],[DOTACIÓN ÚNICA]]</f>
        <v>15122790</v>
      </c>
      <c r="AU731" s="35">
        <f>(VLOOKUP(Tabla4[[#This Row],[SERVICIO 2025]],$J$2:$V$14,3,0)*Tabla4[[#This Row],[TOTAL COBERTURA]])</f>
        <v>11591370</v>
      </c>
      <c r="AV731" s="35">
        <f>(VLOOKUP(Tabla4[[#This Row],[SERVICIO 2025]],$J$2:$V$14,3,0)*Tabla4[[#This Row],[TOTAL COBERTURA]])</f>
        <v>11591370</v>
      </c>
      <c r="AW731" s="35">
        <f>(VLOOKUP(Tabla4[[#This Row],[SERVICIO 2025]],$J$2:$V$14,3,0)*Tabla4[[#This Row],[TOTAL COBERTURA]])</f>
        <v>11591370</v>
      </c>
      <c r="AX731" s="35">
        <f>(VLOOKUP(Tabla4[[#This Row],[SERVICIO 2025]],$J$2:$V$14,3,0)*Tabla4[[#This Row],[TOTAL COBERTURA]])</f>
        <v>11591370</v>
      </c>
      <c r="AY731" s="35">
        <f>(VLOOKUP(Tabla4[[#This Row],[SERVICIO 2025]],$J$2:$V$14,3,0)*Tabla4[[#This Row],[TOTAL COBERTURA]])</f>
        <v>11591370</v>
      </c>
      <c r="AZ731" s="35">
        <f>(VLOOKUP(Tabla4[[#This Row],[SERVICIO 2025]],$J$2:$V$14,3,0)*Tabla4[[#This Row],[TOTAL COBERTURA]])</f>
        <v>11591370</v>
      </c>
      <c r="BA731" s="35">
        <f>(VLOOKUP(Tabla4[[#This Row],[SERVICIO 2025]],$J$2:$V$14,3,0)*Tabla4[[#This Row],[TOTAL COBERTURA]])+Tabla4[[#This Row],[VALOR FASE PREPARATORIA DE CIERRE]]</f>
        <v>13437675</v>
      </c>
      <c r="BB731" s="35">
        <f>SUM(Tabla4[[#This Row],[DESEMBOLSO 1]:[DESEMBOLSO 8]])</f>
        <v>98108685</v>
      </c>
      <c r="BC731" s="35">
        <f>VLOOKUP(Tabla4[[#This Row],[SERVICIO 2025]],$J$2:$V$14,10,0)*Tabla4[[#This Row],[TOTAL COBERTURA]]*$W$3</f>
        <v>64937880</v>
      </c>
      <c r="BD731" s="47" t="s">
        <v>211</v>
      </c>
      <c r="BE731" s="12" t="b">
        <f>EXACT(Tabla4[[#This Row],[VALOR ATENCIÓN (8 MESES)]],Tabla4[[#This Row],[VALOR TOTAL]])</f>
        <v>1</v>
      </c>
      <c r="BF731" s="23">
        <f>Tabla4[[#This Row],[VALOR ATENCIÓN (8 MESES)]]-Tabla4[[#This Row],[VALOR TOTAL]]</f>
        <v>0</v>
      </c>
      <c r="BG731" s="12" t="b">
        <f>EXACT(Tabla4[[#This Row],[TOTAL DESEMBOLSOS]],Tabla4[[#This Row],[VALOR ATENCIÓN (8 MESES)]])</f>
        <v>1</v>
      </c>
      <c r="BH731" s="29">
        <f>Tabla4[[#This Row],[TOTAL DESEMBOLSOS]]-Tabla4[[#This Row],[VALOR ATENCIÓN (8 MESES)]]</f>
        <v>0</v>
      </c>
      <c r="BI731" t="s">
        <v>98</v>
      </c>
      <c r="BJ731">
        <v>1959</v>
      </c>
    </row>
    <row r="732" spans="1:62">
      <c r="A732" s="13">
        <v>1959</v>
      </c>
      <c r="B732" s="13" t="s">
        <v>1627</v>
      </c>
      <c r="C732" s="12" t="s">
        <v>87</v>
      </c>
      <c r="D732" s="12" t="s">
        <v>1628</v>
      </c>
      <c r="E732" s="12" t="s">
        <v>1629</v>
      </c>
      <c r="F732" s="12" t="s">
        <v>18</v>
      </c>
      <c r="G732" s="12" t="s">
        <v>90</v>
      </c>
      <c r="H732" s="12" t="s">
        <v>1644</v>
      </c>
      <c r="I732" s="12">
        <v>53611136646</v>
      </c>
      <c r="J732" s="12" t="s">
        <v>1645</v>
      </c>
      <c r="K732" s="12">
        <v>1</v>
      </c>
      <c r="L732" s="12">
        <v>19</v>
      </c>
      <c r="M732" s="12"/>
      <c r="N732" s="13">
        <v>1959</v>
      </c>
      <c r="O732" s="12" t="s">
        <v>93</v>
      </c>
      <c r="P732" s="12"/>
      <c r="Q732" s="12"/>
      <c r="R732" s="12" t="s">
        <v>94</v>
      </c>
      <c r="S732" s="12">
        <v>10</v>
      </c>
      <c r="T732" s="12" t="s">
        <v>270</v>
      </c>
      <c r="U732" s="12" t="s">
        <v>271</v>
      </c>
      <c r="V732" s="12">
        <f>VLOOKUP(Tabla4[[#This Row],[ZONA DEFINITIVO]],Hoja1!$A$1:$D$121,3,0)</f>
        <v>229120</v>
      </c>
      <c r="W732" s="12">
        <f>VLOOKUP(Tabla4[[#This Row],[ZONA DEFINITIVO]],Hoja1!$A$1:$D$121,2,0)</f>
        <v>15214</v>
      </c>
      <c r="X732" s="12">
        <f>VLOOKUP(Tabla4[[#This Row],[ZONA DEFINITIVO]],Hoja1!$A$1:$D$121,4,0)</f>
        <v>86325</v>
      </c>
      <c r="Y732" s="12" t="str">
        <f>+IF(Tabla4[[#This Row],[AGRUPACIONES]]=1,SUMIFS(Tabla4[UDS],Tabla4[ZONA DEFINITIVO],Tabla4[[#This Row],[ZONA DEFINITIVO]])," ")</f>
        <v xml:space="preserve"> </v>
      </c>
      <c r="Z732" s="12" t="str">
        <f>+IF(Tabla4[[#This Row],[AGRUPACIONES]]=1,SUMIFS(Tabla4[TOTAL COBERTURA],Tabla4[ZONA DEFINITIVO],Tabla4[[#This Row],[ZONA DEFINITIVO]])," ")</f>
        <v xml:space="preserve"> </v>
      </c>
      <c r="AA732" s="12"/>
      <c r="AB732" s="38">
        <v>41423667</v>
      </c>
      <c r="AC732" s="37">
        <v>0.02</v>
      </c>
      <c r="AD732" s="38">
        <f t="shared" si="12"/>
        <v>828473.34</v>
      </c>
      <c r="AE732" s="12"/>
      <c r="AF732" s="12">
        <f>COUNTIF($A$20:A732,A732)</f>
        <v>8</v>
      </c>
      <c r="AG732" s="38">
        <v>41423667</v>
      </c>
      <c r="AH732" s="38">
        <f>Tabla4[[#This Row],[VALOR CONTRAPARTIDA]]+Tabla4[[#This Row],[TOTAL APORTES ICBF]]</f>
        <v>42252140.340000004</v>
      </c>
      <c r="AI732" s="35"/>
      <c r="AJ732" s="38"/>
      <c r="AK732" s="38"/>
      <c r="AL732" s="23"/>
      <c r="AM732" s="35">
        <f>VLOOKUP(Tabla4[[#This Row],[SERVICIO 2025]],$J$2:$V$14,5,0)*Tabla4[[#This Row],[TOTAL COBERTURA]]</f>
        <v>938144</v>
      </c>
      <c r="AN732" s="35">
        <f>VLOOKUP(Tabla4[[#This Row],[SERVICIO 2025]],$J$2:$V$14,6,0)*Tabla4[[#This Row],[TOTAL COBERTURA]]</f>
        <v>779551</v>
      </c>
      <c r="AO732" s="35">
        <f>VLOOKUP(Tabla4[[#This Row],[SERVICIO 2025]],$J$2:$V$14,8,0)*Tabla4[[#This Row],[TOTAL COBERTURA]]</f>
        <v>552900</v>
      </c>
      <c r="AP732" s="35">
        <f>VLOOKUP(Tabla4[[#This Row],[SERVICIO 2025]],$J$2:$V$14,3,0)*Tabla4[[#This Row],[TOTAL COBERTURA]]*8</f>
        <v>39153072</v>
      </c>
      <c r="AQ732" s="35"/>
      <c r="AR732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732" s="35" t="str">
        <f>+IF(Tabla4[[#This Row],[AGRUPACIONES]]=1,SUMIFS(Tabla4[VALOR TOTAL],Tabla4[ZONA DEFINITIVO],Tabla4[[#This Row],[ZONA DEFINITIVO]])," ")</f>
        <v xml:space="preserve"> </v>
      </c>
      <c r="AT732" s="27">
        <f>(VLOOKUP(Tabla4[[#This Row],[SERVICIO 2025]],$J$2:$V$14,3,0)*Tabla4[[#This Row],[TOTAL COBERTURA]])+Tabla4[[#This Row],[VALOR FASE PREPARATORIA DE ALISTAMIENTO]]+Tabla4[[#This Row],[DOTACIÓN ÚNICA]]</f>
        <v>6385178</v>
      </c>
      <c r="AU732" s="35">
        <f>(VLOOKUP(Tabla4[[#This Row],[SERVICIO 2025]],$J$2:$V$14,3,0)*Tabla4[[#This Row],[TOTAL COBERTURA]])</f>
        <v>4894134</v>
      </c>
      <c r="AV732" s="35">
        <f>(VLOOKUP(Tabla4[[#This Row],[SERVICIO 2025]],$J$2:$V$14,3,0)*Tabla4[[#This Row],[TOTAL COBERTURA]])</f>
        <v>4894134</v>
      </c>
      <c r="AW732" s="35">
        <f>(VLOOKUP(Tabla4[[#This Row],[SERVICIO 2025]],$J$2:$V$14,3,0)*Tabla4[[#This Row],[TOTAL COBERTURA]])</f>
        <v>4894134</v>
      </c>
      <c r="AX732" s="35">
        <f>(VLOOKUP(Tabla4[[#This Row],[SERVICIO 2025]],$J$2:$V$14,3,0)*Tabla4[[#This Row],[TOTAL COBERTURA]])</f>
        <v>4894134</v>
      </c>
      <c r="AY732" s="35">
        <f>(VLOOKUP(Tabla4[[#This Row],[SERVICIO 2025]],$J$2:$V$14,3,0)*Tabla4[[#This Row],[TOTAL COBERTURA]])</f>
        <v>4894134</v>
      </c>
      <c r="AZ732" s="35">
        <f>(VLOOKUP(Tabla4[[#This Row],[SERVICIO 2025]],$J$2:$V$14,3,0)*Tabla4[[#This Row],[TOTAL COBERTURA]])</f>
        <v>4894134</v>
      </c>
      <c r="BA732" s="35">
        <f>(VLOOKUP(Tabla4[[#This Row],[SERVICIO 2025]],$J$2:$V$14,3,0)*Tabla4[[#This Row],[TOTAL COBERTURA]])+Tabla4[[#This Row],[VALOR FASE PREPARATORIA DE CIERRE]]</f>
        <v>5673685</v>
      </c>
      <c r="BB732" s="35">
        <f>SUM(Tabla4[[#This Row],[DESEMBOLSO 1]:[DESEMBOLSO 8]])</f>
        <v>41423667</v>
      </c>
      <c r="BC732" s="35">
        <f>VLOOKUP(Tabla4[[#This Row],[SERVICIO 2025]],$J$2:$V$14,10,0)*Tabla4[[#This Row],[TOTAL COBERTURA]]*$W$3</f>
        <v>27418216</v>
      </c>
      <c r="BD732" s="47" t="s">
        <v>211</v>
      </c>
      <c r="BE732" s="12" t="b">
        <f>EXACT(Tabla4[[#This Row],[VALOR ATENCIÓN (8 MESES)]],Tabla4[[#This Row],[VALOR TOTAL]])</f>
        <v>1</v>
      </c>
      <c r="BF732" s="23">
        <f>Tabla4[[#This Row],[VALOR ATENCIÓN (8 MESES)]]-Tabla4[[#This Row],[VALOR TOTAL]]</f>
        <v>0</v>
      </c>
      <c r="BG732" s="12" t="b">
        <f>EXACT(Tabla4[[#This Row],[TOTAL DESEMBOLSOS]],Tabla4[[#This Row],[VALOR ATENCIÓN (8 MESES)]])</f>
        <v>1</v>
      </c>
      <c r="BH732" s="29">
        <f>Tabla4[[#This Row],[TOTAL DESEMBOLSOS]]-Tabla4[[#This Row],[VALOR ATENCIÓN (8 MESES)]]</f>
        <v>0</v>
      </c>
      <c r="BI732" t="s">
        <v>98</v>
      </c>
      <c r="BJ732">
        <v>1959</v>
      </c>
    </row>
    <row r="733" spans="1:62">
      <c r="A733" s="13">
        <v>1959</v>
      </c>
      <c r="B733" s="13" t="s">
        <v>1627</v>
      </c>
      <c r="C733" s="12" t="s">
        <v>87</v>
      </c>
      <c r="D733" s="12" t="s">
        <v>1628</v>
      </c>
      <c r="E733" s="12" t="s">
        <v>1629</v>
      </c>
      <c r="F733" s="12" t="s">
        <v>18</v>
      </c>
      <c r="G733" s="12" t="s">
        <v>90</v>
      </c>
      <c r="H733" s="12" t="s">
        <v>1621</v>
      </c>
      <c r="I733" s="12">
        <v>53611136655</v>
      </c>
      <c r="J733" s="12" t="s">
        <v>1646</v>
      </c>
      <c r="K733" s="12">
        <v>1</v>
      </c>
      <c r="L733" s="12">
        <v>16</v>
      </c>
      <c r="M733" s="12"/>
      <c r="N733" s="13">
        <v>1959</v>
      </c>
      <c r="O733" s="12" t="s">
        <v>93</v>
      </c>
      <c r="P733" s="12"/>
      <c r="Q733" s="12"/>
      <c r="R733" s="12" t="s">
        <v>94</v>
      </c>
      <c r="S733" s="12">
        <v>10</v>
      </c>
      <c r="T733" s="12" t="s">
        <v>270</v>
      </c>
      <c r="U733" s="12" t="s">
        <v>271</v>
      </c>
      <c r="V733" s="12">
        <f>VLOOKUP(Tabla4[[#This Row],[ZONA DEFINITIVO]],Hoja1!$A$1:$D$121,3,0)</f>
        <v>229120</v>
      </c>
      <c r="W733" s="12">
        <f>VLOOKUP(Tabla4[[#This Row],[ZONA DEFINITIVO]],Hoja1!$A$1:$D$121,2,0)</f>
        <v>15214</v>
      </c>
      <c r="X733" s="12">
        <f>VLOOKUP(Tabla4[[#This Row],[ZONA DEFINITIVO]],Hoja1!$A$1:$D$121,4,0)</f>
        <v>86325</v>
      </c>
      <c r="Y733" s="12" t="str">
        <f>+IF(Tabla4[[#This Row],[AGRUPACIONES]]=1,SUMIFS(Tabla4[UDS],Tabla4[ZONA DEFINITIVO],Tabla4[[#This Row],[ZONA DEFINITIVO]])," ")</f>
        <v xml:space="preserve"> </v>
      </c>
      <c r="Z733" s="12" t="str">
        <f>+IF(Tabla4[[#This Row],[AGRUPACIONES]]=1,SUMIFS(Tabla4[TOTAL COBERTURA],Tabla4[ZONA DEFINITIVO],Tabla4[[#This Row],[ZONA DEFINITIVO]])," ")</f>
        <v xml:space="preserve"> </v>
      </c>
      <c r="AA733" s="12"/>
      <c r="AB733" s="38">
        <v>34883088</v>
      </c>
      <c r="AC733" s="37">
        <v>0.02</v>
      </c>
      <c r="AD733" s="38">
        <f t="shared" si="12"/>
        <v>697661.76</v>
      </c>
      <c r="AE733" s="12"/>
      <c r="AF733" s="12">
        <f>COUNTIF($A$20:A733,A733)</f>
        <v>9</v>
      </c>
      <c r="AG733" s="38">
        <v>34883088</v>
      </c>
      <c r="AH733" s="38">
        <f>Tabla4[[#This Row],[VALOR CONTRAPARTIDA]]+Tabla4[[#This Row],[TOTAL APORTES ICBF]]</f>
        <v>35580749.759999998</v>
      </c>
      <c r="AI733" s="35"/>
      <c r="AJ733" s="38"/>
      <c r="AK733" s="38"/>
      <c r="AL733" s="23"/>
      <c r="AM733" s="35">
        <f>VLOOKUP(Tabla4[[#This Row],[SERVICIO 2025]],$J$2:$V$14,5,0)*Tabla4[[#This Row],[TOTAL COBERTURA]]</f>
        <v>790016</v>
      </c>
      <c r="AN733" s="35">
        <f>VLOOKUP(Tabla4[[#This Row],[SERVICIO 2025]],$J$2:$V$14,6,0)*Tabla4[[#This Row],[TOTAL COBERTURA]]</f>
        <v>656464</v>
      </c>
      <c r="AO733" s="35">
        <f>VLOOKUP(Tabla4[[#This Row],[SERVICIO 2025]],$J$2:$V$14,8,0)*Tabla4[[#This Row],[TOTAL COBERTURA]]</f>
        <v>465600</v>
      </c>
      <c r="AP733" s="35">
        <f>VLOOKUP(Tabla4[[#This Row],[SERVICIO 2025]],$J$2:$V$14,3,0)*Tabla4[[#This Row],[TOTAL COBERTURA]]*8</f>
        <v>32971008</v>
      </c>
      <c r="AQ733" s="35"/>
      <c r="AR733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733" s="35" t="str">
        <f>+IF(Tabla4[[#This Row],[AGRUPACIONES]]=1,SUMIFS(Tabla4[VALOR TOTAL],Tabla4[ZONA DEFINITIVO],Tabla4[[#This Row],[ZONA DEFINITIVO]])," ")</f>
        <v xml:space="preserve"> </v>
      </c>
      <c r="AT733" s="27">
        <f>(VLOOKUP(Tabla4[[#This Row],[SERVICIO 2025]],$J$2:$V$14,3,0)*Tabla4[[#This Row],[TOTAL COBERTURA]])+Tabla4[[#This Row],[VALOR FASE PREPARATORIA DE ALISTAMIENTO]]+Tabla4[[#This Row],[DOTACIÓN ÚNICA]]</f>
        <v>5376992</v>
      </c>
      <c r="AU733" s="35">
        <f>(VLOOKUP(Tabla4[[#This Row],[SERVICIO 2025]],$J$2:$V$14,3,0)*Tabla4[[#This Row],[TOTAL COBERTURA]])</f>
        <v>4121376</v>
      </c>
      <c r="AV733" s="35">
        <f>(VLOOKUP(Tabla4[[#This Row],[SERVICIO 2025]],$J$2:$V$14,3,0)*Tabla4[[#This Row],[TOTAL COBERTURA]])</f>
        <v>4121376</v>
      </c>
      <c r="AW733" s="35">
        <f>(VLOOKUP(Tabla4[[#This Row],[SERVICIO 2025]],$J$2:$V$14,3,0)*Tabla4[[#This Row],[TOTAL COBERTURA]])</f>
        <v>4121376</v>
      </c>
      <c r="AX733" s="35">
        <f>(VLOOKUP(Tabla4[[#This Row],[SERVICIO 2025]],$J$2:$V$14,3,0)*Tabla4[[#This Row],[TOTAL COBERTURA]])</f>
        <v>4121376</v>
      </c>
      <c r="AY733" s="35">
        <f>(VLOOKUP(Tabla4[[#This Row],[SERVICIO 2025]],$J$2:$V$14,3,0)*Tabla4[[#This Row],[TOTAL COBERTURA]])</f>
        <v>4121376</v>
      </c>
      <c r="AZ733" s="35">
        <f>(VLOOKUP(Tabla4[[#This Row],[SERVICIO 2025]],$J$2:$V$14,3,0)*Tabla4[[#This Row],[TOTAL COBERTURA]])</f>
        <v>4121376</v>
      </c>
      <c r="BA733" s="35">
        <f>(VLOOKUP(Tabla4[[#This Row],[SERVICIO 2025]],$J$2:$V$14,3,0)*Tabla4[[#This Row],[TOTAL COBERTURA]])+Tabla4[[#This Row],[VALOR FASE PREPARATORIA DE CIERRE]]</f>
        <v>4777840</v>
      </c>
      <c r="BB733" s="35">
        <f>SUM(Tabla4[[#This Row],[DESEMBOLSO 1]:[DESEMBOLSO 8]])</f>
        <v>34883088</v>
      </c>
      <c r="BC733" s="35">
        <f>VLOOKUP(Tabla4[[#This Row],[SERVICIO 2025]],$J$2:$V$14,10,0)*Tabla4[[#This Row],[TOTAL COBERTURA]]*$W$3</f>
        <v>23089024</v>
      </c>
      <c r="BD733" s="47" t="s">
        <v>211</v>
      </c>
      <c r="BE733" s="12" t="b">
        <f>EXACT(Tabla4[[#This Row],[VALOR ATENCIÓN (8 MESES)]],Tabla4[[#This Row],[VALOR TOTAL]])</f>
        <v>1</v>
      </c>
      <c r="BF733" s="23">
        <f>Tabla4[[#This Row],[VALOR ATENCIÓN (8 MESES)]]-Tabla4[[#This Row],[VALOR TOTAL]]</f>
        <v>0</v>
      </c>
      <c r="BG733" s="12" t="b">
        <f>EXACT(Tabla4[[#This Row],[TOTAL DESEMBOLSOS]],Tabla4[[#This Row],[VALOR ATENCIÓN (8 MESES)]])</f>
        <v>1</v>
      </c>
      <c r="BH733" s="29">
        <f>Tabla4[[#This Row],[TOTAL DESEMBOLSOS]]-Tabla4[[#This Row],[VALOR ATENCIÓN (8 MESES)]]</f>
        <v>0</v>
      </c>
      <c r="BI733" t="s">
        <v>98</v>
      </c>
      <c r="BJ733">
        <v>1959</v>
      </c>
    </row>
    <row r="734" spans="1:62">
      <c r="A734" s="13">
        <v>1959</v>
      </c>
      <c r="B734" s="13" t="s">
        <v>1627</v>
      </c>
      <c r="C734" s="12" t="s">
        <v>87</v>
      </c>
      <c r="D734" s="12" t="s">
        <v>1628</v>
      </c>
      <c r="E734" s="12" t="s">
        <v>1629</v>
      </c>
      <c r="F734" s="12" t="s">
        <v>18</v>
      </c>
      <c r="G734" s="12" t="s">
        <v>90</v>
      </c>
      <c r="H734" s="12" t="s">
        <v>1647</v>
      </c>
      <c r="I734" s="12">
        <v>53611136674</v>
      </c>
      <c r="J734" s="12" t="s">
        <v>1648</v>
      </c>
      <c r="K734" s="12">
        <v>1</v>
      </c>
      <c r="L734" s="12">
        <v>11</v>
      </c>
      <c r="M734" s="12"/>
      <c r="N734" s="13">
        <v>1959</v>
      </c>
      <c r="O734" s="12" t="s">
        <v>93</v>
      </c>
      <c r="P734" s="12"/>
      <c r="Q734" s="12"/>
      <c r="R734" s="12" t="s">
        <v>94</v>
      </c>
      <c r="S734" s="12">
        <v>10</v>
      </c>
      <c r="T734" s="12" t="s">
        <v>270</v>
      </c>
      <c r="U734" s="12" t="s">
        <v>271</v>
      </c>
      <c r="V734" s="12">
        <f>VLOOKUP(Tabla4[[#This Row],[ZONA DEFINITIVO]],Hoja1!$A$1:$D$121,3,0)</f>
        <v>229120</v>
      </c>
      <c r="W734" s="12">
        <f>VLOOKUP(Tabla4[[#This Row],[ZONA DEFINITIVO]],Hoja1!$A$1:$D$121,2,0)</f>
        <v>15214</v>
      </c>
      <c r="X734" s="12">
        <f>VLOOKUP(Tabla4[[#This Row],[ZONA DEFINITIVO]],Hoja1!$A$1:$D$121,4,0)</f>
        <v>86325</v>
      </c>
      <c r="Y734" s="12" t="str">
        <f>+IF(Tabla4[[#This Row],[AGRUPACIONES]]=1,SUMIFS(Tabla4[UDS],Tabla4[ZONA DEFINITIVO],Tabla4[[#This Row],[ZONA DEFINITIVO]])," ")</f>
        <v xml:space="preserve"> </v>
      </c>
      <c r="Z734" s="12" t="str">
        <f>+IF(Tabla4[[#This Row],[AGRUPACIONES]]=1,SUMIFS(Tabla4[TOTAL COBERTURA],Tabla4[ZONA DEFINITIVO],Tabla4[[#This Row],[ZONA DEFINITIVO]])," ")</f>
        <v xml:space="preserve"> </v>
      </c>
      <c r="AA734" s="12"/>
      <c r="AB734" s="38">
        <v>23982123</v>
      </c>
      <c r="AC734" s="37">
        <v>0.02</v>
      </c>
      <c r="AD734" s="38">
        <f t="shared" si="12"/>
        <v>479642.46</v>
      </c>
      <c r="AE734" s="12"/>
      <c r="AF734" s="12">
        <f>COUNTIF($A$20:A734,A734)</f>
        <v>10</v>
      </c>
      <c r="AG734" s="38">
        <v>23982123</v>
      </c>
      <c r="AH734" s="38">
        <f>Tabla4[[#This Row],[VALOR CONTRAPARTIDA]]+Tabla4[[#This Row],[TOTAL APORTES ICBF]]</f>
        <v>24461765.460000001</v>
      </c>
      <c r="AI734" s="35"/>
      <c r="AJ734" s="38"/>
      <c r="AK734" s="38"/>
      <c r="AL734" s="23"/>
      <c r="AM734" s="35">
        <f>VLOOKUP(Tabla4[[#This Row],[SERVICIO 2025]],$J$2:$V$14,5,0)*Tabla4[[#This Row],[TOTAL COBERTURA]]</f>
        <v>543136</v>
      </c>
      <c r="AN734" s="35">
        <f>VLOOKUP(Tabla4[[#This Row],[SERVICIO 2025]],$J$2:$V$14,6,0)*Tabla4[[#This Row],[TOTAL COBERTURA]]</f>
        <v>451319</v>
      </c>
      <c r="AO734" s="35">
        <f>VLOOKUP(Tabla4[[#This Row],[SERVICIO 2025]],$J$2:$V$14,8,0)*Tabla4[[#This Row],[TOTAL COBERTURA]]</f>
        <v>320100</v>
      </c>
      <c r="AP734" s="35">
        <f>VLOOKUP(Tabla4[[#This Row],[SERVICIO 2025]],$J$2:$V$14,3,0)*Tabla4[[#This Row],[TOTAL COBERTURA]]*8</f>
        <v>22667568</v>
      </c>
      <c r="AQ734" s="35"/>
      <c r="AR734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734" s="35" t="str">
        <f>+IF(Tabla4[[#This Row],[AGRUPACIONES]]=1,SUMIFS(Tabla4[VALOR TOTAL],Tabla4[ZONA DEFINITIVO],Tabla4[[#This Row],[ZONA DEFINITIVO]])," ")</f>
        <v xml:space="preserve"> </v>
      </c>
      <c r="AT734" s="27">
        <f>(VLOOKUP(Tabla4[[#This Row],[SERVICIO 2025]],$J$2:$V$14,3,0)*Tabla4[[#This Row],[TOTAL COBERTURA]])+Tabla4[[#This Row],[VALOR FASE PREPARATORIA DE ALISTAMIENTO]]+Tabla4[[#This Row],[DOTACIÓN ÚNICA]]</f>
        <v>3696682</v>
      </c>
      <c r="AU734" s="35">
        <f>(VLOOKUP(Tabla4[[#This Row],[SERVICIO 2025]],$J$2:$V$14,3,0)*Tabla4[[#This Row],[TOTAL COBERTURA]])</f>
        <v>2833446</v>
      </c>
      <c r="AV734" s="35">
        <f>(VLOOKUP(Tabla4[[#This Row],[SERVICIO 2025]],$J$2:$V$14,3,0)*Tabla4[[#This Row],[TOTAL COBERTURA]])</f>
        <v>2833446</v>
      </c>
      <c r="AW734" s="35">
        <f>(VLOOKUP(Tabla4[[#This Row],[SERVICIO 2025]],$J$2:$V$14,3,0)*Tabla4[[#This Row],[TOTAL COBERTURA]])</f>
        <v>2833446</v>
      </c>
      <c r="AX734" s="35">
        <f>(VLOOKUP(Tabla4[[#This Row],[SERVICIO 2025]],$J$2:$V$14,3,0)*Tabla4[[#This Row],[TOTAL COBERTURA]])</f>
        <v>2833446</v>
      </c>
      <c r="AY734" s="35">
        <f>(VLOOKUP(Tabla4[[#This Row],[SERVICIO 2025]],$J$2:$V$14,3,0)*Tabla4[[#This Row],[TOTAL COBERTURA]])</f>
        <v>2833446</v>
      </c>
      <c r="AZ734" s="35">
        <f>(VLOOKUP(Tabla4[[#This Row],[SERVICIO 2025]],$J$2:$V$14,3,0)*Tabla4[[#This Row],[TOTAL COBERTURA]])</f>
        <v>2833446</v>
      </c>
      <c r="BA734" s="35">
        <f>(VLOOKUP(Tabla4[[#This Row],[SERVICIO 2025]],$J$2:$V$14,3,0)*Tabla4[[#This Row],[TOTAL COBERTURA]])+Tabla4[[#This Row],[VALOR FASE PREPARATORIA DE CIERRE]]</f>
        <v>3284765</v>
      </c>
      <c r="BB734" s="35">
        <f>SUM(Tabla4[[#This Row],[DESEMBOLSO 1]:[DESEMBOLSO 8]])</f>
        <v>23982123</v>
      </c>
      <c r="BC734" s="35">
        <f>VLOOKUP(Tabla4[[#This Row],[SERVICIO 2025]],$J$2:$V$14,10,0)*Tabla4[[#This Row],[TOTAL COBERTURA]]*$W$3</f>
        <v>15873704</v>
      </c>
      <c r="BD734" s="47" t="s">
        <v>211</v>
      </c>
      <c r="BE734" s="12" t="b">
        <f>EXACT(Tabla4[[#This Row],[VALOR ATENCIÓN (8 MESES)]],Tabla4[[#This Row],[VALOR TOTAL]])</f>
        <v>1</v>
      </c>
      <c r="BF734" s="23">
        <f>Tabla4[[#This Row],[VALOR ATENCIÓN (8 MESES)]]-Tabla4[[#This Row],[VALOR TOTAL]]</f>
        <v>0</v>
      </c>
      <c r="BG734" s="12" t="b">
        <f>EXACT(Tabla4[[#This Row],[TOTAL DESEMBOLSOS]],Tabla4[[#This Row],[VALOR ATENCIÓN (8 MESES)]])</f>
        <v>1</v>
      </c>
      <c r="BH734" s="29">
        <f>Tabla4[[#This Row],[TOTAL DESEMBOLSOS]]-Tabla4[[#This Row],[VALOR ATENCIÓN (8 MESES)]]</f>
        <v>0</v>
      </c>
      <c r="BI734" t="s">
        <v>98</v>
      </c>
      <c r="BJ734">
        <v>1959</v>
      </c>
    </row>
    <row r="735" spans="1:62">
      <c r="A735" s="13">
        <v>1959</v>
      </c>
      <c r="B735" s="13" t="s">
        <v>1627</v>
      </c>
      <c r="C735" s="12" t="s">
        <v>87</v>
      </c>
      <c r="D735" s="12" t="s">
        <v>1628</v>
      </c>
      <c r="E735" s="12" t="s">
        <v>1629</v>
      </c>
      <c r="F735" s="12" t="s">
        <v>18</v>
      </c>
      <c r="G735" s="12" t="s">
        <v>90</v>
      </c>
      <c r="H735" s="12" t="s">
        <v>1649</v>
      </c>
      <c r="I735" s="12">
        <v>53611136723</v>
      </c>
      <c r="J735" s="12" t="s">
        <v>1650</v>
      </c>
      <c r="K735" s="12">
        <v>1</v>
      </c>
      <c r="L735" s="12">
        <v>17</v>
      </c>
      <c r="M735" s="12"/>
      <c r="N735" s="13">
        <v>1959</v>
      </c>
      <c r="O735" s="12" t="s">
        <v>93</v>
      </c>
      <c r="P735" s="12"/>
      <c r="Q735" s="12"/>
      <c r="R735" s="12" t="s">
        <v>94</v>
      </c>
      <c r="S735" s="12">
        <v>10</v>
      </c>
      <c r="T735" s="12" t="s">
        <v>270</v>
      </c>
      <c r="U735" s="12" t="s">
        <v>271</v>
      </c>
      <c r="V735" s="12">
        <f>VLOOKUP(Tabla4[[#This Row],[ZONA DEFINITIVO]],Hoja1!$A$1:$D$121,3,0)</f>
        <v>229120</v>
      </c>
      <c r="W735" s="12">
        <f>VLOOKUP(Tabla4[[#This Row],[ZONA DEFINITIVO]],Hoja1!$A$1:$D$121,2,0)</f>
        <v>15214</v>
      </c>
      <c r="X735" s="12">
        <f>VLOOKUP(Tabla4[[#This Row],[ZONA DEFINITIVO]],Hoja1!$A$1:$D$121,4,0)</f>
        <v>86325</v>
      </c>
      <c r="Y735" s="12" t="str">
        <f>+IF(Tabla4[[#This Row],[AGRUPACIONES]]=1,SUMIFS(Tabla4[UDS],Tabla4[ZONA DEFINITIVO],Tabla4[[#This Row],[ZONA DEFINITIVO]])," ")</f>
        <v xml:space="preserve"> </v>
      </c>
      <c r="Z735" s="12" t="str">
        <f>+IF(Tabla4[[#This Row],[AGRUPACIONES]]=1,SUMIFS(Tabla4[TOTAL COBERTURA],Tabla4[ZONA DEFINITIVO],Tabla4[[#This Row],[ZONA DEFINITIVO]])," ")</f>
        <v xml:space="preserve"> </v>
      </c>
      <c r="AA735" s="12"/>
      <c r="AB735" s="38">
        <v>37063281</v>
      </c>
      <c r="AC735" s="37">
        <v>0.02</v>
      </c>
      <c r="AD735" s="38">
        <f t="shared" si="12"/>
        <v>741265.62</v>
      </c>
      <c r="AE735" s="12"/>
      <c r="AF735" s="12">
        <f>COUNTIF($A$20:A735,A735)</f>
        <v>11</v>
      </c>
      <c r="AG735" s="38">
        <v>37063281</v>
      </c>
      <c r="AH735" s="38">
        <f>Tabla4[[#This Row],[VALOR CONTRAPARTIDA]]+Tabla4[[#This Row],[TOTAL APORTES ICBF]]</f>
        <v>37804546.619999997</v>
      </c>
      <c r="AI735" s="35"/>
      <c r="AJ735" s="38"/>
      <c r="AK735" s="38"/>
      <c r="AL735" s="23"/>
      <c r="AM735" s="35">
        <f>VLOOKUP(Tabla4[[#This Row],[SERVICIO 2025]],$J$2:$V$14,5,0)*Tabla4[[#This Row],[TOTAL COBERTURA]]</f>
        <v>839392</v>
      </c>
      <c r="AN735" s="35">
        <f>VLOOKUP(Tabla4[[#This Row],[SERVICIO 2025]],$J$2:$V$14,6,0)*Tabla4[[#This Row],[TOTAL COBERTURA]]</f>
        <v>697493</v>
      </c>
      <c r="AO735" s="35">
        <f>VLOOKUP(Tabla4[[#This Row],[SERVICIO 2025]],$J$2:$V$14,8,0)*Tabla4[[#This Row],[TOTAL COBERTURA]]</f>
        <v>494700</v>
      </c>
      <c r="AP735" s="35">
        <f>VLOOKUP(Tabla4[[#This Row],[SERVICIO 2025]],$J$2:$V$14,3,0)*Tabla4[[#This Row],[TOTAL COBERTURA]]*8</f>
        <v>35031696</v>
      </c>
      <c r="AQ735" s="35"/>
      <c r="AR735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735" s="35" t="str">
        <f>+IF(Tabla4[[#This Row],[AGRUPACIONES]]=1,SUMIFS(Tabla4[VALOR TOTAL],Tabla4[ZONA DEFINITIVO],Tabla4[[#This Row],[ZONA DEFINITIVO]])," ")</f>
        <v xml:space="preserve"> </v>
      </c>
      <c r="AT735" s="27">
        <f>(VLOOKUP(Tabla4[[#This Row],[SERVICIO 2025]],$J$2:$V$14,3,0)*Tabla4[[#This Row],[TOTAL COBERTURA]])+Tabla4[[#This Row],[VALOR FASE PREPARATORIA DE ALISTAMIENTO]]+Tabla4[[#This Row],[DOTACIÓN ÚNICA]]</f>
        <v>5713054</v>
      </c>
      <c r="AU735" s="35">
        <f>(VLOOKUP(Tabla4[[#This Row],[SERVICIO 2025]],$J$2:$V$14,3,0)*Tabla4[[#This Row],[TOTAL COBERTURA]])</f>
        <v>4378962</v>
      </c>
      <c r="AV735" s="35">
        <f>(VLOOKUP(Tabla4[[#This Row],[SERVICIO 2025]],$J$2:$V$14,3,0)*Tabla4[[#This Row],[TOTAL COBERTURA]])</f>
        <v>4378962</v>
      </c>
      <c r="AW735" s="35">
        <f>(VLOOKUP(Tabla4[[#This Row],[SERVICIO 2025]],$J$2:$V$14,3,0)*Tabla4[[#This Row],[TOTAL COBERTURA]])</f>
        <v>4378962</v>
      </c>
      <c r="AX735" s="35">
        <f>(VLOOKUP(Tabla4[[#This Row],[SERVICIO 2025]],$J$2:$V$14,3,0)*Tabla4[[#This Row],[TOTAL COBERTURA]])</f>
        <v>4378962</v>
      </c>
      <c r="AY735" s="35">
        <f>(VLOOKUP(Tabla4[[#This Row],[SERVICIO 2025]],$J$2:$V$14,3,0)*Tabla4[[#This Row],[TOTAL COBERTURA]])</f>
        <v>4378962</v>
      </c>
      <c r="AZ735" s="35">
        <f>(VLOOKUP(Tabla4[[#This Row],[SERVICIO 2025]],$J$2:$V$14,3,0)*Tabla4[[#This Row],[TOTAL COBERTURA]])</f>
        <v>4378962</v>
      </c>
      <c r="BA735" s="35">
        <f>(VLOOKUP(Tabla4[[#This Row],[SERVICIO 2025]],$J$2:$V$14,3,0)*Tabla4[[#This Row],[TOTAL COBERTURA]])+Tabla4[[#This Row],[VALOR FASE PREPARATORIA DE CIERRE]]</f>
        <v>5076455</v>
      </c>
      <c r="BB735" s="35">
        <f>SUM(Tabla4[[#This Row],[DESEMBOLSO 1]:[DESEMBOLSO 8]])</f>
        <v>37063281</v>
      </c>
      <c r="BC735" s="35">
        <f>VLOOKUP(Tabla4[[#This Row],[SERVICIO 2025]],$J$2:$V$14,10,0)*Tabla4[[#This Row],[TOTAL COBERTURA]]*$W$3</f>
        <v>24532088</v>
      </c>
      <c r="BD735" s="47" t="s">
        <v>211</v>
      </c>
      <c r="BE735" s="12" t="b">
        <f>EXACT(Tabla4[[#This Row],[VALOR ATENCIÓN (8 MESES)]],Tabla4[[#This Row],[VALOR TOTAL]])</f>
        <v>1</v>
      </c>
      <c r="BF735" s="23">
        <f>Tabla4[[#This Row],[VALOR ATENCIÓN (8 MESES)]]-Tabla4[[#This Row],[VALOR TOTAL]]</f>
        <v>0</v>
      </c>
      <c r="BG735" s="12" t="b">
        <f>EXACT(Tabla4[[#This Row],[TOTAL DESEMBOLSOS]],Tabla4[[#This Row],[VALOR ATENCIÓN (8 MESES)]])</f>
        <v>1</v>
      </c>
      <c r="BH735" s="29">
        <f>Tabla4[[#This Row],[TOTAL DESEMBOLSOS]]-Tabla4[[#This Row],[VALOR ATENCIÓN (8 MESES)]]</f>
        <v>0</v>
      </c>
      <c r="BI735" t="s">
        <v>98</v>
      </c>
      <c r="BJ735">
        <v>1959</v>
      </c>
    </row>
    <row r="736" spans="1:62">
      <c r="A736" s="13">
        <v>1959</v>
      </c>
      <c r="B736" s="13" t="s">
        <v>1627</v>
      </c>
      <c r="C736" s="12" t="s">
        <v>87</v>
      </c>
      <c r="D736" s="12" t="s">
        <v>1628</v>
      </c>
      <c r="E736" s="12" t="s">
        <v>1629</v>
      </c>
      <c r="F736" s="12" t="s">
        <v>18</v>
      </c>
      <c r="G736" s="12" t="s">
        <v>90</v>
      </c>
      <c r="H736" s="12" t="s">
        <v>1651</v>
      </c>
      <c r="I736" s="12">
        <v>53611136726</v>
      </c>
      <c r="J736" s="12" t="s">
        <v>1652</v>
      </c>
      <c r="K736" s="12">
        <v>1</v>
      </c>
      <c r="L736" s="12">
        <v>9</v>
      </c>
      <c r="M736" s="12"/>
      <c r="N736" s="13">
        <v>1959</v>
      </c>
      <c r="O736" s="12" t="s">
        <v>93</v>
      </c>
      <c r="P736" s="12"/>
      <c r="Q736" s="12"/>
      <c r="R736" s="12" t="s">
        <v>94</v>
      </c>
      <c r="S736" s="12">
        <v>10</v>
      </c>
      <c r="T736" s="12" t="s">
        <v>270</v>
      </c>
      <c r="U736" s="12" t="s">
        <v>271</v>
      </c>
      <c r="V736" s="12">
        <f>VLOOKUP(Tabla4[[#This Row],[ZONA DEFINITIVO]],Hoja1!$A$1:$D$121,3,0)</f>
        <v>229120</v>
      </c>
      <c r="W736" s="12">
        <f>VLOOKUP(Tabla4[[#This Row],[ZONA DEFINITIVO]],Hoja1!$A$1:$D$121,2,0)</f>
        <v>15214</v>
      </c>
      <c r="X736" s="12">
        <f>VLOOKUP(Tabla4[[#This Row],[ZONA DEFINITIVO]],Hoja1!$A$1:$D$121,4,0)</f>
        <v>86325</v>
      </c>
      <c r="Y736" s="12" t="str">
        <f>+IF(Tabla4[[#This Row],[AGRUPACIONES]]=1,SUMIFS(Tabla4[UDS],Tabla4[ZONA DEFINITIVO],Tabla4[[#This Row],[ZONA DEFINITIVO]])," ")</f>
        <v xml:space="preserve"> </v>
      </c>
      <c r="Z736" s="12" t="str">
        <f>+IF(Tabla4[[#This Row],[AGRUPACIONES]]=1,SUMIFS(Tabla4[TOTAL COBERTURA],Tabla4[ZONA DEFINITIVO],Tabla4[[#This Row],[ZONA DEFINITIVO]])," ")</f>
        <v xml:space="preserve"> </v>
      </c>
      <c r="AA736" s="12"/>
      <c r="AB736" s="38">
        <v>19621737</v>
      </c>
      <c r="AC736" s="37">
        <v>0.02</v>
      </c>
      <c r="AD736" s="38">
        <f t="shared" si="12"/>
        <v>392434.74</v>
      </c>
      <c r="AE736" s="12"/>
      <c r="AF736" s="12">
        <f>COUNTIF($A$20:A736,A736)</f>
        <v>12</v>
      </c>
      <c r="AG736" s="38">
        <v>19621737</v>
      </c>
      <c r="AH736" s="38">
        <f>Tabla4[[#This Row],[VALOR CONTRAPARTIDA]]+Tabla4[[#This Row],[TOTAL APORTES ICBF]]</f>
        <v>20014171.739999998</v>
      </c>
      <c r="AI736" s="35"/>
      <c r="AJ736" s="38"/>
      <c r="AK736" s="38"/>
      <c r="AL736" s="23"/>
      <c r="AM736" s="35">
        <f>VLOOKUP(Tabla4[[#This Row],[SERVICIO 2025]],$J$2:$V$14,5,0)*Tabla4[[#This Row],[TOTAL COBERTURA]]</f>
        <v>444384</v>
      </c>
      <c r="AN736" s="35">
        <f>VLOOKUP(Tabla4[[#This Row],[SERVICIO 2025]],$J$2:$V$14,6,0)*Tabla4[[#This Row],[TOTAL COBERTURA]]</f>
        <v>369261</v>
      </c>
      <c r="AO736" s="35">
        <f>VLOOKUP(Tabla4[[#This Row],[SERVICIO 2025]],$J$2:$V$14,8,0)*Tabla4[[#This Row],[TOTAL COBERTURA]]</f>
        <v>261900</v>
      </c>
      <c r="AP736" s="35">
        <f>VLOOKUP(Tabla4[[#This Row],[SERVICIO 2025]],$J$2:$V$14,3,0)*Tabla4[[#This Row],[TOTAL COBERTURA]]*8</f>
        <v>18546192</v>
      </c>
      <c r="AQ736" s="35"/>
      <c r="AR736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736" s="35" t="str">
        <f>+IF(Tabla4[[#This Row],[AGRUPACIONES]]=1,SUMIFS(Tabla4[VALOR TOTAL],Tabla4[ZONA DEFINITIVO],Tabla4[[#This Row],[ZONA DEFINITIVO]])," ")</f>
        <v xml:space="preserve"> </v>
      </c>
      <c r="AT736" s="27">
        <f>(VLOOKUP(Tabla4[[#This Row],[SERVICIO 2025]],$J$2:$V$14,3,0)*Tabla4[[#This Row],[TOTAL COBERTURA]])+Tabla4[[#This Row],[VALOR FASE PREPARATORIA DE ALISTAMIENTO]]+Tabla4[[#This Row],[DOTACIÓN ÚNICA]]</f>
        <v>3024558</v>
      </c>
      <c r="AU736" s="35">
        <f>(VLOOKUP(Tabla4[[#This Row],[SERVICIO 2025]],$J$2:$V$14,3,0)*Tabla4[[#This Row],[TOTAL COBERTURA]])</f>
        <v>2318274</v>
      </c>
      <c r="AV736" s="35">
        <f>(VLOOKUP(Tabla4[[#This Row],[SERVICIO 2025]],$J$2:$V$14,3,0)*Tabla4[[#This Row],[TOTAL COBERTURA]])</f>
        <v>2318274</v>
      </c>
      <c r="AW736" s="35">
        <f>(VLOOKUP(Tabla4[[#This Row],[SERVICIO 2025]],$J$2:$V$14,3,0)*Tabla4[[#This Row],[TOTAL COBERTURA]])</f>
        <v>2318274</v>
      </c>
      <c r="AX736" s="35">
        <f>(VLOOKUP(Tabla4[[#This Row],[SERVICIO 2025]],$J$2:$V$14,3,0)*Tabla4[[#This Row],[TOTAL COBERTURA]])</f>
        <v>2318274</v>
      </c>
      <c r="AY736" s="35">
        <f>(VLOOKUP(Tabla4[[#This Row],[SERVICIO 2025]],$J$2:$V$14,3,0)*Tabla4[[#This Row],[TOTAL COBERTURA]])</f>
        <v>2318274</v>
      </c>
      <c r="AZ736" s="35">
        <f>(VLOOKUP(Tabla4[[#This Row],[SERVICIO 2025]],$J$2:$V$14,3,0)*Tabla4[[#This Row],[TOTAL COBERTURA]])</f>
        <v>2318274</v>
      </c>
      <c r="BA736" s="35">
        <f>(VLOOKUP(Tabla4[[#This Row],[SERVICIO 2025]],$J$2:$V$14,3,0)*Tabla4[[#This Row],[TOTAL COBERTURA]])+Tabla4[[#This Row],[VALOR FASE PREPARATORIA DE CIERRE]]</f>
        <v>2687535</v>
      </c>
      <c r="BB736" s="35">
        <f>SUM(Tabla4[[#This Row],[DESEMBOLSO 1]:[DESEMBOLSO 8]])</f>
        <v>19621737</v>
      </c>
      <c r="BC736" s="35">
        <f>VLOOKUP(Tabla4[[#This Row],[SERVICIO 2025]],$J$2:$V$14,10,0)*Tabla4[[#This Row],[TOTAL COBERTURA]]*$W$3</f>
        <v>12987576</v>
      </c>
      <c r="BD736" s="47" t="s">
        <v>211</v>
      </c>
      <c r="BE736" s="12" t="b">
        <f>EXACT(Tabla4[[#This Row],[VALOR ATENCIÓN (8 MESES)]],Tabla4[[#This Row],[VALOR TOTAL]])</f>
        <v>1</v>
      </c>
      <c r="BF736" s="23">
        <f>Tabla4[[#This Row],[VALOR ATENCIÓN (8 MESES)]]-Tabla4[[#This Row],[VALOR TOTAL]]</f>
        <v>0</v>
      </c>
      <c r="BG736" s="12" t="b">
        <f>EXACT(Tabla4[[#This Row],[TOTAL DESEMBOLSOS]],Tabla4[[#This Row],[VALOR ATENCIÓN (8 MESES)]])</f>
        <v>1</v>
      </c>
      <c r="BH736" s="29">
        <f>Tabla4[[#This Row],[TOTAL DESEMBOLSOS]]-Tabla4[[#This Row],[VALOR ATENCIÓN (8 MESES)]]</f>
        <v>0</v>
      </c>
      <c r="BI736" t="s">
        <v>98</v>
      </c>
      <c r="BJ736">
        <v>1959</v>
      </c>
    </row>
    <row r="737" spans="1:62">
      <c r="A737" s="13">
        <v>1959</v>
      </c>
      <c r="B737" s="13" t="s">
        <v>1627</v>
      </c>
      <c r="C737" s="12" t="s">
        <v>87</v>
      </c>
      <c r="D737" s="12" t="s">
        <v>1628</v>
      </c>
      <c r="E737" s="12" t="s">
        <v>1629</v>
      </c>
      <c r="F737" s="12" t="s">
        <v>18</v>
      </c>
      <c r="G737" s="12" t="s">
        <v>90</v>
      </c>
      <c r="H737" s="12" t="s">
        <v>1653</v>
      </c>
      <c r="I737" s="12">
        <v>53611136735</v>
      </c>
      <c r="J737" s="12" t="s">
        <v>1654</v>
      </c>
      <c r="K737" s="12">
        <v>1</v>
      </c>
      <c r="L737" s="12">
        <v>22</v>
      </c>
      <c r="M737" s="12"/>
      <c r="N737" s="13">
        <v>1959</v>
      </c>
      <c r="O737" s="12" t="s">
        <v>93</v>
      </c>
      <c r="P737" s="12"/>
      <c r="Q737" s="12"/>
      <c r="R737" s="12" t="s">
        <v>94</v>
      </c>
      <c r="S737" s="12">
        <v>10</v>
      </c>
      <c r="T737" s="12" t="s">
        <v>270</v>
      </c>
      <c r="U737" s="12" t="s">
        <v>271</v>
      </c>
      <c r="V737" s="12">
        <f>VLOOKUP(Tabla4[[#This Row],[ZONA DEFINITIVO]],Hoja1!$A$1:$D$121,3,0)</f>
        <v>229120</v>
      </c>
      <c r="W737" s="12">
        <f>VLOOKUP(Tabla4[[#This Row],[ZONA DEFINITIVO]],Hoja1!$A$1:$D$121,2,0)</f>
        <v>15214</v>
      </c>
      <c r="X737" s="12">
        <f>VLOOKUP(Tabla4[[#This Row],[ZONA DEFINITIVO]],Hoja1!$A$1:$D$121,4,0)</f>
        <v>86325</v>
      </c>
      <c r="Y737" s="12" t="str">
        <f>+IF(Tabla4[[#This Row],[AGRUPACIONES]]=1,SUMIFS(Tabla4[UDS],Tabla4[ZONA DEFINITIVO],Tabla4[[#This Row],[ZONA DEFINITIVO]])," ")</f>
        <v xml:space="preserve"> </v>
      </c>
      <c r="Z737" s="12" t="str">
        <f>+IF(Tabla4[[#This Row],[AGRUPACIONES]]=1,SUMIFS(Tabla4[TOTAL COBERTURA],Tabla4[ZONA DEFINITIVO],Tabla4[[#This Row],[ZONA DEFINITIVO]])," ")</f>
        <v xml:space="preserve"> </v>
      </c>
      <c r="AA737" s="12"/>
      <c r="AB737" s="38">
        <v>47964246</v>
      </c>
      <c r="AC737" s="37">
        <v>0.02</v>
      </c>
      <c r="AD737" s="38">
        <f t="shared" si="12"/>
        <v>959284.92</v>
      </c>
      <c r="AE737" s="12"/>
      <c r="AF737" s="12">
        <f>COUNTIF($A$20:A737,A737)</f>
        <v>13</v>
      </c>
      <c r="AG737" s="38">
        <v>47964246</v>
      </c>
      <c r="AH737" s="38">
        <f>Tabla4[[#This Row],[VALOR CONTRAPARTIDA]]+Tabla4[[#This Row],[TOTAL APORTES ICBF]]</f>
        <v>48923530.920000002</v>
      </c>
      <c r="AI737" s="35"/>
      <c r="AJ737" s="38"/>
      <c r="AK737" s="38"/>
      <c r="AL737" s="23"/>
      <c r="AM737" s="35">
        <f>VLOOKUP(Tabla4[[#This Row],[SERVICIO 2025]],$J$2:$V$14,5,0)*Tabla4[[#This Row],[TOTAL COBERTURA]]</f>
        <v>1086272</v>
      </c>
      <c r="AN737" s="35">
        <f>VLOOKUP(Tabla4[[#This Row],[SERVICIO 2025]],$J$2:$V$14,6,0)*Tabla4[[#This Row],[TOTAL COBERTURA]]</f>
        <v>902638</v>
      </c>
      <c r="AO737" s="35">
        <f>VLOOKUP(Tabla4[[#This Row],[SERVICIO 2025]],$J$2:$V$14,8,0)*Tabla4[[#This Row],[TOTAL COBERTURA]]</f>
        <v>640200</v>
      </c>
      <c r="AP737" s="35">
        <f>VLOOKUP(Tabla4[[#This Row],[SERVICIO 2025]],$J$2:$V$14,3,0)*Tabla4[[#This Row],[TOTAL COBERTURA]]*8</f>
        <v>45335136</v>
      </c>
      <c r="AQ737" s="35"/>
      <c r="AR737" s="35">
        <f>Tabla4[[#This Row],[VALOR FASE PREPARATORIA DE ALISTAMIENTO]]+Tabla4[[#This Row],[VALOR FASE PREPARATORIA DE CIERRE]]+Tabla4[[#This Row],[DOTACIÓN ÚNICA]]+Tabla4[[#This Row],[VALOR ATENCIÓN]]+Tabla4[[#This Row],[VALOR RACION PREPARADA]]</f>
        <v>47964246</v>
      </c>
      <c r="AS737" s="35" t="str">
        <f>+IF(Tabla4[[#This Row],[AGRUPACIONES]]=1,SUMIFS(Tabla4[VALOR TOTAL],Tabla4[ZONA DEFINITIVO],Tabla4[[#This Row],[ZONA DEFINITIVO]])," ")</f>
        <v xml:space="preserve"> </v>
      </c>
      <c r="AT737" s="27">
        <f>(VLOOKUP(Tabla4[[#This Row],[SERVICIO 2025]],$J$2:$V$14,3,0)*Tabla4[[#This Row],[TOTAL COBERTURA]])+Tabla4[[#This Row],[VALOR FASE PREPARATORIA DE ALISTAMIENTO]]+Tabla4[[#This Row],[DOTACIÓN ÚNICA]]</f>
        <v>7393364</v>
      </c>
      <c r="AU737" s="35">
        <f>(VLOOKUP(Tabla4[[#This Row],[SERVICIO 2025]],$J$2:$V$14,3,0)*Tabla4[[#This Row],[TOTAL COBERTURA]])</f>
        <v>5666892</v>
      </c>
      <c r="AV737" s="35">
        <f>(VLOOKUP(Tabla4[[#This Row],[SERVICIO 2025]],$J$2:$V$14,3,0)*Tabla4[[#This Row],[TOTAL COBERTURA]])</f>
        <v>5666892</v>
      </c>
      <c r="AW737" s="35">
        <f>(VLOOKUP(Tabla4[[#This Row],[SERVICIO 2025]],$J$2:$V$14,3,0)*Tabla4[[#This Row],[TOTAL COBERTURA]])</f>
        <v>5666892</v>
      </c>
      <c r="AX737" s="35">
        <f>(VLOOKUP(Tabla4[[#This Row],[SERVICIO 2025]],$J$2:$V$14,3,0)*Tabla4[[#This Row],[TOTAL COBERTURA]])</f>
        <v>5666892</v>
      </c>
      <c r="AY737" s="35">
        <f>(VLOOKUP(Tabla4[[#This Row],[SERVICIO 2025]],$J$2:$V$14,3,0)*Tabla4[[#This Row],[TOTAL COBERTURA]])</f>
        <v>5666892</v>
      </c>
      <c r="AZ737" s="35">
        <f>(VLOOKUP(Tabla4[[#This Row],[SERVICIO 2025]],$J$2:$V$14,3,0)*Tabla4[[#This Row],[TOTAL COBERTURA]])</f>
        <v>5666892</v>
      </c>
      <c r="BA737" s="35">
        <f>(VLOOKUP(Tabla4[[#This Row],[SERVICIO 2025]],$J$2:$V$14,3,0)*Tabla4[[#This Row],[TOTAL COBERTURA]])+Tabla4[[#This Row],[VALOR FASE PREPARATORIA DE CIERRE]]</f>
        <v>6569530</v>
      </c>
      <c r="BB737" s="35">
        <f>SUM(Tabla4[[#This Row],[DESEMBOLSO 1]:[DESEMBOLSO 8]])</f>
        <v>47964246</v>
      </c>
      <c r="BC737" s="35">
        <f>VLOOKUP(Tabla4[[#This Row],[SERVICIO 2025]],$J$2:$V$14,10,0)*Tabla4[[#This Row],[TOTAL COBERTURA]]*$W$3</f>
        <v>31747408</v>
      </c>
      <c r="BD737" s="47" t="s">
        <v>211</v>
      </c>
      <c r="BE737" s="12" t="b">
        <f>EXACT(Tabla4[[#This Row],[VALOR ATENCIÓN (8 MESES)]],Tabla4[[#This Row],[VALOR TOTAL]])</f>
        <v>1</v>
      </c>
      <c r="BF737" s="23">
        <f>Tabla4[[#This Row],[VALOR ATENCIÓN (8 MESES)]]-Tabla4[[#This Row],[VALOR TOTAL]]</f>
        <v>0</v>
      </c>
      <c r="BG737" s="12" t="b">
        <f>EXACT(Tabla4[[#This Row],[TOTAL DESEMBOLSOS]],Tabla4[[#This Row],[VALOR ATENCIÓN (8 MESES)]])</f>
        <v>1</v>
      </c>
      <c r="BH737" s="29">
        <f>Tabla4[[#This Row],[TOTAL DESEMBOLSOS]]-Tabla4[[#This Row],[VALOR ATENCIÓN (8 MESES)]]</f>
        <v>0</v>
      </c>
      <c r="BI737" t="s">
        <v>98</v>
      </c>
      <c r="BJ737">
        <v>1959</v>
      </c>
    </row>
    <row r="738" spans="1:62">
      <c r="A738" s="13">
        <v>1959</v>
      </c>
      <c r="B738" s="13" t="s">
        <v>1627</v>
      </c>
      <c r="C738" s="12" t="s">
        <v>87</v>
      </c>
      <c r="D738" s="12" t="s">
        <v>1628</v>
      </c>
      <c r="E738" s="12" t="s">
        <v>1629</v>
      </c>
      <c r="F738" s="12" t="s">
        <v>18</v>
      </c>
      <c r="G738" s="12" t="s">
        <v>90</v>
      </c>
      <c r="H738" s="12" t="s">
        <v>1655</v>
      </c>
      <c r="I738" s="12">
        <v>53611136740</v>
      </c>
      <c r="J738" s="12" t="s">
        <v>1656</v>
      </c>
      <c r="K738" s="12">
        <v>1</v>
      </c>
      <c r="L738" s="12">
        <v>8</v>
      </c>
      <c r="M738" s="12"/>
      <c r="N738" s="13">
        <v>1959</v>
      </c>
      <c r="O738" s="12" t="s">
        <v>93</v>
      </c>
      <c r="P738" s="12"/>
      <c r="Q738" s="12"/>
      <c r="R738" s="12" t="s">
        <v>94</v>
      </c>
      <c r="S738" s="12">
        <v>10</v>
      </c>
      <c r="T738" s="12" t="s">
        <v>270</v>
      </c>
      <c r="U738" s="12" t="s">
        <v>271</v>
      </c>
      <c r="V738" s="12">
        <f>VLOOKUP(Tabla4[[#This Row],[ZONA DEFINITIVO]],Hoja1!$A$1:$D$121,3,0)</f>
        <v>229120</v>
      </c>
      <c r="W738" s="12">
        <f>VLOOKUP(Tabla4[[#This Row],[ZONA DEFINITIVO]],Hoja1!$A$1:$D$121,2,0)</f>
        <v>15214</v>
      </c>
      <c r="X738" s="12">
        <f>VLOOKUP(Tabla4[[#This Row],[ZONA DEFINITIVO]],Hoja1!$A$1:$D$121,4,0)</f>
        <v>86325</v>
      </c>
      <c r="Y738" s="12" t="str">
        <f>+IF(Tabla4[[#This Row],[AGRUPACIONES]]=1,SUMIFS(Tabla4[UDS],Tabla4[ZONA DEFINITIVO],Tabla4[[#This Row],[ZONA DEFINITIVO]])," ")</f>
        <v xml:space="preserve"> </v>
      </c>
      <c r="Z738" s="12" t="str">
        <f>+IF(Tabla4[[#This Row],[AGRUPACIONES]]=1,SUMIFS(Tabla4[TOTAL COBERTURA],Tabla4[ZONA DEFINITIVO],Tabla4[[#This Row],[ZONA DEFINITIVO]])," ")</f>
        <v xml:space="preserve"> </v>
      </c>
      <c r="AA738" s="12"/>
      <c r="AB738" s="38">
        <v>17441544</v>
      </c>
      <c r="AC738" s="37">
        <v>0.02</v>
      </c>
      <c r="AD738" s="38">
        <f t="shared" si="12"/>
        <v>348830.88</v>
      </c>
      <c r="AE738" s="12"/>
      <c r="AF738" s="12">
        <f>COUNTIF($A$20:A738,A738)</f>
        <v>14</v>
      </c>
      <c r="AG738" s="38">
        <v>17441544</v>
      </c>
      <c r="AH738" s="38">
        <f>Tabla4[[#This Row],[VALOR CONTRAPARTIDA]]+Tabla4[[#This Row],[TOTAL APORTES ICBF]]</f>
        <v>17790374.879999999</v>
      </c>
      <c r="AI738" s="35"/>
      <c r="AJ738" s="38"/>
      <c r="AK738" s="38"/>
      <c r="AL738" s="23"/>
      <c r="AM738" s="35">
        <f>VLOOKUP(Tabla4[[#This Row],[SERVICIO 2025]],$J$2:$V$14,5,0)*Tabla4[[#This Row],[TOTAL COBERTURA]]</f>
        <v>395008</v>
      </c>
      <c r="AN738" s="35">
        <f>VLOOKUP(Tabla4[[#This Row],[SERVICIO 2025]],$J$2:$V$14,6,0)*Tabla4[[#This Row],[TOTAL COBERTURA]]</f>
        <v>328232</v>
      </c>
      <c r="AO738" s="35">
        <f>VLOOKUP(Tabla4[[#This Row],[SERVICIO 2025]],$J$2:$V$14,8,0)*Tabla4[[#This Row],[TOTAL COBERTURA]]</f>
        <v>232800</v>
      </c>
      <c r="AP738" s="35">
        <f>VLOOKUP(Tabla4[[#This Row],[SERVICIO 2025]],$J$2:$V$14,3,0)*Tabla4[[#This Row],[TOTAL COBERTURA]]*8</f>
        <v>16485504</v>
      </c>
      <c r="AQ738" s="35"/>
      <c r="AR738" s="35">
        <f>Tabla4[[#This Row],[VALOR FASE PREPARATORIA DE ALISTAMIENTO]]+Tabla4[[#This Row],[VALOR FASE PREPARATORIA DE CIERRE]]+Tabla4[[#This Row],[DOTACIÓN ÚNICA]]+Tabla4[[#This Row],[VALOR ATENCIÓN]]+Tabla4[[#This Row],[VALOR RACION PREPARADA]]</f>
        <v>17441544</v>
      </c>
      <c r="AS738" s="35" t="str">
        <f>+IF(Tabla4[[#This Row],[AGRUPACIONES]]=1,SUMIFS(Tabla4[VALOR TOTAL],Tabla4[ZONA DEFINITIVO],Tabla4[[#This Row],[ZONA DEFINITIVO]])," ")</f>
        <v xml:space="preserve"> </v>
      </c>
      <c r="AT738" s="27">
        <f>(VLOOKUP(Tabla4[[#This Row],[SERVICIO 2025]],$J$2:$V$14,3,0)*Tabla4[[#This Row],[TOTAL COBERTURA]])+Tabla4[[#This Row],[VALOR FASE PREPARATORIA DE ALISTAMIENTO]]+Tabla4[[#This Row],[DOTACIÓN ÚNICA]]</f>
        <v>2688496</v>
      </c>
      <c r="AU738" s="35">
        <f>(VLOOKUP(Tabla4[[#This Row],[SERVICIO 2025]],$J$2:$V$14,3,0)*Tabla4[[#This Row],[TOTAL COBERTURA]])</f>
        <v>2060688</v>
      </c>
      <c r="AV738" s="35">
        <f>(VLOOKUP(Tabla4[[#This Row],[SERVICIO 2025]],$J$2:$V$14,3,0)*Tabla4[[#This Row],[TOTAL COBERTURA]])</f>
        <v>2060688</v>
      </c>
      <c r="AW738" s="35">
        <f>(VLOOKUP(Tabla4[[#This Row],[SERVICIO 2025]],$J$2:$V$14,3,0)*Tabla4[[#This Row],[TOTAL COBERTURA]])</f>
        <v>2060688</v>
      </c>
      <c r="AX738" s="35">
        <f>(VLOOKUP(Tabla4[[#This Row],[SERVICIO 2025]],$J$2:$V$14,3,0)*Tabla4[[#This Row],[TOTAL COBERTURA]])</f>
        <v>2060688</v>
      </c>
      <c r="AY738" s="35">
        <f>(VLOOKUP(Tabla4[[#This Row],[SERVICIO 2025]],$J$2:$V$14,3,0)*Tabla4[[#This Row],[TOTAL COBERTURA]])</f>
        <v>2060688</v>
      </c>
      <c r="AZ738" s="35">
        <f>(VLOOKUP(Tabla4[[#This Row],[SERVICIO 2025]],$J$2:$V$14,3,0)*Tabla4[[#This Row],[TOTAL COBERTURA]])</f>
        <v>2060688</v>
      </c>
      <c r="BA738" s="35">
        <f>(VLOOKUP(Tabla4[[#This Row],[SERVICIO 2025]],$J$2:$V$14,3,0)*Tabla4[[#This Row],[TOTAL COBERTURA]])+Tabla4[[#This Row],[VALOR FASE PREPARATORIA DE CIERRE]]</f>
        <v>2388920</v>
      </c>
      <c r="BB738" s="35">
        <f>SUM(Tabla4[[#This Row],[DESEMBOLSO 1]:[DESEMBOLSO 8]])</f>
        <v>17441544</v>
      </c>
      <c r="BC738" s="35">
        <f>VLOOKUP(Tabla4[[#This Row],[SERVICIO 2025]],$J$2:$V$14,10,0)*Tabla4[[#This Row],[TOTAL COBERTURA]]*$W$3</f>
        <v>11544512</v>
      </c>
      <c r="BD738" s="47" t="s">
        <v>211</v>
      </c>
      <c r="BE738" s="12" t="b">
        <f>EXACT(Tabla4[[#This Row],[VALOR ATENCIÓN (8 MESES)]],Tabla4[[#This Row],[VALOR TOTAL]])</f>
        <v>1</v>
      </c>
      <c r="BF738" s="23">
        <f>Tabla4[[#This Row],[VALOR ATENCIÓN (8 MESES)]]-Tabla4[[#This Row],[VALOR TOTAL]]</f>
        <v>0</v>
      </c>
      <c r="BG738" s="12" t="b">
        <f>EXACT(Tabla4[[#This Row],[TOTAL DESEMBOLSOS]],Tabla4[[#This Row],[VALOR ATENCIÓN (8 MESES)]])</f>
        <v>1</v>
      </c>
      <c r="BH738" s="29">
        <f>Tabla4[[#This Row],[TOTAL DESEMBOLSOS]]-Tabla4[[#This Row],[VALOR ATENCIÓN (8 MESES)]]</f>
        <v>0</v>
      </c>
      <c r="BI738" t="s">
        <v>98</v>
      </c>
      <c r="BJ738">
        <v>1959</v>
      </c>
    </row>
    <row r="739" spans="1:62">
      <c r="A739" s="13">
        <v>1959</v>
      </c>
      <c r="B739" s="13" t="s">
        <v>1627</v>
      </c>
      <c r="C739" s="12" t="s">
        <v>87</v>
      </c>
      <c r="D739" s="12" t="s">
        <v>1628</v>
      </c>
      <c r="E739" s="12" t="s">
        <v>1629</v>
      </c>
      <c r="F739" s="12" t="s">
        <v>18</v>
      </c>
      <c r="G739" s="12" t="s">
        <v>90</v>
      </c>
      <c r="H739" s="12" t="s">
        <v>1657</v>
      </c>
      <c r="I739" s="12">
        <v>53611136744</v>
      </c>
      <c r="J739" s="12" t="s">
        <v>1658</v>
      </c>
      <c r="K739" s="12">
        <v>1</v>
      </c>
      <c r="L739" s="12">
        <v>11</v>
      </c>
      <c r="M739" s="12"/>
      <c r="N739" s="13">
        <v>1959</v>
      </c>
      <c r="O739" s="12" t="s">
        <v>93</v>
      </c>
      <c r="P739" s="12"/>
      <c r="Q739" s="12"/>
      <c r="R739" s="12" t="s">
        <v>94</v>
      </c>
      <c r="S739" s="12">
        <v>10</v>
      </c>
      <c r="T739" s="12" t="s">
        <v>270</v>
      </c>
      <c r="U739" s="12" t="s">
        <v>271</v>
      </c>
      <c r="V739" s="12">
        <f>VLOOKUP(Tabla4[[#This Row],[ZONA DEFINITIVO]],Hoja1!$A$1:$D$121,3,0)</f>
        <v>229120</v>
      </c>
      <c r="W739" s="12">
        <f>VLOOKUP(Tabla4[[#This Row],[ZONA DEFINITIVO]],Hoja1!$A$1:$D$121,2,0)</f>
        <v>15214</v>
      </c>
      <c r="X739" s="12">
        <f>VLOOKUP(Tabla4[[#This Row],[ZONA DEFINITIVO]],Hoja1!$A$1:$D$121,4,0)</f>
        <v>86325</v>
      </c>
      <c r="Y739" s="12" t="str">
        <f>+IF(Tabla4[[#This Row],[AGRUPACIONES]]=1,SUMIFS(Tabla4[UDS],Tabla4[ZONA DEFINITIVO],Tabla4[[#This Row],[ZONA DEFINITIVO]])," ")</f>
        <v xml:space="preserve"> </v>
      </c>
      <c r="Z739" s="12" t="str">
        <f>+IF(Tabla4[[#This Row],[AGRUPACIONES]]=1,SUMIFS(Tabla4[TOTAL COBERTURA],Tabla4[ZONA DEFINITIVO],Tabla4[[#This Row],[ZONA DEFINITIVO]])," ")</f>
        <v xml:space="preserve"> </v>
      </c>
      <c r="AA739" s="12"/>
      <c r="AB739" s="38">
        <v>23982123</v>
      </c>
      <c r="AC739" s="37">
        <v>0.02</v>
      </c>
      <c r="AD739" s="38">
        <f t="shared" si="12"/>
        <v>479642.46</v>
      </c>
      <c r="AE739" s="12"/>
      <c r="AF739" s="12">
        <f>COUNTIF($A$20:A739,A739)</f>
        <v>15</v>
      </c>
      <c r="AG739" s="38">
        <v>23982123</v>
      </c>
      <c r="AH739" s="38">
        <f>Tabla4[[#This Row],[VALOR CONTRAPARTIDA]]+Tabla4[[#This Row],[TOTAL APORTES ICBF]]</f>
        <v>24461765.460000001</v>
      </c>
      <c r="AI739" s="35"/>
      <c r="AJ739" s="38"/>
      <c r="AK739" s="38"/>
      <c r="AL739" s="23"/>
      <c r="AM739" s="35">
        <f>VLOOKUP(Tabla4[[#This Row],[SERVICIO 2025]],$J$2:$V$14,5,0)*Tabla4[[#This Row],[TOTAL COBERTURA]]</f>
        <v>543136</v>
      </c>
      <c r="AN739" s="35">
        <f>VLOOKUP(Tabla4[[#This Row],[SERVICIO 2025]],$J$2:$V$14,6,0)*Tabla4[[#This Row],[TOTAL COBERTURA]]</f>
        <v>451319</v>
      </c>
      <c r="AO739" s="35">
        <f>VLOOKUP(Tabla4[[#This Row],[SERVICIO 2025]],$J$2:$V$14,8,0)*Tabla4[[#This Row],[TOTAL COBERTURA]]</f>
        <v>320100</v>
      </c>
      <c r="AP739" s="35">
        <f>VLOOKUP(Tabla4[[#This Row],[SERVICIO 2025]],$J$2:$V$14,3,0)*Tabla4[[#This Row],[TOTAL COBERTURA]]*8</f>
        <v>22667568</v>
      </c>
      <c r="AQ739" s="35"/>
      <c r="AR739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739" s="35" t="str">
        <f>+IF(Tabla4[[#This Row],[AGRUPACIONES]]=1,SUMIFS(Tabla4[VALOR TOTAL],Tabla4[ZONA DEFINITIVO],Tabla4[[#This Row],[ZONA DEFINITIVO]])," ")</f>
        <v xml:space="preserve"> </v>
      </c>
      <c r="AT739" s="27">
        <f>(VLOOKUP(Tabla4[[#This Row],[SERVICIO 2025]],$J$2:$V$14,3,0)*Tabla4[[#This Row],[TOTAL COBERTURA]])+Tabla4[[#This Row],[VALOR FASE PREPARATORIA DE ALISTAMIENTO]]+Tabla4[[#This Row],[DOTACIÓN ÚNICA]]</f>
        <v>3696682</v>
      </c>
      <c r="AU739" s="35">
        <f>(VLOOKUP(Tabla4[[#This Row],[SERVICIO 2025]],$J$2:$V$14,3,0)*Tabla4[[#This Row],[TOTAL COBERTURA]])</f>
        <v>2833446</v>
      </c>
      <c r="AV739" s="35">
        <f>(VLOOKUP(Tabla4[[#This Row],[SERVICIO 2025]],$J$2:$V$14,3,0)*Tabla4[[#This Row],[TOTAL COBERTURA]])</f>
        <v>2833446</v>
      </c>
      <c r="AW739" s="35">
        <f>(VLOOKUP(Tabla4[[#This Row],[SERVICIO 2025]],$J$2:$V$14,3,0)*Tabla4[[#This Row],[TOTAL COBERTURA]])</f>
        <v>2833446</v>
      </c>
      <c r="AX739" s="35">
        <f>(VLOOKUP(Tabla4[[#This Row],[SERVICIO 2025]],$J$2:$V$14,3,0)*Tabla4[[#This Row],[TOTAL COBERTURA]])</f>
        <v>2833446</v>
      </c>
      <c r="AY739" s="35">
        <f>(VLOOKUP(Tabla4[[#This Row],[SERVICIO 2025]],$J$2:$V$14,3,0)*Tabla4[[#This Row],[TOTAL COBERTURA]])</f>
        <v>2833446</v>
      </c>
      <c r="AZ739" s="35">
        <f>(VLOOKUP(Tabla4[[#This Row],[SERVICIO 2025]],$J$2:$V$14,3,0)*Tabla4[[#This Row],[TOTAL COBERTURA]])</f>
        <v>2833446</v>
      </c>
      <c r="BA739" s="35">
        <f>(VLOOKUP(Tabla4[[#This Row],[SERVICIO 2025]],$J$2:$V$14,3,0)*Tabla4[[#This Row],[TOTAL COBERTURA]])+Tabla4[[#This Row],[VALOR FASE PREPARATORIA DE CIERRE]]</f>
        <v>3284765</v>
      </c>
      <c r="BB739" s="35">
        <f>SUM(Tabla4[[#This Row],[DESEMBOLSO 1]:[DESEMBOLSO 8]])</f>
        <v>23982123</v>
      </c>
      <c r="BC739" s="35">
        <f>VLOOKUP(Tabla4[[#This Row],[SERVICIO 2025]],$J$2:$V$14,10,0)*Tabla4[[#This Row],[TOTAL COBERTURA]]*$W$3</f>
        <v>15873704</v>
      </c>
      <c r="BD739" s="47" t="s">
        <v>211</v>
      </c>
      <c r="BE739" s="12" t="b">
        <f>EXACT(Tabla4[[#This Row],[VALOR ATENCIÓN (8 MESES)]],Tabla4[[#This Row],[VALOR TOTAL]])</f>
        <v>1</v>
      </c>
      <c r="BF739" s="23">
        <f>Tabla4[[#This Row],[VALOR ATENCIÓN (8 MESES)]]-Tabla4[[#This Row],[VALOR TOTAL]]</f>
        <v>0</v>
      </c>
      <c r="BG739" s="12" t="b">
        <f>EXACT(Tabla4[[#This Row],[TOTAL DESEMBOLSOS]],Tabla4[[#This Row],[VALOR ATENCIÓN (8 MESES)]])</f>
        <v>1</v>
      </c>
      <c r="BH739" s="29">
        <f>Tabla4[[#This Row],[TOTAL DESEMBOLSOS]]-Tabla4[[#This Row],[VALOR ATENCIÓN (8 MESES)]]</f>
        <v>0</v>
      </c>
      <c r="BI739" t="s">
        <v>98</v>
      </c>
      <c r="BJ739">
        <v>1959</v>
      </c>
    </row>
    <row r="740" spans="1:62">
      <c r="A740" s="13">
        <v>1959</v>
      </c>
      <c r="B740" s="13" t="s">
        <v>1627</v>
      </c>
      <c r="C740" s="12" t="s">
        <v>87</v>
      </c>
      <c r="D740" s="12" t="s">
        <v>1628</v>
      </c>
      <c r="E740" s="12" t="s">
        <v>1629</v>
      </c>
      <c r="F740" s="12" t="s">
        <v>18</v>
      </c>
      <c r="G740" s="12" t="s">
        <v>90</v>
      </c>
      <c r="H740" s="12" t="s">
        <v>306</v>
      </c>
      <c r="I740" s="12">
        <v>53611136762</v>
      </c>
      <c r="J740" s="12" t="s">
        <v>1659</v>
      </c>
      <c r="K740" s="12">
        <v>1</v>
      </c>
      <c r="L740" s="12">
        <v>41</v>
      </c>
      <c r="M740" s="12"/>
      <c r="N740" s="13">
        <v>1959</v>
      </c>
      <c r="O740" s="12" t="s">
        <v>93</v>
      </c>
      <c r="P740" s="12"/>
      <c r="Q740" s="12"/>
      <c r="R740" s="12" t="s">
        <v>94</v>
      </c>
      <c r="S740" s="12">
        <v>10</v>
      </c>
      <c r="T740" s="12" t="s">
        <v>270</v>
      </c>
      <c r="U740" s="12" t="s">
        <v>271</v>
      </c>
      <c r="V740" s="12">
        <f>VLOOKUP(Tabla4[[#This Row],[ZONA DEFINITIVO]],Hoja1!$A$1:$D$121,3,0)</f>
        <v>229120</v>
      </c>
      <c r="W740" s="12">
        <f>VLOOKUP(Tabla4[[#This Row],[ZONA DEFINITIVO]],Hoja1!$A$1:$D$121,2,0)</f>
        <v>15214</v>
      </c>
      <c r="X740" s="12">
        <f>VLOOKUP(Tabla4[[#This Row],[ZONA DEFINITIVO]],Hoja1!$A$1:$D$121,4,0)</f>
        <v>86325</v>
      </c>
      <c r="Y740" s="12" t="str">
        <f>+IF(Tabla4[[#This Row],[AGRUPACIONES]]=1,SUMIFS(Tabla4[UDS],Tabla4[ZONA DEFINITIVO],Tabla4[[#This Row],[ZONA DEFINITIVO]])," ")</f>
        <v xml:space="preserve"> </v>
      </c>
      <c r="Z740" s="12" t="str">
        <f>+IF(Tabla4[[#This Row],[AGRUPACIONES]]=1,SUMIFS(Tabla4[TOTAL COBERTURA],Tabla4[ZONA DEFINITIVO],Tabla4[[#This Row],[ZONA DEFINITIVO]])," ")</f>
        <v xml:space="preserve"> </v>
      </c>
      <c r="AA740" s="12"/>
      <c r="AB740" s="38">
        <v>89387913</v>
      </c>
      <c r="AC740" s="37">
        <v>0.02</v>
      </c>
      <c r="AD740" s="38">
        <f t="shared" si="12"/>
        <v>1787758.26</v>
      </c>
      <c r="AE740" s="12"/>
      <c r="AF740" s="12">
        <f>COUNTIF($A$20:A740,A740)</f>
        <v>16</v>
      </c>
      <c r="AG740" s="38">
        <v>89387913</v>
      </c>
      <c r="AH740" s="38">
        <f>Tabla4[[#This Row],[VALOR CONTRAPARTIDA]]+Tabla4[[#This Row],[TOTAL APORTES ICBF]]</f>
        <v>91175671.260000005</v>
      </c>
      <c r="AI740" s="35"/>
      <c r="AJ740" s="38"/>
      <c r="AK740" s="38"/>
      <c r="AL740" s="23"/>
      <c r="AM740" s="35">
        <f>VLOOKUP(Tabla4[[#This Row],[SERVICIO 2025]],$J$2:$V$14,5,0)*Tabla4[[#This Row],[TOTAL COBERTURA]]</f>
        <v>2024416</v>
      </c>
      <c r="AN740" s="35">
        <f>VLOOKUP(Tabla4[[#This Row],[SERVICIO 2025]],$J$2:$V$14,6,0)*Tabla4[[#This Row],[TOTAL COBERTURA]]</f>
        <v>1682189</v>
      </c>
      <c r="AO740" s="35">
        <f>VLOOKUP(Tabla4[[#This Row],[SERVICIO 2025]],$J$2:$V$14,8,0)*Tabla4[[#This Row],[TOTAL COBERTURA]]</f>
        <v>1193100</v>
      </c>
      <c r="AP740" s="35">
        <f>VLOOKUP(Tabla4[[#This Row],[SERVICIO 2025]],$J$2:$V$14,3,0)*Tabla4[[#This Row],[TOTAL COBERTURA]]*8</f>
        <v>84488208</v>
      </c>
      <c r="AQ740" s="35"/>
      <c r="AR740" s="35">
        <f>Tabla4[[#This Row],[VALOR FASE PREPARATORIA DE ALISTAMIENTO]]+Tabla4[[#This Row],[VALOR FASE PREPARATORIA DE CIERRE]]+Tabla4[[#This Row],[DOTACIÓN ÚNICA]]+Tabla4[[#This Row],[VALOR ATENCIÓN]]+Tabla4[[#This Row],[VALOR RACION PREPARADA]]</f>
        <v>89387913</v>
      </c>
      <c r="AS740" s="35" t="str">
        <f>+IF(Tabla4[[#This Row],[AGRUPACIONES]]=1,SUMIFS(Tabla4[VALOR TOTAL],Tabla4[ZONA DEFINITIVO],Tabla4[[#This Row],[ZONA DEFINITIVO]])," ")</f>
        <v xml:space="preserve"> </v>
      </c>
      <c r="AT740" s="27">
        <f>(VLOOKUP(Tabla4[[#This Row],[SERVICIO 2025]],$J$2:$V$14,3,0)*Tabla4[[#This Row],[TOTAL COBERTURA]])+Tabla4[[#This Row],[VALOR FASE PREPARATORIA DE ALISTAMIENTO]]+Tabla4[[#This Row],[DOTACIÓN ÚNICA]]</f>
        <v>13778542</v>
      </c>
      <c r="AU740" s="35">
        <f>(VLOOKUP(Tabla4[[#This Row],[SERVICIO 2025]],$J$2:$V$14,3,0)*Tabla4[[#This Row],[TOTAL COBERTURA]])</f>
        <v>10561026</v>
      </c>
      <c r="AV740" s="35">
        <f>(VLOOKUP(Tabla4[[#This Row],[SERVICIO 2025]],$J$2:$V$14,3,0)*Tabla4[[#This Row],[TOTAL COBERTURA]])</f>
        <v>10561026</v>
      </c>
      <c r="AW740" s="35">
        <f>(VLOOKUP(Tabla4[[#This Row],[SERVICIO 2025]],$J$2:$V$14,3,0)*Tabla4[[#This Row],[TOTAL COBERTURA]])</f>
        <v>10561026</v>
      </c>
      <c r="AX740" s="35">
        <f>(VLOOKUP(Tabla4[[#This Row],[SERVICIO 2025]],$J$2:$V$14,3,0)*Tabla4[[#This Row],[TOTAL COBERTURA]])</f>
        <v>10561026</v>
      </c>
      <c r="AY740" s="35">
        <f>(VLOOKUP(Tabla4[[#This Row],[SERVICIO 2025]],$J$2:$V$14,3,0)*Tabla4[[#This Row],[TOTAL COBERTURA]])</f>
        <v>10561026</v>
      </c>
      <c r="AZ740" s="35">
        <f>(VLOOKUP(Tabla4[[#This Row],[SERVICIO 2025]],$J$2:$V$14,3,0)*Tabla4[[#This Row],[TOTAL COBERTURA]])</f>
        <v>10561026</v>
      </c>
      <c r="BA740" s="35">
        <f>(VLOOKUP(Tabla4[[#This Row],[SERVICIO 2025]],$J$2:$V$14,3,0)*Tabla4[[#This Row],[TOTAL COBERTURA]])+Tabla4[[#This Row],[VALOR FASE PREPARATORIA DE CIERRE]]</f>
        <v>12243215</v>
      </c>
      <c r="BB740" s="35">
        <f>SUM(Tabla4[[#This Row],[DESEMBOLSO 1]:[DESEMBOLSO 8]])</f>
        <v>89387913</v>
      </c>
      <c r="BC740" s="35">
        <f>VLOOKUP(Tabla4[[#This Row],[SERVICIO 2025]],$J$2:$V$14,10,0)*Tabla4[[#This Row],[TOTAL COBERTURA]]*$W$3</f>
        <v>59165624</v>
      </c>
      <c r="BD740" s="47" t="s">
        <v>211</v>
      </c>
      <c r="BE740" s="12" t="b">
        <f>EXACT(Tabla4[[#This Row],[VALOR ATENCIÓN (8 MESES)]],Tabla4[[#This Row],[VALOR TOTAL]])</f>
        <v>1</v>
      </c>
      <c r="BF740" s="23">
        <f>Tabla4[[#This Row],[VALOR ATENCIÓN (8 MESES)]]-Tabla4[[#This Row],[VALOR TOTAL]]</f>
        <v>0</v>
      </c>
      <c r="BG740" s="12" t="b">
        <f>EXACT(Tabla4[[#This Row],[TOTAL DESEMBOLSOS]],Tabla4[[#This Row],[VALOR ATENCIÓN (8 MESES)]])</f>
        <v>1</v>
      </c>
      <c r="BH740" s="29">
        <f>Tabla4[[#This Row],[TOTAL DESEMBOLSOS]]-Tabla4[[#This Row],[VALOR ATENCIÓN (8 MESES)]]</f>
        <v>0</v>
      </c>
      <c r="BI740" t="s">
        <v>98</v>
      </c>
      <c r="BJ740">
        <v>1959</v>
      </c>
    </row>
    <row r="741" spans="1:62">
      <c r="A741" s="13">
        <v>1959</v>
      </c>
      <c r="B741" s="13" t="s">
        <v>1627</v>
      </c>
      <c r="C741" s="12" t="s">
        <v>87</v>
      </c>
      <c r="D741" s="12" t="s">
        <v>1628</v>
      </c>
      <c r="E741" s="12" t="s">
        <v>1629</v>
      </c>
      <c r="F741" s="12" t="s">
        <v>18</v>
      </c>
      <c r="G741" s="12" t="s">
        <v>90</v>
      </c>
      <c r="H741" s="12" t="s">
        <v>1660</v>
      </c>
      <c r="I741" s="12">
        <v>53611136971</v>
      </c>
      <c r="J741" s="12" t="s">
        <v>1661</v>
      </c>
      <c r="K741" s="12">
        <v>1</v>
      </c>
      <c r="L741" s="12">
        <v>5</v>
      </c>
      <c r="M741" s="12"/>
      <c r="N741" s="13">
        <v>1959</v>
      </c>
      <c r="O741" s="12" t="s">
        <v>93</v>
      </c>
      <c r="P741" s="12"/>
      <c r="Q741" s="12"/>
      <c r="R741" s="12" t="s">
        <v>94</v>
      </c>
      <c r="S741" s="12">
        <v>10</v>
      </c>
      <c r="T741" s="12" t="s">
        <v>270</v>
      </c>
      <c r="U741" s="12" t="s">
        <v>271</v>
      </c>
      <c r="V741" s="12">
        <f>VLOOKUP(Tabla4[[#This Row],[ZONA DEFINITIVO]],Hoja1!$A$1:$D$121,3,0)</f>
        <v>229120</v>
      </c>
      <c r="W741" s="12">
        <f>VLOOKUP(Tabla4[[#This Row],[ZONA DEFINITIVO]],Hoja1!$A$1:$D$121,2,0)</f>
        <v>15214</v>
      </c>
      <c r="X741" s="12">
        <f>VLOOKUP(Tabla4[[#This Row],[ZONA DEFINITIVO]],Hoja1!$A$1:$D$121,4,0)</f>
        <v>86325</v>
      </c>
      <c r="Y741" s="12" t="str">
        <f>+IF(Tabla4[[#This Row],[AGRUPACIONES]]=1,SUMIFS(Tabla4[UDS],Tabla4[ZONA DEFINITIVO],Tabla4[[#This Row],[ZONA DEFINITIVO]])," ")</f>
        <v xml:space="preserve"> </v>
      </c>
      <c r="Z741" s="12" t="str">
        <f>+IF(Tabla4[[#This Row],[AGRUPACIONES]]=1,SUMIFS(Tabla4[TOTAL COBERTURA],Tabla4[ZONA DEFINITIVO],Tabla4[[#This Row],[ZONA DEFINITIVO]])," ")</f>
        <v xml:space="preserve"> </v>
      </c>
      <c r="AA741" s="12"/>
      <c r="AB741" s="38">
        <v>10900965</v>
      </c>
      <c r="AC741" s="37">
        <v>0.02</v>
      </c>
      <c r="AD741" s="38">
        <f t="shared" si="12"/>
        <v>218019.30000000002</v>
      </c>
      <c r="AE741" s="12"/>
      <c r="AF741" s="12">
        <f>COUNTIF($A$20:A741,A741)</f>
        <v>17</v>
      </c>
      <c r="AG741" s="38">
        <v>10900965</v>
      </c>
      <c r="AH741" s="38">
        <f>Tabla4[[#This Row],[VALOR CONTRAPARTIDA]]+Tabla4[[#This Row],[TOTAL APORTES ICBF]]</f>
        <v>11118984.300000001</v>
      </c>
      <c r="AI741" s="35"/>
      <c r="AJ741" s="38"/>
      <c r="AK741" s="38"/>
      <c r="AL741" s="23"/>
      <c r="AM741" s="35">
        <f>VLOOKUP(Tabla4[[#This Row],[SERVICIO 2025]],$J$2:$V$14,5,0)*Tabla4[[#This Row],[TOTAL COBERTURA]]</f>
        <v>246880</v>
      </c>
      <c r="AN741" s="35">
        <f>VLOOKUP(Tabla4[[#This Row],[SERVICIO 2025]],$J$2:$V$14,6,0)*Tabla4[[#This Row],[TOTAL COBERTURA]]</f>
        <v>205145</v>
      </c>
      <c r="AO741" s="35">
        <f>VLOOKUP(Tabla4[[#This Row],[SERVICIO 2025]],$J$2:$V$14,8,0)*Tabla4[[#This Row],[TOTAL COBERTURA]]</f>
        <v>145500</v>
      </c>
      <c r="AP741" s="35">
        <f>VLOOKUP(Tabla4[[#This Row],[SERVICIO 2025]],$J$2:$V$14,3,0)*Tabla4[[#This Row],[TOTAL COBERTURA]]*8</f>
        <v>10303440</v>
      </c>
      <c r="AQ741" s="35"/>
      <c r="AR741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</v>
      </c>
      <c r="AS741" s="35" t="str">
        <f>+IF(Tabla4[[#This Row],[AGRUPACIONES]]=1,SUMIFS(Tabla4[VALOR TOTAL],Tabla4[ZONA DEFINITIVO],Tabla4[[#This Row],[ZONA DEFINITIVO]])," ")</f>
        <v xml:space="preserve"> </v>
      </c>
      <c r="AT741" s="27">
        <f>(VLOOKUP(Tabla4[[#This Row],[SERVICIO 2025]],$J$2:$V$14,3,0)*Tabla4[[#This Row],[TOTAL COBERTURA]])+Tabla4[[#This Row],[VALOR FASE PREPARATORIA DE ALISTAMIENTO]]+Tabla4[[#This Row],[DOTACIÓN ÚNICA]]</f>
        <v>1680310</v>
      </c>
      <c r="AU741" s="35">
        <f>(VLOOKUP(Tabla4[[#This Row],[SERVICIO 2025]],$J$2:$V$14,3,0)*Tabla4[[#This Row],[TOTAL COBERTURA]])</f>
        <v>1287930</v>
      </c>
      <c r="AV741" s="35">
        <f>(VLOOKUP(Tabla4[[#This Row],[SERVICIO 2025]],$J$2:$V$14,3,0)*Tabla4[[#This Row],[TOTAL COBERTURA]])</f>
        <v>1287930</v>
      </c>
      <c r="AW741" s="35">
        <f>(VLOOKUP(Tabla4[[#This Row],[SERVICIO 2025]],$J$2:$V$14,3,0)*Tabla4[[#This Row],[TOTAL COBERTURA]])</f>
        <v>1287930</v>
      </c>
      <c r="AX741" s="35">
        <f>(VLOOKUP(Tabla4[[#This Row],[SERVICIO 2025]],$J$2:$V$14,3,0)*Tabla4[[#This Row],[TOTAL COBERTURA]])</f>
        <v>1287930</v>
      </c>
      <c r="AY741" s="35">
        <f>(VLOOKUP(Tabla4[[#This Row],[SERVICIO 2025]],$J$2:$V$14,3,0)*Tabla4[[#This Row],[TOTAL COBERTURA]])</f>
        <v>1287930</v>
      </c>
      <c r="AZ741" s="35">
        <f>(VLOOKUP(Tabla4[[#This Row],[SERVICIO 2025]],$J$2:$V$14,3,0)*Tabla4[[#This Row],[TOTAL COBERTURA]])</f>
        <v>1287930</v>
      </c>
      <c r="BA741" s="35">
        <f>(VLOOKUP(Tabla4[[#This Row],[SERVICIO 2025]],$J$2:$V$14,3,0)*Tabla4[[#This Row],[TOTAL COBERTURA]])+Tabla4[[#This Row],[VALOR FASE PREPARATORIA DE CIERRE]]</f>
        <v>1493075</v>
      </c>
      <c r="BB741" s="35">
        <f>SUM(Tabla4[[#This Row],[DESEMBOLSO 1]:[DESEMBOLSO 8]])</f>
        <v>10900965</v>
      </c>
      <c r="BC741" s="35">
        <f>VLOOKUP(Tabla4[[#This Row],[SERVICIO 2025]],$J$2:$V$14,10,0)*Tabla4[[#This Row],[TOTAL COBERTURA]]*$W$3</f>
        <v>7215320</v>
      </c>
      <c r="BD741" s="47" t="s">
        <v>211</v>
      </c>
      <c r="BE741" s="12" t="b">
        <f>EXACT(Tabla4[[#This Row],[VALOR ATENCIÓN (8 MESES)]],Tabla4[[#This Row],[VALOR TOTAL]])</f>
        <v>1</v>
      </c>
      <c r="BF741" s="23">
        <f>Tabla4[[#This Row],[VALOR ATENCIÓN (8 MESES)]]-Tabla4[[#This Row],[VALOR TOTAL]]</f>
        <v>0</v>
      </c>
      <c r="BG741" s="12" t="b">
        <f>EXACT(Tabla4[[#This Row],[TOTAL DESEMBOLSOS]],Tabla4[[#This Row],[VALOR ATENCIÓN (8 MESES)]])</f>
        <v>1</v>
      </c>
      <c r="BH741" s="29">
        <f>Tabla4[[#This Row],[TOTAL DESEMBOLSOS]]-Tabla4[[#This Row],[VALOR ATENCIÓN (8 MESES)]]</f>
        <v>0</v>
      </c>
      <c r="BI741" t="s">
        <v>98</v>
      </c>
      <c r="BJ741">
        <v>1959</v>
      </c>
    </row>
    <row r="742" spans="1:62">
      <c r="A742" s="13">
        <v>1959</v>
      </c>
      <c r="B742" s="13" t="s">
        <v>1627</v>
      </c>
      <c r="C742" s="12" t="s">
        <v>87</v>
      </c>
      <c r="D742" s="12" t="s">
        <v>1628</v>
      </c>
      <c r="E742" s="12" t="s">
        <v>1629</v>
      </c>
      <c r="F742" s="12" t="s">
        <v>18</v>
      </c>
      <c r="G742" s="12" t="s">
        <v>90</v>
      </c>
      <c r="H742" s="12" t="s">
        <v>1662</v>
      </c>
      <c r="I742" s="12">
        <v>53611136976</v>
      </c>
      <c r="J742" s="12" t="s">
        <v>1663</v>
      </c>
      <c r="K742" s="12">
        <v>1</v>
      </c>
      <c r="L742" s="12">
        <v>11</v>
      </c>
      <c r="M742" s="12"/>
      <c r="N742" s="13">
        <v>1959</v>
      </c>
      <c r="O742" s="12" t="s">
        <v>93</v>
      </c>
      <c r="P742" s="12"/>
      <c r="Q742" s="12"/>
      <c r="R742" s="12" t="s">
        <v>94</v>
      </c>
      <c r="S742" s="12">
        <v>10</v>
      </c>
      <c r="T742" s="12" t="s">
        <v>270</v>
      </c>
      <c r="U742" s="12" t="s">
        <v>271</v>
      </c>
      <c r="V742" s="12">
        <f>VLOOKUP(Tabla4[[#This Row],[ZONA DEFINITIVO]],Hoja1!$A$1:$D$121,3,0)</f>
        <v>229120</v>
      </c>
      <c r="W742" s="12">
        <f>VLOOKUP(Tabla4[[#This Row],[ZONA DEFINITIVO]],Hoja1!$A$1:$D$121,2,0)</f>
        <v>15214</v>
      </c>
      <c r="X742" s="12">
        <f>VLOOKUP(Tabla4[[#This Row],[ZONA DEFINITIVO]],Hoja1!$A$1:$D$121,4,0)</f>
        <v>86325</v>
      </c>
      <c r="Y742" s="12" t="str">
        <f>+IF(Tabla4[[#This Row],[AGRUPACIONES]]=1,SUMIFS(Tabla4[UDS],Tabla4[ZONA DEFINITIVO],Tabla4[[#This Row],[ZONA DEFINITIVO]])," ")</f>
        <v xml:space="preserve"> </v>
      </c>
      <c r="Z742" s="12" t="str">
        <f>+IF(Tabla4[[#This Row],[AGRUPACIONES]]=1,SUMIFS(Tabla4[TOTAL COBERTURA],Tabla4[ZONA DEFINITIVO],Tabla4[[#This Row],[ZONA DEFINITIVO]])," ")</f>
        <v xml:space="preserve"> </v>
      </c>
      <c r="AA742" s="12"/>
      <c r="AB742" s="38">
        <v>23982123</v>
      </c>
      <c r="AC742" s="37">
        <v>0.02</v>
      </c>
      <c r="AD742" s="38">
        <f t="shared" si="12"/>
        <v>479642.46</v>
      </c>
      <c r="AE742" s="12"/>
      <c r="AF742" s="12">
        <f>COUNTIF($A$20:A742,A742)</f>
        <v>18</v>
      </c>
      <c r="AG742" s="38">
        <v>23982123</v>
      </c>
      <c r="AH742" s="38">
        <f>Tabla4[[#This Row],[VALOR CONTRAPARTIDA]]+Tabla4[[#This Row],[TOTAL APORTES ICBF]]</f>
        <v>24461765.460000001</v>
      </c>
      <c r="AI742" s="35"/>
      <c r="AJ742" s="38"/>
      <c r="AK742" s="38"/>
      <c r="AL742" s="23"/>
      <c r="AM742" s="35">
        <f>VLOOKUP(Tabla4[[#This Row],[SERVICIO 2025]],$J$2:$V$14,5,0)*Tabla4[[#This Row],[TOTAL COBERTURA]]</f>
        <v>543136</v>
      </c>
      <c r="AN742" s="35">
        <f>VLOOKUP(Tabla4[[#This Row],[SERVICIO 2025]],$J$2:$V$14,6,0)*Tabla4[[#This Row],[TOTAL COBERTURA]]</f>
        <v>451319</v>
      </c>
      <c r="AO742" s="35">
        <f>VLOOKUP(Tabla4[[#This Row],[SERVICIO 2025]],$J$2:$V$14,8,0)*Tabla4[[#This Row],[TOTAL COBERTURA]]</f>
        <v>320100</v>
      </c>
      <c r="AP742" s="35">
        <f>VLOOKUP(Tabla4[[#This Row],[SERVICIO 2025]],$J$2:$V$14,3,0)*Tabla4[[#This Row],[TOTAL COBERTURA]]*8</f>
        <v>22667568</v>
      </c>
      <c r="AQ742" s="35"/>
      <c r="AR742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742" s="35" t="str">
        <f>+IF(Tabla4[[#This Row],[AGRUPACIONES]]=1,SUMIFS(Tabla4[VALOR TOTAL],Tabla4[ZONA DEFINITIVO],Tabla4[[#This Row],[ZONA DEFINITIVO]])," ")</f>
        <v xml:space="preserve"> </v>
      </c>
      <c r="AT742" s="27">
        <f>(VLOOKUP(Tabla4[[#This Row],[SERVICIO 2025]],$J$2:$V$14,3,0)*Tabla4[[#This Row],[TOTAL COBERTURA]])+Tabla4[[#This Row],[VALOR FASE PREPARATORIA DE ALISTAMIENTO]]+Tabla4[[#This Row],[DOTACIÓN ÚNICA]]</f>
        <v>3696682</v>
      </c>
      <c r="AU742" s="35">
        <f>(VLOOKUP(Tabla4[[#This Row],[SERVICIO 2025]],$J$2:$V$14,3,0)*Tabla4[[#This Row],[TOTAL COBERTURA]])</f>
        <v>2833446</v>
      </c>
      <c r="AV742" s="35">
        <f>(VLOOKUP(Tabla4[[#This Row],[SERVICIO 2025]],$J$2:$V$14,3,0)*Tabla4[[#This Row],[TOTAL COBERTURA]])</f>
        <v>2833446</v>
      </c>
      <c r="AW742" s="35">
        <f>(VLOOKUP(Tabla4[[#This Row],[SERVICIO 2025]],$J$2:$V$14,3,0)*Tabla4[[#This Row],[TOTAL COBERTURA]])</f>
        <v>2833446</v>
      </c>
      <c r="AX742" s="35">
        <f>(VLOOKUP(Tabla4[[#This Row],[SERVICIO 2025]],$J$2:$V$14,3,0)*Tabla4[[#This Row],[TOTAL COBERTURA]])</f>
        <v>2833446</v>
      </c>
      <c r="AY742" s="35">
        <f>(VLOOKUP(Tabla4[[#This Row],[SERVICIO 2025]],$J$2:$V$14,3,0)*Tabla4[[#This Row],[TOTAL COBERTURA]])</f>
        <v>2833446</v>
      </c>
      <c r="AZ742" s="35">
        <f>(VLOOKUP(Tabla4[[#This Row],[SERVICIO 2025]],$J$2:$V$14,3,0)*Tabla4[[#This Row],[TOTAL COBERTURA]])</f>
        <v>2833446</v>
      </c>
      <c r="BA742" s="35">
        <f>(VLOOKUP(Tabla4[[#This Row],[SERVICIO 2025]],$J$2:$V$14,3,0)*Tabla4[[#This Row],[TOTAL COBERTURA]])+Tabla4[[#This Row],[VALOR FASE PREPARATORIA DE CIERRE]]</f>
        <v>3284765</v>
      </c>
      <c r="BB742" s="35">
        <f>SUM(Tabla4[[#This Row],[DESEMBOLSO 1]:[DESEMBOLSO 8]])</f>
        <v>23982123</v>
      </c>
      <c r="BC742" s="35">
        <f>VLOOKUP(Tabla4[[#This Row],[SERVICIO 2025]],$J$2:$V$14,10,0)*Tabla4[[#This Row],[TOTAL COBERTURA]]*$W$3</f>
        <v>15873704</v>
      </c>
      <c r="BD742" s="47" t="s">
        <v>211</v>
      </c>
      <c r="BE742" s="12" t="b">
        <f>EXACT(Tabla4[[#This Row],[VALOR ATENCIÓN (8 MESES)]],Tabla4[[#This Row],[VALOR TOTAL]])</f>
        <v>1</v>
      </c>
      <c r="BF742" s="23">
        <f>Tabla4[[#This Row],[VALOR ATENCIÓN (8 MESES)]]-Tabla4[[#This Row],[VALOR TOTAL]]</f>
        <v>0</v>
      </c>
      <c r="BG742" s="12" t="b">
        <f>EXACT(Tabla4[[#This Row],[TOTAL DESEMBOLSOS]],Tabla4[[#This Row],[VALOR ATENCIÓN (8 MESES)]])</f>
        <v>1</v>
      </c>
      <c r="BH742" s="29">
        <f>Tabla4[[#This Row],[TOTAL DESEMBOLSOS]]-Tabla4[[#This Row],[VALOR ATENCIÓN (8 MESES)]]</f>
        <v>0</v>
      </c>
      <c r="BI742" t="s">
        <v>98</v>
      </c>
      <c r="BJ742">
        <v>1959</v>
      </c>
    </row>
    <row r="743" spans="1:62">
      <c r="A743" s="13">
        <v>1959</v>
      </c>
      <c r="B743" s="13" t="s">
        <v>1627</v>
      </c>
      <c r="C743" s="12" t="s">
        <v>87</v>
      </c>
      <c r="D743" s="12" t="s">
        <v>1628</v>
      </c>
      <c r="E743" s="12" t="s">
        <v>1629</v>
      </c>
      <c r="F743" s="12" t="s">
        <v>18</v>
      </c>
      <c r="G743" s="12" t="s">
        <v>90</v>
      </c>
      <c r="H743" s="12" t="s">
        <v>1664</v>
      </c>
      <c r="I743" s="12">
        <v>53611136988</v>
      </c>
      <c r="J743" s="12" t="s">
        <v>1665</v>
      </c>
      <c r="K743" s="12">
        <v>1</v>
      </c>
      <c r="L743" s="12">
        <v>26</v>
      </c>
      <c r="M743" s="12"/>
      <c r="N743" s="13">
        <v>1959</v>
      </c>
      <c r="O743" s="12" t="s">
        <v>93</v>
      </c>
      <c r="P743" s="12"/>
      <c r="Q743" s="12"/>
      <c r="R743" s="12" t="s">
        <v>94</v>
      </c>
      <c r="S743" s="12">
        <v>10</v>
      </c>
      <c r="T743" s="12" t="s">
        <v>270</v>
      </c>
      <c r="U743" s="12" t="s">
        <v>271</v>
      </c>
      <c r="V743" s="12">
        <f>VLOOKUP(Tabla4[[#This Row],[ZONA DEFINITIVO]],Hoja1!$A$1:$D$121,3,0)</f>
        <v>229120</v>
      </c>
      <c r="W743" s="12">
        <f>VLOOKUP(Tabla4[[#This Row],[ZONA DEFINITIVO]],Hoja1!$A$1:$D$121,2,0)</f>
        <v>15214</v>
      </c>
      <c r="X743" s="12">
        <f>VLOOKUP(Tabla4[[#This Row],[ZONA DEFINITIVO]],Hoja1!$A$1:$D$121,4,0)</f>
        <v>86325</v>
      </c>
      <c r="Y743" s="12" t="str">
        <f>+IF(Tabla4[[#This Row],[AGRUPACIONES]]=1,SUMIFS(Tabla4[UDS],Tabla4[ZONA DEFINITIVO],Tabla4[[#This Row],[ZONA DEFINITIVO]])," ")</f>
        <v xml:space="preserve"> </v>
      </c>
      <c r="Z743" s="12" t="str">
        <f>+IF(Tabla4[[#This Row],[AGRUPACIONES]]=1,SUMIFS(Tabla4[TOTAL COBERTURA],Tabla4[ZONA DEFINITIVO],Tabla4[[#This Row],[ZONA DEFINITIVO]])," ")</f>
        <v xml:space="preserve"> </v>
      </c>
      <c r="AA743" s="12"/>
      <c r="AB743" s="38">
        <v>56685018</v>
      </c>
      <c r="AC743" s="37">
        <v>0.02</v>
      </c>
      <c r="AD743" s="38">
        <f t="shared" si="12"/>
        <v>1133700.3600000001</v>
      </c>
      <c r="AE743" s="12"/>
      <c r="AF743" s="12">
        <f>COUNTIF($A$20:A743,A743)</f>
        <v>19</v>
      </c>
      <c r="AG743" s="38">
        <v>56685018</v>
      </c>
      <c r="AH743" s="38">
        <f>Tabla4[[#This Row],[VALOR CONTRAPARTIDA]]+Tabla4[[#This Row],[TOTAL APORTES ICBF]]</f>
        <v>57818718.359999999</v>
      </c>
      <c r="AI743" s="35"/>
      <c r="AJ743" s="38"/>
      <c r="AK743" s="38"/>
      <c r="AL743" s="23"/>
      <c r="AM743" s="35">
        <f>VLOOKUP(Tabla4[[#This Row],[SERVICIO 2025]],$J$2:$V$14,5,0)*Tabla4[[#This Row],[TOTAL COBERTURA]]</f>
        <v>1283776</v>
      </c>
      <c r="AN743" s="35">
        <f>VLOOKUP(Tabla4[[#This Row],[SERVICIO 2025]],$J$2:$V$14,6,0)*Tabla4[[#This Row],[TOTAL COBERTURA]]</f>
        <v>1066754</v>
      </c>
      <c r="AO743" s="35">
        <f>VLOOKUP(Tabla4[[#This Row],[SERVICIO 2025]],$J$2:$V$14,8,0)*Tabla4[[#This Row],[TOTAL COBERTURA]]</f>
        <v>756600</v>
      </c>
      <c r="AP743" s="35">
        <f>VLOOKUP(Tabla4[[#This Row],[SERVICIO 2025]],$J$2:$V$14,3,0)*Tabla4[[#This Row],[TOTAL COBERTURA]]*8</f>
        <v>53577888</v>
      </c>
      <c r="AQ743" s="35"/>
      <c r="AR743" s="35">
        <f>Tabla4[[#This Row],[VALOR FASE PREPARATORIA DE ALISTAMIENTO]]+Tabla4[[#This Row],[VALOR FASE PREPARATORIA DE CIERRE]]+Tabla4[[#This Row],[DOTACIÓN ÚNICA]]+Tabla4[[#This Row],[VALOR ATENCIÓN]]+Tabla4[[#This Row],[VALOR RACION PREPARADA]]</f>
        <v>56685018</v>
      </c>
      <c r="AS743" s="35" t="str">
        <f>+IF(Tabla4[[#This Row],[AGRUPACIONES]]=1,SUMIFS(Tabla4[VALOR TOTAL],Tabla4[ZONA DEFINITIVO],Tabla4[[#This Row],[ZONA DEFINITIVO]])," ")</f>
        <v xml:space="preserve"> </v>
      </c>
      <c r="AT743" s="27">
        <f>(VLOOKUP(Tabla4[[#This Row],[SERVICIO 2025]],$J$2:$V$14,3,0)*Tabla4[[#This Row],[TOTAL COBERTURA]])+Tabla4[[#This Row],[VALOR FASE PREPARATORIA DE ALISTAMIENTO]]+Tabla4[[#This Row],[DOTACIÓN ÚNICA]]</f>
        <v>8737612</v>
      </c>
      <c r="AU743" s="35">
        <f>(VLOOKUP(Tabla4[[#This Row],[SERVICIO 2025]],$J$2:$V$14,3,0)*Tabla4[[#This Row],[TOTAL COBERTURA]])</f>
        <v>6697236</v>
      </c>
      <c r="AV743" s="35">
        <f>(VLOOKUP(Tabla4[[#This Row],[SERVICIO 2025]],$J$2:$V$14,3,0)*Tabla4[[#This Row],[TOTAL COBERTURA]])</f>
        <v>6697236</v>
      </c>
      <c r="AW743" s="35">
        <f>(VLOOKUP(Tabla4[[#This Row],[SERVICIO 2025]],$J$2:$V$14,3,0)*Tabla4[[#This Row],[TOTAL COBERTURA]])</f>
        <v>6697236</v>
      </c>
      <c r="AX743" s="35">
        <f>(VLOOKUP(Tabla4[[#This Row],[SERVICIO 2025]],$J$2:$V$14,3,0)*Tabla4[[#This Row],[TOTAL COBERTURA]])</f>
        <v>6697236</v>
      </c>
      <c r="AY743" s="35">
        <f>(VLOOKUP(Tabla4[[#This Row],[SERVICIO 2025]],$J$2:$V$14,3,0)*Tabla4[[#This Row],[TOTAL COBERTURA]])</f>
        <v>6697236</v>
      </c>
      <c r="AZ743" s="35">
        <f>(VLOOKUP(Tabla4[[#This Row],[SERVICIO 2025]],$J$2:$V$14,3,0)*Tabla4[[#This Row],[TOTAL COBERTURA]])</f>
        <v>6697236</v>
      </c>
      <c r="BA743" s="35">
        <f>(VLOOKUP(Tabla4[[#This Row],[SERVICIO 2025]],$J$2:$V$14,3,0)*Tabla4[[#This Row],[TOTAL COBERTURA]])+Tabla4[[#This Row],[VALOR FASE PREPARATORIA DE CIERRE]]</f>
        <v>7763990</v>
      </c>
      <c r="BB743" s="35">
        <f>SUM(Tabla4[[#This Row],[DESEMBOLSO 1]:[DESEMBOLSO 8]])</f>
        <v>56685018</v>
      </c>
      <c r="BC743" s="35">
        <f>VLOOKUP(Tabla4[[#This Row],[SERVICIO 2025]],$J$2:$V$14,10,0)*Tabla4[[#This Row],[TOTAL COBERTURA]]*$W$3</f>
        <v>37519664</v>
      </c>
      <c r="BD743" s="47" t="s">
        <v>211</v>
      </c>
      <c r="BE743" s="12" t="b">
        <f>EXACT(Tabla4[[#This Row],[VALOR ATENCIÓN (8 MESES)]],Tabla4[[#This Row],[VALOR TOTAL]])</f>
        <v>1</v>
      </c>
      <c r="BF743" s="23">
        <f>Tabla4[[#This Row],[VALOR ATENCIÓN (8 MESES)]]-Tabla4[[#This Row],[VALOR TOTAL]]</f>
        <v>0</v>
      </c>
      <c r="BG743" s="12" t="b">
        <f>EXACT(Tabla4[[#This Row],[TOTAL DESEMBOLSOS]],Tabla4[[#This Row],[VALOR ATENCIÓN (8 MESES)]])</f>
        <v>1</v>
      </c>
      <c r="BH743" s="29">
        <f>Tabla4[[#This Row],[TOTAL DESEMBOLSOS]]-Tabla4[[#This Row],[VALOR ATENCIÓN (8 MESES)]]</f>
        <v>0</v>
      </c>
      <c r="BI743" t="s">
        <v>98</v>
      </c>
      <c r="BJ743">
        <v>1959</v>
      </c>
    </row>
    <row r="744" spans="1:62">
      <c r="A744" s="13">
        <v>1959</v>
      </c>
      <c r="B744" s="13" t="s">
        <v>1627</v>
      </c>
      <c r="C744" s="12" t="s">
        <v>87</v>
      </c>
      <c r="D744" s="12" t="s">
        <v>1628</v>
      </c>
      <c r="E744" s="12" t="s">
        <v>1629</v>
      </c>
      <c r="F744" s="12" t="s">
        <v>18</v>
      </c>
      <c r="G744" s="12" t="s">
        <v>90</v>
      </c>
      <c r="H744" s="12" t="s">
        <v>1666</v>
      </c>
      <c r="I744" s="12">
        <v>53611136992</v>
      </c>
      <c r="J744" s="12" t="s">
        <v>1667</v>
      </c>
      <c r="K744" s="12">
        <v>1</v>
      </c>
      <c r="L744" s="12">
        <v>9</v>
      </c>
      <c r="M744" s="12"/>
      <c r="N744" s="13">
        <v>1959</v>
      </c>
      <c r="O744" s="12" t="s">
        <v>93</v>
      </c>
      <c r="P744" s="12"/>
      <c r="Q744" s="12"/>
      <c r="R744" s="12" t="s">
        <v>94</v>
      </c>
      <c r="S744" s="12">
        <v>10</v>
      </c>
      <c r="T744" s="12" t="s">
        <v>270</v>
      </c>
      <c r="U744" s="12" t="s">
        <v>271</v>
      </c>
      <c r="V744" s="12">
        <f>VLOOKUP(Tabla4[[#This Row],[ZONA DEFINITIVO]],Hoja1!$A$1:$D$121,3,0)</f>
        <v>229120</v>
      </c>
      <c r="W744" s="12">
        <f>VLOOKUP(Tabla4[[#This Row],[ZONA DEFINITIVO]],Hoja1!$A$1:$D$121,2,0)</f>
        <v>15214</v>
      </c>
      <c r="X744" s="12">
        <f>VLOOKUP(Tabla4[[#This Row],[ZONA DEFINITIVO]],Hoja1!$A$1:$D$121,4,0)</f>
        <v>86325</v>
      </c>
      <c r="Y744" s="12" t="str">
        <f>+IF(Tabla4[[#This Row],[AGRUPACIONES]]=1,SUMIFS(Tabla4[UDS],Tabla4[ZONA DEFINITIVO],Tabla4[[#This Row],[ZONA DEFINITIVO]])," ")</f>
        <v xml:space="preserve"> </v>
      </c>
      <c r="Z744" s="12" t="str">
        <f>+IF(Tabla4[[#This Row],[AGRUPACIONES]]=1,SUMIFS(Tabla4[TOTAL COBERTURA],Tabla4[ZONA DEFINITIVO],Tabla4[[#This Row],[ZONA DEFINITIVO]])," ")</f>
        <v xml:space="preserve"> </v>
      </c>
      <c r="AA744" s="12"/>
      <c r="AB744" s="38">
        <v>19621737</v>
      </c>
      <c r="AC744" s="37">
        <v>0.02</v>
      </c>
      <c r="AD744" s="38">
        <f t="shared" si="12"/>
        <v>392434.74</v>
      </c>
      <c r="AE744" s="12"/>
      <c r="AF744" s="12">
        <f>COUNTIF($A$20:A744,A744)</f>
        <v>20</v>
      </c>
      <c r="AG744" s="38">
        <v>19621737</v>
      </c>
      <c r="AH744" s="38">
        <f>Tabla4[[#This Row],[VALOR CONTRAPARTIDA]]+Tabla4[[#This Row],[TOTAL APORTES ICBF]]</f>
        <v>20014171.739999998</v>
      </c>
      <c r="AI744" s="35"/>
      <c r="AJ744" s="38"/>
      <c r="AK744" s="38"/>
      <c r="AL744" s="23"/>
      <c r="AM744" s="35">
        <f>VLOOKUP(Tabla4[[#This Row],[SERVICIO 2025]],$J$2:$V$14,5,0)*Tabla4[[#This Row],[TOTAL COBERTURA]]</f>
        <v>444384</v>
      </c>
      <c r="AN744" s="35">
        <f>VLOOKUP(Tabla4[[#This Row],[SERVICIO 2025]],$J$2:$V$14,6,0)*Tabla4[[#This Row],[TOTAL COBERTURA]]</f>
        <v>369261</v>
      </c>
      <c r="AO744" s="35">
        <f>VLOOKUP(Tabla4[[#This Row],[SERVICIO 2025]],$J$2:$V$14,8,0)*Tabla4[[#This Row],[TOTAL COBERTURA]]</f>
        <v>261900</v>
      </c>
      <c r="AP744" s="35">
        <f>VLOOKUP(Tabla4[[#This Row],[SERVICIO 2025]],$J$2:$V$14,3,0)*Tabla4[[#This Row],[TOTAL COBERTURA]]*8</f>
        <v>18546192</v>
      </c>
      <c r="AQ744" s="35"/>
      <c r="AR744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744" s="35" t="str">
        <f>+IF(Tabla4[[#This Row],[AGRUPACIONES]]=1,SUMIFS(Tabla4[VALOR TOTAL],Tabla4[ZONA DEFINITIVO],Tabla4[[#This Row],[ZONA DEFINITIVO]])," ")</f>
        <v xml:space="preserve"> </v>
      </c>
      <c r="AT744" s="27">
        <f>(VLOOKUP(Tabla4[[#This Row],[SERVICIO 2025]],$J$2:$V$14,3,0)*Tabla4[[#This Row],[TOTAL COBERTURA]])+Tabla4[[#This Row],[VALOR FASE PREPARATORIA DE ALISTAMIENTO]]+Tabla4[[#This Row],[DOTACIÓN ÚNICA]]</f>
        <v>3024558</v>
      </c>
      <c r="AU744" s="35">
        <f>(VLOOKUP(Tabla4[[#This Row],[SERVICIO 2025]],$J$2:$V$14,3,0)*Tabla4[[#This Row],[TOTAL COBERTURA]])</f>
        <v>2318274</v>
      </c>
      <c r="AV744" s="35">
        <f>(VLOOKUP(Tabla4[[#This Row],[SERVICIO 2025]],$J$2:$V$14,3,0)*Tabla4[[#This Row],[TOTAL COBERTURA]])</f>
        <v>2318274</v>
      </c>
      <c r="AW744" s="35">
        <f>(VLOOKUP(Tabla4[[#This Row],[SERVICIO 2025]],$J$2:$V$14,3,0)*Tabla4[[#This Row],[TOTAL COBERTURA]])</f>
        <v>2318274</v>
      </c>
      <c r="AX744" s="35">
        <f>(VLOOKUP(Tabla4[[#This Row],[SERVICIO 2025]],$J$2:$V$14,3,0)*Tabla4[[#This Row],[TOTAL COBERTURA]])</f>
        <v>2318274</v>
      </c>
      <c r="AY744" s="35">
        <f>(VLOOKUP(Tabla4[[#This Row],[SERVICIO 2025]],$J$2:$V$14,3,0)*Tabla4[[#This Row],[TOTAL COBERTURA]])</f>
        <v>2318274</v>
      </c>
      <c r="AZ744" s="35">
        <f>(VLOOKUP(Tabla4[[#This Row],[SERVICIO 2025]],$J$2:$V$14,3,0)*Tabla4[[#This Row],[TOTAL COBERTURA]])</f>
        <v>2318274</v>
      </c>
      <c r="BA744" s="35">
        <f>(VLOOKUP(Tabla4[[#This Row],[SERVICIO 2025]],$J$2:$V$14,3,0)*Tabla4[[#This Row],[TOTAL COBERTURA]])+Tabla4[[#This Row],[VALOR FASE PREPARATORIA DE CIERRE]]</f>
        <v>2687535</v>
      </c>
      <c r="BB744" s="35">
        <f>SUM(Tabla4[[#This Row],[DESEMBOLSO 1]:[DESEMBOLSO 8]])</f>
        <v>19621737</v>
      </c>
      <c r="BC744" s="35">
        <f>VLOOKUP(Tabla4[[#This Row],[SERVICIO 2025]],$J$2:$V$14,10,0)*Tabla4[[#This Row],[TOTAL COBERTURA]]*$W$3</f>
        <v>12987576</v>
      </c>
      <c r="BD744" s="47" t="s">
        <v>211</v>
      </c>
      <c r="BE744" s="12" t="b">
        <f>EXACT(Tabla4[[#This Row],[VALOR ATENCIÓN (8 MESES)]],Tabla4[[#This Row],[VALOR TOTAL]])</f>
        <v>1</v>
      </c>
      <c r="BF744" s="23">
        <f>Tabla4[[#This Row],[VALOR ATENCIÓN (8 MESES)]]-Tabla4[[#This Row],[VALOR TOTAL]]</f>
        <v>0</v>
      </c>
      <c r="BG744" s="12" t="b">
        <f>EXACT(Tabla4[[#This Row],[TOTAL DESEMBOLSOS]],Tabla4[[#This Row],[VALOR ATENCIÓN (8 MESES)]])</f>
        <v>1</v>
      </c>
      <c r="BH744" s="29">
        <f>Tabla4[[#This Row],[TOTAL DESEMBOLSOS]]-Tabla4[[#This Row],[VALOR ATENCIÓN (8 MESES)]]</f>
        <v>0</v>
      </c>
      <c r="BI744" t="s">
        <v>98</v>
      </c>
      <c r="BJ744">
        <v>1959</v>
      </c>
    </row>
    <row r="745" spans="1:62">
      <c r="A745" s="13">
        <v>1959</v>
      </c>
      <c r="B745" s="13" t="s">
        <v>1627</v>
      </c>
      <c r="C745" s="12" t="s">
        <v>87</v>
      </c>
      <c r="D745" s="12" t="s">
        <v>1628</v>
      </c>
      <c r="E745" s="12" t="s">
        <v>1629</v>
      </c>
      <c r="F745" s="12" t="s">
        <v>18</v>
      </c>
      <c r="G745" s="12" t="s">
        <v>90</v>
      </c>
      <c r="H745" s="12" t="s">
        <v>1668</v>
      </c>
      <c r="I745" s="12">
        <v>53611136993</v>
      </c>
      <c r="J745" s="12" t="s">
        <v>1669</v>
      </c>
      <c r="K745" s="12">
        <v>1</v>
      </c>
      <c r="L745" s="12">
        <v>11</v>
      </c>
      <c r="M745" s="12"/>
      <c r="N745" s="13">
        <v>1959</v>
      </c>
      <c r="O745" s="12" t="s">
        <v>93</v>
      </c>
      <c r="P745" s="12"/>
      <c r="Q745" s="12"/>
      <c r="R745" s="12" t="s">
        <v>94</v>
      </c>
      <c r="S745" s="12">
        <v>10</v>
      </c>
      <c r="T745" s="12" t="s">
        <v>270</v>
      </c>
      <c r="U745" s="12" t="s">
        <v>271</v>
      </c>
      <c r="V745" s="12">
        <f>VLOOKUP(Tabla4[[#This Row],[ZONA DEFINITIVO]],Hoja1!$A$1:$D$121,3,0)</f>
        <v>229120</v>
      </c>
      <c r="W745" s="12">
        <f>VLOOKUP(Tabla4[[#This Row],[ZONA DEFINITIVO]],Hoja1!$A$1:$D$121,2,0)</f>
        <v>15214</v>
      </c>
      <c r="X745" s="12">
        <f>VLOOKUP(Tabla4[[#This Row],[ZONA DEFINITIVO]],Hoja1!$A$1:$D$121,4,0)</f>
        <v>86325</v>
      </c>
      <c r="Y745" s="12" t="str">
        <f>+IF(Tabla4[[#This Row],[AGRUPACIONES]]=1,SUMIFS(Tabla4[UDS],Tabla4[ZONA DEFINITIVO],Tabla4[[#This Row],[ZONA DEFINITIVO]])," ")</f>
        <v xml:space="preserve"> </v>
      </c>
      <c r="Z745" s="12" t="str">
        <f>+IF(Tabla4[[#This Row],[AGRUPACIONES]]=1,SUMIFS(Tabla4[TOTAL COBERTURA],Tabla4[ZONA DEFINITIVO],Tabla4[[#This Row],[ZONA DEFINITIVO]])," ")</f>
        <v xml:space="preserve"> </v>
      </c>
      <c r="AA745" s="12"/>
      <c r="AB745" s="38">
        <v>23982123</v>
      </c>
      <c r="AC745" s="37">
        <v>0.02</v>
      </c>
      <c r="AD745" s="38">
        <f t="shared" si="12"/>
        <v>479642.46</v>
      </c>
      <c r="AE745" s="12"/>
      <c r="AF745" s="12">
        <f>COUNTIF($A$20:A745,A745)</f>
        <v>21</v>
      </c>
      <c r="AG745" s="38">
        <v>23982123</v>
      </c>
      <c r="AH745" s="38">
        <f>Tabla4[[#This Row],[VALOR CONTRAPARTIDA]]+Tabla4[[#This Row],[TOTAL APORTES ICBF]]</f>
        <v>24461765.460000001</v>
      </c>
      <c r="AI745" s="35"/>
      <c r="AJ745" s="38"/>
      <c r="AK745" s="38"/>
      <c r="AL745" s="23"/>
      <c r="AM745" s="35">
        <f>VLOOKUP(Tabla4[[#This Row],[SERVICIO 2025]],$J$2:$V$14,5,0)*Tabla4[[#This Row],[TOTAL COBERTURA]]</f>
        <v>543136</v>
      </c>
      <c r="AN745" s="35">
        <f>VLOOKUP(Tabla4[[#This Row],[SERVICIO 2025]],$J$2:$V$14,6,0)*Tabla4[[#This Row],[TOTAL COBERTURA]]</f>
        <v>451319</v>
      </c>
      <c r="AO745" s="35">
        <f>VLOOKUP(Tabla4[[#This Row],[SERVICIO 2025]],$J$2:$V$14,8,0)*Tabla4[[#This Row],[TOTAL COBERTURA]]</f>
        <v>320100</v>
      </c>
      <c r="AP745" s="35">
        <f>VLOOKUP(Tabla4[[#This Row],[SERVICIO 2025]],$J$2:$V$14,3,0)*Tabla4[[#This Row],[TOTAL COBERTURA]]*8</f>
        <v>22667568</v>
      </c>
      <c r="AQ745" s="35"/>
      <c r="AR745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745" s="35" t="str">
        <f>+IF(Tabla4[[#This Row],[AGRUPACIONES]]=1,SUMIFS(Tabla4[VALOR TOTAL],Tabla4[ZONA DEFINITIVO],Tabla4[[#This Row],[ZONA DEFINITIVO]])," ")</f>
        <v xml:space="preserve"> </v>
      </c>
      <c r="AT745" s="27">
        <f>(VLOOKUP(Tabla4[[#This Row],[SERVICIO 2025]],$J$2:$V$14,3,0)*Tabla4[[#This Row],[TOTAL COBERTURA]])+Tabla4[[#This Row],[VALOR FASE PREPARATORIA DE ALISTAMIENTO]]+Tabla4[[#This Row],[DOTACIÓN ÚNICA]]</f>
        <v>3696682</v>
      </c>
      <c r="AU745" s="35">
        <f>(VLOOKUP(Tabla4[[#This Row],[SERVICIO 2025]],$J$2:$V$14,3,0)*Tabla4[[#This Row],[TOTAL COBERTURA]])</f>
        <v>2833446</v>
      </c>
      <c r="AV745" s="35">
        <f>(VLOOKUP(Tabla4[[#This Row],[SERVICIO 2025]],$J$2:$V$14,3,0)*Tabla4[[#This Row],[TOTAL COBERTURA]])</f>
        <v>2833446</v>
      </c>
      <c r="AW745" s="35">
        <f>(VLOOKUP(Tabla4[[#This Row],[SERVICIO 2025]],$J$2:$V$14,3,0)*Tabla4[[#This Row],[TOTAL COBERTURA]])</f>
        <v>2833446</v>
      </c>
      <c r="AX745" s="35">
        <f>(VLOOKUP(Tabla4[[#This Row],[SERVICIO 2025]],$J$2:$V$14,3,0)*Tabla4[[#This Row],[TOTAL COBERTURA]])</f>
        <v>2833446</v>
      </c>
      <c r="AY745" s="35">
        <f>(VLOOKUP(Tabla4[[#This Row],[SERVICIO 2025]],$J$2:$V$14,3,0)*Tabla4[[#This Row],[TOTAL COBERTURA]])</f>
        <v>2833446</v>
      </c>
      <c r="AZ745" s="35">
        <f>(VLOOKUP(Tabla4[[#This Row],[SERVICIO 2025]],$J$2:$V$14,3,0)*Tabla4[[#This Row],[TOTAL COBERTURA]])</f>
        <v>2833446</v>
      </c>
      <c r="BA745" s="35">
        <f>(VLOOKUP(Tabla4[[#This Row],[SERVICIO 2025]],$J$2:$V$14,3,0)*Tabla4[[#This Row],[TOTAL COBERTURA]])+Tabla4[[#This Row],[VALOR FASE PREPARATORIA DE CIERRE]]</f>
        <v>3284765</v>
      </c>
      <c r="BB745" s="35">
        <f>SUM(Tabla4[[#This Row],[DESEMBOLSO 1]:[DESEMBOLSO 8]])</f>
        <v>23982123</v>
      </c>
      <c r="BC745" s="35">
        <f>VLOOKUP(Tabla4[[#This Row],[SERVICIO 2025]],$J$2:$V$14,10,0)*Tabla4[[#This Row],[TOTAL COBERTURA]]*$W$3</f>
        <v>15873704</v>
      </c>
      <c r="BD745" s="47" t="s">
        <v>211</v>
      </c>
      <c r="BE745" s="12" t="b">
        <f>EXACT(Tabla4[[#This Row],[VALOR ATENCIÓN (8 MESES)]],Tabla4[[#This Row],[VALOR TOTAL]])</f>
        <v>1</v>
      </c>
      <c r="BF745" s="23">
        <f>Tabla4[[#This Row],[VALOR ATENCIÓN (8 MESES)]]-Tabla4[[#This Row],[VALOR TOTAL]]</f>
        <v>0</v>
      </c>
      <c r="BG745" s="12" t="b">
        <f>EXACT(Tabla4[[#This Row],[TOTAL DESEMBOLSOS]],Tabla4[[#This Row],[VALOR ATENCIÓN (8 MESES)]])</f>
        <v>1</v>
      </c>
      <c r="BH745" s="29">
        <f>Tabla4[[#This Row],[TOTAL DESEMBOLSOS]]-Tabla4[[#This Row],[VALOR ATENCIÓN (8 MESES)]]</f>
        <v>0</v>
      </c>
      <c r="BI745" t="s">
        <v>98</v>
      </c>
      <c r="BJ745">
        <v>1959</v>
      </c>
    </row>
    <row r="746" spans="1:62">
      <c r="A746" s="13">
        <v>1959</v>
      </c>
      <c r="B746" s="13" t="s">
        <v>1627</v>
      </c>
      <c r="C746" s="12" t="s">
        <v>87</v>
      </c>
      <c r="D746" s="12" t="s">
        <v>1628</v>
      </c>
      <c r="E746" s="12" t="s">
        <v>1629</v>
      </c>
      <c r="F746" s="12" t="s">
        <v>18</v>
      </c>
      <c r="G746" s="12" t="s">
        <v>90</v>
      </c>
      <c r="H746" s="12" t="s">
        <v>1670</v>
      </c>
      <c r="I746" s="12">
        <v>53611137038</v>
      </c>
      <c r="J746" s="12" t="s">
        <v>1671</v>
      </c>
      <c r="K746" s="12">
        <v>1</v>
      </c>
      <c r="L746" s="12">
        <v>8</v>
      </c>
      <c r="M746" s="12"/>
      <c r="N746" s="13">
        <v>1959</v>
      </c>
      <c r="O746" s="12" t="s">
        <v>93</v>
      </c>
      <c r="P746" s="12"/>
      <c r="Q746" s="12"/>
      <c r="R746" s="12" t="s">
        <v>94</v>
      </c>
      <c r="S746" s="12">
        <v>10</v>
      </c>
      <c r="T746" s="12" t="s">
        <v>270</v>
      </c>
      <c r="U746" s="12" t="s">
        <v>271</v>
      </c>
      <c r="V746" s="12">
        <f>VLOOKUP(Tabla4[[#This Row],[ZONA DEFINITIVO]],Hoja1!$A$1:$D$121,3,0)</f>
        <v>229120</v>
      </c>
      <c r="W746" s="12">
        <f>VLOOKUP(Tabla4[[#This Row],[ZONA DEFINITIVO]],Hoja1!$A$1:$D$121,2,0)</f>
        <v>15214</v>
      </c>
      <c r="X746" s="12">
        <f>VLOOKUP(Tabla4[[#This Row],[ZONA DEFINITIVO]],Hoja1!$A$1:$D$121,4,0)</f>
        <v>86325</v>
      </c>
      <c r="Y746" s="12" t="str">
        <f>+IF(Tabla4[[#This Row],[AGRUPACIONES]]=1,SUMIFS(Tabla4[UDS],Tabla4[ZONA DEFINITIVO],Tabla4[[#This Row],[ZONA DEFINITIVO]])," ")</f>
        <v xml:space="preserve"> </v>
      </c>
      <c r="Z746" s="12" t="str">
        <f>+IF(Tabla4[[#This Row],[AGRUPACIONES]]=1,SUMIFS(Tabla4[TOTAL COBERTURA],Tabla4[ZONA DEFINITIVO],Tabla4[[#This Row],[ZONA DEFINITIVO]])," ")</f>
        <v xml:space="preserve"> </v>
      </c>
      <c r="AA746" s="12"/>
      <c r="AB746" s="38">
        <v>17441544</v>
      </c>
      <c r="AC746" s="37">
        <v>0.02</v>
      </c>
      <c r="AD746" s="38">
        <f t="shared" si="12"/>
        <v>348830.88</v>
      </c>
      <c r="AE746" s="12"/>
      <c r="AF746" s="12">
        <f>COUNTIF($A$20:A746,A746)</f>
        <v>22</v>
      </c>
      <c r="AG746" s="38">
        <v>17441544</v>
      </c>
      <c r="AH746" s="38">
        <f>Tabla4[[#This Row],[VALOR CONTRAPARTIDA]]+Tabla4[[#This Row],[TOTAL APORTES ICBF]]</f>
        <v>17790374.879999999</v>
      </c>
      <c r="AI746" s="35"/>
      <c r="AJ746" s="38"/>
      <c r="AK746" s="38"/>
      <c r="AL746" s="23"/>
      <c r="AM746" s="35">
        <f>VLOOKUP(Tabla4[[#This Row],[SERVICIO 2025]],$J$2:$V$14,5,0)*Tabla4[[#This Row],[TOTAL COBERTURA]]</f>
        <v>395008</v>
      </c>
      <c r="AN746" s="35">
        <f>VLOOKUP(Tabla4[[#This Row],[SERVICIO 2025]],$J$2:$V$14,6,0)*Tabla4[[#This Row],[TOTAL COBERTURA]]</f>
        <v>328232</v>
      </c>
      <c r="AO746" s="35">
        <f>VLOOKUP(Tabla4[[#This Row],[SERVICIO 2025]],$J$2:$V$14,8,0)*Tabla4[[#This Row],[TOTAL COBERTURA]]</f>
        <v>232800</v>
      </c>
      <c r="AP746" s="35">
        <f>VLOOKUP(Tabla4[[#This Row],[SERVICIO 2025]],$J$2:$V$14,3,0)*Tabla4[[#This Row],[TOTAL COBERTURA]]*8</f>
        <v>16485504</v>
      </c>
      <c r="AQ746" s="35"/>
      <c r="AR746" s="35">
        <f>Tabla4[[#This Row],[VALOR FASE PREPARATORIA DE ALISTAMIENTO]]+Tabla4[[#This Row],[VALOR FASE PREPARATORIA DE CIERRE]]+Tabla4[[#This Row],[DOTACIÓN ÚNICA]]+Tabla4[[#This Row],[VALOR ATENCIÓN]]+Tabla4[[#This Row],[VALOR RACION PREPARADA]]</f>
        <v>17441544</v>
      </c>
      <c r="AS746" s="35" t="str">
        <f>+IF(Tabla4[[#This Row],[AGRUPACIONES]]=1,SUMIFS(Tabla4[VALOR TOTAL],Tabla4[ZONA DEFINITIVO],Tabla4[[#This Row],[ZONA DEFINITIVO]])," ")</f>
        <v xml:space="preserve"> </v>
      </c>
      <c r="AT746" s="27">
        <f>(VLOOKUP(Tabla4[[#This Row],[SERVICIO 2025]],$J$2:$V$14,3,0)*Tabla4[[#This Row],[TOTAL COBERTURA]])+Tabla4[[#This Row],[VALOR FASE PREPARATORIA DE ALISTAMIENTO]]+Tabla4[[#This Row],[DOTACIÓN ÚNICA]]</f>
        <v>2688496</v>
      </c>
      <c r="AU746" s="35">
        <f>(VLOOKUP(Tabla4[[#This Row],[SERVICIO 2025]],$J$2:$V$14,3,0)*Tabla4[[#This Row],[TOTAL COBERTURA]])</f>
        <v>2060688</v>
      </c>
      <c r="AV746" s="35">
        <f>(VLOOKUP(Tabla4[[#This Row],[SERVICIO 2025]],$J$2:$V$14,3,0)*Tabla4[[#This Row],[TOTAL COBERTURA]])</f>
        <v>2060688</v>
      </c>
      <c r="AW746" s="35">
        <f>(VLOOKUP(Tabla4[[#This Row],[SERVICIO 2025]],$J$2:$V$14,3,0)*Tabla4[[#This Row],[TOTAL COBERTURA]])</f>
        <v>2060688</v>
      </c>
      <c r="AX746" s="35">
        <f>(VLOOKUP(Tabla4[[#This Row],[SERVICIO 2025]],$J$2:$V$14,3,0)*Tabla4[[#This Row],[TOTAL COBERTURA]])</f>
        <v>2060688</v>
      </c>
      <c r="AY746" s="35">
        <f>(VLOOKUP(Tabla4[[#This Row],[SERVICIO 2025]],$J$2:$V$14,3,0)*Tabla4[[#This Row],[TOTAL COBERTURA]])</f>
        <v>2060688</v>
      </c>
      <c r="AZ746" s="35">
        <f>(VLOOKUP(Tabla4[[#This Row],[SERVICIO 2025]],$J$2:$V$14,3,0)*Tabla4[[#This Row],[TOTAL COBERTURA]])</f>
        <v>2060688</v>
      </c>
      <c r="BA746" s="35">
        <f>(VLOOKUP(Tabla4[[#This Row],[SERVICIO 2025]],$J$2:$V$14,3,0)*Tabla4[[#This Row],[TOTAL COBERTURA]])+Tabla4[[#This Row],[VALOR FASE PREPARATORIA DE CIERRE]]</f>
        <v>2388920</v>
      </c>
      <c r="BB746" s="35">
        <f>SUM(Tabla4[[#This Row],[DESEMBOLSO 1]:[DESEMBOLSO 8]])</f>
        <v>17441544</v>
      </c>
      <c r="BC746" s="35">
        <f>VLOOKUP(Tabla4[[#This Row],[SERVICIO 2025]],$J$2:$V$14,10,0)*Tabla4[[#This Row],[TOTAL COBERTURA]]*$W$3</f>
        <v>11544512</v>
      </c>
      <c r="BD746" s="47" t="s">
        <v>211</v>
      </c>
      <c r="BE746" s="12" t="b">
        <f>EXACT(Tabla4[[#This Row],[VALOR ATENCIÓN (8 MESES)]],Tabla4[[#This Row],[VALOR TOTAL]])</f>
        <v>1</v>
      </c>
      <c r="BF746" s="23">
        <f>Tabla4[[#This Row],[VALOR ATENCIÓN (8 MESES)]]-Tabla4[[#This Row],[VALOR TOTAL]]</f>
        <v>0</v>
      </c>
      <c r="BG746" s="12" t="b">
        <f>EXACT(Tabla4[[#This Row],[TOTAL DESEMBOLSOS]],Tabla4[[#This Row],[VALOR ATENCIÓN (8 MESES)]])</f>
        <v>1</v>
      </c>
      <c r="BH746" s="29">
        <f>Tabla4[[#This Row],[TOTAL DESEMBOLSOS]]-Tabla4[[#This Row],[VALOR ATENCIÓN (8 MESES)]]</f>
        <v>0</v>
      </c>
      <c r="BI746" t="s">
        <v>98</v>
      </c>
      <c r="BJ746">
        <v>1959</v>
      </c>
    </row>
    <row r="747" spans="1:62">
      <c r="A747" s="13">
        <v>1959</v>
      </c>
      <c r="B747" s="13" t="s">
        <v>1627</v>
      </c>
      <c r="C747" s="12" t="s">
        <v>87</v>
      </c>
      <c r="D747" s="12" t="s">
        <v>1628</v>
      </c>
      <c r="E747" s="12" t="s">
        <v>1629</v>
      </c>
      <c r="F747" s="12" t="s">
        <v>18</v>
      </c>
      <c r="G747" s="12" t="s">
        <v>90</v>
      </c>
      <c r="H747" s="12" t="s">
        <v>1672</v>
      </c>
      <c r="I747" s="12">
        <v>53611137040</v>
      </c>
      <c r="J747" s="12" t="s">
        <v>1673</v>
      </c>
      <c r="K747" s="12">
        <v>1</v>
      </c>
      <c r="L747" s="12">
        <v>11</v>
      </c>
      <c r="M747" s="12"/>
      <c r="N747" s="13">
        <v>1959</v>
      </c>
      <c r="O747" s="12" t="s">
        <v>93</v>
      </c>
      <c r="P747" s="12"/>
      <c r="Q747" s="12"/>
      <c r="R747" s="12" t="s">
        <v>94</v>
      </c>
      <c r="S747" s="12">
        <v>10</v>
      </c>
      <c r="T747" s="12" t="s">
        <v>270</v>
      </c>
      <c r="U747" s="12" t="s">
        <v>271</v>
      </c>
      <c r="V747" s="12">
        <f>VLOOKUP(Tabla4[[#This Row],[ZONA DEFINITIVO]],Hoja1!$A$1:$D$121,3,0)</f>
        <v>229120</v>
      </c>
      <c r="W747" s="12">
        <f>VLOOKUP(Tabla4[[#This Row],[ZONA DEFINITIVO]],Hoja1!$A$1:$D$121,2,0)</f>
        <v>15214</v>
      </c>
      <c r="X747" s="12">
        <f>VLOOKUP(Tabla4[[#This Row],[ZONA DEFINITIVO]],Hoja1!$A$1:$D$121,4,0)</f>
        <v>86325</v>
      </c>
      <c r="Y747" s="12" t="str">
        <f>+IF(Tabla4[[#This Row],[AGRUPACIONES]]=1,SUMIFS(Tabla4[UDS],Tabla4[ZONA DEFINITIVO],Tabla4[[#This Row],[ZONA DEFINITIVO]])," ")</f>
        <v xml:space="preserve"> </v>
      </c>
      <c r="Z747" s="12" t="str">
        <f>+IF(Tabla4[[#This Row],[AGRUPACIONES]]=1,SUMIFS(Tabla4[TOTAL COBERTURA],Tabla4[ZONA DEFINITIVO],Tabla4[[#This Row],[ZONA DEFINITIVO]])," ")</f>
        <v xml:space="preserve"> </v>
      </c>
      <c r="AA747" s="12"/>
      <c r="AB747" s="38">
        <v>23982123</v>
      </c>
      <c r="AC747" s="37">
        <v>0.02</v>
      </c>
      <c r="AD747" s="38">
        <f t="shared" si="12"/>
        <v>479642.46</v>
      </c>
      <c r="AE747" s="12"/>
      <c r="AF747" s="12">
        <f>COUNTIF($A$20:A747,A747)</f>
        <v>23</v>
      </c>
      <c r="AG747" s="38">
        <v>23982123</v>
      </c>
      <c r="AH747" s="38">
        <f>Tabla4[[#This Row],[VALOR CONTRAPARTIDA]]+Tabla4[[#This Row],[TOTAL APORTES ICBF]]</f>
        <v>24461765.460000001</v>
      </c>
      <c r="AI747" s="35"/>
      <c r="AJ747" s="38"/>
      <c r="AK747" s="38"/>
      <c r="AL747" s="23"/>
      <c r="AM747" s="35">
        <f>VLOOKUP(Tabla4[[#This Row],[SERVICIO 2025]],$J$2:$V$14,5,0)*Tabla4[[#This Row],[TOTAL COBERTURA]]</f>
        <v>543136</v>
      </c>
      <c r="AN747" s="35">
        <f>VLOOKUP(Tabla4[[#This Row],[SERVICIO 2025]],$J$2:$V$14,6,0)*Tabla4[[#This Row],[TOTAL COBERTURA]]</f>
        <v>451319</v>
      </c>
      <c r="AO747" s="35">
        <f>VLOOKUP(Tabla4[[#This Row],[SERVICIO 2025]],$J$2:$V$14,8,0)*Tabla4[[#This Row],[TOTAL COBERTURA]]</f>
        <v>320100</v>
      </c>
      <c r="AP747" s="35">
        <f>VLOOKUP(Tabla4[[#This Row],[SERVICIO 2025]],$J$2:$V$14,3,0)*Tabla4[[#This Row],[TOTAL COBERTURA]]*8</f>
        <v>22667568</v>
      </c>
      <c r="AQ747" s="35"/>
      <c r="AR747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747" s="35" t="str">
        <f>+IF(Tabla4[[#This Row],[AGRUPACIONES]]=1,SUMIFS(Tabla4[VALOR TOTAL],Tabla4[ZONA DEFINITIVO],Tabla4[[#This Row],[ZONA DEFINITIVO]])," ")</f>
        <v xml:space="preserve"> </v>
      </c>
      <c r="AT747" s="27">
        <f>(VLOOKUP(Tabla4[[#This Row],[SERVICIO 2025]],$J$2:$V$14,3,0)*Tabla4[[#This Row],[TOTAL COBERTURA]])+Tabla4[[#This Row],[VALOR FASE PREPARATORIA DE ALISTAMIENTO]]+Tabla4[[#This Row],[DOTACIÓN ÚNICA]]</f>
        <v>3696682</v>
      </c>
      <c r="AU747" s="35">
        <f>(VLOOKUP(Tabla4[[#This Row],[SERVICIO 2025]],$J$2:$V$14,3,0)*Tabla4[[#This Row],[TOTAL COBERTURA]])</f>
        <v>2833446</v>
      </c>
      <c r="AV747" s="35">
        <f>(VLOOKUP(Tabla4[[#This Row],[SERVICIO 2025]],$J$2:$V$14,3,0)*Tabla4[[#This Row],[TOTAL COBERTURA]])</f>
        <v>2833446</v>
      </c>
      <c r="AW747" s="35">
        <f>(VLOOKUP(Tabla4[[#This Row],[SERVICIO 2025]],$J$2:$V$14,3,0)*Tabla4[[#This Row],[TOTAL COBERTURA]])</f>
        <v>2833446</v>
      </c>
      <c r="AX747" s="35">
        <f>(VLOOKUP(Tabla4[[#This Row],[SERVICIO 2025]],$J$2:$V$14,3,0)*Tabla4[[#This Row],[TOTAL COBERTURA]])</f>
        <v>2833446</v>
      </c>
      <c r="AY747" s="35">
        <f>(VLOOKUP(Tabla4[[#This Row],[SERVICIO 2025]],$J$2:$V$14,3,0)*Tabla4[[#This Row],[TOTAL COBERTURA]])</f>
        <v>2833446</v>
      </c>
      <c r="AZ747" s="35">
        <f>(VLOOKUP(Tabla4[[#This Row],[SERVICIO 2025]],$J$2:$V$14,3,0)*Tabla4[[#This Row],[TOTAL COBERTURA]])</f>
        <v>2833446</v>
      </c>
      <c r="BA747" s="35">
        <f>(VLOOKUP(Tabla4[[#This Row],[SERVICIO 2025]],$J$2:$V$14,3,0)*Tabla4[[#This Row],[TOTAL COBERTURA]])+Tabla4[[#This Row],[VALOR FASE PREPARATORIA DE CIERRE]]</f>
        <v>3284765</v>
      </c>
      <c r="BB747" s="35">
        <f>SUM(Tabla4[[#This Row],[DESEMBOLSO 1]:[DESEMBOLSO 8]])</f>
        <v>23982123</v>
      </c>
      <c r="BC747" s="35">
        <f>VLOOKUP(Tabla4[[#This Row],[SERVICIO 2025]],$J$2:$V$14,10,0)*Tabla4[[#This Row],[TOTAL COBERTURA]]*$W$3</f>
        <v>15873704</v>
      </c>
      <c r="BD747" s="47" t="s">
        <v>211</v>
      </c>
      <c r="BE747" s="12" t="b">
        <f>EXACT(Tabla4[[#This Row],[VALOR ATENCIÓN (8 MESES)]],Tabla4[[#This Row],[VALOR TOTAL]])</f>
        <v>1</v>
      </c>
      <c r="BF747" s="23">
        <f>Tabla4[[#This Row],[VALOR ATENCIÓN (8 MESES)]]-Tabla4[[#This Row],[VALOR TOTAL]]</f>
        <v>0</v>
      </c>
      <c r="BG747" s="12" t="b">
        <f>EXACT(Tabla4[[#This Row],[TOTAL DESEMBOLSOS]],Tabla4[[#This Row],[VALOR ATENCIÓN (8 MESES)]])</f>
        <v>1</v>
      </c>
      <c r="BH747" s="29">
        <f>Tabla4[[#This Row],[TOTAL DESEMBOLSOS]]-Tabla4[[#This Row],[VALOR ATENCIÓN (8 MESES)]]</f>
        <v>0</v>
      </c>
      <c r="BI747" t="s">
        <v>98</v>
      </c>
      <c r="BJ747">
        <v>1959</v>
      </c>
    </row>
    <row r="748" spans="1:62">
      <c r="A748" s="13">
        <v>1959</v>
      </c>
      <c r="B748" s="13" t="s">
        <v>1627</v>
      </c>
      <c r="C748" s="12" t="s">
        <v>87</v>
      </c>
      <c r="D748" s="12" t="s">
        <v>1628</v>
      </c>
      <c r="E748" s="12" t="s">
        <v>1629</v>
      </c>
      <c r="F748" s="12" t="s">
        <v>18</v>
      </c>
      <c r="G748" s="12" t="s">
        <v>90</v>
      </c>
      <c r="H748" s="12" t="s">
        <v>1674</v>
      </c>
      <c r="I748" s="12">
        <v>53611137061</v>
      </c>
      <c r="J748" s="12" t="s">
        <v>1675</v>
      </c>
      <c r="K748" s="12">
        <v>1</v>
      </c>
      <c r="L748" s="12">
        <v>29</v>
      </c>
      <c r="M748" s="12"/>
      <c r="N748" s="13">
        <v>1959</v>
      </c>
      <c r="O748" s="12" t="s">
        <v>93</v>
      </c>
      <c r="P748" s="12"/>
      <c r="Q748" s="12"/>
      <c r="R748" s="12" t="s">
        <v>94</v>
      </c>
      <c r="S748" s="12">
        <v>10</v>
      </c>
      <c r="T748" s="12" t="s">
        <v>270</v>
      </c>
      <c r="U748" s="12" t="s">
        <v>271</v>
      </c>
      <c r="V748" s="12">
        <f>VLOOKUP(Tabla4[[#This Row],[ZONA DEFINITIVO]],Hoja1!$A$1:$D$121,3,0)</f>
        <v>229120</v>
      </c>
      <c r="W748" s="12">
        <f>VLOOKUP(Tabla4[[#This Row],[ZONA DEFINITIVO]],Hoja1!$A$1:$D$121,2,0)</f>
        <v>15214</v>
      </c>
      <c r="X748" s="12">
        <f>VLOOKUP(Tabla4[[#This Row],[ZONA DEFINITIVO]],Hoja1!$A$1:$D$121,4,0)</f>
        <v>86325</v>
      </c>
      <c r="Y748" s="12" t="str">
        <f>+IF(Tabla4[[#This Row],[AGRUPACIONES]]=1,SUMIFS(Tabla4[UDS],Tabla4[ZONA DEFINITIVO],Tabla4[[#This Row],[ZONA DEFINITIVO]])," ")</f>
        <v xml:space="preserve"> </v>
      </c>
      <c r="Z748" s="12" t="str">
        <f>+IF(Tabla4[[#This Row],[AGRUPACIONES]]=1,SUMIFS(Tabla4[TOTAL COBERTURA],Tabla4[ZONA DEFINITIVO],Tabla4[[#This Row],[ZONA DEFINITIVO]])," ")</f>
        <v xml:space="preserve"> </v>
      </c>
      <c r="AA748" s="12"/>
      <c r="AB748" s="38">
        <v>63225597</v>
      </c>
      <c r="AC748" s="37">
        <v>0.02</v>
      </c>
      <c r="AD748" s="38">
        <f t="shared" si="12"/>
        <v>1264511.94</v>
      </c>
      <c r="AE748" s="12"/>
      <c r="AF748" s="12">
        <f>COUNTIF($A$20:A748,A748)</f>
        <v>24</v>
      </c>
      <c r="AG748" s="38">
        <v>63225597</v>
      </c>
      <c r="AH748" s="38">
        <f>Tabla4[[#This Row],[VALOR CONTRAPARTIDA]]+Tabla4[[#This Row],[TOTAL APORTES ICBF]]</f>
        <v>64490108.939999998</v>
      </c>
      <c r="AI748" s="35"/>
      <c r="AJ748" s="38"/>
      <c r="AK748" s="38"/>
      <c r="AL748" s="23"/>
      <c r="AM748" s="35">
        <f>VLOOKUP(Tabla4[[#This Row],[SERVICIO 2025]],$J$2:$V$14,5,0)*Tabla4[[#This Row],[TOTAL COBERTURA]]</f>
        <v>1431904</v>
      </c>
      <c r="AN748" s="35">
        <f>VLOOKUP(Tabla4[[#This Row],[SERVICIO 2025]],$J$2:$V$14,6,0)*Tabla4[[#This Row],[TOTAL COBERTURA]]</f>
        <v>1189841</v>
      </c>
      <c r="AO748" s="35">
        <f>VLOOKUP(Tabla4[[#This Row],[SERVICIO 2025]],$J$2:$V$14,8,0)*Tabla4[[#This Row],[TOTAL COBERTURA]]</f>
        <v>843900</v>
      </c>
      <c r="AP748" s="35">
        <f>VLOOKUP(Tabla4[[#This Row],[SERVICIO 2025]],$J$2:$V$14,3,0)*Tabla4[[#This Row],[TOTAL COBERTURA]]*8</f>
        <v>59759952</v>
      </c>
      <c r="AQ748" s="35"/>
      <c r="AR748" s="35">
        <f>Tabla4[[#This Row],[VALOR FASE PREPARATORIA DE ALISTAMIENTO]]+Tabla4[[#This Row],[VALOR FASE PREPARATORIA DE CIERRE]]+Tabla4[[#This Row],[DOTACIÓN ÚNICA]]+Tabla4[[#This Row],[VALOR ATENCIÓN]]+Tabla4[[#This Row],[VALOR RACION PREPARADA]]</f>
        <v>63225597</v>
      </c>
      <c r="AS748" s="35" t="str">
        <f>+IF(Tabla4[[#This Row],[AGRUPACIONES]]=1,SUMIFS(Tabla4[VALOR TOTAL],Tabla4[ZONA DEFINITIVO],Tabla4[[#This Row],[ZONA DEFINITIVO]])," ")</f>
        <v xml:space="preserve"> </v>
      </c>
      <c r="AT748" s="27">
        <f>(VLOOKUP(Tabla4[[#This Row],[SERVICIO 2025]],$J$2:$V$14,3,0)*Tabla4[[#This Row],[TOTAL COBERTURA]])+Tabla4[[#This Row],[VALOR FASE PREPARATORIA DE ALISTAMIENTO]]+Tabla4[[#This Row],[DOTACIÓN ÚNICA]]</f>
        <v>9745798</v>
      </c>
      <c r="AU748" s="35">
        <f>(VLOOKUP(Tabla4[[#This Row],[SERVICIO 2025]],$J$2:$V$14,3,0)*Tabla4[[#This Row],[TOTAL COBERTURA]])</f>
        <v>7469994</v>
      </c>
      <c r="AV748" s="35">
        <f>(VLOOKUP(Tabla4[[#This Row],[SERVICIO 2025]],$J$2:$V$14,3,0)*Tabla4[[#This Row],[TOTAL COBERTURA]])</f>
        <v>7469994</v>
      </c>
      <c r="AW748" s="35">
        <f>(VLOOKUP(Tabla4[[#This Row],[SERVICIO 2025]],$J$2:$V$14,3,0)*Tabla4[[#This Row],[TOTAL COBERTURA]])</f>
        <v>7469994</v>
      </c>
      <c r="AX748" s="35">
        <f>(VLOOKUP(Tabla4[[#This Row],[SERVICIO 2025]],$J$2:$V$14,3,0)*Tabla4[[#This Row],[TOTAL COBERTURA]])</f>
        <v>7469994</v>
      </c>
      <c r="AY748" s="35">
        <f>(VLOOKUP(Tabla4[[#This Row],[SERVICIO 2025]],$J$2:$V$14,3,0)*Tabla4[[#This Row],[TOTAL COBERTURA]])</f>
        <v>7469994</v>
      </c>
      <c r="AZ748" s="35">
        <f>(VLOOKUP(Tabla4[[#This Row],[SERVICIO 2025]],$J$2:$V$14,3,0)*Tabla4[[#This Row],[TOTAL COBERTURA]])</f>
        <v>7469994</v>
      </c>
      <c r="BA748" s="35">
        <f>(VLOOKUP(Tabla4[[#This Row],[SERVICIO 2025]],$J$2:$V$14,3,0)*Tabla4[[#This Row],[TOTAL COBERTURA]])+Tabla4[[#This Row],[VALOR FASE PREPARATORIA DE CIERRE]]</f>
        <v>8659835</v>
      </c>
      <c r="BB748" s="35">
        <f>SUM(Tabla4[[#This Row],[DESEMBOLSO 1]:[DESEMBOLSO 8]])</f>
        <v>63225597</v>
      </c>
      <c r="BC748" s="35">
        <f>VLOOKUP(Tabla4[[#This Row],[SERVICIO 2025]],$J$2:$V$14,10,0)*Tabla4[[#This Row],[TOTAL COBERTURA]]*$W$3</f>
        <v>41848856</v>
      </c>
      <c r="BD748" s="47" t="s">
        <v>211</v>
      </c>
      <c r="BE748" s="12" t="b">
        <f>EXACT(Tabla4[[#This Row],[VALOR ATENCIÓN (8 MESES)]],Tabla4[[#This Row],[VALOR TOTAL]])</f>
        <v>1</v>
      </c>
      <c r="BF748" s="23">
        <f>Tabla4[[#This Row],[VALOR ATENCIÓN (8 MESES)]]-Tabla4[[#This Row],[VALOR TOTAL]]</f>
        <v>0</v>
      </c>
      <c r="BG748" s="12" t="b">
        <f>EXACT(Tabla4[[#This Row],[TOTAL DESEMBOLSOS]],Tabla4[[#This Row],[VALOR ATENCIÓN (8 MESES)]])</f>
        <v>1</v>
      </c>
      <c r="BH748" s="29">
        <f>Tabla4[[#This Row],[TOTAL DESEMBOLSOS]]-Tabla4[[#This Row],[VALOR ATENCIÓN (8 MESES)]]</f>
        <v>0</v>
      </c>
      <c r="BI748" t="s">
        <v>98</v>
      </c>
      <c r="BJ748">
        <v>1959</v>
      </c>
    </row>
    <row r="749" spans="1:62">
      <c r="A749" s="13">
        <v>1959</v>
      </c>
      <c r="B749" s="13" t="s">
        <v>1627</v>
      </c>
      <c r="C749" s="12" t="s">
        <v>87</v>
      </c>
      <c r="D749" s="12" t="s">
        <v>1628</v>
      </c>
      <c r="E749" s="12" t="s">
        <v>1629</v>
      </c>
      <c r="F749" s="12" t="s">
        <v>18</v>
      </c>
      <c r="G749" s="12" t="s">
        <v>90</v>
      </c>
      <c r="H749" s="12" t="s">
        <v>1676</v>
      </c>
      <c r="I749" s="12">
        <v>53611139344</v>
      </c>
      <c r="J749" s="12" t="s">
        <v>1677</v>
      </c>
      <c r="K749" s="12">
        <v>1</v>
      </c>
      <c r="L749" s="12">
        <v>39</v>
      </c>
      <c r="M749" s="12"/>
      <c r="N749" s="13">
        <v>1959</v>
      </c>
      <c r="O749" s="12" t="s">
        <v>93</v>
      </c>
      <c r="P749" s="12"/>
      <c r="Q749" s="12"/>
      <c r="R749" s="12" t="s">
        <v>94</v>
      </c>
      <c r="S749" s="12">
        <v>10</v>
      </c>
      <c r="T749" s="12" t="s">
        <v>270</v>
      </c>
      <c r="U749" s="12" t="s">
        <v>271</v>
      </c>
      <c r="V749" s="12">
        <f>VLOOKUP(Tabla4[[#This Row],[ZONA DEFINITIVO]],Hoja1!$A$1:$D$121,3,0)</f>
        <v>229120</v>
      </c>
      <c r="W749" s="12">
        <f>VLOOKUP(Tabla4[[#This Row],[ZONA DEFINITIVO]],Hoja1!$A$1:$D$121,2,0)</f>
        <v>15214</v>
      </c>
      <c r="X749" s="12">
        <f>VLOOKUP(Tabla4[[#This Row],[ZONA DEFINITIVO]],Hoja1!$A$1:$D$121,4,0)</f>
        <v>86325</v>
      </c>
      <c r="Y749" s="12" t="str">
        <f>+IF(Tabla4[[#This Row],[AGRUPACIONES]]=1,SUMIFS(Tabla4[UDS],Tabla4[ZONA DEFINITIVO],Tabla4[[#This Row],[ZONA DEFINITIVO]])," ")</f>
        <v xml:space="preserve"> </v>
      </c>
      <c r="Z749" s="12" t="str">
        <f>+IF(Tabla4[[#This Row],[AGRUPACIONES]]=1,SUMIFS(Tabla4[TOTAL COBERTURA],Tabla4[ZONA DEFINITIVO],Tabla4[[#This Row],[ZONA DEFINITIVO]])," ")</f>
        <v xml:space="preserve"> </v>
      </c>
      <c r="AA749" s="12"/>
      <c r="AB749" s="38">
        <v>85027527</v>
      </c>
      <c r="AC749" s="37">
        <v>0.02</v>
      </c>
      <c r="AD749" s="38">
        <f t="shared" si="12"/>
        <v>1700550.54</v>
      </c>
      <c r="AE749" s="12"/>
      <c r="AF749" s="12">
        <f>COUNTIF($A$20:A749,A749)</f>
        <v>25</v>
      </c>
      <c r="AG749" s="38">
        <v>85027527</v>
      </c>
      <c r="AH749" s="38">
        <f>Tabla4[[#This Row],[VALOR CONTRAPARTIDA]]+Tabla4[[#This Row],[TOTAL APORTES ICBF]]</f>
        <v>86728077.540000007</v>
      </c>
      <c r="AI749" s="35"/>
      <c r="AJ749" s="38"/>
      <c r="AK749" s="38"/>
      <c r="AL749" s="23"/>
      <c r="AM749" s="35">
        <f>VLOOKUP(Tabla4[[#This Row],[SERVICIO 2025]],$J$2:$V$14,5,0)*Tabla4[[#This Row],[TOTAL COBERTURA]]</f>
        <v>1925664</v>
      </c>
      <c r="AN749" s="35">
        <f>VLOOKUP(Tabla4[[#This Row],[SERVICIO 2025]],$J$2:$V$14,6,0)*Tabla4[[#This Row],[TOTAL COBERTURA]]</f>
        <v>1600131</v>
      </c>
      <c r="AO749" s="35">
        <f>VLOOKUP(Tabla4[[#This Row],[SERVICIO 2025]],$J$2:$V$14,8,0)*Tabla4[[#This Row],[TOTAL COBERTURA]]</f>
        <v>1134900</v>
      </c>
      <c r="AP749" s="35">
        <f>VLOOKUP(Tabla4[[#This Row],[SERVICIO 2025]],$J$2:$V$14,3,0)*Tabla4[[#This Row],[TOTAL COBERTURA]]*8</f>
        <v>80366832</v>
      </c>
      <c r="AQ749" s="35"/>
      <c r="AR749" s="35">
        <f>Tabla4[[#This Row],[VALOR FASE PREPARATORIA DE ALISTAMIENTO]]+Tabla4[[#This Row],[VALOR FASE PREPARATORIA DE CIERRE]]+Tabla4[[#This Row],[DOTACIÓN ÚNICA]]+Tabla4[[#This Row],[VALOR ATENCIÓN]]+Tabla4[[#This Row],[VALOR RACION PREPARADA]]</f>
        <v>85027527</v>
      </c>
      <c r="AS749" s="35" t="str">
        <f>+IF(Tabla4[[#This Row],[AGRUPACIONES]]=1,SUMIFS(Tabla4[VALOR TOTAL],Tabla4[ZONA DEFINITIVO],Tabla4[[#This Row],[ZONA DEFINITIVO]])," ")</f>
        <v xml:space="preserve"> </v>
      </c>
      <c r="AT749" s="27">
        <f>(VLOOKUP(Tabla4[[#This Row],[SERVICIO 2025]],$J$2:$V$14,3,0)*Tabla4[[#This Row],[TOTAL COBERTURA]])+Tabla4[[#This Row],[VALOR FASE PREPARATORIA DE ALISTAMIENTO]]+Tabla4[[#This Row],[DOTACIÓN ÚNICA]]</f>
        <v>13106418</v>
      </c>
      <c r="AU749" s="35">
        <f>(VLOOKUP(Tabla4[[#This Row],[SERVICIO 2025]],$J$2:$V$14,3,0)*Tabla4[[#This Row],[TOTAL COBERTURA]])</f>
        <v>10045854</v>
      </c>
      <c r="AV749" s="35">
        <f>(VLOOKUP(Tabla4[[#This Row],[SERVICIO 2025]],$J$2:$V$14,3,0)*Tabla4[[#This Row],[TOTAL COBERTURA]])</f>
        <v>10045854</v>
      </c>
      <c r="AW749" s="35">
        <f>(VLOOKUP(Tabla4[[#This Row],[SERVICIO 2025]],$J$2:$V$14,3,0)*Tabla4[[#This Row],[TOTAL COBERTURA]])</f>
        <v>10045854</v>
      </c>
      <c r="AX749" s="35">
        <f>(VLOOKUP(Tabla4[[#This Row],[SERVICIO 2025]],$J$2:$V$14,3,0)*Tabla4[[#This Row],[TOTAL COBERTURA]])</f>
        <v>10045854</v>
      </c>
      <c r="AY749" s="35">
        <f>(VLOOKUP(Tabla4[[#This Row],[SERVICIO 2025]],$J$2:$V$14,3,0)*Tabla4[[#This Row],[TOTAL COBERTURA]])</f>
        <v>10045854</v>
      </c>
      <c r="AZ749" s="35">
        <f>(VLOOKUP(Tabla4[[#This Row],[SERVICIO 2025]],$J$2:$V$14,3,0)*Tabla4[[#This Row],[TOTAL COBERTURA]])</f>
        <v>10045854</v>
      </c>
      <c r="BA749" s="35">
        <f>(VLOOKUP(Tabla4[[#This Row],[SERVICIO 2025]],$J$2:$V$14,3,0)*Tabla4[[#This Row],[TOTAL COBERTURA]])+Tabla4[[#This Row],[VALOR FASE PREPARATORIA DE CIERRE]]</f>
        <v>11645985</v>
      </c>
      <c r="BB749" s="35">
        <f>SUM(Tabla4[[#This Row],[DESEMBOLSO 1]:[DESEMBOLSO 8]])</f>
        <v>85027527</v>
      </c>
      <c r="BC749" s="35">
        <f>VLOOKUP(Tabla4[[#This Row],[SERVICIO 2025]],$J$2:$V$14,10,0)*Tabla4[[#This Row],[TOTAL COBERTURA]]*$W$3</f>
        <v>56279496</v>
      </c>
      <c r="BD749" s="47" t="s">
        <v>211</v>
      </c>
      <c r="BE749" s="12" t="b">
        <f>EXACT(Tabla4[[#This Row],[VALOR ATENCIÓN (8 MESES)]],Tabla4[[#This Row],[VALOR TOTAL]])</f>
        <v>1</v>
      </c>
      <c r="BF749" s="23">
        <f>Tabla4[[#This Row],[VALOR ATENCIÓN (8 MESES)]]-Tabla4[[#This Row],[VALOR TOTAL]]</f>
        <v>0</v>
      </c>
      <c r="BG749" s="12" t="b">
        <f>EXACT(Tabla4[[#This Row],[TOTAL DESEMBOLSOS]],Tabla4[[#This Row],[VALOR ATENCIÓN (8 MESES)]])</f>
        <v>1</v>
      </c>
      <c r="BH749" s="29">
        <f>Tabla4[[#This Row],[TOTAL DESEMBOLSOS]]-Tabla4[[#This Row],[VALOR ATENCIÓN (8 MESES)]]</f>
        <v>0</v>
      </c>
      <c r="BI749" t="s">
        <v>98</v>
      </c>
      <c r="BJ749">
        <v>1959</v>
      </c>
    </row>
    <row r="750" spans="1:62">
      <c r="A750" s="13">
        <v>1959</v>
      </c>
      <c r="B750" s="13" t="s">
        <v>1627</v>
      </c>
      <c r="C750" s="12" t="s">
        <v>87</v>
      </c>
      <c r="D750" s="12" t="s">
        <v>1628</v>
      </c>
      <c r="E750" s="12" t="s">
        <v>1629</v>
      </c>
      <c r="F750" s="12" t="s">
        <v>18</v>
      </c>
      <c r="G750" s="12" t="s">
        <v>90</v>
      </c>
      <c r="H750" s="12" t="s">
        <v>1678</v>
      </c>
      <c r="I750" s="12">
        <v>53611147258</v>
      </c>
      <c r="J750" s="12" t="s">
        <v>1679</v>
      </c>
      <c r="K750" s="12">
        <v>1</v>
      </c>
      <c r="L750" s="12">
        <v>21</v>
      </c>
      <c r="M750" s="12"/>
      <c r="N750" s="13">
        <v>1959</v>
      </c>
      <c r="O750" s="12" t="s">
        <v>93</v>
      </c>
      <c r="P750" s="12"/>
      <c r="Q750" s="12"/>
      <c r="R750" s="12" t="s">
        <v>94</v>
      </c>
      <c r="S750" s="12">
        <v>10</v>
      </c>
      <c r="T750" s="12" t="s">
        <v>270</v>
      </c>
      <c r="U750" s="12" t="s">
        <v>271</v>
      </c>
      <c r="V750" s="12">
        <f>VLOOKUP(Tabla4[[#This Row],[ZONA DEFINITIVO]],Hoja1!$A$1:$D$121,3,0)</f>
        <v>229120</v>
      </c>
      <c r="W750" s="12">
        <f>VLOOKUP(Tabla4[[#This Row],[ZONA DEFINITIVO]],Hoja1!$A$1:$D$121,2,0)</f>
        <v>15214</v>
      </c>
      <c r="X750" s="12">
        <f>VLOOKUP(Tabla4[[#This Row],[ZONA DEFINITIVO]],Hoja1!$A$1:$D$121,4,0)</f>
        <v>86325</v>
      </c>
      <c r="Y750" s="12" t="str">
        <f>+IF(Tabla4[[#This Row],[AGRUPACIONES]]=1,SUMIFS(Tabla4[UDS],Tabla4[ZONA DEFINITIVO],Tabla4[[#This Row],[ZONA DEFINITIVO]])," ")</f>
        <v xml:space="preserve"> </v>
      </c>
      <c r="Z750" s="12" t="str">
        <f>+IF(Tabla4[[#This Row],[AGRUPACIONES]]=1,SUMIFS(Tabla4[TOTAL COBERTURA],Tabla4[ZONA DEFINITIVO],Tabla4[[#This Row],[ZONA DEFINITIVO]])," ")</f>
        <v xml:space="preserve"> </v>
      </c>
      <c r="AA750" s="12"/>
      <c r="AB750" s="38">
        <v>45784053</v>
      </c>
      <c r="AC750" s="37">
        <v>0.02</v>
      </c>
      <c r="AD750" s="38">
        <f t="shared" si="12"/>
        <v>915681.06</v>
      </c>
      <c r="AE750" s="12"/>
      <c r="AF750" s="12">
        <f>COUNTIF($A$20:A750,A750)</f>
        <v>26</v>
      </c>
      <c r="AG750" s="38">
        <v>45784053</v>
      </c>
      <c r="AH750" s="38">
        <f>Tabla4[[#This Row],[VALOR CONTRAPARTIDA]]+Tabla4[[#This Row],[TOTAL APORTES ICBF]]</f>
        <v>46699734.060000002</v>
      </c>
      <c r="AI750" s="35"/>
      <c r="AJ750" s="38"/>
      <c r="AK750" s="38"/>
      <c r="AL750" s="23"/>
      <c r="AM750" s="35">
        <f>VLOOKUP(Tabla4[[#This Row],[SERVICIO 2025]],$J$2:$V$14,5,0)*Tabla4[[#This Row],[TOTAL COBERTURA]]</f>
        <v>1036896</v>
      </c>
      <c r="AN750" s="35">
        <f>VLOOKUP(Tabla4[[#This Row],[SERVICIO 2025]],$J$2:$V$14,6,0)*Tabla4[[#This Row],[TOTAL COBERTURA]]</f>
        <v>861609</v>
      </c>
      <c r="AO750" s="35">
        <f>VLOOKUP(Tabla4[[#This Row],[SERVICIO 2025]],$J$2:$V$14,8,0)*Tabla4[[#This Row],[TOTAL COBERTURA]]</f>
        <v>611100</v>
      </c>
      <c r="AP750" s="35">
        <f>VLOOKUP(Tabla4[[#This Row],[SERVICIO 2025]],$J$2:$V$14,3,0)*Tabla4[[#This Row],[TOTAL COBERTURA]]*8</f>
        <v>43274448</v>
      </c>
      <c r="AQ750" s="35"/>
      <c r="AR750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750" s="35" t="str">
        <f>+IF(Tabla4[[#This Row],[AGRUPACIONES]]=1,SUMIFS(Tabla4[VALOR TOTAL],Tabla4[ZONA DEFINITIVO],Tabla4[[#This Row],[ZONA DEFINITIVO]])," ")</f>
        <v xml:space="preserve"> </v>
      </c>
      <c r="AT750" s="27">
        <f>(VLOOKUP(Tabla4[[#This Row],[SERVICIO 2025]],$J$2:$V$14,3,0)*Tabla4[[#This Row],[TOTAL COBERTURA]])+Tabla4[[#This Row],[VALOR FASE PREPARATORIA DE ALISTAMIENTO]]+Tabla4[[#This Row],[DOTACIÓN ÚNICA]]</f>
        <v>7057302</v>
      </c>
      <c r="AU750" s="35">
        <f>(VLOOKUP(Tabla4[[#This Row],[SERVICIO 2025]],$J$2:$V$14,3,0)*Tabla4[[#This Row],[TOTAL COBERTURA]])</f>
        <v>5409306</v>
      </c>
      <c r="AV750" s="35">
        <f>(VLOOKUP(Tabla4[[#This Row],[SERVICIO 2025]],$J$2:$V$14,3,0)*Tabla4[[#This Row],[TOTAL COBERTURA]])</f>
        <v>5409306</v>
      </c>
      <c r="AW750" s="35">
        <f>(VLOOKUP(Tabla4[[#This Row],[SERVICIO 2025]],$J$2:$V$14,3,0)*Tabla4[[#This Row],[TOTAL COBERTURA]])</f>
        <v>5409306</v>
      </c>
      <c r="AX750" s="35">
        <f>(VLOOKUP(Tabla4[[#This Row],[SERVICIO 2025]],$J$2:$V$14,3,0)*Tabla4[[#This Row],[TOTAL COBERTURA]])</f>
        <v>5409306</v>
      </c>
      <c r="AY750" s="35">
        <f>(VLOOKUP(Tabla4[[#This Row],[SERVICIO 2025]],$J$2:$V$14,3,0)*Tabla4[[#This Row],[TOTAL COBERTURA]])</f>
        <v>5409306</v>
      </c>
      <c r="AZ750" s="35">
        <f>(VLOOKUP(Tabla4[[#This Row],[SERVICIO 2025]],$J$2:$V$14,3,0)*Tabla4[[#This Row],[TOTAL COBERTURA]])</f>
        <v>5409306</v>
      </c>
      <c r="BA750" s="35">
        <f>(VLOOKUP(Tabla4[[#This Row],[SERVICIO 2025]],$J$2:$V$14,3,0)*Tabla4[[#This Row],[TOTAL COBERTURA]])+Tabla4[[#This Row],[VALOR FASE PREPARATORIA DE CIERRE]]</f>
        <v>6270915</v>
      </c>
      <c r="BB750" s="35">
        <f>SUM(Tabla4[[#This Row],[DESEMBOLSO 1]:[DESEMBOLSO 8]])</f>
        <v>45784053</v>
      </c>
      <c r="BC750" s="35">
        <f>VLOOKUP(Tabla4[[#This Row],[SERVICIO 2025]],$J$2:$V$14,10,0)*Tabla4[[#This Row],[TOTAL COBERTURA]]*$W$3</f>
        <v>30304344</v>
      </c>
      <c r="BD750" s="47" t="s">
        <v>211</v>
      </c>
      <c r="BE750" s="12" t="b">
        <f>EXACT(Tabla4[[#This Row],[VALOR ATENCIÓN (8 MESES)]],Tabla4[[#This Row],[VALOR TOTAL]])</f>
        <v>1</v>
      </c>
      <c r="BF750" s="23">
        <f>Tabla4[[#This Row],[VALOR ATENCIÓN (8 MESES)]]-Tabla4[[#This Row],[VALOR TOTAL]]</f>
        <v>0</v>
      </c>
      <c r="BG750" s="12" t="b">
        <f>EXACT(Tabla4[[#This Row],[TOTAL DESEMBOLSOS]],Tabla4[[#This Row],[VALOR ATENCIÓN (8 MESES)]])</f>
        <v>1</v>
      </c>
      <c r="BH750" s="29">
        <f>Tabla4[[#This Row],[TOTAL DESEMBOLSOS]]-Tabla4[[#This Row],[VALOR ATENCIÓN (8 MESES)]]</f>
        <v>0</v>
      </c>
      <c r="BI750" t="s">
        <v>98</v>
      </c>
      <c r="BJ750">
        <v>1959</v>
      </c>
    </row>
    <row r="751" spans="1:62">
      <c r="A751" s="13">
        <v>1959</v>
      </c>
      <c r="B751" s="13" t="s">
        <v>1627</v>
      </c>
      <c r="C751" s="12" t="s">
        <v>87</v>
      </c>
      <c r="D751" s="12" t="s">
        <v>1628</v>
      </c>
      <c r="E751" s="12" t="s">
        <v>1629</v>
      </c>
      <c r="F751" s="12" t="s">
        <v>18</v>
      </c>
      <c r="G751" s="12" t="s">
        <v>90</v>
      </c>
      <c r="H751" s="12" t="s">
        <v>571</v>
      </c>
      <c r="I751" s="12">
        <v>53611148775</v>
      </c>
      <c r="J751" s="12" t="s">
        <v>1680</v>
      </c>
      <c r="K751" s="12">
        <v>1</v>
      </c>
      <c r="L751" s="12">
        <v>6</v>
      </c>
      <c r="M751" s="12"/>
      <c r="N751" s="13">
        <v>1959</v>
      </c>
      <c r="O751" s="12" t="s">
        <v>93</v>
      </c>
      <c r="P751" s="12"/>
      <c r="Q751" s="12"/>
      <c r="R751" s="12" t="s">
        <v>94</v>
      </c>
      <c r="S751" s="12">
        <v>10</v>
      </c>
      <c r="T751" s="12" t="s">
        <v>270</v>
      </c>
      <c r="U751" s="12" t="s">
        <v>271</v>
      </c>
      <c r="V751" s="12">
        <f>VLOOKUP(Tabla4[[#This Row],[ZONA DEFINITIVO]],Hoja1!$A$1:$D$121,3,0)</f>
        <v>229120</v>
      </c>
      <c r="W751" s="12">
        <f>VLOOKUP(Tabla4[[#This Row],[ZONA DEFINITIVO]],Hoja1!$A$1:$D$121,2,0)</f>
        <v>15214</v>
      </c>
      <c r="X751" s="12">
        <f>VLOOKUP(Tabla4[[#This Row],[ZONA DEFINITIVO]],Hoja1!$A$1:$D$121,4,0)</f>
        <v>86325</v>
      </c>
      <c r="Y751" s="12" t="str">
        <f>+IF(Tabla4[[#This Row],[AGRUPACIONES]]=1,SUMIFS(Tabla4[UDS],Tabla4[ZONA DEFINITIVO],Tabla4[[#This Row],[ZONA DEFINITIVO]])," ")</f>
        <v xml:space="preserve"> </v>
      </c>
      <c r="Z751" s="12" t="str">
        <f>+IF(Tabla4[[#This Row],[AGRUPACIONES]]=1,SUMIFS(Tabla4[TOTAL COBERTURA],Tabla4[ZONA DEFINITIVO],Tabla4[[#This Row],[ZONA DEFINITIVO]])," ")</f>
        <v xml:space="preserve"> </v>
      </c>
      <c r="AA751" s="12"/>
      <c r="AB751" s="38">
        <v>13081158</v>
      </c>
      <c r="AC751" s="37">
        <v>0.02</v>
      </c>
      <c r="AD751" s="38">
        <f t="shared" si="12"/>
        <v>261623.16</v>
      </c>
      <c r="AE751" s="12"/>
      <c r="AF751" s="12">
        <f>COUNTIF($A$20:A751,A751)</f>
        <v>27</v>
      </c>
      <c r="AG751" s="38">
        <v>13081158</v>
      </c>
      <c r="AH751" s="38">
        <f>Tabla4[[#This Row],[VALOR CONTRAPARTIDA]]+Tabla4[[#This Row],[TOTAL APORTES ICBF]]</f>
        <v>13342781.16</v>
      </c>
      <c r="AI751" s="35"/>
      <c r="AJ751" s="38"/>
      <c r="AK751" s="38"/>
      <c r="AL751" s="23"/>
      <c r="AM751" s="35">
        <f>VLOOKUP(Tabla4[[#This Row],[SERVICIO 2025]],$J$2:$V$14,5,0)*Tabla4[[#This Row],[TOTAL COBERTURA]]</f>
        <v>296256</v>
      </c>
      <c r="AN751" s="35">
        <f>VLOOKUP(Tabla4[[#This Row],[SERVICIO 2025]],$J$2:$V$14,6,0)*Tabla4[[#This Row],[TOTAL COBERTURA]]</f>
        <v>246174</v>
      </c>
      <c r="AO751" s="35">
        <f>VLOOKUP(Tabla4[[#This Row],[SERVICIO 2025]],$J$2:$V$14,8,0)*Tabla4[[#This Row],[TOTAL COBERTURA]]</f>
        <v>174600</v>
      </c>
      <c r="AP751" s="35">
        <f>VLOOKUP(Tabla4[[#This Row],[SERVICIO 2025]],$J$2:$V$14,3,0)*Tabla4[[#This Row],[TOTAL COBERTURA]]*8</f>
        <v>12364128</v>
      </c>
      <c r="AQ751" s="35"/>
      <c r="AR751" s="35">
        <f>Tabla4[[#This Row],[VALOR FASE PREPARATORIA DE ALISTAMIENTO]]+Tabla4[[#This Row],[VALOR FASE PREPARATORIA DE CIERRE]]+Tabla4[[#This Row],[DOTACIÓN ÚNICA]]+Tabla4[[#This Row],[VALOR ATENCIÓN]]+Tabla4[[#This Row],[VALOR RACION PREPARADA]]</f>
        <v>13081158</v>
      </c>
      <c r="AS751" s="35" t="str">
        <f>+IF(Tabla4[[#This Row],[AGRUPACIONES]]=1,SUMIFS(Tabla4[VALOR TOTAL],Tabla4[ZONA DEFINITIVO],Tabla4[[#This Row],[ZONA DEFINITIVO]])," ")</f>
        <v xml:space="preserve"> </v>
      </c>
      <c r="AT751" s="27">
        <f>(VLOOKUP(Tabla4[[#This Row],[SERVICIO 2025]],$J$2:$V$14,3,0)*Tabla4[[#This Row],[TOTAL COBERTURA]])+Tabla4[[#This Row],[VALOR FASE PREPARATORIA DE ALISTAMIENTO]]+Tabla4[[#This Row],[DOTACIÓN ÚNICA]]</f>
        <v>2016372</v>
      </c>
      <c r="AU751" s="35">
        <f>(VLOOKUP(Tabla4[[#This Row],[SERVICIO 2025]],$J$2:$V$14,3,0)*Tabla4[[#This Row],[TOTAL COBERTURA]])</f>
        <v>1545516</v>
      </c>
      <c r="AV751" s="35">
        <f>(VLOOKUP(Tabla4[[#This Row],[SERVICIO 2025]],$J$2:$V$14,3,0)*Tabla4[[#This Row],[TOTAL COBERTURA]])</f>
        <v>1545516</v>
      </c>
      <c r="AW751" s="35">
        <f>(VLOOKUP(Tabla4[[#This Row],[SERVICIO 2025]],$J$2:$V$14,3,0)*Tabla4[[#This Row],[TOTAL COBERTURA]])</f>
        <v>1545516</v>
      </c>
      <c r="AX751" s="35">
        <f>(VLOOKUP(Tabla4[[#This Row],[SERVICIO 2025]],$J$2:$V$14,3,0)*Tabla4[[#This Row],[TOTAL COBERTURA]])</f>
        <v>1545516</v>
      </c>
      <c r="AY751" s="35">
        <f>(VLOOKUP(Tabla4[[#This Row],[SERVICIO 2025]],$J$2:$V$14,3,0)*Tabla4[[#This Row],[TOTAL COBERTURA]])</f>
        <v>1545516</v>
      </c>
      <c r="AZ751" s="35">
        <f>(VLOOKUP(Tabla4[[#This Row],[SERVICIO 2025]],$J$2:$V$14,3,0)*Tabla4[[#This Row],[TOTAL COBERTURA]])</f>
        <v>1545516</v>
      </c>
      <c r="BA751" s="35">
        <f>(VLOOKUP(Tabla4[[#This Row],[SERVICIO 2025]],$J$2:$V$14,3,0)*Tabla4[[#This Row],[TOTAL COBERTURA]])+Tabla4[[#This Row],[VALOR FASE PREPARATORIA DE CIERRE]]</f>
        <v>1791690</v>
      </c>
      <c r="BB751" s="35">
        <f>SUM(Tabla4[[#This Row],[DESEMBOLSO 1]:[DESEMBOLSO 8]])</f>
        <v>13081158</v>
      </c>
      <c r="BC751" s="35">
        <f>VLOOKUP(Tabla4[[#This Row],[SERVICIO 2025]],$J$2:$V$14,10,0)*Tabla4[[#This Row],[TOTAL COBERTURA]]*$W$3</f>
        <v>8658384</v>
      </c>
      <c r="BD751" s="47" t="s">
        <v>211</v>
      </c>
      <c r="BE751" s="12" t="b">
        <f>EXACT(Tabla4[[#This Row],[VALOR ATENCIÓN (8 MESES)]],Tabla4[[#This Row],[VALOR TOTAL]])</f>
        <v>1</v>
      </c>
      <c r="BF751" s="23">
        <f>Tabla4[[#This Row],[VALOR ATENCIÓN (8 MESES)]]-Tabla4[[#This Row],[VALOR TOTAL]]</f>
        <v>0</v>
      </c>
      <c r="BG751" s="12" t="b">
        <f>EXACT(Tabla4[[#This Row],[TOTAL DESEMBOLSOS]],Tabla4[[#This Row],[VALOR ATENCIÓN (8 MESES)]])</f>
        <v>1</v>
      </c>
      <c r="BH751" s="29">
        <f>Tabla4[[#This Row],[TOTAL DESEMBOLSOS]]-Tabla4[[#This Row],[VALOR ATENCIÓN (8 MESES)]]</f>
        <v>0</v>
      </c>
      <c r="BI751" t="s">
        <v>98</v>
      </c>
      <c r="BJ751">
        <v>1959</v>
      </c>
    </row>
    <row r="752" spans="1:62">
      <c r="A752" s="13">
        <v>1959</v>
      </c>
      <c r="B752" s="13" t="s">
        <v>1627</v>
      </c>
      <c r="C752" s="12" t="s">
        <v>87</v>
      </c>
      <c r="D752" s="12" t="s">
        <v>1628</v>
      </c>
      <c r="E752" s="12" t="s">
        <v>1629</v>
      </c>
      <c r="F752" s="12" t="s">
        <v>18</v>
      </c>
      <c r="G752" s="12" t="s">
        <v>90</v>
      </c>
      <c r="H752" s="12" t="s">
        <v>1681</v>
      </c>
      <c r="I752" s="12">
        <v>53611148797</v>
      </c>
      <c r="J752" s="12" t="s">
        <v>1682</v>
      </c>
      <c r="K752" s="12">
        <v>1</v>
      </c>
      <c r="L752" s="12">
        <v>150</v>
      </c>
      <c r="M752" s="12"/>
      <c r="N752" s="13">
        <v>1959</v>
      </c>
      <c r="O752" s="12" t="s">
        <v>93</v>
      </c>
      <c r="P752" s="12"/>
      <c r="Q752" s="12"/>
      <c r="R752" s="12" t="s">
        <v>94</v>
      </c>
      <c r="S752" s="12">
        <v>10</v>
      </c>
      <c r="T752" s="12" t="s">
        <v>270</v>
      </c>
      <c r="U752" s="12" t="s">
        <v>271</v>
      </c>
      <c r="V752" s="12">
        <f>VLOOKUP(Tabla4[[#This Row],[ZONA DEFINITIVO]],Hoja1!$A$1:$D$121,3,0)</f>
        <v>229120</v>
      </c>
      <c r="W752" s="12">
        <f>VLOOKUP(Tabla4[[#This Row],[ZONA DEFINITIVO]],Hoja1!$A$1:$D$121,2,0)</f>
        <v>15214</v>
      </c>
      <c r="X752" s="12">
        <f>VLOOKUP(Tabla4[[#This Row],[ZONA DEFINITIVO]],Hoja1!$A$1:$D$121,4,0)</f>
        <v>86325</v>
      </c>
      <c r="Y752" s="12" t="str">
        <f>+IF(Tabla4[[#This Row],[AGRUPACIONES]]=1,SUMIFS(Tabla4[UDS],Tabla4[ZONA DEFINITIVO],Tabla4[[#This Row],[ZONA DEFINITIVO]])," ")</f>
        <v xml:space="preserve"> </v>
      </c>
      <c r="Z752" s="12" t="str">
        <f>+IF(Tabla4[[#This Row],[AGRUPACIONES]]=1,SUMIFS(Tabla4[TOTAL COBERTURA],Tabla4[ZONA DEFINITIVO],Tabla4[[#This Row],[ZONA DEFINITIVO]])," ")</f>
        <v xml:space="preserve"> </v>
      </c>
      <c r="AA752" s="12"/>
      <c r="AB752" s="38">
        <v>327028950</v>
      </c>
      <c r="AC752" s="37">
        <v>0.02</v>
      </c>
      <c r="AD752" s="38">
        <f t="shared" si="12"/>
        <v>6540579</v>
      </c>
      <c r="AE752" s="12"/>
      <c r="AF752" s="12">
        <f>COUNTIF($A$20:A752,A752)</f>
        <v>28</v>
      </c>
      <c r="AG752" s="38">
        <v>327028950</v>
      </c>
      <c r="AH752" s="38">
        <f>Tabla4[[#This Row],[VALOR CONTRAPARTIDA]]+Tabla4[[#This Row],[TOTAL APORTES ICBF]]</f>
        <v>333569529</v>
      </c>
      <c r="AI752" s="35"/>
      <c r="AJ752" s="38"/>
      <c r="AK752" s="38"/>
      <c r="AL752" s="23"/>
      <c r="AM752" s="35">
        <f>VLOOKUP(Tabla4[[#This Row],[SERVICIO 2025]],$J$2:$V$14,5,0)*Tabla4[[#This Row],[TOTAL COBERTURA]]</f>
        <v>7406400</v>
      </c>
      <c r="AN752" s="35">
        <f>VLOOKUP(Tabla4[[#This Row],[SERVICIO 2025]],$J$2:$V$14,6,0)*Tabla4[[#This Row],[TOTAL COBERTURA]]</f>
        <v>6154350</v>
      </c>
      <c r="AO752" s="35">
        <f>VLOOKUP(Tabla4[[#This Row],[SERVICIO 2025]],$J$2:$V$14,8,0)*Tabla4[[#This Row],[TOTAL COBERTURA]]</f>
        <v>4365000</v>
      </c>
      <c r="AP752" s="35">
        <f>VLOOKUP(Tabla4[[#This Row],[SERVICIO 2025]],$J$2:$V$14,3,0)*Tabla4[[#This Row],[TOTAL COBERTURA]]*8</f>
        <v>309103200</v>
      </c>
      <c r="AQ752" s="35"/>
      <c r="AR752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327028950</v>
      </c>
      <c r="AS752" s="35" t="str">
        <f>+IF(Tabla4[[#This Row],[AGRUPACIONES]]=1,SUMIFS(Tabla4[VALOR TOTAL],Tabla4[ZONA DEFINITIVO],Tabla4[[#This Row],[ZONA DEFINITIVO]])," ")</f>
        <v xml:space="preserve"> </v>
      </c>
      <c r="AT752" s="27">
        <f>(VLOOKUP(Tabla4[[#This Row],[SERVICIO 2025]],$J$2:$V$14,3,0)*Tabla4[[#This Row],[TOTAL COBERTURA]])+Tabla4[[#This Row],[VALOR FASE PREPARATORIA DE ALISTAMIENTO]]+Tabla4[[#This Row],[DOTACIÓN ÚNICA]]</f>
        <v>50409300</v>
      </c>
      <c r="AU752" s="35">
        <f>(VLOOKUP(Tabla4[[#This Row],[SERVICIO 2025]],$J$2:$V$14,3,0)*Tabla4[[#This Row],[TOTAL COBERTURA]])</f>
        <v>38637900</v>
      </c>
      <c r="AV752" s="35">
        <f>(VLOOKUP(Tabla4[[#This Row],[SERVICIO 2025]],$J$2:$V$14,3,0)*Tabla4[[#This Row],[TOTAL COBERTURA]])</f>
        <v>38637900</v>
      </c>
      <c r="AW752" s="35">
        <f>(VLOOKUP(Tabla4[[#This Row],[SERVICIO 2025]],$J$2:$V$14,3,0)*Tabla4[[#This Row],[TOTAL COBERTURA]])</f>
        <v>38637900</v>
      </c>
      <c r="AX752" s="35">
        <f>(VLOOKUP(Tabla4[[#This Row],[SERVICIO 2025]],$J$2:$V$14,3,0)*Tabla4[[#This Row],[TOTAL COBERTURA]])</f>
        <v>38637900</v>
      </c>
      <c r="AY752" s="35">
        <f>(VLOOKUP(Tabla4[[#This Row],[SERVICIO 2025]],$J$2:$V$14,3,0)*Tabla4[[#This Row],[TOTAL COBERTURA]])</f>
        <v>38637900</v>
      </c>
      <c r="AZ752" s="35">
        <f>(VLOOKUP(Tabla4[[#This Row],[SERVICIO 2025]],$J$2:$V$14,3,0)*Tabla4[[#This Row],[TOTAL COBERTURA]])</f>
        <v>38637900</v>
      </c>
      <c r="BA752" s="35">
        <f>(VLOOKUP(Tabla4[[#This Row],[SERVICIO 2025]],$J$2:$V$14,3,0)*Tabla4[[#This Row],[TOTAL COBERTURA]])+Tabla4[[#This Row],[VALOR FASE PREPARATORIA DE CIERRE]]</f>
        <v>44792250</v>
      </c>
      <c r="BB752" s="35">
        <f>SUM(Tabla4[[#This Row],[DESEMBOLSO 1]:[DESEMBOLSO 8]])</f>
        <v>327028950</v>
      </c>
      <c r="BC752" s="35">
        <f>VLOOKUP(Tabla4[[#This Row],[SERVICIO 2025]],$J$2:$V$14,10,0)*Tabla4[[#This Row],[TOTAL COBERTURA]]*$W$3</f>
        <v>216459600</v>
      </c>
      <c r="BD752" s="47" t="s">
        <v>211</v>
      </c>
      <c r="BE752" s="12" t="b">
        <f>EXACT(Tabla4[[#This Row],[VALOR ATENCIÓN (8 MESES)]],Tabla4[[#This Row],[VALOR TOTAL]])</f>
        <v>1</v>
      </c>
      <c r="BF752" s="23">
        <f>Tabla4[[#This Row],[VALOR ATENCIÓN (8 MESES)]]-Tabla4[[#This Row],[VALOR TOTAL]]</f>
        <v>0</v>
      </c>
      <c r="BG752" s="12" t="b">
        <f>EXACT(Tabla4[[#This Row],[TOTAL DESEMBOLSOS]],Tabla4[[#This Row],[VALOR ATENCIÓN (8 MESES)]])</f>
        <v>1</v>
      </c>
      <c r="BH752" s="29">
        <f>Tabla4[[#This Row],[TOTAL DESEMBOLSOS]]-Tabla4[[#This Row],[VALOR ATENCIÓN (8 MESES)]]</f>
        <v>0</v>
      </c>
      <c r="BI752" t="s">
        <v>98</v>
      </c>
      <c r="BJ752">
        <v>1959</v>
      </c>
    </row>
    <row r="753" spans="1:62">
      <c r="A753" s="13">
        <v>1959</v>
      </c>
      <c r="B753" s="13" t="s">
        <v>1627</v>
      </c>
      <c r="C753" s="12" t="s">
        <v>87</v>
      </c>
      <c r="D753" s="12" t="s">
        <v>1628</v>
      </c>
      <c r="E753" s="12" t="s">
        <v>1629</v>
      </c>
      <c r="F753" s="12" t="s">
        <v>18</v>
      </c>
      <c r="G753" s="12" t="s">
        <v>90</v>
      </c>
      <c r="H753" s="12" t="s">
        <v>1683</v>
      </c>
      <c r="I753" s="12">
        <v>53611150343</v>
      </c>
      <c r="J753" s="12" t="s">
        <v>1684</v>
      </c>
      <c r="K753" s="12">
        <v>1</v>
      </c>
      <c r="L753" s="12">
        <v>17</v>
      </c>
      <c r="M753" s="12"/>
      <c r="N753" s="13">
        <v>1959</v>
      </c>
      <c r="O753" s="12" t="s">
        <v>93</v>
      </c>
      <c r="P753" s="12"/>
      <c r="Q753" s="12"/>
      <c r="R753" s="12" t="s">
        <v>94</v>
      </c>
      <c r="S753" s="12">
        <v>10</v>
      </c>
      <c r="T753" s="12" t="s">
        <v>270</v>
      </c>
      <c r="U753" s="12" t="s">
        <v>271</v>
      </c>
      <c r="V753" s="12">
        <f>VLOOKUP(Tabla4[[#This Row],[ZONA DEFINITIVO]],Hoja1!$A$1:$D$121,3,0)</f>
        <v>229120</v>
      </c>
      <c r="W753" s="12">
        <f>VLOOKUP(Tabla4[[#This Row],[ZONA DEFINITIVO]],Hoja1!$A$1:$D$121,2,0)</f>
        <v>15214</v>
      </c>
      <c r="X753" s="12">
        <f>VLOOKUP(Tabla4[[#This Row],[ZONA DEFINITIVO]],Hoja1!$A$1:$D$121,4,0)</f>
        <v>86325</v>
      </c>
      <c r="Y753" s="12" t="str">
        <f>+IF(Tabla4[[#This Row],[AGRUPACIONES]]=1,SUMIFS(Tabla4[UDS],Tabla4[ZONA DEFINITIVO],Tabla4[[#This Row],[ZONA DEFINITIVO]])," ")</f>
        <v xml:space="preserve"> </v>
      </c>
      <c r="Z753" s="12" t="str">
        <f>+IF(Tabla4[[#This Row],[AGRUPACIONES]]=1,SUMIFS(Tabla4[TOTAL COBERTURA],Tabla4[ZONA DEFINITIVO],Tabla4[[#This Row],[ZONA DEFINITIVO]])," ")</f>
        <v xml:space="preserve"> </v>
      </c>
      <c r="AA753" s="12"/>
      <c r="AB753" s="38">
        <v>37063281</v>
      </c>
      <c r="AC753" s="37">
        <v>0.02</v>
      </c>
      <c r="AD753" s="38">
        <f t="shared" si="12"/>
        <v>741265.62</v>
      </c>
      <c r="AE753" s="12"/>
      <c r="AF753" s="12">
        <f>COUNTIF($A$20:A753,A753)</f>
        <v>29</v>
      </c>
      <c r="AG753" s="38">
        <v>37063281</v>
      </c>
      <c r="AH753" s="38">
        <f>Tabla4[[#This Row],[VALOR CONTRAPARTIDA]]+Tabla4[[#This Row],[TOTAL APORTES ICBF]]</f>
        <v>37804546.619999997</v>
      </c>
      <c r="AI753" s="35"/>
      <c r="AJ753" s="38"/>
      <c r="AK753" s="38"/>
      <c r="AL753" s="23"/>
      <c r="AM753" s="35">
        <f>VLOOKUP(Tabla4[[#This Row],[SERVICIO 2025]],$J$2:$V$14,5,0)*Tabla4[[#This Row],[TOTAL COBERTURA]]</f>
        <v>839392</v>
      </c>
      <c r="AN753" s="35">
        <f>VLOOKUP(Tabla4[[#This Row],[SERVICIO 2025]],$J$2:$V$14,6,0)*Tabla4[[#This Row],[TOTAL COBERTURA]]</f>
        <v>697493</v>
      </c>
      <c r="AO753" s="35">
        <f>VLOOKUP(Tabla4[[#This Row],[SERVICIO 2025]],$J$2:$V$14,8,0)*Tabla4[[#This Row],[TOTAL COBERTURA]]</f>
        <v>494700</v>
      </c>
      <c r="AP753" s="35">
        <f>VLOOKUP(Tabla4[[#This Row],[SERVICIO 2025]],$J$2:$V$14,3,0)*Tabla4[[#This Row],[TOTAL COBERTURA]]*8</f>
        <v>35031696</v>
      </c>
      <c r="AQ753" s="35"/>
      <c r="AR753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753" s="35" t="str">
        <f>+IF(Tabla4[[#This Row],[AGRUPACIONES]]=1,SUMIFS(Tabla4[VALOR TOTAL],Tabla4[ZONA DEFINITIVO],Tabla4[[#This Row],[ZONA DEFINITIVO]])," ")</f>
        <v xml:space="preserve"> </v>
      </c>
      <c r="AT753" s="27">
        <f>(VLOOKUP(Tabla4[[#This Row],[SERVICIO 2025]],$J$2:$V$14,3,0)*Tabla4[[#This Row],[TOTAL COBERTURA]])+Tabla4[[#This Row],[VALOR FASE PREPARATORIA DE ALISTAMIENTO]]+Tabla4[[#This Row],[DOTACIÓN ÚNICA]]</f>
        <v>5713054</v>
      </c>
      <c r="AU753" s="35">
        <f>(VLOOKUP(Tabla4[[#This Row],[SERVICIO 2025]],$J$2:$V$14,3,0)*Tabla4[[#This Row],[TOTAL COBERTURA]])</f>
        <v>4378962</v>
      </c>
      <c r="AV753" s="35">
        <f>(VLOOKUP(Tabla4[[#This Row],[SERVICIO 2025]],$J$2:$V$14,3,0)*Tabla4[[#This Row],[TOTAL COBERTURA]])</f>
        <v>4378962</v>
      </c>
      <c r="AW753" s="35">
        <f>(VLOOKUP(Tabla4[[#This Row],[SERVICIO 2025]],$J$2:$V$14,3,0)*Tabla4[[#This Row],[TOTAL COBERTURA]])</f>
        <v>4378962</v>
      </c>
      <c r="AX753" s="35">
        <f>(VLOOKUP(Tabla4[[#This Row],[SERVICIO 2025]],$J$2:$V$14,3,0)*Tabla4[[#This Row],[TOTAL COBERTURA]])</f>
        <v>4378962</v>
      </c>
      <c r="AY753" s="35">
        <f>(VLOOKUP(Tabla4[[#This Row],[SERVICIO 2025]],$J$2:$V$14,3,0)*Tabla4[[#This Row],[TOTAL COBERTURA]])</f>
        <v>4378962</v>
      </c>
      <c r="AZ753" s="35">
        <f>(VLOOKUP(Tabla4[[#This Row],[SERVICIO 2025]],$J$2:$V$14,3,0)*Tabla4[[#This Row],[TOTAL COBERTURA]])</f>
        <v>4378962</v>
      </c>
      <c r="BA753" s="35">
        <f>(VLOOKUP(Tabla4[[#This Row],[SERVICIO 2025]],$J$2:$V$14,3,0)*Tabla4[[#This Row],[TOTAL COBERTURA]])+Tabla4[[#This Row],[VALOR FASE PREPARATORIA DE CIERRE]]</f>
        <v>5076455</v>
      </c>
      <c r="BB753" s="35">
        <f>SUM(Tabla4[[#This Row],[DESEMBOLSO 1]:[DESEMBOLSO 8]])</f>
        <v>37063281</v>
      </c>
      <c r="BC753" s="35">
        <f>VLOOKUP(Tabla4[[#This Row],[SERVICIO 2025]],$J$2:$V$14,10,0)*Tabla4[[#This Row],[TOTAL COBERTURA]]*$W$3</f>
        <v>24532088</v>
      </c>
      <c r="BD753" s="47" t="s">
        <v>211</v>
      </c>
      <c r="BE753" s="12" t="b">
        <f>EXACT(Tabla4[[#This Row],[VALOR ATENCIÓN (8 MESES)]],Tabla4[[#This Row],[VALOR TOTAL]])</f>
        <v>1</v>
      </c>
      <c r="BF753" s="23">
        <f>Tabla4[[#This Row],[VALOR ATENCIÓN (8 MESES)]]-Tabla4[[#This Row],[VALOR TOTAL]]</f>
        <v>0</v>
      </c>
      <c r="BG753" s="12" t="b">
        <f>EXACT(Tabla4[[#This Row],[TOTAL DESEMBOLSOS]],Tabla4[[#This Row],[VALOR ATENCIÓN (8 MESES)]])</f>
        <v>1</v>
      </c>
      <c r="BH753" s="29">
        <f>Tabla4[[#This Row],[TOTAL DESEMBOLSOS]]-Tabla4[[#This Row],[VALOR ATENCIÓN (8 MESES)]]</f>
        <v>0</v>
      </c>
      <c r="BI753" t="s">
        <v>98</v>
      </c>
      <c r="BJ753">
        <v>1959</v>
      </c>
    </row>
    <row r="754" spans="1:62">
      <c r="A754" s="13">
        <v>1959</v>
      </c>
      <c r="B754" s="13" t="s">
        <v>1627</v>
      </c>
      <c r="C754" s="12" t="s">
        <v>87</v>
      </c>
      <c r="D754" s="12" t="s">
        <v>1628</v>
      </c>
      <c r="E754" s="12" t="s">
        <v>1629</v>
      </c>
      <c r="F754" s="12" t="s">
        <v>18</v>
      </c>
      <c r="G754" s="12" t="s">
        <v>90</v>
      </c>
      <c r="H754" s="12" t="s">
        <v>1685</v>
      </c>
      <c r="I754" s="12">
        <v>53611151330</v>
      </c>
      <c r="J754" s="12" t="s">
        <v>1686</v>
      </c>
      <c r="K754" s="12">
        <v>1</v>
      </c>
      <c r="L754" s="12">
        <v>6</v>
      </c>
      <c r="M754" s="12"/>
      <c r="N754" s="13">
        <v>1959</v>
      </c>
      <c r="O754" s="12" t="s">
        <v>93</v>
      </c>
      <c r="P754" s="12"/>
      <c r="Q754" s="12"/>
      <c r="R754" s="12" t="s">
        <v>94</v>
      </c>
      <c r="S754" s="12">
        <v>10</v>
      </c>
      <c r="T754" s="12" t="s">
        <v>270</v>
      </c>
      <c r="U754" s="12" t="s">
        <v>271</v>
      </c>
      <c r="V754" s="12">
        <f>VLOOKUP(Tabla4[[#This Row],[ZONA DEFINITIVO]],Hoja1!$A$1:$D$121,3,0)</f>
        <v>229120</v>
      </c>
      <c r="W754" s="12">
        <f>VLOOKUP(Tabla4[[#This Row],[ZONA DEFINITIVO]],Hoja1!$A$1:$D$121,2,0)</f>
        <v>15214</v>
      </c>
      <c r="X754" s="12">
        <f>VLOOKUP(Tabla4[[#This Row],[ZONA DEFINITIVO]],Hoja1!$A$1:$D$121,4,0)</f>
        <v>86325</v>
      </c>
      <c r="Y754" s="12" t="str">
        <f>+IF(Tabla4[[#This Row],[AGRUPACIONES]]=1,SUMIFS(Tabla4[UDS],Tabla4[ZONA DEFINITIVO],Tabla4[[#This Row],[ZONA DEFINITIVO]])," ")</f>
        <v xml:space="preserve"> </v>
      </c>
      <c r="Z754" s="12" t="str">
        <f>+IF(Tabla4[[#This Row],[AGRUPACIONES]]=1,SUMIFS(Tabla4[TOTAL COBERTURA],Tabla4[ZONA DEFINITIVO],Tabla4[[#This Row],[ZONA DEFINITIVO]])," ")</f>
        <v xml:space="preserve"> </v>
      </c>
      <c r="AA754" s="12"/>
      <c r="AB754" s="38">
        <v>13081158</v>
      </c>
      <c r="AC754" s="37">
        <v>0.02</v>
      </c>
      <c r="AD754" s="38">
        <f t="shared" si="12"/>
        <v>261623.16</v>
      </c>
      <c r="AE754" s="12"/>
      <c r="AF754" s="12">
        <f>COUNTIF($A$20:A754,A754)</f>
        <v>30</v>
      </c>
      <c r="AG754" s="38">
        <v>13081158</v>
      </c>
      <c r="AH754" s="38">
        <f>Tabla4[[#This Row],[VALOR CONTRAPARTIDA]]+Tabla4[[#This Row],[TOTAL APORTES ICBF]]</f>
        <v>13342781.16</v>
      </c>
      <c r="AI754" s="35"/>
      <c r="AJ754" s="38"/>
      <c r="AK754" s="38"/>
      <c r="AL754" s="23"/>
      <c r="AM754" s="35">
        <f>VLOOKUP(Tabla4[[#This Row],[SERVICIO 2025]],$J$2:$V$14,5,0)*Tabla4[[#This Row],[TOTAL COBERTURA]]</f>
        <v>296256</v>
      </c>
      <c r="AN754" s="35">
        <f>VLOOKUP(Tabla4[[#This Row],[SERVICIO 2025]],$J$2:$V$14,6,0)*Tabla4[[#This Row],[TOTAL COBERTURA]]</f>
        <v>246174</v>
      </c>
      <c r="AO754" s="35">
        <f>VLOOKUP(Tabla4[[#This Row],[SERVICIO 2025]],$J$2:$V$14,8,0)*Tabla4[[#This Row],[TOTAL COBERTURA]]</f>
        <v>174600</v>
      </c>
      <c r="AP754" s="35">
        <f>VLOOKUP(Tabla4[[#This Row],[SERVICIO 2025]],$J$2:$V$14,3,0)*Tabla4[[#This Row],[TOTAL COBERTURA]]*8</f>
        <v>12364128</v>
      </c>
      <c r="AQ754" s="35"/>
      <c r="AR754" s="35">
        <f>Tabla4[[#This Row],[VALOR FASE PREPARATORIA DE ALISTAMIENTO]]+Tabla4[[#This Row],[VALOR FASE PREPARATORIA DE CIERRE]]+Tabla4[[#This Row],[DOTACIÓN ÚNICA]]+Tabla4[[#This Row],[VALOR ATENCIÓN]]+Tabla4[[#This Row],[VALOR RACION PREPARADA]]</f>
        <v>13081158</v>
      </c>
      <c r="AS754" s="35" t="str">
        <f>+IF(Tabla4[[#This Row],[AGRUPACIONES]]=1,SUMIFS(Tabla4[VALOR TOTAL],Tabla4[ZONA DEFINITIVO],Tabla4[[#This Row],[ZONA DEFINITIVO]])," ")</f>
        <v xml:space="preserve"> </v>
      </c>
      <c r="AT754" s="27">
        <f>(VLOOKUP(Tabla4[[#This Row],[SERVICIO 2025]],$J$2:$V$14,3,0)*Tabla4[[#This Row],[TOTAL COBERTURA]])+Tabla4[[#This Row],[VALOR FASE PREPARATORIA DE ALISTAMIENTO]]+Tabla4[[#This Row],[DOTACIÓN ÚNICA]]</f>
        <v>2016372</v>
      </c>
      <c r="AU754" s="35">
        <f>(VLOOKUP(Tabla4[[#This Row],[SERVICIO 2025]],$J$2:$V$14,3,0)*Tabla4[[#This Row],[TOTAL COBERTURA]])</f>
        <v>1545516</v>
      </c>
      <c r="AV754" s="35">
        <f>(VLOOKUP(Tabla4[[#This Row],[SERVICIO 2025]],$J$2:$V$14,3,0)*Tabla4[[#This Row],[TOTAL COBERTURA]])</f>
        <v>1545516</v>
      </c>
      <c r="AW754" s="35">
        <f>(VLOOKUP(Tabla4[[#This Row],[SERVICIO 2025]],$J$2:$V$14,3,0)*Tabla4[[#This Row],[TOTAL COBERTURA]])</f>
        <v>1545516</v>
      </c>
      <c r="AX754" s="35">
        <f>(VLOOKUP(Tabla4[[#This Row],[SERVICIO 2025]],$J$2:$V$14,3,0)*Tabla4[[#This Row],[TOTAL COBERTURA]])</f>
        <v>1545516</v>
      </c>
      <c r="AY754" s="35">
        <f>(VLOOKUP(Tabla4[[#This Row],[SERVICIO 2025]],$J$2:$V$14,3,0)*Tabla4[[#This Row],[TOTAL COBERTURA]])</f>
        <v>1545516</v>
      </c>
      <c r="AZ754" s="35">
        <f>(VLOOKUP(Tabla4[[#This Row],[SERVICIO 2025]],$J$2:$V$14,3,0)*Tabla4[[#This Row],[TOTAL COBERTURA]])</f>
        <v>1545516</v>
      </c>
      <c r="BA754" s="35">
        <f>(VLOOKUP(Tabla4[[#This Row],[SERVICIO 2025]],$J$2:$V$14,3,0)*Tabla4[[#This Row],[TOTAL COBERTURA]])+Tabla4[[#This Row],[VALOR FASE PREPARATORIA DE CIERRE]]</f>
        <v>1791690</v>
      </c>
      <c r="BB754" s="35">
        <f>SUM(Tabla4[[#This Row],[DESEMBOLSO 1]:[DESEMBOLSO 8]])</f>
        <v>13081158</v>
      </c>
      <c r="BC754" s="35">
        <f>VLOOKUP(Tabla4[[#This Row],[SERVICIO 2025]],$J$2:$V$14,10,0)*Tabla4[[#This Row],[TOTAL COBERTURA]]*$W$3</f>
        <v>8658384</v>
      </c>
      <c r="BD754" s="47" t="s">
        <v>211</v>
      </c>
      <c r="BE754" s="12" t="b">
        <f>EXACT(Tabla4[[#This Row],[VALOR ATENCIÓN (8 MESES)]],Tabla4[[#This Row],[VALOR TOTAL]])</f>
        <v>1</v>
      </c>
      <c r="BF754" s="23">
        <f>Tabla4[[#This Row],[VALOR ATENCIÓN (8 MESES)]]-Tabla4[[#This Row],[VALOR TOTAL]]</f>
        <v>0</v>
      </c>
      <c r="BG754" s="12" t="b">
        <f>EXACT(Tabla4[[#This Row],[TOTAL DESEMBOLSOS]],Tabla4[[#This Row],[VALOR ATENCIÓN (8 MESES)]])</f>
        <v>1</v>
      </c>
      <c r="BH754" s="29">
        <f>Tabla4[[#This Row],[TOTAL DESEMBOLSOS]]-Tabla4[[#This Row],[VALOR ATENCIÓN (8 MESES)]]</f>
        <v>0</v>
      </c>
      <c r="BI754" t="s">
        <v>98</v>
      </c>
      <c r="BJ754">
        <v>1959</v>
      </c>
    </row>
    <row r="755" spans="1:62">
      <c r="A755" s="13">
        <v>1959</v>
      </c>
      <c r="B755" s="13" t="s">
        <v>1627</v>
      </c>
      <c r="C755" s="12" t="s">
        <v>87</v>
      </c>
      <c r="D755" s="12" t="s">
        <v>1628</v>
      </c>
      <c r="E755" s="12" t="s">
        <v>1629</v>
      </c>
      <c r="F755" s="12" t="s">
        <v>18</v>
      </c>
      <c r="G755" s="12" t="s">
        <v>90</v>
      </c>
      <c r="H755" s="12" t="s">
        <v>1687</v>
      </c>
      <c r="I755" s="12">
        <v>53611153496</v>
      </c>
      <c r="J755" s="12" t="s">
        <v>1688</v>
      </c>
      <c r="K755" s="12">
        <v>1</v>
      </c>
      <c r="L755" s="12">
        <v>7</v>
      </c>
      <c r="M755" s="12"/>
      <c r="N755" s="13">
        <v>1959</v>
      </c>
      <c r="O755" s="12" t="s">
        <v>93</v>
      </c>
      <c r="P755" s="12"/>
      <c r="Q755" s="12"/>
      <c r="R755" s="12" t="s">
        <v>94</v>
      </c>
      <c r="S755" s="12">
        <v>10</v>
      </c>
      <c r="T755" s="12" t="s">
        <v>270</v>
      </c>
      <c r="U755" s="12" t="s">
        <v>271</v>
      </c>
      <c r="V755" s="12">
        <f>VLOOKUP(Tabla4[[#This Row],[ZONA DEFINITIVO]],Hoja1!$A$1:$D$121,3,0)</f>
        <v>229120</v>
      </c>
      <c r="W755" s="12">
        <f>VLOOKUP(Tabla4[[#This Row],[ZONA DEFINITIVO]],Hoja1!$A$1:$D$121,2,0)</f>
        <v>15214</v>
      </c>
      <c r="X755" s="12">
        <f>VLOOKUP(Tabla4[[#This Row],[ZONA DEFINITIVO]],Hoja1!$A$1:$D$121,4,0)</f>
        <v>86325</v>
      </c>
      <c r="Y755" s="12" t="str">
        <f>+IF(Tabla4[[#This Row],[AGRUPACIONES]]=1,SUMIFS(Tabla4[UDS],Tabla4[ZONA DEFINITIVO],Tabla4[[#This Row],[ZONA DEFINITIVO]])," ")</f>
        <v xml:space="preserve"> </v>
      </c>
      <c r="Z755" s="12" t="str">
        <f>+IF(Tabla4[[#This Row],[AGRUPACIONES]]=1,SUMIFS(Tabla4[TOTAL COBERTURA],Tabla4[ZONA DEFINITIVO],Tabla4[[#This Row],[ZONA DEFINITIVO]])," ")</f>
        <v xml:space="preserve"> </v>
      </c>
      <c r="AA755" s="12"/>
      <c r="AB755" s="38">
        <v>15261351</v>
      </c>
      <c r="AC755" s="37">
        <v>0.02</v>
      </c>
      <c r="AD755" s="38">
        <f t="shared" si="12"/>
        <v>305227.02</v>
      </c>
      <c r="AE755" s="12"/>
      <c r="AF755" s="12">
        <f>COUNTIF($A$20:A755,A755)</f>
        <v>31</v>
      </c>
      <c r="AG755" s="38">
        <v>15261351</v>
      </c>
      <c r="AH755" s="38">
        <f>Tabla4[[#This Row],[VALOR CONTRAPARTIDA]]+Tabla4[[#This Row],[TOTAL APORTES ICBF]]</f>
        <v>15566578.02</v>
      </c>
      <c r="AI755" s="35"/>
      <c r="AJ755" s="38"/>
      <c r="AK755" s="38"/>
      <c r="AL755" s="23"/>
      <c r="AM755" s="35">
        <f>VLOOKUP(Tabla4[[#This Row],[SERVICIO 2025]],$J$2:$V$14,5,0)*Tabla4[[#This Row],[TOTAL COBERTURA]]</f>
        <v>345632</v>
      </c>
      <c r="AN755" s="35">
        <f>VLOOKUP(Tabla4[[#This Row],[SERVICIO 2025]],$J$2:$V$14,6,0)*Tabla4[[#This Row],[TOTAL COBERTURA]]</f>
        <v>287203</v>
      </c>
      <c r="AO755" s="35">
        <f>VLOOKUP(Tabla4[[#This Row],[SERVICIO 2025]],$J$2:$V$14,8,0)*Tabla4[[#This Row],[TOTAL COBERTURA]]</f>
        <v>203700</v>
      </c>
      <c r="AP755" s="35">
        <f>VLOOKUP(Tabla4[[#This Row],[SERVICIO 2025]],$J$2:$V$14,3,0)*Tabla4[[#This Row],[TOTAL COBERTURA]]*8</f>
        <v>14424816</v>
      </c>
      <c r="AQ755" s="35"/>
      <c r="AR755" s="35">
        <f>Tabla4[[#This Row],[VALOR FASE PREPARATORIA DE ALISTAMIENTO]]+Tabla4[[#This Row],[VALOR FASE PREPARATORIA DE CIERRE]]+Tabla4[[#This Row],[DOTACIÓN ÚNICA]]+Tabla4[[#This Row],[VALOR ATENCIÓN]]+Tabla4[[#This Row],[VALOR RACION PREPARADA]]</f>
        <v>15261351</v>
      </c>
      <c r="AS755" s="35" t="str">
        <f>+IF(Tabla4[[#This Row],[AGRUPACIONES]]=1,SUMIFS(Tabla4[VALOR TOTAL],Tabla4[ZONA DEFINITIVO],Tabla4[[#This Row],[ZONA DEFINITIVO]])," ")</f>
        <v xml:space="preserve"> </v>
      </c>
      <c r="AT755" s="27">
        <f>(VLOOKUP(Tabla4[[#This Row],[SERVICIO 2025]],$J$2:$V$14,3,0)*Tabla4[[#This Row],[TOTAL COBERTURA]])+Tabla4[[#This Row],[VALOR FASE PREPARATORIA DE ALISTAMIENTO]]+Tabla4[[#This Row],[DOTACIÓN ÚNICA]]</f>
        <v>2352434</v>
      </c>
      <c r="AU755" s="35">
        <f>(VLOOKUP(Tabla4[[#This Row],[SERVICIO 2025]],$J$2:$V$14,3,0)*Tabla4[[#This Row],[TOTAL COBERTURA]])</f>
        <v>1803102</v>
      </c>
      <c r="AV755" s="35">
        <f>(VLOOKUP(Tabla4[[#This Row],[SERVICIO 2025]],$J$2:$V$14,3,0)*Tabla4[[#This Row],[TOTAL COBERTURA]])</f>
        <v>1803102</v>
      </c>
      <c r="AW755" s="35">
        <f>(VLOOKUP(Tabla4[[#This Row],[SERVICIO 2025]],$J$2:$V$14,3,0)*Tabla4[[#This Row],[TOTAL COBERTURA]])</f>
        <v>1803102</v>
      </c>
      <c r="AX755" s="35">
        <f>(VLOOKUP(Tabla4[[#This Row],[SERVICIO 2025]],$J$2:$V$14,3,0)*Tabla4[[#This Row],[TOTAL COBERTURA]])</f>
        <v>1803102</v>
      </c>
      <c r="AY755" s="35">
        <f>(VLOOKUP(Tabla4[[#This Row],[SERVICIO 2025]],$J$2:$V$14,3,0)*Tabla4[[#This Row],[TOTAL COBERTURA]])</f>
        <v>1803102</v>
      </c>
      <c r="AZ755" s="35">
        <f>(VLOOKUP(Tabla4[[#This Row],[SERVICIO 2025]],$J$2:$V$14,3,0)*Tabla4[[#This Row],[TOTAL COBERTURA]])</f>
        <v>1803102</v>
      </c>
      <c r="BA755" s="35">
        <f>(VLOOKUP(Tabla4[[#This Row],[SERVICIO 2025]],$J$2:$V$14,3,0)*Tabla4[[#This Row],[TOTAL COBERTURA]])+Tabla4[[#This Row],[VALOR FASE PREPARATORIA DE CIERRE]]</f>
        <v>2090305</v>
      </c>
      <c r="BB755" s="35">
        <f>SUM(Tabla4[[#This Row],[DESEMBOLSO 1]:[DESEMBOLSO 8]])</f>
        <v>15261351</v>
      </c>
      <c r="BC755" s="35">
        <f>VLOOKUP(Tabla4[[#This Row],[SERVICIO 2025]],$J$2:$V$14,10,0)*Tabla4[[#This Row],[TOTAL COBERTURA]]*$W$3</f>
        <v>10101448</v>
      </c>
      <c r="BD755" s="47" t="s">
        <v>211</v>
      </c>
      <c r="BE755" s="12" t="b">
        <f>EXACT(Tabla4[[#This Row],[VALOR ATENCIÓN (8 MESES)]],Tabla4[[#This Row],[VALOR TOTAL]])</f>
        <v>1</v>
      </c>
      <c r="BF755" s="23">
        <f>Tabla4[[#This Row],[VALOR ATENCIÓN (8 MESES)]]-Tabla4[[#This Row],[VALOR TOTAL]]</f>
        <v>0</v>
      </c>
      <c r="BG755" s="12" t="b">
        <f>EXACT(Tabla4[[#This Row],[TOTAL DESEMBOLSOS]],Tabla4[[#This Row],[VALOR ATENCIÓN (8 MESES)]])</f>
        <v>1</v>
      </c>
      <c r="BH755" s="29">
        <f>Tabla4[[#This Row],[TOTAL DESEMBOLSOS]]-Tabla4[[#This Row],[VALOR ATENCIÓN (8 MESES)]]</f>
        <v>0</v>
      </c>
      <c r="BI755" t="s">
        <v>98</v>
      </c>
      <c r="BJ755">
        <v>1959</v>
      </c>
    </row>
    <row r="756" spans="1:62">
      <c r="A756" s="13">
        <v>1959</v>
      </c>
      <c r="B756" s="13" t="s">
        <v>1627</v>
      </c>
      <c r="C756" s="12" t="s">
        <v>87</v>
      </c>
      <c r="D756" s="12" t="s">
        <v>1628</v>
      </c>
      <c r="E756" s="12" t="s">
        <v>1629</v>
      </c>
      <c r="F756" s="12" t="s">
        <v>18</v>
      </c>
      <c r="G756" s="12" t="s">
        <v>90</v>
      </c>
      <c r="H756" s="12" t="s">
        <v>1689</v>
      </c>
      <c r="I756" s="12">
        <v>58871150344</v>
      </c>
      <c r="J756" s="12" t="s">
        <v>1690</v>
      </c>
      <c r="K756" s="12">
        <v>1</v>
      </c>
      <c r="L756" s="12">
        <v>9</v>
      </c>
      <c r="M756" s="12"/>
      <c r="N756" s="13">
        <v>1959</v>
      </c>
      <c r="O756" s="12" t="s">
        <v>93</v>
      </c>
      <c r="P756" s="12"/>
      <c r="Q756" s="12"/>
      <c r="R756" s="12" t="s">
        <v>94</v>
      </c>
      <c r="S756" s="12">
        <v>10</v>
      </c>
      <c r="T756" s="12" t="s">
        <v>270</v>
      </c>
      <c r="U756" s="12" t="s">
        <v>271</v>
      </c>
      <c r="V756" s="12">
        <f>VLOOKUP(Tabla4[[#This Row],[ZONA DEFINITIVO]],Hoja1!$A$1:$D$121,3,0)</f>
        <v>229120</v>
      </c>
      <c r="W756" s="12">
        <f>VLOOKUP(Tabla4[[#This Row],[ZONA DEFINITIVO]],Hoja1!$A$1:$D$121,2,0)</f>
        <v>15214</v>
      </c>
      <c r="X756" s="12">
        <f>VLOOKUP(Tabla4[[#This Row],[ZONA DEFINITIVO]],Hoja1!$A$1:$D$121,4,0)</f>
        <v>86325</v>
      </c>
      <c r="Y756" s="12" t="str">
        <f>+IF(Tabla4[[#This Row],[AGRUPACIONES]]=1,SUMIFS(Tabla4[UDS],Tabla4[ZONA DEFINITIVO],Tabla4[[#This Row],[ZONA DEFINITIVO]])," ")</f>
        <v xml:space="preserve"> </v>
      </c>
      <c r="Z756" s="12" t="str">
        <f>+IF(Tabla4[[#This Row],[AGRUPACIONES]]=1,SUMIFS(Tabla4[TOTAL COBERTURA],Tabla4[ZONA DEFINITIVO],Tabla4[[#This Row],[ZONA DEFINITIVO]])," ")</f>
        <v xml:space="preserve"> </v>
      </c>
      <c r="AA756" s="12"/>
      <c r="AB756" s="38">
        <v>19621737</v>
      </c>
      <c r="AC756" s="37">
        <v>0.02</v>
      </c>
      <c r="AD756" s="38">
        <f t="shared" si="12"/>
        <v>392434.74</v>
      </c>
      <c r="AE756" s="12"/>
      <c r="AF756" s="12">
        <f>COUNTIF($A$20:A756,A756)</f>
        <v>32</v>
      </c>
      <c r="AG756" s="38">
        <v>19621737</v>
      </c>
      <c r="AH756" s="38">
        <f>Tabla4[[#This Row],[VALOR CONTRAPARTIDA]]+Tabla4[[#This Row],[TOTAL APORTES ICBF]]</f>
        <v>20014171.739999998</v>
      </c>
      <c r="AI756" s="35"/>
      <c r="AJ756" s="38"/>
      <c r="AK756" s="38"/>
      <c r="AL756" s="23"/>
      <c r="AM756" s="35">
        <f>VLOOKUP(Tabla4[[#This Row],[SERVICIO 2025]],$J$2:$V$14,5,0)*Tabla4[[#This Row],[TOTAL COBERTURA]]</f>
        <v>444384</v>
      </c>
      <c r="AN756" s="35">
        <f>VLOOKUP(Tabla4[[#This Row],[SERVICIO 2025]],$J$2:$V$14,6,0)*Tabla4[[#This Row],[TOTAL COBERTURA]]</f>
        <v>369261</v>
      </c>
      <c r="AO756" s="35">
        <f>VLOOKUP(Tabla4[[#This Row],[SERVICIO 2025]],$J$2:$V$14,8,0)*Tabla4[[#This Row],[TOTAL COBERTURA]]</f>
        <v>261900</v>
      </c>
      <c r="AP756" s="35">
        <f>VLOOKUP(Tabla4[[#This Row],[SERVICIO 2025]],$J$2:$V$14,3,0)*Tabla4[[#This Row],[TOTAL COBERTURA]]*8</f>
        <v>18546192</v>
      </c>
      <c r="AQ756" s="35"/>
      <c r="AR756" s="35">
        <f>Tabla4[[#This Row],[VALOR FASE PREPARATORIA DE ALISTAMIENTO]]+Tabla4[[#This Row],[VALOR FASE PREPARATORIA DE CIERRE]]+Tabla4[[#This Row],[DOTACIÓN ÚNICA]]+Tabla4[[#This Row],[VALOR ATENCIÓN]]+Tabla4[[#This Row],[VALOR RACION PREPARADA]]</f>
        <v>19621737</v>
      </c>
      <c r="AS756" s="35" t="str">
        <f>+IF(Tabla4[[#This Row],[AGRUPACIONES]]=1,SUMIFS(Tabla4[VALOR TOTAL],Tabla4[ZONA DEFINITIVO],Tabla4[[#This Row],[ZONA DEFINITIVO]])," ")</f>
        <v xml:space="preserve"> </v>
      </c>
      <c r="AT756" s="27">
        <f>(VLOOKUP(Tabla4[[#This Row],[SERVICIO 2025]],$J$2:$V$14,3,0)*Tabla4[[#This Row],[TOTAL COBERTURA]])+Tabla4[[#This Row],[VALOR FASE PREPARATORIA DE ALISTAMIENTO]]+Tabla4[[#This Row],[DOTACIÓN ÚNICA]]</f>
        <v>3024558</v>
      </c>
      <c r="AU756" s="35">
        <f>(VLOOKUP(Tabla4[[#This Row],[SERVICIO 2025]],$J$2:$V$14,3,0)*Tabla4[[#This Row],[TOTAL COBERTURA]])</f>
        <v>2318274</v>
      </c>
      <c r="AV756" s="35">
        <f>(VLOOKUP(Tabla4[[#This Row],[SERVICIO 2025]],$J$2:$V$14,3,0)*Tabla4[[#This Row],[TOTAL COBERTURA]])</f>
        <v>2318274</v>
      </c>
      <c r="AW756" s="35">
        <f>(VLOOKUP(Tabla4[[#This Row],[SERVICIO 2025]],$J$2:$V$14,3,0)*Tabla4[[#This Row],[TOTAL COBERTURA]])</f>
        <v>2318274</v>
      </c>
      <c r="AX756" s="35">
        <f>(VLOOKUP(Tabla4[[#This Row],[SERVICIO 2025]],$J$2:$V$14,3,0)*Tabla4[[#This Row],[TOTAL COBERTURA]])</f>
        <v>2318274</v>
      </c>
      <c r="AY756" s="35">
        <f>(VLOOKUP(Tabla4[[#This Row],[SERVICIO 2025]],$J$2:$V$14,3,0)*Tabla4[[#This Row],[TOTAL COBERTURA]])</f>
        <v>2318274</v>
      </c>
      <c r="AZ756" s="35">
        <f>(VLOOKUP(Tabla4[[#This Row],[SERVICIO 2025]],$J$2:$V$14,3,0)*Tabla4[[#This Row],[TOTAL COBERTURA]])</f>
        <v>2318274</v>
      </c>
      <c r="BA756" s="35">
        <f>(VLOOKUP(Tabla4[[#This Row],[SERVICIO 2025]],$J$2:$V$14,3,0)*Tabla4[[#This Row],[TOTAL COBERTURA]])+Tabla4[[#This Row],[VALOR FASE PREPARATORIA DE CIERRE]]</f>
        <v>2687535</v>
      </c>
      <c r="BB756" s="35">
        <f>SUM(Tabla4[[#This Row],[DESEMBOLSO 1]:[DESEMBOLSO 8]])</f>
        <v>19621737</v>
      </c>
      <c r="BC756" s="35">
        <f>VLOOKUP(Tabla4[[#This Row],[SERVICIO 2025]],$J$2:$V$14,10,0)*Tabla4[[#This Row],[TOTAL COBERTURA]]*$W$3</f>
        <v>12987576</v>
      </c>
      <c r="BD756" s="47" t="s">
        <v>211</v>
      </c>
      <c r="BE756" s="12" t="b">
        <f>EXACT(Tabla4[[#This Row],[VALOR ATENCIÓN (8 MESES)]],Tabla4[[#This Row],[VALOR TOTAL]])</f>
        <v>1</v>
      </c>
      <c r="BF756" s="23">
        <f>Tabla4[[#This Row],[VALOR ATENCIÓN (8 MESES)]]-Tabla4[[#This Row],[VALOR TOTAL]]</f>
        <v>0</v>
      </c>
      <c r="BG756" s="12" t="b">
        <f>EXACT(Tabla4[[#This Row],[TOTAL DESEMBOLSOS]],Tabla4[[#This Row],[VALOR ATENCIÓN (8 MESES)]])</f>
        <v>1</v>
      </c>
      <c r="BH756" s="29">
        <f>Tabla4[[#This Row],[TOTAL DESEMBOLSOS]]-Tabla4[[#This Row],[VALOR ATENCIÓN (8 MESES)]]</f>
        <v>0</v>
      </c>
      <c r="BI756" t="s">
        <v>98</v>
      </c>
      <c r="BJ756">
        <v>1959</v>
      </c>
    </row>
    <row r="757" spans="1:62">
      <c r="A757" s="13">
        <v>1959</v>
      </c>
      <c r="B757" s="13" t="s">
        <v>1627</v>
      </c>
      <c r="C757" s="12" t="s">
        <v>87</v>
      </c>
      <c r="D757" s="12" t="s">
        <v>1628</v>
      </c>
      <c r="E757" s="12" t="s">
        <v>1629</v>
      </c>
      <c r="F757" s="12" t="s">
        <v>18</v>
      </c>
      <c r="G757" s="12" t="s">
        <v>90</v>
      </c>
      <c r="H757" s="12" t="s">
        <v>236</v>
      </c>
      <c r="I757" s="12">
        <v>536100111685</v>
      </c>
      <c r="J757" s="12" t="s">
        <v>1691</v>
      </c>
      <c r="K757" s="12">
        <v>1</v>
      </c>
      <c r="L757" s="12">
        <v>12</v>
      </c>
      <c r="M757" s="12"/>
      <c r="N757" s="13">
        <v>1959</v>
      </c>
      <c r="O757" s="12" t="s">
        <v>93</v>
      </c>
      <c r="P757" s="12"/>
      <c r="Q757" s="12"/>
      <c r="R757" s="12" t="s">
        <v>94</v>
      </c>
      <c r="S757" s="12">
        <v>10</v>
      </c>
      <c r="T757" s="12" t="s">
        <v>270</v>
      </c>
      <c r="U757" s="12" t="s">
        <v>271</v>
      </c>
      <c r="V757" s="12">
        <f>VLOOKUP(Tabla4[[#This Row],[ZONA DEFINITIVO]],Hoja1!$A$1:$D$121,3,0)</f>
        <v>229120</v>
      </c>
      <c r="W757" s="12">
        <f>VLOOKUP(Tabla4[[#This Row],[ZONA DEFINITIVO]],Hoja1!$A$1:$D$121,2,0)</f>
        <v>15214</v>
      </c>
      <c r="X757" s="12">
        <f>VLOOKUP(Tabla4[[#This Row],[ZONA DEFINITIVO]],Hoja1!$A$1:$D$121,4,0)</f>
        <v>86325</v>
      </c>
      <c r="Y757" s="12" t="str">
        <f>+IF(Tabla4[[#This Row],[AGRUPACIONES]]=1,SUMIFS(Tabla4[UDS],Tabla4[ZONA DEFINITIVO],Tabla4[[#This Row],[ZONA DEFINITIVO]])," ")</f>
        <v xml:space="preserve"> </v>
      </c>
      <c r="Z757" s="12" t="str">
        <f>+IF(Tabla4[[#This Row],[AGRUPACIONES]]=1,SUMIFS(Tabla4[TOTAL COBERTURA],Tabla4[ZONA DEFINITIVO],Tabla4[[#This Row],[ZONA DEFINITIVO]])," ")</f>
        <v xml:space="preserve"> </v>
      </c>
      <c r="AA757" s="12"/>
      <c r="AB757" s="38">
        <v>26162316</v>
      </c>
      <c r="AC757" s="37">
        <v>0.02</v>
      </c>
      <c r="AD757" s="38">
        <f t="shared" si="12"/>
        <v>523246.32</v>
      </c>
      <c r="AE757" s="12"/>
      <c r="AF757" s="12">
        <f>COUNTIF($A$20:A757,A757)</f>
        <v>33</v>
      </c>
      <c r="AG757" s="38">
        <v>26162316</v>
      </c>
      <c r="AH757" s="38">
        <f>Tabla4[[#This Row],[VALOR CONTRAPARTIDA]]+Tabla4[[#This Row],[TOTAL APORTES ICBF]]</f>
        <v>26685562.32</v>
      </c>
      <c r="AI757" s="35"/>
      <c r="AJ757" s="38"/>
      <c r="AK757" s="38"/>
      <c r="AL757" s="23"/>
      <c r="AM757" s="35">
        <f>VLOOKUP(Tabla4[[#This Row],[SERVICIO 2025]],$J$2:$V$14,5,0)*Tabla4[[#This Row],[TOTAL COBERTURA]]</f>
        <v>592512</v>
      </c>
      <c r="AN757" s="35">
        <f>VLOOKUP(Tabla4[[#This Row],[SERVICIO 2025]],$J$2:$V$14,6,0)*Tabla4[[#This Row],[TOTAL COBERTURA]]</f>
        <v>492348</v>
      </c>
      <c r="AO757" s="35">
        <f>VLOOKUP(Tabla4[[#This Row],[SERVICIO 2025]],$J$2:$V$14,8,0)*Tabla4[[#This Row],[TOTAL COBERTURA]]</f>
        <v>349200</v>
      </c>
      <c r="AP757" s="35">
        <f>VLOOKUP(Tabla4[[#This Row],[SERVICIO 2025]],$J$2:$V$14,3,0)*Tabla4[[#This Row],[TOTAL COBERTURA]]*8</f>
        <v>24728256</v>
      </c>
      <c r="AQ757" s="35"/>
      <c r="AR757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757" s="35" t="str">
        <f>+IF(Tabla4[[#This Row],[AGRUPACIONES]]=1,SUMIFS(Tabla4[VALOR TOTAL],Tabla4[ZONA DEFINITIVO],Tabla4[[#This Row],[ZONA DEFINITIVO]])," ")</f>
        <v xml:space="preserve"> </v>
      </c>
      <c r="AT757" s="27">
        <f>(VLOOKUP(Tabla4[[#This Row],[SERVICIO 2025]],$J$2:$V$14,3,0)*Tabla4[[#This Row],[TOTAL COBERTURA]])+Tabla4[[#This Row],[VALOR FASE PREPARATORIA DE ALISTAMIENTO]]+Tabla4[[#This Row],[DOTACIÓN ÚNICA]]</f>
        <v>4032744</v>
      </c>
      <c r="AU757" s="35">
        <f>(VLOOKUP(Tabla4[[#This Row],[SERVICIO 2025]],$J$2:$V$14,3,0)*Tabla4[[#This Row],[TOTAL COBERTURA]])</f>
        <v>3091032</v>
      </c>
      <c r="AV757" s="35">
        <f>(VLOOKUP(Tabla4[[#This Row],[SERVICIO 2025]],$J$2:$V$14,3,0)*Tabla4[[#This Row],[TOTAL COBERTURA]])</f>
        <v>3091032</v>
      </c>
      <c r="AW757" s="35">
        <f>(VLOOKUP(Tabla4[[#This Row],[SERVICIO 2025]],$J$2:$V$14,3,0)*Tabla4[[#This Row],[TOTAL COBERTURA]])</f>
        <v>3091032</v>
      </c>
      <c r="AX757" s="35">
        <f>(VLOOKUP(Tabla4[[#This Row],[SERVICIO 2025]],$J$2:$V$14,3,0)*Tabla4[[#This Row],[TOTAL COBERTURA]])</f>
        <v>3091032</v>
      </c>
      <c r="AY757" s="35">
        <f>(VLOOKUP(Tabla4[[#This Row],[SERVICIO 2025]],$J$2:$V$14,3,0)*Tabla4[[#This Row],[TOTAL COBERTURA]])</f>
        <v>3091032</v>
      </c>
      <c r="AZ757" s="35">
        <f>(VLOOKUP(Tabla4[[#This Row],[SERVICIO 2025]],$J$2:$V$14,3,0)*Tabla4[[#This Row],[TOTAL COBERTURA]])</f>
        <v>3091032</v>
      </c>
      <c r="BA757" s="35">
        <f>(VLOOKUP(Tabla4[[#This Row],[SERVICIO 2025]],$J$2:$V$14,3,0)*Tabla4[[#This Row],[TOTAL COBERTURA]])+Tabla4[[#This Row],[VALOR FASE PREPARATORIA DE CIERRE]]</f>
        <v>3583380</v>
      </c>
      <c r="BB757" s="35">
        <f>SUM(Tabla4[[#This Row],[DESEMBOLSO 1]:[DESEMBOLSO 8]])</f>
        <v>26162316</v>
      </c>
      <c r="BC757" s="35">
        <f>VLOOKUP(Tabla4[[#This Row],[SERVICIO 2025]],$J$2:$V$14,10,0)*Tabla4[[#This Row],[TOTAL COBERTURA]]*$W$3</f>
        <v>17316768</v>
      </c>
      <c r="BD757" s="47" t="s">
        <v>211</v>
      </c>
      <c r="BE757" s="12" t="b">
        <f>EXACT(Tabla4[[#This Row],[VALOR ATENCIÓN (8 MESES)]],Tabla4[[#This Row],[VALOR TOTAL]])</f>
        <v>1</v>
      </c>
      <c r="BF757" s="23">
        <f>Tabla4[[#This Row],[VALOR ATENCIÓN (8 MESES)]]-Tabla4[[#This Row],[VALOR TOTAL]]</f>
        <v>0</v>
      </c>
      <c r="BG757" s="12" t="b">
        <f>EXACT(Tabla4[[#This Row],[TOTAL DESEMBOLSOS]],Tabla4[[#This Row],[VALOR ATENCIÓN (8 MESES)]])</f>
        <v>1</v>
      </c>
      <c r="BH757" s="29">
        <f>Tabla4[[#This Row],[TOTAL DESEMBOLSOS]]-Tabla4[[#This Row],[VALOR ATENCIÓN (8 MESES)]]</f>
        <v>0</v>
      </c>
      <c r="BI757" t="s">
        <v>98</v>
      </c>
      <c r="BJ757">
        <v>1959</v>
      </c>
    </row>
    <row r="758" spans="1:62">
      <c r="A758" s="13">
        <v>1959</v>
      </c>
      <c r="B758" s="13" t="s">
        <v>1627</v>
      </c>
      <c r="C758" s="12" t="s">
        <v>87</v>
      </c>
      <c r="D758" s="12" t="s">
        <v>1628</v>
      </c>
      <c r="E758" s="12" t="s">
        <v>1629</v>
      </c>
      <c r="F758" s="12" t="s">
        <v>18</v>
      </c>
      <c r="G758" s="12" t="s">
        <v>90</v>
      </c>
      <c r="H758" s="12" t="s">
        <v>1692</v>
      </c>
      <c r="I758" s="12">
        <v>536100112921</v>
      </c>
      <c r="J758" s="12" t="s">
        <v>1693</v>
      </c>
      <c r="K758" s="12">
        <v>1</v>
      </c>
      <c r="L758" s="12">
        <v>13</v>
      </c>
      <c r="M758" s="12"/>
      <c r="N758" s="13">
        <v>1959</v>
      </c>
      <c r="O758" s="12" t="s">
        <v>93</v>
      </c>
      <c r="P758" s="12"/>
      <c r="Q758" s="12"/>
      <c r="R758" s="12" t="s">
        <v>94</v>
      </c>
      <c r="S758" s="12">
        <v>10</v>
      </c>
      <c r="T758" s="12" t="s">
        <v>270</v>
      </c>
      <c r="U758" s="12" t="s">
        <v>271</v>
      </c>
      <c r="V758" s="12">
        <f>VLOOKUP(Tabla4[[#This Row],[ZONA DEFINITIVO]],Hoja1!$A$1:$D$121,3,0)</f>
        <v>229120</v>
      </c>
      <c r="W758" s="12">
        <f>VLOOKUP(Tabla4[[#This Row],[ZONA DEFINITIVO]],Hoja1!$A$1:$D$121,2,0)</f>
        <v>15214</v>
      </c>
      <c r="X758" s="12">
        <f>VLOOKUP(Tabla4[[#This Row],[ZONA DEFINITIVO]],Hoja1!$A$1:$D$121,4,0)</f>
        <v>86325</v>
      </c>
      <c r="Y758" s="12" t="str">
        <f>+IF(Tabla4[[#This Row],[AGRUPACIONES]]=1,SUMIFS(Tabla4[UDS],Tabla4[ZONA DEFINITIVO],Tabla4[[#This Row],[ZONA DEFINITIVO]])," ")</f>
        <v xml:space="preserve"> </v>
      </c>
      <c r="Z758" s="12" t="str">
        <f>+IF(Tabla4[[#This Row],[AGRUPACIONES]]=1,SUMIFS(Tabla4[TOTAL COBERTURA],Tabla4[ZONA DEFINITIVO],Tabla4[[#This Row],[ZONA DEFINITIVO]])," ")</f>
        <v xml:space="preserve"> </v>
      </c>
      <c r="AA758" s="12"/>
      <c r="AB758" s="38">
        <v>28342509</v>
      </c>
      <c r="AC758" s="37">
        <v>0.02</v>
      </c>
      <c r="AD758" s="38">
        <f t="shared" si="12"/>
        <v>566850.18000000005</v>
      </c>
      <c r="AE758" s="12"/>
      <c r="AF758" s="12">
        <f>COUNTIF($A$20:A758,A758)</f>
        <v>34</v>
      </c>
      <c r="AG758" s="38">
        <v>28342509</v>
      </c>
      <c r="AH758" s="38">
        <f>Tabla4[[#This Row],[VALOR CONTRAPARTIDA]]+Tabla4[[#This Row],[TOTAL APORTES ICBF]]</f>
        <v>28909359.18</v>
      </c>
      <c r="AI758" s="35"/>
      <c r="AJ758" s="38"/>
      <c r="AK758" s="38"/>
      <c r="AL758" s="23"/>
      <c r="AM758" s="35">
        <f>VLOOKUP(Tabla4[[#This Row],[SERVICIO 2025]],$J$2:$V$14,5,0)*Tabla4[[#This Row],[TOTAL COBERTURA]]</f>
        <v>641888</v>
      </c>
      <c r="AN758" s="35">
        <f>VLOOKUP(Tabla4[[#This Row],[SERVICIO 2025]],$J$2:$V$14,6,0)*Tabla4[[#This Row],[TOTAL COBERTURA]]</f>
        <v>533377</v>
      </c>
      <c r="AO758" s="35">
        <f>VLOOKUP(Tabla4[[#This Row],[SERVICIO 2025]],$J$2:$V$14,8,0)*Tabla4[[#This Row],[TOTAL COBERTURA]]</f>
        <v>378300</v>
      </c>
      <c r="AP758" s="35">
        <f>VLOOKUP(Tabla4[[#This Row],[SERVICIO 2025]],$J$2:$V$14,3,0)*Tabla4[[#This Row],[TOTAL COBERTURA]]*8</f>
        <v>26788944</v>
      </c>
      <c r="AQ758" s="35"/>
      <c r="AR758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758" s="35" t="str">
        <f>+IF(Tabla4[[#This Row],[AGRUPACIONES]]=1,SUMIFS(Tabla4[VALOR TOTAL],Tabla4[ZONA DEFINITIVO],Tabla4[[#This Row],[ZONA DEFINITIVO]])," ")</f>
        <v xml:space="preserve"> </v>
      </c>
      <c r="AT758" s="27">
        <f>(VLOOKUP(Tabla4[[#This Row],[SERVICIO 2025]],$J$2:$V$14,3,0)*Tabla4[[#This Row],[TOTAL COBERTURA]])+Tabla4[[#This Row],[VALOR FASE PREPARATORIA DE ALISTAMIENTO]]+Tabla4[[#This Row],[DOTACIÓN ÚNICA]]</f>
        <v>4368806</v>
      </c>
      <c r="AU758" s="35">
        <f>(VLOOKUP(Tabla4[[#This Row],[SERVICIO 2025]],$J$2:$V$14,3,0)*Tabla4[[#This Row],[TOTAL COBERTURA]])</f>
        <v>3348618</v>
      </c>
      <c r="AV758" s="35">
        <f>(VLOOKUP(Tabla4[[#This Row],[SERVICIO 2025]],$J$2:$V$14,3,0)*Tabla4[[#This Row],[TOTAL COBERTURA]])</f>
        <v>3348618</v>
      </c>
      <c r="AW758" s="35">
        <f>(VLOOKUP(Tabla4[[#This Row],[SERVICIO 2025]],$J$2:$V$14,3,0)*Tabla4[[#This Row],[TOTAL COBERTURA]])</f>
        <v>3348618</v>
      </c>
      <c r="AX758" s="35">
        <f>(VLOOKUP(Tabla4[[#This Row],[SERVICIO 2025]],$J$2:$V$14,3,0)*Tabla4[[#This Row],[TOTAL COBERTURA]])</f>
        <v>3348618</v>
      </c>
      <c r="AY758" s="35">
        <f>(VLOOKUP(Tabla4[[#This Row],[SERVICIO 2025]],$J$2:$V$14,3,0)*Tabla4[[#This Row],[TOTAL COBERTURA]])</f>
        <v>3348618</v>
      </c>
      <c r="AZ758" s="35">
        <f>(VLOOKUP(Tabla4[[#This Row],[SERVICIO 2025]],$J$2:$V$14,3,0)*Tabla4[[#This Row],[TOTAL COBERTURA]])</f>
        <v>3348618</v>
      </c>
      <c r="BA758" s="35">
        <f>(VLOOKUP(Tabla4[[#This Row],[SERVICIO 2025]],$J$2:$V$14,3,0)*Tabla4[[#This Row],[TOTAL COBERTURA]])+Tabla4[[#This Row],[VALOR FASE PREPARATORIA DE CIERRE]]</f>
        <v>3881995</v>
      </c>
      <c r="BB758" s="35">
        <f>SUM(Tabla4[[#This Row],[DESEMBOLSO 1]:[DESEMBOLSO 8]])</f>
        <v>28342509</v>
      </c>
      <c r="BC758" s="35">
        <f>VLOOKUP(Tabla4[[#This Row],[SERVICIO 2025]],$J$2:$V$14,10,0)*Tabla4[[#This Row],[TOTAL COBERTURA]]*$W$3</f>
        <v>18759832</v>
      </c>
      <c r="BD758" s="47" t="s">
        <v>211</v>
      </c>
      <c r="BE758" s="12" t="b">
        <f>EXACT(Tabla4[[#This Row],[VALOR ATENCIÓN (8 MESES)]],Tabla4[[#This Row],[VALOR TOTAL]])</f>
        <v>1</v>
      </c>
      <c r="BF758" s="23">
        <f>Tabla4[[#This Row],[VALOR ATENCIÓN (8 MESES)]]-Tabla4[[#This Row],[VALOR TOTAL]]</f>
        <v>0</v>
      </c>
      <c r="BG758" s="12" t="b">
        <f>EXACT(Tabla4[[#This Row],[TOTAL DESEMBOLSOS]],Tabla4[[#This Row],[VALOR ATENCIÓN (8 MESES)]])</f>
        <v>1</v>
      </c>
      <c r="BH758" s="29">
        <f>Tabla4[[#This Row],[TOTAL DESEMBOLSOS]]-Tabla4[[#This Row],[VALOR ATENCIÓN (8 MESES)]]</f>
        <v>0</v>
      </c>
      <c r="BI758" t="s">
        <v>98</v>
      </c>
      <c r="BJ758">
        <v>1959</v>
      </c>
    </row>
    <row r="759" spans="1:62">
      <c r="A759" s="13">
        <v>1960</v>
      </c>
      <c r="B759" s="13" t="s">
        <v>1694</v>
      </c>
      <c r="C759" s="12" t="s">
        <v>87</v>
      </c>
      <c r="D759" s="12" t="s">
        <v>205</v>
      </c>
      <c r="E759" s="12" t="s">
        <v>1695</v>
      </c>
      <c r="F759" s="12" t="s">
        <v>21</v>
      </c>
      <c r="G759" s="12" t="s">
        <v>90</v>
      </c>
      <c r="H759" s="12" t="s">
        <v>1696</v>
      </c>
      <c r="I759" s="12">
        <v>53641115801</v>
      </c>
      <c r="J759" s="12" t="s">
        <v>1697</v>
      </c>
      <c r="K759" s="12">
        <v>1</v>
      </c>
      <c r="L759" s="12">
        <v>18</v>
      </c>
      <c r="M759" s="12"/>
      <c r="N759" s="13">
        <v>1960</v>
      </c>
      <c r="O759" s="12" t="s">
        <v>93</v>
      </c>
      <c r="P759" s="12"/>
      <c r="Q759" s="12"/>
      <c r="R759" s="12" t="s">
        <v>94</v>
      </c>
      <c r="S759" s="12">
        <v>10</v>
      </c>
      <c r="T759" s="12" t="s">
        <v>328</v>
      </c>
      <c r="U759" s="12" t="s">
        <v>329</v>
      </c>
      <c r="V759" s="12">
        <f>VLOOKUP(Tabla4[[#This Row],[ZONA DEFINITIVO]],Hoja1!$A$1:$D$121,3,0)</f>
        <v>229121</v>
      </c>
      <c r="W759" s="12">
        <f>VLOOKUP(Tabla4[[#This Row],[ZONA DEFINITIVO]],Hoja1!$A$1:$D$121,2,0)</f>
        <v>15203</v>
      </c>
      <c r="X759" s="12">
        <f>VLOOKUP(Tabla4[[#This Row],[ZONA DEFINITIVO]],Hoja1!$A$1:$D$121,4,0)</f>
        <v>91925</v>
      </c>
      <c r="Y759" s="12">
        <f>+IF(Tabla4[[#This Row],[AGRUPACIONES]]=1,SUMIFS(Tabla4[UDS],Tabla4[ZONA DEFINITIVO],Tabla4[[#This Row],[ZONA DEFINITIVO]])," ")</f>
        <v>17</v>
      </c>
      <c r="Z759" s="12">
        <f>+IF(Tabla4[[#This Row],[AGRUPACIONES]]=1,SUMIFS(Tabla4[TOTAL COBERTURA],Tabla4[ZONA DEFINITIVO],Tabla4[[#This Row],[ZONA DEFINITIVO]])," ")</f>
        <v>440</v>
      </c>
      <c r="AA759" s="12"/>
      <c r="AB759" s="38">
        <v>27347490</v>
      </c>
      <c r="AC759" s="37">
        <v>0.02</v>
      </c>
      <c r="AD759" s="38">
        <f t="shared" si="12"/>
        <v>546949.80000000005</v>
      </c>
      <c r="AE759" s="12"/>
      <c r="AF759" s="12">
        <f>COUNTIF($A$20:A759,A759)</f>
        <v>1</v>
      </c>
      <c r="AG759" s="38">
        <v>27347490</v>
      </c>
      <c r="AH759" s="38">
        <f>Tabla4[[#This Row],[VALOR CONTRAPARTIDA]]+Tabla4[[#This Row],[TOTAL APORTES ICBF]]</f>
        <v>27894439.800000001</v>
      </c>
      <c r="AI759" s="35">
        <f>ROUND(+IF(Tabla4[[#This Row],[AGRUPACIONES]]=1,SUMIFS(Tabla4[TOTAL APORTES ICBF],Tabla4[ZONA DEFINITIVO],Tabla4[[#This Row],[ZONA DEFINITIVO]])," "),0)</f>
        <v>1071595495</v>
      </c>
      <c r="AJ759" s="38">
        <f>ROUND(+IF(Tabla4[[#This Row],[AGRUPACIONES]]=1,SUMIFS(Tabla4[VALOR CONTRAPARTIDA],Tabla4[ZONA DEFINITIVO],Tabla4[[#This Row],[ZONA DEFINITIVO]])," "),0)</f>
        <v>21431910</v>
      </c>
      <c r="AK759" s="38">
        <f>Tabla4[[#This Row],[TOTAL APORTES ICBF AGRUPADO]]+Tabla4[[#This Row],[TOTAL CONTRAPARTIDA AGRUPADO]]</f>
        <v>1093027405</v>
      </c>
      <c r="AL759" s="23">
        <f>Tabla4[[#This Row],[TOTAL APORTES ICBF AGRUPADO]]/$AL$18</f>
        <v>752.78924833157714</v>
      </c>
      <c r="AM759" s="35">
        <f>VLOOKUP(Tabla4[[#This Row],[SERVICIO 2025]],$J$2:$V$14,5,0)*Tabla4[[#This Row],[TOTAL COBERTURA]]</f>
        <v>841392</v>
      </c>
      <c r="AN759" s="35">
        <f>VLOOKUP(Tabla4[[#This Row],[SERVICIO 2025]],$J$2:$V$14,6,0)*Tabla4[[#This Row],[TOTAL COBERTURA]]</f>
        <v>681138</v>
      </c>
      <c r="AO759" s="35">
        <f>VLOOKUP(Tabla4[[#This Row],[SERVICIO 2025]],$J$2:$V$14,8,0)*Tabla4[[#This Row],[TOTAL COBERTURA]]</f>
        <v>0</v>
      </c>
      <c r="AP759" s="35">
        <f>VLOOKUP(Tabla4[[#This Row],[SERVICIO 2025]],$J$2:$V$14,3,0)*Tabla4[[#This Row],[TOTAL COBERTURA]]*8</f>
        <v>25824960</v>
      </c>
      <c r="AQ759" s="35"/>
      <c r="AR759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759" s="35">
        <f>+IF(Tabla4[[#This Row],[AGRUPACIONES]]=1,SUMIFS(Tabla4[VALOR TOTAL],Tabla4[ZONA DEFINITIVO],Tabla4[[#This Row],[ZONA DEFINITIVO]])," ")</f>
        <v>1071595495</v>
      </c>
      <c r="AT759" s="27">
        <f>(VLOOKUP(Tabla4[[#This Row],[SERVICIO 2025]],$J$2:$V$14,3,0)*Tabla4[[#This Row],[TOTAL COBERTURA]])+Tabla4[[#This Row],[VALOR FASE PREPARATORIA DE ALISTAMIENTO]]+Tabla4[[#This Row],[DOTACIÓN ÚNICA]]</f>
        <v>4069512</v>
      </c>
      <c r="AU759" s="35">
        <f>(VLOOKUP(Tabla4[[#This Row],[SERVICIO 2025]],$J$2:$V$14,3,0)*Tabla4[[#This Row],[TOTAL COBERTURA]])</f>
        <v>3228120</v>
      </c>
      <c r="AV759" s="35">
        <f>(VLOOKUP(Tabla4[[#This Row],[SERVICIO 2025]],$J$2:$V$14,3,0)*Tabla4[[#This Row],[TOTAL COBERTURA]])</f>
        <v>3228120</v>
      </c>
      <c r="AW759" s="35">
        <f>(VLOOKUP(Tabla4[[#This Row],[SERVICIO 2025]],$J$2:$V$14,3,0)*Tabla4[[#This Row],[TOTAL COBERTURA]])</f>
        <v>3228120</v>
      </c>
      <c r="AX759" s="35">
        <f>(VLOOKUP(Tabla4[[#This Row],[SERVICIO 2025]],$J$2:$V$14,3,0)*Tabla4[[#This Row],[TOTAL COBERTURA]])</f>
        <v>3228120</v>
      </c>
      <c r="AY759" s="35">
        <f>(VLOOKUP(Tabla4[[#This Row],[SERVICIO 2025]],$J$2:$V$14,3,0)*Tabla4[[#This Row],[TOTAL COBERTURA]])</f>
        <v>3228120</v>
      </c>
      <c r="AZ759" s="35">
        <f>(VLOOKUP(Tabla4[[#This Row],[SERVICIO 2025]],$J$2:$V$14,3,0)*Tabla4[[#This Row],[TOTAL COBERTURA]])</f>
        <v>3228120</v>
      </c>
      <c r="BA759" s="35">
        <f>(VLOOKUP(Tabla4[[#This Row],[SERVICIO 2025]],$J$2:$V$14,3,0)*Tabla4[[#This Row],[TOTAL COBERTURA]])+Tabla4[[#This Row],[VALOR FASE PREPARATORIA DE CIERRE]]</f>
        <v>3909258</v>
      </c>
      <c r="BB759" s="35">
        <f>SUM(Tabla4[[#This Row],[DESEMBOLSO 1]:[DESEMBOLSO 8]])</f>
        <v>27347490</v>
      </c>
      <c r="BC759" s="35">
        <f>VLOOKUP(Tabla4[[#This Row],[SERVICIO 2025]],$J$2:$V$14,10,0)*Tabla4[[#This Row],[TOTAL COBERTURA]]*$W$3</f>
        <v>27118224</v>
      </c>
      <c r="BD759" s="47" t="s">
        <v>211</v>
      </c>
      <c r="BE759" s="12" t="b">
        <f>EXACT(Tabla4[[#This Row],[VALOR ATENCIÓN (8 MESES)]],Tabla4[[#This Row],[VALOR TOTAL]])</f>
        <v>1</v>
      </c>
      <c r="BF759" s="23">
        <f>Tabla4[[#This Row],[VALOR ATENCIÓN (8 MESES)]]-Tabla4[[#This Row],[VALOR TOTAL]]</f>
        <v>0</v>
      </c>
      <c r="BG759" s="12" t="b">
        <f>EXACT(Tabla4[[#This Row],[TOTAL DESEMBOLSOS]],Tabla4[[#This Row],[VALOR ATENCIÓN (8 MESES)]])</f>
        <v>1</v>
      </c>
      <c r="BH759" s="29">
        <f>Tabla4[[#This Row],[TOTAL DESEMBOLSOS]]-Tabla4[[#This Row],[VALOR ATENCIÓN (8 MESES)]]</f>
        <v>0</v>
      </c>
      <c r="BI759" t="s">
        <v>98</v>
      </c>
      <c r="BJ759">
        <v>1960</v>
      </c>
    </row>
    <row r="760" spans="1:62">
      <c r="A760" s="13">
        <v>1960</v>
      </c>
      <c r="B760" s="13" t="s">
        <v>1694</v>
      </c>
      <c r="C760" s="12" t="s">
        <v>87</v>
      </c>
      <c r="D760" s="12" t="s">
        <v>205</v>
      </c>
      <c r="E760" s="12" t="s">
        <v>1695</v>
      </c>
      <c r="F760" s="12" t="s">
        <v>21</v>
      </c>
      <c r="G760" s="12" t="s">
        <v>90</v>
      </c>
      <c r="H760" s="12" t="s">
        <v>1698</v>
      </c>
      <c r="I760" s="12">
        <v>53641115803</v>
      </c>
      <c r="J760" s="12" t="s">
        <v>1699</v>
      </c>
      <c r="K760" s="12">
        <v>1</v>
      </c>
      <c r="L760" s="12">
        <v>20</v>
      </c>
      <c r="M760" s="12"/>
      <c r="N760" s="13">
        <v>1960</v>
      </c>
      <c r="O760" s="12" t="s">
        <v>93</v>
      </c>
      <c r="P760" s="12"/>
      <c r="Q760" s="12"/>
      <c r="R760" s="12" t="s">
        <v>94</v>
      </c>
      <c r="S760" s="12">
        <v>10</v>
      </c>
      <c r="T760" s="12" t="s">
        <v>328</v>
      </c>
      <c r="U760" s="12" t="s">
        <v>329</v>
      </c>
      <c r="V760" s="12">
        <f>VLOOKUP(Tabla4[[#This Row],[ZONA DEFINITIVO]],Hoja1!$A$1:$D$121,3,0)</f>
        <v>229121</v>
      </c>
      <c r="W760" s="12">
        <f>VLOOKUP(Tabla4[[#This Row],[ZONA DEFINITIVO]],Hoja1!$A$1:$D$121,2,0)</f>
        <v>15203</v>
      </c>
      <c r="X760" s="12">
        <f>VLOOKUP(Tabla4[[#This Row],[ZONA DEFINITIVO]],Hoja1!$A$1:$D$121,4,0)</f>
        <v>91925</v>
      </c>
      <c r="Y760" s="12" t="str">
        <f>+IF(Tabla4[[#This Row],[AGRUPACIONES]]=1,SUMIFS(Tabla4[UDS],Tabla4[ZONA DEFINITIVO],Tabla4[[#This Row],[ZONA DEFINITIVO]])," ")</f>
        <v xml:space="preserve"> </v>
      </c>
      <c r="Z760" s="12" t="str">
        <f>+IF(Tabla4[[#This Row],[AGRUPACIONES]]=1,SUMIFS(Tabla4[TOTAL COBERTURA],Tabla4[ZONA DEFINITIVO],Tabla4[[#This Row],[ZONA DEFINITIVO]])," ")</f>
        <v xml:space="preserve"> </v>
      </c>
      <c r="AA760" s="12"/>
      <c r="AB760" s="38">
        <v>30386100</v>
      </c>
      <c r="AC760" s="37">
        <v>0.02</v>
      </c>
      <c r="AD760" s="38">
        <f t="shared" si="12"/>
        <v>607722</v>
      </c>
      <c r="AE760" s="12"/>
      <c r="AF760" s="12">
        <f>COUNTIF($A$20:A760,A760)</f>
        <v>2</v>
      </c>
      <c r="AG760" s="38">
        <v>30386100</v>
      </c>
      <c r="AH760" s="38">
        <f>Tabla4[[#This Row],[VALOR CONTRAPARTIDA]]+Tabla4[[#This Row],[TOTAL APORTES ICBF]]</f>
        <v>30993822</v>
      </c>
      <c r="AI760" s="35"/>
      <c r="AJ760" s="38"/>
      <c r="AK760" s="38"/>
      <c r="AL760" s="23"/>
      <c r="AM760" s="35">
        <f>VLOOKUP(Tabla4[[#This Row],[SERVICIO 2025]],$J$2:$V$14,5,0)*Tabla4[[#This Row],[TOTAL COBERTURA]]</f>
        <v>934880</v>
      </c>
      <c r="AN760" s="35">
        <f>VLOOKUP(Tabla4[[#This Row],[SERVICIO 2025]],$J$2:$V$14,6,0)*Tabla4[[#This Row],[TOTAL COBERTURA]]</f>
        <v>756820</v>
      </c>
      <c r="AO760" s="35">
        <f>VLOOKUP(Tabla4[[#This Row],[SERVICIO 2025]],$J$2:$V$14,8,0)*Tabla4[[#This Row],[TOTAL COBERTURA]]</f>
        <v>0</v>
      </c>
      <c r="AP760" s="35">
        <f>VLOOKUP(Tabla4[[#This Row],[SERVICIO 2025]],$J$2:$V$14,3,0)*Tabla4[[#This Row],[TOTAL COBERTURA]]*8</f>
        <v>28694400</v>
      </c>
      <c r="AQ760" s="35"/>
      <c r="AR760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760" s="35" t="str">
        <f>+IF(Tabla4[[#This Row],[AGRUPACIONES]]=1,SUMIFS(Tabla4[VALOR TOTAL],Tabla4[ZONA DEFINITIVO],Tabla4[[#This Row],[ZONA DEFINITIVO]])," ")</f>
        <v xml:space="preserve"> </v>
      </c>
      <c r="AT760" s="27">
        <f>(VLOOKUP(Tabla4[[#This Row],[SERVICIO 2025]],$J$2:$V$14,3,0)*Tabla4[[#This Row],[TOTAL COBERTURA]])+Tabla4[[#This Row],[VALOR FASE PREPARATORIA DE ALISTAMIENTO]]+Tabla4[[#This Row],[DOTACIÓN ÚNICA]]</f>
        <v>4521680</v>
      </c>
      <c r="AU760" s="35">
        <f>(VLOOKUP(Tabla4[[#This Row],[SERVICIO 2025]],$J$2:$V$14,3,0)*Tabla4[[#This Row],[TOTAL COBERTURA]])</f>
        <v>3586800</v>
      </c>
      <c r="AV760" s="35">
        <f>(VLOOKUP(Tabla4[[#This Row],[SERVICIO 2025]],$J$2:$V$14,3,0)*Tabla4[[#This Row],[TOTAL COBERTURA]])</f>
        <v>3586800</v>
      </c>
      <c r="AW760" s="35">
        <f>(VLOOKUP(Tabla4[[#This Row],[SERVICIO 2025]],$J$2:$V$14,3,0)*Tabla4[[#This Row],[TOTAL COBERTURA]])</f>
        <v>3586800</v>
      </c>
      <c r="AX760" s="35">
        <f>(VLOOKUP(Tabla4[[#This Row],[SERVICIO 2025]],$J$2:$V$14,3,0)*Tabla4[[#This Row],[TOTAL COBERTURA]])</f>
        <v>3586800</v>
      </c>
      <c r="AY760" s="35">
        <f>(VLOOKUP(Tabla4[[#This Row],[SERVICIO 2025]],$J$2:$V$14,3,0)*Tabla4[[#This Row],[TOTAL COBERTURA]])</f>
        <v>3586800</v>
      </c>
      <c r="AZ760" s="35">
        <f>(VLOOKUP(Tabla4[[#This Row],[SERVICIO 2025]],$J$2:$V$14,3,0)*Tabla4[[#This Row],[TOTAL COBERTURA]])</f>
        <v>3586800</v>
      </c>
      <c r="BA760" s="35">
        <f>(VLOOKUP(Tabla4[[#This Row],[SERVICIO 2025]],$J$2:$V$14,3,0)*Tabla4[[#This Row],[TOTAL COBERTURA]])+Tabla4[[#This Row],[VALOR FASE PREPARATORIA DE CIERRE]]</f>
        <v>4343620</v>
      </c>
      <c r="BB760" s="35">
        <f>SUM(Tabla4[[#This Row],[DESEMBOLSO 1]:[DESEMBOLSO 8]])</f>
        <v>30386100</v>
      </c>
      <c r="BC760" s="35">
        <f>VLOOKUP(Tabla4[[#This Row],[SERVICIO 2025]],$J$2:$V$14,10,0)*Tabla4[[#This Row],[TOTAL COBERTURA]]*$W$3</f>
        <v>30131360</v>
      </c>
      <c r="BD760" s="47" t="s">
        <v>211</v>
      </c>
      <c r="BE760" s="12" t="b">
        <f>EXACT(Tabla4[[#This Row],[VALOR ATENCIÓN (8 MESES)]],Tabla4[[#This Row],[VALOR TOTAL]])</f>
        <v>1</v>
      </c>
      <c r="BF760" s="23">
        <f>Tabla4[[#This Row],[VALOR ATENCIÓN (8 MESES)]]-Tabla4[[#This Row],[VALOR TOTAL]]</f>
        <v>0</v>
      </c>
      <c r="BG760" s="12" t="b">
        <f>EXACT(Tabla4[[#This Row],[TOTAL DESEMBOLSOS]],Tabla4[[#This Row],[VALOR ATENCIÓN (8 MESES)]])</f>
        <v>1</v>
      </c>
      <c r="BH760" s="29">
        <f>Tabla4[[#This Row],[TOTAL DESEMBOLSOS]]-Tabla4[[#This Row],[VALOR ATENCIÓN (8 MESES)]]</f>
        <v>0</v>
      </c>
      <c r="BI760" t="s">
        <v>98</v>
      </c>
      <c r="BJ760">
        <v>1960</v>
      </c>
    </row>
    <row r="761" spans="1:62">
      <c r="A761" s="13">
        <v>1960</v>
      </c>
      <c r="B761" s="13" t="s">
        <v>1694</v>
      </c>
      <c r="C761" s="12" t="s">
        <v>87</v>
      </c>
      <c r="D761" s="12" t="s">
        <v>205</v>
      </c>
      <c r="E761" s="12" t="s">
        <v>1695</v>
      </c>
      <c r="F761" s="12" t="s">
        <v>21</v>
      </c>
      <c r="G761" s="12" t="s">
        <v>90</v>
      </c>
      <c r="H761" s="12" t="s">
        <v>1700</v>
      </c>
      <c r="I761" s="12">
        <v>53641115807</v>
      </c>
      <c r="J761" s="12" t="s">
        <v>1701</v>
      </c>
      <c r="K761" s="12">
        <v>1</v>
      </c>
      <c r="L761" s="12">
        <v>38</v>
      </c>
      <c r="M761" s="12"/>
      <c r="N761" s="13">
        <v>1960</v>
      </c>
      <c r="O761" s="12" t="s">
        <v>93</v>
      </c>
      <c r="P761" s="12"/>
      <c r="Q761" s="12"/>
      <c r="R761" s="12" t="s">
        <v>94</v>
      </c>
      <c r="S761" s="12">
        <v>10</v>
      </c>
      <c r="T761" s="12" t="s">
        <v>328</v>
      </c>
      <c r="U761" s="12" t="s">
        <v>329</v>
      </c>
      <c r="V761" s="12">
        <f>VLOOKUP(Tabla4[[#This Row],[ZONA DEFINITIVO]],Hoja1!$A$1:$D$121,3,0)</f>
        <v>229121</v>
      </c>
      <c r="W761" s="12">
        <f>VLOOKUP(Tabla4[[#This Row],[ZONA DEFINITIVO]],Hoja1!$A$1:$D$121,2,0)</f>
        <v>15203</v>
      </c>
      <c r="X761" s="12">
        <f>VLOOKUP(Tabla4[[#This Row],[ZONA DEFINITIVO]],Hoja1!$A$1:$D$121,4,0)</f>
        <v>91925</v>
      </c>
      <c r="Y761" s="12" t="str">
        <f>+IF(Tabla4[[#This Row],[AGRUPACIONES]]=1,SUMIFS(Tabla4[UDS],Tabla4[ZONA DEFINITIVO],Tabla4[[#This Row],[ZONA DEFINITIVO]])," ")</f>
        <v xml:space="preserve"> </v>
      </c>
      <c r="Z761" s="12" t="str">
        <f>+IF(Tabla4[[#This Row],[AGRUPACIONES]]=1,SUMIFS(Tabla4[TOTAL COBERTURA],Tabla4[ZONA DEFINITIVO],Tabla4[[#This Row],[ZONA DEFINITIVO]])," ")</f>
        <v xml:space="preserve"> </v>
      </c>
      <c r="AA761" s="12"/>
      <c r="AB761" s="38">
        <v>57733590</v>
      </c>
      <c r="AC761" s="37">
        <v>0.02</v>
      </c>
      <c r="AD761" s="38">
        <f t="shared" si="12"/>
        <v>1154671.8</v>
      </c>
      <c r="AE761" s="12"/>
      <c r="AF761" s="12">
        <f>COUNTIF($A$20:A761,A761)</f>
        <v>3</v>
      </c>
      <c r="AG761" s="38">
        <v>57733590</v>
      </c>
      <c r="AH761" s="38">
        <f>Tabla4[[#This Row],[VALOR CONTRAPARTIDA]]+Tabla4[[#This Row],[TOTAL APORTES ICBF]]</f>
        <v>58888261.799999997</v>
      </c>
      <c r="AI761" s="35"/>
      <c r="AJ761" s="38"/>
      <c r="AK761" s="38"/>
      <c r="AL761" s="23"/>
      <c r="AM761" s="35">
        <f>VLOOKUP(Tabla4[[#This Row],[SERVICIO 2025]],$J$2:$V$14,5,0)*Tabla4[[#This Row],[TOTAL COBERTURA]]</f>
        <v>1776272</v>
      </c>
      <c r="AN761" s="35">
        <f>VLOOKUP(Tabla4[[#This Row],[SERVICIO 2025]],$J$2:$V$14,6,0)*Tabla4[[#This Row],[TOTAL COBERTURA]]</f>
        <v>1437958</v>
      </c>
      <c r="AO761" s="35">
        <f>VLOOKUP(Tabla4[[#This Row],[SERVICIO 2025]],$J$2:$V$14,8,0)*Tabla4[[#This Row],[TOTAL COBERTURA]]</f>
        <v>0</v>
      </c>
      <c r="AP761" s="35">
        <f>VLOOKUP(Tabla4[[#This Row],[SERVICIO 2025]],$J$2:$V$14,3,0)*Tabla4[[#This Row],[TOTAL COBERTURA]]*8</f>
        <v>54519360</v>
      </c>
      <c r="AQ761" s="35"/>
      <c r="AR761" s="35">
        <f>Tabla4[[#This Row],[VALOR FASE PREPARATORIA DE ALISTAMIENTO]]+Tabla4[[#This Row],[VALOR FASE PREPARATORIA DE CIERRE]]+Tabla4[[#This Row],[DOTACIÓN ÚNICA]]+Tabla4[[#This Row],[VALOR ATENCIÓN]]+Tabla4[[#This Row],[VALOR RACION PREPARADA]]</f>
        <v>57733590</v>
      </c>
      <c r="AS761" s="35" t="str">
        <f>+IF(Tabla4[[#This Row],[AGRUPACIONES]]=1,SUMIFS(Tabla4[VALOR TOTAL],Tabla4[ZONA DEFINITIVO],Tabla4[[#This Row],[ZONA DEFINITIVO]])," ")</f>
        <v xml:space="preserve"> </v>
      </c>
      <c r="AT761" s="27">
        <f>(VLOOKUP(Tabla4[[#This Row],[SERVICIO 2025]],$J$2:$V$14,3,0)*Tabla4[[#This Row],[TOTAL COBERTURA]])+Tabla4[[#This Row],[VALOR FASE PREPARATORIA DE ALISTAMIENTO]]+Tabla4[[#This Row],[DOTACIÓN ÚNICA]]</f>
        <v>8591192</v>
      </c>
      <c r="AU761" s="35">
        <f>(VLOOKUP(Tabla4[[#This Row],[SERVICIO 2025]],$J$2:$V$14,3,0)*Tabla4[[#This Row],[TOTAL COBERTURA]])</f>
        <v>6814920</v>
      </c>
      <c r="AV761" s="35">
        <f>(VLOOKUP(Tabla4[[#This Row],[SERVICIO 2025]],$J$2:$V$14,3,0)*Tabla4[[#This Row],[TOTAL COBERTURA]])</f>
        <v>6814920</v>
      </c>
      <c r="AW761" s="35">
        <f>(VLOOKUP(Tabla4[[#This Row],[SERVICIO 2025]],$J$2:$V$14,3,0)*Tabla4[[#This Row],[TOTAL COBERTURA]])</f>
        <v>6814920</v>
      </c>
      <c r="AX761" s="35">
        <f>(VLOOKUP(Tabla4[[#This Row],[SERVICIO 2025]],$J$2:$V$14,3,0)*Tabla4[[#This Row],[TOTAL COBERTURA]])</f>
        <v>6814920</v>
      </c>
      <c r="AY761" s="35">
        <f>(VLOOKUP(Tabla4[[#This Row],[SERVICIO 2025]],$J$2:$V$14,3,0)*Tabla4[[#This Row],[TOTAL COBERTURA]])</f>
        <v>6814920</v>
      </c>
      <c r="AZ761" s="35">
        <f>(VLOOKUP(Tabla4[[#This Row],[SERVICIO 2025]],$J$2:$V$14,3,0)*Tabla4[[#This Row],[TOTAL COBERTURA]])</f>
        <v>6814920</v>
      </c>
      <c r="BA761" s="35">
        <f>(VLOOKUP(Tabla4[[#This Row],[SERVICIO 2025]],$J$2:$V$14,3,0)*Tabla4[[#This Row],[TOTAL COBERTURA]])+Tabla4[[#This Row],[VALOR FASE PREPARATORIA DE CIERRE]]</f>
        <v>8252878</v>
      </c>
      <c r="BB761" s="35">
        <f>SUM(Tabla4[[#This Row],[DESEMBOLSO 1]:[DESEMBOLSO 8]])</f>
        <v>57733590</v>
      </c>
      <c r="BC761" s="35">
        <f>VLOOKUP(Tabla4[[#This Row],[SERVICIO 2025]],$J$2:$V$14,10,0)*Tabla4[[#This Row],[TOTAL COBERTURA]]*$W$3</f>
        <v>57249584</v>
      </c>
      <c r="BD761" s="47" t="s">
        <v>211</v>
      </c>
      <c r="BE761" s="12" t="b">
        <f>EXACT(Tabla4[[#This Row],[VALOR ATENCIÓN (8 MESES)]],Tabla4[[#This Row],[VALOR TOTAL]])</f>
        <v>1</v>
      </c>
      <c r="BF761" s="23">
        <f>Tabla4[[#This Row],[VALOR ATENCIÓN (8 MESES)]]-Tabla4[[#This Row],[VALOR TOTAL]]</f>
        <v>0</v>
      </c>
      <c r="BG761" s="12" t="b">
        <f>EXACT(Tabla4[[#This Row],[TOTAL DESEMBOLSOS]],Tabla4[[#This Row],[VALOR ATENCIÓN (8 MESES)]])</f>
        <v>1</v>
      </c>
      <c r="BH761" s="29">
        <f>Tabla4[[#This Row],[TOTAL DESEMBOLSOS]]-Tabla4[[#This Row],[VALOR ATENCIÓN (8 MESES)]]</f>
        <v>0</v>
      </c>
      <c r="BI761" t="s">
        <v>98</v>
      </c>
      <c r="BJ761">
        <v>1960</v>
      </c>
    </row>
    <row r="762" spans="1:62">
      <c r="A762" s="13">
        <v>1960</v>
      </c>
      <c r="B762" s="13" t="s">
        <v>1694</v>
      </c>
      <c r="C762" s="12" t="s">
        <v>87</v>
      </c>
      <c r="D762" s="12" t="s">
        <v>205</v>
      </c>
      <c r="E762" s="12" t="s">
        <v>1695</v>
      </c>
      <c r="F762" s="12" t="s">
        <v>21</v>
      </c>
      <c r="G762" s="12" t="s">
        <v>90</v>
      </c>
      <c r="H762" s="12" t="s">
        <v>1702</v>
      </c>
      <c r="I762" s="12">
        <v>53641134972</v>
      </c>
      <c r="J762" s="12" t="s">
        <v>1703</v>
      </c>
      <c r="K762" s="12">
        <v>1</v>
      </c>
      <c r="L762" s="12">
        <v>17</v>
      </c>
      <c r="M762" s="12"/>
      <c r="N762" s="13">
        <v>1960</v>
      </c>
      <c r="O762" s="12" t="s">
        <v>93</v>
      </c>
      <c r="P762" s="12"/>
      <c r="Q762" s="12"/>
      <c r="R762" s="12" t="s">
        <v>94</v>
      </c>
      <c r="S762" s="12">
        <v>10</v>
      </c>
      <c r="T762" s="12" t="s">
        <v>328</v>
      </c>
      <c r="U762" s="12" t="s">
        <v>329</v>
      </c>
      <c r="V762" s="12">
        <f>VLOOKUP(Tabla4[[#This Row],[ZONA DEFINITIVO]],Hoja1!$A$1:$D$121,3,0)</f>
        <v>229121</v>
      </c>
      <c r="W762" s="12">
        <f>VLOOKUP(Tabla4[[#This Row],[ZONA DEFINITIVO]],Hoja1!$A$1:$D$121,2,0)</f>
        <v>15203</v>
      </c>
      <c r="X762" s="12">
        <f>VLOOKUP(Tabla4[[#This Row],[ZONA DEFINITIVO]],Hoja1!$A$1:$D$121,4,0)</f>
        <v>91925</v>
      </c>
      <c r="Y762" s="12" t="str">
        <f>+IF(Tabla4[[#This Row],[AGRUPACIONES]]=1,SUMIFS(Tabla4[UDS],Tabla4[ZONA DEFINITIVO],Tabla4[[#This Row],[ZONA DEFINITIVO]])," ")</f>
        <v xml:space="preserve"> </v>
      </c>
      <c r="Z762" s="12" t="str">
        <f>+IF(Tabla4[[#This Row],[AGRUPACIONES]]=1,SUMIFS(Tabla4[TOTAL COBERTURA],Tabla4[ZONA DEFINITIVO],Tabla4[[#This Row],[ZONA DEFINITIVO]])," ")</f>
        <v xml:space="preserve"> </v>
      </c>
      <c r="AA762" s="12"/>
      <c r="AB762" s="38">
        <v>25828185</v>
      </c>
      <c r="AC762" s="37">
        <v>0.02</v>
      </c>
      <c r="AD762" s="38">
        <f t="shared" si="12"/>
        <v>516563.7</v>
      </c>
      <c r="AE762" s="12"/>
      <c r="AF762" s="12">
        <f>COUNTIF($A$20:A762,A762)</f>
        <v>4</v>
      </c>
      <c r="AG762" s="38">
        <v>25828185</v>
      </c>
      <c r="AH762" s="38">
        <f>Tabla4[[#This Row],[VALOR CONTRAPARTIDA]]+Tabla4[[#This Row],[TOTAL APORTES ICBF]]</f>
        <v>26344748.699999999</v>
      </c>
      <c r="AI762" s="35"/>
      <c r="AJ762" s="38"/>
      <c r="AK762" s="38"/>
      <c r="AL762" s="23"/>
      <c r="AM762" s="35">
        <f>VLOOKUP(Tabla4[[#This Row],[SERVICIO 2025]],$J$2:$V$14,5,0)*Tabla4[[#This Row],[TOTAL COBERTURA]]</f>
        <v>794648</v>
      </c>
      <c r="AN762" s="35">
        <f>VLOOKUP(Tabla4[[#This Row],[SERVICIO 2025]],$J$2:$V$14,6,0)*Tabla4[[#This Row],[TOTAL COBERTURA]]</f>
        <v>643297</v>
      </c>
      <c r="AO762" s="35">
        <f>VLOOKUP(Tabla4[[#This Row],[SERVICIO 2025]],$J$2:$V$14,8,0)*Tabla4[[#This Row],[TOTAL COBERTURA]]</f>
        <v>0</v>
      </c>
      <c r="AP762" s="35">
        <f>VLOOKUP(Tabla4[[#This Row],[SERVICIO 2025]],$J$2:$V$14,3,0)*Tabla4[[#This Row],[TOTAL COBERTURA]]*8</f>
        <v>24390240</v>
      </c>
      <c r="AQ762" s="35"/>
      <c r="AR762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762" s="35" t="str">
        <f>+IF(Tabla4[[#This Row],[AGRUPACIONES]]=1,SUMIFS(Tabla4[VALOR TOTAL],Tabla4[ZONA DEFINITIVO],Tabla4[[#This Row],[ZONA DEFINITIVO]])," ")</f>
        <v xml:space="preserve"> </v>
      </c>
      <c r="AT762" s="27">
        <f>(VLOOKUP(Tabla4[[#This Row],[SERVICIO 2025]],$J$2:$V$14,3,0)*Tabla4[[#This Row],[TOTAL COBERTURA]])+Tabla4[[#This Row],[VALOR FASE PREPARATORIA DE ALISTAMIENTO]]+Tabla4[[#This Row],[DOTACIÓN ÚNICA]]</f>
        <v>3843428</v>
      </c>
      <c r="AU762" s="35">
        <f>(VLOOKUP(Tabla4[[#This Row],[SERVICIO 2025]],$J$2:$V$14,3,0)*Tabla4[[#This Row],[TOTAL COBERTURA]])</f>
        <v>3048780</v>
      </c>
      <c r="AV762" s="35">
        <f>(VLOOKUP(Tabla4[[#This Row],[SERVICIO 2025]],$J$2:$V$14,3,0)*Tabla4[[#This Row],[TOTAL COBERTURA]])</f>
        <v>3048780</v>
      </c>
      <c r="AW762" s="35">
        <f>(VLOOKUP(Tabla4[[#This Row],[SERVICIO 2025]],$J$2:$V$14,3,0)*Tabla4[[#This Row],[TOTAL COBERTURA]])</f>
        <v>3048780</v>
      </c>
      <c r="AX762" s="35">
        <f>(VLOOKUP(Tabla4[[#This Row],[SERVICIO 2025]],$J$2:$V$14,3,0)*Tabla4[[#This Row],[TOTAL COBERTURA]])</f>
        <v>3048780</v>
      </c>
      <c r="AY762" s="35">
        <f>(VLOOKUP(Tabla4[[#This Row],[SERVICIO 2025]],$J$2:$V$14,3,0)*Tabla4[[#This Row],[TOTAL COBERTURA]])</f>
        <v>3048780</v>
      </c>
      <c r="AZ762" s="35">
        <f>(VLOOKUP(Tabla4[[#This Row],[SERVICIO 2025]],$J$2:$V$14,3,0)*Tabla4[[#This Row],[TOTAL COBERTURA]])</f>
        <v>3048780</v>
      </c>
      <c r="BA762" s="35">
        <f>(VLOOKUP(Tabla4[[#This Row],[SERVICIO 2025]],$J$2:$V$14,3,0)*Tabla4[[#This Row],[TOTAL COBERTURA]])+Tabla4[[#This Row],[VALOR FASE PREPARATORIA DE CIERRE]]</f>
        <v>3692077</v>
      </c>
      <c r="BB762" s="35">
        <f>SUM(Tabla4[[#This Row],[DESEMBOLSO 1]:[DESEMBOLSO 8]])</f>
        <v>25828185</v>
      </c>
      <c r="BC762" s="35">
        <f>VLOOKUP(Tabla4[[#This Row],[SERVICIO 2025]],$J$2:$V$14,10,0)*Tabla4[[#This Row],[TOTAL COBERTURA]]*$W$3</f>
        <v>25611656</v>
      </c>
      <c r="BD762" s="47" t="s">
        <v>211</v>
      </c>
      <c r="BE762" s="12" t="b">
        <f>EXACT(Tabla4[[#This Row],[VALOR ATENCIÓN (8 MESES)]],Tabla4[[#This Row],[VALOR TOTAL]])</f>
        <v>1</v>
      </c>
      <c r="BF762" s="23">
        <f>Tabla4[[#This Row],[VALOR ATENCIÓN (8 MESES)]]-Tabla4[[#This Row],[VALOR TOTAL]]</f>
        <v>0</v>
      </c>
      <c r="BG762" s="12" t="b">
        <f>EXACT(Tabla4[[#This Row],[TOTAL DESEMBOLSOS]],Tabla4[[#This Row],[VALOR ATENCIÓN (8 MESES)]])</f>
        <v>1</v>
      </c>
      <c r="BH762" s="29">
        <f>Tabla4[[#This Row],[TOTAL DESEMBOLSOS]]-Tabla4[[#This Row],[VALOR ATENCIÓN (8 MESES)]]</f>
        <v>0</v>
      </c>
      <c r="BI762" t="s">
        <v>98</v>
      </c>
      <c r="BJ762">
        <v>1960</v>
      </c>
    </row>
    <row r="763" spans="1:62">
      <c r="A763" s="13">
        <v>1960</v>
      </c>
      <c r="B763" s="13" t="s">
        <v>1694</v>
      </c>
      <c r="C763" s="12" t="s">
        <v>87</v>
      </c>
      <c r="D763" s="12" t="s">
        <v>205</v>
      </c>
      <c r="E763" s="12" t="s">
        <v>1695</v>
      </c>
      <c r="F763" s="12" t="s">
        <v>21</v>
      </c>
      <c r="G763" s="12" t="s">
        <v>90</v>
      </c>
      <c r="H763" s="12" t="s">
        <v>1704</v>
      </c>
      <c r="I763" s="12">
        <v>53641134979</v>
      </c>
      <c r="J763" s="12" t="s">
        <v>1705</v>
      </c>
      <c r="K763" s="12">
        <v>1</v>
      </c>
      <c r="L763" s="12">
        <v>11</v>
      </c>
      <c r="M763" s="12"/>
      <c r="N763" s="13">
        <v>1960</v>
      </c>
      <c r="O763" s="12" t="s">
        <v>93</v>
      </c>
      <c r="P763" s="12"/>
      <c r="Q763" s="12"/>
      <c r="R763" s="12" t="s">
        <v>94</v>
      </c>
      <c r="S763" s="12">
        <v>10</v>
      </c>
      <c r="T763" s="12" t="s">
        <v>328</v>
      </c>
      <c r="U763" s="12" t="s">
        <v>329</v>
      </c>
      <c r="V763" s="12">
        <f>VLOOKUP(Tabla4[[#This Row],[ZONA DEFINITIVO]],Hoja1!$A$1:$D$121,3,0)</f>
        <v>229121</v>
      </c>
      <c r="W763" s="12">
        <f>VLOOKUP(Tabla4[[#This Row],[ZONA DEFINITIVO]],Hoja1!$A$1:$D$121,2,0)</f>
        <v>15203</v>
      </c>
      <c r="X763" s="12">
        <f>VLOOKUP(Tabla4[[#This Row],[ZONA DEFINITIVO]],Hoja1!$A$1:$D$121,4,0)</f>
        <v>91925</v>
      </c>
      <c r="Y763" s="12" t="str">
        <f>+IF(Tabla4[[#This Row],[AGRUPACIONES]]=1,SUMIFS(Tabla4[UDS],Tabla4[ZONA DEFINITIVO],Tabla4[[#This Row],[ZONA DEFINITIVO]])," ")</f>
        <v xml:space="preserve"> </v>
      </c>
      <c r="Z763" s="12" t="str">
        <f>+IF(Tabla4[[#This Row],[AGRUPACIONES]]=1,SUMIFS(Tabla4[TOTAL COBERTURA],Tabla4[ZONA DEFINITIVO],Tabla4[[#This Row],[ZONA DEFINITIVO]])," ")</f>
        <v xml:space="preserve"> </v>
      </c>
      <c r="AA763" s="12"/>
      <c r="AB763" s="38">
        <v>16712355</v>
      </c>
      <c r="AC763" s="37">
        <v>0.02</v>
      </c>
      <c r="AD763" s="38">
        <f t="shared" si="12"/>
        <v>334247.10000000003</v>
      </c>
      <c r="AE763" s="12"/>
      <c r="AF763" s="12">
        <f>COUNTIF($A$20:A763,A763)</f>
        <v>5</v>
      </c>
      <c r="AG763" s="38">
        <v>16712355</v>
      </c>
      <c r="AH763" s="38">
        <f>Tabla4[[#This Row],[VALOR CONTRAPARTIDA]]+Tabla4[[#This Row],[TOTAL APORTES ICBF]]</f>
        <v>17046602.100000001</v>
      </c>
      <c r="AI763" s="35"/>
      <c r="AJ763" s="38"/>
      <c r="AK763" s="38"/>
      <c r="AL763" s="23"/>
      <c r="AM763" s="35">
        <f>VLOOKUP(Tabla4[[#This Row],[SERVICIO 2025]],$J$2:$V$14,5,0)*Tabla4[[#This Row],[TOTAL COBERTURA]]</f>
        <v>514184</v>
      </c>
      <c r="AN763" s="35">
        <f>VLOOKUP(Tabla4[[#This Row],[SERVICIO 2025]],$J$2:$V$14,6,0)*Tabla4[[#This Row],[TOTAL COBERTURA]]</f>
        <v>416251</v>
      </c>
      <c r="AO763" s="35">
        <f>VLOOKUP(Tabla4[[#This Row],[SERVICIO 2025]],$J$2:$V$14,8,0)*Tabla4[[#This Row],[TOTAL COBERTURA]]</f>
        <v>0</v>
      </c>
      <c r="AP763" s="35">
        <f>VLOOKUP(Tabla4[[#This Row],[SERVICIO 2025]],$J$2:$V$14,3,0)*Tabla4[[#This Row],[TOTAL COBERTURA]]*8</f>
        <v>15781920</v>
      </c>
      <c r="AQ763" s="35"/>
      <c r="AR763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763" s="35" t="str">
        <f>+IF(Tabla4[[#This Row],[AGRUPACIONES]]=1,SUMIFS(Tabla4[VALOR TOTAL],Tabla4[ZONA DEFINITIVO],Tabla4[[#This Row],[ZONA DEFINITIVO]])," ")</f>
        <v xml:space="preserve"> </v>
      </c>
      <c r="AT763" s="27">
        <f>(VLOOKUP(Tabla4[[#This Row],[SERVICIO 2025]],$J$2:$V$14,3,0)*Tabla4[[#This Row],[TOTAL COBERTURA]])+Tabla4[[#This Row],[VALOR FASE PREPARATORIA DE ALISTAMIENTO]]+Tabla4[[#This Row],[DOTACIÓN ÚNICA]]</f>
        <v>2486924</v>
      </c>
      <c r="AU763" s="35">
        <f>(VLOOKUP(Tabla4[[#This Row],[SERVICIO 2025]],$J$2:$V$14,3,0)*Tabla4[[#This Row],[TOTAL COBERTURA]])</f>
        <v>1972740</v>
      </c>
      <c r="AV763" s="35">
        <f>(VLOOKUP(Tabla4[[#This Row],[SERVICIO 2025]],$J$2:$V$14,3,0)*Tabla4[[#This Row],[TOTAL COBERTURA]])</f>
        <v>1972740</v>
      </c>
      <c r="AW763" s="35">
        <f>(VLOOKUP(Tabla4[[#This Row],[SERVICIO 2025]],$J$2:$V$14,3,0)*Tabla4[[#This Row],[TOTAL COBERTURA]])</f>
        <v>1972740</v>
      </c>
      <c r="AX763" s="35">
        <f>(VLOOKUP(Tabla4[[#This Row],[SERVICIO 2025]],$J$2:$V$14,3,0)*Tabla4[[#This Row],[TOTAL COBERTURA]])</f>
        <v>1972740</v>
      </c>
      <c r="AY763" s="35">
        <f>(VLOOKUP(Tabla4[[#This Row],[SERVICIO 2025]],$J$2:$V$14,3,0)*Tabla4[[#This Row],[TOTAL COBERTURA]])</f>
        <v>1972740</v>
      </c>
      <c r="AZ763" s="35">
        <f>(VLOOKUP(Tabla4[[#This Row],[SERVICIO 2025]],$J$2:$V$14,3,0)*Tabla4[[#This Row],[TOTAL COBERTURA]])</f>
        <v>1972740</v>
      </c>
      <c r="BA763" s="35">
        <f>(VLOOKUP(Tabla4[[#This Row],[SERVICIO 2025]],$J$2:$V$14,3,0)*Tabla4[[#This Row],[TOTAL COBERTURA]])+Tabla4[[#This Row],[VALOR FASE PREPARATORIA DE CIERRE]]</f>
        <v>2388991</v>
      </c>
      <c r="BB763" s="35">
        <f>SUM(Tabla4[[#This Row],[DESEMBOLSO 1]:[DESEMBOLSO 8]])</f>
        <v>16712355</v>
      </c>
      <c r="BC763" s="35">
        <f>VLOOKUP(Tabla4[[#This Row],[SERVICIO 2025]],$J$2:$V$14,10,0)*Tabla4[[#This Row],[TOTAL COBERTURA]]*$W$3</f>
        <v>16572248</v>
      </c>
      <c r="BD763" s="47" t="s">
        <v>211</v>
      </c>
      <c r="BE763" s="12" t="b">
        <f>EXACT(Tabla4[[#This Row],[VALOR ATENCIÓN (8 MESES)]],Tabla4[[#This Row],[VALOR TOTAL]])</f>
        <v>1</v>
      </c>
      <c r="BF763" s="23">
        <f>Tabla4[[#This Row],[VALOR ATENCIÓN (8 MESES)]]-Tabla4[[#This Row],[VALOR TOTAL]]</f>
        <v>0</v>
      </c>
      <c r="BG763" s="12" t="b">
        <f>EXACT(Tabla4[[#This Row],[TOTAL DESEMBOLSOS]],Tabla4[[#This Row],[VALOR ATENCIÓN (8 MESES)]])</f>
        <v>1</v>
      </c>
      <c r="BH763" s="29">
        <f>Tabla4[[#This Row],[TOTAL DESEMBOLSOS]]-Tabla4[[#This Row],[VALOR ATENCIÓN (8 MESES)]]</f>
        <v>0</v>
      </c>
      <c r="BI763" t="s">
        <v>98</v>
      </c>
      <c r="BJ763">
        <v>1960</v>
      </c>
    </row>
    <row r="764" spans="1:62">
      <c r="A764" s="13">
        <v>1960</v>
      </c>
      <c r="B764" s="13" t="s">
        <v>1694</v>
      </c>
      <c r="C764" s="12" t="s">
        <v>87</v>
      </c>
      <c r="D764" s="12" t="s">
        <v>205</v>
      </c>
      <c r="E764" s="12" t="s">
        <v>1695</v>
      </c>
      <c r="F764" s="12" t="s">
        <v>21</v>
      </c>
      <c r="G764" s="12" t="s">
        <v>90</v>
      </c>
      <c r="H764" s="12" t="s">
        <v>1706</v>
      </c>
      <c r="I764" s="12">
        <v>53641134984</v>
      </c>
      <c r="J764" s="12" t="s">
        <v>1707</v>
      </c>
      <c r="K764" s="12">
        <v>1</v>
      </c>
      <c r="L764" s="12">
        <v>18</v>
      </c>
      <c r="M764" s="12"/>
      <c r="N764" s="13">
        <v>1960</v>
      </c>
      <c r="O764" s="12" t="s">
        <v>93</v>
      </c>
      <c r="P764" s="12"/>
      <c r="Q764" s="12"/>
      <c r="R764" s="12" t="s">
        <v>94</v>
      </c>
      <c r="S764" s="12">
        <v>10</v>
      </c>
      <c r="T764" s="12" t="s">
        <v>328</v>
      </c>
      <c r="U764" s="12" t="s">
        <v>329</v>
      </c>
      <c r="V764" s="12">
        <f>VLOOKUP(Tabla4[[#This Row],[ZONA DEFINITIVO]],Hoja1!$A$1:$D$121,3,0)</f>
        <v>229121</v>
      </c>
      <c r="W764" s="12">
        <f>VLOOKUP(Tabla4[[#This Row],[ZONA DEFINITIVO]],Hoja1!$A$1:$D$121,2,0)</f>
        <v>15203</v>
      </c>
      <c r="X764" s="12">
        <f>VLOOKUP(Tabla4[[#This Row],[ZONA DEFINITIVO]],Hoja1!$A$1:$D$121,4,0)</f>
        <v>91925</v>
      </c>
      <c r="Y764" s="12" t="str">
        <f>+IF(Tabla4[[#This Row],[AGRUPACIONES]]=1,SUMIFS(Tabla4[UDS],Tabla4[ZONA DEFINITIVO],Tabla4[[#This Row],[ZONA DEFINITIVO]])," ")</f>
        <v xml:space="preserve"> </v>
      </c>
      <c r="Z764" s="12" t="str">
        <f>+IF(Tabla4[[#This Row],[AGRUPACIONES]]=1,SUMIFS(Tabla4[TOTAL COBERTURA],Tabla4[ZONA DEFINITIVO],Tabla4[[#This Row],[ZONA DEFINITIVO]])," ")</f>
        <v xml:space="preserve"> </v>
      </c>
      <c r="AA764" s="12"/>
      <c r="AB764" s="38">
        <v>27347490</v>
      </c>
      <c r="AC764" s="37">
        <v>0.02</v>
      </c>
      <c r="AD764" s="38">
        <f t="shared" si="12"/>
        <v>546949.80000000005</v>
      </c>
      <c r="AE764" s="12"/>
      <c r="AF764" s="12">
        <f>COUNTIF($A$20:A764,A764)</f>
        <v>6</v>
      </c>
      <c r="AG764" s="38">
        <v>27347490</v>
      </c>
      <c r="AH764" s="38">
        <f>Tabla4[[#This Row],[VALOR CONTRAPARTIDA]]+Tabla4[[#This Row],[TOTAL APORTES ICBF]]</f>
        <v>27894439.800000001</v>
      </c>
      <c r="AI764" s="35"/>
      <c r="AJ764" s="38"/>
      <c r="AK764" s="38"/>
      <c r="AL764" s="23"/>
      <c r="AM764" s="35">
        <f>VLOOKUP(Tabla4[[#This Row],[SERVICIO 2025]],$J$2:$V$14,5,0)*Tabla4[[#This Row],[TOTAL COBERTURA]]</f>
        <v>841392</v>
      </c>
      <c r="AN764" s="35">
        <f>VLOOKUP(Tabla4[[#This Row],[SERVICIO 2025]],$J$2:$V$14,6,0)*Tabla4[[#This Row],[TOTAL COBERTURA]]</f>
        <v>681138</v>
      </c>
      <c r="AO764" s="35">
        <f>VLOOKUP(Tabla4[[#This Row],[SERVICIO 2025]],$J$2:$V$14,8,0)*Tabla4[[#This Row],[TOTAL COBERTURA]]</f>
        <v>0</v>
      </c>
      <c r="AP764" s="35">
        <f>VLOOKUP(Tabla4[[#This Row],[SERVICIO 2025]],$J$2:$V$14,3,0)*Tabla4[[#This Row],[TOTAL COBERTURA]]*8</f>
        <v>25824960</v>
      </c>
      <c r="AQ764" s="35"/>
      <c r="AR764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764" s="35" t="str">
        <f>+IF(Tabla4[[#This Row],[AGRUPACIONES]]=1,SUMIFS(Tabla4[VALOR TOTAL],Tabla4[ZONA DEFINITIVO],Tabla4[[#This Row],[ZONA DEFINITIVO]])," ")</f>
        <v xml:space="preserve"> </v>
      </c>
      <c r="AT764" s="27">
        <f>(VLOOKUP(Tabla4[[#This Row],[SERVICIO 2025]],$J$2:$V$14,3,0)*Tabla4[[#This Row],[TOTAL COBERTURA]])+Tabla4[[#This Row],[VALOR FASE PREPARATORIA DE ALISTAMIENTO]]+Tabla4[[#This Row],[DOTACIÓN ÚNICA]]</f>
        <v>4069512</v>
      </c>
      <c r="AU764" s="35">
        <f>(VLOOKUP(Tabla4[[#This Row],[SERVICIO 2025]],$J$2:$V$14,3,0)*Tabla4[[#This Row],[TOTAL COBERTURA]])</f>
        <v>3228120</v>
      </c>
      <c r="AV764" s="35">
        <f>(VLOOKUP(Tabla4[[#This Row],[SERVICIO 2025]],$J$2:$V$14,3,0)*Tabla4[[#This Row],[TOTAL COBERTURA]])</f>
        <v>3228120</v>
      </c>
      <c r="AW764" s="35">
        <f>(VLOOKUP(Tabla4[[#This Row],[SERVICIO 2025]],$J$2:$V$14,3,0)*Tabla4[[#This Row],[TOTAL COBERTURA]])</f>
        <v>3228120</v>
      </c>
      <c r="AX764" s="35">
        <f>(VLOOKUP(Tabla4[[#This Row],[SERVICIO 2025]],$J$2:$V$14,3,0)*Tabla4[[#This Row],[TOTAL COBERTURA]])</f>
        <v>3228120</v>
      </c>
      <c r="AY764" s="35">
        <f>(VLOOKUP(Tabla4[[#This Row],[SERVICIO 2025]],$J$2:$V$14,3,0)*Tabla4[[#This Row],[TOTAL COBERTURA]])</f>
        <v>3228120</v>
      </c>
      <c r="AZ764" s="35">
        <f>(VLOOKUP(Tabla4[[#This Row],[SERVICIO 2025]],$J$2:$V$14,3,0)*Tabla4[[#This Row],[TOTAL COBERTURA]])</f>
        <v>3228120</v>
      </c>
      <c r="BA764" s="35">
        <f>(VLOOKUP(Tabla4[[#This Row],[SERVICIO 2025]],$J$2:$V$14,3,0)*Tabla4[[#This Row],[TOTAL COBERTURA]])+Tabla4[[#This Row],[VALOR FASE PREPARATORIA DE CIERRE]]</f>
        <v>3909258</v>
      </c>
      <c r="BB764" s="35">
        <f>SUM(Tabla4[[#This Row],[DESEMBOLSO 1]:[DESEMBOLSO 8]])</f>
        <v>27347490</v>
      </c>
      <c r="BC764" s="35">
        <f>VLOOKUP(Tabla4[[#This Row],[SERVICIO 2025]],$J$2:$V$14,10,0)*Tabla4[[#This Row],[TOTAL COBERTURA]]*$W$3</f>
        <v>27118224</v>
      </c>
      <c r="BD764" s="47" t="s">
        <v>211</v>
      </c>
      <c r="BE764" s="12" t="b">
        <f>EXACT(Tabla4[[#This Row],[VALOR ATENCIÓN (8 MESES)]],Tabla4[[#This Row],[VALOR TOTAL]])</f>
        <v>1</v>
      </c>
      <c r="BF764" s="23">
        <f>Tabla4[[#This Row],[VALOR ATENCIÓN (8 MESES)]]-Tabla4[[#This Row],[VALOR TOTAL]]</f>
        <v>0</v>
      </c>
      <c r="BG764" s="12" t="b">
        <f>EXACT(Tabla4[[#This Row],[TOTAL DESEMBOLSOS]],Tabla4[[#This Row],[VALOR ATENCIÓN (8 MESES)]])</f>
        <v>1</v>
      </c>
      <c r="BH764" s="29">
        <f>Tabla4[[#This Row],[TOTAL DESEMBOLSOS]]-Tabla4[[#This Row],[VALOR ATENCIÓN (8 MESES)]]</f>
        <v>0</v>
      </c>
      <c r="BI764" t="s">
        <v>98</v>
      </c>
      <c r="BJ764">
        <v>1960</v>
      </c>
    </row>
    <row r="765" spans="1:62">
      <c r="A765" s="13">
        <v>1960</v>
      </c>
      <c r="B765" s="13" t="s">
        <v>1694</v>
      </c>
      <c r="C765" s="12" t="s">
        <v>87</v>
      </c>
      <c r="D765" s="12" t="s">
        <v>205</v>
      </c>
      <c r="E765" s="12" t="s">
        <v>1695</v>
      </c>
      <c r="F765" s="12" t="s">
        <v>21</v>
      </c>
      <c r="G765" s="12" t="s">
        <v>90</v>
      </c>
      <c r="H765" s="12" t="s">
        <v>1708</v>
      </c>
      <c r="I765" s="12">
        <v>53641134994</v>
      </c>
      <c r="J765" s="12" t="s">
        <v>1709</v>
      </c>
      <c r="K765" s="12">
        <v>1</v>
      </c>
      <c r="L765" s="12">
        <v>12</v>
      </c>
      <c r="M765" s="12"/>
      <c r="N765" s="13">
        <v>1960</v>
      </c>
      <c r="O765" s="12" t="s">
        <v>93</v>
      </c>
      <c r="P765" s="12"/>
      <c r="Q765" s="12"/>
      <c r="R765" s="12" t="s">
        <v>94</v>
      </c>
      <c r="S765" s="12">
        <v>10</v>
      </c>
      <c r="T765" s="12" t="s">
        <v>328</v>
      </c>
      <c r="U765" s="12" t="s">
        <v>329</v>
      </c>
      <c r="V765" s="12">
        <f>VLOOKUP(Tabla4[[#This Row],[ZONA DEFINITIVO]],Hoja1!$A$1:$D$121,3,0)</f>
        <v>229121</v>
      </c>
      <c r="W765" s="12">
        <f>VLOOKUP(Tabla4[[#This Row],[ZONA DEFINITIVO]],Hoja1!$A$1:$D$121,2,0)</f>
        <v>15203</v>
      </c>
      <c r="X765" s="12">
        <f>VLOOKUP(Tabla4[[#This Row],[ZONA DEFINITIVO]],Hoja1!$A$1:$D$121,4,0)</f>
        <v>91925</v>
      </c>
      <c r="Y765" s="12" t="str">
        <f>+IF(Tabla4[[#This Row],[AGRUPACIONES]]=1,SUMIFS(Tabla4[UDS],Tabla4[ZONA DEFINITIVO],Tabla4[[#This Row],[ZONA DEFINITIVO]])," ")</f>
        <v xml:space="preserve"> </v>
      </c>
      <c r="Z765" s="12" t="str">
        <f>+IF(Tabla4[[#This Row],[AGRUPACIONES]]=1,SUMIFS(Tabla4[TOTAL COBERTURA],Tabla4[ZONA DEFINITIVO],Tabla4[[#This Row],[ZONA DEFINITIVO]])," ")</f>
        <v xml:space="preserve"> </v>
      </c>
      <c r="AA765" s="12"/>
      <c r="AB765" s="38">
        <v>18231660</v>
      </c>
      <c r="AC765" s="37">
        <v>0.02</v>
      </c>
      <c r="AD765" s="38">
        <f t="shared" si="12"/>
        <v>364633.2</v>
      </c>
      <c r="AE765" s="12"/>
      <c r="AF765" s="12">
        <f>COUNTIF($A$20:A765,A765)</f>
        <v>7</v>
      </c>
      <c r="AG765" s="38">
        <v>18231660</v>
      </c>
      <c r="AH765" s="38">
        <f>Tabla4[[#This Row],[VALOR CONTRAPARTIDA]]+Tabla4[[#This Row],[TOTAL APORTES ICBF]]</f>
        <v>18596293.199999999</v>
      </c>
      <c r="AI765" s="35"/>
      <c r="AJ765" s="38"/>
      <c r="AK765" s="38"/>
      <c r="AL765" s="23"/>
      <c r="AM765" s="35">
        <f>VLOOKUP(Tabla4[[#This Row],[SERVICIO 2025]],$J$2:$V$14,5,0)*Tabla4[[#This Row],[TOTAL COBERTURA]]</f>
        <v>560928</v>
      </c>
      <c r="AN765" s="35">
        <f>VLOOKUP(Tabla4[[#This Row],[SERVICIO 2025]],$J$2:$V$14,6,0)*Tabla4[[#This Row],[TOTAL COBERTURA]]</f>
        <v>454092</v>
      </c>
      <c r="AO765" s="35">
        <f>VLOOKUP(Tabla4[[#This Row],[SERVICIO 2025]],$J$2:$V$14,8,0)*Tabla4[[#This Row],[TOTAL COBERTURA]]</f>
        <v>0</v>
      </c>
      <c r="AP765" s="35">
        <f>VLOOKUP(Tabla4[[#This Row],[SERVICIO 2025]],$J$2:$V$14,3,0)*Tabla4[[#This Row],[TOTAL COBERTURA]]*8</f>
        <v>17216640</v>
      </c>
      <c r="AQ765" s="35"/>
      <c r="AR765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765" s="35" t="str">
        <f>+IF(Tabla4[[#This Row],[AGRUPACIONES]]=1,SUMIFS(Tabla4[VALOR TOTAL],Tabla4[ZONA DEFINITIVO],Tabla4[[#This Row],[ZONA DEFINITIVO]])," ")</f>
        <v xml:space="preserve"> </v>
      </c>
      <c r="AT765" s="27">
        <f>(VLOOKUP(Tabla4[[#This Row],[SERVICIO 2025]],$J$2:$V$14,3,0)*Tabla4[[#This Row],[TOTAL COBERTURA]])+Tabla4[[#This Row],[VALOR FASE PREPARATORIA DE ALISTAMIENTO]]+Tabla4[[#This Row],[DOTACIÓN ÚNICA]]</f>
        <v>2713008</v>
      </c>
      <c r="AU765" s="35">
        <f>(VLOOKUP(Tabla4[[#This Row],[SERVICIO 2025]],$J$2:$V$14,3,0)*Tabla4[[#This Row],[TOTAL COBERTURA]])</f>
        <v>2152080</v>
      </c>
      <c r="AV765" s="35">
        <f>(VLOOKUP(Tabla4[[#This Row],[SERVICIO 2025]],$J$2:$V$14,3,0)*Tabla4[[#This Row],[TOTAL COBERTURA]])</f>
        <v>2152080</v>
      </c>
      <c r="AW765" s="35">
        <f>(VLOOKUP(Tabla4[[#This Row],[SERVICIO 2025]],$J$2:$V$14,3,0)*Tabla4[[#This Row],[TOTAL COBERTURA]])</f>
        <v>2152080</v>
      </c>
      <c r="AX765" s="35">
        <f>(VLOOKUP(Tabla4[[#This Row],[SERVICIO 2025]],$J$2:$V$14,3,0)*Tabla4[[#This Row],[TOTAL COBERTURA]])</f>
        <v>2152080</v>
      </c>
      <c r="AY765" s="35">
        <f>(VLOOKUP(Tabla4[[#This Row],[SERVICIO 2025]],$J$2:$V$14,3,0)*Tabla4[[#This Row],[TOTAL COBERTURA]])</f>
        <v>2152080</v>
      </c>
      <c r="AZ765" s="35">
        <f>(VLOOKUP(Tabla4[[#This Row],[SERVICIO 2025]],$J$2:$V$14,3,0)*Tabla4[[#This Row],[TOTAL COBERTURA]])</f>
        <v>2152080</v>
      </c>
      <c r="BA765" s="35">
        <f>(VLOOKUP(Tabla4[[#This Row],[SERVICIO 2025]],$J$2:$V$14,3,0)*Tabla4[[#This Row],[TOTAL COBERTURA]])+Tabla4[[#This Row],[VALOR FASE PREPARATORIA DE CIERRE]]</f>
        <v>2606172</v>
      </c>
      <c r="BB765" s="35">
        <f>SUM(Tabla4[[#This Row],[DESEMBOLSO 1]:[DESEMBOLSO 8]])</f>
        <v>18231660</v>
      </c>
      <c r="BC765" s="35">
        <f>VLOOKUP(Tabla4[[#This Row],[SERVICIO 2025]],$J$2:$V$14,10,0)*Tabla4[[#This Row],[TOTAL COBERTURA]]*$W$3</f>
        <v>18078816</v>
      </c>
      <c r="BD765" s="47" t="s">
        <v>211</v>
      </c>
      <c r="BE765" s="12" t="b">
        <f>EXACT(Tabla4[[#This Row],[VALOR ATENCIÓN (8 MESES)]],Tabla4[[#This Row],[VALOR TOTAL]])</f>
        <v>1</v>
      </c>
      <c r="BF765" s="23">
        <f>Tabla4[[#This Row],[VALOR ATENCIÓN (8 MESES)]]-Tabla4[[#This Row],[VALOR TOTAL]]</f>
        <v>0</v>
      </c>
      <c r="BG765" s="12" t="b">
        <f>EXACT(Tabla4[[#This Row],[TOTAL DESEMBOLSOS]],Tabla4[[#This Row],[VALOR ATENCIÓN (8 MESES)]])</f>
        <v>1</v>
      </c>
      <c r="BH765" s="29">
        <f>Tabla4[[#This Row],[TOTAL DESEMBOLSOS]]-Tabla4[[#This Row],[VALOR ATENCIÓN (8 MESES)]]</f>
        <v>0</v>
      </c>
      <c r="BI765" t="s">
        <v>98</v>
      </c>
      <c r="BJ765">
        <v>1960</v>
      </c>
    </row>
    <row r="766" spans="1:62">
      <c r="A766" s="13">
        <v>1960</v>
      </c>
      <c r="B766" s="13" t="s">
        <v>1694</v>
      </c>
      <c r="C766" s="12" t="s">
        <v>87</v>
      </c>
      <c r="D766" s="12" t="s">
        <v>205</v>
      </c>
      <c r="E766" s="12" t="s">
        <v>1695</v>
      </c>
      <c r="F766" s="12" t="s">
        <v>21</v>
      </c>
      <c r="G766" s="12" t="s">
        <v>90</v>
      </c>
      <c r="H766" s="12" t="s">
        <v>256</v>
      </c>
      <c r="I766" s="12">
        <v>53641134998</v>
      </c>
      <c r="J766" s="12" t="s">
        <v>1710</v>
      </c>
      <c r="K766" s="12">
        <v>1</v>
      </c>
      <c r="L766" s="12">
        <v>16</v>
      </c>
      <c r="M766" s="12"/>
      <c r="N766" s="13">
        <v>1960</v>
      </c>
      <c r="O766" s="12" t="s">
        <v>93</v>
      </c>
      <c r="P766" s="12"/>
      <c r="Q766" s="12"/>
      <c r="R766" s="12" t="s">
        <v>94</v>
      </c>
      <c r="S766" s="12">
        <v>10</v>
      </c>
      <c r="T766" s="12" t="s">
        <v>328</v>
      </c>
      <c r="U766" s="12" t="s">
        <v>329</v>
      </c>
      <c r="V766" s="12">
        <f>VLOOKUP(Tabla4[[#This Row],[ZONA DEFINITIVO]],Hoja1!$A$1:$D$121,3,0)</f>
        <v>229121</v>
      </c>
      <c r="W766" s="12">
        <f>VLOOKUP(Tabla4[[#This Row],[ZONA DEFINITIVO]],Hoja1!$A$1:$D$121,2,0)</f>
        <v>15203</v>
      </c>
      <c r="X766" s="12">
        <f>VLOOKUP(Tabla4[[#This Row],[ZONA DEFINITIVO]],Hoja1!$A$1:$D$121,4,0)</f>
        <v>91925</v>
      </c>
      <c r="Y766" s="12" t="str">
        <f>+IF(Tabla4[[#This Row],[AGRUPACIONES]]=1,SUMIFS(Tabla4[UDS],Tabla4[ZONA DEFINITIVO],Tabla4[[#This Row],[ZONA DEFINITIVO]])," ")</f>
        <v xml:space="preserve"> </v>
      </c>
      <c r="Z766" s="12" t="str">
        <f>+IF(Tabla4[[#This Row],[AGRUPACIONES]]=1,SUMIFS(Tabla4[TOTAL COBERTURA],Tabla4[ZONA DEFINITIVO],Tabla4[[#This Row],[ZONA DEFINITIVO]])," ")</f>
        <v xml:space="preserve"> </v>
      </c>
      <c r="AA766" s="12"/>
      <c r="AB766" s="38">
        <v>24308880</v>
      </c>
      <c r="AC766" s="37">
        <v>0.02</v>
      </c>
      <c r="AD766" s="38">
        <f t="shared" si="12"/>
        <v>486177.60000000003</v>
      </c>
      <c r="AE766" s="12"/>
      <c r="AF766" s="12">
        <f>COUNTIF($A$20:A766,A766)</f>
        <v>8</v>
      </c>
      <c r="AG766" s="38">
        <v>24308880</v>
      </c>
      <c r="AH766" s="38">
        <f>Tabla4[[#This Row],[VALOR CONTRAPARTIDA]]+Tabla4[[#This Row],[TOTAL APORTES ICBF]]</f>
        <v>24795057.600000001</v>
      </c>
      <c r="AI766" s="35"/>
      <c r="AJ766" s="38"/>
      <c r="AK766" s="38"/>
      <c r="AL766" s="23"/>
      <c r="AM766" s="35">
        <f>VLOOKUP(Tabla4[[#This Row],[SERVICIO 2025]],$J$2:$V$14,5,0)*Tabla4[[#This Row],[TOTAL COBERTURA]]</f>
        <v>747904</v>
      </c>
      <c r="AN766" s="35">
        <f>VLOOKUP(Tabla4[[#This Row],[SERVICIO 2025]],$J$2:$V$14,6,0)*Tabla4[[#This Row],[TOTAL COBERTURA]]</f>
        <v>605456</v>
      </c>
      <c r="AO766" s="35">
        <f>VLOOKUP(Tabla4[[#This Row],[SERVICIO 2025]],$J$2:$V$14,8,0)*Tabla4[[#This Row],[TOTAL COBERTURA]]</f>
        <v>0</v>
      </c>
      <c r="AP766" s="35">
        <f>VLOOKUP(Tabla4[[#This Row],[SERVICIO 2025]],$J$2:$V$14,3,0)*Tabla4[[#This Row],[TOTAL COBERTURA]]*8</f>
        <v>22955520</v>
      </c>
      <c r="AQ766" s="35"/>
      <c r="AR766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766" s="35" t="str">
        <f>+IF(Tabla4[[#This Row],[AGRUPACIONES]]=1,SUMIFS(Tabla4[VALOR TOTAL],Tabla4[ZONA DEFINITIVO],Tabla4[[#This Row],[ZONA DEFINITIVO]])," ")</f>
        <v xml:space="preserve"> </v>
      </c>
      <c r="AT766" s="27">
        <f>(VLOOKUP(Tabla4[[#This Row],[SERVICIO 2025]],$J$2:$V$14,3,0)*Tabla4[[#This Row],[TOTAL COBERTURA]])+Tabla4[[#This Row],[VALOR FASE PREPARATORIA DE ALISTAMIENTO]]+Tabla4[[#This Row],[DOTACIÓN ÚNICA]]</f>
        <v>3617344</v>
      </c>
      <c r="AU766" s="35">
        <f>(VLOOKUP(Tabla4[[#This Row],[SERVICIO 2025]],$J$2:$V$14,3,0)*Tabla4[[#This Row],[TOTAL COBERTURA]])</f>
        <v>2869440</v>
      </c>
      <c r="AV766" s="35">
        <f>(VLOOKUP(Tabla4[[#This Row],[SERVICIO 2025]],$J$2:$V$14,3,0)*Tabla4[[#This Row],[TOTAL COBERTURA]])</f>
        <v>2869440</v>
      </c>
      <c r="AW766" s="35">
        <f>(VLOOKUP(Tabla4[[#This Row],[SERVICIO 2025]],$J$2:$V$14,3,0)*Tabla4[[#This Row],[TOTAL COBERTURA]])</f>
        <v>2869440</v>
      </c>
      <c r="AX766" s="35">
        <f>(VLOOKUP(Tabla4[[#This Row],[SERVICIO 2025]],$J$2:$V$14,3,0)*Tabla4[[#This Row],[TOTAL COBERTURA]])</f>
        <v>2869440</v>
      </c>
      <c r="AY766" s="35">
        <f>(VLOOKUP(Tabla4[[#This Row],[SERVICIO 2025]],$J$2:$V$14,3,0)*Tabla4[[#This Row],[TOTAL COBERTURA]])</f>
        <v>2869440</v>
      </c>
      <c r="AZ766" s="35">
        <f>(VLOOKUP(Tabla4[[#This Row],[SERVICIO 2025]],$J$2:$V$14,3,0)*Tabla4[[#This Row],[TOTAL COBERTURA]])</f>
        <v>2869440</v>
      </c>
      <c r="BA766" s="35">
        <f>(VLOOKUP(Tabla4[[#This Row],[SERVICIO 2025]],$J$2:$V$14,3,0)*Tabla4[[#This Row],[TOTAL COBERTURA]])+Tabla4[[#This Row],[VALOR FASE PREPARATORIA DE CIERRE]]</f>
        <v>3474896</v>
      </c>
      <c r="BB766" s="35">
        <f>SUM(Tabla4[[#This Row],[DESEMBOLSO 1]:[DESEMBOLSO 8]])</f>
        <v>24308880</v>
      </c>
      <c r="BC766" s="35">
        <f>VLOOKUP(Tabla4[[#This Row],[SERVICIO 2025]],$J$2:$V$14,10,0)*Tabla4[[#This Row],[TOTAL COBERTURA]]*$W$3</f>
        <v>24105088</v>
      </c>
      <c r="BD766" s="47" t="s">
        <v>211</v>
      </c>
      <c r="BE766" s="12" t="b">
        <f>EXACT(Tabla4[[#This Row],[VALOR ATENCIÓN (8 MESES)]],Tabla4[[#This Row],[VALOR TOTAL]])</f>
        <v>1</v>
      </c>
      <c r="BF766" s="23">
        <f>Tabla4[[#This Row],[VALOR ATENCIÓN (8 MESES)]]-Tabla4[[#This Row],[VALOR TOTAL]]</f>
        <v>0</v>
      </c>
      <c r="BG766" s="12" t="b">
        <f>EXACT(Tabla4[[#This Row],[TOTAL DESEMBOLSOS]],Tabla4[[#This Row],[VALOR ATENCIÓN (8 MESES)]])</f>
        <v>1</v>
      </c>
      <c r="BH766" s="29">
        <f>Tabla4[[#This Row],[TOTAL DESEMBOLSOS]]-Tabla4[[#This Row],[VALOR ATENCIÓN (8 MESES)]]</f>
        <v>0</v>
      </c>
      <c r="BI766" t="s">
        <v>98</v>
      </c>
      <c r="BJ766">
        <v>1960</v>
      </c>
    </row>
    <row r="767" spans="1:62">
      <c r="A767" s="13">
        <v>1960</v>
      </c>
      <c r="B767" s="13" t="s">
        <v>1694</v>
      </c>
      <c r="C767" s="12" t="s">
        <v>87</v>
      </c>
      <c r="D767" s="12" t="s">
        <v>205</v>
      </c>
      <c r="E767" s="12" t="s">
        <v>1695</v>
      </c>
      <c r="F767" s="12" t="s">
        <v>21</v>
      </c>
      <c r="G767" s="12" t="s">
        <v>90</v>
      </c>
      <c r="H767" s="12" t="s">
        <v>1711</v>
      </c>
      <c r="I767" s="12">
        <v>53641134999</v>
      </c>
      <c r="J767" s="12" t="s">
        <v>1712</v>
      </c>
      <c r="K767" s="12">
        <v>1</v>
      </c>
      <c r="L767" s="12">
        <v>12</v>
      </c>
      <c r="M767" s="12"/>
      <c r="N767" s="13">
        <v>1960</v>
      </c>
      <c r="O767" s="12" t="s">
        <v>93</v>
      </c>
      <c r="P767" s="12"/>
      <c r="Q767" s="12"/>
      <c r="R767" s="12" t="s">
        <v>94</v>
      </c>
      <c r="S767" s="12">
        <v>10</v>
      </c>
      <c r="T767" s="12" t="s">
        <v>328</v>
      </c>
      <c r="U767" s="12" t="s">
        <v>329</v>
      </c>
      <c r="V767" s="12">
        <f>VLOOKUP(Tabla4[[#This Row],[ZONA DEFINITIVO]],Hoja1!$A$1:$D$121,3,0)</f>
        <v>229121</v>
      </c>
      <c r="W767" s="12">
        <f>VLOOKUP(Tabla4[[#This Row],[ZONA DEFINITIVO]],Hoja1!$A$1:$D$121,2,0)</f>
        <v>15203</v>
      </c>
      <c r="X767" s="12">
        <f>VLOOKUP(Tabla4[[#This Row],[ZONA DEFINITIVO]],Hoja1!$A$1:$D$121,4,0)</f>
        <v>91925</v>
      </c>
      <c r="Y767" s="12" t="str">
        <f>+IF(Tabla4[[#This Row],[AGRUPACIONES]]=1,SUMIFS(Tabla4[UDS],Tabla4[ZONA DEFINITIVO],Tabla4[[#This Row],[ZONA DEFINITIVO]])," ")</f>
        <v xml:space="preserve"> </v>
      </c>
      <c r="Z767" s="12" t="str">
        <f>+IF(Tabla4[[#This Row],[AGRUPACIONES]]=1,SUMIFS(Tabla4[TOTAL COBERTURA],Tabla4[ZONA DEFINITIVO],Tabla4[[#This Row],[ZONA DEFINITIVO]])," ")</f>
        <v xml:space="preserve"> </v>
      </c>
      <c r="AA767" s="12"/>
      <c r="AB767" s="38">
        <v>18231660</v>
      </c>
      <c r="AC767" s="37">
        <v>0.02</v>
      </c>
      <c r="AD767" s="38">
        <f t="shared" si="12"/>
        <v>364633.2</v>
      </c>
      <c r="AE767" s="12"/>
      <c r="AF767" s="12">
        <f>COUNTIF($A$20:A767,A767)</f>
        <v>9</v>
      </c>
      <c r="AG767" s="38">
        <v>18231660</v>
      </c>
      <c r="AH767" s="38">
        <f>Tabla4[[#This Row],[VALOR CONTRAPARTIDA]]+Tabla4[[#This Row],[TOTAL APORTES ICBF]]</f>
        <v>18596293.199999999</v>
      </c>
      <c r="AI767" s="35"/>
      <c r="AJ767" s="38"/>
      <c r="AK767" s="38"/>
      <c r="AL767" s="23"/>
      <c r="AM767" s="35">
        <f>VLOOKUP(Tabla4[[#This Row],[SERVICIO 2025]],$J$2:$V$14,5,0)*Tabla4[[#This Row],[TOTAL COBERTURA]]</f>
        <v>560928</v>
      </c>
      <c r="AN767" s="35">
        <f>VLOOKUP(Tabla4[[#This Row],[SERVICIO 2025]],$J$2:$V$14,6,0)*Tabla4[[#This Row],[TOTAL COBERTURA]]</f>
        <v>454092</v>
      </c>
      <c r="AO767" s="35">
        <f>VLOOKUP(Tabla4[[#This Row],[SERVICIO 2025]],$J$2:$V$14,8,0)*Tabla4[[#This Row],[TOTAL COBERTURA]]</f>
        <v>0</v>
      </c>
      <c r="AP767" s="35">
        <f>VLOOKUP(Tabla4[[#This Row],[SERVICIO 2025]],$J$2:$V$14,3,0)*Tabla4[[#This Row],[TOTAL COBERTURA]]*8</f>
        <v>17216640</v>
      </c>
      <c r="AQ767" s="35"/>
      <c r="AR767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767" s="35" t="str">
        <f>+IF(Tabla4[[#This Row],[AGRUPACIONES]]=1,SUMIFS(Tabla4[VALOR TOTAL],Tabla4[ZONA DEFINITIVO],Tabla4[[#This Row],[ZONA DEFINITIVO]])," ")</f>
        <v xml:space="preserve"> </v>
      </c>
      <c r="AT767" s="27">
        <f>(VLOOKUP(Tabla4[[#This Row],[SERVICIO 2025]],$J$2:$V$14,3,0)*Tabla4[[#This Row],[TOTAL COBERTURA]])+Tabla4[[#This Row],[VALOR FASE PREPARATORIA DE ALISTAMIENTO]]+Tabla4[[#This Row],[DOTACIÓN ÚNICA]]</f>
        <v>2713008</v>
      </c>
      <c r="AU767" s="35">
        <f>(VLOOKUP(Tabla4[[#This Row],[SERVICIO 2025]],$J$2:$V$14,3,0)*Tabla4[[#This Row],[TOTAL COBERTURA]])</f>
        <v>2152080</v>
      </c>
      <c r="AV767" s="35">
        <f>(VLOOKUP(Tabla4[[#This Row],[SERVICIO 2025]],$J$2:$V$14,3,0)*Tabla4[[#This Row],[TOTAL COBERTURA]])</f>
        <v>2152080</v>
      </c>
      <c r="AW767" s="35">
        <f>(VLOOKUP(Tabla4[[#This Row],[SERVICIO 2025]],$J$2:$V$14,3,0)*Tabla4[[#This Row],[TOTAL COBERTURA]])</f>
        <v>2152080</v>
      </c>
      <c r="AX767" s="35">
        <f>(VLOOKUP(Tabla4[[#This Row],[SERVICIO 2025]],$J$2:$V$14,3,0)*Tabla4[[#This Row],[TOTAL COBERTURA]])</f>
        <v>2152080</v>
      </c>
      <c r="AY767" s="35">
        <f>(VLOOKUP(Tabla4[[#This Row],[SERVICIO 2025]],$J$2:$V$14,3,0)*Tabla4[[#This Row],[TOTAL COBERTURA]])</f>
        <v>2152080</v>
      </c>
      <c r="AZ767" s="35">
        <f>(VLOOKUP(Tabla4[[#This Row],[SERVICIO 2025]],$J$2:$V$14,3,0)*Tabla4[[#This Row],[TOTAL COBERTURA]])</f>
        <v>2152080</v>
      </c>
      <c r="BA767" s="35">
        <f>(VLOOKUP(Tabla4[[#This Row],[SERVICIO 2025]],$J$2:$V$14,3,0)*Tabla4[[#This Row],[TOTAL COBERTURA]])+Tabla4[[#This Row],[VALOR FASE PREPARATORIA DE CIERRE]]</f>
        <v>2606172</v>
      </c>
      <c r="BB767" s="35">
        <f>SUM(Tabla4[[#This Row],[DESEMBOLSO 1]:[DESEMBOLSO 8]])</f>
        <v>18231660</v>
      </c>
      <c r="BC767" s="35">
        <f>VLOOKUP(Tabla4[[#This Row],[SERVICIO 2025]],$J$2:$V$14,10,0)*Tabla4[[#This Row],[TOTAL COBERTURA]]*$W$3</f>
        <v>18078816</v>
      </c>
      <c r="BD767" s="47" t="s">
        <v>211</v>
      </c>
      <c r="BE767" s="12" t="b">
        <f>EXACT(Tabla4[[#This Row],[VALOR ATENCIÓN (8 MESES)]],Tabla4[[#This Row],[VALOR TOTAL]])</f>
        <v>1</v>
      </c>
      <c r="BF767" s="23">
        <f>Tabla4[[#This Row],[VALOR ATENCIÓN (8 MESES)]]-Tabla4[[#This Row],[VALOR TOTAL]]</f>
        <v>0</v>
      </c>
      <c r="BG767" s="12" t="b">
        <f>EXACT(Tabla4[[#This Row],[TOTAL DESEMBOLSOS]],Tabla4[[#This Row],[VALOR ATENCIÓN (8 MESES)]])</f>
        <v>1</v>
      </c>
      <c r="BH767" s="29">
        <f>Tabla4[[#This Row],[TOTAL DESEMBOLSOS]]-Tabla4[[#This Row],[VALOR ATENCIÓN (8 MESES)]]</f>
        <v>0</v>
      </c>
      <c r="BI767" t="s">
        <v>98</v>
      </c>
      <c r="BJ767">
        <v>1960</v>
      </c>
    </row>
    <row r="768" spans="1:62">
      <c r="A768" s="13">
        <v>1960</v>
      </c>
      <c r="B768" s="13" t="s">
        <v>1694</v>
      </c>
      <c r="C768" s="12" t="s">
        <v>87</v>
      </c>
      <c r="D768" s="12" t="s">
        <v>205</v>
      </c>
      <c r="E768" s="12" t="s">
        <v>1695</v>
      </c>
      <c r="F768" s="12" t="s">
        <v>21</v>
      </c>
      <c r="G768" s="12" t="s">
        <v>90</v>
      </c>
      <c r="H768" s="12" t="s">
        <v>1713</v>
      </c>
      <c r="I768" s="12">
        <v>53641135003</v>
      </c>
      <c r="J768" s="12" t="s">
        <v>1714</v>
      </c>
      <c r="K768" s="12">
        <v>1</v>
      </c>
      <c r="L768" s="12">
        <v>20</v>
      </c>
      <c r="M768" s="12"/>
      <c r="N768" s="13">
        <v>1960</v>
      </c>
      <c r="O768" s="12" t="s">
        <v>93</v>
      </c>
      <c r="P768" s="12"/>
      <c r="Q768" s="12"/>
      <c r="R768" s="12" t="s">
        <v>94</v>
      </c>
      <c r="S768" s="12">
        <v>10</v>
      </c>
      <c r="T768" s="12" t="s">
        <v>328</v>
      </c>
      <c r="U768" s="12" t="s">
        <v>329</v>
      </c>
      <c r="V768" s="12">
        <f>VLOOKUP(Tabla4[[#This Row],[ZONA DEFINITIVO]],Hoja1!$A$1:$D$121,3,0)</f>
        <v>229121</v>
      </c>
      <c r="W768" s="12">
        <f>VLOOKUP(Tabla4[[#This Row],[ZONA DEFINITIVO]],Hoja1!$A$1:$D$121,2,0)</f>
        <v>15203</v>
      </c>
      <c r="X768" s="12">
        <f>VLOOKUP(Tabla4[[#This Row],[ZONA DEFINITIVO]],Hoja1!$A$1:$D$121,4,0)</f>
        <v>91925</v>
      </c>
      <c r="Y768" s="12" t="str">
        <f>+IF(Tabla4[[#This Row],[AGRUPACIONES]]=1,SUMIFS(Tabla4[UDS],Tabla4[ZONA DEFINITIVO],Tabla4[[#This Row],[ZONA DEFINITIVO]])," ")</f>
        <v xml:space="preserve"> </v>
      </c>
      <c r="Z768" s="12" t="str">
        <f>+IF(Tabla4[[#This Row],[AGRUPACIONES]]=1,SUMIFS(Tabla4[TOTAL COBERTURA],Tabla4[ZONA DEFINITIVO],Tabla4[[#This Row],[ZONA DEFINITIVO]])," ")</f>
        <v xml:space="preserve"> </v>
      </c>
      <c r="AA768" s="12"/>
      <c r="AB768" s="38">
        <v>30386100</v>
      </c>
      <c r="AC768" s="37">
        <v>0.02</v>
      </c>
      <c r="AD768" s="38">
        <f t="shared" si="12"/>
        <v>607722</v>
      </c>
      <c r="AE768" s="12"/>
      <c r="AF768" s="12">
        <f>COUNTIF($A$20:A768,A768)</f>
        <v>10</v>
      </c>
      <c r="AG768" s="38">
        <v>30386100</v>
      </c>
      <c r="AH768" s="38">
        <f>Tabla4[[#This Row],[VALOR CONTRAPARTIDA]]+Tabla4[[#This Row],[TOTAL APORTES ICBF]]</f>
        <v>30993822</v>
      </c>
      <c r="AI768" s="35"/>
      <c r="AJ768" s="38"/>
      <c r="AK768" s="38"/>
      <c r="AL768" s="23"/>
      <c r="AM768" s="35">
        <f>VLOOKUP(Tabla4[[#This Row],[SERVICIO 2025]],$J$2:$V$14,5,0)*Tabla4[[#This Row],[TOTAL COBERTURA]]</f>
        <v>934880</v>
      </c>
      <c r="AN768" s="35">
        <f>VLOOKUP(Tabla4[[#This Row],[SERVICIO 2025]],$J$2:$V$14,6,0)*Tabla4[[#This Row],[TOTAL COBERTURA]]</f>
        <v>756820</v>
      </c>
      <c r="AO768" s="35">
        <f>VLOOKUP(Tabla4[[#This Row],[SERVICIO 2025]],$J$2:$V$14,8,0)*Tabla4[[#This Row],[TOTAL COBERTURA]]</f>
        <v>0</v>
      </c>
      <c r="AP768" s="35">
        <f>VLOOKUP(Tabla4[[#This Row],[SERVICIO 2025]],$J$2:$V$14,3,0)*Tabla4[[#This Row],[TOTAL COBERTURA]]*8</f>
        <v>28694400</v>
      </c>
      <c r="AQ768" s="35"/>
      <c r="AR768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768" s="35" t="str">
        <f>+IF(Tabla4[[#This Row],[AGRUPACIONES]]=1,SUMIFS(Tabla4[VALOR TOTAL],Tabla4[ZONA DEFINITIVO],Tabla4[[#This Row],[ZONA DEFINITIVO]])," ")</f>
        <v xml:space="preserve"> </v>
      </c>
      <c r="AT768" s="27">
        <f>(VLOOKUP(Tabla4[[#This Row],[SERVICIO 2025]],$J$2:$V$14,3,0)*Tabla4[[#This Row],[TOTAL COBERTURA]])+Tabla4[[#This Row],[VALOR FASE PREPARATORIA DE ALISTAMIENTO]]+Tabla4[[#This Row],[DOTACIÓN ÚNICA]]</f>
        <v>4521680</v>
      </c>
      <c r="AU768" s="35">
        <f>(VLOOKUP(Tabla4[[#This Row],[SERVICIO 2025]],$J$2:$V$14,3,0)*Tabla4[[#This Row],[TOTAL COBERTURA]])</f>
        <v>3586800</v>
      </c>
      <c r="AV768" s="35">
        <f>(VLOOKUP(Tabla4[[#This Row],[SERVICIO 2025]],$J$2:$V$14,3,0)*Tabla4[[#This Row],[TOTAL COBERTURA]])</f>
        <v>3586800</v>
      </c>
      <c r="AW768" s="35">
        <f>(VLOOKUP(Tabla4[[#This Row],[SERVICIO 2025]],$J$2:$V$14,3,0)*Tabla4[[#This Row],[TOTAL COBERTURA]])</f>
        <v>3586800</v>
      </c>
      <c r="AX768" s="35">
        <f>(VLOOKUP(Tabla4[[#This Row],[SERVICIO 2025]],$J$2:$V$14,3,0)*Tabla4[[#This Row],[TOTAL COBERTURA]])</f>
        <v>3586800</v>
      </c>
      <c r="AY768" s="35">
        <f>(VLOOKUP(Tabla4[[#This Row],[SERVICIO 2025]],$J$2:$V$14,3,0)*Tabla4[[#This Row],[TOTAL COBERTURA]])</f>
        <v>3586800</v>
      </c>
      <c r="AZ768" s="35">
        <f>(VLOOKUP(Tabla4[[#This Row],[SERVICIO 2025]],$J$2:$V$14,3,0)*Tabla4[[#This Row],[TOTAL COBERTURA]])</f>
        <v>3586800</v>
      </c>
      <c r="BA768" s="35">
        <f>(VLOOKUP(Tabla4[[#This Row],[SERVICIO 2025]],$J$2:$V$14,3,0)*Tabla4[[#This Row],[TOTAL COBERTURA]])+Tabla4[[#This Row],[VALOR FASE PREPARATORIA DE CIERRE]]</f>
        <v>4343620</v>
      </c>
      <c r="BB768" s="35">
        <f>SUM(Tabla4[[#This Row],[DESEMBOLSO 1]:[DESEMBOLSO 8]])</f>
        <v>30386100</v>
      </c>
      <c r="BC768" s="35">
        <f>VLOOKUP(Tabla4[[#This Row],[SERVICIO 2025]],$J$2:$V$14,10,0)*Tabla4[[#This Row],[TOTAL COBERTURA]]*$W$3</f>
        <v>30131360</v>
      </c>
      <c r="BD768" s="47" t="s">
        <v>211</v>
      </c>
      <c r="BE768" s="12" t="b">
        <f>EXACT(Tabla4[[#This Row],[VALOR ATENCIÓN (8 MESES)]],Tabla4[[#This Row],[VALOR TOTAL]])</f>
        <v>1</v>
      </c>
      <c r="BF768" s="23">
        <f>Tabla4[[#This Row],[VALOR ATENCIÓN (8 MESES)]]-Tabla4[[#This Row],[VALOR TOTAL]]</f>
        <v>0</v>
      </c>
      <c r="BG768" s="12" t="b">
        <f>EXACT(Tabla4[[#This Row],[TOTAL DESEMBOLSOS]],Tabla4[[#This Row],[VALOR ATENCIÓN (8 MESES)]])</f>
        <v>1</v>
      </c>
      <c r="BH768" s="29">
        <f>Tabla4[[#This Row],[TOTAL DESEMBOLSOS]]-Tabla4[[#This Row],[VALOR ATENCIÓN (8 MESES)]]</f>
        <v>0</v>
      </c>
      <c r="BI768" t="s">
        <v>98</v>
      </c>
      <c r="BJ768">
        <v>1960</v>
      </c>
    </row>
    <row r="769" spans="1:62">
      <c r="A769" s="13">
        <v>1960</v>
      </c>
      <c r="B769" s="13" t="s">
        <v>1694</v>
      </c>
      <c r="C769" s="12" t="s">
        <v>87</v>
      </c>
      <c r="D769" s="12" t="s">
        <v>205</v>
      </c>
      <c r="E769" s="12" t="s">
        <v>1695</v>
      </c>
      <c r="F769" s="12" t="s">
        <v>21</v>
      </c>
      <c r="G769" s="12" t="s">
        <v>90</v>
      </c>
      <c r="H769" s="12" t="s">
        <v>1715</v>
      </c>
      <c r="I769" s="12">
        <v>53641135046</v>
      </c>
      <c r="J769" s="12" t="s">
        <v>1716</v>
      </c>
      <c r="K769" s="12">
        <v>1</v>
      </c>
      <c r="L769" s="12">
        <v>57</v>
      </c>
      <c r="M769" s="12"/>
      <c r="N769" s="13">
        <v>1960</v>
      </c>
      <c r="O769" s="12" t="s">
        <v>93</v>
      </c>
      <c r="P769" s="12"/>
      <c r="Q769" s="12"/>
      <c r="R769" s="12" t="s">
        <v>94</v>
      </c>
      <c r="S769" s="12">
        <v>10</v>
      </c>
      <c r="T769" s="12" t="s">
        <v>328</v>
      </c>
      <c r="U769" s="12" t="s">
        <v>329</v>
      </c>
      <c r="V769" s="12">
        <f>VLOOKUP(Tabla4[[#This Row],[ZONA DEFINITIVO]],Hoja1!$A$1:$D$121,3,0)</f>
        <v>229121</v>
      </c>
      <c r="W769" s="12">
        <f>VLOOKUP(Tabla4[[#This Row],[ZONA DEFINITIVO]],Hoja1!$A$1:$D$121,2,0)</f>
        <v>15203</v>
      </c>
      <c r="X769" s="12">
        <f>VLOOKUP(Tabla4[[#This Row],[ZONA DEFINITIVO]],Hoja1!$A$1:$D$121,4,0)</f>
        <v>91925</v>
      </c>
      <c r="Y769" s="12" t="str">
        <f>+IF(Tabla4[[#This Row],[AGRUPACIONES]]=1,SUMIFS(Tabla4[UDS],Tabla4[ZONA DEFINITIVO],Tabla4[[#This Row],[ZONA DEFINITIVO]])," ")</f>
        <v xml:space="preserve"> </v>
      </c>
      <c r="Z769" s="12" t="str">
        <f>+IF(Tabla4[[#This Row],[AGRUPACIONES]]=1,SUMIFS(Tabla4[TOTAL COBERTURA],Tabla4[ZONA DEFINITIVO],Tabla4[[#This Row],[ZONA DEFINITIVO]])," ")</f>
        <v xml:space="preserve"> </v>
      </c>
      <c r="AA769" s="12"/>
      <c r="AB769" s="38">
        <v>86600385</v>
      </c>
      <c r="AC769" s="37">
        <v>0.02</v>
      </c>
      <c r="AD769" s="38">
        <f t="shared" si="12"/>
        <v>1732007.7</v>
      </c>
      <c r="AE769" s="12"/>
      <c r="AF769" s="12">
        <f>COUNTIF($A$20:A769,A769)</f>
        <v>11</v>
      </c>
      <c r="AG769" s="38">
        <v>86600385</v>
      </c>
      <c r="AH769" s="38">
        <f>Tabla4[[#This Row],[VALOR CONTRAPARTIDA]]+Tabla4[[#This Row],[TOTAL APORTES ICBF]]</f>
        <v>88332392.700000003</v>
      </c>
      <c r="AI769" s="35"/>
      <c r="AJ769" s="38"/>
      <c r="AK769" s="38"/>
      <c r="AL769" s="23"/>
      <c r="AM769" s="35">
        <f>VLOOKUP(Tabla4[[#This Row],[SERVICIO 2025]],$J$2:$V$14,5,0)*Tabla4[[#This Row],[TOTAL COBERTURA]]</f>
        <v>2664408</v>
      </c>
      <c r="AN769" s="35">
        <f>VLOOKUP(Tabla4[[#This Row],[SERVICIO 2025]],$J$2:$V$14,6,0)*Tabla4[[#This Row],[TOTAL COBERTURA]]</f>
        <v>2156937</v>
      </c>
      <c r="AO769" s="35">
        <f>VLOOKUP(Tabla4[[#This Row],[SERVICIO 2025]],$J$2:$V$14,8,0)*Tabla4[[#This Row],[TOTAL COBERTURA]]</f>
        <v>0</v>
      </c>
      <c r="AP769" s="35">
        <f>VLOOKUP(Tabla4[[#This Row],[SERVICIO 2025]],$J$2:$V$14,3,0)*Tabla4[[#This Row],[TOTAL COBERTURA]]*8</f>
        <v>81779040</v>
      </c>
      <c r="AQ769" s="35"/>
      <c r="AR769" s="35">
        <f>Tabla4[[#This Row],[VALOR FASE PREPARATORIA DE ALISTAMIENTO]]+Tabla4[[#This Row],[VALOR FASE PREPARATORIA DE CIERRE]]+Tabla4[[#This Row],[DOTACIÓN ÚNICA]]+Tabla4[[#This Row],[VALOR ATENCIÓN]]+Tabla4[[#This Row],[VALOR RACION PREPARADA]]</f>
        <v>86600385</v>
      </c>
      <c r="AS769" s="35" t="str">
        <f>+IF(Tabla4[[#This Row],[AGRUPACIONES]]=1,SUMIFS(Tabla4[VALOR TOTAL],Tabla4[ZONA DEFINITIVO],Tabla4[[#This Row],[ZONA DEFINITIVO]])," ")</f>
        <v xml:space="preserve"> </v>
      </c>
      <c r="AT769" s="27">
        <f>(VLOOKUP(Tabla4[[#This Row],[SERVICIO 2025]],$J$2:$V$14,3,0)*Tabla4[[#This Row],[TOTAL COBERTURA]])+Tabla4[[#This Row],[VALOR FASE PREPARATORIA DE ALISTAMIENTO]]+Tabla4[[#This Row],[DOTACIÓN ÚNICA]]</f>
        <v>12886788</v>
      </c>
      <c r="AU769" s="35">
        <f>(VLOOKUP(Tabla4[[#This Row],[SERVICIO 2025]],$J$2:$V$14,3,0)*Tabla4[[#This Row],[TOTAL COBERTURA]])</f>
        <v>10222380</v>
      </c>
      <c r="AV769" s="35">
        <f>(VLOOKUP(Tabla4[[#This Row],[SERVICIO 2025]],$J$2:$V$14,3,0)*Tabla4[[#This Row],[TOTAL COBERTURA]])</f>
        <v>10222380</v>
      </c>
      <c r="AW769" s="35">
        <f>(VLOOKUP(Tabla4[[#This Row],[SERVICIO 2025]],$J$2:$V$14,3,0)*Tabla4[[#This Row],[TOTAL COBERTURA]])</f>
        <v>10222380</v>
      </c>
      <c r="AX769" s="35">
        <f>(VLOOKUP(Tabla4[[#This Row],[SERVICIO 2025]],$J$2:$V$14,3,0)*Tabla4[[#This Row],[TOTAL COBERTURA]])</f>
        <v>10222380</v>
      </c>
      <c r="AY769" s="35">
        <f>(VLOOKUP(Tabla4[[#This Row],[SERVICIO 2025]],$J$2:$V$14,3,0)*Tabla4[[#This Row],[TOTAL COBERTURA]])</f>
        <v>10222380</v>
      </c>
      <c r="AZ769" s="35">
        <f>(VLOOKUP(Tabla4[[#This Row],[SERVICIO 2025]],$J$2:$V$14,3,0)*Tabla4[[#This Row],[TOTAL COBERTURA]])</f>
        <v>10222380</v>
      </c>
      <c r="BA769" s="35">
        <f>(VLOOKUP(Tabla4[[#This Row],[SERVICIO 2025]],$J$2:$V$14,3,0)*Tabla4[[#This Row],[TOTAL COBERTURA]])+Tabla4[[#This Row],[VALOR FASE PREPARATORIA DE CIERRE]]</f>
        <v>12379317</v>
      </c>
      <c r="BB769" s="35">
        <f>SUM(Tabla4[[#This Row],[DESEMBOLSO 1]:[DESEMBOLSO 8]])</f>
        <v>86600385</v>
      </c>
      <c r="BC769" s="35">
        <f>VLOOKUP(Tabla4[[#This Row],[SERVICIO 2025]],$J$2:$V$14,10,0)*Tabla4[[#This Row],[TOTAL COBERTURA]]*$W$3</f>
        <v>85874376</v>
      </c>
      <c r="BD769" s="47" t="s">
        <v>211</v>
      </c>
      <c r="BE769" s="12" t="b">
        <f>EXACT(Tabla4[[#This Row],[VALOR ATENCIÓN (8 MESES)]],Tabla4[[#This Row],[VALOR TOTAL]])</f>
        <v>1</v>
      </c>
      <c r="BF769" s="23">
        <f>Tabla4[[#This Row],[VALOR ATENCIÓN (8 MESES)]]-Tabla4[[#This Row],[VALOR TOTAL]]</f>
        <v>0</v>
      </c>
      <c r="BG769" s="12" t="b">
        <f>EXACT(Tabla4[[#This Row],[TOTAL DESEMBOLSOS]],Tabla4[[#This Row],[VALOR ATENCIÓN (8 MESES)]])</f>
        <v>1</v>
      </c>
      <c r="BH769" s="29">
        <f>Tabla4[[#This Row],[TOTAL DESEMBOLSOS]]-Tabla4[[#This Row],[VALOR ATENCIÓN (8 MESES)]]</f>
        <v>0</v>
      </c>
      <c r="BI769" t="s">
        <v>98</v>
      </c>
      <c r="BJ769">
        <v>1960</v>
      </c>
    </row>
    <row r="770" spans="1:62">
      <c r="A770" s="13">
        <v>1960</v>
      </c>
      <c r="B770" s="13" t="s">
        <v>1694</v>
      </c>
      <c r="C770" s="12" t="s">
        <v>87</v>
      </c>
      <c r="D770" s="12" t="s">
        <v>205</v>
      </c>
      <c r="E770" s="12" t="s">
        <v>1695</v>
      </c>
      <c r="F770" s="12" t="s">
        <v>21</v>
      </c>
      <c r="G770" s="12" t="s">
        <v>90</v>
      </c>
      <c r="H770" s="12" t="s">
        <v>1717</v>
      </c>
      <c r="I770" s="12">
        <v>53641140013</v>
      </c>
      <c r="J770" s="12" t="s">
        <v>1718</v>
      </c>
      <c r="K770" s="12">
        <v>1</v>
      </c>
      <c r="L770" s="12">
        <v>16</v>
      </c>
      <c r="M770" s="12"/>
      <c r="N770" s="13">
        <v>1960</v>
      </c>
      <c r="O770" s="12" t="s">
        <v>93</v>
      </c>
      <c r="P770" s="12"/>
      <c r="Q770" s="12"/>
      <c r="R770" s="12" t="s">
        <v>94</v>
      </c>
      <c r="S770" s="12">
        <v>10</v>
      </c>
      <c r="T770" s="12" t="s">
        <v>328</v>
      </c>
      <c r="U770" s="12" t="s">
        <v>329</v>
      </c>
      <c r="V770" s="12">
        <f>VLOOKUP(Tabla4[[#This Row],[ZONA DEFINITIVO]],Hoja1!$A$1:$D$121,3,0)</f>
        <v>229121</v>
      </c>
      <c r="W770" s="12">
        <f>VLOOKUP(Tabla4[[#This Row],[ZONA DEFINITIVO]],Hoja1!$A$1:$D$121,2,0)</f>
        <v>15203</v>
      </c>
      <c r="X770" s="12">
        <f>VLOOKUP(Tabla4[[#This Row],[ZONA DEFINITIVO]],Hoja1!$A$1:$D$121,4,0)</f>
        <v>91925</v>
      </c>
      <c r="Y770" s="12" t="str">
        <f>+IF(Tabla4[[#This Row],[AGRUPACIONES]]=1,SUMIFS(Tabla4[UDS],Tabla4[ZONA DEFINITIVO],Tabla4[[#This Row],[ZONA DEFINITIVO]])," ")</f>
        <v xml:space="preserve"> </v>
      </c>
      <c r="Z770" s="12" t="str">
        <f>+IF(Tabla4[[#This Row],[AGRUPACIONES]]=1,SUMIFS(Tabla4[TOTAL COBERTURA],Tabla4[ZONA DEFINITIVO],Tabla4[[#This Row],[ZONA DEFINITIVO]])," ")</f>
        <v xml:space="preserve"> </v>
      </c>
      <c r="AA770" s="12"/>
      <c r="AB770" s="38">
        <v>24308880</v>
      </c>
      <c r="AC770" s="37">
        <v>0.02</v>
      </c>
      <c r="AD770" s="38">
        <f t="shared" si="12"/>
        <v>486177.60000000003</v>
      </c>
      <c r="AE770" s="12"/>
      <c r="AF770" s="12">
        <f>COUNTIF($A$20:A770,A770)</f>
        <v>12</v>
      </c>
      <c r="AG770" s="38">
        <v>24308880</v>
      </c>
      <c r="AH770" s="38">
        <f>Tabla4[[#This Row],[VALOR CONTRAPARTIDA]]+Tabla4[[#This Row],[TOTAL APORTES ICBF]]</f>
        <v>24795057.600000001</v>
      </c>
      <c r="AI770" s="35"/>
      <c r="AJ770" s="38"/>
      <c r="AK770" s="38"/>
      <c r="AL770" s="23"/>
      <c r="AM770" s="35">
        <f>VLOOKUP(Tabla4[[#This Row],[SERVICIO 2025]],$J$2:$V$14,5,0)*Tabla4[[#This Row],[TOTAL COBERTURA]]</f>
        <v>747904</v>
      </c>
      <c r="AN770" s="35">
        <f>VLOOKUP(Tabla4[[#This Row],[SERVICIO 2025]],$J$2:$V$14,6,0)*Tabla4[[#This Row],[TOTAL COBERTURA]]</f>
        <v>605456</v>
      </c>
      <c r="AO770" s="35">
        <f>VLOOKUP(Tabla4[[#This Row],[SERVICIO 2025]],$J$2:$V$14,8,0)*Tabla4[[#This Row],[TOTAL COBERTURA]]</f>
        <v>0</v>
      </c>
      <c r="AP770" s="35">
        <f>VLOOKUP(Tabla4[[#This Row],[SERVICIO 2025]],$J$2:$V$14,3,0)*Tabla4[[#This Row],[TOTAL COBERTURA]]*8</f>
        <v>22955520</v>
      </c>
      <c r="AQ770" s="35"/>
      <c r="AR770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770" s="35" t="str">
        <f>+IF(Tabla4[[#This Row],[AGRUPACIONES]]=1,SUMIFS(Tabla4[VALOR TOTAL],Tabla4[ZONA DEFINITIVO],Tabla4[[#This Row],[ZONA DEFINITIVO]])," ")</f>
        <v xml:space="preserve"> </v>
      </c>
      <c r="AT770" s="27">
        <f>(VLOOKUP(Tabla4[[#This Row],[SERVICIO 2025]],$J$2:$V$14,3,0)*Tabla4[[#This Row],[TOTAL COBERTURA]])+Tabla4[[#This Row],[VALOR FASE PREPARATORIA DE ALISTAMIENTO]]+Tabla4[[#This Row],[DOTACIÓN ÚNICA]]</f>
        <v>3617344</v>
      </c>
      <c r="AU770" s="35">
        <f>(VLOOKUP(Tabla4[[#This Row],[SERVICIO 2025]],$J$2:$V$14,3,0)*Tabla4[[#This Row],[TOTAL COBERTURA]])</f>
        <v>2869440</v>
      </c>
      <c r="AV770" s="35">
        <f>(VLOOKUP(Tabla4[[#This Row],[SERVICIO 2025]],$J$2:$V$14,3,0)*Tabla4[[#This Row],[TOTAL COBERTURA]])</f>
        <v>2869440</v>
      </c>
      <c r="AW770" s="35">
        <f>(VLOOKUP(Tabla4[[#This Row],[SERVICIO 2025]],$J$2:$V$14,3,0)*Tabla4[[#This Row],[TOTAL COBERTURA]])</f>
        <v>2869440</v>
      </c>
      <c r="AX770" s="35">
        <f>(VLOOKUP(Tabla4[[#This Row],[SERVICIO 2025]],$J$2:$V$14,3,0)*Tabla4[[#This Row],[TOTAL COBERTURA]])</f>
        <v>2869440</v>
      </c>
      <c r="AY770" s="35">
        <f>(VLOOKUP(Tabla4[[#This Row],[SERVICIO 2025]],$J$2:$V$14,3,0)*Tabla4[[#This Row],[TOTAL COBERTURA]])</f>
        <v>2869440</v>
      </c>
      <c r="AZ770" s="35">
        <f>(VLOOKUP(Tabla4[[#This Row],[SERVICIO 2025]],$J$2:$V$14,3,0)*Tabla4[[#This Row],[TOTAL COBERTURA]])</f>
        <v>2869440</v>
      </c>
      <c r="BA770" s="35">
        <f>(VLOOKUP(Tabla4[[#This Row],[SERVICIO 2025]],$J$2:$V$14,3,0)*Tabla4[[#This Row],[TOTAL COBERTURA]])+Tabla4[[#This Row],[VALOR FASE PREPARATORIA DE CIERRE]]</f>
        <v>3474896</v>
      </c>
      <c r="BB770" s="35">
        <f>SUM(Tabla4[[#This Row],[DESEMBOLSO 1]:[DESEMBOLSO 8]])</f>
        <v>24308880</v>
      </c>
      <c r="BC770" s="35">
        <f>VLOOKUP(Tabla4[[#This Row],[SERVICIO 2025]],$J$2:$V$14,10,0)*Tabla4[[#This Row],[TOTAL COBERTURA]]*$W$3</f>
        <v>24105088</v>
      </c>
      <c r="BD770" s="47" t="s">
        <v>211</v>
      </c>
      <c r="BE770" s="12" t="b">
        <f>EXACT(Tabla4[[#This Row],[VALOR ATENCIÓN (8 MESES)]],Tabla4[[#This Row],[VALOR TOTAL]])</f>
        <v>1</v>
      </c>
      <c r="BF770" s="23">
        <f>Tabla4[[#This Row],[VALOR ATENCIÓN (8 MESES)]]-Tabla4[[#This Row],[VALOR TOTAL]]</f>
        <v>0</v>
      </c>
      <c r="BG770" s="12" t="b">
        <f>EXACT(Tabla4[[#This Row],[TOTAL DESEMBOLSOS]],Tabla4[[#This Row],[VALOR ATENCIÓN (8 MESES)]])</f>
        <v>1</v>
      </c>
      <c r="BH770" s="29">
        <f>Tabla4[[#This Row],[TOTAL DESEMBOLSOS]]-Tabla4[[#This Row],[VALOR ATENCIÓN (8 MESES)]]</f>
        <v>0</v>
      </c>
      <c r="BI770" t="s">
        <v>98</v>
      </c>
      <c r="BJ770">
        <v>1960</v>
      </c>
    </row>
    <row r="771" spans="1:62">
      <c r="A771" s="13">
        <v>1960</v>
      </c>
      <c r="B771" s="13" t="s">
        <v>1694</v>
      </c>
      <c r="C771" s="12" t="s">
        <v>87</v>
      </c>
      <c r="D771" s="12" t="s">
        <v>205</v>
      </c>
      <c r="E771" s="12" t="s">
        <v>1695</v>
      </c>
      <c r="F771" s="12" t="s">
        <v>21</v>
      </c>
      <c r="G771" s="12" t="s">
        <v>90</v>
      </c>
      <c r="H771" s="12" t="s">
        <v>1719</v>
      </c>
      <c r="I771" s="12">
        <v>53641148762</v>
      </c>
      <c r="J771" s="12" t="s">
        <v>1720</v>
      </c>
      <c r="K771" s="12">
        <v>1</v>
      </c>
      <c r="L771" s="12">
        <v>13</v>
      </c>
      <c r="M771" s="12"/>
      <c r="N771" s="13">
        <v>1960</v>
      </c>
      <c r="O771" s="12" t="s">
        <v>93</v>
      </c>
      <c r="P771" s="12"/>
      <c r="Q771" s="12"/>
      <c r="R771" s="12" t="s">
        <v>94</v>
      </c>
      <c r="S771" s="12">
        <v>10</v>
      </c>
      <c r="T771" s="12" t="s">
        <v>328</v>
      </c>
      <c r="U771" s="12" t="s">
        <v>329</v>
      </c>
      <c r="V771" s="12">
        <f>VLOOKUP(Tabla4[[#This Row],[ZONA DEFINITIVO]],Hoja1!$A$1:$D$121,3,0)</f>
        <v>229121</v>
      </c>
      <c r="W771" s="12">
        <f>VLOOKUP(Tabla4[[#This Row],[ZONA DEFINITIVO]],Hoja1!$A$1:$D$121,2,0)</f>
        <v>15203</v>
      </c>
      <c r="X771" s="12">
        <f>VLOOKUP(Tabla4[[#This Row],[ZONA DEFINITIVO]],Hoja1!$A$1:$D$121,4,0)</f>
        <v>91925</v>
      </c>
      <c r="Y771" s="12" t="str">
        <f>+IF(Tabla4[[#This Row],[AGRUPACIONES]]=1,SUMIFS(Tabla4[UDS],Tabla4[ZONA DEFINITIVO],Tabla4[[#This Row],[ZONA DEFINITIVO]])," ")</f>
        <v xml:space="preserve"> </v>
      </c>
      <c r="Z771" s="12" t="str">
        <f>+IF(Tabla4[[#This Row],[AGRUPACIONES]]=1,SUMIFS(Tabla4[TOTAL COBERTURA],Tabla4[ZONA DEFINITIVO],Tabla4[[#This Row],[ZONA DEFINITIVO]])," ")</f>
        <v xml:space="preserve"> </v>
      </c>
      <c r="AA771" s="12"/>
      <c r="AB771" s="38">
        <v>19750965</v>
      </c>
      <c r="AC771" s="37">
        <v>0.02</v>
      </c>
      <c r="AD771" s="38">
        <f t="shared" si="12"/>
        <v>395019.3</v>
      </c>
      <c r="AE771" s="12"/>
      <c r="AF771" s="12">
        <f>COUNTIF($A$20:A771,A771)</f>
        <v>13</v>
      </c>
      <c r="AG771" s="38">
        <v>19750965</v>
      </c>
      <c r="AH771" s="38">
        <f>Tabla4[[#This Row],[VALOR CONTRAPARTIDA]]+Tabla4[[#This Row],[TOTAL APORTES ICBF]]</f>
        <v>20145984.300000001</v>
      </c>
      <c r="AI771" s="35"/>
      <c r="AJ771" s="38"/>
      <c r="AK771" s="38"/>
      <c r="AL771" s="23"/>
      <c r="AM771" s="35">
        <f>VLOOKUP(Tabla4[[#This Row],[SERVICIO 2025]],$J$2:$V$14,5,0)*Tabla4[[#This Row],[TOTAL COBERTURA]]</f>
        <v>607672</v>
      </c>
      <c r="AN771" s="35">
        <f>VLOOKUP(Tabla4[[#This Row],[SERVICIO 2025]],$J$2:$V$14,6,0)*Tabla4[[#This Row],[TOTAL COBERTURA]]</f>
        <v>491933</v>
      </c>
      <c r="AO771" s="35">
        <f>VLOOKUP(Tabla4[[#This Row],[SERVICIO 2025]],$J$2:$V$14,8,0)*Tabla4[[#This Row],[TOTAL COBERTURA]]</f>
        <v>0</v>
      </c>
      <c r="AP771" s="35">
        <f>VLOOKUP(Tabla4[[#This Row],[SERVICIO 2025]],$J$2:$V$14,3,0)*Tabla4[[#This Row],[TOTAL COBERTURA]]*8</f>
        <v>18651360</v>
      </c>
      <c r="AQ771" s="35"/>
      <c r="AR771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771" s="35" t="str">
        <f>+IF(Tabla4[[#This Row],[AGRUPACIONES]]=1,SUMIFS(Tabla4[VALOR TOTAL],Tabla4[ZONA DEFINITIVO],Tabla4[[#This Row],[ZONA DEFINITIVO]])," ")</f>
        <v xml:space="preserve"> </v>
      </c>
      <c r="AT771" s="27">
        <f>(VLOOKUP(Tabla4[[#This Row],[SERVICIO 2025]],$J$2:$V$14,3,0)*Tabla4[[#This Row],[TOTAL COBERTURA]])+Tabla4[[#This Row],[VALOR FASE PREPARATORIA DE ALISTAMIENTO]]+Tabla4[[#This Row],[DOTACIÓN ÚNICA]]</f>
        <v>2939092</v>
      </c>
      <c r="AU771" s="35">
        <f>(VLOOKUP(Tabla4[[#This Row],[SERVICIO 2025]],$J$2:$V$14,3,0)*Tabla4[[#This Row],[TOTAL COBERTURA]])</f>
        <v>2331420</v>
      </c>
      <c r="AV771" s="35">
        <f>(VLOOKUP(Tabla4[[#This Row],[SERVICIO 2025]],$J$2:$V$14,3,0)*Tabla4[[#This Row],[TOTAL COBERTURA]])</f>
        <v>2331420</v>
      </c>
      <c r="AW771" s="35">
        <f>(VLOOKUP(Tabla4[[#This Row],[SERVICIO 2025]],$J$2:$V$14,3,0)*Tabla4[[#This Row],[TOTAL COBERTURA]])</f>
        <v>2331420</v>
      </c>
      <c r="AX771" s="35">
        <f>(VLOOKUP(Tabla4[[#This Row],[SERVICIO 2025]],$J$2:$V$14,3,0)*Tabla4[[#This Row],[TOTAL COBERTURA]])</f>
        <v>2331420</v>
      </c>
      <c r="AY771" s="35">
        <f>(VLOOKUP(Tabla4[[#This Row],[SERVICIO 2025]],$J$2:$V$14,3,0)*Tabla4[[#This Row],[TOTAL COBERTURA]])</f>
        <v>2331420</v>
      </c>
      <c r="AZ771" s="35">
        <f>(VLOOKUP(Tabla4[[#This Row],[SERVICIO 2025]],$J$2:$V$14,3,0)*Tabla4[[#This Row],[TOTAL COBERTURA]])</f>
        <v>2331420</v>
      </c>
      <c r="BA771" s="35">
        <f>(VLOOKUP(Tabla4[[#This Row],[SERVICIO 2025]],$J$2:$V$14,3,0)*Tabla4[[#This Row],[TOTAL COBERTURA]])+Tabla4[[#This Row],[VALOR FASE PREPARATORIA DE CIERRE]]</f>
        <v>2823353</v>
      </c>
      <c r="BB771" s="35">
        <f>SUM(Tabla4[[#This Row],[DESEMBOLSO 1]:[DESEMBOLSO 8]])</f>
        <v>19750965</v>
      </c>
      <c r="BC771" s="35">
        <f>VLOOKUP(Tabla4[[#This Row],[SERVICIO 2025]],$J$2:$V$14,10,0)*Tabla4[[#This Row],[TOTAL COBERTURA]]*$W$3</f>
        <v>19585384</v>
      </c>
      <c r="BD771" s="47" t="s">
        <v>211</v>
      </c>
      <c r="BE771" s="12" t="b">
        <f>EXACT(Tabla4[[#This Row],[VALOR ATENCIÓN (8 MESES)]],Tabla4[[#This Row],[VALOR TOTAL]])</f>
        <v>1</v>
      </c>
      <c r="BF771" s="23">
        <f>Tabla4[[#This Row],[VALOR ATENCIÓN (8 MESES)]]-Tabla4[[#This Row],[VALOR TOTAL]]</f>
        <v>0</v>
      </c>
      <c r="BG771" s="12" t="b">
        <f>EXACT(Tabla4[[#This Row],[TOTAL DESEMBOLSOS]],Tabla4[[#This Row],[VALOR ATENCIÓN (8 MESES)]])</f>
        <v>1</v>
      </c>
      <c r="BH771" s="29">
        <f>Tabla4[[#This Row],[TOTAL DESEMBOLSOS]]-Tabla4[[#This Row],[VALOR ATENCIÓN (8 MESES)]]</f>
        <v>0</v>
      </c>
      <c r="BI771" t="s">
        <v>98</v>
      </c>
      <c r="BJ771">
        <v>1960</v>
      </c>
    </row>
    <row r="772" spans="1:62">
      <c r="A772" s="13">
        <v>1960</v>
      </c>
      <c r="B772" s="13" t="s">
        <v>1694</v>
      </c>
      <c r="C772" s="12" t="s">
        <v>87</v>
      </c>
      <c r="D772" s="12" t="s">
        <v>205</v>
      </c>
      <c r="E772" s="12" t="s">
        <v>1695</v>
      </c>
      <c r="F772" s="12" t="s">
        <v>21</v>
      </c>
      <c r="G772" s="12" t="s">
        <v>90</v>
      </c>
      <c r="H772" s="12" t="s">
        <v>1721</v>
      </c>
      <c r="I772" s="12">
        <v>53641148777</v>
      </c>
      <c r="J772" s="12" t="s">
        <v>1722</v>
      </c>
      <c r="K772" s="12">
        <v>1</v>
      </c>
      <c r="L772" s="12">
        <v>15</v>
      </c>
      <c r="M772" s="12"/>
      <c r="N772" s="13">
        <v>1960</v>
      </c>
      <c r="O772" s="12" t="s">
        <v>93</v>
      </c>
      <c r="P772" s="12"/>
      <c r="Q772" s="12"/>
      <c r="R772" s="12" t="s">
        <v>94</v>
      </c>
      <c r="S772" s="12">
        <v>10</v>
      </c>
      <c r="T772" s="12" t="s">
        <v>328</v>
      </c>
      <c r="U772" s="12" t="s">
        <v>329</v>
      </c>
      <c r="V772" s="12">
        <f>VLOOKUP(Tabla4[[#This Row],[ZONA DEFINITIVO]],Hoja1!$A$1:$D$121,3,0)</f>
        <v>229121</v>
      </c>
      <c r="W772" s="12">
        <f>VLOOKUP(Tabla4[[#This Row],[ZONA DEFINITIVO]],Hoja1!$A$1:$D$121,2,0)</f>
        <v>15203</v>
      </c>
      <c r="X772" s="12">
        <f>VLOOKUP(Tabla4[[#This Row],[ZONA DEFINITIVO]],Hoja1!$A$1:$D$121,4,0)</f>
        <v>91925</v>
      </c>
      <c r="Y772" s="12" t="str">
        <f>+IF(Tabla4[[#This Row],[AGRUPACIONES]]=1,SUMIFS(Tabla4[UDS],Tabla4[ZONA DEFINITIVO],Tabla4[[#This Row],[ZONA DEFINITIVO]])," ")</f>
        <v xml:space="preserve"> </v>
      </c>
      <c r="Z772" s="12" t="str">
        <f>+IF(Tabla4[[#This Row],[AGRUPACIONES]]=1,SUMIFS(Tabla4[TOTAL COBERTURA],Tabla4[ZONA DEFINITIVO],Tabla4[[#This Row],[ZONA DEFINITIVO]])," ")</f>
        <v xml:space="preserve"> </v>
      </c>
      <c r="AA772" s="12"/>
      <c r="AB772" s="38">
        <v>22789575</v>
      </c>
      <c r="AC772" s="37">
        <v>0.02</v>
      </c>
      <c r="AD772" s="38">
        <f t="shared" si="12"/>
        <v>455791.5</v>
      </c>
      <c r="AE772" s="12"/>
      <c r="AF772" s="12">
        <f>COUNTIF($A$20:A772,A772)</f>
        <v>14</v>
      </c>
      <c r="AG772" s="38">
        <v>22789575</v>
      </c>
      <c r="AH772" s="38">
        <f>Tabla4[[#This Row],[VALOR CONTRAPARTIDA]]+Tabla4[[#This Row],[TOTAL APORTES ICBF]]</f>
        <v>23245366.5</v>
      </c>
      <c r="AI772" s="35"/>
      <c r="AJ772" s="38"/>
      <c r="AK772" s="38"/>
      <c r="AL772" s="23"/>
      <c r="AM772" s="35">
        <f>VLOOKUP(Tabla4[[#This Row],[SERVICIO 2025]],$J$2:$V$14,5,0)*Tabla4[[#This Row],[TOTAL COBERTURA]]</f>
        <v>701160</v>
      </c>
      <c r="AN772" s="35">
        <f>VLOOKUP(Tabla4[[#This Row],[SERVICIO 2025]],$J$2:$V$14,6,0)*Tabla4[[#This Row],[TOTAL COBERTURA]]</f>
        <v>567615</v>
      </c>
      <c r="AO772" s="35">
        <f>VLOOKUP(Tabla4[[#This Row],[SERVICIO 2025]],$J$2:$V$14,8,0)*Tabla4[[#This Row],[TOTAL COBERTURA]]</f>
        <v>0</v>
      </c>
      <c r="AP772" s="35">
        <f>VLOOKUP(Tabla4[[#This Row],[SERVICIO 2025]],$J$2:$V$14,3,0)*Tabla4[[#This Row],[TOTAL COBERTURA]]*8</f>
        <v>21520800</v>
      </c>
      <c r="AQ772" s="35"/>
      <c r="AR772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772" s="35" t="str">
        <f>+IF(Tabla4[[#This Row],[AGRUPACIONES]]=1,SUMIFS(Tabla4[VALOR TOTAL],Tabla4[ZONA DEFINITIVO],Tabla4[[#This Row],[ZONA DEFINITIVO]])," ")</f>
        <v xml:space="preserve"> </v>
      </c>
      <c r="AT772" s="27">
        <f>(VLOOKUP(Tabla4[[#This Row],[SERVICIO 2025]],$J$2:$V$14,3,0)*Tabla4[[#This Row],[TOTAL COBERTURA]])+Tabla4[[#This Row],[VALOR FASE PREPARATORIA DE ALISTAMIENTO]]+Tabla4[[#This Row],[DOTACIÓN ÚNICA]]</f>
        <v>3391260</v>
      </c>
      <c r="AU772" s="35">
        <f>(VLOOKUP(Tabla4[[#This Row],[SERVICIO 2025]],$J$2:$V$14,3,0)*Tabla4[[#This Row],[TOTAL COBERTURA]])</f>
        <v>2690100</v>
      </c>
      <c r="AV772" s="35">
        <f>(VLOOKUP(Tabla4[[#This Row],[SERVICIO 2025]],$J$2:$V$14,3,0)*Tabla4[[#This Row],[TOTAL COBERTURA]])</f>
        <v>2690100</v>
      </c>
      <c r="AW772" s="35">
        <f>(VLOOKUP(Tabla4[[#This Row],[SERVICIO 2025]],$J$2:$V$14,3,0)*Tabla4[[#This Row],[TOTAL COBERTURA]])</f>
        <v>2690100</v>
      </c>
      <c r="AX772" s="35">
        <f>(VLOOKUP(Tabla4[[#This Row],[SERVICIO 2025]],$J$2:$V$14,3,0)*Tabla4[[#This Row],[TOTAL COBERTURA]])</f>
        <v>2690100</v>
      </c>
      <c r="AY772" s="35">
        <f>(VLOOKUP(Tabla4[[#This Row],[SERVICIO 2025]],$J$2:$V$14,3,0)*Tabla4[[#This Row],[TOTAL COBERTURA]])</f>
        <v>2690100</v>
      </c>
      <c r="AZ772" s="35">
        <f>(VLOOKUP(Tabla4[[#This Row],[SERVICIO 2025]],$J$2:$V$14,3,0)*Tabla4[[#This Row],[TOTAL COBERTURA]])</f>
        <v>2690100</v>
      </c>
      <c r="BA772" s="35">
        <f>(VLOOKUP(Tabla4[[#This Row],[SERVICIO 2025]],$J$2:$V$14,3,0)*Tabla4[[#This Row],[TOTAL COBERTURA]])+Tabla4[[#This Row],[VALOR FASE PREPARATORIA DE CIERRE]]</f>
        <v>3257715</v>
      </c>
      <c r="BB772" s="35">
        <f>SUM(Tabla4[[#This Row],[DESEMBOLSO 1]:[DESEMBOLSO 8]])</f>
        <v>22789575</v>
      </c>
      <c r="BC772" s="35">
        <f>VLOOKUP(Tabla4[[#This Row],[SERVICIO 2025]],$J$2:$V$14,10,0)*Tabla4[[#This Row],[TOTAL COBERTURA]]*$W$3</f>
        <v>22598520</v>
      </c>
      <c r="BD772" s="47" t="s">
        <v>211</v>
      </c>
      <c r="BE772" s="12" t="b">
        <f>EXACT(Tabla4[[#This Row],[VALOR ATENCIÓN (8 MESES)]],Tabla4[[#This Row],[VALOR TOTAL]])</f>
        <v>1</v>
      </c>
      <c r="BF772" s="23">
        <f>Tabla4[[#This Row],[VALOR ATENCIÓN (8 MESES)]]-Tabla4[[#This Row],[VALOR TOTAL]]</f>
        <v>0</v>
      </c>
      <c r="BG772" s="12" t="b">
        <f>EXACT(Tabla4[[#This Row],[TOTAL DESEMBOLSOS]],Tabla4[[#This Row],[VALOR ATENCIÓN (8 MESES)]])</f>
        <v>1</v>
      </c>
      <c r="BH772" s="29">
        <f>Tabla4[[#This Row],[TOTAL DESEMBOLSOS]]-Tabla4[[#This Row],[VALOR ATENCIÓN (8 MESES)]]</f>
        <v>0</v>
      </c>
      <c r="BI772" t="s">
        <v>98</v>
      </c>
      <c r="BJ772">
        <v>1960</v>
      </c>
    </row>
    <row r="773" spans="1:62">
      <c r="A773" s="13">
        <v>1960</v>
      </c>
      <c r="B773" s="13" t="s">
        <v>1694</v>
      </c>
      <c r="C773" s="12" t="s">
        <v>87</v>
      </c>
      <c r="D773" s="12" t="s">
        <v>205</v>
      </c>
      <c r="E773" s="12" t="s">
        <v>1695</v>
      </c>
      <c r="F773" s="12" t="s">
        <v>21</v>
      </c>
      <c r="G773" s="12" t="s">
        <v>90</v>
      </c>
      <c r="H773" s="12" t="s">
        <v>1723</v>
      </c>
      <c r="I773" s="12">
        <v>536400048169</v>
      </c>
      <c r="J773" s="12" t="s">
        <v>1724</v>
      </c>
      <c r="K773" s="12">
        <v>1</v>
      </c>
      <c r="L773" s="12">
        <v>6</v>
      </c>
      <c r="M773" s="12"/>
      <c r="N773" s="13">
        <v>1960</v>
      </c>
      <c r="O773" s="12" t="s">
        <v>93</v>
      </c>
      <c r="P773" s="12"/>
      <c r="Q773" s="12"/>
      <c r="R773" s="12" t="s">
        <v>94</v>
      </c>
      <c r="S773" s="12">
        <v>10</v>
      </c>
      <c r="T773" s="12" t="s">
        <v>328</v>
      </c>
      <c r="U773" s="12" t="s">
        <v>329</v>
      </c>
      <c r="V773" s="12">
        <f>VLOOKUP(Tabla4[[#This Row],[ZONA DEFINITIVO]],Hoja1!$A$1:$D$121,3,0)</f>
        <v>229121</v>
      </c>
      <c r="W773" s="12">
        <f>VLOOKUP(Tabla4[[#This Row],[ZONA DEFINITIVO]],Hoja1!$A$1:$D$121,2,0)</f>
        <v>15203</v>
      </c>
      <c r="X773" s="12">
        <f>VLOOKUP(Tabla4[[#This Row],[ZONA DEFINITIVO]],Hoja1!$A$1:$D$121,4,0)</f>
        <v>91925</v>
      </c>
      <c r="Y773" s="12" t="str">
        <f>+IF(Tabla4[[#This Row],[AGRUPACIONES]]=1,SUMIFS(Tabla4[UDS],Tabla4[ZONA DEFINITIVO],Tabla4[[#This Row],[ZONA DEFINITIVO]])," ")</f>
        <v xml:space="preserve"> </v>
      </c>
      <c r="Z773" s="12" t="str">
        <f>+IF(Tabla4[[#This Row],[AGRUPACIONES]]=1,SUMIFS(Tabla4[TOTAL COBERTURA],Tabla4[ZONA DEFINITIVO],Tabla4[[#This Row],[ZONA DEFINITIVO]])," ")</f>
        <v xml:space="preserve"> </v>
      </c>
      <c r="AA773" s="12"/>
      <c r="AB773" s="38">
        <v>9115830</v>
      </c>
      <c r="AC773" s="37">
        <v>0.02</v>
      </c>
      <c r="AD773" s="38">
        <f t="shared" si="12"/>
        <v>182316.6</v>
      </c>
      <c r="AE773" s="12"/>
      <c r="AF773" s="12">
        <f>COUNTIF($A$20:A773,A773)</f>
        <v>15</v>
      </c>
      <c r="AG773" s="38">
        <v>9115830</v>
      </c>
      <c r="AH773" s="38">
        <f>Tabla4[[#This Row],[VALOR CONTRAPARTIDA]]+Tabla4[[#This Row],[TOTAL APORTES ICBF]]</f>
        <v>9298146.5999999996</v>
      </c>
      <c r="AI773" s="35"/>
      <c r="AJ773" s="38"/>
      <c r="AK773" s="38"/>
      <c r="AL773" s="23"/>
      <c r="AM773" s="35">
        <f>VLOOKUP(Tabla4[[#This Row],[SERVICIO 2025]],$J$2:$V$14,5,0)*Tabla4[[#This Row],[TOTAL COBERTURA]]</f>
        <v>280464</v>
      </c>
      <c r="AN773" s="35">
        <f>VLOOKUP(Tabla4[[#This Row],[SERVICIO 2025]],$J$2:$V$14,6,0)*Tabla4[[#This Row],[TOTAL COBERTURA]]</f>
        <v>227046</v>
      </c>
      <c r="AO773" s="35">
        <f>VLOOKUP(Tabla4[[#This Row],[SERVICIO 2025]],$J$2:$V$14,8,0)*Tabla4[[#This Row],[TOTAL COBERTURA]]</f>
        <v>0</v>
      </c>
      <c r="AP773" s="35">
        <f>VLOOKUP(Tabla4[[#This Row],[SERVICIO 2025]],$J$2:$V$14,3,0)*Tabla4[[#This Row],[TOTAL COBERTURA]]*8</f>
        <v>8608320</v>
      </c>
      <c r="AQ773" s="35"/>
      <c r="AR773" s="35">
        <f>Tabla4[[#This Row],[VALOR FASE PREPARATORIA DE ALISTAMIENTO]]+Tabla4[[#This Row],[VALOR FASE PREPARATORIA DE CIERRE]]+Tabla4[[#This Row],[DOTACIÓN ÚNICA]]+Tabla4[[#This Row],[VALOR ATENCIÓN]]+Tabla4[[#This Row],[VALOR RACION PREPARADA]]</f>
        <v>9115830</v>
      </c>
      <c r="AS773" s="35" t="str">
        <f>+IF(Tabla4[[#This Row],[AGRUPACIONES]]=1,SUMIFS(Tabla4[VALOR TOTAL],Tabla4[ZONA DEFINITIVO],Tabla4[[#This Row],[ZONA DEFINITIVO]])," ")</f>
        <v xml:space="preserve"> </v>
      </c>
      <c r="AT773" s="27">
        <f>(VLOOKUP(Tabla4[[#This Row],[SERVICIO 2025]],$J$2:$V$14,3,0)*Tabla4[[#This Row],[TOTAL COBERTURA]])+Tabla4[[#This Row],[VALOR FASE PREPARATORIA DE ALISTAMIENTO]]+Tabla4[[#This Row],[DOTACIÓN ÚNICA]]</f>
        <v>1356504</v>
      </c>
      <c r="AU773" s="35">
        <f>(VLOOKUP(Tabla4[[#This Row],[SERVICIO 2025]],$J$2:$V$14,3,0)*Tabla4[[#This Row],[TOTAL COBERTURA]])</f>
        <v>1076040</v>
      </c>
      <c r="AV773" s="35">
        <f>(VLOOKUP(Tabla4[[#This Row],[SERVICIO 2025]],$J$2:$V$14,3,0)*Tabla4[[#This Row],[TOTAL COBERTURA]])</f>
        <v>1076040</v>
      </c>
      <c r="AW773" s="35">
        <f>(VLOOKUP(Tabla4[[#This Row],[SERVICIO 2025]],$J$2:$V$14,3,0)*Tabla4[[#This Row],[TOTAL COBERTURA]])</f>
        <v>1076040</v>
      </c>
      <c r="AX773" s="35">
        <f>(VLOOKUP(Tabla4[[#This Row],[SERVICIO 2025]],$J$2:$V$14,3,0)*Tabla4[[#This Row],[TOTAL COBERTURA]])</f>
        <v>1076040</v>
      </c>
      <c r="AY773" s="35">
        <f>(VLOOKUP(Tabla4[[#This Row],[SERVICIO 2025]],$J$2:$V$14,3,0)*Tabla4[[#This Row],[TOTAL COBERTURA]])</f>
        <v>1076040</v>
      </c>
      <c r="AZ773" s="35">
        <f>(VLOOKUP(Tabla4[[#This Row],[SERVICIO 2025]],$J$2:$V$14,3,0)*Tabla4[[#This Row],[TOTAL COBERTURA]])</f>
        <v>1076040</v>
      </c>
      <c r="BA773" s="35">
        <f>(VLOOKUP(Tabla4[[#This Row],[SERVICIO 2025]],$J$2:$V$14,3,0)*Tabla4[[#This Row],[TOTAL COBERTURA]])+Tabla4[[#This Row],[VALOR FASE PREPARATORIA DE CIERRE]]</f>
        <v>1303086</v>
      </c>
      <c r="BB773" s="35">
        <f>SUM(Tabla4[[#This Row],[DESEMBOLSO 1]:[DESEMBOLSO 8]])</f>
        <v>9115830</v>
      </c>
      <c r="BC773" s="35">
        <f>VLOOKUP(Tabla4[[#This Row],[SERVICIO 2025]],$J$2:$V$14,10,0)*Tabla4[[#This Row],[TOTAL COBERTURA]]*$W$3</f>
        <v>9039408</v>
      </c>
      <c r="BD773" s="47" t="s">
        <v>211</v>
      </c>
      <c r="BE773" s="12" t="b">
        <f>EXACT(Tabla4[[#This Row],[VALOR ATENCIÓN (8 MESES)]],Tabla4[[#This Row],[VALOR TOTAL]])</f>
        <v>1</v>
      </c>
      <c r="BF773" s="23">
        <f>Tabla4[[#This Row],[VALOR ATENCIÓN (8 MESES)]]-Tabla4[[#This Row],[VALOR TOTAL]]</f>
        <v>0</v>
      </c>
      <c r="BG773" s="12" t="b">
        <f>EXACT(Tabla4[[#This Row],[TOTAL DESEMBOLSOS]],Tabla4[[#This Row],[VALOR ATENCIÓN (8 MESES)]])</f>
        <v>1</v>
      </c>
      <c r="BH773" s="29">
        <f>Tabla4[[#This Row],[TOTAL DESEMBOLSOS]]-Tabla4[[#This Row],[VALOR ATENCIÓN (8 MESES)]]</f>
        <v>0</v>
      </c>
      <c r="BI773" t="s">
        <v>98</v>
      </c>
      <c r="BJ773">
        <v>1960</v>
      </c>
    </row>
    <row r="774" spans="1:62">
      <c r="A774" s="13">
        <v>1960</v>
      </c>
      <c r="B774" s="13" t="s">
        <v>1694</v>
      </c>
      <c r="C774" s="12" t="s">
        <v>87</v>
      </c>
      <c r="D774" s="12" t="s">
        <v>205</v>
      </c>
      <c r="E774" s="12" t="s">
        <v>1695</v>
      </c>
      <c r="F774" s="12" t="s">
        <v>14</v>
      </c>
      <c r="G774" s="12" t="s">
        <v>90</v>
      </c>
      <c r="H774" s="12" t="s">
        <v>1725</v>
      </c>
      <c r="I774" s="12">
        <v>536400129633</v>
      </c>
      <c r="J774" s="12" t="s">
        <v>1726</v>
      </c>
      <c r="K774" s="12">
        <v>1</v>
      </c>
      <c r="L774" s="12">
        <v>117</v>
      </c>
      <c r="M774" s="12"/>
      <c r="N774" s="13">
        <v>1960</v>
      </c>
      <c r="O774" s="12" t="s">
        <v>93</v>
      </c>
      <c r="P774" s="12"/>
      <c r="Q774" s="12"/>
      <c r="R774" s="12" t="s">
        <v>94</v>
      </c>
      <c r="S774" s="12">
        <v>10</v>
      </c>
      <c r="T774" s="12" t="s">
        <v>328</v>
      </c>
      <c r="U774" s="12" t="s">
        <v>329</v>
      </c>
      <c r="V774" s="12">
        <f>VLOOKUP(Tabla4[[#This Row],[ZONA DEFINITIVO]],Hoja1!$A$1:$D$121,3,0)</f>
        <v>229121</v>
      </c>
      <c r="W774" s="12">
        <f>VLOOKUP(Tabla4[[#This Row],[ZONA DEFINITIVO]],Hoja1!$A$1:$D$121,2,0)</f>
        <v>15203</v>
      </c>
      <c r="X774" s="12">
        <f>VLOOKUP(Tabla4[[#This Row],[ZONA DEFINITIVO]],Hoja1!$A$1:$D$121,4,0)</f>
        <v>91925</v>
      </c>
      <c r="Y774" s="12" t="str">
        <f>+IF(Tabla4[[#This Row],[AGRUPACIONES]]=1,SUMIFS(Tabla4[UDS],Tabla4[ZONA DEFINITIVO],Tabla4[[#This Row],[ZONA DEFINITIVO]])," ")</f>
        <v xml:space="preserve"> </v>
      </c>
      <c r="Z774" s="12" t="str">
        <f>+IF(Tabla4[[#This Row],[AGRUPACIONES]]=1,SUMIFS(Tabla4[TOTAL COBERTURA],Tabla4[ZONA DEFINITIVO],Tabla4[[#This Row],[ZONA DEFINITIVO]])," ")</f>
        <v xml:space="preserve"> </v>
      </c>
      <c r="AA774" s="12"/>
      <c r="AB774" s="38">
        <v>490095450</v>
      </c>
      <c r="AC774" s="37">
        <v>0.02</v>
      </c>
      <c r="AD774" s="38">
        <f t="shared" si="12"/>
        <v>9801909</v>
      </c>
      <c r="AE774" s="12"/>
      <c r="AF774" s="12">
        <f>COUNTIF($A$20:A774,A774)</f>
        <v>16</v>
      </c>
      <c r="AG774" s="38">
        <v>490095450</v>
      </c>
      <c r="AH774" s="38">
        <f>Tabla4[[#This Row],[VALOR CONTRAPARTIDA]]+Tabla4[[#This Row],[TOTAL APORTES ICBF]]</f>
        <v>499897359</v>
      </c>
      <c r="AI774" s="35"/>
      <c r="AJ774" s="38"/>
      <c r="AK774" s="38"/>
      <c r="AL774" s="23"/>
      <c r="AM774" s="35">
        <f>VLOOKUP(Tabla4[[#This Row],[SERVICIO 2025]],$J$2:$V$14,5,0)*Tabla4[[#This Row],[TOTAL COBERTURA]]</f>
        <v>10312731</v>
      </c>
      <c r="AN774" s="35">
        <f>VLOOKUP(Tabla4[[#This Row],[SERVICIO 2025]],$J$2:$V$14,6,0)*Tabla4[[#This Row],[TOTAL COBERTURA]]</f>
        <v>8780031</v>
      </c>
      <c r="AO774" s="35">
        <f>VLOOKUP(Tabla4[[#This Row],[SERVICIO 2025]],$J$2:$V$14,8,0)*Tabla4[[#This Row],[TOTAL COBERTURA]]</f>
        <v>0</v>
      </c>
      <c r="AP774" s="35">
        <f>VLOOKUP(Tabla4[[#This Row],[SERVICIO 2025]],$J$2:$V$14,3,0)*Tabla4[[#This Row],[TOTAL COBERTURA]]*8</f>
        <v>471002688</v>
      </c>
      <c r="AQ774" s="35"/>
      <c r="AR774" s="35">
        <f>Tabla4[[#This Row],[VALOR FASE PREPARATORIA DE ALISTAMIENTO]]+Tabla4[[#This Row],[VALOR FASE PREPARATORIA DE CIERRE]]+Tabla4[[#This Row],[DOTACIÓN ÚNICA]]+Tabla4[[#This Row],[VALOR ATENCIÓN]]+Tabla4[[#This Row],[VALOR RACION PREPARADA]]</f>
        <v>490095450</v>
      </c>
      <c r="AS774" s="35" t="str">
        <f>+IF(Tabla4[[#This Row],[AGRUPACIONES]]=1,SUMIFS(Tabla4[VALOR TOTAL],Tabla4[ZONA DEFINITIVO],Tabla4[[#This Row],[ZONA DEFINITIVO]])," ")</f>
        <v xml:space="preserve"> </v>
      </c>
      <c r="AT774" s="27">
        <f>(VLOOKUP(Tabla4[[#This Row],[SERVICIO 2025]],$J$2:$V$14,3,0)*Tabla4[[#This Row],[TOTAL COBERTURA]])+Tabla4[[#This Row],[VALOR FASE PREPARATORIA DE ALISTAMIENTO]]+Tabla4[[#This Row],[DOTACIÓN ÚNICA]]</f>
        <v>69188067</v>
      </c>
      <c r="AU774" s="35">
        <f>(VLOOKUP(Tabla4[[#This Row],[SERVICIO 2025]],$J$2:$V$14,3,0)*Tabla4[[#This Row],[TOTAL COBERTURA]])</f>
        <v>58875336</v>
      </c>
      <c r="AV774" s="35">
        <f>(VLOOKUP(Tabla4[[#This Row],[SERVICIO 2025]],$J$2:$V$14,3,0)*Tabla4[[#This Row],[TOTAL COBERTURA]])</f>
        <v>58875336</v>
      </c>
      <c r="AW774" s="35">
        <f>(VLOOKUP(Tabla4[[#This Row],[SERVICIO 2025]],$J$2:$V$14,3,0)*Tabla4[[#This Row],[TOTAL COBERTURA]])</f>
        <v>58875336</v>
      </c>
      <c r="AX774" s="35">
        <f>(VLOOKUP(Tabla4[[#This Row],[SERVICIO 2025]],$J$2:$V$14,3,0)*Tabla4[[#This Row],[TOTAL COBERTURA]])</f>
        <v>58875336</v>
      </c>
      <c r="AY774" s="35">
        <f>(VLOOKUP(Tabla4[[#This Row],[SERVICIO 2025]],$J$2:$V$14,3,0)*Tabla4[[#This Row],[TOTAL COBERTURA]])</f>
        <v>58875336</v>
      </c>
      <c r="AZ774" s="35">
        <f>(VLOOKUP(Tabla4[[#This Row],[SERVICIO 2025]],$J$2:$V$14,3,0)*Tabla4[[#This Row],[TOTAL COBERTURA]])</f>
        <v>58875336</v>
      </c>
      <c r="BA774" s="35">
        <f>(VLOOKUP(Tabla4[[#This Row],[SERVICIO 2025]],$J$2:$V$14,3,0)*Tabla4[[#This Row],[TOTAL COBERTURA]])+Tabla4[[#This Row],[VALOR FASE PREPARATORIA DE CIERRE]]</f>
        <v>67655367</v>
      </c>
      <c r="BB774" s="35">
        <f>SUM(Tabla4[[#This Row],[DESEMBOLSO 1]:[DESEMBOLSO 8]])</f>
        <v>490095450</v>
      </c>
      <c r="BC774" s="35">
        <f>VLOOKUP(Tabla4[[#This Row],[SERVICIO 2025]],$J$2:$V$14,10,0)*Tabla4[[#This Row],[TOTAL COBERTURA]]*$W$3</f>
        <v>0</v>
      </c>
      <c r="BD774" s="47" t="s">
        <v>145</v>
      </c>
      <c r="BE774" s="12" t="b">
        <f>EXACT(Tabla4[[#This Row],[VALOR ATENCIÓN (8 MESES)]],Tabla4[[#This Row],[VALOR TOTAL]])</f>
        <v>1</v>
      </c>
      <c r="BF774" s="23">
        <f>Tabla4[[#This Row],[VALOR ATENCIÓN (8 MESES)]]-Tabla4[[#This Row],[VALOR TOTAL]]</f>
        <v>0</v>
      </c>
      <c r="BG774" s="12" t="b">
        <f>EXACT(Tabla4[[#This Row],[TOTAL DESEMBOLSOS]],Tabla4[[#This Row],[VALOR ATENCIÓN (8 MESES)]])</f>
        <v>1</v>
      </c>
      <c r="BH774" s="29">
        <f>Tabla4[[#This Row],[TOTAL DESEMBOLSOS]]-Tabla4[[#This Row],[VALOR ATENCIÓN (8 MESES)]]</f>
        <v>0</v>
      </c>
      <c r="BI774" t="s">
        <v>98</v>
      </c>
      <c r="BJ774">
        <v>1960</v>
      </c>
    </row>
    <row r="775" spans="1:62">
      <c r="A775" s="13">
        <v>1960</v>
      </c>
      <c r="B775" s="13" t="s">
        <v>1694</v>
      </c>
      <c r="C775" s="12" t="s">
        <v>87</v>
      </c>
      <c r="D775" s="12" t="s">
        <v>205</v>
      </c>
      <c r="E775" s="12" t="s">
        <v>1695</v>
      </c>
      <c r="F775" s="12" t="s">
        <v>14</v>
      </c>
      <c r="G775" s="12" t="s">
        <v>90</v>
      </c>
      <c r="H775" s="12" t="s">
        <v>1727</v>
      </c>
      <c r="I775" s="12">
        <v>536400130817</v>
      </c>
      <c r="J775" s="12" t="s">
        <v>1728</v>
      </c>
      <c r="K775" s="12">
        <v>1</v>
      </c>
      <c r="L775" s="12">
        <v>34</v>
      </c>
      <c r="M775" s="12"/>
      <c r="N775" s="13">
        <v>1960</v>
      </c>
      <c r="O775" s="12" t="s">
        <v>93</v>
      </c>
      <c r="P775" s="12"/>
      <c r="Q775" s="12"/>
      <c r="R775" s="12" t="s">
        <v>94</v>
      </c>
      <c r="S775" s="12">
        <v>10</v>
      </c>
      <c r="T775" s="12" t="s">
        <v>328</v>
      </c>
      <c r="U775" s="12" t="s">
        <v>329</v>
      </c>
      <c r="V775" s="12">
        <f>VLOOKUP(Tabla4[[#This Row],[ZONA DEFINITIVO]],Hoja1!$A$1:$D$121,3,0)</f>
        <v>229121</v>
      </c>
      <c r="W775" s="12">
        <f>VLOOKUP(Tabla4[[#This Row],[ZONA DEFINITIVO]],Hoja1!$A$1:$D$121,2,0)</f>
        <v>15203</v>
      </c>
      <c r="X775" s="12">
        <f>VLOOKUP(Tabla4[[#This Row],[ZONA DEFINITIVO]],Hoja1!$A$1:$D$121,4,0)</f>
        <v>91925</v>
      </c>
      <c r="Y775" s="12" t="str">
        <f>+IF(Tabla4[[#This Row],[AGRUPACIONES]]=1,SUMIFS(Tabla4[UDS],Tabla4[ZONA DEFINITIVO],Tabla4[[#This Row],[ZONA DEFINITIVO]])," ")</f>
        <v xml:space="preserve"> </v>
      </c>
      <c r="Z775" s="12" t="str">
        <f>+IF(Tabla4[[#This Row],[AGRUPACIONES]]=1,SUMIFS(Tabla4[TOTAL COBERTURA],Tabla4[ZONA DEFINITIVO],Tabla4[[#This Row],[ZONA DEFINITIVO]])," ")</f>
        <v xml:space="preserve"> </v>
      </c>
      <c r="AA775" s="12"/>
      <c r="AB775" s="38">
        <v>142420900</v>
      </c>
      <c r="AC775" s="37">
        <v>0.02</v>
      </c>
      <c r="AD775" s="38">
        <f t="shared" si="12"/>
        <v>2848418</v>
      </c>
      <c r="AE775" s="12"/>
      <c r="AF775" s="12">
        <f>COUNTIF($A$20:A775,A775)</f>
        <v>17</v>
      </c>
      <c r="AG775" s="38">
        <v>142420900</v>
      </c>
      <c r="AH775" s="38">
        <f>Tabla4[[#This Row],[VALOR CONTRAPARTIDA]]+Tabla4[[#This Row],[TOTAL APORTES ICBF]]</f>
        <v>145269318</v>
      </c>
      <c r="AI775" s="35"/>
      <c r="AJ775" s="38"/>
      <c r="AK775" s="38"/>
      <c r="AL775" s="23"/>
      <c r="AM775" s="35">
        <f>VLOOKUP(Tabla4[[#This Row],[SERVICIO 2025]],$J$2:$V$14,5,0)*Tabla4[[#This Row],[TOTAL COBERTURA]]</f>
        <v>2996862</v>
      </c>
      <c r="AN775" s="35">
        <f>VLOOKUP(Tabla4[[#This Row],[SERVICIO 2025]],$J$2:$V$14,6,0)*Tabla4[[#This Row],[TOTAL COBERTURA]]</f>
        <v>2551462</v>
      </c>
      <c r="AO775" s="35">
        <f>VLOOKUP(Tabla4[[#This Row],[SERVICIO 2025]],$J$2:$V$14,8,0)*Tabla4[[#This Row],[TOTAL COBERTURA]]</f>
        <v>0</v>
      </c>
      <c r="AP775" s="35">
        <f>VLOOKUP(Tabla4[[#This Row],[SERVICIO 2025]],$J$2:$V$14,3,0)*Tabla4[[#This Row],[TOTAL COBERTURA]]*8</f>
        <v>136872576</v>
      </c>
      <c r="AQ775" s="35"/>
      <c r="AR775" s="35">
        <f>Tabla4[[#This Row],[VALOR FASE PREPARATORIA DE ALISTAMIENTO]]+Tabla4[[#This Row],[VALOR FASE PREPARATORIA DE CIERRE]]+Tabla4[[#This Row],[DOTACIÓN ÚNICA]]+Tabla4[[#This Row],[VALOR ATENCIÓN]]+Tabla4[[#This Row],[VALOR RACION PREPARADA]]</f>
        <v>142420900</v>
      </c>
      <c r="AS775" s="35" t="str">
        <f>+IF(Tabla4[[#This Row],[AGRUPACIONES]]=1,SUMIFS(Tabla4[VALOR TOTAL],Tabla4[ZONA DEFINITIVO],Tabla4[[#This Row],[ZONA DEFINITIVO]])," ")</f>
        <v xml:space="preserve"> </v>
      </c>
      <c r="AT775" s="27">
        <f>(VLOOKUP(Tabla4[[#This Row],[SERVICIO 2025]],$J$2:$V$14,3,0)*Tabla4[[#This Row],[TOTAL COBERTURA]])+Tabla4[[#This Row],[VALOR FASE PREPARATORIA DE ALISTAMIENTO]]+Tabla4[[#This Row],[DOTACIÓN ÚNICA]]</f>
        <v>20105934</v>
      </c>
      <c r="AU775" s="35">
        <f>(VLOOKUP(Tabla4[[#This Row],[SERVICIO 2025]],$J$2:$V$14,3,0)*Tabla4[[#This Row],[TOTAL COBERTURA]])</f>
        <v>17109072</v>
      </c>
      <c r="AV775" s="35">
        <f>(VLOOKUP(Tabla4[[#This Row],[SERVICIO 2025]],$J$2:$V$14,3,0)*Tabla4[[#This Row],[TOTAL COBERTURA]])</f>
        <v>17109072</v>
      </c>
      <c r="AW775" s="35">
        <f>(VLOOKUP(Tabla4[[#This Row],[SERVICIO 2025]],$J$2:$V$14,3,0)*Tabla4[[#This Row],[TOTAL COBERTURA]])</f>
        <v>17109072</v>
      </c>
      <c r="AX775" s="35">
        <f>(VLOOKUP(Tabla4[[#This Row],[SERVICIO 2025]],$J$2:$V$14,3,0)*Tabla4[[#This Row],[TOTAL COBERTURA]])</f>
        <v>17109072</v>
      </c>
      <c r="AY775" s="35">
        <f>(VLOOKUP(Tabla4[[#This Row],[SERVICIO 2025]],$J$2:$V$14,3,0)*Tabla4[[#This Row],[TOTAL COBERTURA]])</f>
        <v>17109072</v>
      </c>
      <c r="AZ775" s="35">
        <f>(VLOOKUP(Tabla4[[#This Row],[SERVICIO 2025]],$J$2:$V$14,3,0)*Tabla4[[#This Row],[TOTAL COBERTURA]])</f>
        <v>17109072</v>
      </c>
      <c r="BA775" s="35">
        <f>(VLOOKUP(Tabla4[[#This Row],[SERVICIO 2025]],$J$2:$V$14,3,0)*Tabla4[[#This Row],[TOTAL COBERTURA]])+Tabla4[[#This Row],[VALOR FASE PREPARATORIA DE CIERRE]]</f>
        <v>19660534</v>
      </c>
      <c r="BB775" s="35">
        <f>SUM(Tabla4[[#This Row],[DESEMBOLSO 1]:[DESEMBOLSO 8]])</f>
        <v>142420900</v>
      </c>
      <c r="BC775" s="35">
        <f>VLOOKUP(Tabla4[[#This Row],[SERVICIO 2025]],$J$2:$V$14,10,0)*Tabla4[[#This Row],[TOTAL COBERTURA]]*$W$3</f>
        <v>0</v>
      </c>
      <c r="BD775" s="47" t="s">
        <v>145</v>
      </c>
      <c r="BE775" s="12" t="b">
        <f>EXACT(Tabla4[[#This Row],[VALOR ATENCIÓN (8 MESES)]],Tabla4[[#This Row],[VALOR TOTAL]])</f>
        <v>1</v>
      </c>
      <c r="BF775" s="23">
        <f>Tabla4[[#This Row],[VALOR ATENCIÓN (8 MESES)]]-Tabla4[[#This Row],[VALOR TOTAL]]</f>
        <v>0</v>
      </c>
      <c r="BG775" s="12" t="b">
        <f>EXACT(Tabla4[[#This Row],[TOTAL DESEMBOLSOS]],Tabla4[[#This Row],[VALOR ATENCIÓN (8 MESES)]])</f>
        <v>1</v>
      </c>
      <c r="BH775" s="29">
        <f>Tabla4[[#This Row],[TOTAL DESEMBOLSOS]]-Tabla4[[#This Row],[VALOR ATENCIÓN (8 MESES)]]</f>
        <v>0</v>
      </c>
      <c r="BI775" t="s">
        <v>98</v>
      </c>
      <c r="BJ775">
        <v>1960</v>
      </c>
    </row>
    <row r="776" spans="1:62">
      <c r="A776" s="13">
        <v>1961</v>
      </c>
      <c r="B776" s="13" t="s">
        <v>1729</v>
      </c>
      <c r="C776" s="12" t="s">
        <v>87</v>
      </c>
      <c r="D776" s="12" t="s">
        <v>527</v>
      </c>
      <c r="E776" s="12" t="s">
        <v>258</v>
      </c>
      <c r="F776" s="12" t="s">
        <v>15</v>
      </c>
      <c r="G776" s="12" t="s">
        <v>90</v>
      </c>
      <c r="H776" s="12" t="s">
        <v>1730</v>
      </c>
      <c r="I776" s="12">
        <v>53761121820</v>
      </c>
      <c r="J776" s="12" t="s">
        <v>1731</v>
      </c>
      <c r="K776" s="12">
        <v>1</v>
      </c>
      <c r="L776" s="12">
        <v>55</v>
      </c>
      <c r="M776" s="12"/>
      <c r="N776" s="13">
        <v>1961</v>
      </c>
      <c r="O776" s="12" t="s">
        <v>93</v>
      </c>
      <c r="P776" s="12"/>
      <c r="Q776" s="12"/>
      <c r="R776" s="12" t="s">
        <v>94</v>
      </c>
      <c r="S776" s="12">
        <v>10</v>
      </c>
      <c r="T776" s="12" t="s">
        <v>1732</v>
      </c>
      <c r="U776" s="12" t="s">
        <v>1733</v>
      </c>
      <c r="V776" s="12">
        <f>VLOOKUP(Tabla4[[#This Row],[ZONA DEFINITIVO]],Hoja1!$A$1:$D$121,3,0)</f>
        <v>229122</v>
      </c>
      <c r="W776" s="12">
        <f>VLOOKUP(Tabla4[[#This Row],[ZONA DEFINITIVO]],Hoja1!$A$1:$D$121,2,0)</f>
        <v>15229</v>
      </c>
      <c r="X776" s="12">
        <f>VLOOKUP(Tabla4[[#This Row],[ZONA DEFINITIVO]],Hoja1!$A$1:$D$121,4,0)</f>
        <v>83825</v>
      </c>
      <c r="Y776" s="12">
        <f>+IF(Tabla4[[#This Row],[AGRUPACIONES]]=1,SUMIFS(Tabla4[UDS],Tabla4[ZONA DEFINITIVO],Tabla4[[#This Row],[ZONA DEFINITIVO]])," ")</f>
        <v>5</v>
      </c>
      <c r="Z776" s="12">
        <f>+IF(Tabla4[[#This Row],[AGRUPACIONES]]=1,SUMIFS(Tabla4[TOTAL COBERTURA],Tabla4[ZONA DEFINITIVO],Tabla4[[#This Row],[ZONA DEFINITIVO]])," ")</f>
        <v>940</v>
      </c>
      <c r="AA776" s="12"/>
      <c r="AB776" s="38">
        <v>238117110</v>
      </c>
      <c r="AC776" s="37">
        <v>0.02</v>
      </c>
      <c r="AD776" s="38">
        <f t="shared" si="12"/>
        <v>4762342.2</v>
      </c>
      <c r="AE776" s="12"/>
      <c r="AF776" s="12">
        <f>COUNTIF($A$20:A776,A776)</f>
        <v>1</v>
      </c>
      <c r="AG776" s="38">
        <v>238117110</v>
      </c>
      <c r="AH776" s="38">
        <f>Tabla4[[#This Row],[VALOR CONTRAPARTIDA]]+Tabla4[[#This Row],[TOTAL APORTES ICBF]]</f>
        <v>242879452.19999999</v>
      </c>
      <c r="AI776" s="35">
        <f>ROUND(+IF(Tabla4[[#This Row],[AGRUPACIONES]]=1,SUMIFS(Tabla4[TOTAL APORTES ICBF],Tabla4[ZONA DEFINITIVO],Tabla4[[#This Row],[ZONA DEFINITIVO]])," "),0)</f>
        <v>3945249360</v>
      </c>
      <c r="AJ776" s="38">
        <f>ROUND(+IF(Tabla4[[#This Row],[AGRUPACIONES]]=1,SUMIFS(Tabla4[VALOR CONTRAPARTIDA],Tabla4[ZONA DEFINITIVO],Tabla4[[#This Row],[ZONA DEFINITIVO]])," "),0)</f>
        <v>78904987</v>
      </c>
      <c r="AK776" s="38">
        <f>Tabla4[[#This Row],[TOTAL APORTES ICBF AGRUPADO]]+Tabla4[[#This Row],[TOTAL CONTRAPARTIDA AGRUPADO]]</f>
        <v>4024154347</v>
      </c>
      <c r="AL776" s="23">
        <f>Tabla4[[#This Row],[TOTAL APORTES ICBF AGRUPADO]]/$AL$18</f>
        <v>2771.5134246575344</v>
      </c>
      <c r="AM776" s="35">
        <f>VLOOKUP(Tabla4[[#This Row],[SERVICIO 2025]],$J$2:$V$14,5,0)*Tabla4[[#This Row],[TOTAL COBERTURA]]</f>
        <v>4847865</v>
      </c>
      <c r="AN776" s="35">
        <f>VLOOKUP(Tabla4[[#This Row],[SERVICIO 2025]],$J$2:$V$14,6,0)*Tabla4[[#This Row],[TOTAL COBERTURA]]</f>
        <v>4127365</v>
      </c>
      <c r="AO776" s="35">
        <f>VLOOKUP(Tabla4[[#This Row],[SERVICIO 2025]],$J$2:$V$14,8,0)*Tabla4[[#This Row],[TOTAL COBERTURA]]</f>
        <v>0</v>
      </c>
      <c r="AP776" s="35">
        <f>VLOOKUP(Tabla4[[#This Row],[SERVICIO 2025]],$J$2:$V$14,3,0)*Tabla4[[#This Row],[TOTAL COBERTURA]]*8</f>
        <v>229141880</v>
      </c>
      <c r="AQ776" s="35"/>
      <c r="AR776" s="35">
        <f>Tabla4[[#This Row],[VALOR FASE PREPARATORIA DE ALISTAMIENTO]]+Tabla4[[#This Row],[VALOR FASE PREPARATORIA DE CIERRE]]+Tabla4[[#This Row],[DOTACIÓN ÚNICA]]+Tabla4[[#This Row],[VALOR ATENCIÓN]]+Tabla4[[#This Row],[VALOR RACION PREPARADA]]</f>
        <v>238117110</v>
      </c>
      <c r="AS776" s="35">
        <f>+IF(Tabla4[[#This Row],[AGRUPACIONES]]=1,SUMIFS(Tabla4[VALOR TOTAL],Tabla4[ZONA DEFINITIVO],Tabla4[[#This Row],[ZONA DEFINITIVO]])," ")</f>
        <v>3945249360</v>
      </c>
      <c r="AT776" s="27">
        <f>(VLOOKUP(Tabla4[[#This Row],[SERVICIO 2025]],$J$2:$V$14,3,0)*Tabla4[[#This Row],[TOTAL COBERTURA]])+Tabla4[[#This Row],[VALOR FASE PREPARATORIA DE ALISTAMIENTO]]+Tabla4[[#This Row],[DOTACIÓN ÚNICA]]</f>
        <v>33490600</v>
      </c>
      <c r="AU776" s="35">
        <f>(VLOOKUP(Tabla4[[#This Row],[SERVICIO 2025]],$J$2:$V$14,3,0)*Tabla4[[#This Row],[TOTAL COBERTURA]])</f>
        <v>28642735</v>
      </c>
      <c r="AV776" s="35">
        <f>(VLOOKUP(Tabla4[[#This Row],[SERVICIO 2025]],$J$2:$V$14,3,0)*Tabla4[[#This Row],[TOTAL COBERTURA]])</f>
        <v>28642735</v>
      </c>
      <c r="AW776" s="35">
        <f>(VLOOKUP(Tabla4[[#This Row],[SERVICIO 2025]],$J$2:$V$14,3,0)*Tabla4[[#This Row],[TOTAL COBERTURA]])</f>
        <v>28642735</v>
      </c>
      <c r="AX776" s="35">
        <f>(VLOOKUP(Tabla4[[#This Row],[SERVICIO 2025]],$J$2:$V$14,3,0)*Tabla4[[#This Row],[TOTAL COBERTURA]])</f>
        <v>28642735</v>
      </c>
      <c r="AY776" s="35">
        <f>(VLOOKUP(Tabla4[[#This Row],[SERVICIO 2025]],$J$2:$V$14,3,0)*Tabla4[[#This Row],[TOTAL COBERTURA]])</f>
        <v>28642735</v>
      </c>
      <c r="AZ776" s="35">
        <f>(VLOOKUP(Tabla4[[#This Row],[SERVICIO 2025]],$J$2:$V$14,3,0)*Tabla4[[#This Row],[TOTAL COBERTURA]])</f>
        <v>28642735</v>
      </c>
      <c r="BA776" s="35">
        <f>(VLOOKUP(Tabla4[[#This Row],[SERVICIO 2025]],$J$2:$V$14,3,0)*Tabla4[[#This Row],[TOTAL COBERTURA]])+Tabla4[[#This Row],[VALOR FASE PREPARATORIA DE CIERRE]]</f>
        <v>32770100</v>
      </c>
      <c r="BB776" s="35">
        <f>SUM(Tabla4[[#This Row],[DESEMBOLSO 1]:[DESEMBOLSO 8]])</f>
        <v>238117110</v>
      </c>
      <c r="BC776" s="35">
        <f>VLOOKUP(Tabla4[[#This Row],[SERVICIO 2025]],$J$2:$V$14,10,0)*Tabla4[[#This Row],[TOTAL COBERTURA]]*$W$3</f>
        <v>0</v>
      </c>
      <c r="BD776" s="47" t="s">
        <v>145</v>
      </c>
      <c r="BE776" s="12" t="b">
        <f>EXACT(Tabla4[[#This Row],[VALOR ATENCIÓN (8 MESES)]],Tabla4[[#This Row],[VALOR TOTAL]])</f>
        <v>1</v>
      </c>
      <c r="BF776" s="23">
        <f>Tabla4[[#This Row],[VALOR ATENCIÓN (8 MESES)]]-Tabla4[[#This Row],[VALOR TOTAL]]</f>
        <v>0</v>
      </c>
      <c r="BG776" s="12" t="b">
        <f>EXACT(Tabla4[[#This Row],[TOTAL DESEMBOLSOS]],Tabla4[[#This Row],[VALOR ATENCIÓN (8 MESES)]])</f>
        <v>1</v>
      </c>
      <c r="BH776" s="29">
        <f>Tabla4[[#This Row],[TOTAL DESEMBOLSOS]]-Tabla4[[#This Row],[VALOR ATENCIÓN (8 MESES)]]</f>
        <v>0</v>
      </c>
      <c r="BI776" t="s">
        <v>98</v>
      </c>
    </row>
    <row r="777" spans="1:62">
      <c r="A777" s="13">
        <v>1961</v>
      </c>
      <c r="B777" s="13" t="s">
        <v>1729</v>
      </c>
      <c r="C777" s="12" t="s">
        <v>87</v>
      </c>
      <c r="D777" s="12" t="s">
        <v>527</v>
      </c>
      <c r="E777" s="12" t="s">
        <v>258</v>
      </c>
      <c r="F777" s="12" t="s">
        <v>14</v>
      </c>
      <c r="G777" s="12" t="s">
        <v>90</v>
      </c>
      <c r="H777" s="12" t="s">
        <v>1734</v>
      </c>
      <c r="I777" s="12">
        <v>53761151497</v>
      </c>
      <c r="J777" s="12" t="s">
        <v>1735</v>
      </c>
      <c r="K777" s="12">
        <v>1</v>
      </c>
      <c r="L777" s="12">
        <v>320</v>
      </c>
      <c r="M777" s="12"/>
      <c r="N777" s="13">
        <v>1961</v>
      </c>
      <c r="O777" s="12" t="s">
        <v>93</v>
      </c>
      <c r="P777" s="12"/>
      <c r="Q777" s="12"/>
      <c r="R777" s="12" t="s">
        <v>94</v>
      </c>
      <c r="S777" s="12">
        <v>10</v>
      </c>
      <c r="T777" s="12" t="s">
        <v>1732</v>
      </c>
      <c r="U777" s="12" t="s">
        <v>1733</v>
      </c>
      <c r="V777" s="12">
        <f>VLOOKUP(Tabla4[[#This Row],[ZONA DEFINITIVO]],Hoja1!$A$1:$D$121,3,0)</f>
        <v>229122</v>
      </c>
      <c r="W777" s="12">
        <f>VLOOKUP(Tabla4[[#This Row],[ZONA DEFINITIVO]],Hoja1!$A$1:$D$121,2,0)</f>
        <v>15229</v>
      </c>
      <c r="X777" s="12">
        <f>VLOOKUP(Tabla4[[#This Row],[ZONA DEFINITIVO]],Hoja1!$A$1:$D$121,4,0)</f>
        <v>83825</v>
      </c>
      <c r="Y777" s="12" t="str">
        <f>+IF(Tabla4[[#This Row],[AGRUPACIONES]]=1,SUMIFS(Tabla4[UDS],Tabla4[ZONA DEFINITIVO],Tabla4[[#This Row],[ZONA DEFINITIVO]])," ")</f>
        <v xml:space="preserve"> </v>
      </c>
      <c r="Z777" s="12" t="str">
        <f>+IF(Tabla4[[#This Row],[AGRUPACIONES]]=1,SUMIFS(Tabla4[TOTAL COBERTURA],Tabla4[ZONA DEFINITIVO],Tabla4[[#This Row],[ZONA DEFINITIVO]])," ")</f>
        <v xml:space="preserve"> </v>
      </c>
      <c r="AA777" s="12"/>
      <c r="AB777" s="38">
        <v>1340432000</v>
      </c>
      <c r="AC777" s="37">
        <v>0.02</v>
      </c>
      <c r="AD777" s="38">
        <f t="shared" si="12"/>
        <v>26808640</v>
      </c>
      <c r="AE777" s="12"/>
      <c r="AF777" s="12">
        <f>COUNTIF($A$20:A777,A777)</f>
        <v>2</v>
      </c>
      <c r="AG777" s="38">
        <v>1340432000</v>
      </c>
      <c r="AH777" s="38">
        <f>Tabla4[[#This Row],[VALOR CONTRAPARTIDA]]+Tabla4[[#This Row],[TOTAL APORTES ICBF]]</f>
        <v>1367240640</v>
      </c>
      <c r="AI777" s="35"/>
      <c r="AJ777" s="38"/>
      <c r="AK777" s="38"/>
      <c r="AL777" s="23"/>
      <c r="AM777" s="35">
        <f>VLOOKUP(Tabla4[[#This Row],[SERVICIO 2025]],$J$2:$V$14,5,0)*Tabla4[[#This Row],[TOTAL COBERTURA]]</f>
        <v>28205760</v>
      </c>
      <c r="AN777" s="35">
        <f>VLOOKUP(Tabla4[[#This Row],[SERVICIO 2025]],$J$2:$V$14,6,0)*Tabla4[[#This Row],[TOTAL COBERTURA]]</f>
        <v>24013760</v>
      </c>
      <c r="AO777" s="35">
        <f>VLOOKUP(Tabla4[[#This Row],[SERVICIO 2025]],$J$2:$V$14,8,0)*Tabla4[[#This Row],[TOTAL COBERTURA]]</f>
        <v>0</v>
      </c>
      <c r="AP777" s="35">
        <f>VLOOKUP(Tabla4[[#This Row],[SERVICIO 2025]],$J$2:$V$14,3,0)*Tabla4[[#This Row],[TOTAL COBERTURA]]*8</f>
        <v>1288212480</v>
      </c>
      <c r="AQ777" s="35"/>
      <c r="AR777" s="35">
        <f>Tabla4[[#This Row],[VALOR FASE PREPARATORIA DE ALISTAMIENTO]]+Tabla4[[#This Row],[VALOR FASE PREPARATORIA DE CIERRE]]+Tabla4[[#This Row],[DOTACIÓN ÚNICA]]+Tabla4[[#This Row],[VALOR ATENCIÓN]]+Tabla4[[#This Row],[VALOR RACION PREPARADA]]</f>
        <v>1340432000</v>
      </c>
      <c r="AS777" s="35" t="str">
        <f>+IF(Tabla4[[#This Row],[AGRUPACIONES]]=1,SUMIFS(Tabla4[VALOR TOTAL],Tabla4[ZONA DEFINITIVO],Tabla4[[#This Row],[ZONA DEFINITIVO]])," ")</f>
        <v xml:space="preserve"> </v>
      </c>
      <c r="AT777" s="27">
        <f>(VLOOKUP(Tabla4[[#This Row],[SERVICIO 2025]],$J$2:$V$14,3,0)*Tabla4[[#This Row],[TOTAL COBERTURA]])+Tabla4[[#This Row],[VALOR FASE PREPARATORIA DE ALISTAMIENTO]]+Tabla4[[#This Row],[DOTACIÓN ÚNICA]]</f>
        <v>189232320</v>
      </c>
      <c r="AU777" s="35">
        <f>(VLOOKUP(Tabla4[[#This Row],[SERVICIO 2025]],$J$2:$V$14,3,0)*Tabla4[[#This Row],[TOTAL COBERTURA]])</f>
        <v>161026560</v>
      </c>
      <c r="AV777" s="35">
        <f>(VLOOKUP(Tabla4[[#This Row],[SERVICIO 2025]],$J$2:$V$14,3,0)*Tabla4[[#This Row],[TOTAL COBERTURA]])</f>
        <v>161026560</v>
      </c>
      <c r="AW777" s="35">
        <f>(VLOOKUP(Tabla4[[#This Row],[SERVICIO 2025]],$J$2:$V$14,3,0)*Tabla4[[#This Row],[TOTAL COBERTURA]])</f>
        <v>161026560</v>
      </c>
      <c r="AX777" s="35">
        <f>(VLOOKUP(Tabla4[[#This Row],[SERVICIO 2025]],$J$2:$V$14,3,0)*Tabla4[[#This Row],[TOTAL COBERTURA]])</f>
        <v>161026560</v>
      </c>
      <c r="AY777" s="35">
        <f>(VLOOKUP(Tabla4[[#This Row],[SERVICIO 2025]],$J$2:$V$14,3,0)*Tabla4[[#This Row],[TOTAL COBERTURA]])</f>
        <v>161026560</v>
      </c>
      <c r="AZ777" s="35">
        <f>(VLOOKUP(Tabla4[[#This Row],[SERVICIO 2025]],$J$2:$V$14,3,0)*Tabla4[[#This Row],[TOTAL COBERTURA]])</f>
        <v>161026560</v>
      </c>
      <c r="BA777" s="35">
        <f>(VLOOKUP(Tabla4[[#This Row],[SERVICIO 2025]],$J$2:$V$14,3,0)*Tabla4[[#This Row],[TOTAL COBERTURA]])+Tabla4[[#This Row],[VALOR FASE PREPARATORIA DE CIERRE]]</f>
        <v>185040320</v>
      </c>
      <c r="BB777" s="35">
        <f>SUM(Tabla4[[#This Row],[DESEMBOLSO 1]:[DESEMBOLSO 8]])</f>
        <v>1340432000</v>
      </c>
      <c r="BC777" s="35">
        <f>VLOOKUP(Tabla4[[#This Row],[SERVICIO 2025]],$J$2:$V$14,10,0)*Tabla4[[#This Row],[TOTAL COBERTURA]]*$W$3</f>
        <v>0</v>
      </c>
      <c r="BD777" s="47" t="s">
        <v>145</v>
      </c>
      <c r="BE777" s="12" t="b">
        <f>EXACT(Tabla4[[#This Row],[VALOR ATENCIÓN (8 MESES)]],Tabla4[[#This Row],[VALOR TOTAL]])</f>
        <v>1</v>
      </c>
      <c r="BF777" s="23">
        <f>Tabla4[[#This Row],[VALOR ATENCIÓN (8 MESES)]]-Tabla4[[#This Row],[VALOR TOTAL]]</f>
        <v>0</v>
      </c>
      <c r="BG777" s="12" t="b">
        <f>EXACT(Tabla4[[#This Row],[TOTAL DESEMBOLSOS]],Tabla4[[#This Row],[VALOR ATENCIÓN (8 MESES)]])</f>
        <v>1</v>
      </c>
      <c r="BH777" s="29">
        <f>Tabla4[[#This Row],[TOTAL DESEMBOLSOS]]-Tabla4[[#This Row],[VALOR ATENCIÓN (8 MESES)]]</f>
        <v>0</v>
      </c>
      <c r="BI777" t="s">
        <v>98</v>
      </c>
    </row>
    <row r="778" spans="1:62">
      <c r="A778" s="13">
        <v>1961</v>
      </c>
      <c r="B778" s="13" t="s">
        <v>1729</v>
      </c>
      <c r="C778" s="12" t="s">
        <v>87</v>
      </c>
      <c r="D778" s="12" t="s">
        <v>527</v>
      </c>
      <c r="E778" s="12" t="s">
        <v>258</v>
      </c>
      <c r="F778" s="12" t="s">
        <v>14</v>
      </c>
      <c r="G778" s="12" t="s">
        <v>90</v>
      </c>
      <c r="H778" s="12" t="s">
        <v>1736</v>
      </c>
      <c r="I778" s="12">
        <v>537600080586</v>
      </c>
      <c r="J778" s="12" t="s">
        <v>1737</v>
      </c>
      <c r="K778" s="12">
        <v>1</v>
      </c>
      <c r="L778" s="12">
        <v>257</v>
      </c>
      <c r="M778" s="12"/>
      <c r="N778" s="13">
        <v>1961</v>
      </c>
      <c r="O778" s="12" t="s">
        <v>93</v>
      </c>
      <c r="P778" s="12"/>
      <c r="Q778" s="12"/>
      <c r="R778" s="12" t="s">
        <v>94</v>
      </c>
      <c r="S778" s="12">
        <v>10</v>
      </c>
      <c r="T778" s="12" t="s">
        <v>1732</v>
      </c>
      <c r="U778" s="12" t="s">
        <v>1733</v>
      </c>
      <c r="V778" s="12">
        <f>VLOOKUP(Tabla4[[#This Row],[ZONA DEFINITIVO]],Hoja1!$A$1:$D$121,3,0)</f>
        <v>229122</v>
      </c>
      <c r="W778" s="12">
        <f>VLOOKUP(Tabla4[[#This Row],[ZONA DEFINITIVO]],Hoja1!$A$1:$D$121,2,0)</f>
        <v>15229</v>
      </c>
      <c r="X778" s="12">
        <f>VLOOKUP(Tabla4[[#This Row],[ZONA DEFINITIVO]],Hoja1!$A$1:$D$121,4,0)</f>
        <v>83825</v>
      </c>
      <c r="Y778" s="12" t="str">
        <f>+IF(Tabla4[[#This Row],[AGRUPACIONES]]=1,SUMIFS(Tabla4[UDS],Tabla4[ZONA DEFINITIVO],Tabla4[[#This Row],[ZONA DEFINITIVO]])," ")</f>
        <v xml:space="preserve"> </v>
      </c>
      <c r="Z778" s="12" t="str">
        <f>+IF(Tabla4[[#This Row],[AGRUPACIONES]]=1,SUMIFS(Tabla4[TOTAL COBERTURA],Tabla4[ZONA DEFINITIVO],Tabla4[[#This Row],[ZONA DEFINITIVO]])," ")</f>
        <v xml:space="preserve"> </v>
      </c>
      <c r="AA778" s="12"/>
      <c r="AB778" s="38">
        <v>1076534450</v>
      </c>
      <c r="AC778" s="37">
        <v>0.02</v>
      </c>
      <c r="AD778" s="38">
        <f t="shared" si="12"/>
        <v>21530689</v>
      </c>
      <c r="AE778" s="12"/>
      <c r="AF778" s="12">
        <f>COUNTIF($A$20:A778,A778)</f>
        <v>3</v>
      </c>
      <c r="AG778" s="38">
        <v>1076534450</v>
      </c>
      <c r="AH778" s="38">
        <f>Tabla4[[#This Row],[VALOR CONTRAPARTIDA]]+Tabla4[[#This Row],[TOTAL APORTES ICBF]]</f>
        <v>1098065139</v>
      </c>
      <c r="AI778" s="35"/>
      <c r="AJ778" s="38"/>
      <c r="AK778" s="38"/>
      <c r="AL778" s="23"/>
      <c r="AM778" s="35">
        <f>VLOOKUP(Tabla4[[#This Row],[SERVICIO 2025]],$J$2:$V$14,5,0)*Tabla4[[#This Row],[TOTAL COBERTURA]]</f>
        <v>22652751</v>
      </c>
      <c r="AN778" s="35">
        <f>VLOOKUP(Tabla4[[#This Row],[SERVICIO 2025]],$J$2:$V$14,6,0)*Tabla4[[#This Row],[TOTAL COBERTURA]]</f>
        <v>19286051</v>
      </c>
      <c r="AO778" s="35">
        <f>VLOOKUP(Tabla4[[#This Row],[SERVICIO 2025]],$J$2:$V$14,8,0)*Tabla4[[#This Row],[TOTAL COBERTURA]]</f>
        <v>0</v>
      </c>
      <c r="AP778" s="35">
        <f>VLOOKUP(Tabla4[[#This Row],[SERVICIO 2025]],$J$2:$V$14,3,0)*Tabla4[[#This Row],[TOTAL COBERTURA]]*8</f>
        <v>1034595648</v>
      </c>
      <c r="AQ778" s="35"/>
      <c r="AR778" s="35">
        <f>Tabla4[[#This Row],[VALOR FASE PREPARATORIA DE ALISTAMIENTO]]+Tabla4[[#This Row],[VALOR FASE PREPARATORIA DE CIERRE]]+Tabla4[[#This Row],[DOTACIÓN ÚNICA]]+Tabla4[[#This Row],[VALOR ATENCIÓN]]+Tabla4[[#This Row],[VALOR RACION PREPARADA]]</f>
        <v>1076534450</v>
      </c>
      <c r="AS778" s="35" t="str">
        <f>+IF(Tabla4[[#This Row],[AGRUPACIONES]]=1,SUMIFS(Tabla4[VALOR TOTAL],Tabla4[ZONA DEFINITIVO],Tabla4[[#This Row],[ZONA DEFINITIVO]])," ")</f>
        <v xml:space="preserve"> </v>
      </c>
      <c r="AT778" s="27">
        <f>(VLOOKUP(Tabla4[[#This Row],[SERVICIO 2025]],$J$2:$V$14,3,0)*Tabla4[[#This Row],[TOTAL COBERTURA]])+Tabla4[[#This Row],[VALOR FASE PREPARATORIA DE ALISTAMIENTO]]+Tabla4[[#This Row],[DOTACIÓN ÚNICA]]</f>
        <v>151977207</v>
      </c>
      <c r="AU778" s="35">
        <f>(VLOOKUP(Tabla4[[#This Row],[SERVICIO 2025]],$J$2:$V$14,3,0)*Tabla4[[#This Row],[TOTAL COBERTURA]])</f>
        <v>129324456</v>
      </c>
      <c r="AV778" s="35">
        <f>(VLOOKUP(Tabla4[[#This Row],[SERVICIO 2025]],$J$2:$V$14,3,0)*Tabla4[[#This Row],[TOTAL COBERTURA]])</f>
        <v>129324456</v>
      </c>
      <c r="AW778" s="35">
        <f>(VLOOKUP(Tabla4[[#This Row],[SERVICIO 2025]],$J$2:$V$14,3,0)*Tabla4[[#This Row],[TOTAL COBERTURA]])</f>
        <v>129324456</v>
      </c>
      <c r="AX778" s="35">
        <f>(VLOOKUP(Tabla4[[#This Row],[SERVICIO 2025]],$J$2:$V$14,3,0)*Tabla4[[#This Row],[TOTAL COBERTURA]])</f>
        <v>129324456</v>
      </c>
      <c r="AY778" s="35">
        <f>(VLOOKUP(Tabla4[[#This Row],[SERVICIO 2025]],$J$2:$V$14,3,0)*Tabla4[[#This Row],[TOTAL COBERTURA]])</f>
        <v>129324456</v>
      </c>
      <c r="AZ778" s="35">
        <f>(VLOOKUP(Tabla4[[#This Row],[SERVICIO 2025]],$J$2:$V$14,3,0)*Tabla4[[#This Row],[TOTAL COBERTURA]])</f>
        <v>129324456</v>
      </c>
      <c r="BA778" s="35">
        <f>(VLOOKUP(Tabla4[[#This Row],[SERVICIO 2025]],$J$2:$V$14,3,0)*Tabla4[[#This Row],[TOTAL COBERTURA]])+Tabla4[[#This Row],[VALOR FASE PREPARATORIA DE CIERRE]]</f>
        <v>148610507</v>
      </c>
      <c r="BB778" s="35">
        <f>SUM(Tabla4[[#This Row],[DESEMBOLSO 1]:[DESEMBOLSO 8]])</f>
        <v>1076534450</v>
      </c>
      <c r="BC778" s="35">
        <f>VLOOKUP(Tabla4[[#This Row],[SERVICIO 2025]],$J$2:$V$14,10,0)*Tabla4[[#This Row],[TOTAL COBERTURA]]*$W$3</f>
        <v>0</v>
      </c>
      <c r="BD778" s="47" t="s">
        <v>145</v>
      </c>
      <c r="BE778" s="12" t="b">
        <f>EXACT(Tabla4[[#This Row],[VALOR ATENCIÓN (8 MESES)]],Tabla4[[#This Row],[VALOR TOTAL]])</f>
        <v>1</v>
      </c>
      <c r="BF778" s="23">
        <f>Tabla4[[#This Row],[VALOR ATENCIÓN (8 MESES)]]-Tabla4[[#This Row],[VALOR TOTAL]]</f>
        <v>0</v>
      </c>
      <c r="BG778" s="12" t="b">
        <f>EXACT(Tabla4[[#This Row],[TOTAL DESEMBOLSOS]],Tabla4[[#This Row],[VALOR ATENCIÓN (8 MESES)]])</f>
        <v>1</v>
      </c>
      <c r="BH778" s="29">
        <f>Tabla4[[#This Row],[TOTAL DESEMBOLSOS]]-Tabla4[[#This Row],[VALOR ATENCIÓN (8 MESES)]]</f>
        <v>0</v>
      </c>
      <c r="BI778" t="s">
        <v>98</v>
      </c>
    </row>
    <row r="779" spans="1:62">
      <c r="A779" s="13">
        <v>1961</v>
      </c>
      <c r="B779" s="13" t="s">
        <v>1729</v>
      </c>
      <c r="C779" s="12" t="s">
        <v>87</v>
      </c>
      <c r="D779" s="12" t="s">
        <v>527</v>
      </c>
      <c r="E779" s="12" t="s">
        <v>258</v>
      </c>
      <c r="F779" s="12" t="s">
        <v>14</v>
      </c>
      <c r="G779" s="12" t="s">
        <v>90</v>
      </c>
      <c r="H779" s="12" t="s">
        <v>1738</v>
      </c>
      <c r="I779" s="12">
        <v>537600113009</v>
      </c>
      <c r="J779" s="12" t="s">
        <v>1739</v>
      </c>
      <c r="K779" s="12">
        <v>1</v>
      </c>
      <c r="L779" s="12">
        <v>60</v>
      </c>
      <c r="M779" s="12"/>
      <c r="N779" s="13">
        <v>1961</v>
      </c>
      <c r="O779" s="12" t="s">
        <v>93</v>
      </c>
      <c r="P779" s="12"/>
      <c r="Q779" s="12"/>
      <c r="R779" s="12" t="s">
        <v>94</v>
      </c>
      <c r="S779" s="12">
        <v>10</v>
      </c>
      <c r="T779" s="12" t="s">
        <v>1732</v>
      </c>
      <c r="U779" s="12" t="s">
        <v>1733</v>
      </c>
      <c r="V779" s="12">
        <f>VLOOKUP(Tabla4[[#This Row],[ZONA DEFINITIVO]],Hoja1!$A$1:$D$121,3,0)</f>
        <v>229122</v>
      </c>
      <c r="W779" s="12">
        <f>VLOOKUP(Tabla4[[#This Row],[ZONA DEFINITIVO]],Hoja1!$A$1:$D$121,2,0)</f>
        <v>15229</v>
      </c>
      <c r="X779" s="12">
        <f>VLOOKUP(Tabla4[[#This Row],[ZONA DEFINITIVO]],Hoja1!$A$1:$D$121,4,0)</f>
        <v>83825</v>
      </c>
      <c r="Y779" s="12" t="str">
        <f>+IF(Tabla4[[#This Row],[AGRUPACIONES]]=1,SUMIFS(Tabla4[UDS],Tabla4[ZONA DEFINITIVO],Tabla4[[#This Row],[ZONA DEFINITIVO]])," ")</f>
        <v xml:space="preserve"> </v>
      </c>
      <c r="Z779" s="12" t="str">
        <f>+IF(Tabla4[[#This Row],[AGRUPACIONES]]=1,SUMIFS(Tabla4[TOTAL COBERTURA],Tabla4[ZONA DEFINITIVO],Tabla4[[#This Row],[ZONA DEFINITIVO]])," ")</f>
        <v xml:space="preserve"> </v>
      </c>
      <c r="AA779" s="12"/>
      <c r="AB779" s="38">
        <v>251331000</v>
      </c>
      <c r="AC779" s="37">
        <v>0.02</v>
      </c>
      <c r="AD779" s="38">
        <f t="shared" si="12"/>
        <v>5026620</v>
      </c>
      <c r="AE779" s="12"/>
      <c r="AF779" s="12">
        <f>COUNTIF($A$20:A779,A779)</f>
        <v>4</v>
      </c>
      <c r="AG779" s="38">
        <v>251331000</v>
      </c>
      <c r="AH779" s="38">
        <f>Tabla4[[#This Row],[VALOR CONTRAPARTIDA]]+Tabla4[[#This Row],[TOTAL APORTES ICBF]]</f>
        <v>256357620</v>
      </c>
      <c r="AI779" s="35"/>
      <c r="AJ779" s="38"/>
      <c r="AK779" s="38"/>
      <c r="AL779" s="23"/>
      <c r="AM779" s="35">
        <f>VLOOKUP(Tabla4[[#This Row],[SERVICIO 2025]],$J$2:$V$14,5,0)*Tabla4[[#This Row],[TOTAL COBERTURA]]</f>
        <v>5288580</v>
      </c>
      <c r="AN779" s="35">
        <f>VLOOKUP(Tabla4[[#This Row],[SERVICIO 2025]],$J$2:$V$14,6,0)*Tabla4[[#This Row],[TOTAL COBERTURA]]</f>
        <v>4502580</v>
      </c>
      <c r="AO779" s="35">
        <f>VLOOKUP(Tabla4[[#This Row],[SERVICIO 2025]],$J$2:$V$14,8,0)*Tabla4[[#This Row],[TOTAL COBERTURA]]</f>
        <v>0</v>
      </c>
      <c r="AP779" s="35">
        <f>VLOOKUP(Tabla4[[#This Row],[SERVICIO 2025]],$J$2:$V$14,3,0)*Tabla4[[#This Row],[TOTAL COBERTURA]]*8</f>
        <v>241539840</v>
      </c>
      <c r="AQ779" s="35"/>
      <c r="AR779" s="35">
        <f>Tabla4[[#This Row],[VALOR FASE PREPARATORIA DE ALISTAMIENTO]]+Tabla4[[#This Row],[VALOR FASE PREPARATORIA DE CIERRE]]+Tabla4[[#This Row],[DOTACIÓN ÚNICA]]+Tabla4[[#This Row],[VALOR ATENCIÓN]]+Tabla4[[#This Row],[VALOR RACION PREPARADA]]</f>
        <v>251331000</v>
      </c>
      <c r="AS779" s="35" t="str">
        <f>+IF(Tabla4[[#This Row],[AGRUPACIONES]]=1,SUMIFS(Tabla4[VALOR TOTAL],Tabla4[ZONA DEFINITIVO],Tabla4[[#This Row],[ZONA DEFINITIVO]])," ")</f>
        <v xml:space="preserve"> </v>
      </c>
      <c r="AT779" s="27">
        <f>(VLOOKUP(Tabla4[[#This Row],[SERVICIO 2025]],$J$2:$V$14,3,0)*Tabla4[[#This Row],[TOTAL COBERTURA]])+Tabla4[[#This Row],[VALOR FASE PREPARATORIA DE ALISTAMIENTO]]+Tabla4[[#This Row],[DOTACIÓN ÚNICA]]</f>
        <v>35481060</v>
      </c>
      <c r="AU779" s="35">
        <f>(VLOOKUP(Tabla4[[#This Row],[SERVICIO 2025]],$J$2:$V$14,3,0)*Tabla4[[#This Row],[TOTAL COBERTURA]])</f>
        <v>30192480</v>
      </c>
      <c r="AV779" s="35">
        <f>(VLOOKUP(Tabla4[[#This Row],[SERVICIO 2025]],$J$2:$V$14,3,0)*Tabla4[[#This Row],[TOTAL COBERTURA]])</f>
        <v>30192480</v>
      </c>
      <c r="AW779" s="35">
        <f>(VLOOKUP(Tabla4[[#This Row],[SERVICIO 2025]],$J$2:$V$14,3,0)*Tabla4[[#This Row],[TOTAL COBERTURA]])</f>
        <v>30192480</v>
      </c>
      <c r="AX779" s="35">
        <f>(VLOOKUP(Tabla4[[#This Row],[SERVICIO 2025]],$J$2:$V$14,3,0)*Tabla4[[#This Row],[TOTAL COBERTURA]])</f>
        <v>30192480</v>
      </c>
      <c r="AY779" s="35">
        <f>(VLOOKUP(Tabla4[[#This Row],[SERVICIO 2025]],$J$2:$V$14,3,0)*Tabla4[[#This Row],[TOTAL COBERTURA]])</f>
        <v>30192480</v>
      </c>
      <c r="AZ779" s="35">
        <f>(VLOOKUP(Tabla4[[#This Row],[SERVICIO 2025]],$J$2:$V$14,3,0)*Tabla4[[#This Row],[TOTAL COBERTURA]])</f>
        <v>30192480</v>
      </c>
      <c r="BA779" s="35">
        <f>(VLOOKUP(Tabla4[[#This Row],[SERVICIO 2025]],$J$2:$V$14,3,0)*Tabla4[[#This Row],[TOTAL COBERTURA]])+Tabla4[[#This Row],[VALOR FASE PREPARATORIA DE CIERRE]]</f>
        <v>34695060</v>
      </c>
      <c r="BB779" s="35">
        <f>SUM(Tabla4[[#This Row],[DESEMBOLSO 1]:[DESEMBOLSO 8]])</f>
        <v>251331000</v>
      </c>
      <c r="BC779" s="35">
        <f>VLOOKUP(Tabla4[[#This Row],[SERVICIO 2025]],$J$2:$V$14,10,0)*Tabla4[[#This Row],[TOTAL COBERTURA]]*$W$3</f>
        <v>0</v>
      </c>
      <c r="BD779" s="47" t="s">
        <v>145</v>
      </c>
      <c r="BE779" s="12" t="b">
        <f>EXACT(Tabla4[[#This Row],[VALOR ATENCIÓN (8 MESES)]],Tabla4[[#This Row],[VALOR TOTAL]])</f>
        <v>1</v>
      </c>
      <c r="BF779" s="23">
        <f>Tabla4[[#This Row],[VALOR ATENCIÓN (8 MESES)]]-Tabla4[[#This Row],[VALOR TOTAL]]</f>
        <v>0</v>
      </c>
      <c r="BG779" s="12" t="b">
        <f>EXACT(Tabla4[[#This Row],[TOTAL DESEMBOLSOS]],Tabla4[[#This Row],[VALOR ATENCIÓN (8 MESES)]])</f>
        <v>1</v>
      </c>
      <c r="BH779" s="29">
        <f>Tabla4[[#This Row],[TOTAL DESEMBOLSOS]]-Tabla4[[#This Row],[VALOR ATENCIÓN (8 MESES)]]</f>
        <v>0</v>
      </c>
      <c r="BI779" t="s">
        <v>98</v>
      </c>
    </row>
    <row r="780" spans="1:62">
      <c r="A780" s="13">
        <v>1961</v>
      </c>
      <c r="B780" s="13" t="s">
        <v>1729</v>
      </c>
      <c r="C780" s="12" t="s">
        <v>87</v>
      </c>
      <c r="D780" s="12" t="s">
        <v>527</v>
      </c>
      <c r="E780" s="12" t="s">
        <v>258</v>
      </c>
      <c r="F780" s="12" t="s">
        <v>14</v>
      </c>
      <c r="G780" s="12" t="s">
        <v>90</v>
      </c>
      <c r="H780" s="12" t="s">
        <v>1740</v>
      </c>
      <c r="I780" s="12">
        <v>537600120427</v>
      </c>
      <c r="J780" s="12" t="s">
        <v>1741</v>
      </c>
      <c r="K780" s="12">
        <v>1</v>
      </c>
      <c r="L780" s="12">
        <v>248</v>
      </c>
      <c r="M780" s="12"/>
      <c r="N780" s="13">
        <v>1961</v>
      </c>
      <c r="O780" s="12" t="s">
        <v>93</v>
      </c>
      <c r="P780" s="12"/>
      <c r="Q780" s="12"/>
      <c r="R780" s="12" t="s">
        <v>94</v>
      </c>
      <c r="S780" s="12">
        <v>10</v>
      </c>
      <c r="T780" s="12" t="s">
        <v>1732</v>
      </c>
      <c r="U780" s="12" t="s">
        <v>1733</v>
      </c>
      <c r="V780" s="12">
        <f>VLOOKUP(Tabla4[[#This Row],[ZONA DEFINITIVO]],Hoja1!$A$1:$D$121,3,0)</f>
        <v>229122</v>
      </c>
      <c r="W780" s="12">
        <f>VLOOKUP(Tabla4[[#This Row],[ZONA DEFINITIVO]],Hoja1!$A$1:$D$121,2,0)</f>
        <v>15229</v>
      </c>
      <c r="X780" s="12">
        <f>VLOOKUP(Tabla4[[#This Row],[ZONA DEFINITIVO]],Hoja1!$A$1:$D$121,4,0)</f>
        <v>83825</v>
      </c>
      <c r="Y780" s="12" t="str">
        <f>+IF(Tabla4[[#This Row],[AGRUPACIONES]]=1,SUMIFS(Tabla4[UDS],Tabla4[ZONA DEFINITIVO],Tabla4[[#This Row],[ZONA DEFINITIVO]])," ")</f>
        <v xml:space="preserve"> </v>
      </c>
      <c r="Z780" s="12" t="str">
        <f>+IF(Tabla4[[#This Row],[AGRUPACIONES]]=1,SUMIFS(Tabla4[TOTAL COBERTURA],Tabla4[ZONA DEFINITIVO],Tabla4[[#This Row],[ZONA DEFINITIVO]])," ")</f>
        <v xml:space="preserve"> </v>
      </c>
      <c r="AA780" s="12"/>
      <c r="AB780" s="38">
        <v>1038834800</v>
      </c>
      <c r="AC780" s="37">
        <v>0.02</v>
      </c>
      <c r="AD780" s="38">
        <f t="shared" si="12"/>
        <v>20776696</v>
      </c>
      <c r="AE780" s="12"/>
      <c r="AF780" s="12">
        <f>COUNTIF($A$20:A780,A780)</f>
        <v>5</v>
      </c>
      <c r="AG780" s="38">
        <v>1038834800</v>
      </c>
      <c r="AH780" s="38">
        <f>Tabla4[[#This Row],[VALOR CONTRAPARTIDA]]+Tabla4[[#This Row],[TOTAL APORTES ICBF]]</f>
        <v>1059611496</v>
      </c>
      <c r="AI780" s="35"/>
      <c r="AJ780" s="38"/>
      <c r="AK780" s="38"/>
      <c r="AL780" s="23"/>
      <c r="AM780" s="35">
        <f>VLOOKUP(Tabla4[[#This Row],[SERVICIO 2025]],$J$2:$V$14,5,0)*Tabla4[[#This Row],[TOTAL COBERTURA]]</f>
        <v>21859464</v>
      </c>
      <c r="AN780" s="35">
        <f>VLOOKUP(Tabla4[[#This Row],[SERVICIO 2025]],$J$2:$V$14,6,0)*Tabla4[[#This Row],[TOTAL COBERTURA]]</f>
        <v>18610664</v>
      </c>
      <c r="AO780" s="35">
        <f>VLOOKUP(Tabla4[[#This Row],[SERVICIO 2025]],$J$2:$V$14,8,0)*Tabla4[[#This Row],[TOTAL COBERTURA]]</f>
        <v>0</v>
      </c>
      <c r="AP780" s="35">
        <f>VLOOKUP(Tabla4[[#This Row],[SERVICIO 2025]],$J$2:$V$14,3,0)*Tabla4[[#This Row],[TOTAL COBERTURA]]*8</f>
        <v>998364672</v>
      </c>
      <c r="AQ780" s="35"/>
      <c r="AR780" s="35">
        <f>Tabla4[[#This Row],[VALOR FASE PREPARATORIA DE ALISTAMIENTO]]+Tabla4[[#This Row],[VALOR FASE PREPARATORIA DE CIERRE]]+Tabla4[[#This Row],[DOTACIÓN ÚNICA]]+Tabla4[[#This Row],[VALOR ATENCIÓN]]+Tabla4[[#This Row],[VALOR RACION PREPARADA]]</f>
        <v>1038834800</v>
      </c>
      <c r="AS780" s="35" t="str">
        <f>+IF(Tabla4[[#This Row],[AGRUPACIONES]]=1,SUMIFS(Tabla4[VALOR TOTAL],Tabla4[ZONA DEFINITIVO],Tabla4[[#This Row],[ZONA DEFINITIVO]])," ")</f>
        <v xml:space="preserve"> </v>
      </c>
      <c r="AT780" s="27">
        <f>(VLOOKUP(Tabla4[[#This Row],[SERVICIO 2025]],$J$2:$V$14,3,0)*Tabla4[[#This Row],[TOTAL COBERTURA]])+Tabla4[[#This Row],[VALOR FASE PREPARATORIA DE ALISTAMIENTO]]+Tabla4[[#This Row],[DOTACIÓN ÚNICA]]</f>
        <v>146655048</v>
      </c>
      <c r="AU780" s="35">
        <f>(VLOOKUP(Tabla4[[#This Row],[SERVICIO 2025]],$J$2:$V$14,3,0)*Tabla4[[#This Row],[TOTAL COBERTURA]])</f>
        <v>124795584</v>
      </c>
      <c r="AV780" s="35">
        <f>(VLOOKUP(Tabla4[[#This Row],[SERVICIO 2025]],$J$2:$V$14,3,0)*Tabla4[[#This Row],[TOTAL COBERTURA]])</f>
        <v>124795584</v>
      </c>
      <c r="AW780" s="35">
        <f>(VLOOKUP(Tabla4[[#This Row],[SERVICIO 2025]],$J$2:$V$14,3,0)*Tabla4[[#This Row],[TOTAL COBERTURA]])</f>
        <v>124795584</v>
      </c>
      <c r="AX780" s="35">
        <f>(VLOOKUP(Tabla4[[#This Row],[SERVICIO 2025]],$J$2:$V$14,3,0)*Tabla4[[#This Row],[TOTAL COBERTURA]])</f>
        <v>124795584</v>
      </c>
      <c r="AY780" s="35">
        <f>(VLOOKUP(Tabla4[[#This Row],[SERVICIO 2025]],$J$2:$V$14,3,0)*Tabla4[[#This Row],[TOTAL COBERTURA]])</f>
        <v>124795584</v>
      </c>
      <c r="AZ780" s="35">
        <f>(VLOOKUP(Tabla4[[#This Row],[SERVICIO 2025]],$J$2:$V$14,3,0)*Tabla4[[#This Row],[TOTAL COBERTURA]])</f>
        <v>124795584</v>
      </c>
      <c r="BA780" s="35">
        <f>(VLOOKUP(Tabla4[[#This Row],[SERVICIO 2025]],$J$2:$V$14,3,0)*Tabla4[[#This Row],[TOTAL COBERTURA]])+Tabla4[[#This Row],[VALOR FASE PREPARATORIA DE CIERRE]]</f>
        <v>143406248</v>
      </c>
      <c r="BB780" s="35">
        <f>SUM(Tabla4[[#This Row],[DESEMBOLSO 1]:[DESEMBOLSO 8]])</f>
        <v>1038834800</v>
      </c>
      <c r="BC780" s="35">
        <f>VLOOKUP(Tabla4[[#This Row],[SERVICIO 2025]],$J$2:$V$14,10,0)*Tabla4[[#This Row],[TOTAL COBERTURA]]*$W$3</f>
        <v>0</v>
      </c>
      <c r="BD780" s="47" t="s">
        <v>145</v>
      </c>
      <c r="BE780" s="12" t="b">
        <f>EXACT(Tabla4[[#This Row],[VALOR ATENCIÓN (8 MESES)]],Tabla4[[#This Row],[VALOR TOTAL]])</f>
        <v>1</v>
      </c>
      <c r="BF780" s="23">
        <f>Tabla4[[#This Row],[VALOR ATENCIÓN (8 MESES)]]-Tabla4[[#This Row],[VALOR TOTAL]]</f>
        <v>0</v>
      </c>
      <c r="BG780" s="12" t="b">
        <f>EXACT(Tabla4[[#This Row],[TOTAL DESEMBOLSOS]],Tabla4[[#This Row],[VALOR ATENCIÓN (8 MESES)]])</f>
        <v>1</v>
      </c>
      <c r="BH780" s="29">
        <f>Tabla4[[#This Row],[TOTAL DESEMBOLSOS]]-Tabla4[[#This Row],[VALOR ATENCIÓN (8 MESES)]]</f>
        <v>0</v>
      </c>
      <c r="BI780" t="s">
        <v>98</v>
      </c>
    </row>
    <row r="781" spans="1:62">
      <c r="A781" s="13">
        <v>1962</v>
      </c>
      <c r="B781" s="13" t="s">
        <v>1742</v>
      </c>
      <c r="C781" s="12" t="s">
        <v>87</v>
      </c>
      <c r="D781" s="12" t="s">
        <v>651</v>
      </c>
      <c r="E781" s="12" t="s">
        <v>1743</v>
      </c>
      <c r="F781" s="12" t="s">
        <v>15</v>
      </c>
      <c r="G781" s="12" t="s">
        <v>90</v>
      </c>
      <c r="H781" s="12" t="s">
        <v>1744</v>
      </c>
      <c r="I781" s="12">
        <v>53801120620</v>
      </c>
      <c r="J781" s="12" t="s">
        <v>1745</v>
      </c>
      <c r="K781" s="12">
        <v>1</v>
      </c>
      <c r="L781" s="12">
        <v>96</v>
      </c>
      <c r="M781" s="12"/>
      <c r="N781" s="13">
        <v>1962</v>
      </c>
      <c r="O781" s="12" t="s">
        <v>93</v>
      </c>
      <c r="P781" s="12"/>
      <c r="Q781" s="12"/>
      <c r="R781" s="12" t="s">
        <v>94</v>
      </c>
      <c r="S781" s="12">
        <v>10</v>
      </c>
      <c r="T781" s="12" t="s">
        <v>1746</v>
      </c>
      <c r="U781" s="12" t="s">
        <v>1747</v>
      </c>
      <c r="V781" s="12">
        <f>VLOOKUP(Tabla4[[#This Row],[ZONA DEFINITIVO]],Hoja1!$A$1:$D$121,3,0)</f>
        <v>229123</v>
      </c>
      <c r="W781" s="12">
        <f>VLOOKUP(Tabla4[[#This Row],[ZONA DEFINITIVO]],Hoja1!$A$1:$D$121,2,0)</f>
        <v>15216</v>
      </c>
      <c r="X781" s="12">
        <f>VLOOKUP(Tabla4[[#This Row],[ZONA DEFINITIVO]],Hoja1!$A$1:$D$121,4,0)</f>
        <v>86525</v>
      </c>
      <c r="Y781" s="12">
        <f>+IF(Tabla4[[#This Row],[AGRUPACIONES]]=1,SUMIFS(Tabla4[UDS],Tabla4[ZONA DEFINITIVO],Tabla4[[#This Row],[ZONA DEFINITIVO]])," ")</f>
        <v>6</v>
      </c>
      <c r="Z781" s="12">
        <f>+IF(Tabla4[[#This Row],[AGRUPACIONES]]=1,SUMIFS(Tabla4[TOTAL COBERTURA],Tabla4[ZONA DEFINITIVO],Tabla4[[#This Row],[ZONA DEFINITIVO]])," ")</f>
        <v>526</v>
      </c>
      <c r="AA781" s="12"/>
      <c r="AB781" s="38">
        <v>415622592</v>
      </c>
      <c r="AC781" s="37">
        <v>0.02</v>
      </c>
      <c r="AD781" s="38">
        <f t="shared" si="12"/>
        <v>8312451.8399999999</v>
      </c>
      <c r="AE781" s="12"/>
      <c r="AF781" s="12">
        <f>COUNTIF($A$20:A781,A781)</f>
        <v>1</v>
      </c>
      <c r="AG781" s="38">
        <v>415622592</v>
      </c>
      <c r="AH781" s="38">
        <f>Tabla4[[#This Row],[VALOR CONTRAPARTIDA]]+Tabla4[[#This Row],[TOTAL APORTES ICBF]]</f>
        <v>423935043.83999997</v>
      </c>
      <c r="AI781" s="35">
        <f>ROUND(+IF(Tabla4[[#This Row],[AGRUPACIONES]]=1,SUMIFS(Tabla4[TOTAL APORTES ICBF],Tabla4[ZONA DEFINITIVO],Tabla4[[#This Row],[ZONA DEFINITIVO]])," "),0)</f>
        <v>2236505372</v>
      </c>
      <c r="AJ781" s="38">
        <f>ROUND(+IF(Tabla4[[#This Row],[AGRUPACIONES]]=1,SUMIFS(Tabla4[VALOR CONTRAPARTIDA],Tabla4[ZONA DEFINITIVO],Tabla4[[#This Row],[ZONA DEFINITIVO]])," "),0)</f>
        <v>44730107</v>
      </c>
      <c r="AK781" s="38">
        <f>Tabla4[[#This Row],[TOTAL APORTES ICBF AGRUPADO]]+Tabla4[[#This Row],[TOTAL CONTRAPARTIDA AGRUPADO]]</f>
        <v>2281235479</v>
      </c>
      <c r="AL781" s="23">
        <f>Tabla4[[#This Row],[TOTAL APORTES ICBF AGRUPADO]]/$AL$18</f>
        <v>1571.1312764313311</v>
      </c>
      <c r="AM781" s="35">
        <f>VLOOKUP(Tabla4[[#This Row],[SERVICIO 2025]],$J$2:$V$14,5,0)*Tabla4[[#This Row],[TOTAL COBERTURA]]</f>
        <v>8461728</v>
      </c>
      <c r="AN781" s="35">
        <f>VLOOKUP(Tabla4[[#This Row],[SERVICIO 2025]],$J$2:$V$14,6,0)*Tabla4[[#This Row],[TOTAL COBERTURA]]</f>
        <v>7204128</v>
      </c>
      <c r="AO781" s="35">
        <f>VLOOKUP(Tabla4[[#This Row],[SERVICIO 2025]],$J$2:$V$14,8,0)*Tabla4[[#This Row],[TOTAL COBERTURA]]</f>
        <v>0</v>
      </c>
      <c r="AP781" s="35">
        <f>VLOOKUP(Tabla4[[#This Row],[SERVICIO 2025]],$J$2:$V$14,3,0)*Tabla4[[#This Row],[TOTAL COBERTURA]]*8</f>
        <v>399956736</v>
      </c>
      <c r="AQ781" s="35"/>
      <c r="AR781" s="35">
        <f>Tabla4[[#This Row],[VALOR FASE PREPARATORIA DE ALISTAMIENTO]]+Tabla4[[#This Row],[VALOR FASE PREPARATORIA DE CIERRE]]+Tabla4[[#This Row],[DOTACIÓN ÚNICA]]+Tabla4[[#This Row],[VALOR ATENCIÓN]]+Tabla4[[#This Row],[VALOR RACION PREPARADA]]</f>
        <v>415622592</v>
      </c>
      <c r="AS781" s="35">
        <f>+IF(Tabla4[[#This Row],[AGRUPACIONES]]=1,SUMIFS(Tabla4[VALOR TOTAL],Tabla4[ZONA DEFINITIVO],Tabla4[[#This Row],[ZONA DEFINITIVO]])," ")</f>
        <v>2236505372</v>
      </c>
      <c r="AT781" s="27">
        <f>(VLOOKUP(Tabla4[[#This Row],[SERVICIO 2025]],$J$2:$V$14,3,0)*Tabla4[[#This Row],[TOTAL COBERTURA]])+Tabla4[[#This Row],[VALOR FASE PREPARATORIA DE ALISTAMIENTO]]+Tabla4[[#This Row],[DOTACIÓN ÚNICA]]</f>
        <v>58456320</v>
      </c>
      <c r="AU781" s="35">
        <f>(VLOOKUP(Tabla4[[#This Row],[SERVICIO 2025]],$J$2:$V$14,3,0)*Tabla4[[#This Row],[TOTAL COBERTURA]])</f>
        <v>49994592</v>
      </c>
      <c r="AV781" s="35">
        <f>(VLOOKUP(Tabla4[[#This Row],[SERVICIO 2025]],$J$2:$V$14,3,0)*Tabla4[[#This Row],[TOTAL COBERTURA]])</f>
        <v>49994592</v>
      </c>
      <c r="AW781" s="35">
        <f>(VLOOKUP(Tabla4[[#This Row],[SERVICIO 2025]],$J$2:$V$14,3,0)*Tabla4[[#This Row],[TOTAL COBERTURA]])</f>
        <v>49994592</v>
      </c>
      <c r="AX781" s="35">
        <f>(VLOOKUP(Tabla4[[#This Row],[SERVICIO 2025]],$J$2:$V$14,3,0)*Tabla4[[#This Row],[TOTAL COBERTURA]])</f>
        <v>49994592</v>
      </c>
      <c r="AY781" s="35">
        <f>(VLOOKUP(Tabla4[[#This Row],[SERVICIO 2025]],$J$2:$V$14,3,0)*Tabla4[[#This Row],[TOTAL COBERTURA]])</f>
        <v>49994592</v>
      </c>
      <c r="AZ781" s="35">
        <f>(VLOOKUP(Tabla4[[#This Row],[SERVICIO 2025]],$J$2:$V$14,3,0)*Tabla4[[#This Row],[TOTAL COBERTURA]])</f>
        <v>49994592</v>
      </c>
      <c r="BA781" s="35">
        <f>(VLOOKUP(Tabla4[[#This Row],[SERVICIO 2025]],$J$2:$V$14,3,0)*Tabla4[[#This Row],[TOTAL COBERTURA]])+Tabla4[[#This Row],[VALOR FASE PREPARATORIA DE CIERRE]]</f>
        <v>57198720</v>
      </c>
      <c r="BB781" s="35">
        <f>SUM(Tabla4[[#This Row],[DESEMBOLSO 1]:[DESEMBOLSO 8]])</f>
        <v>415622592</v>
      </c>
      <c r="BC781" s="35">
        <f>VLOOKUP(Tabla4[[#This Row],[SERVICIO 2025]],$J$2:$V$14,10,0)*Tabla4[[#This Row],[TOTAL COBERTURA]]*$W$3</f>
        <v>0</v>
      </c>
      <c r="BD781" s="47" t="s">
        <v>145</v>
      </c>
      <c r="BE781" s="12" t="b">
        <f>EXACT(Tabla4[[#This Row],[VALOR ATENCIÓN (8 MESES)]],Tabla4[[#This Row],[VALOR TOTAL]])</f>
        <v>1</v>
      </c>
      <c r="BF781" s="23">
        <f>Tabla4[[#This Row],[VALOR ATENCIÓN (8 MESES)]]-Tabla4[[#This Row],[VALOR TOTAL]]</f>
        <v>0</v>
      </c>
      <c r="BG781" s="12" t="b">
        <f>EXACT(Tabla4[[#This Row],[TOTAL DESEMBOLSOS]],Tabla4[[#This Row],[VALOR ATENCIÓN (8 MESES)]])</f>
        <v>1</v>
      </c>
      <c r="BH781" s="29">
        <f>Tabla4[[#This Row],[TOTAL DESEMBOLSOS]]-Tabla4[[#This Row],[VALOR ATENCIÓN (8 MESES)]]</f>
        <v>0</v>
      </c>
      <c r="BI781" t="s">
        <v>98</v>
      </c>
    </row>
    <row r="782" spans="1:62">
      <c r="A782" s="13">
        <v>1962</v>
      </c>
      <c r="B782" s="13" t="s">
        <v>1742</v>
      </c>
      <c r="C782" s="12" t="s">
        <v>87</v>
      </c>
      <c r="D782" s="12" t="s">
        <v>651</v>
      </c>
      <c r="E782" s="12" t="s">
        <v>1743</v>
      </c>
      <c r="F782" s="12" t="s">
        <v>14</v>
      </c>
      <c r="G782" s="12" t="s">
        <v>90</v>
      </c>
      <c r="H782" s="12" t="s">
        <v>1748</v>
      </c>
      <c r="I782" s="12">
        <v>503600080779</v>
      </c>
      <c r="J782" s="12" t="s">
        <v>1749</v>
      </c>
      <c r="K782" s="12">
        <v>1</v>
      </c>
      <c r="L782" s="12">
        <v>77</v>
      </c>
      <c r="M782" s="12"/>
      <c r="N782" s="13">
        <v>1962</v>
      </c>
      <c r="O782" s="12" t="s">
        <v>93</v>
      </c>
      <c r="P782" s="12"/>
      <c r="Q782" s="12"/>
      <c r="R782" s="12" t="s">
        <v>94</v>
      </c>
      <c r="S782" s="12">
        <v>10</v>
      </c>
      <c r="T782" s="12" t="s">
        <v>1746</v>
      </c>
      <c r="U782" s="12" t="s">
        <v>1747</v>
      </c>
      <c r="V782" s="12">
        <f>VLOOKUP(Tabla4[[#This Row],[ZONA DEFINITIVO]],Hoja1!$A$1:$D$121,3,0)</f>
        <v>229123</v>
      </c>
      <c r="W782" s="12">
        <f>VLOOKUP(Tabla4[[#This Row],[ZONA DEFINITIVO]],Hoja1!$A$1:$D$121,2,0)</f>
        <v>15216</v>
      </c>
      <c r="X782" s="12">
        <f>VLOOKUP(Tabla4[[#This Row],[ZONA DEFINITIVO]],Hoja1!$A$1:$D$121,4,0)</f>
        <v>86525</v>
      </c>
      <c r="Y782" s="12" t="str">
        <f>+IF(Tabla4[[#This Row],[AGRUPACIONES]]=1,SUMIFS(Tabla4[UDS],Tabla4[ZONA DEFINITIVO],Tabla4[[#This Row],[ZONA DEFINITIVO]])," ")</f>
        <v xml:space="preserve"> </v>
      </c>
      <c r="Z782" s="12" t="str">
        <f>+IF(Tabla4[[#This Row],[AGRUPACIONES]]=1,SUMIFS(Tabla4[TOTAL COBERTURA],Tabla4[ZONA DEFINITIVO],Tabla4[[#This Row],[ZONA DEFINITIVO]])," ")</f>
        <v xml:space="preserve"> </v>
      </c>
      <c r="AA782" s="12"/>
      <c r="AB782" s="38">
        <v>322541450</v>
      </c>
      <c r="AC782" s="37">
        <v>0.02</v>
      </c>
      <c r="AD782" s="38">
        <f t="shared" si="12"/>
        <v>6450829</v>
      </c>
      <c r="AE782" s="12"/>
      <c r="AF782" s="12">
        <f>COUNTIF($A$20:A782,A782)</f>
        <v>2</v>
      </c>
      <c r="AG782" s="38">
        <v>322541450</v>
      </c>
      <c r="AH782" s="38">
        <f>Tabla4[[#This Row],[VALOR CONTRAPARTIDA]]+Tabla4[[#This Row],[TOTAL APORTES ICBF]]</f>
        <v>328992279</v>
      </c>
      <c r="AI782" s="35"/>
      <c r="AJ782" s="38"/>
      <c r="AK782" s="38"/>
      <c r="AL782" s="23"/>
      <c r="AM782" s="35">
        <f>VLOOKUP(Tabla4[[#This Row],[SERVICIO 2025]],$J$2:$V$14,5,0)*Tabla4[[#This Row],[TOTAL COBERTURA]]</f>
        <v>6787011</v>
      </c>
      <c r="AN782" s="35">
        <f>VLOOKUP(Tabla4[[#This Row],[SERVICIO 2025]],$J$2:$V$14,6,0)*Tabla4[[#This Row],[TOTAL COBERTURA]]</f>
        <v>5778311</v>
      </c>
      <c r="AO782" s="35">
        <f>VLOOKUP(Tabla4[[#This Row],[SERVICIO 2025]],$J$2:$V$14,8,0)*Tabla4[[#This Row],[TOTAL COBERTURA]]</f>
        <v>0</v>
      </c>
      <c r="AP782" s="35">
        <f>VLOOKUP(Tabla4[[#This Row],[SERVICIO 2025]],$J$2:$V$14,3,0)*Tabla4[[#This Row],[TOTAL COBERTURA]]*8</f>
        <v>309976128</v>
      </c>
      <c r="AQ782" s="35"/>
      <c r="AR782" s="35">
        <f>Tabla4[[#This Row],[VALOR FASE PREPARATORIA DE ALISTAMIENTO]]+Tabla4[[#This Row],[VALOR FASE PREPARATORIA DE CIERRE]]+Tabla4[[#This Row],[DOTACIÓN ÚNICA]]+Tabla4[[#This Row],[VALOR ATENCIÓN]]+Tabla4[[#This Row],[VALOR RACION PREPARADA]]</f>
        <v>322541450</v>
      </c>
      <c r="AS782" s="35" t="str">
        <f>+IF(Tabla4[[#This Row],[AGRUPACIONES]]=1,SUMIFS(Tabla4[VALOR TOTAL],Tabla4[ZONA DEFINITIVO],Tabla4[[#This Row],[ZONA DEFINITIVO]])," ")</f>
        <v xml:space="preserve"> </v>
      </c>
      <c r="AT782" s="27">
        <f>(VLOOKUP(Tabla4[[#This Row],[SERVICIO 2025]],$J$2:$V$14,3,0)*Tabla4[[#This Row],[TOTAL COBERTURA]])+Tabla4[[#This Row],[VALOR FASE PREPARATORIA DE ALISTAMIENTO]]+Tabla4[[#This Row],[DOTACIÓN ÚNICA]]</f>
        <v>45534027</v>
      </c>
      <c r="AU782" s="35">
        <f>(VLOOKUP(Tabla4[[#This Row],[SERVICIO 2025]],$J$2:$V$14,3,0)*Tabla4[[#This Row],[TOTAL COBERTURA]])</f>
        <v>38747016</v>
      </c>
      <c r="AV782" s="35">
        <f>(VLOOKUP(Tabla4[[#This Row],[SERVICIO 2025]],$J$2:$V$14,3,0)*Tabla4[[#This Row],[TOTAL COBERTURA]])</f>
        <v>38747016</v>
      </c>
      <c r="AW782" s="35">
        <f>(VLOOKUP(Tabla4[[#This Row],[SERVICIO 2025]],$J$2:$V$14,3,0)*Tabla4[[#This Row],[TOTAL COBERTURA]])</f>
        <v>38747016</v>
      </c>
      <c r="AX782" s="35">
        <f>(VLOOKUP(Tabla4[[#This Row],[SERVICIO 2025]],$J$2:$V$14,3,0)*Tabla4[[#This Row],[TOTAL COBERTURA]])</f>
        <v>38747016</v>
      </c>
      <c r="AY782" s="35">
        <f>(VLOOKUP(Tabla4[[#This Row],[SERVICIO 2025]],$J$2:$V$14,3,0)*Tabla4[[#This Row],[TOTAL COBERTURA]])</f>
        <v>38747016</v>
      </c>
      <c r="AZ782" s="35">
        <f>(VLOOKUP(Tabla4[[#This Row],[SERVICIO 2025]],$J$2:$V$14,3,0)*Tabla4[[#This Row],[TOTAL COBERTURA]])</f>
        <v>38747016</v>
      </c>
      <c r="BA782" s="35">
        <f>(VLOOKUP(Tabla4[[#This Row],[SERVICIO 2025]],$J$2:$V$14,3,0)*Tabla4[[#This Row],[TOTAL COBERTURA]])+Tabla4[[#This Row],[VALOR FASE PREPARATORIA DE CIERRE]]</f>
        <v>44525327</v>
      </c>
      <c r="BB782" s="35">
        <f>SUM(Tabla4[[#This Row],[DESEMBOLSO 1]:[DESEMBOLSO 8]])</f>
        <v>322541450</v>
      </c>
      <c r="BC782" s="35">
        <f>VLOOKUP(Tabla4[[#This Row],[SERVICIO 2025]],$J$2:$V$14,10,0)*Tabla4[[#This Row],[TOTAL COBERTURA]]*$W$3</f>
        <v>0</v>
      </c>
      <c r="BD782" s="47" t="s">
        <v>145</v>
      </c>
      <c r="BE782" s="12" t="b">
        <f>EXACT(Tabla4[[#This Row],[VALOR ATENCIÓN (8 MESES)]],Tabla4[[#This Row],[VALOR TOTAL]])</f>
        <v>1</v>
      </c>
      <c r="BF782" s="23">
        <f>Tabla4[[#This Row],[VALOR ATENCIÓN (8 MESES)]]-Tabla4[[#This Row],[VALOR TOTAL]]</f>
        <v>0</v>
      </c>
      <c r="BG782" s="12" t="b">
        <f>EXACT(Tabla4[[#This Row],[TOTAL DESEMBOLSOS]],Tabla4[[#This Row],[VALOR ATENCIÓN (8 MESES)]])</f>
        <v>1</v>
      </c>
      <c r="BH782" s="29">
        <f>Tabla4[[#This Row],[TOTAL DESEMBOLSOS]]-Tabla4[[#This Row],[VALOR ATENCIÓN (8 MESES)]]</f>
        <v>0</v>
      </c>
      <c r="BI782" t="s">
        <v>98</v>
      </c>
    </row>
    <row r="783" spans="1:62">
      <c r="A783" s="13">
        <v>1962</v>
      </c>
      <c r="B783" s="13" t="s">
        <v>1742</v>
      </c>
      <c r="C783" s="12" t="s">
        <v>87</v>
      </c>
      <c r="D783" s="12" t="s">
        <v>651</v>
      </c>
      <c r="E783" s="12" t="s">
        <v>1743</v>
      </c>
      <c r="F783" s="12" t="s">
        <v>14</v>
      </c>
      <c r="G783" s="12" t="s">
        <v>90</v>
      </c>
      <c r="H783" s="12" t="s">
        <v>1750</v>
      </c>
      <c r="I783" s="12">
        <v>538000020328</v>
      </c>
      <c r="J783" s="12" t="s">
        <v>1751</v>
      </c>
      <c r="K783" s="12">
        <v>1</v>
      </c>
      <c r="L783" s="12">
        <v>119</v>
      </c>
      <c r="M783" s="12"/>
      <c r="N783" s="13">
        <v>1962</v>
      </c>
      <c r="O783" s="12" t="s">
        <v>93</v>
      </c>
      <c r="P783" s="12"/>
      <c r="Q783" s="12"/>
      <c r="R783" s="12" t="s">
        <v>94</v>
      </c>
      <c r="S783" s="12">
        <v>10</v>
      </c>
      <c r="T783" s="12" t="s">
        <v>1746</v>
      </c>
      <c r="U783" s="12" t="s">
        <v>1747</v>
      </c>
      <c r="V783" s="12">
        <f>VLOOKUP(Tabla4[[#This Row],[ZONA DEFINITIVO]],Hoja1!$A$1:$D$121,3,0)</f>
        <v>229123</v>
      </c>
      <c r="W783" s="12">
        <f>VLOOKUP(Tabla4[[#This Row],[ZONA DEFINITIVO]],Hoja1!$A$1:$D$121,2,0)</f>
        <v>15216</v>
      </c>
      <c r="X783" s="12">
        <f>VLOOKUP(Tabla4[[#This Row],[ZONA DEFINITIVO]],Hoja1!$A$1:$D$121,4,0)</f>
        <v>86525</v>
      </c>
      <c r="Y783" s="12" t="str">
        <f>+IF(Tabla4[[#This Row],[AGRUPACIONES]]=1,SUMIFS(Tabla4[UDS],Tabla4[ZONA DEFINITIVO],Tabla4[[#This Row],[ZONA DEFINITIVO]])," ")</f>
        <v xml:space="preserve"> </v>
      </c>
      <c r="Z783" s="12" t="str">
        <f>+IF(Tabla4[[#This Row],[AGRUPACIONES]]=1,SUMIFS(Tabla4[TOTAL COBERTURA],Tabla4[ZONA DEFINITIVO],Tabla4[[#This Row],[ZONA DEFINITIVO]])," ")</f>
        <v xml:space="preserve"> </v>
      </c>
      <c r="AA783" s="12"/>
      <c r="AB783" s="38">
        <v>498473150</v>
      </c>
      <c r="AC783" s="37">
        <v>0.02</v>
      </c>
      <c r="AD783" s="38">
        <f t="shared" si="12"/>
        <v>9969463</v>
      </c>
      <c r="AE783" s="12"/>
      <c r="AF783" s="12">
        <f>COUNTIF($A$20:A783,A783)</f>
        <v>3</v>
      </c>
      <c r="AG783" s="38">
        <v>498473150</v>
      </c>
      <c r="AH783" s="38">
        <f>Tabla4[[#This Row],[VALOR CONTRAPARTIDA]]+Tabla4[[#This Row],[TOTAL APORTES ICBF]]</f>
        <v>508442613</v>
      </c>
      <c r="AI783" s="35"/>
      <c r="AJ783" s="38"/>
      <c r="AK783" s="38"/>
      <c r="AL783" s="23"/>
      <c r="AM783" s="35">
        <f>VLOOKUP(Tabla4[[#This Row],[SERVICIO 2025]],$J$2:$V$14,5,0)*Tabla4[[#This Row],[TOTAL COBERTURA]]</f>
        <v>10489017</v>
      </c>
      <c r="AN783" s="35">
        <f>VLOOKUP(Tabla4[[#This Row],[SERVICIO 2025]],$J$2:$V$14,6,0)*Tabla4[[#This Row],[TOTAL COBERTURA]]</f>
        <v>8930117</v>
      </c>
      <c r="AO783" s="35">
        <f>VLOOKUP(Tabla4[[#This Row],[SERVICIO 2025]],$J$2:$V$14,8,0)*Tabla4[[#This Row],[TOTAL COBERTURA]]</f>
        <v>0</v>
      </c>
      <c r="AP783" s="35">
        <f>VLOOKUP(Tabla4[[#This Row],[SERVICIO 2025]],$J$2:$V$14,3,0)*Tabla4[[#This Row],[TOTAL COBERTURA]]*8</f>
        <v>479054016</v>
      </c>
      <c r="AQ783" s="35"/>
      <c r="AR783" s="35">
        <f>Tabla4[[#This Row],[VALOR FASE PREPARATORIA DE ALISTAMIENTO]]+Tabla4[[#This Row],[VALOR FASE PREPARATORIA DE CIERRE]]+Tabla4[[#This Row],[DOTACIÓN ÚNICA]]+Tabla4[[#This Row],[VALOR ATENCIÓN]]+Tabla4[[#This Row],[VALOR RACION PREPARADA]]</f>
        <v>498473150</v>
      </c>
      <c r="AS783" s="35" t="str">
        <f>+IF(Tabla4[[#This Row],[AGRUPACIONES]]=1,SUMIFS(Tabla4[VALOR TOTAL],Tabla4[ZONA DEFINITIVO],Tabla4[[#This Row],[ZONA DEFINITIVO]])," ")</f>
        <v xml:space="preserve"> </v>
      </c>
      <c r="AT783" s="27">
        <f>(VLOOKUP(Tabla4[[#This Row],[SERVICIO 2025]],$J$2:$V$14,3,0)*Tabla4[[#This Row],[TOTAL COBERTURA]])+Tabla4[[#This Row],[VALOR FASE PREPARATORIA DE ALISTAMIENTO]]+Tabla4[[#This Row],[DOTACIÓN ÚNICA]]</f>
        <v>70370769</v>
      </c>
      <c r="AU783" s="35">
        <f>(VLOOKUP(Tabla4[[#This Row],[SERVICIO 2025]],$J$2:$V$14,3,0)*Tabla4[[#This Row],[TOTAL COBERTURA]])</f>
        <v>59881752</v>
      </c>
      <c r="AV783" s="35">
        <f>(VLOOKUP(Tabla4[[#This Row],[SERVICIO 2025]],$J$2:$V$14,3,0)*Tabla4[[#This Row],[TOTAL COBERTURA]])</f>
        <v>59881752</v>
      </c>
      <c r="AW783" s="35">
        <f>(VLOOKUP(Tabla4[[#This Row],[SERVICIO 2025]],$J$2:$V$14,3,0)*Tabla4[[#This Row],[TOTAL COBERTURA]])</f>
        <v>59881752</v>
      </c>
      <c r="AX783" s="35">
        <f>(VLOOKUP(Tabla4[[#This Row],[SERVICIO 2025]],$J$2:$V$14,3,0)*Tabla4[[#This Row],[TOTAL COBERTURA]])</f>
        <v>59881752</v>
      </c>
      <c r="AY783" s="35">
        <f>(VLOOKUP(Tabla4[[#This Row],[SERVICIO 2025]],$J$2:$V$14,3,0)*Tabla4[[#This Row],[TOTAL COBERTURA]])</f>
        <v>59881752</v>
      </c>
      <c r="AZ783" s="35">
        <f>(VLOOKUP(Tabla4[[#This Row],[SERVICIO 2025]],$J$2:$V$14,3,0)*Tabla4[[#This Row],[TOTAL COBERTURA]])</f>
        <v>59881752</v>
      </c>
      <c r="BA783" s="35">
        <f>(VLOOKUP(Tabla4[[#This Row],[SERVICIO 2025]],$J$2:$V$14,3,0)*Tabla4[[#This Row],[TOTAL COBERTURA]])+Tabla4[[#This Row],[VALOR FASE PREPARATORIA DE CIERRE]]</f>
        <v>68811869</v>
      </c>
      <c r="BB783" s="35">
        <f>SUM(Tabla4[[#This Row],[DESEMBOLSO 1]:[DESEMBOLSO 8]])</f>
        <v>498473150</v>
      </c>
      <c r="BC783" s="35">
        <f>VLOOKUP(Tabla4[[#This Row],[SERVICIO 2025]],$J$2:$V$14,10,0)*Tabla4[[#This Row],[TOTAL COBERTURA]]*$W$3</f>
        <v>0</v>
      </c>
      <c r="BD783" s="47" t="s">
        <v>145</v>
      </c>
      <c r="BE783" s="12" t="b">
        <f>EXACT(Tabla4[[#This Row],[VALOR ATENCIÓN (8 MESES)]],Tabla4[[#This Row],[VALOR TOTAL]])</f>
        <v>1</v>
      </c>
      <c r="BF783" s="23">
        <f>Tabla4[[#This Row],[VALOR ATENCIÓN (8 MESES)]]-Tabla4[[#This Row],[VALOR TOTAL]]</f>
        <v>0</v>
      </c>
      <c r="BG783" s="12" t="b">
        <f>EXACT(Tabla4[[#This Row],[TOTAL DESEMBOLSOS]],Tabla4[[#This Row],[VALOR ATENCIÓN (8 MESES)]])</f>
        <v>1</v>
      </c>
      <c r="BH783" s="29">
        <f>Tabla4[[#This Row],[TOTAL DESEMBOLSOS]]-Tabla4[[#This Row],[VALOR ATENCIÓN (8 MESES)]]</f>
        <v>0</v>
      </c>
      <c r="BI783" t="s">
        <v>98</v>
      </c>
    </row>
    <row r="784" spans="1:62">
      <c r="A784" s="13">
        <v>1962</v>
      </c>
      <c r="B784" s="13" t="s">
        <v>1742</v>
      </c>
      <c r="C784" s="12" t="s">
        <v>87</v>
      </c>
      <c r="D784" s="12" t="s">
        <v>651</v>
      </c>
      <c r="E784" s="12" t="s">
        <v>1743</v>
      </c>
      <c r="F784" s="12" t="s">
        <v>15</v>
      </c>
      <c r="G784" s="12" t="s">
        <v>90</v>
      </c>
      <c r="H784" s="12" t="s">
        <v>1752</v>
      </c>
      <c r="I784" s="12">
        <v>538000022611</v>
      </c>
      <c r="J784" s="12" t="s">
        <v>1753</v>
      </c>
      <c r="K784" s="12">
        <v>1</v>
      </c>
      <c r="L784" s="12">
        <v>80</v>
      </c>
      <c r="M784" s="12"/>
      <c r="N784" s="13">
        <v>1962</v>
      </c>
      <c r="O784" s="12" t="s">
        <v>93</v>
      </c>
      <c r="P784" s="12"/>
      <c r="Q784" s="12"/>
      <c r="R784" s="12" t="s">
        <v>94</v>
      </c>
      <c r="S784" s="12">
        <v>10</v>
      </c>
      <c r="T784" s="12" t="s">
        <v>1746</v>
      </c>
      <c r="U784" s="12" t="s">
        <v>1747</v>
      </c>
      <c r="V784" s="12">
        <f>VLOOKUP(Tabla4[[#This Row],[ZONA DEFINITIVO]],Hoja1!$A$1:$D$121,3,0)</f>
        <v>229123</v>
      </c>
      <c r="W784" s="12">
        <f>VLOOKUP(Tabla4[[#This Row],[ZONA DEFINITIVO]],Hoja1!$A$1:$D$121,2,0)</f>
        <v>15216</v>
      </c>
      <c r="X784" s="12">
        <f>VLOOKUP(Tabla4[[#This Row],[ZONA DEFINITIVO]],Hoja1!$A$1:$D$121,4,0)</f>
        <v>86525</v>
      </c>
      <c r="Y784" s="12" t="str">
        <f>+IF(Tabla4[[#This Row],[AGRUPACIONES]]=1,SUMIFS(Tabla4[UDS],Tabla4[ZONA DEFINITIVO],Tabla4[[#This Row],[ZONA DEFINITIVO]])," ")</f>
        <v xml:space="preserve"> </v>
      </c>
      <c r="Z784" s="12" t="str">
        <f>+IF(Tabla4[[#This Row],[AGRUPACIONES]]=1,SUMIFS(Tabla4[TOTAL COBERTURA],Tabla4[ZONA DEFINITIVO],Tabla4[[#This Row],[ZONA DEFINITIVO]])," ")</f>
        <v xml:space="preserve"> </v>
      </c>
      <c r="AA784" s="12"/>
      <c r="AB784" s="38">
        <v>346352160</v>
      </c>
      <c r="AC784" s="37">
        <v>0.02</v>
      </c>
      <c r="AD784" s="38">
        <f t="shared" si="12"/>
        <v>6927043.2000000002</v>
      </c>
      <c r="AE784" s="12"/>
      <c r="AF784" s="12">
        <f>COUNTIF($A$20:A784,A784)</f>
        <v>4</v>
      </c>
      <c r="AG784" s="38">
        <v>346352160</v>
      </c>
      <c r="AH784" s="38">
        <f>Tabla4[[#This Row],[VALOR CONTRAPARTIDA]]+Tabla4[[#This Row],[TOTAL APORTES ICBF]]</f>
        <v>353279203.19999999</v>
      </c>
      <c r="AI784" s="35"/>
      <c r="AJ784" s="38"/>
      <c r="AK784" s="38"/>
      <c r="AL784" s="23"/>
      <c r="AM784" s="35">
        <f>VLOOKUP(Tabla4[[#This Row],[SERVICIO 2025]],$J$2:$V$14,5,0)*Tabla4[[#This Row],[TOTAL COBERTURA]]</f>
        <v>7051440</v>
      </c>
      <c r="AN784" s="35">
        <f>VLOOKUP(Tabla4[[#This Row],[SERVICIO 2025]],$J$2:$V$14,6,0)*Tabla4[[#This Row],[TOTAL COBERTURA]]</f>
        <v>6003440</v>
      </c>
      <c r="AO784" s="35">
        <f>VLOOKUP(Tabla4[[#This Row],[SERVICIO 2025]],$J$2:$V$14,8,0)*Tabla4[[#This Row],[TOTAL COBERTURA]]</f>
        <v>0</v>
      </c>
      <c r="AP784" s="35">
        <f>VLOOKUP(Tabla4[[#This Row],[SERVICIO 2025]],$J$2:$V$14,3,0)*Tabla4[[#This Row],[TOTAL COBERTURA]]*8</f>
        <v>333297280</v>
      </c>
      <c r="AQ784" s="35"/>
      <c r="AR784" s="35">
        <f>Tabla4[[#This Row],[VALOR FASE PREPARATORIA DE ALISTAMIENTO]]+Tabla4[[#This Row],[VALOR FASE PREPARATORIA DE CIERRE]]+Tabla4[[#This Row],[DOTACIÓN ÚNICA]]+Tabla4[[#This Row],[VALOR ATENCIÓN]]+Tabla4[[#This Row],[VALOR RACION PREPARADA]]</f>
        <v>346352160</v>
      </c>
      <c r="AS784" s="35" t="str">
        <f>+IF(Tabla4[[#This Row],[AGRUPACIONES]]=1,SUMIFS(Tabla4[VALOR TOTAL],Tabla4[ZONA DEFINITIVO],Tabla4[[#This Row],[ZONA DEFINITIVO]])," ")</f>
        <v xml:space="preserve"> </v>
      </c>
      <c r="AT784" s="27">
        <f>(VLOOKUP(Tabla4[[#This Row],[SERVICIO 2025]],$J$2:$V$14,3,0)*Tabla4[[#This Row],[TOTAL COBERTURA]])+Tabla4[[#This Row],[VALOR FASE PREPARATORIA DE ALISTAMIENTO]]+Tabla4[[#This Row],[DOTACIÓN ÚNICA]]</f>
        <v>48713600</v>
      </c>
      <c r="AU784" s="35">
        <f>(VLOOKUP(Tabla4[[#This Row],[SERVICIO 2025]],$J$2:$V$14,3,0)*Tabla4[[#This Row],[TOTAL COBERTURA]])</f>
        <v>41662160</v>
      </c>
      <c r="AV784" s="35">
        <f>(VLOOKUP(Tabla4[[#This Row],[SERVICIO 2025]],$J$2:$V$14,3,0)*Tabla4[[#This Row],[TOTAL COBERTURA]])</f>
        <v>41662160</v>
      </c>
      <c r="AW784" s="35">
        <f>(VLOOKUP(Tabla4[[#This Row],[SERVICIO 2025]],$J$2:$V$14,3,0)*Tabla4[[#This Row],[TOTAL COBERTURA]])</f>
        <v>41662160</v>
      </c>
      <c r="AX784" s="35">
        <f>(VLOOKUP(Tabla4[[#This Row],[SERVICIO 2025]],$J$2:$V$14,3,0)*Tabla4[[#This Row],[TOTAL COBERTURA]])</f>
        <v>41662160</v>
      </c>
      <c r="AY784" s="35">
        <f>(VLOOKUP(Tabla4[[#This Row],[SERVICIO 2025]],$J$2:$V$14,3,0)*Tabla4[[#This Row],[TOTAL COBERTURA]])</f>
        <v>41662160</v>
      </c>
      <c r="AZ784" s="35">
        <f>(VLOOKUP(Tabla4[[#This Row],[SERVICIO 2025]],$J$2:$V$14,3,0)*Tabla4[[#This Row],[TOTAL COBERTURA]])</f>
        <v>41662160</v>
      </c>
      <c r="BA784" s="35">
        <f>(VLOOKUP(Tabla4[[#This Row],[SERVICIO 2025]],$J$2:$V$14,3,0)*Tabla4[[#This Row],[TOTAL COBERTURA]])+Tabla4[[#This Row],[VALOR FASE PREPARATORIA DE CIERRE]]</f>
        <v>47665600</v>
      </c>
      <c r="BB784" s="35">
        <f>SUM(Tabla4[[#This Row],[DESEMBOLSO 1]:[DESEMBOLSO 8]])</f>
        <v>346352160</v>
      </c>
      <c r="BC784" s="35">
        <f>VLOOKUP(Tabla4[[#This Row],[SERVICIO 2025]],$J$2:$V$14,10,0)*Tabla4[[#This Row],[TOTAL COBERTURA]]*$W$3</f>
        <v>0</v>
      </c>
      <c r="BD784" s="47" t="s">
        <v>145</v>
      </c>
      <c r="BE784" s="12" t="b">
        <f>EXACT(Tabla4[[#This Row],[VALOR ATENCIÓN (8 MESES)]],Tabla4[[#This Row],[VALOR TOTAL]])</f>
        <v>1</v>
      </c>
      <c r="BF784" s="23">
        <f>Tabla4[[#This Row],[VALOR ATENCIÓN (8 MESES)]]-Tabla4[[#This Row],[VALOR TOTAL]]</f>
        <v>0</v>
      </c>
      <c r="BG784" s="12" t="b">
        <f>EXACT(Tabla4[[#This Row],[TOTAL DESEMBOLSOS]],Tabla4[[#This Row],[VALOR ATENCIÓN (8 MESES)]])</f>
        <v>1</v>
      </c>
      <c r="BH784" s="29">
        <f>Tabla4[[#This Row],[TOTAL DESEMBOLSOS]]-Tabla4[[#This Row],[VALOR ATENCIÓN (8 MESES)]]</f>
        <v>0</v>
      </c>
      <c r="BI784" t="s">
        <v>98</v>
      </c>
    </row>
    <row r="785" spans="1:62">
      <c r="A785" s="13">
        <v>1962</v>
      </c>
      <c r="B785" s="13" t="s">
        <v>1742</v>
      </c>
      <c r="C785" s="12" t="s">
        <v>87</v>
      </c>
      <c r="D785" s="12" t="s">
        <v>651</v>
      </c>
      <c r="E785" s="12" t="s">
        <v>1743</v>
      </c>
      <c r="F785" s="12" t="s">
        <v>14</v>
      </c>
      <c r="G785" s="12" t="s">
        <v>90</v>
      </c>
      <c r="H785" s="12" t="s">
        <v>1754</v>
      </c>
      <c r="I785" s="12">
        <v>538000114978</v>
      </c>
      <c r="J785" s="12" t="s">
        <v>1755</v>
      </c>
      <c r="K785" s="12">
        <v>1</v>
      </c>
      <c r="L785" s="12">
        <v>94</v>
      </c>
      <c r="M785" s="12"/>
      <c r="N785" s="13">
        <v>1962</v>
      </c>
      <c r="O785" s="12" t="s">
        <v>93</v>
      </c>
      <c r="P785" s="12"/>
      <c r="Q785" s="12"/>
      <c r="R785" s="12" t="s">
        <v>94</v>
      </c>
      <c r="S785" s="12">
        <v>10</v>
      </c>
      <c r="T785" s="12" t="s">
        <v>1746</v>
      </c>
      <c r="U785" s="12" t="s">
        <v>1747</v>
      </c>
      <c r="V785" s="12">
        <f>VLOOKUP(Tabla4[[#This Row],[ZONA DEFINITIVO]],Hoja1!$A$1:$D$121,3,0)</f>
        <v>229123</v>
      </c>
      <c r="W785" s="12">
        <f>VLOOKUP(Tabla4[[#This Row],[ZONA DEFINITIVO]],Hoja1!$A$1:$D$121,2,0)</f>
        <v>15216</v>
      </c>
      <c r="X785" s="12">
        <f>VLOOKUP(Tabla4[[#This Row],[ZONA DEFINITIVO]],Hoja1!$A$1:$D$121,4,0)</f>
        <v>86525</v>
      </c>
      <c r="Y785" s="12" t="str">
        <f>+IF(Tabla4[[#This Row],[AGRUPACIONES]]=1,SUMIFS(Tabla4[UDS],Tabla4[ZONA DEFINITIVO],Tabla4[[#This Row],[ZONA DEFINITIVO]])," ")</f>
        <v xml:space="preserve"> </v>
      </c>
      <c r="Z785" s="12" t="str">
        <f>+IF(Tabla4[[#This Row],[AGRUPACIONES]]=1,SUMIFS(Tabla4[TOTAL COBERTURA],Tabla4[ZONA DEFINITIVO],Tabla4[[#This Row],[ZONA DEFINITIVO]])," ")</f>
        <v xml:space="preserve"> </v>
      </c>
      <c r="AA785" s="12"/>
      <c r="AB785" s="38">
        <v>393751900</v>
      </c>
      <c r="AC785" s="37">
        <v>0.02</v>
      </c>
      <c r="AD785" s="38">
        <f t="shared" si="12"/>
        <v>7875038</v>
      </c>
      <c r="AE785" s="12"/>
      <c r="AF785" s="12">
        <f>COUNTIF($A$20:A785,A785)</f>
        <v>5</v>
      </c>
      <c r="AG785" s="38">
        <v>393751900</v>
      </c>
      <c r="AH785" s="38">
        <f>Tabla4[[#This Row],[VALOR CONTRAPARTIDA]]+Tabla4[[#This Row],[TOTAL APORTES ICBF]]</f>
        <v>401626938</v>
      </c>
      <c r="AI785" s="35"/>
      <c r="AJ785" s="38"/>
      <c r="AK785" s="38"/>
      <c r="AL785" s="23"/>
      <c r="AM785" s="35">
        <f>VLOOKUP(Tabla4[[#This Row],[SERVICIO 2025]],$J$2:$V$14,5,0)*Tabla4[[#This Row],[TOTAL COBERTURA]]</f>
        <v>8285442</v>
      </c>
      <c r="AN785" s="35">
        <f>VLOOKUP(Tabla4[[#This Row],[SERVICIO 2025]],$J$2:$V$14,6,0)*Tabla4[[#This Row],[TOTAL COBERTURA]]</f>
        <v>7054042</v>
      </c>
      <c r="AO785" s="35">
        <f>VLOOKUP(Tabla4[[#This Row],[SERVICIO 2025]],$J$2:$V$14,8,0)*Tabla4[[#This Row],[TOTAL COBERTURA]]</f>
        <v>0</v>
      </c>
      <c r="AP785" s="35">
        <f>VLOOKUP(Tabla4[[#This Row],[SERVICIO 2025]],$J$2:$V$14,3,0)*Tabla4[[#This Row],[TOTAL COBERTURA]]*8</f>
        <v>378412416</v>
      </c>
      <c r="AQ785" s="35"/>
      <c r="AR785" s="35">
        <f>Tabla4[[#This Row],[VALOR FASE PREPARATORIA DE ALISTAMIENTO]]+Tabla4[[#This Row],[VALOR FASE PREPARATORIA DE CIERRE]]+Tabla4[[#This Row],[DOTACIÓN ÚNICA]]+Tabla4[[#This Row],[VALOR ATENCIÓN]]+Tabla4[[#This Row],[VALOR RACION PREPARADA]]</f>
        <v>393751900</v>
      </c>
      <c r="AS785" s="35" t="str">
        <f>+IF(Tabla4[[#This Row],[AGRUPACIONES]]=1,SUMIFS(Tabla4[VALOR TOTAL],Tabla4[ZONA DEFINITIVO],Tabla4[[#This Row],[ZONA DEFINITIVO]])," ")</f>
        <v xml:space="preserve"> </v>
      </c>
      <c r="AT785" s="27">
        <f>(VLOOKUP(Tabla4[[#This Row],[SERVICIO 2025]],$J$2:$V$14,3,0)*Tabla4[[#This Row],[TOTAL COBERTURA]])+Tabla4[[#This Row],[VALOR FASE PREPARATORIA DE ALISTAMIENTO]]+Tabla4[[#This Row],[DOTACIÓN ÚNICA]]</f>
        <v>55586994</v>
      </c>
      <c r="AU785" s="35">
        <f>(VLOOKUP(Tabla4[[#This Row],[SERVICIO 2025]],$J$2:$V$14,3,0)*Tabla4[[#This Row],[TOTAL COBERTURA]])</f>
        <v>47301552</v>
      </c>
      <c r="AV785" s="35">
        <f>(VLOOKUP(Tabla4[[#This Row],[SERVICIO 2025]],$J$2:$V$14,3,0)*Tabla4[[#This Row],[TOTAL COBERTURA]])</f>
        <v>47301552</v>
      </c>
      <c r="AW785" s="35">
        <f>(VLOOKUP(Tabla4[[#This Row],[SERVICIO 2025]],$J$2:$V$14,3,0)*Tabla4[[#This Row],[TOTAL COBERTURA]])</f>
        <v>47301552</v>
      </c>
      <c r="AX785" s="35">
        <f>(VLOOKUP(Tabla4[[#This Row],[SERVICIO 2025]],$J$2:$V$14,3,0)*Tabla4[[#This Row],[TOTAL COBERTURA]])</f>
        <v>47301552</v>
      </c>
      <c r="AY785" s="35">
        <f>(VLOOKUP(Tabla4[[#This Row],[SERVICIO 2025]],$J$2:$V$14,3,0)*Tabla4[[#This Row],[TOTAL COBERTURA]])</f>
        <v>47301552</v>
      </c>
      <c r="AZ785" s="35">
        <f>(VLOOKUP(Tabla4[[#This Row],[SERVICIO 2025]],$J$2:$V$14,3,0)*Tabla4[[#This Row],[TOTAL COBERTURA]])</f>
        <v>47301552</v>
      </c>
      <c r="BA785" s="35">
        <f>(VLOOKUP(Tabla4[[#This Row],[SERVICIO 2025]],$J$2:$V$14,3,0)*Tabla4[[#This Row],[TOTAL COBERTURA]])+Tabla4[[#This Row],[VALOR FASE PREPARATORIA DE CIERRE]]</f>
        <v>54355594</v>
      </c>
      <c r="BB785" s="35">
        <f>SUM(Tabla4[[#This Row],[DESEMBOLSO 1]:[DESEMBOLSO 8]])</f>
        <v>393751900</v>
      </c>
      <c r="BC785" s="35">
        <f>VLOOKUP(Tabla4[[#This Row],[SERVICIO 2025]],$J$2:$V$14,10,0)*Tabla4[[#This Row],[TOTAL COBERTURA]]*$W$3</f>
        <v>0</v>
      </c>
      <c r="BD785" s="47" t="s">
        <v>145</v>
      </c>
      <c r="BE785" s="12" t="b">
        <f>EXACT(Tabla4[[#This Row],[VALOR ATENCIÓN (8 MESES)]],Tabla4[[#This Row],[VALOR TOTAL]])</f>
        <v>1</v>
      </c>
      <c r="BF785" s="23">
        <f>Tabla4[[#This Row],[VALOR ATENCIÓN (8 MESES)]]-Tabla4[[#This Row],[VALOR TOTAL]]</f>
        <v>0</v>
      </c>
      <c r="BG785" s="12" t="b">
        <f>EXACT(Tabla4[[#This Row],[TOTAL DESEMBOLSOS]],Tabla4[[#This Row],[VALOR ATENCIÓN (8 MESES)]])</f>
        <v>1</v>
      </c>
      <c r="BH785" s="29">
        <f>Tabla4[[#This Row],[TOTAL DESEMBOLSOS]]-Tabla4[[#This Row],[VALOR ATENCIÓN (8 MESES)]]</f>
        <v>0</v>
      </c>
      <c r="BI785" t="s">
        <v>98</v>
      </c>
    </row>
    <row r="786" spans="1:62">
      <c r="A786" s="13">
        <v>1962</v>
      </c>
      <c r="B786" s="13" t="s">
        <v>1742</v>
      </c>
      <c r="C786" s="12" t="s">
        <v>87</v>
      </c>
      <c r="D786" s="12" t="s">
        <v>651</v>
      </c>
      <c r="E786" s="12" t="s">
        <v>1743</v>
      </c>
      <c r="F786" s="12" t="s">
        <v>15</v>
      </c>
      <c r="G786" s="12" t="s">
        <v>90</v>
      </c>
      <c r="H786" s="12" t="s">
        <v>1756</v>
      </c>
      <c r="I786" s="12">
        <v>538000116600</v>
      </c>
      <c r="J786" s="12" t="s">
        <v>1757</v>
      </c>
      <c r="K786" s="12">
        <v>1</v>
      </c>
      <c r="L786" s="12">
        <v>60</v>
      </c>
      <c r="M786" s="12"/>
      <c r="N786" s="13">
        <v>1962</v>
      </c>
      <c r="O786" s="12" t="s">
        <v>93</v>
      </c>
      <c r="P786" s="12"/>
      <c r="Q786" s="12"/>
      <c r="R786" s="12" t="s">
        <v>94</v>
      </c>
      <c r="S786" s="12">
        <v>10</v>
      </c>
      <c r="T786" s="12" t="s">
        <v>1746</v>
      </c>
      <c r="U786" s="12" t="s">
        <v>1747</v>
      </c>
      <c r="V786" s="12">
        <f>VLOOKUP(Tabla4[[#This Row],[ZONA DEFINITIVO]],Hoja1!$A$1:$D$121,3,0)</f>
        <v>229123</v>
      </c>
      <c r="W786" s="12">
        <f>VLOOKUP(Tabla4[[#This Row],[ZONA DEFINITIVO]],Hoja1!$A$1:$D$121,2,0)</f>
        <v>15216</v>
      </c>
      <c r="X786" s="12">
        <f>VLOOKUP(Tabla4[[#This Row],[ZONA DEFINITIVO]],Hoja1!$A$1:$D$121,4,0)</f>
        <v>86525</v>
      </c>
      <c r="Y786" s="12" t="str">
        <f>+IF(Tabla4[[#This Row],[AGRUPACIONES]]=1,SUMIFS(Tabla4[UDS],Tabla4[ZONA DEFINITIVO],Tabla4[[#This Row],[ZONA DEFINITIVO]])," ")</f>
        <v xml:space="preserve"> </v>
      </c>
      <c r="Z786" s="12" t="str">
        <f>+IF(Tabla4[[#This Row],[AGRUPACIONES]]=1,SUMIFS(Tabla4[TOTAL COBERTURA],Tabla4[ZONA DEFINITIVO],Tabla4[[#This Row],[ZONA DEFINITIVO]])," ")</f>
        <v xml:space="preserve"> </v>
      </c>
      <c r="AA786" s="12"/>
      <c r="AB786" s="38">
        <v>259764120</v>
      </c>
      <c r="AC786" s="37">
        <v>0.02</v>
      </c>
      <c r="AD786" s="38">
        <f t="shared" si="12"/>
        <v>5195282.4000000004</v>
      </c>
      <c r="AE786" s="12"/>
      <c r="AF786" s="12">
        <f>COUNTIF($A$20:A786,A786)</f>
        <v>6</v>
      </c>
      <c r="AG786" s="38">
        <v>259764120</v>
      </c>
      <c r="AH786" s="38">
        <f>Tabla4[[#This Row],[VALOR CONTRAPARTIDA]]+Tabla4[[#This Row],[TOTAL APORTES ICBF]]</f>
        <v>264959402.40000001</v>
      </c>
      <c r="AI786" s="35"/>
      <c r="AJ786" s="38"/>
      <c r="AK786" s="38"/>
      <c r="AL786" s="23"/>
      <c r="AM786" s="35">
        <f>VLOOKUP(Tabla4[[#This Row],[SERVICIO 2025]],$J$2:$V$14,5,0)*Tabla4[[#This Row],[TOTAL COBERTURA]]</f>
        <v>5288580</v>
      </c>
      <c r="AN786" s="35">
        <f>VLOOKUP(Tabla4[[#This Row],[SERVICIO 2025]],$J$2:$V$14,6,0)*Tabla4[[#This Row],[TOTAL COBERTURA]]</f>
        <v>4502580</v>
      </c>
      <c r="AO786" s="35">
        <f>VLOOKUP(Tabla4[[#This Row],[SERVICIO 2025]],$J$2:$V$14,8,0)*Tabla4[[#This Row],[TOTAL COBERTURA]]</f>
        <v>0</v>
      </c>
      <c r="AP786" s="35">
        <f>VLOOKUP(Tabla4[[#This Row],[SERVICIO 2025]],$J$2:$V$14,3,0)*Tabla4[[#This Row],[TOTAL COBERTURA]]*8</f>
        <v>249972960</v>
      </c>
      <c r="AQ786" s="35"/>
      <c r="AR786" s="35">
        <f>Tabla4[[#This Row],[VALOR FASE PREPARATORIA DE ALISTAMIENTO]]+Tabla4[[#This Row],[VALOR FASE PREPARATORIA DE CIERRE]]+Tabla4[[#This Row],[DOTACIÓN ÚNICA]]+Tabla4[[#This Row],[VALOR ATENCIÓN]]+Tabla4[[#This Row],[VALOR RACION PREPARADA]]</f>
        <v>259764120</v>
      </c>
      <c r="AS786" s="35" t="str">
        <f>+IF(Tabla4[[#This Row],[AGRUPACIONES]]=1,SUMIFS(Tabla4[VALOR TOTAL],Tabla4[ZONA DEFINITIVO],Tabla4[[#This Row],[ZONA DEFINITIVO]])," ")</f>
        <v xml:space="preserve"> </v>
      </c>
      <c r="AT786" s="27">
        <f>(VLOOKUP(Tabla4[[#This Row],[SERVICIO 2025]],$J$2:$V$14,3,0)*Tabla4[[#This Row],[TOTAL COBERTURA]])+Tabla4[[#This Row],[VALOR FASE PREPARATORIA DE ALISTAMIENTO]]+Tabla4[[#This Row],[DOTACIÓN ÚNICA]]</f>
        <v>36535200</v>
      </c>
      <c r="AU786" s="35">
        <f>(VLOOKUP(Tabla4[[#This Row],[SERVICIO 2025]],$J$2:$V$14,3,0)*Tabla4[[#This Row],[TOTAL COBERTURA]])</f>
        <v>31246620</v>
      </c>
      <c r="AV786" s="35">
        <f>(VLOOKUP(Tabla4[[#This Row],[SERVICIO 2025]],$J$2:$V$14,3,0)*Tabla4[[#This Row],[TOTAL COBERTURA]])</f>
        <v>31246620</v>
      </c>
      <c r="AW786" s="35">
        <f>(VLOOKUP(Tabla4[[#This Row],[SERVICIO 2025]],$J$2:$V$14,3,0)*Tabla4[[#This Row],[TOTAL COBERTURA]])</f>
        <v>31246620</v>
      </c>
      <c r="AX786" s="35">
        <f>(VLOOKUP(Tabla4[[#This Row],[SERVICIO 2025]],$J$2:$V$14,3,0)*Tabla4[[#This Row],[TOTAL COBERTURA]])</f>
        <v>31246620</v>
      </c>
      <c r="AY786" s="35">
        <f>(VLOOKUP(Tabla4[[#This Row],[SERVICIO 2025]],$J$2:$V$14,3,0)*Tabla4[[#This Row],[TOTAL COBERTURA]])</f>
        <v>31246620</v>
      </c>
      <c r="AZ786" s="35">
        <f>(VLOOKUP(Tabla4[[#This Row],[SERVICIO 2025]],$J$2:$V$14,3,0)*Tabla4[[#This Row],[TOTAL COBERTURA]])</f>
        <v>31246620</v>
      </c>
      <c r="BA786" s="35">
        <f>(VLOOKUP(Tabla4[[#This Row],[SERVICIO 2025]],$J$2:$V$14,3,0)*Tabla4[[#This Row],[TOTAL COBERTURA]])+Tabla4[[#This Row],[VALOR FASE PREPARATORIA DE CIERRE]]</f>
        <v>35749200</v>
      </c>
      <c r="BB786" s="35">
        <f>SUM(Tabla4[[#This Row],[DESEMBOLSO 1]:[DESEMBOLSO 8]])</f>
        <v>259764120</v>
      </c>
      <c r="BC786" s="35">
        <f>VLOOKUP(Tabla4[[#This Row],[SERVICIO 2025]],$J$2:$V$14,10,0)*Tabla4[[#This Row],[TOTAL COBERTURA]]*$W$3</f>
        <v>0</v>
      </c>
      <c r="BD786" s="47" t="s">
        <v>145</v>
      </c>
      <c r="BE786" s="12" t="b">
        <f>EXACT(Tabla4[[#This Row],[VALOR ATENCIÓN (8 MESES)]],Tabla4[[#This Row],[VALOR TOTAL]])</f>
        <v>1</v>
      </c>
      <c r="BF786" s="23">
        <f>Tabla4[[#This Row],[VALOR ATENCIÓN (8 MESES)]]-Tabla4[[#This Row],[VALOR TOTAL]]</f>
        <v>0</v>
      </c>
      <c r="BG786" s="12" t="b">
        <f>EXACT(Tabla4[[#This Row],[TOTAL DESEMBOLSOS]],Tabla4[[#This Row],[VALOR ATENCIÓN (8 MESES)]])</f>
        <v>1</v>
      </c>
      <c r="BH786" s="29">
        <f>Tabla4[[#This Row],[TOTAL DESEMBOLSOS]]-Tabla4[[#This Row],[VALOR ATENCIÓN (8 MESES)]]</f>
        <v>0</v>
      </c>
      <c r="BI786" t="s">
        <v>98</v>
      </c>
    </row>
    <row r="787" spans="1:62">
      <c r="A787" s="13">
        <v>1964</v>
      </c>
      <c r="B787" s="13" t="s">
        <v>1758</v>
      </c>
      <c r="C787" s="12" t="s">
        <v>87</v>
      </c>
      <c r="D787" s="12" t="s">
        <v>527</v>
      </c>
      <c r="E787" s="12" t="s">
        <v>1759</v>
      </c>
      <c r="F787" s="12" t="s">
        <v>15</v>
      </c>
      <c r="G787" s="12" t="s">
        <v>90</v>
      </c>
      <c r="H787" s="12" t="s">
        <v>1760</v>
      </c>
      <c r="I787" s="12">
        <v>54001115664</v>
      </c>
      <c r="J787" s="12" t="s">
        <v>1761</v>
      </c>
      <c r="K787" s="12">
        <v>1</v>
      </c>
      <c r="L787" s="12">
        <v>31</v>
      </c>
      <c r="M787" s="12"/>
      <c r="N787" s="13">
        <v>1964</v>
      </c>
      <c r="O787" s="12" t="s">
        <v>93</v>
      </c>
      <c r="P787" s="12"/>
      <c r="Q787" s="12"/>
      <c r="R787" s="12" t="s">
        <v>94</v>
      </c>
      <c r="S787" s="12">
        <v>10</v>
      </c>
      <c r="T787" s="12" t="s">
        <v>379</v>
      </c>
      <c r="U787" s="12" t="s">
        <v>380</v>
      </c>
      <c r="V787" s="12">
        <f>VLOOKUP(Tabla4[[#This Row],[ZONA DEFINITIVO]],Hoja1!$A$1:$D$121,3,0)</f>
        <v>229125</v>
      </c>
      <c r="W787" s="12">
        <f>VLOOKUP(Tabla4[[#This Row],[ZONA DEFINITIVO]],Hoja1!$A$1:$D$121,2,0)</f>
        <v>15205</v>
      </c>
      <c r="X787" s="12">
        <f>VLOOKUP(Tabla4[[#This Row],[ZONA DEFINITIVO]],Hoja1!$A$1:$D$121,4,0)</f>
        <v>92125</v>
      </c>
      <c r="Y787" s="12">
        <f>+IF(Tabla4[[#This Row],[AGRUPACIONES]]=1,SUMIFS(Tabla4[UDS],Tabla4[ZONA DEFINITIVO],Tabla4[[#This Row],[ZONA DEFINITIVO]])," ")</f>
        <v>9</v>
      </c>
      <c r="Z787" s="12">
        <f>+IF(Tabla4[[#This Row],[AGRUPACIONES]]=1,SUMIFS(Tabla4[TOTAL COBERTURA],Tabla4[ZONA DEFINITIVO],Tabla4[[#This Row],[ZONA DEFINITIVO]])," ")</f>
        <v>764</v>
      </c>
      <c r="AA787" s="12"/>
      <c r="AB787" s="38">
        <v>134211462</v>
      </c>
      <c r="AC787" s="37">
        <v>0.02</v>
      </c>
      <c r="AD787" s="38">
        <f t="shared" si="12"/>
        <v>2684229.2400000002</v>
      </c>
      <c r="AE787" s="12"/>
      <c r="AF787" s="12">
        <f>COUNTIF($A$20:A787,A787)</f>
        <v>1</v>
      </c>
      <c r="AG787" s="38">
        <v>134211462</v>
      </c>
      <c r="AH787" s="38">
        <f>Tabla4[[#This Row],[VALOR CONTRAPARTIDA]]+Tabla4[[#This Row],[TOTAL APORTES ICBF]]</f>
        <v>136895691.24000001</v>
      </c>
      <c r="AI787" s="35">
        <f>ROUND(+IF(Tabla4[[#This Row],[AGRUPACIONES]]=1,SUMIFS(Tabla4[TOTAL APORTES ICBF],Tabla4[ZONA DEFINITIVO],Tabla4[[#This Row],[ZONA DEFINITIVO]])," "),0)</f>
        <v>2422468428</v>
      </c>
      <c r="AJ787" s="38">
        <f>ROUND(+IF(Tabla4[[#This Row],[AGRUPACIONES]]=1,SUMIFS(Tabla4[VALOR CONTRAPARTIDA],Tabla4[ZONA DEFINITIVO],Tabla4[[#This Row],[ZONA DEFINITIVO]])," "),0)</f>
        <v>48449369</v>
      </c>
      <c r="AK787" s="38">
        <f>Tabla4[[#This Row],[TOTAL APORTES ICBF AGRUPADO]]+Tabla4[[#This Row],[TOTAL CONTRAPARTIDA AGRUPADO]]</f>
        <v>2470917797</v>
      </c>
      <c r="AL787" s="23">
        <f>Tabla4[[#This Row],[TOTAL APORTES ICBF AGRUPADO]]/$AL$18</f>
        <v>1701.7691801896733</v>
      </c>
      <c r="AM787" s="35">
        <f>VLOOKUP(Tabla4[[#This Row],[SERVICIO 2025]],$J$2:$V$14,5,0)*Tabla4[[#This Row],[TOTAL COBERTURA]]</f>
        <v>2732433</v>
      </c>
      <c r="AN787" s="35">
        <f>VLOOKUP(Tabla4[[#This Row],[SERVICIO 2025]],$J$2:$V$14,6,0)*Tabla4[[#This Row],[TOTAL COBERTURA]]</f>
        <v>2326333</v>
      </c>
      <c r="AO787" s="35">
        <f>VLOOKUP(Tabla4[[#This Row],[SERVICIO 2025]],$J$2:$V$14,8,0)*Tabla4[[#This Row],[TOTAL COBERTURA]]</f>
        <v>0</v>
      </c>
      <c r="AP787" s="35">
        <f>VLOOKUP(Tabla4[[#This Row],[SERVICIO 2025]],$J$2:$V$14,3,0)*Tabla4[[#This Row],[TOTAL COBERTURA]]*8</f>
        <v>129152696</v>
      </c>
      <c r="AQ787" s="35"/>
      <c r="AR787" s="35">
        <f>Tabla4[[#This Row],[VALOR FASE PREPARATORIA DE ALISTAMIENTO]]+Tabla4[[#This Row],[VALOR FASE PREPARATORIA DE CIERRE]]+Tabla4[[#This Row],[DOTACIÓN ÚNICA]]+Tabla4[[#This Row],[VALOR ATENCIÓN]]+Tabla4[[#This Row],[VALOR RACION PREPARADA]]</f>
        <v>134211462</v>
      </c>
      <c r="AS787" s="35">
        <f>+IF(Tabla4[[#This Row],[AGRUPACIONES]]=1,SUMIFS(Tabla4[VALOR TOTAL],Tabla4[ZONA DEFINITIVO],Tabla4[[#This Row],[ZONA DEFINITIVO]])," ")</f>
        <v>2422468428</v>
      </c>
      <c r="AT787" s="27">
        <f>(VLOOKUP(Tabla4[[#This Row],[SERVICIO 2025]],$J$2:$V$14,3,0)*Tabla4[[#This Row],[TOTAL COBERTURA]])+Tabla4[[#This Row],[VALOR FASE PREPARATORIA DE ALISTAMIENTO]]+Tabla4[[#This Row],[DOTACIÓN ÚNICA]]</f>
        <v>18876520</v>
      </c>
      <c r="AU787" s="35">
        <f>(VLOOKUP(Tabla4[[#This Row],[SERVICIO 2025]],$J$2:$V$14,3,0)*Tabla4[[#This Row],[TOTAL COBERTURA]])</f>
        <v>16144087</v>
      </c>
      <c r="AV787" s="35">
        <f>(VLOOKUP(Tabla4[[#This Row],[SERVICIO 2025]],$J$2:$V$14,3,0)*Tabla4[[#This Row],[TOTAL COBERTURA]])</f>
        <v>16144087</v>
      </c>
      <c r="AW787" s="35">
        <f>(VLOOKUP(Tabla4[[#This Row],[SERVICIO 2025]],$J$2:$V$14,3,0)*Tabla4[[#This Row],[TOTAL COBERTURA]])</f>
        <v>16144087</v>
      </c>
      <c r="AX787" s="35">
        <f>(VLOOKUP(Tabla4[[#This Row],[SERVICIO 2025]],$J$2:$V$14,3,0)*Tabla4[[#This Row],[TOTAL COBERTURA]])</f>
        <v>16144087</v>
      </c>
      <c r="AY787" s="35">
        <f>(VLOOKUP(Tabla4[[#This Row],[SERVICIO 2025]],$J$2:$V$14,3,0)*Tabla4[[#This Row],[TOTAL COBERTURA]])</f>
        <v>16144087</v>
      </c>
      <c r="AZ787" s="35">
        <f>(VLOOKUP(Tabla4[[#This Row],[SERVICIO 2025]],$J$2:$V$14,3,0)*Tabla4[[#This Row],[TOTAL COBERTURA]])</f>
        <v>16144087</v>
      </c>
      <c r="BA787" s="35">
        <f>(VLOOKUP(Tabla4[[#This Row],[SERVICIO 2025]],$J$2:$V$14,3,0)*Tabla4[[#This Row],[TOTAL COBERTURA]])+Tabla4[[#This Row],[VALOR FASE PREPARATORIA DE CIERRE]]</f>
        <v>18470420</v>
      </c>
      <c r="BB787" s="35">
        <f>SUM(Tabla4[[#This Row],[DESEMBOLSO 1]:[DESEMBOLSO 8]])</f>
        <v>134211462</v>
      </c>
      <c r="BC787" s="35">
        <f>VLOOKUP(Tabla4[[#This Row],[SERVICIO 2025]],$J$2:$V$14,10,0)*Tabla4[[#This Row],[TOTAL COBERTURA]]*$W$3</f>
        <v>0</v>
      </c>
      <c r="BD787" s="47" t="s">
        <v>145</v>
      </c>
      <c r="BE787" s="12" t="b">
        <f>EXACT(Tabla4[[#This Row],[VALOR ATENCIÓN (8 MESES)]],Tabla4[[#This Row],[VALOR TOTAL]])</f>
        <v>1</v>
      </c>
      <c r="BF787" s="23">
        <f>Tabla4[[#This Row],[VALOR ATENCIÓN (8 MESES)]]-Tabla4[[#This Row],[VALOR TOTAL]]</f>
        <v>0</v>
      </c>
      <c r="BG787" s="12" t="b">
        <f>EXACT(Tabla4[[#This Row],[TOTAL DESEMBOLSOS]],Tabla4[[#This Row],[VALOR ATENCIÓN (8 MESES)]])</f>
        <v>1</v>
      </c>
      <c r="BH787" s="29">
        <f>Tabla4[[#This Row],[TOTAL DESEMBOLSOS]]-Tabla4[[#This Row],[VALOR ATENCIÓN (8 MESES)]]</f>
        <v>0</v>
      </c>
      <c r="BI787" t="s">
        <v>98</v>
      </c>
      <c r="BJ787">
        <v>1964</v>
      </c>
    </row>
    <row r="788" spans="1:62">
      <c r="A788" s="13">
        <v>1964</v>
      </c>
      <c r="B788" s="13" t="s">
        <v>1758</v>
      </c>
      <c r="C788" s="12" t="s">
        <v>87</v>
      </c>
      <c r="D788" s="12" t="s">
        <v>527</v>
      </c>
      <c r="E788" s="12" t="s">
        <v>1759</v>
      </c>
      <c r="F788" s="12" t="s">
        <v>14</v>
      </c>
      <c r="G788" s="12" t="s">
        <v>90</v>
      </c>
      <c r="H788" s="12" t="s">
        <v>1762</v>
      </c>
      <c r="I788" s="12">
        <v>54001115666</v>
      </c>
      <c r="J788" s="12" t="s">
        <v>1739</v>
      </c>
      <c r="K788" s="12">
        <v>1</v>
      </c>
      <c r="L788" s="12">
        <v>300</v>
      </c>
      <c r="M788" s="12"/>
      <c r="N788" s="13">
        <v>1964</v>
      </c>
      <c r="O788" s="12" t="s">
        <v>93</v>
      </c>
      <c r="P788" s="12"/>
      <c r="Q788" s="12"/>
      <c r="R788" s="12" t="s">
        <v>94</v>
      </c>
      <c r="S788" s="12">
        <v>10</v>
      </c>
      <c r="T788" s="12" t="s">
        <v>379</v>
      </c>
      <c r="U788" s="12" t="s">
        <v>380</v>
      </c>
      <c r="V788" s="12">
        <f>VLOOKUP(Tabla4[[#This Row],[ZONA DEFINITIVO]],Hoja1!$A$1:$D$121,3,0)</f>
        <v>229125</v>
      </c>
      <c r="W788" s="12">
        <f>VLOOKUP(Tabla4[[#This Row],[ZONA DEFINITIVO]],Hoja1!$A$1:$D$121,2,0)</f>
        <v>15205</v>
      </c>
      <c r="X788" s="12">
        <f>VLOOKUP(Tabla4[[#This Row],[ZONA DEFINITIVO]],Hoja1!$A$1:$D$121,4,0)</f>
        <v>92125</v>
      </c>
      <c r="Y788" s="12" t="str">
        <f>+IF(Tabla4[[#This Row],[AGRUPACIONES]]=1,SUMIFS(Tabla4[UDS],Tabla4[ZONA DEFINITIVO],Tabla4[[#This Row],[ZONA DEFINITIVO]])," ")</f>
        <v xml:space="preserve"> </v>
      </c>
      <c r="Z788" s="12" t="str">
        <f>+IF(Tabla4[[#This Row],[AGRUPACIONES]]=1,SUMIFS(Tabla4[TOTAL COBERTURA],Tabla4[ZONA DEFINITIVO],Tabla4[[#This Row],[ZONA DEFINITIVO]])," ")</f>
        <v xml:space="preserve"> </v>
      </c>
      <c r="AA788" s="12"/>
      <c r="AB788" s="38">
        <v>1256655000</v>
      </c>
      <c r="AC788" s="37">
        <v>0.02</v>
      </c>
      <c r="AD788" s="38">
        <f t="shared" ref="AD788:AD851" si="13">AB788*AC788</f>
        <v>25133100</v>
      </c>
      <c r="AE788" s="12"/>
      <c r="AF788" s="12">
        <f>COUNTIF($A$20:A788,A788)</f>
        <v>2</v>
      </c>
      <c r="AG788" s="38">
        <v>1256655000</v>
      </c>
      <c r="AH788" s="38">
        <f>Tabla4[[#This Row],[VALOR CONTRAPARTIDA]]+Tabla4[[#This Row],[TOTAL APORTES ICBF]]</f>
        <v>1281788100</v>
      </c>
      <c r="AI788" s="35"/>
      <c r="AJ788" s="38"/>
      <c r="AK788" s="38"/>
      <c r="AL788" s="23"/>
      <c r="AM788" s="35">
        <f>VLOOKUP(Tabla4[[#This Row],[SERVICIO 2025]],$J$2:$V$14,5,0)*Tabla4[[#This Row],[TOTAL COBERTURA]]</f>
        <v>26442900</v>
      </c>
      <c r="AN788" s="35">
        <f>VLOOKUP(Tabla4[[#This Row],[SERVICIO 2025]],$J$2:$V$14,6,0)*Tabla4[[#This Row],[TOTAL COBERTURA]]</f>
        <v>22512900</v>
      </c>
      <c r="AO788" s="35">
        <f>VLOOKUP(Tabla4[[#This Row],[SERVICIO 2025]],$J$2:$V$14,8,0)*Tabla4[[#This Row],[TOTAL COBERTURA]]</f>
        <v>0</v>
      </c>
      <c r="AP788" s="35">
        <f>VLOOKUP(Tabla4[[#This Row],[SERVICIO 2025]],$J$2:$V$14,3,0)*Tabla4[[#This Row],[TOTAL COBERTURA]]*8</f>
        <v>1207699200</v>
      </c>
      <c r="AQ788" s="35"/>
      <c r="AR788" s="35">
        <f>Tabla4[[#This Row],[VALOR FASE PREPARATORIA DE ALISTAMIENTO]]+Tabla4[[#This Row],[VALOR FASE PREPARATORIA DE CIERRE]]+Tabla4[[#This Row],[DOTACIÓN ÚNICA]]+Tabla4[[#This Row],[VALOR ATENCIÓN]]+Tabla4[[#This Row],[VALOR RACION PREPARADA]]</f>
        <v>1256655000</v>
      </c>
      <c r="AS788" s="35" t="str">
        <f>+IF(Tabla4[[#This Row],[AGRUPACIONES]]=1,SUMIFS(Tabla4[VALOR TOTAL],Tabla4[ZONA DEFINITIVO],Tabla4[[#This Row],[ZONA DEFINITIVO]])," ")</f>
        <v xml:space="preserve"> </v>
      </c>
      <c r="AT788" s="27">
        <f>(VLOOKUP(Tabla4[[#This Row],[SERVICIO 2025]],$J$2:$V$14,3,0)*Tabla4[[#This Row],[TOTAL COBERTURA]])+Tabla4[[#This Row],[VALOR FASE PREPARATORIA DE ALISTAMIENTO]]+Tabla4[[#This Row],[DOTACIÓN ÚNICA]]</f>
        <v>177405300</v>
      </c>
      <c r="AU788" s="35">
        <f>(VLOOKUP(Tabla4[[#This Row],[SERVICIO 2025]],$J$2:$V$14,3,0)*Tabla4[[#This Row],[TOTAL COBERTURA]])</f>
        <v>150962400</v>
      </c>
      <c r="AV788" s="35">
        <f>(VLOOKUP(Tabla4[[#This Row],[SERVICIO 2025]],$J$2:$V$14,3,0)*Tabla4[[#This Row],[TOTAL COBERTURA]])</f>
        <v>150962400</v>
      </c>
      <c r="AW788" s="35">
        <f>(VLOOKUP(Tabla4[[#This Row],[SERVICIO 2025]],$J$2:$V$14,3,0)*Tabla4[[#This Row],[TOTAL COBERTURA]])</f>
        <v>150962400</v>
      </c>
      <c r="AX788" s="35">
        <f>(VLOOKUP(Tabla4[[#This Row],[SERVICIO 2025]],$J$2:$V$14,3,0)*Tabla4[[#This Row],[TOTAL COBERTURA]])</f>
        <v>150962400</v>
      </c>
      <c r="AY788" s="35">
        <f>(VLOOKUP(Tabla4[[#This Row],[SERVICIO 2025]],$J$2:$V$14,3,0)*Tabla4[[#This Row],[TOTAL COBERTURA]])</f>
        <v>150962400</v>
      </c>
      <c r="AZ788" s="35">
        <f>(VLOOKUP(Tabla4[[#This Row],[SERVICIO 2025]],$J$2:$V$14,3,0)*Tabla4[[#This Row],[TOTAL COBERTURA]])</f>
        <v>150962400</v>
      </c>
      <c r="BA788" s="35">
        <f>(VLOOKUP(Tabla4[[#This Row],[SERVICIO 2025]],$J$2:$V$14,3,0)*Tabla4[[#This Row],[TOTAL COBERTURA]])+Tabla4[[#This Row],[VALOR FASE PREPARATORIA DE CIERRE]]</f>
        <v>173475300</v>
      </c>
      <c r="BB788" s="35">
        <f>SUM(Tabla4[[#This Row],[DESEMBOLSO 1]:[DESEMBOLSO 8]])</f>
        <v>1256655000</v>
      </c>
      <c r="BC788" s="35">
        <f>VLOOKUP(Tabla4[[#This Row],[SERVICIO 2025]],$J$2:$V$14,10,0)*Tabla4[[#This Row],[TOTAL COBERTURA]]*$W$3</f>
        <v>0</v>
      </c>
      <c r="BD788" s="47" t="s">
        <v>145</v>
      </c>
      <c r="BE788" s="12" t="b">
        <f>EXACT(Tabla4[[#This Row],[VALOR ATENCIÓN (8 MESES)]],Tabla4[[#This Row],[VALOR TOTAL]])</f>
        <v>1</v>
      </c>
      <c r="BF788" s="23">
        <f>Tabla4[[#This Row],[VALOR ATENCIÓN (8 MESES)]]-Tabla4[[#This Row],[VALOR TOTAL]]</f>
        <v>0</v>
      </c>
      <c r="BG788" s="12" t="b">
        <f>EXACT(Tabla4[[#This Row],[TOTAL DESEMBOLSOS]],Tabla4[[#This Row],[VALOR ATENCIÓN (8 MESES)]])</f>
        <v>1</v>
      </c>
      <c r="BH788" s="29">
        <f>Tabla4[[#This Row],[TOTAL DESEMBOLSOS]]-Tabla4[[#This Row],[VALOR ATENCIÓN (8 MESES)]]</f>
        <v>0</v>
      </c>
      <c r="BI788" t="s">
        <v>98</v>
      </c>
      <c r="BJ788">
        <v>1964</v>
      </c>
    </row>
    <row r="789" spans="1:62">
      <c r="A789" s="13">
        <v>1964</v>
      </c>
      <c r="B789" s="13" t="s">
        <v>1758</v>
      </c>
      <c r="C789" s="12" t="s">
        <v>87</v>
      </c>
      <c r="D789" s="12" t="s">
        <v>527</v>
      </c>
      <c r="E789" s="12" t="s">
        <v>1759</v>
      </c>
      <c r="F789" s="12" t="s">
        <v>21</v>
      </c>
      <c r="G789" s="12" t="s">
        <v>90</v>
      </c>
      <c r="H789" s="12" t="s">
        <v>1763</v>
      </c>
      <c r="I789" s="12">
        <v>54001133831</v>
      </c>
      <c r="J789" s="12" t="s">
        <v>1764</v>
      </c>
      <c r="K789" s="12">
        <v>1</v>
      </c>
      <c r="L789" s="12">
        <v>50</v>
      </c>
      <c r="M789" s="12"/>
      <c r="N789" s="13">
        <v>1964</v>
      </c>
      <c r="O789" s="12" t="s">
        <v>93</v>
      </c>
      <c r="P789" s="12"/>
      <c r="Q789" s="12"/>
      <c r="R789" s="12" t="s">
        <v>94</v>
      </c>
      <c r="S789" s="12">
        <v>10</v>
      </c>
      <c r="T789" s="12" t="s">
        <v>379</v>
      </c>
      <c r="U789" s="12" t="s">
        <v>380</v>
      </c>
      <c r="V789" s="12">
        <f>VLOOKUP(Tabla4[[#This Row],[ZONA DEFINITIVO]],Hoja1!$A$1:$D$121,3,0)</f>
        <v>229125</v>
      </c>
      <c r="W789" s="12">
        <f>VLOOKUP(Tabla4[[#This Row],[ZONA DEFINITIVO]],Hoja1!$A$1:$D$121,2,0)</f>
        <v>15205</v>
      </c>
      <c r="X789" s="12">
        <f>VLOOKUP(Tabla4[[#This Row],[ZONA DEFINITIVO]],Hoja1!$A$1:$D$121,4,0)</f>
        <v>92125</v>
      </c>
      <c r="Y789" s="12" t="str">
        <f>+IF(Tabla4[[#This Row],[AGRUPACIONES]]=1,SUMIFS(Tabla4[UDS],Tabla4[ZONA DEFINITIVO],Tabla4[[#This Row],[ZONA DEFINITIVO]])," ")</f>
        <v xml:space="preserve"> </v>
      </c>
      <c r="Z789" s="12" t="str">
        <f>+IF(Tabla4[[#This Row],[AGRUPACIONES]]=1,SUMIFS(Tabla4[TOTAL COBERTURA],Tabla4[ZONA DEFINITIVO],Tabla4[[#This Row],[ZONA DEFINITIVO]])," ")</f>
        <v xml:space="preserve"> </v>
      </c>
      <c r="AA789" s="12"/>
      <c r="AB789" s="38">
        <v>75965250</v>
      </c>
      <c r="AC789" s="37">
        <v>0.02</v>
      </c>
      <c r="AD789" s="38">
        <f t="shared" si="13"/>
        <v>1519305</v>
      </c>
      <c r="AE789" s="12"/>
      <c r="AF789" s="12">
        <f>COUNTIF($A$20:A789,A789)</f>
        <v>3</v>
      </c>
      <c r="AG789" s="38">
        <v>75965250</v>
      </c>
      <c r="AH789" s="38">
        <f>Tabla4[[#This Row],[VALOR CONTRAPARTIDA]]+Tabla4[[#This Row],[TOTAL APORTES ICBF]]</f>
        <v>77484555</v>
      </c>
      <c r="AI789" s="35"/>
      <c r="AJ789" s="38"/>
      <c r="AK789" s="38"/>
      <c r="AL789" s="23"/>
      <c r="AM789" s="35">
        <f>VLOOKUP(Tabla4[[#This Row],[SERVICIO 2025]],$J$2:$V$14,5,0)*Tabla4[[#This Row],[TOTAL COBERTURA]]</f>
        <v>2337200</v>
      </c>
      <c r="AN789" s="35">
        <f>VLOOKUP(Tabla4[[#This Row],[SERVICIO 2025]],$J$2:$V$14,6,0)*Tabla4[[#This Row],[TOTAL COBERTURA]]</f>
        <v>1892050</v>
      </c>
      <c r="AO789" s="35">
        <f>VLOOKUP(Tabla4[[#This Row],[SERVICIO 2025]],$J$2:$V$14,8,0)*Tabla4[[#This Row],[TOTAL COBERTURA]]</f>
        <v>0</v>
      </c>
      <c r="AP789" s="35">
        <f>VLOOKUP(Tabla4[[#This Row],[SERVICIO 2025]],$J$2:$V$14,3,0)*Tabla4[[#This Row],[TOTAL COBERTURA]]*8</f>
        <v>71736000</v>
      </c>
      <c r="AQ789" s="35"/>
      <c r="AR789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789" s="35" t="str">
        <f>+IF(Tabla4[[#This Row],[AGRUPACIONES]]=1,SUMIFS(Tabla4[VALOR TOTAL],Tabla4[ZONA DEFINITIVO],Tabla4[[#This Row],[ZONA DEFINITIVO]])," ")</f>
        <v xml:space="preserve"> </v>
      </c>
      <c r="AT789" s="27">
        <f>(VLOOKUP(Tabla4[[#This Row],[SERVICIO 2025]],$J$2:$V$14,3,0)*Tabla4[[#This Row],[TOTAL COBERTURA]])+Tabla4[[#This Row],[VALOR FASE PREPARATORIA DE ALISTAMIENTO]]+Tabla4[[#This Row],[DOTACIÓN ÚNICA]]</f>
        <v>11304200</v>
      </c>
      <c r="AU789" s="35">
        <f>(VLOOKUP(Tabla4[[#This Row],[SERVICIO 2025]],$J$2:$V$14,3,0)*Tabla4[[#This Row],[TOTAL COBERTURA]])</f>
        <v>8967000</v>
      </c>
      <c r="AV789" s="35">
        <f>(VLOOKUP(Tabla4[[#This Row],[SERVICIO 2025]],$J$2:$V$14,3,0)*Tabla4[[#This Row],[TOTAL COBERTURA]])</f>
        <v>8967000</v>
      </c>
      <c r="AW789" s="35">
        <f>(VLOOKUP(Tabla4[[#This Row],[SERVICIO 2025]],$J$2:$V$14,3,0)*Tabla4[[#This Row],[TOTAL COBERTURA]])</f>
        <v>8967000</v>
      </c>
      <c r="AX789" s="35">
        <f>(VLOOKUP(Tabla4[[#This Row],[SERVICIO 2025]],$J$2:$V$14,3,0)*Tabla4[[#This Row],[TOTAL COBERTURA]])</f>
        <v>8967000</v>
      </c>
      <c r="AY789" s="35">
        <f>(VLOOKUP(Tabla4[[#This Row],[SERVICIO 2025]],$J$2:$V$14,3,0)*Tabla4[[#This Row],[TOTAL COBERTURA]])</f>
        <v>8967000</v>
      </c>
      <c r="AZ789" s="35">
        <f>(VLOOKUP(Tabla4[[#This Row],[SERVICIO 2025]],$J$2:$V$14,3,0)*Tabla4[[#This Row],[TOTAL COBERTURA]])</f>
        <v>8967000</v>
      </c>
      <c r="BA789" s="35">
        <f>(VLOOKUP(Tabla4[[#This Row],[SERVICIO 2025]],$J$2:$V$14,3,0)*Tabla4[[#This Row],[TOTAL COBERTURA]])+Tabla4[[#This Row],[VALOR FASE PREPARATORIA DE CIERRE]]</f>
        <v>10859050</v>
      </c>
      <c r="BB789" s="35">
        <f>SUM(Tabla4[[#This Row],[DESEMBOLSO 1]:[DESEMBOLSO 8]])</f>
        <v>75965250</v>
      </c>
      <c r="BC789" s="35">
        <f>VLOOKUP(Tabla4[[#This Row],[SERVICIO 2025]],$J$2:$V$14,10,0)*Tabla4[[#This Row],[TOTAL COBERTURA]]*$W$3</f>
        <v>75328400</v>
      </c>
      <c r="BD789" s="47" t="s">
        <v>211</v>
      </c>
      <c r="BE789" s="12" t="b">
        <f>EXACT(Tabla4[[#This Row],[VALOR ATENCIÓN (8 MESES)]],Tabla4[[#This Row],[VALOR TOTAL]])</f>
        <v>1</v>
      </c>
      <c r="BF789" s="23">
        <f>Tabla4[[#This Row],[VALOR ATENCIÓN (8 MESES)]]-Tabla4[[#This Row],[VALOR TOTAL]]</f>
        <v>0</v>
      </c>
      <c r="BG789" s="12" t="b">
        <f>EXACT(Tabla4[[#This Row],[TOTAL DESEMBOLSOS]],Tabla4[[#This Row],[VALOR ATENCIÓN (8 MESES)]])</f>
        <v>1</v>
      </c>
      <c r="BH789" s="29">
        <f>Tabla4[[#This Row],[TOTAL DESEMBOLSOS]]-Tabla4[[#This Row],[VALOR ATENCIÓN (8 MESES)]]</f>
        <v>0</v>
      </c>
      <c r="BI789" t="s">
        <v>98</v>
      </c>
      <c r="BJ789">
        <v>1964</v>
      </c>
    </row>
    <row r="790" spans="1:62">
      <c r="A790" s="13">
        <v>1964</v>
      </c>
      <c r="B790" s="13" t="s">
        <v>1758</v>
      </c>
      <c r="C790" s="12" t="s">
        <v>87</v>
      </c>
      <c r="D790" s="12" t="s">
        <v>527</v>
      </c>
      <c r="E790" s="12" t="s">
        <v>1759</v>
      </c>
      <c r="F790" s="12" t="s">
        <v>21</v>
      </c>
      <c r="G790" s="12" t="s">
        <v>90</v>
      </c>
      <c r="H790" s="12" t="s">
        <v>1765</v>
      </c>
      <c r="I790" s="12">
        <v>54001133833</v>
      </c>
      <c r="J790" s="12" t="s">
        <v>1766</v>
      </c>
      <c r="K790" s="12">
        <v>1</v>
      </c>
      <c r="L790" s="12">
        <v>50</v>
      </c>
      <c r="M790" s="12"/>
      <c r="N790" s="13">
        <v>1964</v>
      </c>
      <c r="O790" s="12" t="s">
        <v>93</v>
      </c>
      <c r="P790" s="12"/>
      <c r="Q790" s="12"/>
      <c r="R790" s="12" t="s">
        <v>94</v>
      </c>
      <c r="S790" s="12">
        <v>10</v>
      </c>
      <c r="T790" s="12" t="s">
        <v>379</v>
      </c>
      <c r="U790" s="12" t="s">
        <v>380</v>
      </c>
      <c r="V790" s="12">
        <f>VLOOKUP(Tabla4[[#This Row],[ZONA DEFINITIVO]],Hoja1!$A$1:$D$121,3,0)</f>
        <v>229125</v>
      </c>
      <c r="W790" s="12">
        <f>VLOOKUP(Tabla4[[#This Row],[ZONA DEFINITIVO]],Hoja1!$A$1:$D$121,2,0)</f>
        <v>15205</v>
      </c>
      <c r="X790" s="12">
        <f>VLOOKUP(Tabla4[[#This Row],[ZONA DEFINITIVO]],Hoja1!$A$1:$D$121,4,0)</f>
        <v>92125</v>
      </c>
      <c r="Y790" s="12" t="str">
        <f>+IF(Tabla4[[#This Row],[AGRUPACIONES]]=1,SUMIFS(Tabla4[UDS],Tabla4[ZONA DEFINITIVO],Tabla4[[#This Row],[ZONA DEFINITIVO]])," ")</f>
        <v xml:space="preserve"> </v>
      </c>
      <c r="Z790" s="12" t="str">
        <f>+IF(Tabla4[[#This Row],[AGRUPACIONES]]=1,SUMIFS(Tabla4[TOTAL COBERTURA],Tabla4[ZONA DEFINITIVO],Tabla4[[#This Row],[ZONA DEFINITIVO]])," ")</f>
        <v xml:space="preserve"> </v>
      </c>
      <c r="AA790" s="12"/>
      <c r="AB790" s="38">
        <v>75965250</v>
      </c>
      <c r="AC790" s="37">
        <v>0.02</v>
      </c>
      <c r="AD790" s="38">
        <f t="shared" si="13"/>
        <v>1519305</v>
      </c>
      <c r="AE790" s="12"/>
      <c r="AF790" s="12">
        <f>COUNTIF($A$20:A790,A790)</f>
        <v>4</v>
      </c>
      <c r="AG790" s="38">
        <v>75965250</v>
      </c>
      <c r="AH790" s="38">
        <f>Tabla4[[#This Row],[VALOR CONTRAPARTIDA]]+Tabla4[[#This Row],[TOTAL APORTES ICBF]]</f>
        <v>77484555</v>
      </c>
      <c r="AI790" s="35"/>
      <c r="AJ790" s="38"/>
      <c r="AK790" s="38"/>
      <c r="AL790" s="23"/>
      <c r="AM790" s="35">
        <f>VLOOKUP(Tabla4[[#This Row],[SERVICIO 2025]],$J$2:$V$14,5,0)*Tabla4[[#This Row],[TOTAL COBERTURA]]</f>
        <v>2337200</v>
      </c>
      <c r="AN790" s="35">
        <f>VLOOKUP(Tabla4[[#This Row],[SERVICIO 2025]],$J$2:$V$14,6,0)*Tabla4[[#This Row],[TOTAL COBERTURA]]</f>
        <v>1892050</v>
      </c>
      <c r="AO790" s="35">
        <f>VLOOKUP(Tabla4[[#This Row],[SERVICIO 2025]],$J$2:$V$14,8,0)*Tabla4[[#This Row],[TOTAL COBERTURA]]</f>
        <v>0</v>
      </c>
      <c r="AP790" s="35">
        <f>VLOOKUP(Tabla4[[#This Row],[SERVICIO 2025]],$J$2:$V$14,3,0)*Tabla4[[#This Row],[TOTAL COBERTURA]]*8</f>
        <v>71736000</v>
      </c>
      <c r="AQ790" s="35"/>
      <c r="AR790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790" s="35" t="str">
        <f>+IF(Tabla4[[#This Row],[AGRUPACIONES]]=1,SUMIFS(Tabla4[VALOR TOTAL],Tabla4[ZONA DEFINITIVO],Tabla4[[#This Row],[ZONA DEFINITIVO]])," ")</f>
        <v xml:space="preserve"> </v>
      </c>
      <c r="AT790" s="27">
        <f>(VLOOKUP(Tabla4[[#This Row],[SERVICIO 2025]],$J$2:$V$14,3,0)*Tabla4[[#This Row],[TOTAL COBERTURA]])+Tabla4[[#This Row],[VALOR FASE PREPARATORIA DE ALISTAMIENTO]]+Tabla4[[#This Row],[DOTACIÓN ÚNICA]]</f>
        <v>11304200</v>
      </c>
      <c r="AU790" s="35">
        <f>(VLOOKUP(Tabla4[[#This Row],[SERVICIO 2025]],$J$2:$V$14,3,0)*Tabla4[[#This Row],[TOTAL COBERTURA]])</f>
        <v>8967000</v>
      </c>
      <c r="AV790" s="35">
        <f>(VLOOKUP(Tabla4[[#This Row],[SERVICIO 2025]],$J$2:$V$14,3,0)*Tabla4[[#This Row],[TOTAL COBERTURA]])</f>
        <v>8967000</v>
      </c>
      <c r="AW790" s="35">
        <f>(VLOOKUP(Tabla4[[#This Row],[SERVICIO 2025]],$J$2:$V$14,3,0)*Tabla4[[#This Row],[TOTAL COBERTURA]])</f>
        <v>8967000</v>
      </c>
      <c r="AX790" s="35">
        <f>(VLOOKUP(Tabla4[[#This Row],[SERVICIO 2025]],$J$2:$V$14,3,0)*Tabla4[[#This Row],[TOTAL COBERTURA]])</f>
        <v>8967000</v>
      </c>
      <c r="AY790" s="35">
        <f>(VLOOKUP(Tabla4[[#This Row],[SERVICIO 2025]],$J$2:$V$14,3,0)*Tabla4[[#This Row],[TOTAL COBERTURA]])</f>
        <v>8967000</v>
      </c>
      <c r="AZ790" s="35">
        <f>(VLOOKUP(Tabla4[[#This Row],[SERVICIO 2025]],$J$2:$V$14,3,0)*Tabla4[[#This Row],[TOTAL COBERTURA]])</f>
        <v>8967000</v>
      </c>
      <c r="BA790" s="35">
        <f>(VLOOKUP(Tabla4[[#This Row],[SERVICIO 2025]],$J$2:$V$14,3,0)*Tabla4[[#This Row],[TOTAL COBERTURA]])+Tabla4[[#This Row],[VALOR FASE PREPARATORIA DE CIERRE]]</f>
        <v>10859050</v>
      </c>
      <c r="BB790" s="35">
        <f>SUM(Tabla4[[#This Row],[DESEMBOLSO 1]:[DESEMBOLSO 8]])</f>
        <v>75965250</v>
      </c>
      <c r="BC790" s="35">
        <f>VLOOKUP(Tabla4[[#This Row],[SERVICIO 2025]],$J$2:$V$14,10,0)*Tabla4[[#This Row],[TOTAL COBERTURA]]*$W$3</f>
        <v>75328400</v>
      </c>
      <c r="BD790" s="47" t="s">
        <v>211</v>
      </c>
      <c r="BE790" s="12" t="b">
        <f>EXACT(Tabla4[[#This Row],[VALOR ATENCIÓN (8 MESES)]],Tabla4[[#This Row],[VALOR TOTAL]])</f>
        <v>1</v>
      </c>
      <c r="BF790" s="23">
        <f>Tabla4[[#This Row],[VALOR ATENCIÓN (8 MESES)]]-Tabla4[[#This Row],[VALOR TOTAL]]</f>
        <v>0</v>
      </c>
      <c r="BG790" s="12" t="b">
        <f>EXACT(Tabla4[[#This Row],[TOTAL DESEMBOLSOS]],Tabla4[[#This Row],[VALOR ATENCIÓN (8 MESES)]])</f>
        <v>1</v>
      </c>
      <c r="BH790" s="29">
        <f>Tabla4[[#This Row],[TOTAL DESEMBOLSOS]]-Tabla4[[#This Row],[VALOR ATENCIÓN (8 MESES)]]</f>
        <v>0</v>
      </c>
      <c r="BI790" t="s">
        <v>98</v>
      </c>
      <c r="BJ790">
        <v>1964</v>
      </c>
    </row>
    <row r="791" spans="1:62">
      <c r="A791" s="13">
        <v>1964</v>
      </c>
      <c r="B791" s="13" t="s">
        <v>1758</v>
      </c>
      <c r="C791" s="12" t="s">
        <v>87</v>
      </c>
      <c r="D791" s="12" t="s">
        <v>527</v>
      </c>
      <c r="E791" s="12" t="s">
        <v>1759</v>
      </c>
      <c r="F791" s="12" t="s">
        <v>21</v>
      </c>
      <c r="G791" s="12" t="s">
        <v>90</v>
      </c>
      <c r="H791" s="12" t="s">
        <v>1767</v>
      </c>
      <c r="I791" s="12">
        <v>54001133834</v>
      </c>
      <c r="J791" s="12" t="s">
        <v>1768</v>
      </c>
      <c r="K791" s="12">
        <v>1</v>
      </c>
      <c r="L791" s="12">
        <v>50</v>
      </c>
      <c r="M791" s="12"/>
      <c r="N791" s="13">
        <v>1964</v>
      </c>
      <c r="O791" s="12" t="s">
        <v>93</v>
      </c>
      <c r="P791" s="12"/>
      <c r="Q791" s="12"/>
      <c r="R791" s="12" t="s">
        <v>94</v>
      </c>
      <c r="S791" s="12">
        <v>10</v>
      </c>
      <c r="T791" s="12" t="s">
        <v>379</v>
      </c>
      <c r="U791" s="12" t="s">
        <v>380</v>
      </c>
      <c r="V791" s="12">
        <f>VLOOKUP(Tabla4[[#This Row],[ZONA DEFINITIVO]],Hoja1!$A$1:$D$121,3,0)</f>
        <v>229125</v>
      </c>
      <c r="W791" s="12">
        <f>VLOOKUP(Tabla4[[#This Row],[ZONA DEFINITIVO]],Hoja1!$A$1:$D$121,2,0)</f>
        <v>15205</v>
      </c>
      <c r="X791" s="12">
        <f>VLOOKUP(Tabla4[[#This Row],[ZONA DEFINITIVO]],Hoja1!$A$1:$D$121,4,0)</f>
        <v>92125</v>
      </c>
      <c r="Y791" s="12" t="str">
        <f>+IF(Tabla4[[#This Row],[AGRUPACIONES]]=1,SUMIFS(Tabla4[UDS],Tabla4[ZONA DEFINITIVO],Tabla4[[#This Row],[ZONA DEFINITIVO]])," ")</f>
        <v xml:space="preserve"> </v>
      </c>
      <c r="Z791" s="12" t="str">
        <f>+IF(Tabla4[[#This Row],[AGRUPACIONES]]=1,SUMIFS(Tabla4[TOTAL COBERTURA],Tabla4[ZONA DEFINITIVO],Tabla4[[#This Row],[ZONA DEFINITIVO]])," ")</f>
        <v xml:space="preserve"> </v>
      </c>
      <c r="AA791" s="12"/>
      <c r="AB791" s="38">
        <v>75965250</v>
      </c>
      <c r="AC791" s="37">
        <v>0.02</v>
      </c>
      <c r="AD791" s="38">
        <f t="shared" si="13"/>
        <v>1519305</v>
      </c>
      <c r="AE791" s="12"/>
      <c r="AF791" s="12">
        <f>COUNTIF($A$20:A791,A791)</f>
        <v>5</v>
      </c>
      <c r="AG791" s="38">
        <v>75965250</v>
      </c>
      <c r="AH791" s="38">
        <f>Tabla4[[#This Row],[VALOR CONTRAPARTIDA]]+Tabla4[[#This Row],[TOTAL APORTES ICBF]]</f>
        <v>77484555</v>
      </c>
      <c r="AI791" s="35"/>
      <c r="AJ791" s="38"/>
      <c r="AK791" s="38"/>
      <c r="AL791" s="23"/>
      <c r="AM791" s="35">
        <f>VLOOKUP(Tabla4[[#This Row],[SERVICIO 2025]],$J$2:$V$14,5,0)*Tabla4[[#This Row],[TOTAL COBERTURA]]</f>
        <v>2337200</v>
      </c>
      <c r="AN791" s="35">
        <f>VLOOKUP(Tabla4[[#This Row],[SERVICIO 2025]],$J$2:$V$14,6,0)*Tabla4[[#This Row],[TOTAL COBERTURA]]</f>
        <v>1892050</v>
      </c>
      <c r="AO791" s="35">
        <f>VLOOKUP(Tabla4[[#This Row],[SERVICIO 2025]],$J$2:$V$14,8,0)*Tabla4[[#This Row],[TOTAL COBERTURA]]</f>
        <v>0</v>
      </c>
      <c r="AP791" s="35">
        <f>VLOOKUP(Tabla4[[#This Row],[SERVICIO 2025]],$J$2:$V$14,3,0)*Tabla4[[#This Row],[TOTAL COBERTURA]]*8</f>
        <v>71736000</v>
      </c>
      <c r="AQ791" s="35"/>
      <c r="AR791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791" s="35" t="str">
        <f>+IF(Tabla4[[#This Row],[AGRUPACIONES]]=1,SUMIFS(Tabla4[VALOR TOTAL],Tabla4[ZONA DEFINITIVO],Tabla4[[#This Row],[ZONA DEFINITIVO]])," ")</f>
        <v xml:space="preserve"> </v>
      </c>
      <c r="AT791" s="27">
        <f>(VLOOKUP(Tabla4[[#This Row],[SERVICIO 2025]],$J$2:$V$14,3,0)*Tabla4[[#This Row],[TOTAL COBERTURA]])+Tabla4[[#This Row],[VALOR FASE PREPARATORIA DE ALISTAMIENTO]]+Tabla4[[#This Row],[DOTACIÓN ÚNICA]]</f>
        <v>11304200</v>
      </c>
      <c r="AU791" s="35">
        <f>(VLOOKUP(Tabla4[[#This Row],[SERVICIO 2025]],$J$2:$V$14,3,0)*Tabla4[[#This Row],[TOTAL COBERTURA]])</f>
        <v>8967000</v>
      </c>
      <c r="AV791" s="35">
        <f>(VLOOKUP(Tabla4[[#This Row],[SERVICIO 2025]],$J$2:$V$14,3,0)*Tabla4[[#This Row],[TOTAL COBERTURA]])</f>
        <v>8967000</v>
      </c>
      <c r="AW791" s="35">
        <f>(VLOOKUP(Tabla4[[#This Row],[SERVICIO 2025]],$J$2:$V$14,3,0)*Tabla4[[#This Row],[TOTAL COBERTURA]])</f>
        <v>8967000</v>
      </c>
      <c r="AX791" s="35">
        <f>(VLOOKUP(Tabla4[[#This Row],[SERVICIO 2025]],$J$2:$V$14,3,0)*Tabla4[[#This Row],[TOTAL COBERTURA]])</f>
        <v>8967000</v>
      </c>
      <c r="AY791" s="35">
        <f>(VLOOKUP(Tabla4[[#This Row],[SERVICIO 2025]],$J$2:$V$14,3,0)*Tabla4[[#This Row],[TOTAL COBERTURA]])</f>
        <v>8967000</v>
      </c>
      <c r="AZ791" s="35">
        <f>(VLOOKUP(Tabla4[[#This Row],[SERVICIO 2025]],$J$2:$V$14,3,0)*Tabla4[[#This Row],[TOTAL COBERTURA]])</f>
        <v>8967000</v>
      </c>
      <c r="BA791" s="35">
        <f>(VLOOKUP(Tabla4[[#This Row],[SERVICIO 2025]],$J$2:$V$14,3,0)*Tabla4[[#This Row],[TOTAL COBERTURA]])+Tabla4[[#This Row],[VALOR FASE PREPARATORIA DE CIERRE]]</f>
        <v>10859050</v>
      </c>
      <c r="BB791" s="35">
        <f>SUM(Tabla4[[#This Row],[DESEMBOLSO 1]:[DESEMBOLSO 8]])</f>
        <v>75965250</v>
      </c>
      <c r="BC791" s="35">
        <f>VLOOKUP(Tabla4[[#This Row],[SERVICIO 2025]],$J$2:$V$14,10,0)*Tabla4[[#This Row],[TOTAL COBERTURA]]*$W$3</f>
        <v>75328400</v>
      </c>
      <c r="BD791" s="47" t="s">
        <v>211</v>
      </c>
      <c r="BE791" s="12" t="b">
        <f>EXACT(Tabla4[[#This Row],[VALOR ATENCIÓN (8 MESES)]],Tabla4[[#This Row],[VALOR TOTAL]])</f>
        <v>1</v>
      </c>
      <c r="BF791" s="23">
        <f>Tabla4[[#This Row],[VALOR ATENCIÓN (8 MESES)]]-Tabla4[[#This Row],[VALOR TOTAL]]</f>
        <v>0</v>
      </c>
      <c r="BG791" s="12" t="b">
        <f>EXACT(Tabla4[[#This Row],[TOTAL DESEMBOLSOS]],Tabla4[[#This Row],[VALOR ATENCIÓN (8 MESES)]])</f>
        <v>1</v>
      </c>
      <c r="BH791" s="29">
        <f>Tabla4[[#This Row],[TOTAL DESEMBOLSOS]]-Tabla4[[#This Row],[VALOR ATENCIÓN (8 MESES)]]</f>
        <v>0</v>
      </c>
      <c r="BI791" t="s">
        <v>98</v>
      </c>
      <c r="BJ791">
        <v>1964</v>
      </c>
    </row>
    <row r="792" spans="1:62">
      <c r="A792" s="13">
        <v>1964</v>
      </c>
      <c r="B792" s="13" t="s">
        <v>1758</v>
      </c>
      <c r="C792" s="12" t="s">
        <v>87</v>
      </c>
      <c r="D792" s="12" t="s">
        <v>527</v>
      </c>
      <c r="E792" s="12" t="s">
        <v>1759</v>
      </c>
      <c r="F792" s="12" t="s">
        <v>21</v>
      </c>
      <c r="G792" s="12" t="s">
        <v>90</v>
      </c>
      <c r="H792" s="12" t="s">
        <v>1769</v>
      </c>
      <c r="I792" s="12">
        <v>54001133837</v>
      </c>
      <c r="J792" s="12" t="s">
        <v>1770</v>
      </c>
      <c r="K792" s="12">
        <v>1</v>
      </c>
      <c r="L792" s="12">
        <v>50</v>
      </c>
      <c r="M792" s="12"/>
      <c r="N792" s="13">
        <v>1964</v>
      </c>
      <c r="O792" s="12" t="s">
        <v>93</v>
      </c>
      <c r="P792" s="12"/>
      <c r="Q792" s="12"/>
      <c r="R792" s="12" t="s">
        <v>94</v>
      </c>
      <c r="S792" s="12">
        <v>10</v>
      </c>
      <c r="T792" s="12" t="s">
        <v>379</v>
      </c>
      <c r="U792" s="12" t="s">
        <v>380</v>
      </c>
      <c r="V792" s="12">
        <f>VLOOKUP(Tabla4[[#This Row],[ZONA DEFINITIVO]],Hoja1!$A$1:$D$121,3,0)</f>
        <v>229125</v>
      </c>
      <c r="W792" s="12">
        <f>VLOOKUP(Tabla4[[#This Row],[ZONA DEFINITIVO]],Hoja1!$A$1:$D$121,2,0)</f>
        <v>15205</v>
      </c>
      <c r="X792" s="12">
        <f>VLOOKUP(Tabla4[[#This Row],[ZONA DEFINITIVO]],Hoja1!$A$1:$D$121,4,0)</f>
        <v>92125</v>
      </c>
      <c r="Y792" s="12" t="str">
        <f>+IF(Tabla4[[#This Row],[AGRUPACIONES]]=1,SUMIFS(Tabla4[UDS],Tabla4[ZONA DEFINITIVO],Tabla4[[#This Row],[ZONA DEFINITIVO]])," ")</f>
        <v xml:space="preserve"> </v>
      </c>
      <c r="Z792" s="12" t="str">
        <f>+IF(Tabla4[[#This Row],[AGRUPACIONES]]=1,SUMIFS(Tabla4[TOTAL COBERTURA],Tabla4[ZONA DEFINITIVO],Tabla4[[#This Row],[ZONA DEFINITIVO]])," ")</f>
        <v xml:space="preserve"> </v>
      </c>
      <c r="AA792" s="12"/>
      <c r="AB792" s="38">
        <v>75965250</v>
      </c>
      <c r="AC792" s="37">
        <v>0.02</v>
      </c>
      <c r="AD792" s="38">
        <f t="shared" si="13"/>
        <v>1519305</v>
      </c>
      <c r="AE792" s="12"/>
      <c r="AF792" s="12">
        <f>COUNTIF($A$20:A792,A792)</f>
        <v>6</v>
      </c>
      <c r="AG792" s="38">
        <v>75965250</v>
      </c>
      <c r="AH792" s="38">
        <f>Tabla4[[#This Row],[VALOR CONTRAPARTIDA]]+Tabla4[[#This Row],[TOTAL APORTES ICBF]]</f>
        <v>77484555</v>
      </c>
      <c r="AI792" s="35"/>
      <c r="AJ792" s="38"/>
      <c r="AK792" s="38"/>
      <c r="AL792" s="23"/>
      <c r="AM792" s="35">
        <f>VLOOKUP(Tabla4[[#This Row],[SERVICIO 2025]],$J$2:$V$14,5,0)*Tabla4[[#This Row],[TOTAL COBERTURA]]</f>
        <v>2337200</v>
      </c>
      <c r="AN792" s="35">
        <f>VLOOKUP(Tabla4[[#This Row],[SERVICIO 2025]],$J$2:$V$14,6,0)*Tabla4[[#This Row],[TOTAL COBERTURA]]</f>
        <v>1892050</v>
      </c>
      <c r="AO792" s="35">
        <f>VLOOKUP(Tabla4[[#This Row],[SERVICIO 2025]],$J$2:$V$14,8,0)*Tabla4[[#This Row],[TOTAL COBERTURA]]</f>
        <v>0</v>
      </c>
      <c r="AP792" s="35">
        <f>VLOOKUP(Tabla4[[#This Row],[SERVICIO 2025]],$J$2:$V$14,3,0)*Tabla4[[#This Row],[TOTAL COBERTURA]]*8</f>
        <v>71736000</v>
      </c>
      <c r="AQ792" s="35"/>
      <c r="AR792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792" s="35" t="str">
        <f>+IF(Tabla4[[#This Row],[AGRUPACIONES]]=1,SUMIFS(Tabla4[VALOR TOTAL],Tabla4[ZONA DEFINITIVO],Tabla4[[#This Row],[ZONA DEFINITIVO]])," ")</f>
        <v xml:space="preserve"> </v>
      </c>
      <c r="AT792" s="27">
        <f>(VLOOKUP(Tabla4[[#This Row],[SERVICIO 2025]],$J$2:$V$14,3,0)*Tabla4[[#This Row],[TOTAL COBERTURA]])+Tabla4[[#This Row],[VALOR FASE PREPARATORIA DE ALISTAMIENTO]]+Tabla4[[#This Row],[DOTACIÓN ÚNICA]]</f>
        <v>11304200</v>
      </c>
      <c r="AU792" s="35">
        <f>(VLOOKUP(Tabla4[[#This Row],[SERVICIO 2025]],$J$2:$V$14,3,0)*Tabla4[[#This Row],[TOTAL COBERTURA]])</f>
        <v>8967000</v>
      </c>
      <c r="AV792" s="35">
        <f>(VLOOKUP(Tabla4[[#This Row],[SERVICIO 2025]],$J$2:$V$14,3,0)*Tabla4[[#This Row],[TOTAL COBERTURA]])</f>
        <v>8967000</v>
      </c>
      <c r="AW792" s="35">
        <f>(VLOOKUP(Tabla4[[#This Row],[SERVICIO 2025]],$J$2:$V$14,3,0)*Tabla4[[#This Row],[TOTAL COBERTURA]])</f>
        <v>8967000</v>
      </c>
      <c r="AX792" s="35">
        <f>(VLOOKUP(Tabla4[[#This Row],[SERVICIO 2025]],$J$2:$V$14,3,0)*Tabla4[[#This Row],[TOTAL COBERTURA]])</f>
        <v>8967000</v>
      </c>
      <c r="AY792" s="35">
        <f>(VLOOKUP(Tabla4[[#This Row],[SERVICIO 2025]],$J$2:$V$14,3,0)*Tabla4[[#This Row],[TOTAL COBERTURA]])</f>
        <v>8967000</v>
      </c>
      <c r="AZ792" s="35">
        <f>(VLOOKUP(Tabla4[[#This Row],[SERVICIO 2025]],$J$2:$V$14,3,0)*Tabla4[[#This Row],[TOTAL COBERTURA]])</f>
        <v>8967000</v>
      </c>
      <c r="BA792" s="35">
        <f>(VLOOKUP(Tabla4[[#This Row],[SERVICIO 2025]],$J$2:$V$14,3,0)*Tabla4[[#This Row],[TOTAL COBERTURA]])+Tabla4[[#This Row],[VALOR FASE PREPARATORIA DE CIERRE]]</f>
        <v>10859050</v>
      </c>
      <c r="BB792" s="35">
        <f>SUM(Tabla4[[#This Row],[DESEMBOLSO 1]:[DESEMBOLSO 8]])</f>
        <v>75965250</v>
      </c>
      <c r="BC792" s="35">
        <f>VLOOKUP(Tabla4[[#This Row],[SERVICIO 2025]],$J$2:$V$14,10,0)*Tabla4[[#This Row],[TOTAL COBERTURA]]*$W$3</f>
        <v>75328400</v>
      </c>
      <c r="BD792" s="47" t="s">
        <v>211</v>
      </c>
      <c r="BE792" s="12" t="b">
        <f>EXACT(Tabla4[[#This Row],[VALOR ATENCIÓN (8 MESES)]],Tabla4[[#This Row],[VALOR TOTAL]])</f>
        <v>1</v>
      </c>
      <c r="BF792" s="23">
        <f>Tabla4[[#This Row],[VALOR ATENCIÓN (8 MESES)]]-Tabla4[[#This Row],[VALOR TOTAL]]</f>
        <v>0</v>
      </c>
      <c r="BG792" s="12" t="b">
        <f>EXACT(Tabla4[[#This Row],[TOTAL DESEMBOLSOS]],Tabla4[[#This Row],[VALOR ATENCIÓN (8 MESES)]])</f>
        <v>1</v>
      </c>
      <c r="BH792" s="29">
        <f>Tabla4[[#This Row],[TOTAL DESEMBOLSOS]]-Tabla4[[#This Row],[VALOR ATENCIÓN (8 MESES)]]</f>
        <v>0</v>
      </c>
      <c r="BI792" t="s">
        <v>98</v>
      </c>
      <c r="BJ792">
        <v>1964</v>
      </c>
    </row>
    <row r="793" spans="1:62">
      <c r="A793" s="13">
        <v>1964</v>
      </c>
      <c r="B793" s="13" t="s">
        <v>1758</v>
      </c>
      <c r="C793" s="12" t="s">
        <v>87</v>
      </c>
      <c r="D793" s="12" t="s">
        <v>527</v>
      </c>
      <c r="E793" s="12" t="s">
        <v>1759</v>
      </c>
      <c r="F793" s="12" t="s">
        <v>21</v>
      </c>
      <c r="G793" s="12" t="s">
        <v>90</v>
      </c>
      <c r="H793" s="12" t="s">
        <v>1771</v>
      </c>
      <c r="I793" s="12">
        <v>54001147378</v>
      </c>
      <c r="J793" s="12" t="s">
        <v>1772</v>
      </c>
      <c r="K793" s="12">
        <v>1</v>
      </c>
      <c r="L793" s="12">
        <v>50</v>
      </c>
      <c r="M793" s="12"/>
      <c r="N793" s="13">
        <v>1964</v>
      </c>
      <c r="O793" s="12" t="s">
        <v>93</v>
      </c>
      <c r="P793" s="12"/>
      <c r="Q793" s="12"/>
      <c r="R793" s="12" t="s">
        <v>94</v>
      </c>
      <c r="S793" s="12">
        <v>10</v>
      </c>
      <c r="T793" s="12" t="s">
        <v>379</v>
      </c>
      <c r="U793" s="12" t="s">
        <v>380</v>
      </c>
      <c r="V793" s="12">
        <f>VLOOKUP(Tabla4[[#This Row],[ZONA DEFINITIVO]],Hoja1!$A$1:$D$121,3,0)</f>
        <v>229125</v>
      </c>
      <c r="W793" s="12">
        <f>VLOOKUP(Tabla4[[#This Row],[ZONA DEFINITIVO]],Hoja1!$A$1:$D$121,2,0)</f>
        <v>15205</v>
      </c>
      <c r="X793" s="12">
        <f>VLOOKUP(Tabla4[[#This Row],[ZONA DEFINITIVO]],Hoja1!$A$1:$D$121,4,0)</f>
        <v>92125</v>
      </c>
      <c r="Y793" s="12" t="str">
        <f>+IF(Tabla4[[#This Row],[AGRUPACIONES]]=1,SUMIFS(Tabla4[UDS],Tabla4[ZONA DEFINITIVO],Tabla4[[#This Row],[ZONA DEFINITIVO]])," ")</f>
        <v xml:space="preserve"> </v>
      </c>
      <c r="Z793" s="12" t="str">
        <f>+IF(Tabla4[[#This Row],[AGRUPACIONES]]=1,SUMIFS(Tabla4[TOTAL COBERTURA],Tabla4[ZONA DEFINITIVO],Tabla4[[#This Row],[ZONA DEFINITIVO]])," ")</f>
        <v xml:space="preserve"> </v>
      </c>
      <c r="AA793" s="12"/>
      <c r="AB793" s="38">
        <v>75965250</v>
      </c>
      <c r="AC793" s="37">
        <v>0.02</v>
      </c>
      <c r="AD793" s="38">
        <f t="shared" si="13"/>
        <v>1519305</v>
      </c>
      <c r="AE793" s="12"/>
      <c r="AF793" s="12">
        <f>COUNTIF($A$20:A793,A793)</f>
        <v>7</v>
      </c>
      <c r="AG793" s="38">
        <v>75965250</v>
      </c>
      <c r="AH793" s="38">
        <f>Tabla4[[#This Row],[VALOR CONTRAPARTIDA]]+Tabla4[[#This Row],[TOTAL APORTES ICBF]]</f>
        <v>77484555</v>
      </c>
      <c r="AI793" s="35"/>
      <c r="AJ793" s="38"/>
      <c r="AK793" s="38"/>
      <c r="AL793" s="23"/>
      <c r="AM793" s="35">
        <f>VLOOKUP(Tabla4[[#This Row],[SERVICIO 2025]],$J$2:$V$14,5,0)*Tabla4[[#This Row],[TOTAL COBERTURA]]</f>
        <v>2337200</v>
      </c>
      <c r="AN793" s="35">
        <f>VLOOKUP(Tabla4[[#This Row],[SERVICIO 2025]],$J$2:$V$14,6,0)*Tabla4[[#This Row],[TOTAL COBERTURA]]</f>
        <v>1892050</v>
      </c>
      <c r="AO793" s="35">
        <f>VLOOKUP(Tabla4[[#This Row],[SERVICIO 2025]],$J$2:$V$14,8,0)*Tabla4[[#This Row],[TOTAL COBERTURA]]</f>
        <v>0</v>
      </c>
      <c r="AP793" s="35">
        <f>VLOOKUP(Tabla4[[#This Row],[SERVICIO 2025]],$J$2:$V$14,3,0)*Tabla4[[#This Row],[TOTAL COBERTURA]]*8</f>
        <v>71736000</v>
      </c>
      <c r="AQ793" s="35"/>
      <c r="AR793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793" s="35" t="str">
        <f>+IF(Tabla4[[#This Row],[AGRUPACIONES]]=1,SUMIFS(Tabla4[VALOR TOTAL],Tabla4[ZONA DEFINITIVO],Tabla4[[#This Row],[ZONA DEFINITIVO]])," ")</f>
        <v xml:space="preserve"> </v>
      </c>
      <c r="AT793" s="27">
        <f>(VLOOKUP(Tabla4[[#This Row],[SERVICIO 2025]],$J$2:$V$14,3,0)*Tabla4[[#This Row],[TOTAL COBERTURA]])+Tabla4[[#This Row],[VALOR FASE PREPARATORIA DE ALISTAMIENTO]]+Tabla4[[#This Row],[DOTACIÓN ÚNICA]]</f>
        <v>11304200</v>
      </c>
      <c r="AU793" s="35">
        <f>(VLOOKUP(Tabla4[[#This Row],[SERVICIO 2025]],$J$2:$V$14,3,0)*Tabla4[[#This Row],[TOTAL COBERTURA]])</f>
        <v>8967000</v>
      </c>
      <c r="AV793" s="35">
        <f>(VLOOKUP(Tabla4[[#This Row],[SERVICIO 2025]],$J$2:$V$14,3,0)*Tabla4[[#This Row],[TOTAL COBERTURA]])</f>
        <v>8967000</v>
      </c>
      <c r="AW793" s="35">
        <f>(VLOOKUP(Tabla4[[#This Row],[SERVICIO 2025]],$J$2:$V$14,3,0)*Tabla4[[#This Row],[TOTAL COBERTURA]])</f>
        <v>8967000</v>
      </c>
      <c r="AX793" s="35">
        <f>(VLOOKUP(Tabla4[[#This Row],[SERVICIO 2025]],$J$2:$V$14,3,0)*Tabla4[[#This Row],[TOTAL COBERTURA]])</f>
        <v>8967000</v>
      </c>
      <c r="AY793" s="35">
        <f>(VLOOKUP(Tabla4[[#This Row],[SERVICIO 2025]],$J$2:$V$14,3,0)*Tabla4[[#This Row],[TOTAL COBERTURA]])</f>
        <v>8967000</v>
      </c>
      <c r="AZ793" s="35">
        <f>(VLOOKUP(Tabla4[[#This Row],[SERVICIO 2025]],$J$2:$V$14,3,0)*Tabla4[[#This Row],[TOTAL COBERTURA]])</f>
        <v>8967000</v>
      </c>
      <c r="BA793" s="35">
        <f>(VLOOKUP(Tabla4[[#This Row],[SERVICIO 2025]],$J$2:$V$14,3,0)*Tabla4[[#This Row],[TOTAL COBERTURA]])+Tabla4[[#This Row],[VALOR FASE PREPARATORIA DE CIERRE]]</f>
        <v>10859050</v>
      </c>
      <c r="BB793" s="35">
        <f>SUM(Tabla4[[#This Row],[DESEMBOLSO 1]:[DESEMBOLSO 8]])</f>
        <v>75965250</v>
      </c>
      <c r="BC793" s="35">
        <f>VLOOKUP(Tabla4[[#This Row],[SERVICIO 2025]],$J$2:$V$14,10,0)*Tabla4[[#This Row],[TOTAL COBERTURA]]*$W$3</f>
        <v>75328400</v>
      </c>
      <c r="BD793" s="47" t="s">
        <v>211</v>
      </c>
      <c r="BE793" s="12" t="b">
        <f>EXACT(Tabla4[[#This Row],[VALOR ATENCIÓN (8 MESES)]],Tabla4[[#This Row],[VALOR TOTAL]])</f>
        <v>1</v>
      </c>
      <c r="BF793" s="23">
        <f>Tabla4[[#This Row],[VALOR ATENCIÓN (8 MESES)]]-Tabla4[[#This Row],[VALOR TOTAL]]</f>
        <v>0</v>
      </c>
      <c r="BG793" s="12" t="b">
        <f>EXACT(Tabla4[[#This Row],[TOTAL DESEMBOLSOS]],Tabla4[[#This Row],[VALOR ATENCIÓN (8 MESES)]])</f>
        <v>1</v>
      </c>
      <c r="BH793" s="29">
        <f>Tabla4[[#This Row],[TOTAL DESEMBOLSOS]]-Tabla4[[#This Row],[VALOR ATENCIÓN (8 MESES)]]</f>
        <v>0</v>
      </c>
      <c r="BI793" t="s">
        <v>98</v>
      </c>
      <c r="BJ793">
        <v>1964</v>
      </c>
    </row>
    <row r="794" spans="1:62">
      <c r="A794" s="13">
        <v>1964</v>
      </c>
      <c r="B794" s="13" t="s">
        <v>1758</v>
      </c>
      <c r="C794" s="12" t="s">
        <v>87</v>
      </c>
      <c r="D794" s="12" t="s">
        <v>527</v>
      </c>
      <c r="E794" s="12" t="s">
        <v>1759</v>
      </c>
      <c r="F794" s="12" t="s">
        <v>21</v>
      </c>
      <c r="G794" s="12" t="s">
        <v>90</v>
      </c>
      <c r="H794" s="12" t="s">
        <v>1773</v>
      </c>
      <c r="I794" s="12">
        <v>54001147380</v>
      </c>
      <c r="J794" s="12" t="s">
        <v>1774</v>
      </c>
      <c r="K794" s="12">
        <v>1</v>
      </c>
      <c r="L794" s="12">
        <v>50</v>
      </c>
      <c r="M794" s="12"/>
      <c r="N794" s="13">
        <v>1964</v>
      </c>
      <c r="O794" s="12" t="s">
        <v>93</v>
      </c>
      <c r="P794" s="12"/>
      <c r="Q794" s="12"/>
      <c r="R794" s="12" t="s">
        <v>94</v>
      </c>
      <c r="S794" s="12">
        <v>10</v>
      </c>
      <c r="T794" s="12" t="s">
        <v>379</v>
      </c>
      <c r="U794" s="12" t="s">
        <v>380</v>
      </c>
      <c r="V794" s="12">
        <f>VLOOKUP(Tabla4[[#This Row],[ZONA DEFINITIVO]],Hoja1!$A$1:$D$121,3,0)</f>
        <v>229125</v>
      </c>
      <c r="W794" s="12">
        <f>VLOOKUP(Tabla4[[#This Row],[ZONA DEFINITIVO]],Hoja1!$A$1:$D$121,2,0)</f>
        <v>15205</v>
      </c>
      <c r="X794" s="12">
        <f>VLOOKUP(Tabla4[[#This Row],[ZONA DEFINITIVO]],Hoja1!$A$1:$D$121,4,0)</f>
        <v>92125</v>
      </c>
      <c r="Y794" s="12" t="str">
        <f>+IF(Tabla4[[#This Row],[AGRUPACIONES]]=1,SUMIFS(Tabla4[UDS],Tabla4[ZONA DEFINITIVO],Tabla4[[#This Row],[ZONA DEFINITIVO]])," ")</f>
        <v xml:space="preserve"> </v>
      </c>
      <c r="Z794" s="12" t="str">
        <f>+IF(Tabla4[[#This Row],[AGRUPACIONES]]=1,SUMIFS(Tabla4[TOTAL COBERTURA],Tabla4[ZONA DEFINITIVO],Tabla4[[#This Row],[ZONA DEFINITIVO]])," ")</f>
        <v xml:space="preserve"> </v>
      </c>
      <c r="AA794" s="12"/>
      <c r="AB794" s="38">
        <v>75965250</v>
      </c>
      <c r="AC794" s="37">
        <v>0.02</v>
      </c>
      <c r="AD794" s="38">
        <f t="shared" si="13"/>
        <v>1519305</v>
      </c>
      <c r="AE794" s="12"/>
      <c r="AF794" s="12">
        <f>COUNTIF($A$20:A794,A794)</f>
        <v>8</v>
      </c>
      <c r="AG794" s="38">
        <v>75965250</v>
      </c>
      <c r="AH794" s="38">
        <f>Tabla4[[#This Row],[VALOR CONTRAPARTIDA]]+Tabla4[[#This Row],[TOTAL APORTES ICBF]]</f>
        <v>77484555</v>
      </c>
      <c r="AI794" s="35"/>
      <c r="AJ794" s="38"/>
      <c r="AK794" s="38"/>
      <c r="AL794" s="23"/>
      <c r="AM794" s="35">
        <f>VLOOKUP(Tabla4[[#This Row],[SERVICIO 2025]],$J$2:$V$14,5,0)*Tabla4[[#This Row],[TOTAL COBERTURA]]</f>
        <v>2337200</v>
      </c>
      <c r="AN794" s="35">
        <f>VLOOKUP(Tabla4[[#This Row],[SERVICIO 2025]],$J$2:$V$14,6,0)*Tabla4[[#This Row],[TOTAL COBERTURA]]</f>
        <v>1892050</v>
      </c>
      <c r="AO794" s="35">
        <f>VLOOKUP(Tabla4[[#This Row],[SERVICIO 2025]],$J$2:$V$14,8,0)*Tabla4[[#This Row],[TOTAL COBERTURA]]</f>
        <v>0</v>
      </c>
      <c r="AP794" s="35">
        <f>VLOOKUP(Tabla4[[#This Row],[SERVICIO 2025]],$J$2:$V$14,3,0)*Tabla4[[#This Row],[TOTAL COBERTURA]]*8</f>
        <v>71736000</v>
      </c>
      <c r="AQ794" s="35"/>
      <c r="AR794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794" s="35" t="str">
        <f>+IF(Tabla4[[#This Row],[AGRUPACIONES]]=1,SUMIFS(Tabla4[VALOR TOTAL],Tabla4[ZONA DEFINITIVO],Tabla4[[#This Row],[ZONA DEFINITIVO]])," ")</f>
        <v xml:space="preserve"> </v>
      </c>
      <c r="AT794" s="27">
        <f>(VLOOKUP(Tabla4[[#This Row],[SERVICIO 2025]],$J$2:$V$14,3,0)*Tabla4[[#This Row],[TOTAL COBERTURA]])+Tabla4[[#This Row],[VALOR FASE PREPARATORIA DE ALISTAMIENTO]]+Tabla4[[#This Row],[DOTACIÓN ÚNICA]]</f>
        <v>11304200</v>
      </c>
      <c r="AU794" s="35">
        <f>(VLOOKUP(Tabla4[[#This Row],[SERVICIO 2025]],$J$2:$V$14,3,0)*Tabla4[[#This Row],[TOTAL COBERTURA]])</f>
        <v>8967000</v>
      </c>
      <c r="AV794" s="35">
        <f>(VLOOKUP(Tabla4[[#This Row],[SERVICIO 2025]],$J$2:$V$14,3,0)*Tabla4[[#This Row],[TOTAL COBERTURA]])</f>
        <v>8967000</v>
      </c>
      <c r="AW794" s="35">
        <f>(VLOOKUP(Tabla4[[#This Row],[SERVICIO 2025]],$J$2:$V$14,3,0)*Tabla4[[#This Row],[TOTAL COBERTURA]])</f>
        <v>8967000</v>
      </c>
      <c r="AX794" s="35">
        <f>(VLOOKUP(Tabla4[[#This Row],[SERVICIO 2025]],$J$2:$V$14,3,0)*Tabla4[[#This Row],[TOTAL COBERTURA]])</f>
        <v>8967000</v>
      </c>
      <c r="AY794" s="35">
        <f>(VLOOKUP(Tabla4[[#This Row],[SERVICIO 2025]],$J$2:$V$14,3,0)*Tabla4[[#This Row],[TOTAL COBERTURA]])</f>
        <v>8967000</v>
      </c>
      <c r="AZ794" s="35">
        <f>(VLOOKUP(Tabla4[[#This Row],[SERVICIO 2025]],$J$2:$V$14,3,0)*Tabla4[[#This Row],[TOTAL COBERTURA]])</f>
        <v>8967000</v>
      </c>
      <c r="BA794" s="35">
        <f>(VLOOKUP(Tabla4[[#This Row],[SERVICIO 2025]],$J$2:$V$14,3,0)*Tabla4[[#This Row],[TOTAL COBERTURA]])+Tabla4[[#This Row],[VALOR FASE PREPARATORIA DE CIERRE]]</f>
        <v>10859050</v>
      </c>
      <c r="BB794" s="35">
        <f>SUM(Tabla4[[#This Row],[DESEMBOLSO 1]:[DESEMBOLSO 8]])</f>
        <v>75965250</v>
      </c>
      <c r="BC794" s="35">
        <f>VLOOKUP(Tabla4[[#This Row],[SERVICIO 2025]],$J$2:$V$14,10,0)*Tabla4[[#This Row],[TOTAL COBERTURA]]*$W$3</f>
        <v>75328400</v>
      </c>
      <c r="BD794" s="47" t="s">
        <v>211</v>
      </c>
      <c r="BE794" s="12" t="b">
        <f>EXACT(Tabla4[[#This Row],[VALOR ATENCIÓN (8 MESES)]],Tabla4[[#This Row],[VALOR TOTAL]])</f>
        <v>1</v>
      </c>
      <c r="BF794" s="23">
        <f>Tabla4[[#This Row],[VALOR ATENCIÓN (8 MESES)]]-Tabla4[[#This Row],[VALOR TOTAL]]</f>
        <v>0</v>
      </c>
      <c r="BG794" s="12" t="b">
        <f>EXACT(Tabla4[[#This Row],[TOTAL DESEMBOLSOS]],Tabla4[[#This Row],[VALOR ATENCIÓN (8 MESES)]])</f>
        <v>1</v>
      </c>
      <c r="BH794" s="29">
        <f>Tabla4[[#This Row],[TOTAL DESEMBOLSOS]]-Tabla4[[#This Row],[VALOR ATENCIÓN (8 MESES)]]</f>
        <v>0</v>
      </c>
      <c r="BI794" t="s">
        <v>98</v>
      </c>
      <c r="BJ794">
        <v>1964</v>
      </c>
    </row>
    <row r="795" spans="1:62">
      <c r="A795" s="13">
        <v>1964</v>
      </c>
      <c r="B795" s="13" t="s">
        <v>1758</v>
      </c>
      <c r="C795" s="12" t="s">
        <v>87</v>
      </c>
      <c r="D795" s="12" t="s">
        <v>527</v>
      </c>
      <c r="E795" s="12" t="s">
        <v>1759</v>
      </c>
      <c r="F795" s="12" t="s">
        <v>15</v>
      </c>
      <c r="G795" s="12" t="s">
        <v>90</v>
      </c>
      <c r="H795" s="12" t="s">
        <v>1775</v>
      </c>
      <c r="I795" s="12">
        <v>540000038939</v>
      </c>
      <c r="J795" s="12" t="s">
        <v>1776</v>
      </c>
      <c r="K795" s="12">
        <v>1</v>
      </c>
      <c r="L795" s="12">
        <v>133</v>
      </c>
      <c r="M795" s="12"/>
      <c r="N795" s="13">
        <v>1964</v>
      </c>
      <c r="O795" s="12" t="s">
        <v>93</v>
      </c>
      <c r="P795" s="12"/>
      <c r="Q795" s="12"/>
      <c r="R795" s="12" t="s">
        <v>94</v>
      </c>
      <c r="S795" s="12">
        <v>10</v>
      </c>
      <c r="T795" s="12" t="s">
        <v>379</v>
      </c>
      <c r="U795" s="12" t="s">
        <v>380</v>
      </c>
      <c r="V795" s="12">
        <f>VLOOKUP(Tabla4[[#This Row],[ZONA DEFINITIVO]],Hoja1!$A$1:$D$121,3,0)</f>
        <v>229125</v>
      </c>
      <c r="W795" s="12">
        <f>VLOOKUP(Tabla4[[#This Row],[ZONA DEFINITIVO]],Hoja1!$A$1:$D$121,2,0)</f>
        <v>15205</v>
      </c>
      <c r="X795" s="12">
        <f>VLOOKUP(Tabla4[[#This Row],[ZONA DEFINITIVO]],Hoja1!$A$1:$D$121,4,0)</f>
        <v>92125</v>
      </c>
      <c r="Y795" s="12" t="str">
        <f>+IF(Tabla4[[#This Row],[AGRUPACIONES]]=1,SUMIFS(Tabla4[UDS],Tabla4[ZONA DEFINITIVO],Tabla4[[#This Row],[ZONA DEFINITIVO]])," ")</f>
        <v xml:space="preserve"> </v>
      </c>
      <c r="Z795" s="12" t="str">
        <f>+IF(Tabla4[[#This Row],[AGRUPACIONES]]=1,SUMIFS(Tabla4[TOTAL COBERTURA],Tabla4[ZONA DEFINITIVO],Tabla4[[#This Row],[ZONA DEFINITIVO]])," ")</f>
        <v xml:space="preserve"> </v>
      </c>
      <c r="AA795" s="12"/>
      <c r="AB795" s="38">
        <v>575810466</v>
      </c>
      <c r="AC795" s="37">
        <v>0.02</v>
      </c>
      <c r="AD795" s="38">
        <f t="shared" si="13"/>
        <v>11516209.32</v>
      </c>
      <c r="AE795" s="12"/>
      <c r="AF795" s="12">
        <f>COUNTIF($A$20:A795,A795)</f>
        <v>9</v>
      </c>
      <c r="AG795" s="38">
        <v>575810466</v>
      </c>
      <c r="AH795" s="38">
        <f>Tabla4[[#This Row],[VALOR CONTRAPARTIDA]]+Tabla4[[#This Row],[TOTAL APORTES ICBF]]</f>
        <v>587326675.32000005</v>
      </c>
      <c r="AI795" s="35"/>
      <c r="AJ795" s="38"/>
      <c r="AK795" s="38"/>
      <c r="AL795" s="23"/>
      <c r="AM795" s="35">
        <f>VLOOKUP(Tabla4[[#This Row],[SERVICIO 2025]],$J$2:$V$14,5,0)*Tabla4[[#This Row],[TOTAL COBERTURA]]</f>
        <v>11723019</v>
      </c>
      <c r="AN795" s="35">
        <f>VLOOKUP(Tabla4[[#This Row],[SERVICIO 2025]],$J$2:$V$14,6,0)*Tabla4[[#This Row],[TOTAL COBERTURA]]</f>
        <v>9980719</v>
      </c>
      <c r="AO795" s="35">
        <f>VLOOKUP(Tabla4[[#This Row],[SERVICIO 2025]],$J$2:$V$14,8,0)*Tabla4[[#This Row],[TOTAL COBERTURA]]</f>
        <v>0</v>
      </c>
      <c r="AP795" s="35">
        <f>VLOOKUP(Tabla4[[#This Row],[SERVICIO 2025]],$J$2:$V$14,3,0)*Tabla4[[#This Row],[TOTAL COBERTURA]]*8</f>
        <v>554106728</v>
      </c>
      <c r="AQ795" s="35"/>
      <c r="AR795" s="35">
        <f>Tabla4[[#This Row],[VALOR FASE PREPARATORIA DE ALISTAMIENTO]]+Tabla4[[#This Row],[VALOR FASE PREPARATORIA DE CIERRE]]+Tabla4[[#This Row],[DOTACIÓN ÚNICA]]+Tabla4[[#This Row],[VALOR ATENCIÓN]]+Tabla4[[#This Row],[VALOR RACION PREPARADA]]</f>
        <v>575810466</v>
      </c>
      <c r="AS795" s="35" t="str">
        <f>+IF(Tabla4[[#This Row],[AGRUPACIONES]]=1,SUMIFS(Tabla4[VALOR TOTAL],Tabla4[ZONA DEFINITIVO],Tabla4[[#This Row],[ZONA DEFINITIVO]])," ")</f>
        <v xml:space="preserve"> </v>
      </c>
      <c r="AT795" s="27">
        <f>(VLOOKUP(Tabla4[[#This Row],[SERVICIO 2025]],$J$2:$V$14,3,0)*Tabla4[[#This Row],[TOTAL COBERTURA]])+Tabla4[[#This Row],[VALOR FASE PREPARATORIA DE ALISTAMIENTO]]+Tabla4[[#This Row],[DOTACIÓN ÚNICA]]</f>
        <v>80986360</v>
      </c>
      <c r="AU795" s="35">
        <f>(VLOOKUP(Tabla4[[#This Row],[SERVICIO 2025]],$J$2:$V$14,3,0)*Tabla4[[#This Row],[TOTAL COBERTURA]])</f>
        <v>69263341</v>
      </c>
      <c r="AV795" s="35">
        <f>(VLOOKUP(Tabla4[[#This Row],[SERVICIO 2025]],$J$2:$V$14,3,0)*Tabla4[[#This Row],[TOTAL COBERTURA]])</f>
        <v>69263341</v>
      </c>
      <c r="AW795" s="35">
        <f>(VLOOKUP(Tabla4[[#This Row],[SERVICIO 2025]],$J$2:$V$14,3,0)*Tabla4[[#This Row],[TOTAL COBERTURA]])</f>
        <v>69263341</v>
      </c>
      <c r="AX795" s="35">
        <f>(VLOOKUP(Tabla4[[#This Row],[SERVICIO 2025]],$J$2:$V$14,3,0)*Tabla4[[#This Row],[TOTAL COBERTURA]])</f>
        <v>69263341</v>
      </c>
      <c r="AY795" s="35">
        <f>(VLOOKUP(Tabla4[[#This Row],[SERVICIO 2025]],$J$2:$V$14,3,0)*Tabla4[[#This Row],[TOTAL COBERTURA]])</f>
        <v>69263341</v>
      </c>
      <c r="AZ795" s="35">
        <f>(VLOOKUP(Tabla4[[#This Row],[SERVICIO 2025]],$J$2:$V$14,3,0)*Tabla4[[#This Row],[TOTAL COBERTURA]])</f>
        <v>69263341</v>
      </c>
      <c r="BA795" s="35">
        <f>(VLOOKUP(Tabla4[[#This Row],[SERVICIO 2025]],$J$2:$V$14,3,0)*Tabla4[[#This Row],[TOTAL COBERTURA]])+Tabla4[[#This Row],[VALOR FASE PREPARATORIA DE CIERRE]]</f>
        <v>79244060</v>
      </c>
      <c r="BB795" s="35">
        <f>SUM(Tabla4[[#This Row],[DESEMBOLSO 1]:[DESEMBOLSO 8]])</f>
        <v>575810466</v>
      </c>
      <c r="BC795" s="35">
        <f>VLOOKUP(Tabla4[[#This Row],[SERVICIO 2025]],$J$2:$V$14,10,0)*Tabla4[[#This Row],[TOTAL COBERTURA]]*$W$3</f>
        <v>0</v>
      </c>
      <c r="BD795" s="47" t="s">
        <v>145</v>
      </c>
      <c r="BE795" s="12" t="b">
        <f>EXACT(Tabla4[[#This Row],[VALOR ATENCIÓN (8 MESES)]],Tabla4[[#This Row],[VALOR TOTAL]])</f>
        <v>1</v>
      </c>
      <c r="BF795" s="23">
        <f>Tabla4[[#This Row],[VALOR ATENCIÓN (8 MESES)]]-Tabla4[[#This Row],[VALOR TOTAL]]</f>
        <v>0</v>
      </c>
      <c r="BG795" s="12" t="b">
        <f>EXACT(Tabla4[[#This Row],[TOTAL DESEMBOLSOS]],Tabla4[[#This Row],[VALOR ATENCIÓN (8 MESES)]])</f>
        <v>1</v>
      </c>
      <c r="BH795" s="29">
        <f>Tabla4[[#This Row],[TOTAL DESEMBOLSOS]]-Tabla4[[#This Row],[VALOR ATENCIÓN (8 MESES)]]</f>
        <v>0</v>
      </c>
      <c r="BI795" t="s">
        <v>98</v>
      </c>
      <c r="BJ795">
        <v>1964</v>
      </c>
    </row>
    <row r="796" spans="1:62">
      <c r="A796" s="13">
        <v>1966</v>
      </c>
      <c r="B796" s="13" t="s">
        <v>1777</v>
      </c>
      <c r="C796" s="12" t="s">
        <v>87</v>
      </c>
      <c r="D796" s="12" t="s">
        <v>527</v>
      </c>
      <c r="E796" s="12" t="s">
        <v>1778</v>
      </c>
      <c r="F796" s="12" t="s">
        <v>15</v>
      </c>
      <c r="G796" s="12" t="s">
        <v>90</v>
      </c>
      <c r="H796" s="12" t="s">
        <v>1779</v>
      </c>
      <c r="I796" s="12">
        <v>54401148770</v>
      </c>
      <c r="J796" s="12" t="s">
        <v>1780</v>
      </c>
      <c r="K796" s="12">
        <v>1</v>
      </c>
      <c r="L796" s="12">
        <v>50</v>
      </c>
      <c r="M796" s="12"/>
      <c r="N796" s="13">
        <v>1966</v>
      </c>
      <c r="O796" s="12" t="s">
        <v>93</v>
      </c>
      <c r="P796" s="12"/>
      <c r="Q796" s="12"/>
      <c r="R796" s="12" t="s">
        <v>94</v>
      </c>
      <c r="S796" s="12">
        <v>10</v>
      </c>
      <c r="T796" s="12" t="s">
        <v>1781</v>
      </c>
      <c r="U796" s="12" t="s">
        <v>1782</v>
      </c>
      <c r="V796" s="12">
        <f>VLOOKUP(Tabla4[[#This Row],[ZONA DEFINITIVO]],Hoja1!$A$1:$D$121,3,0)</f>
        <v>229126</v>
      </c>
      <c r="W796" s="12">
        <f>VLOOKUP(Tabla4[[#This Row],[ZONA DEFINITIVO]],Hoja1!$A$1:$D$121,2,0)</f>
        <v>15234</v>
      </c>
      <c r="X796" s="12">
        <f>VLOOKUP(Tabla4[[#This Row],[ZONA DEFINITIVO]],Hoja1!$A$1:$D$121,4,0)</f>
        <v>88025</v>
      </c>
      <c r="Y796" s="12">
        <f>+IF(Tabla4[[#This Row],[AGRUPACIONES]]=1,SUMIFS(Tabla4[UDS],Tabla4[ZONA DEFINITIVO],Tabla4[[#This Row],[ZONA DEFINITIVO]])," ")</f>
        <v>10</v>
      </c>
      <c r="Z796" s="12">
        <f>+IF(Tabla4[[#This Row],[AGRUPACIONES]]=1,SUMIFS(Tabla4[TOTAL COBERTURA],Tabla4[ZONA DEFINITIVO],Tabla4[[#This Row],[ZONA DEFINITIVO]])," ")</f>
        <v>956</v>
      </c>
      <c r="AA796" s="12"/>
      <c r="AB796" s="38">
        <v>216470100</v>
      </c>
      <c r="AC796" s="37">
        <v>0.02</v>
      </c>
      <c r="AD796" s="38">
        <f t="shared" si="13"/>
        <v>4329402</v>
      </c>
      <c r="AE796" s="12"/>
      <c r="AF796" s="12">
        <f>COUNTIF($A$20:A796,A796)</f>
        <v>1</v>
      </c>
      <c r="AG796" s="38">
        <v>216470100</v>
      </c>
      <c r="AH796" s="38">
        <f>Tabla4[[#This Row],[VALOR CONTRAPARTIDA]]+Tabla4[[#This Row],[TOTAL APORTES ICBF]]</f>
        <v>220799502</v>
      </c>
      <c r="AI796" s="35">
        <f>ROUND(+IF(Tabla4[[#This Row],[AGRUPACIONES]]=1,SUMIFS(Tabla4[TOTAL APORTES ICBF],Tabla4[ZONA DEFINITIVO],Tabla4[[#This Row],[ZONA DEFINITIVO]])," "),0)</f>
        <v>4037008112</v>
      </c>
      <c r="AJ796" s="38">
        <f>ROUND(+IF(Tabla4[[#This Row],[AGRUPACIONES]]=1,SUMIFS(Tabla4[VALOR CONTRAPARTIDA],Tabla4[ZONA DEFINITIVO],Tabla4[[#This Row],[ZONA DEFINITIVO]])," "),0)</f>
        <v>80740162</v>
      </c>
      <c r="AK796" s="38">
        <f>Tabla4[[#This Row],[TOTAL APORTES ICBF AGRUPADO]]+Tabla4[[#This Row],[TOTAL CONTRAPARTIDA AGRUPADO]]</f>
        <v>4117748274</v>
      </c>
      <c r="AL796" s="23">
        <f>Tabla4[[#This Row],[TOTAL APORTES ICBF AGRUPADO]]/$AL$18</f>
        <v>2835.9733839128908</v>
      </c>
      <c r="AM796" s="35">
        <f>VLOOKUP(Tabla4[[#This Row],[SERVICIO 2025]],$J$2:$V$14,5,0)*Tabla4[[#This Row],[TOTAL COBERTURA]]</f>
        <v>4407150</v>
      </c>
      <c r="AN796" s="35">
        <f>VLOOKUP(Tabla4[[#This Row],[SERVICIO 2025]],$J$2:$V$14,6,0)*Tabla4[[#This Row],[TOTAL COBERTURA]]</f>
        <v>3752150</v>
      </c>
      <c r="AO796" s="35">
        <f>VLOOKUP(Tabla4[[#This Row],[SERVICIO 2025]],$J$2:$V$14,8,0)*Tabla4[[#This Row],[TOTAL COBERTURA]]</f>
        <v>0</v>
      </c>
      <c r="AP796" s="35">
        <f>VLOOKUP(Tabla4[[#This Row],[SERVICIO 2025]],$J$2:$V$14,3,0)*Tabla4[[#This Row],[TOTAL COBERTURA]]*8</f>
        <v>208310800</v>
      </c>
      <c r="AQ796" s="35"/>
      <c r="AR796" s="35">
        <f>Tabla4[[#This Row],[VALOR FASE PREPARATORIA DE ALISTAMIENTO]]+Tabla4[[#This Row],[VALOR FASE PREPARATORIA DE CIERRE]]+Tabla4[[#This Row],[DOTACIÓN ÚNICA]]+Tabla4[[#This Row],[VALOR ATENCIÓN]]+Tabla4[[#This Row],[VALOR RACION PREPARADA]]</f>
        <v>216470100</v>
      </c>
      <c r="AS796" s="35">
        <f>+IF(Tabla4[[#This Row],[AGRUPACIONES]]=1,SUMIFS(Tabla4[VALOR TOTAL],Tabla4[ZONA DEFINITIVO],Tabla4[[#This Row],[ZONA DEFINITIVO]])," ")</f>
        <v>4037008112</v>
      </c>
      <c r="AT796" s="27">
        <f>(VLOOKUP(Tabla4[[#This Row],[SERVICIO 2025]],$J$2:$V$14,3,0)*Tabla4[[#This Row],[TOTAL COBERTURA]])+Tabla4[[#This Row],[VALOR FASE PREPARATORIA DE ALISTAMIENTO]]+Tabla4[[#This Row],[DOTACIÓN ÚNICA]]</f>
        <v>30446000</v>
      </c>
      <c r="AU796" s="35">
        <f>(VLOOKUP(Tabla4[[#This Row],[SERVICIO 2025]],$J$2:$V$14,3,0)*Tabla4[[#This Row],[TOTAL COBERTURA]])</f>
        <v>26038850</v>
      </c>
      <c r="AV796" s="35">
        <f>(VLOOKUP(Tabla4[[#This Row],[SERVICIO 2025]],$J$2:$V$14,3,0)*Tabla4[[#This Row],[TOTAL COBERTURA]])</f>
        <v>26038850</v>
      </c>
      <c r="AW796" s="35">
        <f>(VLOOKUP(Tabla4[[#This Row],[SERVICIO 2025]],$J$2:$V$14,3,0)*Tabla4[[#This Row],[TOTAL COBERTURA]])</f>
        <v>26038850</v>
      </c>
      <c r="AX796" s="35">
        <f>(VLOOKUP(Tabla4[[#This Row],[SERVICIO 2025]],$J$2:$V$14,3,0)*Tabla4[[#This Row],[TOTAL COBERTURA]])</f>
        <v>26038850</v>
      </c>
      <c r="AY796" s="35">
        <f>(VLOOKUP(Tabla4[[#This Row],[SERVICIO 2025]],$J$2:$V$14,3,0)*Tabla4[[#This Row],[TOTAL COBERTURA]])</f>
        <v>26038850</v>
      </c>
      <c r="AZ796" s="35">
        <f>(VLOOKUP(Tabla4[[#This Row],[SERVICIO 2025]],$J$2:$V$14,3,0)*Tabla4[[#This Row],[TOTAL COBERTURA]])</f>
        <v>26038850</v>
      </c>
      <c r="BA796" s="35">
        <f>(VLOOKUP(Tabla4[[#This Row],[SERVICIO 2025]],$J$2:$V$14,3,0)*Tabla4[[#This Row],[TOTAL COBERTURA]])+Tabla4[[#This Row],[VALOR FASE PREPARATORIA DE CIERRE]]</f>
        <v>29791000</v>
      </c>
      <c r="BB796" s="35">
        <f>SUM(Tabla4[[#This Row],[DESEMBOLSO 1]:[DESEMBOLSO 8]])</f>
        <v>216470100</v>
      </c>
      <c r="BC796" s="35">
        <f>VLOOKUP(Tabla4[[#This Row],[SERVICIO 2025]],$J$2:$V$14,10,0)*Tabla4[[#This Row],[TOTAL COBERTURA]]*$W$3</f>
        <v>0</v>
      </c>
      <c r="BD796" s="47" t="s">
        <v>145</v>
      </c>
      <c r="BE796" s="12" t="b">
        <f>EXACT(Tabla4[[#This Row],[VALOR ATENCIÓN (8 MESES)]],Tabla4[[#This Row],[VALOR TOTAL]])</f>
        <v>1</v>
      </c>
      <c r="BF796" s="23">
        <f>Tabla4[[#This Row],[VALOR ATENCIÓN (8 MESES)]]-Tabla4[[#This Row],[VALOR TOTAL]]</f>
        <v>0</v>
      </c>
      <c r="BG796" s="12" t="b">
        <f>EXACT(Tabla4[[#This Row],[TOTAL DESEMBOLSOS]],Tabla4[[#This Row],[VALOR ATENCIÓN (8 MESES)]])</f>
        <v>1</v>
      </c>
      <c r="BH796" s="29">
        <f>Tabla4[[#This Row],[TOTAL DESEMBOLSOS]]-Tabla4[[#This Row],[VALOR ATENCIÓN (8 MESES)]]</f>
        <v>0</v>
      </c>
      <c r="BI796" t="s">
        <v>98</v>
      </c>
    </row>
    <row r="797" spans="1:62">
      <c r="A797" s="13">
        <v>1966</v>
      </c>
      <c r="B797" s="13" t="s">
        <v>1777</v>
      </c>
      <c r="C797" s="12" t="s">
        <v>87</v>
      </c>
      <c r="D797" s="12" t="s">
        <v>527</v>
      </c>
      <c r="E797" s="12" t="s">
        <v>1778</v>
      </c>
      <c r="F797" s="12" t="s">
        <v>14</v>
      </c>
      <c r="G797" s="12" t="s">
        <v>90</v>
      </c>
      <c r="H797" s="12" t="s">
        <v>1783</v>
      </c>
      <c r="I797" s="12">
        <v>54401149290</v>
      </c>
      <c r="J797" s="12" t="s">
        <v>1784</v>
      </c>
      <c r="K797" s="12">
        <v>1</v>
      </c>
      <c r="L797" s="12">
        <v>120</v>
      </c>
      <c r="M797" s="12"/>
      <c r="N797" s="13">
        <v>1966</v>
      </c>
      <c r="O797" s="12" t="s">
        <v>93</v>
      </c>
      <c r="P797" s="12"/>
      <c r="Q797" s="12"/>
      <c r="R797" s="12" t="s">
        <v>94</v>
      </c>
      <c r="S797" s="12">
        <v>10</v>
      </c>
      <c r="T797" s="12" t="s">
        <v>1781</v>
      </c>
      <c r="U797" s="12" t="s">
        <v>1782</v>
      </c>
      <c r="V797" s="12">
        <f>VLOOKUP(Tabla4[[#This Row],[ZONA DEFINITIVO]],Hoja1!$A$1:$D$121,3,0)</f>
        <v>229126</v>
      </c>
      <c r="W797" s="12">
        <f>VLOOKUP(Tabla4[[#This Row],[ZONA DEFINITIVO]],Hoja1!$A$1:$D$121,2,0)</f>
        <v>15234</v>
      </c>
      <c r="X797" s="12">
        <f>VLOOKUP(Tabla4[[#This Row],[ZONA DEFINITIVO]],Hoja1!$A$1:$D$121,4,0)</f>
        <v>88025</v>
      </c>
      <c r="Y797" s="12" t="str">
        <f>+IF(Tabla4[[#This Row],[AGRUPACIONES]]=1,SUMIFS(Tabla4[UDS],Tabla4[ZONA DEFINITIVO],Tabla4[[#This Row],[ZONA DEFINITIVO]])," ")</f>
        <v xml:space="preserve"> </v>
      </c>
      <c r="Z797" s="12" t="str">
        <f>+IF(Tabla4[[#This Row],[AGRUPACIONES]]=1,SUMIFS(Tabla4[TOTAL COBERTURA],Tabla4[ZONA DEFINITIVO],Tabla4[[#This Row],[ZONA DEFINITIVO]])," ")</f>
        <v xml:space="preserve"> </v>
      </c>
      <c r="AA797" s="12"/>
      <c r="AB797" s="38">
        <v>502662000</v>
      </c>
      <c r="AC797" s="37">
        <v>0.02</v>
      </c>
      <c r="AD797" s="38">
        <f t="shared" si="13"/>
        <v>10053240</v>
      </c>
      <c r="AE797" s="12"/>
      <c r="AF797" s="12">
        <f>COUNTIF($A$20:A797,A797)</f>
        <v>2</v>
      </c>
      <c r="AG797" s="38">
        <v>502662000</v>
      </c>
      <c r="AH797" s="38">
        <f>Tabla4[[#This Row],[VALOR CONTRAPARTIDA]]+Tabla4[[#This Row],[TOTAL APORTES ICBF]]</f>
        <v>512715240</v>
      </c>
      <c r="AI797" s="35"/>
      <c r="AJ797" s="38"/>
      <c r="AK797" s="38"/>
      <c r="AL797" s="23"/>
      <c r="AM797" s="35">
        <f>VLOOKUP(Tabla4[[#This Row],[SERVICIO 2025]],$J$2:$V$14,5,0)*Tabla4[[#This Row],[TOTAL COBERTURA]]</f>
        <v>10577160</v>
      </c>
      <c r="AN797" s="35">
        <f>VLOOKUP(Tabla4[[#This Row],[SERVICIO 2025]],$J$2:$V$14,6,0)*Tabla4[[#This Row],[TOTAL COBERTURA]]</f>
        <v>9005160</v>
      </c>
      <c r="AO797" s="35">
        <f>VLOOKUP(Tabla4[[#This Row],[SERVICIO 2025]],$J$2:$V$14,8,0)*Tabla4[[#This Row],[TOTAL COBERTURA]]</f>
        <v>0</v>
      </c>
      <c r="AP797" s="35">
        <f>VLOOKUP(Tabla4[[#This Row],[SERVICIO 2025]],$J$2:$V$14,3,0)*Tabla4[[#This Row],[TOTAL COBERTURA]]*8</f>
        <v>483079680</v>
      </c>
      <c r="AQ797" s="35"/>
      <c r="AR797" s="35">
        <f>Tabla4[[#This Row],[VALOR FASE PREPARATORIA DE ALISTAMIENTO]]+Tabla4[[#This Row],[VALOR FASE PREPARATORIA DE CIERRE]]+Tabla4[[#This Row],[DOTACIÓN ÚNICA]]+Tabla4[[#This Row],[VALOR ATENCIÓN]]+Tabla4[[#This Row],[VALOR RACION PREPARADA]]</f>
        <v>502662000</v>
      </c>
      <c r="AS797" s="35" t="str">
        <f>+IF(Tabla4[[#This Row],[AGRUPACIONES]]=1,SUMIFS(Tabla4[VALOR TOTAL],Tabla4[ZONA DEFINITIVO],Tabla4[[#This Row],[ZONA DEFINITIVO]])," ")</f>
        <v xml:space="preserve"> </v>
      </c>
      <c r="AT797" s="27">
        <f>(VLOOKUP(Tabla4[[#This Row],[SERVICIO 2025]],$J$2:$V$14,3,0)*Tabla4[[#This Row],[TOTAL COBERTURA]])+Tabla4[[#This Row],[VALOR FASE PREPARATORIA DE ALISTAMIENTO]]+Tabla4[[#This Row],[DOTACIÓN ÚNICA]]</f>
        <v>70962120</v>
      </c>
      <c r="AU797" s="35">
        <f>(VLOOKUP(Tabla4[[#This Row],[SERVICIO 2025]],$J$2:$V$14,3,0)*Tabla4[[#This Row],[TOTAL COBERTURA]])</f>
        <v>60384960</v>
      </c>
      <c r="AV797" s="35">
        <f>(VLOOKUP(Tabla4[[#This Row],[SERVICIO 2025]],$J$2:$V$14,3,0)*Tabla4[[#This Row],[TOTAL COBERTURA]])</f>
        <v>60384960</v>
      </c>
      <c r="AW797" s="35">
        <f>(VLOOKUP(Tabla4[[#This Row],[SERVICIO 2025]],$J$2:$V$14,3,0)*Tabla4[[#This Row],[TOTAL COBERTURA]])</f>
        <v>60384960</v>
      </c>
      <c r="AX797" s="35">
        <f>(VLOOKUP(Tabla4[[#This Row],[SERVICIO 2025]],$J$2:$V$14,3,0)*Tabla4[[#This Row],[TOTAL COBERTURA]])</f>
        <v>60384960</v>
      </c>
      <c r="AY797" s="35">
        <f>(VLOOKUP(Tabla4[[#This Row],[SERVICIO 2025]],$J$2:$V$14,3,0)*Tabla4[[#This Row],[TOTAL COBERTURA]])</f>
        <v>60384960</v>
      </c>
      <c r="AZ797" s="35">
        <f>(VLOOKUP(Tabla4[[#This Row],[SERVICIO 2025]],$J$2:$V$14,3,0)*Tabla4[[#This Row],[TOTAL COBERTURA]])</f>
        <v>60384960</v>
      </c>
      <c r="BA797" s="35">
        <f>(VLOOKUP(Tabla4[[#This Row],[SERVICIO 2025]],$J$2:$V$14,3,0)*Tabla4[[#This Row],[TOTAL COBERTURA]])+Tabla4[[#This Row],[VALOR FASE PREPARATORIA DE CIERRE]]</f>
        <v>69390120</v>
      </c>
      <c r="BB797" s="35">
        <f>SUM(Tabla4[[#This Row],[DESEMBOLSO 1]:[DESEMBOLSO 8]])</f>
        <v>502662000</v>
      </c>
      <c r="BC797" s="35">
        <f>VLOOKUP(Tabla4[[#This Row],[SERVICIO 2025]],$J$2:$V$14,10,0)*Tabla4[[#This Row],[TOTAL COBERTURA]]*$W$3</f>
        <v>0</v>
      </c>
      <c r="BD797" s="47" t="s">
        <v>145</v>
      </c>
      <c r="BE797" s="12" t="b">
        <f>EXACT(Tabla4[[#This Row],[VALOR ATENCIÓN (8 MESES)]],Tabla4[[#This Row],[VALOR TOTAL]])</f>
        <v>1</v>
      </c>
      <c r="BF797" s="23">
        <f>Tabla4[[#This Row],[VALOR ATENCIÓN (8 MESES)]]-Tabla4[[#This Row],[VALOR TOTAL]]</f>
        <v>0</v>
      </c>
      <c r="BG797" s="12" t="b">
        <f>EXACT(Tabla4[[#This Row],[TOTAL DESEMBOLSOS]],Tabla4[[#This Row],[VALOR ATENCIÓN (8 MESES)]])</f>
        <v>1</v>
      </c>
      <c r="BH797" s="29">
        <f>Tabla4[[#This Row],[TOTAL DESEMBOLSOS]]-Tabla4[[#This Row],[VALOR ATENCIÓN (8 MESES)]]</f>
        <v>0</v>
      </c>
      <c r="BI797" t="s">
        <v>98</v>
      </c>
    </row>
    <row r="798" spans="1:62">
      <c r="A798" s="13">
        <v>1966</v>
      </c>
      <c r="B798" s="13" t="s">
        <v>1777</v>
      </c>
      <c r="C798" s="12" t="s">
        <v>87</v>
      </c>
      <c r="D798" s="12" t="s">
        <v>527</v>
      </c>
      <c r="E798" s="12" t="s">
        <v>1778</v>
      </c>
      <c r="F798" s="12" t="s">
        <v>14</v>
      </c>
      <c r="G798" s="12" t="s">
        <v>90</v>
      </c>
      <c r="H798" s="12" t="s">
        <v>1785</v>
      </c>
      <c r="I798" s="12">
        <v>54401153105</v>
      </c>
      <c r="J798" s="12" t="s">
        <v>1488</v>
      </c>
      <c r="K798" s="12">
        <v>1</v>
      </c>
      <c r="L798" s="12">
        <v>300</v>
      </c>
      <c r="M798" s="12"/>
      <c r="N798" s="13">
        <v>1966</v>
      </c>
      <c r="O798" s="12" t="s">
        <v>93</v>
      </c>
      <c r="P798" s="12"/>
      <c r="Q798" s="12"/>
      <c r="R798" s="12" t="s">
        <v>94</v>
      </c>
      <c r="S798" s="12">
        <v>10</v>
      </c>
      <c r="T798" s="12" t="s">
        <v>1781</v>
      </c>
      <c r="U798" s="12" t="s">
        <v>1782</v>
      </c>
      <c r="V798" s="12">
        <f>VLOOKUP(Tabla4[[#This Row],[ZONA DEFINITIVO]],Hoja1!$A$1:$D$121,3,0)</f>
        <v>229126</v>
      </c>
      <c r="W798" s="12">
        <f>VLOOKUP(Tabla4[[#This Row],[ZONA DEFINITIVO]],Hoja1!$A$1:$D$121,2,0)</f>
        <v>15234</v>
      </c>
      <c r="X798" s="12">
        <f>VLOOKUP(Tabla4[[#This Row],[ZONA DEFINITIVO]],Hoja1!$A$1:$D$121,4,0)</f>
        <v>88025</v>
      </c>
      <c r="Y798" s="12" t="str">
        <f>+IF(Tabla4[[#This Row],[AGRUPACIONES]]=1,SUMIFS(Tabla4[UDS],Tabla4[ZONA DEFINITIVO],Tabla4[[#This Row],[ZONA DEFINITIVO]])," ")</f>
        <v xml:space="preserve"> </v>
      </c>
      <c r="Z798" s="12" t="str">
        <f>+IF(Tabla4[[#This Row],[AGRUPACIONES]]=1,SUMIFS(Tabla4[TOTAL COBERTURA],Tabla4[ZONA DEFINITIVO],Tabla4[[#This Row],[ZONA DEFINITIVO]])," ")</f>
        <v xml:space="preserve"> </v>
      </c>
      <c r="AA798" s="12"/>
      <c r="AB798" s="38">
        <v>1256655000</v>
      </c>
      <c r="AC798" s="37">
        <v>0.02</v>
      </c>
      <c r="AD798" s="38">
        <f t="shared" si="13"/>
        <v>25133100</v>
      </c>
      <c r="AE798" s="12"/>
      <c r="AF798" s="12">
        <f>COUNTIF($A$20:A798,A798)</f>
        <v>3</v>
      </c>
      <c r="AG798" s="38">
        <v>1256655000</v>
      </c>
      <c r="AH798" s="38">
        <f>Tabla4[[#This Row],[VALOR CONTRAPARTIDA]]+Tabla4[[#This Row],[TOTAL APORTES ICBF]]</f>
        <v>1281788100</v>
      </c>
      <c r="AI798" s="35"/>
      <c r="AJ798" s="38"/>
      <c r="AK798" s="38"/>
      <c r="AL798" s="23"/>
      <c r="AM798" s="35">
        <f>VLOOKUP(Tabla4[[#This Row],[SERVICIO 2025]],$J$2:$V$14,5,0)*Tabla4[[#This Row],[TOTAL COBERTURA]]</f>
        <v>26442900</v>
      </c>
      <c r="AN798" s="35">
        <f>VLOOKUP(Tabla4[[#This Row],[SERVICIO 2025]],$J$2:$V$14,6,0)*Tabla4[[#This Row],[TOTAL COBERTURA]]</f>
        <v>22512900</v>
      </c>
      <c r="AO798" s="35">
        <f>VLOOKUP(Tabla4[[#This Row],[SERVICIO 2025]],$J$2:$V$14,8,0)*Tabla4[[#This Row],[TOTAL COBERTURA]]</f>
        <v>0</v>
      </c>
      <c r="AP798" s="35">
        <f>VLOOKUP(Tabla4[[#This Row],[SERVICIO 2025]],$J$2:$V$14,3,0)*Tabla4[[#This Row],[TOTAL COBERTURA]]*8</f>
        <v>1207699200</v>
      </c>
      <c r="AQ798" s="35"/>
      <c r="AR798" s="35">
        <f>Tabla4[[#This Row],[VALOR FASE PREPARATORIA DE ALISTAMIENTO]]+Tabla4[[#This Row],[VALOR FASE PREPARATORIA DE CIERRE]]+Tabla4[[#This Row],[DOTACIÓN ÚNICA]]+Tabla4[[#This Row],[VALOR ATENCIÓN]]+Tabla4[[#This Row],[VALOR RACION PREPARADA]]</f>
        <v>1256655000</v>
      </c>
      <c r="AS798" s="35" t="str">
        <f>+IF(Tabla4[[#This Row],[AGRUPACIONES]]=1,SUMIFS(Tabla4[VALOR TOTAL],Tabla4[ZONA DEFINITIVO],Tabla4[[#This Row],[ZONA DEFINITIVO]])," ")</f>
        <v xml:space="preserve"> </v>
      </c>
      <c r="AT798" s="27">
        <f>(VLOOKUP(Tabla4[[#This Row],[SERVICIO 2025]],$J$2:$V$14,3,0)*Tabla4[[#This Row],[TOTAL COBERTURA]])+Tabla4[[#This Row],[VALOR FASE PREPARATORIA DE ALISTAMIENTO]]+Tabla4[[#This Row],[DOTACIÓN ÚNICA]]</f>
        <v>177405300</v>
      </c>
      <c r="AU798" s="35">
        <f>(VLOOKUP(Tabla4[[#This Row],[SERVICIO 2025]],$J$2:$V$14,3,0)*Tabla4[[#This Row],[TOTAL COBERTURA]])</f>
        <v>150962400</v>
      </c>
      <c r="AV798" s="35">
        <f>(VLOOKUP(Tabla4[[#This Row],[SERVICIO 2025]],$J$2:$V$14,3,0)*Tabla4[[#This Row],[TOTAL COBERTURA]])</f>
        <v>150962400</v>
      </c>
      <c r="AW798" s="35">
        <f>(VLOOKUP(Tabla4[[#This Row],[SERVICIO 2025]],$J$2:$V$14,3,0)*Tabla4[[#This Row],[TOTAL COBERTURA]])</f>
        <v>150962400</v>
      </c>
      <c r="AX798" s="35">
        <f>(VLOOKUP(Tabla4[[#This Row],[SERVICIO 2025]],$J$2:$V$14,3,0)*Tabla4[[#This Row],[TOTAL COBERTURA]])</f>
        <v>150962400</v>
      </c>
      <c r="AY798" s="35">
        <f>(VLOOKUP(Tabla4[[#This Row],[SERVICIO 2025]],$J$2:$V$14,3,0)*Tabla4[[#This Row],[TOTAL COBERTURA]])</f>
        <v>150962400</v>
      </c>
      <c r="AZ798" s="35">
        <f>(VLOOKUP(Tabla4[[#This Row],[SERVICIO 2025]],$J$2:$V$14,3,0)*Tabla4[[#This Row],[TOTAL COBERTURA]])</f>
        <v>150962400</v>
      </c>
      <c r="BA798" s="35">
        <f>(VLOOKUP(Tabla4[[#This Row],[SERVICIO 2025]],$J$2:$V$14,3,0)*Tabla4[[#This Row],[TOTAL COBERTURA]])+Tabla4[[#This Row],[VALOR FASE PREPARATORIA DE CIERRE]]</f>
        <v>173475300</v>
      </c>
      <c r="BB798" s="35">
        <f>SUM(Tabla4[[#This Row],[DESEMBOLSO 1]:[DESEMBOLSO 8]])</f>
        <v>1256655000</v>
      </c>
      <c r="BC798" s="35">
        <f>VLOOKUP(Tabla4[[#This Row],[SERVICIO 2025]],$J$2:$V$14,10,0)*Tabla4[[#This Row],[TOTAL COBERTURA]]*$W$3</f>
        <v>0</v>
      </c>
      <c r="BD798" s="47" t="s">
        <v>145</v>
      </c>
      <c r="BE798" s="12" t="b">
        <f>EXACT(Tabla4[[#This Row],[VALOR ATENCIÓN (8 MESES)]],Tabla4[[#This Row],[VALOR TOTAL]])</f>
        <v>1</v>
      </c>
      <c r="BF798" s="23">
        <f>Tabla4[[#This Row],[VALOR ATENCIÓN (8 MESES)]]-Tabla4[[#This Row],[VALOR TOTAL]]</f>
        <v>0</v>
      </c>
      <c r="BG798" s="12" t="b">
        <f>EXACT(Tabla4[[#This Row],[TOTAL DESEMBOLSOS]],Tabla4[[#This Row],[VALOR ATENCIÓN (8 MESES)]])</f>
        <v>1</v>
      </c>
      <c r="BH798" s="29">
        <f>Tabla4[[#This Row],[TOTAL DESEMBOLSOS]]-Tabla4[[#This Row],[VALOR ATENCIÓN (8 MESES)]]</f>
        <v>0</v>
      </c>
      <c r="BI798" t="s">
        <v>98</v>
      </c>
    </row>
    <row r="799" spans="1:62">
      <c r="A799" s="13">
        <v>1966</v>
      </c>
      <c r="B799" s="13" t="s">
        <v>1777</v>
      </c>
      <c r="C799" s="12" t="s">
        <v>87</v>
      </c>
      <c r="D799" s="12" t="s">
        <v>527</v>
      </c>
      <c r="E799" s="12" t="s">
        <v>1778</v>
      </c>
      <c r="F799" s="12" t="s">
        <v>14</v>
      </c>
      <c r="G799" s="12" t="s">
        <v>90</v>
      </c>
      <c r="H799" s="12" t="s">
        <v>1786</v>
      </c>
      <c r="I799" s="12">
        <v>544000032452</v>
      </c>
      <c r="J799" s="12" t="s">
        <v>1787</v>
      </c>
      <c r="K799" s="12">
        <v>1</v>
      </c>
      <c r="L799" s="12">
        <v>59</v>
      </c>
      <c r="M799" s="12"/>
      <c r="N799" s="13">
        <v>1966</v>
      </c>
      <c r="O799" s="12" t="s">
        <v>93</v>
      </c>
      <c r="P799" s="12"/>
      <c r="Q799" s="12"/>
      <c r="R799" s="12" t="s">
        <v>94</v>
      </c>
      <c r="S799" s="12">
        <v>10</v>
      </c>
      <c r="T799" s="12" t="s">
        <v>1781</v>
      </c>
      <c r="U799" s="12" t="s">
        <v>1782</v>
      </c>
      <c r="V799" s="12">
        <f>VLOOKUP(Tabla4[[#This Row],[ZONA DEFINITIVO]],Hoja1!$A$1:$D$121,3,0)</f>
        <v>229126</v>
      </c>
      <c r="W799" s="12">
        <f>VLOOKUP(Tabla4[[#This Row],[ZONA DEFINITIVO]],Hoja1!$A$1:$D$121,2,0)</f>
        <v>15234</v>
      </c>
      <c r="X799" s="12">
        <f>VLOOKUP(Tabla4[[#This Row],[ZONA DEFINITIVO]],Hoja1!$A$1:$D$121,4,0)</f>
        <v>88025</v>
      </c>
      <c r="Y799" s="12" t="str">
        <f>+IF(Tabla4[[#This Row],[AGRUPACIONES]]=1,SUMIFS(Tabla4[UDS],Tabla4[ZONA DEFINITIVO],Tabla4[[#This Row],[ZONA DEFINITIVO]])," ")</f>
        <v xml:space="preserve"> </v>
      </c>
      <c r="Z799" s="12" t="str">
        <f>+IF(Tabla4[[#This Row],[AGRUPACIONES]]=1,SUMIFS(Tabla4[TOTAL COBERTURA],Tabla4[ZONA DEFINITIVO],Tabla4[[#This Row],[ZONA DEFINITIVO]])," ")</f>
        <v xml:space="preserve"> </v>
      </c>
      <c r="AA799" s="12"/>
      <c r="AB799" s="38">
        <v>247142150</v>
      </c>
      <c r="AC799" s="37">
        <v>0.02</v>
      </c>
      <c r="AD799" s="38">
        <f t="shared" si="13"/>
        <v>4942843</v>
      </c>
      <c r="AE799" s="12"/>
      <c r="AF799" s="12">
        <f>COUNTIF($A$20:A799,A799)</f>
        <v>4</v>
      </c>
      <c r="AG799" s="38">
        <v>247142150</v>
      </c>
      <c r="AH799" s="38">
        <f>Tabla4[[#This Row],[VALOR CONTRAPARTIDA]]+Tabla4[[#This Row],[TOTAL APORTES ICBF]]</f>
        <v>252084993</v>
      </c>
      <c r="AI799" s="35"/>
      <c r="AJ799" s="38"/>
      <c r="AK799" s="38"/>
      <c r="AL799" s="23"/>
      <c r="AM799" s="35">
        <f>VLOOKUP(Tabla4[[#This Row],[SERVICIO 2025]],$J$2:$V$14,5,0)*Tabla4[[#This Row],[TOTAL COBERTURA]]</f>
        <v>5200437</v>
      </c>
      <c r="AN799" s="35">
        <f>VLOOKUP(Tabla4[[#This Row],[SERVICIO 2025]],$J$2:$V$14,6,0)*Tabla4[[#This Row],[TOTAL COBERTURA]]</f>
        <v>4427537</v>
      </c>
      <c r="AO799" s="35">
        <f>VLOOKUP(Tabla4[[#This Row],[SERVICIO 2025]],$J$2:$V$14,8,0)*Tabla4[[#This Row],[TOTAL COBERTURA]]</f>
        <v>0</v>
      </c>
      <c r="AP799" s="35">
        <f>VLOOKUP(Tabla4[[#This Row],[SERVICIO 2025]],$J$2:$V$14,3,0)*Tabla4[[#This Row],[TOTAL COBERTURA]]*8</f>
        <v>237514176</v>
      </c>
      <c r="AQ799" s="35"/>
      <c r="AR799" s="35">
        <f>Tabla4[[#This Row],[VALOR FASE PREPARATORIA DE ALISTAMIENTO]]+Tabla4[[#This Row],[VALOR FASE PREPARATORIA DE CIERRE]]+Tabla4[[#This Row],[DOTACIÓN ÚNICA]]+Tabla4[[#This Row],[VALOR ATENCIÓN]]+Tabla4[[#This Row],[VALOR RACION PREPARADA]]</f>
        <v>247142150</v>
      </c>
      <c r="AS799" s="35" t="str">
        <f>+IF(Tabla4[[#This Row],[AGRUPACIONES]]=1,SUMIFS(Tabla4[VALOR TOTAL],Tabla4[ZONA DEFINITIVO],Tabla4[[#This Row],[ZONA DEFINITIVO]])," ")</f>
        <v xml:space="preserve"> </v>
      </c>
      <c r="AT799" s="27">
        <f>(VLOOKUP(Tabla4[[#This Row],[SERVICIO 2025]],$J$2:$V$14,3,0)*Tabla4[[#This Row],[TOTAL COBERTURA]])+Tabla4[[#This Row],[VALOR FASE PREPARATORIA DE ALISTAMIENTO]]+Tabla4[[#This Row],[DOTACIÓN ÚNICA]]</f>
        <v>34889709</v>
      </c>
      <c r="AU799" s="35">
        <f>(VLOOKUP(Tabla4[[#This Row],[SERVICIO 2025]],$J$2:$V$14,3,0)*Tabla4[[#This Row],[TOTAL COBERTURA]])</f>
        <v>29689272</v>
      </c>
      <c r="AV799" s="35">
        <f>(VLOOKUP(Tabla4[[#This Row],[SERVICIO 2025]],$J$2:$V$14,3,0)*Tabla4[[#This Row],[TOTAL COBERTURA]])</f>
        <v>29689272</v>
      </c>
      <c r="AW799" s="35">
        <f>(VLOOKUP(Tabla4[[#This Row],[SERVICIO 2025]],$J$2:$V$14,3,0)*Tabla4[[#This Row],[TOTAL COBERTURA]])</f>
        <v>29689272</v>
      </c>
      <c r="AX799" s="35">
        <f>(VLOOKUP(Tabla4[[#This Row],[SERVICIO 2025]],$J$2:$V$14,3,0)*Tabla4[[#This Row],[TOTAL COBERTURA]])</f>
        <v>29689272</v>
      </c>
      <c r="AY799" s="35">
        <f>(VLOOKUP(Tabla4[[#This Row],[SERVICIO 2025]],$J$2:$V$14,3,0)*Tabla4[[#This Row],[TOTAL COBERTURA]])</f>
        <v>29689272</v>
      </c>
      <c r="AZ799" s="35">
        <f>(VLOOKUP(Tabla4[[#This Row],[SERVICIO 2025]],$J$2:$V$14,3,0)*Tabla4[[#This Row],[TOTAL COBERTURA]])</f>
        <v>29689272</v>
      </c>
      <c r="BA799" s="35">
        <f>(VLOOKUP(Tabla4[[#This Row],[SERVICIO 2025]],$J$2:$V$14,3,0)*Tabla4[[#This Row],[TOTAL COBERTURA]])+Tabla4[[#This Row],[VALOR FASE PREPARATORIA DE CIERRE]]</f>
        <v>34116809</v>
      </c>
      <c r="BB799" s="35">
        <f>SUM(Tabla4[[#This Row],[DESEMBOLSO 1]:[DESEMBOLSO 8]])</f>
        <v>247142150</v>
      </c>
      <c r="BC799" s="35">
        <f>VLOOKUP(Tabla4[[#This Row],[SERVICIO 2025]],$J$2:$V$14,10,0)*Tabla4[[#This Row],[TOTAL COBERTURA]]*$W$3</f>
        <v>0</v>
      </c>
      <c r="BD799" s="47" t="s">
        <v>145</v>
      </c>
      <c r="BE799" s="12" t="b">
        <f>EXACT(Tabla4[[#This Row],[VALOR ATENCIÓN (8 MESES)]],Tabla4[[#This Row],[VALOR TOTAL]])</f>
        <v>1</v>
      </c>
      <c r="BF799" s="23">
        <f>Tabla4[[#This Row],[VALOR ATENCIÓN (8 MESES)]]-Tabla4[[#This Row],[VALOR TOTAL]]</f>
        <v>0</v>
      </c>
      <c r="BG799" s="12" t="b">
        <f>EXACT(Tabla4[[#This Row],[TOTAL DESEMBOLSOS]],Tabla4[[#This Row],[VALOR ATENCIÓN (8 MESES)]])</f>
        <v>1</v>
      </c>
      <c r="BH799" s="29">
        <f>Tabla4[[#This Row],[TOTAL DESEMBOLSOS]]-Tabla4[[#This Row],[VALOR ATENCIÓN (8 MESES)]]</f>
        <v>0</v>
      </c>
      <c r="BI799" t="s">
        <v>98</v>
      </c>
    </row>
    <row r="800" spans="1:62">
      <c r="A800" s="13">
        <v>1966</v>
      </c>
      <c r="B800" s="13" t="s">
        <v>1777</v>
      </c>
      <c r="C800" s="12" t="s">
        <v>87</v>
      </c>
      <c r="D800" s="12" t="s">
        <v>527</v>
      </c>
      <c r="E800" s="12" t="s">
        <v>1778</v>
      </c>
      <c r="F800" s="12" t="s">
        <v>14</v>
      </c>
      <c r="G800" s="12" t="s">
        <v>90</v>
      </c>
      <c r="H800" s="12" t="s">
        <v>1788</v>
      </c>
      <c r="I800" s="12">
        <v>544000032851</v>
      </c>
      <c r="J800" s="12" t="s">
        <v>1789</v>
      </c>
      <c r="K800" s="12">
        <v>1</v>
      </c>
      <c r="L800" s="12">
        <v>99</v>
      </c>
      <c r="M800" s="12"/>
      <c r="N800" s="13">
        <v>1966</v>
      </c>
      <c r="O800" s="12" t="s">
        <v>93</v>
      </c>
      <c r="P800" s="12"/>
      <c r="Q800" s="12"/>
      <c r="R800" s="12" t="s">
        <v>94</v>
      </c>
      <c r="S800" s="12">
        <v>10</v>
      </c>
      <c r="T800" s="12" t="s">
        <v>1781</v>
      </c>
      <c r="U800" s="12" t="s">
        <v>1782</v>
      </c>
      <c r="V800" s="12">
        <f>VLOOKUP(Tabla4[[#This Row],[ZONA DEFINITIVO]],Hoja1!$A$1:$D$121,3,0)</f>
        <v>229126</v>
      </c>
      <c r="W800" s="12">
        <f>VLOOKUP(Tabla4[[#This Row],[ZONA DEFINITIVO]],Hoja1!$A$1:$D$121,2,0)</f>
        <v>15234</v>
      </c>
      <c r="X800" s="12">
        <f>VLOOKUP(Tabla4[[#This Row],[ZONA DEFINITIVO]],Hoja1!$A$1:$D$121,4,0)</f>
        <v>88025</v>
      </c>
      <c r="Y800" s="12" t="str">
        <f>+IF(Tabla4[[#This Row],[AGRUPACIONES]]=1,SUMIFS(Tabla4[UDS],Tabla4[ZONA DEFINITIVO],Tabla4[[#This Row],[ZONA DEFINITIVO]])," ")</f>
        <v xml:space="preserve"> </v>
      </c>
      <c r="Z800" s="12" t="str">
        <f>+IF(Tabla4[[#This Row],[AGRUPACIONES]]=1,SUMIFS(Tabla4[TOTAL COBERTURA],Tabla4[ZONA DEFINITIVO],Tabla4[[#This Row],[ZONA DEFINITIVO]])," ")</f>
        <v xml:space="preserve"> </v>
      </c>
      <c r="AA800" s="12"/>
      <c r="AB800" s="38">
        <v>414696150</v>
      </c>
      <c r="AC800" s="37">
        <v>0.02</v>
      </c>
      <c r="AD800" s="38">
        <f t="shared" si="13"/>
        <v>8293923</v>
      </c>
      <c r="AE800" s="12"/>
      <c r="AF800" s="12">
        <f>COUNTIF($A$20:A800,A800)</f>
        <v>5</v>
      </c>
      <c r="AG800" s="38">
        <v>414696150</v>
      </c>
      <c r="AH800" s="38">
        <f>Tabla4[[#This Row],[VALOR CONTRAPARTIDA]]+Tabla4[[#This Row],[TOTAL APORTES ICBF]]</f>
        <v>422990073</v>
      </c>
      <c r="AI800" s="35"/>
      <c r="AJ800" s="38"/>
      <c r="AK800" s="38"/>
      <c r="AL800" s="23"/>
      <c r="AM800" s="35">
        <f>VLOOKUP(Tabla4[[#This Row],[SERVICIO 2025]],$J$2:$V$14,5,0)*Tabla4[[#This Row],[TOTAL COBERTURA]]</f>
        <v>8726157</v>
      </c>
      <c r="AN800" s="35">
        <f>VLOOKUP(Tabla4[[#This Row],[SERVICIO 2025]],$J$2:$V$14,6,0)*Tabla4[[#This Row],[TOTAL COBERTURA]]</f>
        <v>7429257</v>
      </c>
      <c r="AO800" s="35">
        <f>VLOOKUP(Tabla4[[#This Row],[SERVICIO 2025]],$J$2:$V$14,8,0)*Tabla4[[#This Row],[TOTAL COBERTURA]]</f>
        <v>0</v>
      </c>
      <c r="AP800" s="35">
        <f>VLOOKUP(Tabla4[[#This Row],[SERVICIO 2025]],$J$2:$V$14,3,0)*Tabla4[[#This Row],[TOTAL COBERTURA]]*8</f>
        <v>398540736</v>
      </c>
      <c r="AQ800" s="35"/>
      <c r="AR800" s="35">
        <f>Tabla4[[#This Row],[VALOR FASE PREPARATORIA DE ALISTAMIENTO]]+Tabla4[[#This Row],[VALOR FASE PREPARATORIA DE CIERRE]]+Tabla4[[#This Row],[DOTACIÓN ÚNICA]]+Tabla4[[#This Row],[VALOR ATENCIÓN]]+Tabla4[[#This Row],[VALOR RACION PREPARADA]]</f>
        <v>414696150</v>
      </c>
      <c r="AS800" s="35" t="str">
        <f>+IF(Tabla4[[#This Row],[AGRUPACIONES]]=1,SUMIFS(Tabla4[VALOR TOTAL],Tabla4[ZONA DEFINITIVO],Tabla4[[#This Row],[ZONA DEFINITIVO]])," ")</f>
        <v xml:space="preserve"> </v>
      </c>
      <c r="AT800" s="27">
        <f>(VLOOKUP(Tabla4[[#This Row],[SERVICIO 2025]],$J$2:$V$14,3,0)*Tabla4[[#This Row],[TOTAL COBERTURA]])+Tabla4[[#This Row],[VALOR FASE PREPARATORIA DE ALISTAMIENTO]]+Tabla4[[#This Row],[DOTACIÓN ÚNICA]]</f>
        <v>58543749</v>
      </c>
      <c r="AU800" s="35">
        <f>(VLOOKUP(Tabla4[[#This Row],[SERVICIO 2025]],$J$2:$V$14,3,0)*Tabla4[[#This Row],[TOTAL COBERTURA]])</f>
        <v>49817592</v>
      </c>
      <c r="AV800" s="35">
        <f>(VLOOKUP(Tabla4[[#This Row],[SERVICIO 2025]],$J$2:$V$14,3,0)*Tabla4[[#This Row],[TOTAL COBERTURA]])</f>
        <v>49817592</v>
      </c>
      <c r="AW800" s="35">
        <f>(VLOOKUP(Tabla4[[#This Row],[SERVICIO 2025]],$J$2:$V$14,3,0)*Tabla4[[#This Row],[TOTAL COBERTURA]])</f>
        <v>49817592</v>
      </c>
      <c r="AX800" s="35">
        <f>(VLOOKUP(Tabla4[[#This Row],[SERVICIO 2025]],$J$2:$V$14,3,0)*Tabla4[[#This Row],[TOTAL COBERTURA]])</f>
        <v>49817592</v>
      </c>
      <c r="AY800" s="35">
        <f>(VLOOKUP(Tabla4[[#This Row],[SERVICIO 2025]],$J$2:$V$14,3,0)*Tabla4[[#This Row],[TOTAL COBERTURA]])</f>
        <v>49817592</v>
      </c>
      <c r="AZ800" s="35">
        <f>(VLOOKUP(Tabla4[[#This Row],[SERVICIO 2025]],$J$2:$V$14,3,0)*Tabla4[[#This Row],[TOTAL COBERTURA]])</f>
        <v>49817592</v>
      </c>
      <c r="BA800" s="35">
        <f>(VLOOKUP(Tabla4[[#This Row],[SERVICIO 2025]],$J$2:$V$14,3,0)*Tabla4[[#This Row],[TOTAL COBERTURA]])+Tabla4[[#This Row],[VALOR FASE PREPARATORIA DE CIERRE]]</f>
        <v>57246849</v>
      </c>
      <c r="BB800" s="35">
        <f>SUM(Tabla4[[#This Row],[DESEMBOLSO 1]:[DESEMBOLSO 8]])</f>
        <v>414696150</v>
      </c>
      <c r="BC800" s="35">
        <f>VLOOKUP(Tabla4[[#This Row],[SERVICIO 2025]],$J$2:$V$14,10,0)*Tabla4[[#This Row],[TOTAL COBERTURA]]*$W$3</f>
        <v>0</v>
      </c>
      <c r="BD800" s="47" t="s">
        <v>145</v>
      </c>
      <c r="BE800" s="12" t="b">
        <f>EXACT(Tabla4[[#This Row],[VALOR ATENCIÓN (8 MESES)]],Tabla4[[#This Row],[VALOR TOTAL]])</f>
        <v>1</v>
      </c>
      <c r="BF800" s="23">
        <f>Tabla4[[#This Row],[VALOR ATENCIÓN (8 MESES)]]-Tabla4[[#This Row],[VALOR TOTAL]]</f>
        <v>0</v>
      </c>
      <c r="BG800" s="12" t="b">
        <f>EXACT(Tabla4[[#This Row],[TOTAL DESEMBOLSOS]],Tabla4[[#This Row],[VALOR ATENCIÓN (8 MESES)]])</f>
        <v>1</v>
      </c>
      <c r="BH800" s="29">
        <f>Tabla4[[#This Row],[TOTAL DESEMBOLSOS]]-Tabla4[[#This Row],[VALOR ATENCIÓN (8 MESES)]]</f>
        <v>0</v>
      </c>
      <c r="BI800" t="s">
        <v>98</v>
      </c>
    </row>
    <row r="801" spans="1:62">
      <c r="A801" s="13">
        <v>1966</v>
      </c>
      <c r="B801" s="13" t="s">
        <v>1777</v>
      </c>
      <c r="C801" s="12" t="s">
        <v>87</v>
      </c>
      <c r="D801" s="12" t="s">
        <v>527</v>
      </c>
      <c r="E801" s="12" t="s">
        <v>1778</v>
      </c>
      <c r="F801" s="12" t="s">
        <v>15</v>
      </c>
      <c r="G801" s="12" t="s">
        <v>90</v>
      </c>
      <c r="H801" s="12" t="s">
        <v>1790</v>
      </c>
      <c r="I801" s="12">
        <v>544000088293</v>
      </c>
      <c r="J801" s="12" t="s">
        <v>1791</v>
      </c>
      <c r="K801" s="12">
        <v>1</v>
      </c>
      <c r="L801" s="12">
        <v>100</v>
      </c>
      <c r="M801" s="12"/>
      <c r="N801" s="13">
        <v>1966</v>
      </c>
      <c r="O801" s="12" t="s">
        <v>93</v>
      </c>
      <c r="P801" s="12"/>
      <c r="Q801" s="12"/>
      <c r="R801" s="12" t="s">
        <v>94</v>
      </c>
      <c r="S801" s="12">
        <v>10</v>
      </c>
      <c r="T801" s="12" t="s">
        <v>1781</v>
      </c>
      <c r="U801" s="12" t="s">
        <v>1782</v>
      </c>
      <c r="V801" s="12">
        <f>VLOOKUP(Tabla4[[#This Row],[ZONA DEFINITIVO]],Hoja1!$A$1:$D$121,3,0)</f>
        <v>229126</v>
      </c>
      <c r="W801" s="12">
        <f>VLOOKUP(Tabla4[[#This Row],[ZONA DEFINITIVO]],Hoja1!$A$1:$D$121,2,0)</f>
        <v>15234</v>
      </c>
      <c r="X801" s="12">
        <f>VLOOKUP(Tabla4[[#This Row],[ZONA DEFINITIVO]],Hoja1!$A$1:$D$121,4,0)</f>
        <v>88025</v>
      </c>
      <c r="Y801" s="12" t="str">
        <f>+IF(Tabla4[[#This Row],[AGRUPACIONES]]=1,SUMIFS(Tabla4[UDS],Tabla4[ZONA DEFINITIVO],Tabla4[[#This Row],[ZONA DEFINITIVO]])," ")</f>
        <v xml:space="preserve"> </v>
      </c>
      <c r="Z801" s="12" t="str">
        <f>+IF(Tabla4[[#This Row],[AGRUPACIONES]]=1,SUMIFS(Tabla4[TOTAL COBERTURA],Tabla4[ZONA DEFINITIVO],Tabla4[[#This Row],[ZONA DEFINITIVO]])," ")</f>
        <v xml:space="preserve"> </v>
      </c>
      <c r="AA801" s="12"/>
      <c r="AB801" s="38">
        <v>432940200</v>
      </c>
      <c r="AC801" s="37">
        <v>0.02</v>
      </c>
      <c r="AD801" s="38">
        <f t="shared" si="13"/>
        <v>8658804</v>
      </c>
      <c r="AE801" s="12"/>
      <c r="AF801" s="12">
        <f>COUNTIF($A$20:A801,A801)</f>
        <v>6</v>
      </c>
      <c r="AG801" s="38">
        <v>432940200</v>
      </c>
      <c r="AH801" s="38">
        <f>Tabla4[[#This Row],[VALOR CONTRAPARTIDA]]+Tabla4[[#This Row],[TOTAL APORTES ICBF]]</f>
        <v>441599004</v>
      </c>
      <c r="AI801" s="35"/>
      <c r="AJ801" s="38"/>
      <c r="AK801" s="38"/>
      <c r="AL801" s="23"/>
      <c r="AM801" s="35">
        <f>VLOOKUP(Tabla4[[#This Row],[SERVICIO 2025]],$J$2:$V$14,5,0)*Tabla4[[#This Row],[TOTAL COBERTURA]]</f>
        <v>8814300</v>
      </c>
      <c r="AN801" s="35">
        <f>VLOOKUP(Tabla4[[#This Row],[SERVICIO 2025]],$J$2:$V$14,6,0)*Tabla4[[#This Row],[TOTAL COBERTURA]]</f>
        <v>7504300</v>
      </c>
      <c r="AO801" s="35">
        <f>VLOOKUP(Tabla4[[#This Row],[SERVICIO 2025]],$J$2:$V$14,8,0)*Tabla4[[#This Row],[TOTAL COBERTURA]]</f>
        <v>0</v>
      </c>
      <c r="AP801" s="35">
        <f>VLOOKUP(Tabla4[[#This Row],[SERVICIO 2025]],$J$2:$V$14,3,0)*Tabla4[[#This Row],[TOTAL COBERTURA]]*8</f>
        <v>416621600</v>
      </c>
      <c r="AQ801" s="35"/>
      <c r="AR801" s="35">
        <f>Tabla4[[#This Row],[VALOR FASE PREPARATORIA DE ALISTAMIENTO]]+Tabla4[[#This Row],[VALOR FASE PREPARATORIA DE CIERRE]]+Tabla4[[#This Row],[DOTACIÓN ÚNICA]]+Tabla4[[#This Row],[VALOR ATENCIÓN]]+Tabla4[[#This Row],[VALOR RACION PREPARADA]]</f>
        <v>432940200</v>
      </c>
      <c r="AS801" s="35" t="str">
        <f>+IF(Tabla4[[#This Row],[AGRUPACIONES]]=1,SUMIFS(Tabla4[VALOR TOTAL],Tabla4[ZONA DEFINITIVO],Tabla4[[#This Row],[ZONA DEFINITIVO]])," ")</f>
        <v xml:space="preserve"> </v>
      </c>
      <c r="AT801" s="27">
        <f>(VLOOKUP(Tabla4[[#This Row],[SERVICIO 2025]],$J$2:$V$14,3,0)*Tabla4[[#This Row],[TOTAL COBERTURA]])+Tabla4[[#This Row],[VALOR FASE PREPARATORIA DE ALISTAMIENTO]]+Tabla4[[#This Row],[DOTACIÓN ÚNICA]]</f>
        <v>60892000</v>
      </c>
      <c r="AU801" s="35">
        <f>(VLOOKUP(Tabla4[[#This Row],[SERVICIO 2025]],$J$2:$V$14,3,0)*Tabla4[[#This Row],[TOTAL COBERTURA]])</f>
        <v>52077700</v>
      </c>
      <c r="AV801" s="35">
        <f>(VLOOKUP(Tabla4[[#This Row],[SERVICIO 2025]],$J$2:$V$14,3,0)*Tabla4[[#This Row],[TOTAL COBERTURA]])</f>
        <v>52077700</v>
      </c>
      <c r="AW801" s="35">
        <f>(VLOOKUP(Tabla4[[#This Row],[SERVICIO 2025]],$J$2:$V$14,3,0)*Tabla4[[#This Row],[TOTAL COBERTURA]])</f>
        <v>52077700</v>
      </c>
      <c r="AX801" s="35">
        <f>(VLOOKUP(Tabla4[[#This Row],[SERVICIO 2025]],$J$2:$V$14,3,0)*Tabla4[[#This Row],[TOTAL COBERTURA]])</f>
        <v>52077700</v>
      </c>
      <c r="AY801" s="35">
        <f>(VLOOKUP(Tabla4[[#This Row],[SERVICIO 2025]],$J$2:$V$14,3,0)*Tabla4[[#This Row],[TOTAL COBERTURA]])</f>
        <v>52077700</v>
      </c>
      <c r="AZ801" s="35">
        <f>(VLOOKUP(Tabla4[[#This Row],[SERVICIO 2025]],$J$2:$V$14,3,0)*Tabla4[[#This Row],[TOTAL COBERTURA]])</f>
        <v>52077700</v>
      </c>
      <c r="BA801" s="35">
        <f>(VLOOKUP(Tabla4[[#This Row],[SERVICIO 2025]],$J$2:$V$14,3,0)*Tabla4[[#This Row],[TOTAL COBERTURA]])+Tabla4[[#This Row],[VALOR FASE PREPARATORIA DE CIERRE]]</f>
        <v>59582000</v>
      </c>
      <c r="BB801" s="35">
        <f>SUM(Tabla4[[#This Row],[DESEMBOLSO 1]:[DESEMBOLSO 8]])</f>
        <v>432940200</v>
      </c>
      <c r="BC801" s="35">
        <f>VLOOKUP(Tabla4[[#This Row],[SERVICIO 2025]],$J$2:$V$14,10,0)*Tabla4[[#This Row],[TOTAL COBERTURA]]*$W$3</f>
        <v>0</v>
      </c>
      <c r="BD801" s="47" t="s">
        <v>145</v>
      </c>
      <c r="BE801" s="12" t="b">
        <f>EXACT(Tabla4[[#This Row],[VALOR ATENCIÓN (8 MESES)]],Tabla4[[#This Row],[VALOR TOTAL]])</f>
        <v>1</v>
      </c>
      <c r="BF801" s="23">
        <f>Tabla4[[#This Row],[VALOR ATENCIÓN (8 MESES)]]-Tabla4[[#This Row],[VALOR TOTAL]]</f>
        <v>0</v>
      </c>
      <c r="BG801" s="12" t="b">
        <f>EXACT(Tabla4[[#This Row],[TOTAL DESEMBOLSOS]],Tabla4[[#This Row],[VALOR ATENCIÓN (8 MESES)]])</f>
        <v>1</v>
      </c>
      <c r="BH801" s="29">
        <f>Tabla4[[#This Row],[TOTAL DESEMBOLSOS]]-Tabla4[[#This Row],[VALOR ATENCIÓN (8 MESES)]]</f>
        <v>0</v>
      </c>
      <c r="BI801" t="s">
        <v>98</v>
      </c>
    </row>
    <row r="802" spans="1:62">
      <c r="A802" s="13">
        <v>1966</v>
      </c>
      <c r="B802" s="13" t="s">
        <v>1777</v>
      </c>
      <c r="C802" s="12" t="s">
        <v>87</v>
      </c>
      <c r="D802" s="12" t="s">
        <v>527</v>
      </c>
      <c r="E802" s="12" t="s">
        <v>1778</v>
      </c>
      <c r="F802" s="12" t="s">
        <v>15</v>
      </c>
      <c r="G802" s="12" t="s">
        <v>90</v>
      </c>
      <c r="H802" s="12" t="s">
        <v>1792</v>
      </c>
      <c r="I802" s="12">
        <v>544000107007</v>
      </c>
      <c r="J802" s="12" t="s">
        <v>1793</v>
      </c>
      <c r="K802" s="12">
        <v>1</v>
      </c>
      <c r="L802" s="12">
        <v>81</v>
      </c>
      <c r="M802" s="12"/>
      <c r="N802" s="13">
        <v>1966</v>
      </c>
      <c r="O802" s="12" t="s">
        <v>93</v>
      </c>
      <c r="P802" s="12"/>
      <c r="Q802" s="12"/>
      <c r="R802" s="12" t="s">
        <v>94</v>
      </c>
      <c r="S802" s="12">
        <v>10</v>
      </c>
      <c r="T802" s="12" t="s">
        <v>1781</v>
      </c>
      <c r="U802" s="12" t="s">
        <v>1782</v>
      </c>
      <c r="V802" s="12">
        <f>VLOOKUP(Tabla4[[#This Row],[ZONA DEFINITIVO]],Hoja1!$A$1:$D$121,3,0)</f>
        <v>229126</v>
      </c>
      <c r="W802" s="12">
        <f>VLOOKUP(Tabla4[[#This Row],[ZONA DEFINITIVO]],Hoja1!$A$1:$D$121,2,0)</f>
        <v>15234</v>
      </c>
      <c r="X802" s="12">
        <f>VLOOKUP(Tabla4[[#This Row],[ZONA DEFINITIVO]],Hoja1!$A$1:$D$121,4,0)</f>
        <v>88025</v>
      </c>
      <c r="Y802" s="12" t="str">
        <f>+IF(Tabla4[[#This Row],[AGRUPACIONES]]=1,SUMIFS(Tabla4[UDS],Tabla4[ZONA DEFINITIVO],Tabla4[[#This Row],[ZONA DEFINITIVO]])," ")</f>
        <v xml:space="preserve"> </v>
      </c>
      <c r="Z802" s="12" t="str">
        <f>+IF(Tabla4[[#This Row],[AGRUPACIONES]]=1,SUMIFS(Tabla4[TOTAL COBERTURA],Tabla4[ZONA DEFINITIVO],Tabla4[[#This Row],[ZONA DEFINITIVO]])," ")</f>
        <v xml:space="preserve"> </v>
      </c>
      <c r="AA802" s="12"/>
      <c r="AB802" s="38">
        <v>350681562</v>
      </c>
      <c r="AC802" s="37">
        <v>0.02</v>
      </c>
      <c r="AD802" s="38">
        <f t="shared" si="13"/>
        <v>7013631.2400000002</v>
      </c>
      <c r="AE802" s="12"/>
      <c r="AF802" s="12">
        <f>COUNTIF($A$20:A802,A802)</f>
        <v>7</v>
      </c>
      <c r="AG802" s="38">
        <v>350681562</v>
      </c>
      <c r="AH802" s="38">
        <f>Tabla4[[#This Row],[VALOR CONTRAPARTIDA]]+Tabla4[[#This Row],[TOTAL APORTES ICBF]]</f>
        <v>357695193.24000001</v>
      </c>
      <c r="AI802" s="35"/>
      <c r="AJ802" s="38"/>
      <c r="AK802" s="38"/>
      <c r="AL802" s="23"/>
      <c r="AM802" s="35">
        <f>VLOOKUP(Tabla4[[#This Row],[SERVICIO 2025]],$J$2:$V$14,5,0)*Tabla4[[#This Row],[TOTAL COBERTURA]]</f>
        <v>7139583</v>
      </c>
      <c r="AN802" s="35">
        <f>VLOOKUP(Tabla4[[#This Row],[SERVICIO 2025]],$J$2:$V$14,6,0)*Tabla4[[#This Row],[TOTAL COBERTURA]]</f>
        <v>6078483</v>
      </c>
      <c r="AO802" s="35">
        <f>VLOOKUP(Tabla4[[#This Row],[SERVICIO 2025]],$J$2:$V$14,8,0)*Tabla4[[#This Row],[TOTAL COBERTURA]]</f>
        <v>0</v>
      </c>
      <c r="AP802" s="35">
        <f>VLOOKUP(Tabla4[[#This Row],[SERVICIO 2025]],$J$2:$V$14,3,0)*Tabla4[[#This Row],[TOTAL COBERTURA]]*8</f>
        <v>337463496</v>
      </c>
      <c r="AQ802" s="35"/>
      <c r="AR802" s="35">
        <f>Tabla4[[#This Row],[VALOR FASE PREPARATORIA DE ALISTAMIENTO]]+Tabla4[[#This Row],[VALOR FASE PREPARATORIA DE CIERRE]]+Tabla4[[#This Row],[DOTACIÓN ÚNICA]]+Tabla4[[#This Row],[VALOR ATENCIÓN]]+Tabla4[[#This Row],[VALOR RACION PREPARADA]]</f>
        <v>350681562</v>
      </c>
      <c r="AS802" s="35" t="str">
        <f>+IF(Tabla4[[#This Row],[AGRUPACIONES]]=1,SUMIFS(Tabla4[VALOR TOTAL],Tabla4[ZONA DEFINITIVO],Tabla4[[#This Row],[ZONA DEFINITIVO]])," ")</f>
        <v xml:space="preserve"> </v>
      </c>
      <c r="AT802" s="27">
        <f>(VLOOKUP(Tabla4[[#This Row],[SERVICIO 2025]],$J$2:$V$14,3,0)*Tabla4[[#This Row],[TOTAL COBERTURA]])+Tabla4[[#This Row],[VALOR FASE PREPARATORIA DE ALISTAMIENTO]]+Tabla4[[#This Row],[DOTACIÓN ÚNICA]]</f>
        <v>49322520</v>
      </c>
      <c r="AU802" s="35">
        <f>(VLOOKUP(Tabla4[[#This Row],[SERVICIO 2025]],$J$2:$V$14,3,0)*Tabla4[[#This Row],[TOTAL COBERTURA]])</f>
        <v>42182937</v>
      </c>
      <c r="AV802" s="35">
        <f>(VLOOKUP(Tabla4[[#This Row],[SERVICIO 2025]],$J$2:$V$14,3,0)*Tabla4[[#This Row],[TOTAL COBERTURA]])</f>
        <v>42182937</v>
      </c>
      <c r="AW802" s="35">
        <f>(VLOOKUP(Tabla4[[#This Row],[SERVICIO 2025]],$J$2:$V$14,3,0)*Tabla4[[#This Row],[TOTAL COBERTURA]])</f>
        <v>42182937</v>
      </c>
      <c r="AX802" s="35">
        <f>(VLOOKUP(Tabla4[[#This Row],[SERVICIO 2025]],$J$2:$V$14,3,0)*Tabla4[[#This Row],[TOTAL COBERTURA]])</f>
        <v>42182937</v>
      </c>
      <c r="AY802" s="35">
        <f>(VLOOKUP(Tabla4[[#This Row],[SERVICIO 2025]],$J$2:$V$14,3,0)*Tabla4[[#This Row],[TOTAL COBERTURA]])</f>
        <v>42182937</v>
      </c>
      <c r="AZ802" s="35">
        <f>(VLOOKUP(Tabla4[[#This Row],[SERVICIO 2025]],$J$2:$V$14,3,0)*Tabla4[[#This Row],[TOTAL COBERTURA]])</f>
        <v>42182937</v>
      </c>
      <c r="BA802" s="35">
        <f>(VLOOKUP(Tabla4[[#This Row],[SERVICIO 2025]],$J$2:$V$14,3,0)*Tabla4[[#This Row],[TOTAL COBERTURA]])+Tabla4[[#This Row],[VALOR FASE PREPARATORIA DE CIERRE]]</f>
        <v>48261420</v>
      </c>
      <c r="BB802" s="35">
        <f>SUM(Tabla4[[#This Row],[DESEMBOLSO 1]:[DESEMBOLSO 8]])</f>
        <v>350681562</v>
      </c>
      <c r="BC802" s="35">
        <f>VLOOKUP(Tabla4[[#This Row],[SERVICIO 2025]],$J$2:$V$14,10,0)*Tabla4[[#This Row],[TOTAL COBERTURA]]*$W$3</f>
        <v>0</v>
      </c>
      <c r="BD802" s="47" t="s">
        <v>145</v>
      </c>
      <c r="BE802" s="12" t="b">
        <f>EXACT(Tabla4[[#This Row],[VALOR ATENCIÓN (8 MESES)]],Tabla4[[#This Row],[VALOR TOTAL]])</f>
        <v>1</v>
      </c>
      <c r="BF802" s="23">
        <f>Tabla4[[#This Row],[VALOR ATENCIÓN (8 MESES)]]-Tabla4[[#This Row],[VALOR TOTAL]]</f>
        <v>0</v>
      </c>
      <c r="BG802" s="12" t="b">
        <f>EXACT(Tabla4[[#This Row],[TOTAL DESEMBOLSOS]],Tabla4[[#This Row],[VALOR ATENCIÓN (8 MESES)]])</f>
        <v>1</v>
      </c>
      <c r="BH802" s="29">
        <f>Tabla4[[#This Row],[TOTAL DESEMBOLSOS]]-Tabla4[[#This Row],[VALOR ATENCIÓN (8 MESES)]]</f>
        <v>0</v>
      </c>
      <c r="BI802" t="s">
        <v>98</v>
      </c>
    </row>
    <row r="803" spans="1:62">
      <c r="A803" s="13">
        <v>1966</v>
      </c>
      <c r="B803" s="13" t="s">
        <v>1777</v>
      </c>
      <c r="C803" s="12" t="s">
        <v>87</v>
      </c>
      <c r="D803" s="12" t="s">
        <v>527</v>
      </c>
      <c r="E803" s="12" t="s">
        <v>1778</v>
      </c>
      <c r="F803" s="12" t="s">
        <v>14</v>
      </c>
      <c r="G803" s="12" t="s">
        <v>90</v>
      </c>
      <c r="H803" s="12" t="s">
        <v>1794</v>
      </c>
      <c r="I803" s="12">
        <v>544000107008</v>
      </c>
      <c r="J803" s="12" t="s">
        <v>1795</v>
      </c>
      <c r="K803" s="12">
        <v>1</v>
      </c>
      <c r="L803" s="12">
        <v>50</v>
      </c>
      <c r="M803" s="12"/>
      <c r="N803" s="13">
        <v>1966</v>
      </c>
      <c r="O803" s="12" t="s">
        <v>93</v>
      </c>
      <c r="P803" s="12"/>
      <c r="Q803" s="12"/>
      <c r="R803" s="12" t="s">
        <v>94</v>
      </c>
      <c r="S803" s="12">
        <v>10</v>
      </c>
      <c r="T803" s="12" t="s">
        <v>1781</v>
      </c>
      <c r="U803" s="12" t="s">
        <v>1782</v>
      </c>
      <c r="V803" s="12">
        <f>VLOOKUP(Tabla4[[#This Row],[ZONA DEFINITIVO]],Hoja1!$A$1:$D$121,3,0)</f>
        <v>229126</v>
      </c>
      <c r="W803" s="12">
        <f>VLOOKUP(Tabla4[[#This Row],[ZONA DEFINITIVO]],Hoja1!$A$1:$D$121,2,0)</f>
        <v>15234</v>
      </c>
      <c r="X803" s="12">
        <f>VLOOKUP(Tabla4[[#This Row],[ZONA DEFINITIVO]],Hoja1!$A$1:$D$121,4,0)</f>
        <v>88025</v>
      </c>
      <c r="Y803" s="12" t="str">
        <f>+IF(Tabla4[[#This Row],[AGRUPACIONES]]=1,SUMIFS(Tabla4[UDS],Tabla4[ZONA DEFINITIVO],Tabla4[[#This Row],[ZONA DEFINITIVO]])," ")</f>
        <v xml:space="preserve"> </v>
      </c>
      <c r="Z803" s="12" t="str">
        <f>+IF(Tabla4[[#This Row],[AGRUPACIONES]]=1,SUMIFS(Tabla4[TOTAL COBERTURA],Tabla4[ZONA DEFINITIVO],Tabla4[[#This Row],[ZONA DEFINITIVO]])," ")</f>
        <v xml:space="preserve"> </v>
      </c>
      <c r="AA803" s="12"/>
      <c r="AB803" s="38">
        <v>209442500</v>
      </c>
      <c r="AC803" s="37">
        <v>0.02</v>
      </c>
      <c r="AD803" s="38">
        <f t="shared" si="13"/>
        <v>4188850</v>
      </c>
      <c r="AE803" s="12"/>
      <c r="AF803" s="12">
        <f>COUNTIF($A$20:A803,A803)</f>
        <v>8</v>
      </c>
      <c r="AG803" s="38">
        <v>209442500</v>
      </c>
      <c r="AH803" s="38">
        <f>Tabla4[[#This Row],[VALOR CONTRAPARTIDA]]+Tabla4[[#This Row],[TOTAL APORTES ICBF]]</f>
        <v>213631350</v>
      </c>
      <c r="AI803" s="35"/>
      <c r="AJ803" s="38"/>
      <c r="AK803" s="38"/>
      <c r="AL803" s="23"/>
      <c r="AM803" s="35">
        <f>VLOOKUP(Tabla4[[#This Row],[SERVICIO 2025]],$J$2:$V$14,5,0)*Tabla4[[#This Row],[TOTAL COBERTURA]]</f>
        <v>4407150</v>
      </c>
      <c r="AN803" s="35">
        <f>VLOOKUP(Tabla4[[#This Row],[SERVICIO 2025]],$J$2:$V$14,6,0)*Tabla4[[#This Row],[TOTAL COBERTURA]]</f>
        <v>3752150</v>
      </c>
      <c r="AO803" s="35">
        <f>VLOOKUP(Tabla4[[#This Row],[SERVICIO 2025]],$J$2:$V$14,8,0)*Tabla4[[#This Row],[TOTAL COBERTURA]]</f>
        <v>0</v>
      </c>
      <c r="AP803" s="35">
        <f>VLOOKUP(Tabla4[[#This Row],[SERVICIO 2025]],$J$2:$V$14,3,0)*Tabla4[[#This Row],[TOTAL COBERTURA]]*8</f>
        <v>201283200</v>
      </c>
      <c r="AQ803" s="35"/>
      <c r="AR803" s="35">
        <f>Tabla4[[#This Row],[VALOR FASE PREPARATORIA DE ALISTAMIENTO]]+Tabla4[[#This Row],[VALOR FASE PREPARATORIA DE CIERRE]]+Tabla4[[#This Row],[DOTACIÓN ÚNICA]]+Tabla4[[#This Row],[VALOR ATENCIÓN]]+Tabla4[[#This Row],[VALOR RACION PREPARADA]]</f>
        <v>209442500</v>
      </c>
      <c r="AS803" s="35" t="str">
        <f>+IF(Tabla4[[#This Row],[AGRUPACIONES]]=1,SUMIFS(Tabla4[VALOR TOTAL],Tabla4[ZONA DEFINITIVO],Tabla4[[#This Row],[ZONA DEFINITIVO]])," ")</f>
        <v xml:space="preserve"> </v>
      </c>
      <c r="AT803" s="27">
        <f>(VLOOKUP(Tabla4[[#This Row],[SERVICIO 2025]],$J$2:$V$14,3,0)*Tabla4[[#This Row],[TOTAL COBERTURA]])+Tabla4[[#This Row],[VALOR FASE PREPARATORIA DE ALISTAMIENTO]]+Tabla4[[#This Row],[DOTACIÓN ÚNICA]]</f>
        <v>29567550</v>
      </c>
      <c r="AU803" s="35">
        <f>(VLOOKUP(Tabla4[[#This Row],[SERVICIO 2025]],$J$2:$V$14,3,0)*Tabla4[[#This Row],[TOTAL COBERTURA]])</f>
        <v>25160400</v>
      </c>
      <c r="AV803" s="35">
        <f>(VLOOKUP(Tabla4[[#This Row],[SERVICIO 2025]],$J$2:$V$14,3,0)*Tabla4[[#This Row],[TOTAL COBERTURA]])</f>
        <v>25160400</v>
      </c>
      <c r="AW803" s="35">
        <f>(VLOOKUP(Tabla4[[#This Row],[SERVICIO 2025]],$J$2:$V$14,3,0)*Tabla4[[#This Row],[TOTAL COBERTURA]])</f>
        <v>25160400</v>
      </c>
      <c r="AX803" s="35">
        <f>(VLOOKUP(Tabla4[[#This Row],[SERVICIO 2025]],$J$2:$V$14,3,0)*Tabla4[[#This Row],[TOTAL COBERTURA]])</f>
        <v>25160400</v>
      </c>
      <c r="AY803" s="35">
        <f>(VLOOKUP(Tabla4[[#This Row],[SERVICIO 2025]],$J$2:$V$14,3,0)*Tabla4[[#This Row],[TOTAL COBERTURA]])</f>
        <v>25160400</v>
      </c>
      <c r="AZ803" s="35">
        <f>(VLOOKUP(Tabla4[[#This Row],[SERVICIO 2025]],$J$2:$V$14,3,0)*Tabla4[[#This Row],[TOTAL COBERTURA]])</f>
        <v>25160400</v>
      </c>
      <c r="BA803" s="35">
        <f>(VLOOKUP(Tabla4[[#This Row],[SERVICIO 2025]],$J$2:$V$14,3,0)*Tabla4[[#This Row],[TOTAL COBERTURA]])+Tabla4[[#This Row],[VALOR FASE PREPARATORIA DE CIERRE]]</f>
        <v>28912550</v>
      </c>
      <c r="BB803" s="35">
        <f>SUM(Tabla4[[#This Row],[DESEMBOLSO 1]:[DESEMBOLSO 8]])</f>
        <v>209442500</v>
      </c>
      <c r="BC803" s="35">
        <f>VLOOKUP(Tabla4[[#This Row],[SERVICIO 2025]],$J$2:$V$14,10,0)*Tabla4[[#This Row],[TOTAL COBERTURA]]*$W$3</f>
        <v>0</v>
      </c>
      <c r="BD803" s="47" t="s">
        <v>145</v>
      </c>
      <c r="BE803" s="12" t="b">
        <f>EXACT(Tabla4[[#This Row],[VALOR ATENCIÓN (8 MESES)]],Tabla4[[#This Row],[VALOR TOTAL]])</f>
        <v>1</v>
      </c>
      <c r="BF803" s="23">
        <f>Tabla4[[#This Row],[VALOR ATENCIÓN (8 MESES)]]-Tabla4[[#This Row],[VALOR TOTAL]]</f>
        <v>0</v>
      </c>
      <c r="BG803" s="12" t="b">
        <f>EXACT(Tabla4[[#This Row],[TOTAL DESEMBOLSOS]],Tabla4[[#This Row],[VALOR ATENCIÓN (8 MESES)]])</f>
        <v>1</v>
      </c>
      <c r="BH803" s="29">
        <f>Tabla4[[#This Row],[TOTAL DESEMBOLSOS]]-Tabla4[[#This Row],[VALOR ATENCIÓN (8 MESES)]]</f>
        <v>0</v>
      </c>
      <c r="BI803" t="s">
        <v>98</v>
      </c>
    </row>
    <row r="804" spans="1:62">
      <c r="A804" s="13">
        <v>1966</v>
      </c>
      <c r="B804" s="13" t="s">
        <v>1777</v>
      </c>
      <c r="C804" s="12" t="s">
        <v>87</v>
      </c>
      <c r="D804" s="12" t="s">
        <v>527</v>
      </c>
      <c r="E804" s="12" t="s">
        <v>1778</v>
      </c>
      <c r="F804" s="12" t="s">
        <v>14</v>
      </c>
      <c r="G804" s="12" t="s">
        <v>90</v>
      </c>
      <c r="H804" s="12" t="s">
        <v>1796</v>
      </c>
      <c r="I804" s="12">
        <v>544000107009</v>
      </c>
      <c r="J804" s="12" t="s">
        <v>1797</v>
      </c>
      <c r="K804" s="12">
        <v>1</v>
      </c>
      <c r="L804" s="12">
        <v>60</v>
      </c>
      <c r="M804" s="12"/>
      <c r="N804" s="13">
        <v>1966</v>
      </c>
      <c r="O804" s="12" t="s">
        <v>93</v>
      </c>
      <c r="P804" s="12"/>
      <c r="Q804" s="12"/>
      <c r="R804" s="12" t="s">
        <v>94</v>
      </c>
      <c r="S804" s="12">
        <v>10</v>
      </c>
      <c r="T804" s="12" t="s">
        <v>1781</v>
      </c>
      <c r="U804" s="12" t="s">
        <v>1782</v>
      </c>
      <c r="V804" s="12">
        <f>VLOOKUP(Tabla4[[#This Row],[ZONA DEFINITIVO]],Hoja1!$A$1:$D$121,3,0)</f>
        <v>229126</v>
      </c>
      <c r="W804" s="12">
        <f>VLOOKUP(Tabla4[[#This Row],[ZONA DEFINITIVO]],Hoja1!$A$1:$D$121,2,0)</f>
        <v>15234</v>
      </c>
      <c r="X804" s="12">
        <f>VLOOKUP(Tabla4[[#This Row],[ZONA DEFINITIVO]],Hoja1!$A$1:$D$121,4,0)</f>
        <v>88025</v>
      </c>
      <c r="Y804" s="12" t="str">
        <f>+IF(Tabla4[[#This Row],[AGRUPACIONES]]=1,SUMIFS(Tabla4[UDS],Tabla4[ZONA DEFINITIVO],Tabla4[[#This Row],[ZONA DEFINITIVO]])," ")</f>
        <v xml:space="preserve"> </v>
      </c>
      <c r="Z804" s="12" t="str">
        <f>+IF(Tabla4[[#This Row],[AGRUPACIONES]]=1,SUMIFS(Tabla4[TOTAL COBERTURA],Tabla4[ZONA DEFINITIVO],Tabla4[[#This Row],[ZONA DEFINITIVO]])," ")</f>
        <v xml:space="preserve"> </v>
      </c>
      <c r="AA804" s="12"/>
      <c r="AB804" s="38">
        <v>251331000</v>
      </c>
      <c r="AC804" s="37">
        <v>0.02</v>
      </c>
      <c r="AD804" s="38">
        <f t="shared" si="13"/>
        <v>5026620</v>
      </c>
      <c r="AE804" s="12"/>
      <c r="AF804" s="12">
        <f>COUNTIF($A$20:A804,A804)</f>
        <v>9</v>
      </c>
      <c r="AG804" s="38">
        <v>251331000</v>
      </c>
      <c r="AH804" s="38">
        <f>Tabla4[[#This Row],[VALOR CONTRAPARTIDA]]+Tabla4[[#This Row],[TOTAL APORTES ICBF]]</f>
        <v>256357620</v>
      </c>
      <c r="AI804" s="35"/>
      <c r="AJ804" s="38"/>
      <c r="AK804" s="38"/>
      <c r="AL804" s="23"/>
      <c r="AM804" s="35">
        <f>VLOOKUP(Tabla4[[#This Row],[SERVICIO 2025]],$J$2:$V$14,5,0)*Tabla4[[#This Row],[TOTAL COBERTURA]]</f>
        <v>5288580</v>
      </c>
      <c r="AN804" s="35">
        <f>VLOOKUP(Tabla4[[#This Row],[SERVICIO 2025]],$J$2:$V$14,6,0)*Tabla4[[#This Row],[TOTAL COBERTURA]]</f>
        <v>4502580</v>
      </c>
      <c r="AO804" s="35">
        <f>VLOOKUP(Tabla4[[#This Row],[SERVICIO 2025]],$J$2:$V$14,8,0)*Tabla4[[#This Row],[TOTAL COBERTURA]]</f>
        <v>0</v>
      </c>
      <c r="AP804" s="35">
        <f>VLOOKUP(Tabla4[[#This Row],[SERVICIO 2025]],$J$2:$V$14,3,0)*Tabla4[[#This Row],[TOTAL COBERTURA]]*8</f>
        <v>241539840</v>
      </c>
      <c r="AQ804" s="35"/>
      <c r="AR804" s="35">
        <f>Tabla4[[#This Row],[VALOR FASE PREPARATORIA DE ALISTAMIENTO]]+Tabla4[[#This Row],[VALOR FASE PREPARATORIA DE CIERRE]]+Tabla4[[#This Row],[DOTACIÓN ÚNICA]]+Tabla4[[#This Row],[VALOR ATENCIÓN]]+Tabla4[[#This Row],[VALOR RACION PREPARADA]]</f>
        <v>251331000</v>
      </c>
      <c r="AS804" s="35" t="str">
        <f>+IF(Tabla4[[#This Row],[AGRUPACIONES]]=1,SUMIFS(Tabla4[VALOR TOTAL],Tabla4[ZONA DEFINITIVO],Tabla4[[#This Row],[ZONA DEFINITIVO]])," ")</f>
        <v xml:space="preserve"> </v>
      </c>
      <c r="AT804" s="27">
        <f>(VLOOKUP(Tabla4[[#This Row],[SERVICIO 2025]],$J$2:$V$14,3,0)*Tabla4[[#This Row],[TOTAL COBERTURA]])+Tabla4[[#This Row],[VALOR FASE PREPARATORIA DE ALISTAMIENTO]]+Tabla4[[#This Row],[DOTACIÓN ÚNICA]]</f>
        <v>35481060</v>
      </c>
      <c r="AU804" s="35">
        <f>(VLOOKUP(Tabla4[[#This Row],[SERVICIO 2025]],$J$2:$V$14,3,0)*Tabla4[[#This Row],[TOTAL COBERTURA]])</f>
        <v>30192480</v>
      </c>
      <c r="AV804" s="35">
        <f>(VLOOKUP(Tabla4[[#This Row],[SERVICIO 2025]],$J$2:$V$14,3,0)*Tabla4[[#This Row],[TOTAL COBERTURA]])</f>
        <v>30192480</v>
      </c>
      <c r="AW804" s="35">
        <f>(VLOOKUP(Tabla4[[#This Row],[SERVICIO 2025]],$J$2:$V$14,3,0)*Tabla4[[#This Row],[TOTAL COBERTURA]])</f>
        <v>30192480</v>
      </c>
      <c r="AX804" s="35">
        <f>(VLOOKUP(Tabla4[[#This Row],[SERVICIO 2025]],$J$2:$V$14,3,0)*Tabla4[[#This Row],[TOTAL COBERTURA]])</f>
        <v>30192480</v>
      </c>
      <c r="AY804" s="35">
        <f>(VLOOKUP(Tabla4[[#This Row],[SERVICIO 2025]],$J$2:$V$14,3,0)*Tabla4[[#This Row],[TOTAL COBERTURA]])</f>
        <v>30192480</v>
      </c>
      <c r="AZ804" s="35">
        <f>(VLOOKUP(Tabla4[[#This Row],[SERVICIO 2025]],$J$2:$V$14,3,0)*Tabla4[[#This Row],[TOTAL COBERTURA]])</f>
        <v>30192480</v>
      </c>
      <c r="BA804" s="35">
        <f>(VLOOKUP(Tabla4[[#This Row],[SERVICIO 2025]],$J$2:$V$14,3,0)*Tabla4[[#This Row],[TOTAL COBERTURA]])+Tabla4[[#This Row],[VALOR FASE PREPARATORIA DE CIERRE]]</f>
        <v>34695060</v>
      </c>
      <c r="BB804" s="35">
        <f>SUM(Tabla4[[#This Row],[DESEMBOLSO 1]:[DESEMBOLSO 8]])</f>
        <v>251331000</v>
      </c>
      <c r="BC804" s="35">
        <f>VLOOKUP(Tabla4[[#This Row],[SERVICIO 2025]],$J$2:$V$14,10,0)*Tabla4[[#This Row],[TOTAL COBERTURA]]*$W$3</f>
        <v>0</v>
      </c>
      <c r="BD804" s="47" t="s">
        <v>145</v>
      </c>
      <c r="BE804" s="12" t="b">
        <f>EXACT(Tabla4[[#This Row],[VALOR ATENCIÓN (8 MESES)]],Tabla4[[#This Row],[VALOR TOTAL]])</f>
        <v>1</v>
      </c>
      <c r="BF804" s="23">
        <f>Tabla4[[#This Row],[VALOR ATENCIÓN (8 MESES)]]-Tabla4[[#This Row],[VALOR TOTAL]]</f>
        <v>0</v>
      </c>
      <c r="BG804" s="12" t="b">
        <f>EXACT(Tabla4[[#This Row],[TOTAL DESEMBOLSOS]],Tabla4[[#This Row],[VALOR ATENCIÓN (8 MESES)]])</f>
        <v>1</v>
      </c>
      <c r="BH804" s="29">
        <f>Tabla4[[#This Row],[TOTAL DESEMBOLSOS]]-Tabla4[[#This Row],[VALOR ATENCIÓN (8 MESES)]]</f>
        <v>0</v>
      </c>
      <c r="BI804" t="s">
        <v>98</v>
      </c>
    </row>
    <row r="805" spans="1:62">
      <c r="A805" s="13">
        <v>1966</v>
      </c>
      <c r="B805" s="13" t="s">
        <v>1777</v>
      </c>
      <c r="C805" s="12" t="s">
        <v>87</v>
      </c>
      <c r="D805" s="12" t="s">
        <v>527</v>
      </c>
      <c r="E805" s="12" t="s">
        <v>1778</v>
      </c>
      <c r="F805" s="12" t="s">
        <v>14</v>
      </c>
      <c r="G805" s="12" t="s">
        <v>90</v>
      </c>
      <c r="H805" s="12" t="s">
        <v>1798</v>
      </c>
      <c r="I805" s="12">
        <v>544000107010</v>
      </c>
      <c r="J805" s="12" t="s">
        <v>1799</v>
      </c>
      <c r="K805" s="12">
        <v>1</v>
      </c>
      <c r="L805" s="12">
        <v>37</v>
      </c>
      <c r="M805" s="12"/>
      <c r="N805" s="13">
        <v>1966</v>
      </c>
      <c r="O805" s="12" t="s">
        <v>93</v>
      </c>
      <c r="P805" s="12"/>
      <c r="Q805" s="12"/>
      <c r="R805" s="12" t="s">
        <v>94</v>
      </c>
      <c r="S805" s="12">
        <v>10</v>
      </c>
      <c r="T805" s="12" t="s">
        <v>1781</v>
      </c>
      <c r="U805" s="12" t="s">
        <v>1782</v>
      </c>
      <c r="V805" s="12">
        <f>VLOOKUP(Tabla4[[#This Row],[ZONA DEFINITIVO]],Hoja1!$A$1:$D$121,3,0)</f>
        <v>229126</v>
      </c>
      <c r="W805" s="12">
        <f>VLOOKUP(Tabla4[[#This Row],[ZONA DEFINITIVO]],Hoja1!$A$1:$D$121,2,0)</f>
        <v>15234</v>
      </c>
      <c r="X805" s="12">
        <f>VLOOKUP(Tabla4[[#This Row],[ZONA DEFINITIVO]],Hoja1!$A$1:$D$121,4,0)</f>
        <v>88025</v>
      </c>
      <c r="Y805" s="12" t="str">
        <f>+IF(Tabla4[[#This Row],[AGRUPACIONES]]=1,SUMIFS(Tabla4[UDS],Tabla4[ZONA DEFINITIVO],Tabla4[[#This Row],[ZONA DEFINITIVO]])," ")</f>
        <v xml:space="preserve"> </v>
      </c>
      <c r="Z805" s="12" t="str">
        <f>+IF(Tabla4[[#This Row],[AGRUPACIONES]]=1,SUMIFS(Tabla4[TOTAL COBERTURA],Tabla4[ZONA DEFINITIVO],Tabla4[[#This Row],[ZONA DEFINITIVO]])," ")</f>
        <v xml:space="preserve"> </v>
      </c>
      <c r="AA805" s="12"/>
      <c r="AB805" s="38">
        <v>154987450</v>
      </c>
      <c r="AC805" s="37">
        <v>0.02</v>
      </c>
      <c r="AD805" s="38">
        <f t="shared" si="13"/>
        <v>3099749</v>
      </c>
      <c r="AE805" s="12"/>
      <c r="AF805" s="12">
        <f>COUNTIF($A$20:A805,A805)</f>
        <v>10</v>
      </c>
      <c r="AG805" s="38">
        <v>154987450</v>
      </c>
      <c r="AH805" s="38">
        <f>Tabla4[[#This Row],[VALOR CONTRAPARTIDA]]+Tabla4[[#This Row],[TOTAL APORTES ICBF]]</f>
        <v>158087199</v>
      </c>
      <c r="AI805" s="35"/>
      <c r="AJ805" s="38"/>
      <c r="AK805" s="38"/>
      <c r="AL805" s="23"/>
      <c r="AM805" s="35">
        <f>VLOOKUP(Tabla4[[#This Row],[SERVICIO 2025]],$J$2:$V$14,5,0)*Tabla4[[#This Row],[TOTAL COBERTURA]]</f>
        <v>3261291</v>
      </c>
      <c r="AN805" s="35">
        <f>VLOOKUP(Tabla4[[#This Row],[SERVICIO 2025]],$J$2:$V$14,6,0)*Tabla4[[#This Row],[TOTAL COBERTURA]]</f>
        <v>2776591</v>
      </c>
      <c r="AO805" s="35">
        <f>VLOOKUP(Tabla4[[#This Row],[SERVICIO 2025]],$J$2:$V$14,8,0)*Tabla4[[#This Row],[TOTAL COBERTURA]]</f>
        <v>0</v>
      </c>
      <c r="AP805" s="35">
        <f>VLOOKUP(Tabla4[[#This Row],[SERVICIO 2025]],$J$2:$V$14,3,0)*Tabla4[[#This Row],[TOTAL COBERTURA]]*8</f>
        <v>148949568</v>
      </c>
      <c r="AQ805" s="35"/>
      <c r="AR805" s="35">
        <f>Tabla4[[#This Row],[VALOR FASE PREPARATORIA DE ALISTAMIENTO]]+Tabla4[[#This Row],[VALOR FASE PREPARATORIA DE CIERRE]]+Tabla4[[#This Row],[DOTACIÓN ÚNICA]]+Tabla4[[#This Row],[VALOR ATENCIÓN]]+Tabla4[[#This Row],[VALOR RACION PREPARADA]]</f>
        <v>154987450</v>
      </c>
      <c r="AS805" s="35" t="str">
        <f>+IF(Tabla4[[#This Row],[AGRUPACIONES]]=1,SUMIFS(Tabla4[VALOR TOTAL],Tabla4[ZONA DEFINITIVO],Tabla4[[#This Row],[ZONA DEFINITIVO]])," ")</f>
        <v xml:space="preserve"> </v>
      </c>
      <c r="AT805" s="27">
        <f>(VLOOKUP(Tabla4[[#This Row],[SERVICIO 2025]],$J$2:$V$14,3,0)*Tabla4[[#This Row],[TOTAL COBERTURA]])+Tabla4[[#This Row],[VALOR FASE PREPARATORIA DE ALISTAMIENTO]]+Tabla4[[#This Row],[DOTACIÓN ÚNICA]]</f>
        <v>21879987</v>
      </c>
      <c r="AU805" s="35">
        <f>(VLOOKUP(Tabla4[[#This Row],[SERVICIO 2025]],$J$2:$V$14,3,0)*Tabla4[[#This Row],[TOTAL COBERTURA]])</f>
        <v>18618696</v>
      </c>
      <c r="AV805" s="35">
        <f>(VLOOKUP(Tabla4[[#This Row],[SERVICIO 2025]],$J$2:$V$14,3,0)*Tabla4[[#This Row],[TOTAL COBERTURA]])</f>
        <v>18618696</v>
      </c>
      <c r="AW805" s="35">
        <f>(VLOOKUP(Tabla4[[#This Row],[SERVICIO 2025]],$J$2:$V$14,3,0)*Tabla4[[#This Row],[TOTAL COBERTURA]])</f>
        <v>18618696</v>
      </c>
      <c r="AX805" s="35">
        <f>(VLOOKUP(Tabla4[[#This Row],[SERVICIO 2025]],$J$2:$V$14,3,0)*Tabla4[[#This Row],[TOTAL COBERTURA]])</f>
        <v>18618696</v>
      </c>
      <c r="AY805" s="35">
        <f>(VLOOKUP(Tabla4[[#This Row],[SERVICIO 2025]],$J$2:$V$14,3,0)*Tabla4[[#This Row],[TOTAL COBERTURA]])</f>
        <v>18618696</v>
      </c>
      <c r="AZ805" s="35">
        <f>(VLOOKUP(Tabla4[[#This Row],[SERVICIO 2025]],$J$2:$V$14,3,0)*Tabla4[[#This Row],[TOTAL COBERTURA]])</f>
        <v>18618696</v>
      </c>
      <c r="BA805" s="35">
        <f>(VLOOKUP(Tabla4[[#This Row],[SERVICIO 2025]],$J$2:$V$14,3,0)*Tabla4[[#This Row],[TOTAL COBERTURA]])+Tabla4[[#This Row],[VALOR FASE PREPARATORIA DE CIERRE]]</f>
        <v>21395287</v>
      </c>
      <c r="BB805" s="35">
        <f>SUM(Tabla4[[#This Row],[DESEMBOLSO 1]:[DESEMBOLSO 8]])</f>
        <v>154987450</v>
      </c>
      <c r="BC805" s="35">
        <f>VLOOKUP(Tabla4[[#This Row],[SERVICIO 2025]],$J$2:$V$14,10,0)*Tabla4[[#This Row],[TOTAL COBERTURA]]*$W$3</f>
        <v>0</v>
      </c>
      <c r="BD805" s="47" t="s">
        <v>145</v>
      </c>
      <c r="BE805" s="12" t="b">
        <f>EXACT(Tabla4[[#This Row],[VALOR ATENCIÓN (8 MESES)]],Tabla4[[#This Row],[VALOR TOTAL]])</f>
        <v>1</v>
      </c>
      <c r="BF805" s="23">
        <f>Tabla4[[#This Row],[VALOR ATENCIÓN (8 MESES)]]-Tabla4[[#This Row],[VALOR TOTAL]]</f>
        <v>0</v>
      </c>
      <c r="BG805" s="12" t="b">
        <f>EXACT(Tabla4[[#This Row],[TOTAL DESEMBOLSOS]],Tabla4[[#This Row],[VALOR ATENCIÓN (8 MESES)]])</f>
        <v>1</v>
      </c>
      <c r="BH805" s="29">
        <f>Tabla4[[#This Row],[TOTAL DESEMBOLSOS]]-Tabla4[[#This Row],[VALOR ATENCIÓN (8 MESES)]]</f>
        <v>0</v>
      </c>
      <c r="BI805" t="s">
        <v>98</v>
      </c>
    </row>
    <row r="806" spans="1:62">
      <c r="A806" s="13">
        <v>1967</v>
      </c>
      <c r="B806" s="13" t="s">
        <v>1800</v>
      </c>
      <c r="C806" s="12" t="s">
        <v>87</v>
      </c>
      <c r="D806" s="12" t="s">
        <v>527</v>
      </c>
      <c r="E806" s="12" t="s">
        <v>1778</v>
      </c>
      <c r="F806" s="12" t="s">
        <v>21</v>
      </c>
      <c r="G806" s="12" t="s">
        <v>90</v>
      </c>
      <c r="H806" s="12" t="s">
        <v>1801</v>
      </c>
      <c r="I806" s="12">
        <v>54401115828</v>
      </c>
      <c r="J806" s="12" t="s">
        <v>1802</v>
      </c>
      <c r="K806" s="12">
        <v>1</v>
      </c>
      <c r="L806" s="12">
        <v>50</v>
      </c>
      <c r="M806" s="12"/>
      <c r="N806" s="13">
        <v>1967</v>
      </c>
      <c r="O806" s="12" t="s">
        <v>93</v>
      </c>
      <c r="P806" s="12"/>
      <c r="Q806" s="12"/>
      <c r="R806" s="12" t="s">
        <v>94</v>
      </c>
      <c r="S806" s="12">
        <v>10</v>
      </c>
      <c r="T806" s="12" t="s">
        <v>209</v>
      </c>
      <c r="U806" s="12" t="s">
        <v>210</v>
      </c>
      <c r="V806" s="12">
        <f>VLOOKUP(Tabla4[[#This Row],[ZONA DEFINITIVO]],Hoja1!$A$1:$D$121,3,0)</f>
        <v>229127</v>
      </c>
      <c r="W806" s="12">
        <f>VLOOKUP(Tabla4[[#This Row],[ZONA DEFINITIVO]],Hoja1!$A$1:$D$121,2,0)</f>
        <v>15238</v>
      </c>
      <c r="X806" s="12">
        <f>VLOOKUP(Tabla4[[#This Row],[ZONA DEFINITIVO]],Hoja1!$A$1:$D$121,4,0)</f>
        <v>88225</v>
      </c>
      <c r="Y806" s="12">
        <f>+IF(Tabla4[[#This Row],[AGRUPACIONES]]=1,SUMIFS(Tabla4[UDS],Tabla4[ZONA DEFINITIVO],Tabla4[[#This Row],[ZONA DEFINITIVO]])," ")</f>
        <v>11</v>
      </c>
      <c r="Z806" s="12">
        <f>+IF(Tabla4[[#This Row],[AGRUPACIONES]]=1,SUMIFS(Tabla4[TOTAL COBERTURA],Tabla4[ZONA DEFINITIVO],Tabla4[[#This Row],[ZONA DEFINITIVO]])," ")</f>
        <v>546</v>
      </c>
      <c r="AA806" s="12"/>
      <c r="AB806" s="38">
        <v>75965250</v>
      </c>
      <c r="AC806" s="37">
        <v>0.02</v>
      </c>
      <c r="AD806" s="38">
        <f t="shared" si="13"/>
        <v>1519305</v>
      </c>
      <c r="AE806" s="12"/>
      <c r="AF806" s="12">
        <f>COUNTIF($A$20:A806,A806)</f>
        <v>1</v>
      </c>
      <c r="AG806" s="38">
        <v>75965250</v>
      </c>
      <c r="AH806" s="38">
        <f>Tabla4[[#This Row],[VALOR CONTRAPARTIDA]]+Tabla4[[#This Row],[TOTAL APORTES ICBF]]</f>
        <v>77484555</v>
      </c>
      <c r="AI806" s="35">
        <f>ROUND(+IF(Tabla4[[#This Row],[AGRUPACIONES]]=1,SUMIFS(Tabla4[TOTAL APORTES ICBF],Tabla4[ZONA DEFINITIVO],Tabla4[[#This Row],[ZONA DEFINITIVO]])," "),0)</f>
        <v>829540530</v>
      </c>
      <c r="AJ806" s="38">
        <f>ROUND(+IF(Tabla4[[#This Row],[AGRUPACIONES]]=1,SUMIFS(Tabla4[VALOR CONTRAPARTIDA],Tabla4[ZONA DEFINITIVO],Tabla4[[#This Row],[ZONA DEFINITIVO]])," "),0)</f>
        <v>16590811</v>
      </c>
      <c r="AK806" s="38">
        <f>Tabla4[[#This Row],[TOTAL APORTES ICBF AGRUPADO]]+Tabla4[[#This Row],[TOTAL CONTRAPARTIDA AGRUPADO]]</f>
        <v>846131341</v>
      </c>
      <c r="AL806" s="23">
        <f>Tabla4[[#This Row],[TOTAL APORTES ICBF AGRUPADO]]/$AL$18</f>
        <v>582.74712328767123</v>
      </c>
      <c r="AM806" s="35">
        <f>VLOOKUP(Tabla4[[#This Row],[SERVICIO 2025]],$J$2:$V$14,5,0)*Tabla4[[#This Row],[TOTAL COBERTURA]]</f>
        <v>2337200</v>
      </c>
      <c r="AN806" s="35">
        <f>VLOOKUP(Tabla4[[#This Row],[SERVICIO 2025]],$J$2:$V$14,6,0)*Tabla4[[#This Row],[TOTAL COBERTURA]]</f>
        <v>1892050</v>
      </c>
      <c r="AO806" s="35">
        <f>VLOOKUP(Tabla4[[#This Row],[SERVICIO 2025]],$J$2:$V$14,8,0)*Tabla4[[#This Row],[TOTAL COBERTURA]]</f>
        <v>0</v>
      </c>
      <c r="AP806" s="35">
        <f>VLOOKUP(Tabla4[[#This Row],[SERVICIO 2025]],$J$2:$V$14,3,0)*Tabla4[[#This Row],[TOTAL COBERTURA]]*8</f>
        <v>71736000</v>
      </c>
      <c r="AQ806" s="35"/>
      <c r="AR806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806" s="35">
        <f>+IF(Tabla4[[#This Row],[AGRUPACIONES]]=1,SUMIFS(Tabla4[VALOR TOTAL],Tabla4[ZONA DEFINITIVO],Tabla4[[#This Row],[ZONA DEFINITIVO]])," ")</f>
        <v>829540530</v>
      </c>
      <c r="AT806" s="27">
        <f>(VLOOKUP(Tabla4[[#This Row],[SERVICIO 2025]],$J$2:$V$14,3,0)*Tabla4[[#This Row],[TOTAL COBERTURA]])+Tabla4[[#This Row],[VALOR FASE PREPARATORIA DE ALISTAMIENTO]]+Tabla4[[#This Row],[DOTACIÓN ÚNICA]]</f>
        <v>11304200</v>
      </c>
      <c r="AU806" s="35">
        <f>(VLOOKUP(Tabla4[[#This Row],[SERVICIO 2025]],$J$2:$V$14,3,0)*Tabla4[[#This Row],[TOTAL COBERTURA]])</f>
        <v>8967000</v>
      </c>
      <c r="AV806" s="35">
        <f>(VLOOKUP(Tabla4[[#This Row],[SERVICIO 2025]],$J$2:$V$14,3,0)*Tabla4[[#This Row],[TOTAL COBERTURA]])</f>
        <v>8967000</v>
      </c>
      <c r="AW806" s="35">
        <f>(VLOOKUP(Tabla4[[#This Row],[SERVICIO 2025]],$J$2:$V$14,3,0)*Tabla4[[#This Row],[TOTAL COBERTURA]])</f>
        <v>8967000</v>
      </c>
      <c r="AX806" s="35">
        <f>(VLOOKUP(Tabla4[[#This Row],[SERVICIO 2025]],$J$2:$V$14,3,0)*Tabla4[[#This Row],[TOTAL COBERTURA]])</f>
        <v>8967000</v>
      </c>
      <c r="AY806" s="35">
        <f>(VLOOKUP(Tabla4[[#This Row],[SERVICIO 2025]],$J$2:$V$14,3,0)*Tabla4[[#This Row],[TOTAL COBERTURA]])</f>
        <v>8967000</v>
      </c>
      <c r="AZ806" s="35">
        <f>(VLOOKUP(Tabla4[[#This Row],[SERVICIO 2025]],$J$2:$V$14,3,0)*Tabla4[[#This Row],[TOTAL COBERTURA]])</f>
        <v>8967000</v>
      </c>
      <c r="BA806" s="35">
        <f>(VLOOKUP(Tabla4[[#This Row],[SERVICIO 2025]],$J$2:$V$14,3,0)*Tabla4[[#This Row],[TOTAL COBERTURA]])+Tabla4[[#This Row],[VALOR FASE PREPARATORIA DE CIERRE]]</f>
        <v>10859050</v>
      </c>
      <c r="BB806" s="35">
        <f>SUM(Tabla4[[#This Row],[DESEMBOLSO 1]:[DESEMBOLSO 8]])</f>
        <v>75965250</v>
      </c>
      <c r="BC806" s="35">
        <f>VLOOKUP(Tabla4[[#This Row],[SERVICIO 2025]],$J$2:$V$14,10,0)*Tabla4[[#This Row],[TOTAL COBERTURA]]*$W$3</f>
        <v>75328400</v>
      </c>
      <c r="BD806" s="47" t="s">
        <v>211</v>
      </c>
      <c r="BE806" s="12" t="b">
        <f>EXACT(Tabla4[[#This Row],[VALOR ATENCIÓN (8 MESES)]],Tabla4[[#This Row],[VALOR TOTAL]])</f>
        <v>1</v>
      </c>
      <c r="BF806" s="23">
        <f>Tabla4[[#This Row],[VALOR ATENCIÓN (8 MESES)]]-Tabla4[[#This Row],[VALOR TOTAL]]</f>
        <v>0</v>
      </c>
      <c r="BG806" s="12" t="b">
        <f>EXACT(Tabla4[[#This Row],[TOTAL DESEMBOLSOS]],Tabla4[[#This Row],[VALOR ATENCIÓN (8 MESES)]])</f>
        <v>1</v>
      </c>
      <c r="BH806" s="29">
        <f>Tabla4[[#This Row],[TOTAL DESEMBOLSOS]]-Tabla4[[#This Row],[VALOR ATENCIÓN (8 MESES)]]</f>
        <v>0</v>
      </c>
      <c r="BI806" t="s">
        <v>98</v>
      </c>
      <c r="BJ806">
        <v>1967</v>
      </c>
    </row>
    <row r="807" spans="1:62">
      <c r="A807" s="13">
        <v>1967</v>
      </c>
      <c r="B807" s="13" t="s">
        <v>1800</v>
      </c>
      <c r="C807" s="12" t="s">
        <v>87</v>
      </c>
      <c r="D807" s="12" t="s">
        <v>527</v>
      </c>
      <c r="E807" s="12" t="s">
        <v>1778</v>
      </c>
      <c r="F807" s="12" t="s">
        <v>21</v>
      </c>
      <c r="G807" s="12" t="s">
        <v>90</v>
      </c>
      <c r="H807" s="12" t="s">
        <v>1803</v>
      </c>
      <c r="I807" s="12">
        <v>54401115829</v>
      </c>
      <c r="J807" s="12" t="s">
        <v>1803</v>
      </c>
      <c r="K807" s="12">
        <v>1</v>
      </c>
      <c r="L807" s="12">
        <v>50</v>
      </c>
      <c r="M807" s="12"/>
      <c r="N807" s="13">
        <v>1967</v>
      </c>
      <c r="O807" s="12" t="s">
        <v>93</v>
      </c>
      <c r="P807" s="12"/>
      <c r="Q807" s="12"/>
      <c r="R807" s="12" t="s">
        <v>94</v>
      </c>
      <c r="S807" s="12">
        <v>10</v>
      </c>
      <c r="T807" s="12" t="s">
        <v>209</v>
      </c>
      <c r="U807" s="12" t="s">
        <v>210</v>
      </c>
      <c r="V807" s="12">
        <f>VLOOKUP(Tabla4[[#This Row],[ZONA DEFINITIVO]],Hoja1!$A$1:$D$121,3,0)</f>
        <v>229127</v>
      </c>
      <c r="W807" s="12">
        <f>VLOOKUP(Tabla4[[#This Row],[ZONA DEFINITIVO]],Hoja1!$A$1:$D$121,2,0)</f>
        <v>15238</v>
      </c>
      <c r="X807" s="12">
        <f>VLOOKUP(Tabla4[[#This Row],[ZONA DEFINITIVO]],Hoja1!$A$1:$D$121,4,0)</f>
        <v>88225</v>
      </c>
      <c r="Y807" s="12" t="str">
        <f>+IF(Tabla4[[#This Row],[AGRUPACIONES]]=1,SUMIFS(Tabla4[UDS],Tabla4[ZONA DEFINITIVO],Tabla4[[#This Row],[ZONA DEFINITIVO]])," ")</f>
        <v xml:space="preserve"> </v>
      </c>
      <c r="Z807" s="12" t="str">
        <f>+IF(Tabla4[[#This Row],[AGRUPACIONES]]=1,SUMIFS(Tabla4[TOTAL COBERTURA],Tabla4[ZONA DEFINITIVO],Tabla4[[#This Row],[ZONA DEFINITIVO]])," ")</f>
        <v xml:space="preserve"> </v>
      </c>
      <c r="AA807" s="12"/>
      <c r="AB807" s="38">
        <v>75965250</v>
      </c>
      <c r="AC807" s="37">
        <v>0.02</v>
      </c>
      <c r="AD807" s="38">
        <f t="shared" si="13"/>
        <v>1519305</v>
      </c>
      <c r="AE807" s="12"/>
      <c r="AF807" s="12">
        <f>COUNTIF($A$20:A807,A807)</f>
        <v>2</v>
      </c>
      <c r="AG807" s="38">
        <v>75965250</v>
      </c>
      <c r="AH807" s="38">
        <f>Tabla4[[#This Row],[VALOR CONTRAPARTIDA]]+Tabla4[[#This Row],[TOTAL APORTES ICBF]]</f>
        <v>77484555</v>
      </c>
      <c r="AI807" s="35"/>
      <c r="AJ807" s="38"/>
      <c r="AK807" s="38"/>
      <c r="AL807" s="23"/>
      <c r="AM807" s="35">
        <f>VLOOKUP(Tabla4[[#This Row],[SERVICIO 2025]],$J$2:$V$14,5,0)*Tabla4[[#This Row],[TOTAL COBERTURA]]</f>
        <v>2337200</v>
      </c>
      <c r="AN807" s="35">
        <f>VLOOKUP(Tabla4[[#This Row],[SERVICIO 2025]],$J$2:$V$14,6,0)*Tabla4[[#This Row],[TOTAL COBERTURA]]</f>
        <v>1892050</v>
      </c>
      <c r="AO807" s="35">
        <f>VLOOKUP(Tabla4[[#This Row],[SERVICIO 2025]],$J$2:$V$14,8,0)*Tabla4[[#This Row],[TOTAL COBERTURA]]</f>
        <v>0</v>
      </c>
      <c r="AP807" s="35">
        <f>VLOOKUP(Tabla4[[#This Row],[SERVICIO 2025]],$J$2:$V$14,3,0)*Tabla4[[#This Row],[TOTAL COBERTURA]]*8</f>
        <v>71736000</v>
      </c>
      <c r="AQ807" s="35"/>
      <c r="AR807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807" s="35" t="str">
        <f>+IF(Tabla4[[#This Row],[AGRUPACIONES]]=1,SUMIFS(Tabla4[VALOR TOTAL],Tabla4[ZONA DEFINITIVO],Tabla4[[#This Row],[ZONA DEFINITIVO]])," ")</f>
        <v xml:space="preserve"> </v>
      </c>
      <c r="AT807" s="27">
        <f>(VLOOKUP(Tabla4[[#This Row],[SERVICIO 2025]],$J$2:$V$14,3,0)*Tabla4[[#This Row],[TOTAL COBERTURA]])+Tabla4[[#This Row],[VALOR FASE PREPARATORIA DE ALISTAMIENTO]]+Tabla4[[#This Row],[DOTACIÓN ÚNICA]]</f>
        <v>11304200</v>
      </c>
      <c r="AU807" s="35">
        <f>(VLOOKUP(Tabla4[[#This Row],[SERVICIO 2025]],$J$2:$V$14,3,0)*Tabla4[[#This Row],[TOTAL COBERTURA]])</f>
        <v>8967000</v>
      </c>
      <c r="AV807" s="35">
        <f>(VLOOKUP(Tabla4[[#This Row],[SERVICIO 2025]],$J$2:$V$14,3,0)*Tabla4[[#This Row],[TOTAL COBERTURA]])</f>
        <v>8967000</v>
      </c>
      <c r="AW807" s="35">
        <f>(VLOOKUP(Tabla4[[#This Row],[SERVICIO 2025]],$J$2:$V$14,3,0)*Tabla4[[#This Row],[TOTAL COBERTURA]])</f>
        <v>8967000</v>
      </c>
      <c r="AX807" s="35">
        <f>(VLOOKUP(Tabla4[[#This Row],[SERVICIO 2025]],$J$2:$V$14,3,0)*Tabla4[[#This Row],[TOTAL COBERTURA]])</f>
        <v>8967000</v>
      </c>
      <c r="AY807" s="35">
        <f>(VLOOKUP(Tabla4[[#This Row],[SERVICIO 2025]],$J$2:$V$14,3,0)*Tabla4[[#This Row],[TOTAL COBERTURA]])</f>
        <v>8967000</v>
      </c>
      <c r="AZ807" s="35">
        <f>(VLOOKUP(Tabla4[[#This Row],[SERVICIO 2025]],$J$2:$V$14,3,0)*Tabla4[[#This Row],[TOTAL COBERTURA]])</f>
        <v>8967000</v>
      </c>
      <c r="BA807" s="35">
        <f>(VLOOKUP(Tabla4[[#This Row],[SERVICIO 2025]],$J$2:$V$14,3,0)*Tabla4[[#This Row],[TOTAL COBERTURA]])+Tabla4[[#This Row],[VALOR FASE PREPARATORIA DE CIERRE]]</f>
        <v>10859050</v>
      </c>
      <c r="BB807" s="35">
        <f>SUM(Tabla4[[#This Row],[DESEMBOLSO 1]:[DESEMBOLSO 8]])</f>
        <v>75965250</v>
      </c>
      <c r="BC807" s="35">
        <f>VLOOKUP(Tabla4[[#This Row],[SERVICIO 2025]],$J$2:$V$14,10,0)*Tabla4[[#This Row],[TOTAL COBERTURA]]*$W$3</f>
        <v>75328400</v>
      </c>
      <c r="BD807" s="47" t="s">
        <v>211</v>
      </c>
      <c r="BE807" s="12" t="b">
        <f>EXACT(Tabla4[[#This Row],[VALOR ATENCIÓN (8 MESES)]],Tabla4[[#This Row],[VALOR TOTAL]])</f>
        <v>1</v>
      </c>
      <c r="BF807" s="23">
        <f>Tabla4[[#This Row],[VALOR ATENCIÓN (8 MESES)]]-Tabla4[[#This Row],[VALOR TOTAL]]</f>
        <v>0</v>
      </c>
      <c r="BG807" s="12" t="b">
        <f>EXACT(Tabla4[[#This Row],[TOTAL DESEMBOLSOS]],Tabla4[[#This Row],[VALOR ATENCIÓN (8 MESES)]])</f>
        <v>1</v>
      </c>
      <c r="BH807" s="29">
        <f>Tabla4[[#This Row],[TOTAL DESEMBOLSOS]]-Tabla4[[#This Row],[VALOR ATENCIÓN (8 MESES)]]</f>
        <v>0</v>
      </c>
      <c r="BI807" t="s">
        <v>98</v>
      </c>
      <c r="BJ807">
        <v>1967</v>
      </c>
    </row>
    <row r="808" spans="1:62">
      <c r="A808" s="13">
        <v>1967</v>
      </c>
      <c r="B808" s="13" t="s">
        <v>1800</v>
      </c>
      <c r="C808" s="12" t="s">
        <v>87</v>
      </c>
      <c r="D808" s="12" t="s">
        <v>527</v>
      </c>
      <c r="E808" s="12" t="s">
        <v>1778</v>
      </c>
      <c r="F808" s="12" t="s">
        <v>21</v>
      </c>
      <c r="G808" s="12" t="s">
        <v>90</v>
      </c>
      <c r="H808" s="12" t="s">
        <v>1804</v>
      </c>
      <c r="I808" s="12">
        <v>54401115838</v>
      </c>
      <c r="J808" s="12" t="s">
        <v>1804</v>
      </c>
      <c r="K808" s="12">
        <v>1</v>
      </c>
      <c r="L808" s="12">
        <v>50</v>
      </c>
      <c r="M808" s="12"/>
      <c r="N808" s="13">
        <v>1967</v>
      </c>
      <c r="O808" s="12" t="s">
        <v>93</v>
      </c>
      <c r="P808" s="12"/>
      <c r="Q808" s="12"/>
      <c r="R808" s="12" t="s">
        <v>94</v>
      </c>
      <c r="S808" s="12">
        <v>10</v>
      </c>
      <c r="T808" s="12" t="s">
        <v>209</v>
      </c>
      <c r="U808" s="12" t="s">
        <v>210</v>
      </c>
      <c r="V808" s="12">
        <f>VLOOKUP(Tabla4[[#This Row],[ZONA DEFINITIVO]],Hoja1!$A$1:$D$121,3,0)</f>
        <v>229127</v>
      </c>
      <c r="W808" s="12">
        <f>VLOOKUP(Tabla4[[#This Row],[ZONA DEFINITIVO]],Hoja1!$A$1:$D$121,2,0)</f>
        <v>15238</v>
      </c>
      <c r="X808" s="12">
        <f>VLOOKUP(Tabla4[[#This Row],[ZONA DEFINITIVO]],Hoja1!$A$1:$D$121,4,0)</f>
        <v>88225</v>
      </c>
      <c r="Y808" s="12" t="str">
        <f>+IF(Tabla4[[#This Row],[AGRUPACIONES]]=1,SUMIFS(Tabla4[UDS],Tabla4[ZONA DEFINITIVO],Tabla4[[#This Row],[ZONA DEFINITIVO]])," ")</f>
        <v xml:space="preserve"> </v>
      </c>
      <c r="Z808" s="12" t="str">
        <f>+IF(Tabla4[[#This Row],[AGRUPACIONES]]=1,SUMIFS(Tabla4[TOTAL COBERTURA],Tabla4[ZONA DEFINITIVO],Tabla4[[#This Row],[ZONA DEFINITIVO]])," ")</f>
        <v xml:space="preserve"> </v>
      </c>
      <c r="AA808" s="12"/>
      <c r="AB808" s="38">
        <v>75965250</v>
      </c>
      <c r="AC808" s="37">
        <v>0.02</v>
      </c>
      <c r="AD808" s="38">
        <f t="shared" si="13"/>
        <v>1519305</v>
      </c>
      <c r="AE808" s="12"/>
      <c r="AF808" s="12">
        <f>COUNTIF($A$20:A808,A808)</f>
        <v>3</v>
      </c>
      <c r="AG808" s="38">
        <v>75965250</v>
      </c>
      <c r="AH808" s="38">
        <f>Tabla4[[#This Row],[VALOR CONTRAPARTIDA]]+Tabla4[[#This Row],[TOTAL APORTES ICBF]]</f>
        <v>77484555</v>
      </c>
      <c r="AI808" s="35"/>
      <c r="AJ808" s="38"/>
      <c r="AK808" s="38"/>
      <c r="AL808" s="23"/>
      <c r="AM808" s="35">
        <f>VLOOKUP(Tabla4[[#This Row],[SERVICIO 2025]],$J$2:$V$14,5,0)*Tabla4[[#This Row],[TOTAL COBERTURA]]</f>
        <v>2337200</v>
      </c>
      <c r="AN808" s="35">
        <f>VLOOKUP(Tabla4[[#This Row],[SERVICIO 2025]],$J$2:$V$14,6,0)*Tabla4[[#This Row],[TOTAL COBERTURA]]</f>
        <v>1892050</v>
      </c>
      <c r="AO808" s="35">
        <f>VLOOKUP(Tabla4[[#This Row],[SERVICIO 2025]],$J$2:$V$14,8,0)*Tabla4[[#This Row],[TOTAL COBERTURA]]</f>
        <v>0</v>
      </c>
      <c r="AP808" s="35">
        <f>VLOOKUP(Tabla4[[#This Row],[SERVICIO 2025]],$J$2:$V$14,3,0)*Tabla4[[#This Row],[TOTAL COBERTURA]]*8</f>
        <v>71736000</v>
      </c>
      <c r="AQ808" s="35"/>
      <c r="AR808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808" s="35" t="str">
        <f>+IF(Tabla4[[#This Row],[AGRUPACIONES]]=1,SUMIFS(Tabla4[VALOR TOTAL],Tabla4[ZONA DEFINITIVO],Tabla4[[#This Row],[ZONA DEFINITIVO]])," ")</f>
        <v xml:space="preserve"> </v>
      </c>
      <c r="AT808" s="27">
        <f>(VLOOKUP(Tabla4[[#This Row],[SERVICIO 2025]],$J$2:$V$14,3,0)*Tabla4[[#This Row],[TOTAL COBERTURA]])+Tabla4[[#This Row],[VALOR FASE PREPARATORIA DE ALISTAMIENTO]]+Tabla4[[#This Row],[DOTACIÓN ÚNICA]]</f>
        <v>11304200</v>
      </c>
      <c r="AU808" s="35">
        <f>(VLOOKUP(Tabla4[[#This Row],[SERVICIO 2025]],$J$2:$V$14,3,0)*Tabla4[[#This Row],[TOTAL COBERTURA]])</f>
        <v>8967000</v>
      </c>
      <c r="AV808" s="35">
        <f>(VLOOKUP(Tabla4[[#This Row],[SERVICIO 2025]],$J$2:$V$14,3,0)*Tabla4[[#This Row],[TOTAL COBERTURA]])</f>
        <v>8967000</v>
      </c>
      <c r="AW808" s="35">
        <f>(VLOOKUP(Tabla4[[#This Row],[SERVICIO 2025]],$J$2:$V$14,3,0)*Tabla4[[#This Row],[TOTAL COBERTURA]])</f>
        <v>8967000</v>
      </c>
      <c r="AX808" s="35">
        <f>(VLOOKUP(Tabla4[[#This Row],[SERVICIO 2025]],$J$2:$V$14,3,0)*Tabla4[[#This Row],[TOTAL COBERTURA]])</f>
        <v>8967000</v>
      </c>
      <c r="AY808" s="35">
        <f>(VLOOKUP(Tabla4[[#This Row],[SERVICIO 2025]],$J$2:$V$14,3,0)*Tabla4[[#This Row],[TOTAL COBERTURA]])</f>
        <v>8967000</v>
      </c>
      <c r="AZ808" s="35">
        <f>(VLOOKUP(Tabla4[[#This Row],[SERVICIO 2025]],$J$2:$V$14,3,0)*Tabla4[[#This Row],[TOTAL COBERTURA]])</f>
        <v>8967000</v>
      </c>
      <c r="BA808" s="35">
        <f>(VLOOKUP(Tabla4[[#This Row],[SERVICIO 2025]],$J$2:$V$14,3,0)*Tabla4[[#This Row],[TOTAL COBERTURA]])+Tabla4[[#This Row],[VALOR FASE PREPARATORIA DE CIERRE]]</f>
        <v>10859050</v>
      </c>
      <c r="BB808" s="35">
        <f>SUM(Tabla4[[#This Row],[DESEMBOLSO 1]:[DESEMBOLSO 8]])</f>
        <v>75965250</v>
      </c>
      <c r="BC808" s="35">
        <f>VLOOKUP(Tabla4[[#This Row],[SERVICIO 2025]],$J$2:$V$14,10,0)*Tabla4[[#This Row],[TOTAL COBERTURA]]*$W$3</f>
        <v>75328400</v>
      </c>
      <c r="BD808" s="47" t="s">
        <v>211</v>
      </c>
      <c r="BE808" s="12" t="b">
        <f>EXACT(Tabla4[[#This Row],[VALOR ATENCIÓN (8 MESES)]],Tabla4[[#This Row],[VALOR TOTAL]])</f>
        <v>1</v>
      </c>
      <c r="BF808" s="23">
        <f>Tabla4[[#This Row],[VALOR ATENCIÓN (8 MESES)]]-Tabla4[[#This Row],[VALOR TOTAL]]</f>
        <v>0</v>
      </c>
      <c r="BG808" s="12" t="b">
        <f>EXACT(Tabla4[[#This Row],[TOTAL DESEMBOLSOS]],Tabla4[[#This Row],[VALOR ATENCIÓN (8 MESES)]])</f>
        <v>1</v>
      </c>
      <c r="BH808" s="29">
        <f>Tabla4[[#This Row],[TOTAL DESEMBOLSOS]]-Tabla4[[#This Row],[VALOR ATENCIÓN (8 MESES)]]</f>
        <v>0</v>
      </c>
      <c r="BI808" t="s">
        <v>98</v>
      </c>
      <c r="BJ808">
        <v>1967</v>
      </c>
    </row>
    <row r="809" spans="1:62">
      <c r="A809" s="13">
        <v>1967</v>
      </c>
      <c r="B809" s="13" t="s">
        <v>1800</v>
      </c>
      <c r="C809" s="12" t="s">
        <v>87</v>
      </c>
      <c r="D809" s="12" t="s">
        <v>527</v>
      </c>
      <c r="E809" s="12" t="s">
        <v>1778</v>
      </c>
      <c r="F809" s="12" t="s">
        <v>21</v>
      </c>
      <c r="G809" s="12" t="s">
        <v>90</v>
      </c>
      <c r="H809" s="12" t="s">
        <v>1805</v>
      </c>
      <c r="I809" s="12">
        <v>54401115839</v>
      </c>
      <c r="J809" s="12" t="s">
        <v>1806</v>
      </c>
      <c r="K809" s="12">
        <v>1</v>
      </c>
      <c r="L809" s="12">
        <v>49</v>
      </c>
      <c r="M809" s="12"/>
      <c r="N809" s="13">
        <v>1967</v>
      </c>
      <c r="O809" s="12" t="s">
        <v>93</v>
      </c>
      <c r="P809" s="12"/>
      <c r="Q809" s="12"/>
      <c r="R809" s="12" t="s">
        <v>94</v>
      </c>
      <c r="S809" s="12">
        <v>10</v>
      </c>
      <c r="T809" s="12" t="s">
        <v>209</v>
      </c>
      <c r="U809" s="12" t="s">
        <v>210</v>
      </c>
      <c r="V809" s="12">
        <f>VLOOKUP(Tabla4[[#This Row],[ZONA DEFINITIVO]],Hoja1!$A$1:$D$121,3,0)</f>
        <v>229127</v>
      </c>
      <c r="W809" s="12">
        <f>VLOOKUP(Tabla4[[#This Row],[ZONA DEFINITIVO]],Hoja1!$A$1:$D$121,2,0)</f>
        <v>15238</v>
      </c>
      <c r="X809" s="12">
        <f>VLOOKUP(Tabla4[[#This Row],[ZONA DEFINITIVO]],Hoja1!$A$1:$D$121,4,0)</f>
        <v>88225</v>
      </c>
      <c r="Y809" s="12" t="str">
        <f>+IF(Tabla4[[#This Row],[AGRUPACIONES]]=1,SUMIFS(Tabla4[UDS],Tabla4[ZONA DEFINITIVO],Tabla4[[#This Row],[ZONA DEFINITIVO]])," ")</f>
        <v xml:space="preserve"> </v>
      </c>
      <c r="Z809" s="12" t="str">
        <f>+IF(Tabla4[[#This Row],[AGRUPACIONES]]=1,SUMIFS(Tabla4[TOTAL COBERTURA],Tabla4[ZONA DEFINITIVO],Tabla4[[#This Row],[ZONA DEFINITIVO]])," ")</f>
        <v xml:space="preserve"> </v>
      </c>
      <c r="AA809" s="12"/>
      <c r="AB809" s="38">
        <v>74445945</v>
      </c>
      <c r="AC809" s="37">
        <v>0.02</v>
      </c>
      <c r="AD809" s="38">
        <f t="shared" si="13"/>
        <v>1488918.9000000001</v>
      </c>
      <c r="AE809" s="12"/>
      <c r="AF809" s="12">
        <f>COUNTIF($A$20:A809,A809)</f>
        <v>4</v>
      </c>
      <c r="AG809" s="38">
        <v>74445945</v>
      </c>
      <c r="AH809" s="38">
        <f>Tabla4[[#This Row],[VALOR CONTRAPARTIDA]]+Tabla4[[#This Row],[TOTAL APORTES ICBF]]</f>
        <v>75934863.900000006</v>
      </c>
      <c r="AI809" s="35"/>
      <c r="AJ809" s="38"/>
      <c r="AK809" s="38"/>
      <c r="AL809" s="23"/>
      <c r="AM809" s="35">
        <f>VLOOKUP(Tabla4[[#This Row],[SERVICIO 2025]],$J$2:$V$14,5,0)*Tabla4[[#This Row],[TOTAL COBERTURA]]</f>
        <v>2290456</v>
      </c>
      <c r="AN809" s="35">
        <f>VLOOKUP(Tabla4[[#This Row],[SERVICIO 2025]],$J$2:$V$14,6,0)*Tabla4[[#This Row],[TOTAL COBERTURA]]</f>
        <v>1854209</v>
      </c>
      <c r="AO809" s="35">
        <f>VLOOKUP(Tabla4[[#This Row],[SERVICIO 2025]],$J$2:$V$14,8,0)*Tabla4[[#This Row],[TOTAL COBERTURA]]</f>
        <v>0</v>
      </c>
      <c r="AP809" s="35">
        <f>VLOOKUP(Tabla4[[#This Row],[SERVICIO 2025]],$J$2:$V$14,3,0)*Tabla4[[#This Row],[TOTAL COBERTURA]]*8</f>
        <v>70301280</v>
      </c>
      <c r="AQ809" s="35"/>
      <c r="AR809" s="35">
        <f>Tabla4[[#This Row],[VALOR FASE PREPARATORIA DE ALISTAMIENTO]]+Tabla4[[#This Row],[VALOR FASE PREPARATORIA DE CIERRE]]+Tabla4[[#This Row],[DOTACIÓN ÚNICA]]+Tabla4[[#This Row],[VALOR ATENCIÓN]]+Tabla4[[#This Row],[VALOR RACION PREPARADA]]</f>
        <v>74445945</v>
      </c>
      <c r="AS809" s="35" t="str">
        <f>+IF(Tabla4[[#This Row],[AGRUPACIONES]]=1,SUMIFS(Tabla4[VALOR TOTAL],Tabla4[ZONA DEFINITIVO],Tabla4[[#This Row],[ZONA DEFINITIVO]])," ")</f>
        <v xml:space="preserve"> </v>
      </c>
      <c r="AT809" s="27">
        <f>(VLOOKUP(Tabla4[[#This Row],[SERVICIO 2025]],$J$2:$V$14,3,0)*Tabla4[[#This Row],[TOTAL COBERTURA]])+Tabla4[[#This Row],[VALOR FASE PREPARATORIA DE ALISTAMIENTO]]+Tabla4[[#This Row],[DOTACIÓN ÚNICA]]</f>
        <v>11078116</v>
      </c>
      <c r="AU809" s="35">
        <f>(VLOOKUP(Tabla4[[#This Row],[SERVICIO 2025]],$J$2:$V$14,3,0)*Tabla4[[#This Row],[TOTAL COBERTURA]])</f>
        <v>8787660</v>
      </c>
      <c r="AV809" s="35">
        <f>(VLOOKUP(Tabla4[[#This Row],[SERVICIO 2025]],$J$2:$V$14,3,0)*Tabla4[[#This Row],[TOTAL COBERTURA]])</f>
        <v>8787660</v>
      </c>
      <c r="AW809" s="35">
        <f>(VLOOKUP(Tabla4[[#This Row],[SERVICIO 2025]],$J$2:$V$14,3,0)*Tabla4[[#This Row],[TOTAL COBERTURA]])</f>
        <v>8787660</v>
      </c>
      <c r="AX809" s="35">
        <f>(VLOOKUP(Tabla4[[#This Row],[SERVICIO 2025]],$J$2:$V$14,3,0)*Tabla4[[#This Row],[TOTAL COBERTURA]])</f>
        <v>8787660</v>
      </c>
      <c r="AY809" s="35">
        <f>(VLOOKUP(Tabla4[[#This Row],[SERVICIO 2025]],$J$2:$V$14,3,0)*Tabla4[[#This Row],[TOTAL COBERTURA]])</f>
        <v>8787660</v>
      </c>
      <c r="AZ809" s="35">
        <f>(VLOOKUP(Tabla4[[#This Row],[SERVICIO 2025]],$J$2:$V$14,3,0)*Tabla4[[#This Row],[TOTAL COBERTURA]])</f>
        <v>8787660</v>
      </c>
      <c r="BA809" s="35">
        <f>(VLOOKUP(Tabla4[[#This Row],[SERVICIO 2025]],$J$2:$V$14,3,0)*Tabla4[[#This Row],[TOTAL COBERTURA]])+Tabla4[[#This Row],[VALOR FASE PREPARATORIA DE CIERRE]]</f>
        <v>10641869</v>
      </c>
      <c r="BB809" s="35">
        <f>SUM(Tabla4[[#This Row],[DESEMBOLSO 1]:[DESEMBOLSO 8]])</f>
        <v>74445945</v>
      </c>
      <c r="BC809" s="35">
        <f>VLOOKUP(Tabla4[[#This Row],[SERVICIO 2025]],$J$2:$V$14,10,0)*Tabla4[[#This Row],[TOTAL COBERTURA]]*$W$3</f>
        <v>73821832</v>
      </c>
      <c r="BD809" s="47" t="s">
        <v>211</v>
      </c>
      <c r="BE809" s="12" t="b">
        <f>EXACT(Tabla4[[#This Row],[VALOR ATENCIÓN (8 MESES)]],Tabla4[[#This Row],[VALOR TOTAL]])</f>
        <v>1</v>
      </c>
      <c r="BF809" s="23">
        <f>Tabla4[[#This Row],[VALOR ATENCIÓN (8 MESES)]]-Tabla4[[#This Row],[VALOR TOTAL]]</f>
        <v>0</v>
      </c>
      <c r="BG809" s="12" t="b">
        <f>EXACT(Tabla4[[#This Row],[TOTAL DESEMBOLSOS]],Tabla4[[#This Row],[VALOR ATENCIÓN (8 MESES)]])</f>
        <v>1</v>
      </c>
      <c r="BH809" s="29">
        <f>Tabla4[[#This Row],[TOTAL DESEMBOLSOS]]-Tabla4[[#This Row],[VALOR ATENCIÓN (8 MESES)]]</f>
        <v>0</v>
      </c>
      <c r="BI809" t="s">
        <v>98</v>
      </c>
      <c r="BJ809">
        <v>1967</v>
      </c>
    </row>
    <row r="810" spans="1:62">
      <c r="A810" s="13">
        <v>1967</v>
      </c>
      <c r="B810" s="13" t="s">
        <v>1800</v>
      </c>
      <c r="C810" s="12" t="s">
        <v>87</v>
      </c>
      <c r="D810" s="12" t="s">
        <v>527</v>
      </c>
      <c r="E810" s="12" t="s">
        <v>1778</v>
      </c>
      <c r="F810" s="12" t="s">
        <v>21</v>
      </c>
      <c r="G810" s="12" t="s">
        <v>90</v>
      </c>
      <c r="H810" s="12" t="s">
        <v>1807</v>
      </c>
      <c r="I810" s="12">
        <v>54401136722</v>
      </c>
      <c r="J810" s="12" t="s">
        <v>1807</v>
      </c>
      <c r="K810" s="12">
        <v>1</v>
      </c>
      <c r="L810" s="12">
        <v>49</v>
      </c>
      <c r="M810" s="12"/>
      <c r="N810" s="13">
        <v>1967</v>
      </c>
      <c r="O810" s="12" t="s">
        <v>93</v>
      </c>
      <c r="P810" s="12"/>
      <c r="Q810" s="12"/>
      <c r="R810" s="12" t="s">
        <v>94</v>
      </c>
      <c r="S810" s="12">
        <v>10</v>
      </c>
      <c r="T810" s="12" t="s">
        <v>209</v>
      </c>
      <c r="U810" s="12" t="s">
        <v>210</v>
      </c>
      <c r="V810" s="12">
        <f>VLOOKUP(Tabla4[[#This Row],[ZONA DEFINITIVO]],Hoja1!$A$1:$D$121,3,0)</f>
        <v>229127</v>
      </c>
      <c r="W810" s="12">
        <f>VLOOKUP(Tabla4[[#This Row],[ZONA DEFINITIVO]],Hoja1!$A$1:$D$121,2,0)</f>
        <v>15238</v>
      </c>
      <c r="X810" s="12">
        <f>VLOOKUP(Tabla4[[#This Row],[ZONA DEFINITIVO]],Hoja1!$A$1:$D$121,4,0)</f>
        <v>88225</v>
      </c>
      <c r="Y810" s="12" t="str">
        <f>+IF(Tabla4[[#This Row],[AGRUPACIONES]]=1,SUMIFS(Tabla4[UDS],Tabla4[ZONA DEFINITIVO],Tabla4[[#This Row],[ZONA DEFINITIVO]])," ")</f>
        <v xml:space="preserve"> </v>
      </c>
      <c r="Z810" s="12" t="str">
        <f>+IF(Tabla4[[#This Row],[AGRUPACIONES]]=1,SUMIFS(Tabla4[TOTAL COBERTURA],Tabla4[ZONA DEFINITIVO],Tabla4[[#This Row],[ZONA DEFINITIVO]])," ")</f>
        <v xml:space="preserve"> </v>
      </c>
      <c r="AA810" s="12"/>
      <c r="AB810" s="38">
        <v>74445945</v>
      </c>
      <c r="AC810" s="37">
        <v>0.02</v>
      </c>
      <c r="AD810" s="38">
        <f t="shared" si="13"/>
        <v>1488918.9000000001</v>
      </c>
      <c r="AE810" s="12"/>
      <c r="AF810" s="12">
        <f>COUNTIF($A$20:A810,A810)</f>
        <v>5</v>
      </c>
      <c r="AG810" s="38">
        <v>74445945</v>
      </c>
      <c r="AH810" s="38">
        <f>Tabla4[[#This Row],[VALOR CONTRAPARTIDA]]+Tabla4[[#This Row],[TOTAL APORTES ICBF]]</f>
        <v>75934863.900000006</v>
      </c>
      <c r="AI810" s="35"/>
      <c r="AJ810" s="38"/>
      <c r="AK810" s="38"/>
      <c r="AL810" s="23"/>
      <c r="AM810" s="35">
        <f>VLOOKUP(Tabla4[[#This Row],[SERVICIO 2025]],$J$2:$V$14,5,0)*Tabla4[[#This Row],[TOTAL COBERTURA]]</f>
        <v>2290456</v>
      </c>
      <c r="AN810" s="35">
        <f>VLOOKUP(Tabla4[[#This Row],[SERVICIO 2025]],$J$2:$V$14,6,0)*Tabla4[[#This Row],[TOTAL COBERTURA]]</f>
        <v>1854209</v>
      </c>
      <c r="AO810" s="35">
        <f>VLOOKUP(Tabla4[[#This Row],[SERVICIO 2025]],$J$2:$V$14,8,0)*Tabla4[[#This Row],[TOTAL COBERTURA]]</f>
        <v>0</v>
      </c>
      <c r="AP810" s="35">
        <f>VLOOKUP(Tabla4[[#This Row],[SERVICIO 2025]],$J$2:$V$14,3,0)*Tabla4[[#This Row],[TOTAL COBERTURA]]*8</f>
        <v>70301280</v>
      </c>
      <c r="AQ810" s="35"/>
      <c r="AR810" s="35">
        <f>Tabla4[[#This Row],[VALOR FASE PREPARATORIA DE ALISTAMIENTO]]+Tabla4[[#This Row],[VALOR FASE PREPARATORIA DE CIERRE]]+Tabla4[[#This Row],[DOTACIÓN ÚNICA]]+Tabla4[[#This Row],[VALOR ATENCIÓN]]+Tabla4[[#This Row],[VALOR RACION PREPARADA]]</f>
        <v>74445945</v>
      </c>
      <c r="AS810" s="35" t="str">
        <f>+IF(Tabla4[[#This Row],[AGRUPACIONES]]=1,SUMIFS(Tabla4[VALOR TOTAL],Tabla4[ZONA DEFINITIVO],Tabla4[[#This Row],[ZONA DEFINITIVO]])," ")</f>
        <v xml:space="preserve"> </v>
      </c>
      <c r="AT810" s="27">
        <f>(VLOOKUP(Tabla4[[#This Row],[SERVICIO 2025]],$J$2:$V$14,3,0)*Tabla4[[#This Row],[TOTAL COBERTURA]])+Tabla4[[#This Row],[VALOR FASE PREPARATORIA DE ALISTAMIENTO]]+Tabla4[[#This Row],[DOTACIÓN ÚNICA]]</f>
        <v>11078116</v>
      </c>
      <c r="AU810" s="35">
        <f>(VLOOKUP(Tabla4[[#This Row],[SERVICIO 2025]],$J$2:$V$14,3,0)*Tabla4[[#This Row],[TOTAL COBERTURA]])</f>
        <v>8787660</v>
      </c>
      <c r="AV810" s="35">
        <f>(VLOOKUP(Tabla4[[#This Row],[SERVICIO 2025]],$J$2:$V$14,3,0)*Tabla4[[#This Row],[TOTAL COBERTURA]])</f>
        <v>8787660</v>
      </c>
      <c r="AW810" s="35">
        <f>(VLOOKUP(Tabla4[[#This Row],[SERVICIO 2025]],$J$2:$V$14,3,0)*Tabla4[[#This Row],[TOTAL COBERTURA]])</f>
        <v>8787660</v>
      </c>
      <c r="AX810" s="35">
        <f>(VLOOKUP(Tabla4[[#This Row],[SERVICIO 2025]],$J$2:$V$14,3,0)*Tabla4[[#This Row],[TOTAL COBERTURA]])</f>
        <v>8787660</v>
      </c>
      <c r="AY810" s="35">
        <f>(VLOOKUP(Tabla4[[#This Row],[SERVICIO 2025]],$J$2:$V$14,3,0)*Tabla4[[#This Row],[TOTAL COBERTURA]])</f>
        <v>8787660</v>
      </c>
      <c r="AZ810" s="35">
        <f>(VLOOKUP(Tabla4[[#This Row],[SERVICIO 2025]],$J$2:$V$14,3,0)*Tabla4[[#This Row],[TOTAL COBERTURA]])</f>
        <v>8787660</v>
      </c>
      <c r="BA810" s="35">
        <f>(VLOOKUP(Tabla4[[#This Row],[SERVICIO 2025]],$J$2:$V$14,3,0)*Tabla4[[#This Row],[TOTAL COBERTURA]])+Tabla4[[#This Row],[VALOR FASE PREPARATORIA DE CIERRE]]</f>
        <v>10641869</v>
      </c>
      <c r="BB810" s="35">
        <f>SUM(Tabla4[[#This Row],[DESEMBOLSO 1]:[DESEMBOLSO 8]])</f>
        <v>74445945</v>
      </c>
      <c r="BC810" s="35">
        <f>VLOOKUP(Tabla4[[#This Row],[SERVICIO 2025]],$J$2:$V$14,10,0)*Tabla4[[#This Row],[TOTAL COBERTURA]]*$W$3</f>
        <v>73821832</v>
      </c>
      <c r="BD810" s="47" t="s">
        <v>211</v>
      </c>
      <c r="BE810" s="12" t="b">
        <f>EXACT(Tabla4[[#This Row],[VALOR ATENCIÓN (8 MESES)]],Tabla4[[#This Row],[VALOR TOTAL]])</f>
        <v>1</v>
      </c>
      <c r="BF810" s="23">
        <f>Tabla4[[#This Row],[VALOR ATENCIÓN (8 MESES)]]-Tabla4[[#This Row],[VALOR TOTAL]]</f>
        <v>0</v>
      </c>
      <c r="BG810" s="12" t="b">
        <f>EXACT(Tabla4[[#This Row],[TOTAL DESEMBOLSOS]],Tabla4[[#This Row],[VALOR ATENCIÓN (8 MESES)]])</f>
        <v>1</v>
      </c>
      <c r="BH810" s="29">
        <f>Tabla4[[#This Row],[TOTAL DESEMBOLSOS]]-Tabla4[[#This Row],[VALOR ATENCIÓN (8 MESES)]]</f>
        <v>0</v>
      </c>
      <c r="BI810" t="s">
        <v>98</v>
      </c>
      <c r="BJ810">
        <v>1967</v>
      </c>
    </row>
    <row r="811" spans="1:62">
      <c r="A811" s="13">
        <v>1967</v>
      </c>
      <c r="B811" s="13" t="s">
        <v>1800</v>
      </c>
      <c r="C811" s="12" t="s">
        <v>87</v>
      </c>
      <c r="D811" s="12" t="s">
        <v>527</v>
      </c>
      <c r="E811" s="12" t="s">
        <v>1778</v>
      </c>
      <c r="F811" s="12" t="s">
        <v>21</v>
      </c>
      <c r="G811" s="12" t="s">
        <v>90</v>
      </c>
      <c r="H811" s="12" t="s">
        <v>1808</v>
      </c>
      <c r="I811" s="12">
        <v>54401136733</v>
      </c>
      <c r="J811" s="12" t="s">
        <v>1809</v>
      </c>
      <c r="K811" s="12">
        <v>1</v>
      </c>
      <c r="L811" s="12">
        <v>49</v>
      </c>
      <c r="M811" s="12"/>
      <c r="N811" s="13">
        <v>1967</v>
      </c>
      <c r="O811" s="12" t="s">
        <v>93</v>
      </c>
      <c r="P811" s="12"/>
      <c r="Q811" s="12"/>
      <c r="R811" s="12" t="s">
        <v>94</v>
      </c>
      <c r="S811" s="12">
        <v>10</v>
      </c>
      <c r="T811" s="12" t="s">
        <v>209</v>
      </c>
      <c r="U811" s="12" t="s">
        <v>210</v>
      </c>
      <c r="V811" s="12">
        <f>VLOOKUP(Tabla4[[#This Row],[ZONA DEFINITIVO]],Hoja1!$A$1:$D$121,3,0)</f>
        <v>229127</v>
      </c>
      <c r="W811" s="12">
        <f>VLOOKUP(Tabla4[[#This Row],[ZONA DEFINITIVO]],Hoja1!$A$1:$D$121,2,0)</f>
        <v>15238</v>
      </c>
      <c r="X811" s="12">
        <f>VLOOKUP(Tabla4[[#This Row],[ZONA DEFINITIVO]],Hoja1!$A$1:$D$121,4,0)</f>
        <v>88225</v>
      </c>
      <c r="Y811" s="12" t="str">
        <f>+IF(Tabla4[[#This Row],[AGRUPACIONES]]=1,SUMIFS(Tabla4[UDS],Tabla4[ZONA DEFINITIVO],Tabla4[[#This Row],[ZONA DEFINITIVO]])," ")</f>
        <v xml:space="preserve"> </v>
      </c>
      <c r="Z811" s="12" t="str">
        <f>+IF(Tabla4[[#This Row],[AGRUPACIONES]]=1,SUMIFS(Tabla4[TOTAL COBERTURA],Tabla4[ZONA DEFINITIVO],Tabla4[[#This Row],[ZONA DEFINITIVO]])," ")</f>
        <v xml:space="preserve"> </v>
      </c>
      <c r="AA811" s="12"/>
      <c r="AB811" s="38">
        <v>74445945</v>
      </c>
      <c r="AC811" s="37">
        <v>0.02</v>
      </c>
      <c r="AD811" s="38">
        <f t="shared" si="13"/>
        <v>1488918.9000000001</v>
      </c>
      <c r="AE811" s="12"/>
      <c r="AF811" s="12">
        <f>COUNTIF($A$20:A811,A811)</f>
        <v>6</v>
      </c>
      <c r="AG811" s="38">
        <v>74445945</v>
      </c>
      <c r="AH811" s="38">
        <f>Tabla4[[#This Row],[VALOR CONTRAPARTIDA]]+Tabla4[[#This Row],[TOTAL APORTES ICBF]]</f>
        <v>75934863.900000006</v>
      </c>
      <c r="AI811" s="35"/>
      <c r="AJ811" s="38"/>
      <c r="AK811" s="38"/>
      <c r="AL811" s="23"/>
      <c r="AM811" s="35">
        <f>VLOOKUP(Tabla4[[#This Row],[SERVICIO 2025]],$J$2:$V$14,5,0)*Tabla4[[#This Row],[TOTAL COBERTURA]]</f>
        <v>2290456</v>
      </c>
      <c r="AN811" s="35">
        <f>VLOOKUP(Tabla4[[#This Row],[SERVICIO 2025]],$J$2:$V$14,6,0)*Tabla4[[#This Row],[TOTAL COBERTURA]]</f>
        <v>1854209</v>
      </c>
      <c r="AO811" s="35">
        <f>VLOOKUP(Tabla4[[#This Row],[SERVICIO 2025]],$J$2:$V$14,8,0)*Tabla4[[#This Row],[TOTAL COBERTURA]]</f>
        <v>0</v>
      </c>
      <c r="AP811" s="35">
        <f>VLOOKUP(Tabla4[[#This Row],[SERVICIO 2025]],$J$2:$V$14,3,0)*Tabla4[[#This Row],[TOTAL COBERTURA]]*8</f>
        <v>70301280</v>
      </c>
      <c r="AQ811" s="35"/>
      <c r="AR811" s="35">
        <f>Tabla4[[#This Row],[VALOR FASE PREPARATORIA DE ALISTAMIENTO]]+Tabla4[[#This Row],[VALOR FASE PREPARATORIA DE CIERRE]]+Tabla4[[#This Row],[DOTACIÓN ÚNICA]]+Tabla4[[#This Row],[VALOR ATENCIÓN]]+Tabla4[[#This Row],[VALOR RACION PREPARADA]]</f>
        <v>74445945</v>
      </c>
      <c r="AS811" s="35" t="str">
        <f>+IF(Tabla4[[#This Row],[AGRUPACIONES]]=1,SUMIFS(Tabla4[VALOR TOTAL],Tabla4[ZONA DEFINITIVO],Tabla4[[#This Row],[ZONA DEFINITIVO]])," ")</f>
        <v xml:space="preserve"> </v>
      </c>
      <c r="AT811" s="27">
        <f>(VLOOKUP(Tabla4[[#This Row],[SERVICIO 2025]],$J$2:$V$14,3,0)*Tabla4[[#This Row],[TOTAL COBERTURA]])+Tabla4[[#This Row],[VALOR FASE PREPARATORIA DE ALISTAMIENTO]]+Tabla4[[#This Row],[DOTACIÓN ÚNICA]]</f>
        <v>11078116</v>
      </c>
      <c r="AU811" s="35">
        <f>(VLOOKUP(Tabla4[[#This Row],[SERVICIO 2025]],$J$2:$V$14,3,0)*Tabla4[[#This Row],[TOTAL COBERTURA]])</f>
        <v>8787660</v>
      </c>
      <c r="AV811" s="35">
        <f>(VLOOKUP(Tabla4[[#This Row],[SERVICIO 2025]],$J$2:$V$14,3,0)*Tabla4[[#This Row],[TOTAL COBERTURA]])</f>
        <v>8787660</v>
      </c>
      <c r="AW811" s="35">
        <f>(VLOOKUP(Tabla4[[#This Row],[SERVICIO 2025]],$J$2:$V$14,3,0)*Tabla4[[#This Row],[TOTAL COBERTURA]])</f>
        <v>8787660</v>
      </c>
      <c r="AX811" s="35">
        <f>(VLOOKUP(Tabla4[[#This Row],[SERVICIO 2025]],$J$2:$V$14,3,0)*Tabla4[[#This Row],[TOTAL COBERTURA]])</f>
        <v>8787660</v>
      </c>
      <c r="AY811" s="35">
        <f>(VLOOKUP(Tabla4[[#This Row],[SERVICIO 2025]],$J$2:$V$14,3,0)*Tabla4[[#This Row],[TOTAL COBERTURA]])</f>
        <v>8787660</v>
      </c>
      <c r="AZ811" s="35">
        <f>(VLOOKUP(Tabla4[[#This Row],[SERVICIO 2025]],$J$2:$V$14,3,0)*Tabla4[[#This Row],[TOTAL COBERTURA]])</f>
        <v>8787660</v>
      </c>
      <c r="BA811" s="35">
        <f>(VLOOKUP(Tabla4[[#This Row],[SERVICIO 2025]],$J$2:$V$14,3,0)*Tabla4[[#This Row],[TOTAL COBERTURA]])+Tabla4[[#This Row],[VALOR FASE PREPARATORIA DE CIERRE]]</f>
        <v>10641869</v>
      </c>
      <c r="BB811" s="35">
        <f>SUM(Tabla4[[#This Row],[DESEMBOLSO 1]:[DESEMBOLSO 8]])</f>
        <v>74445945</v>
      </c>
      <c r="BC811" s="35">
        <f>VLOOKUP(Tabla4[[#This Row],[SERVICIO 2025]],$J$2:$V$14,10,0)*Tabla4[[#This Row],[TOTAL COBERTURA]]*$W$3</f>
        <v>73821832</v>
      </c>
      <c r="BD811" s="47" t="s">
        <v>211</v>
      </c>
      <c r="BE811" s="12" t="b">
        <f>EXACT(Tabla4[[#This Row],[VALOR ATENCIÓN (8 MESES)]],Tabla4[[#This Row],[VALOR TOTAL]])</f>
        <v>1</v>
      </c>
      <c r="BF811" s="23">
        <f>Tabla4[[#This Row],[VALOR ATENCIÓN (8 MESES)]]-Tabla4[[#This Row],[VALOR TOTAL]]</f>
        <v>0</v>
      </c>
      <c r="BG811" s="12" t="b">
        <f>EXACT(Tabla4[[#This Row],[TOTAL DESEMBOLSOS]],Tabla4[[#This Row],[VALOR ATENCIÓN (8 MESES)]])</f>
        <v>1</v>
      </c>
      <c r="BH811" s="29">
        <f>Tabla4[[#This Row],[TOTAL DESEMBOLSOS]]-Tabla4[[#This Row],[VALOR ATENCIÓN (8 MESES)]]</f>
        <v>0</v>
      </c>
      <c r="BI811" t="s">
        <v>98</v>
      </c>
      <c r="BJ811">
        <v>1967</v>
      </c>
    </row>
    <row r="812" spans="1:62">
      <c r="A812" s="13">
        <v>1967</v>
      </c>
      <c r="B812" s="13" t="s">
        <v>1800</v>
      </c>
      <c r="C812" s="12" t="s">
        <v>87</v>
      </c>
      <c r="D812" s="12" t="s">
        <v>527</v>
      </c>
      <c r="E812" s="12" t="s">
        <v>1778</v>
      </c>
      <c r="F812" s="12" t="s">
        <v>21</v>
      </c>
      <c r="G812" s="12" t="s">
        <v>90</v>
      </c>
      <c r="H812" s="12" t="s">
        <v>1810</v>
      </c>
      <c r="I812" s="12">
        <v>54401136966</v>
      </c>
      <c r="J812" s="12" t="s">
        <v>1811</v>
      </c>
      <c r="K812" s="12">
        <v>1</v>
      </c>
      <c r="L812" s="12">
        <v>50</v>
      </c>
      <c r="M812" s="12"/>
      <c r="N812" s="13">
        <v>1967</v>
      </c>
      <c r="O812" s="12" t="s">
        <v>93</v>
      </c>
      <c r="P812" s="12"/>
      <c r="Q812" s="12"/>
      <c r="R812" s="12" t="s">
        <v>94</v>
      </c>
      <c r="S812" s="12">
        <v>10</v>
      </c>
      <c r="T812" s="12" t="s">
        <v>209</v>
      </c>
      <c r="U812" s="12" t="s">
        <v>210</v>
      </c>
      <c r="V812" s="12">
        <f>VLOOKUP(Tabla4[[#This Row],[ZONA DEFINITIVO]],Hoja1!$A$1:$D$121,3,0)</f>
        <v>229127</v>
      </c>
      <c r="W812" s="12">
        <f>VLOOKUP(Tabla4[[#This Row],[ZONA DEFINITIVO]],Hoja1!$A$1:$D$121,2,0)</f>
        <v>15238</v>
      </c>
      <c r="X812" s="12">
        <f>VLOOKUP(Tabla4[[#This Row],[ZONA DEFINITIVO]],Hoja1!$A$1:$D$121,4,0)</f>
        <v>88225</v>
      </c>
      <c r="Y812" s="12" t="str">
        <f>+IF(Tabla4[[#This Row],[AGRUPACIONES]]=1,SUMIFS(Tabla4[UDS],Tabla4[ZONA DEFINITIVO],Tabla4[[#This Row],[ZONA DEFINITIVO]])," ")</f>
        <v xml:space="preserve"> </v>
      </c>
      <c r="Z812" s="12" t="str">
        <f>+IF(Tabla4[[#This Row],[AGRUPACIONES]]=1,SUMIFS(Tabla4[TOTAL COBERTURA],Tabla4[ZONA DEFINITIVO],Tabla4[[#This Row],[ZONA DEFINITIVO]])," ")</f>
        <v xml:space="preserve"> </v>
      </c>
      <c r="AA812" s="12"/>
      <c r="AB812" s="38">
        <v>75965250</v>
      </c>
      <c r="AC812" s="37">
        <v>0.02</v>
      </c>
      <c r="AD812" s="38">
        <f t="shared" si="13"/>
        <v>1519305</v>
      </c>
      <c r="AE812" s="12"/>
      <c r="AF812" s="12">
        <f>COUNTIF($A$20:A812,A812)</f>
        <v>7</v>
      </c>
      <c r="AG812" s="38">
        <v>75965250</v>
      </c>
      <c r="AH812" s="38">
        <f>Tabla4[[#This Row],[VALOR CONTRAPARTIDA]]+Tabla4[[#This Row],[TOTAL APORTES ICBF]]</f>
        <v>77484555</v>
      </c>
      <c r="AI812" s="35"/>
      <c r="AJ812" s="38"/>
      <c r="AK812" s="38"/>
      <c r="AL812" s="23"/>
      <c r="AM812" s="35">
        <f>VLOOKUP(Tabla4[[#This Row],[SERVICIO 2025]],$J$2:$V$14,5,0)*Tabla4[[#This Row],[TOTAL COBERTURA]]</f>
        <v>2337200</v>
      </c>
      <c r="AN812" s="35">
        <f>VLOOKUP(Tabla4[[#This Row],[SERVICIO 2025]],$J$2:$V$14,6,0)*Tabla4[[#This Row],[TOTAL COBERTURA]]</f>
        <v>1892050</v>
      </c>
      <c r="AO812" s="35">
        <f>VLOOKUP(Tabla4[[#This Row],[SERVICIO 2025]],$J$2:$V$14,8,0)*Tabla4[[#This Row],[TOTAL COBERTURA]]</f>
        <v>0</v>
      </c>
      <c r="AP812" s="35">
        <f>VLOOKUP(Tabla4[[#This Row],[SERVICIO 2025]],$J$2:$V$14,3,0)*Tabla4[[#This Row],[TOTAL COBERTURA]]*8</f>
        <v>71736000</v>
      </c>
      <c r="AQ812" s="35"/>
      <c r="AR812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812" s="35" t="str">
        <f>+IF(Tabla4[[#This Row],[AGRUPACIONES]]=1,SUMIFS(Tabla4[VALOR TOTAL],Tabla4[ZONA DEFINITIVO],Tabla4[[#This Row],[ZONA DEFINITIVO]])," ")</f>
        <v xml:space="preserve"> </v>
      </c>
      <c r="AT812" s="27">
        <f>(VLOOKUP(Tabla4[[#This Row],[SERVICIO 2025]],$J$2:$V$14,3,0)*Tabla4[[#This Row],[TOTAL COBERTURA]])+Tabla4[[#This Row],[VALOR FASE PREPARATORIA DE ALISTAMIENTO]]+Tabla4[[#This Row],[DOTACIÓN ÚNICA]]</f>
        <v>11304200</v>
      </c>
      <c r="AU812" s="35">
        <f>(VLOOKUP(Tabla4[[#This Row],[SERVICIO 2025]],$J$2:$V$14,3,0)*Tabla4[[#This Row],[TOTAL COBERTURA]])</f>
        <v>8967000</v>
      </c>
      <c r="AV812" s="35">
        <f>(VLOOKUP(Tabla4[[#This Row],[SERVICIO 2025]],$J$2:$V$14,3,0)*Tabla4[[#This Row],[TOTAL COBERTURA]])</f>
        <v>8967000</v>
      </c>
      <c r="AW812" s="35">
        <f>(VLOOKUP(Tabla4[[#This Row],[SERVICIO 2025]],$J$2:$V$14,3,0)*Tabla4[[#This Row],[TOTAL COBERTURA]])</f>
        <v>8967000</v>
      </c>
      <c r="AX812" s="35">
        <f>(VLOOKUP(Tabla4[[#This Row],[SERVICIO 2025]],$J$2:$V$14,3,0)*Tabla4[[#This Row],[TOTAL COBERTURA]])</f>
        <v>8967000</v>
      </c>
      <c r="AY812" s="35">
        <f>(VLOOKUP(Tabla4[[#This Row],[SERVICIO 2025]],$J$2:$V$14,3,0)*Tabla4[[#This Row],[TOTAL COBERTURA]])</f>
        <v>8967000</v>
      </c>
      <c r="AZ812" s="35">
        <f>(VLOOKUP(Tabla4[[#This Row],[SERVICIO 2025]],$J$2:$V$14,3,0)*Tabla4[[#This Row],[TOTAL COBERTURA]])</f>
        <v>8967000</v>
      </c>
      <c r="BA812" s="35">
        <f>(VLOOKUP(Tabla4[[#This Row],[SERVICIO 2025]],$J$2:$V$14,3,0)*Tabla4[[#This Row],[TOTAL COBERTURA]])+Tabla4[[#This Row],[VALOR FASE PREPARATORIA DE CIERRE]]</f>
        <v>10859050</v>
      </c>
      <c r="BB812" s="35">
        <f>SUM(Tabla4[[#This Row],[DESEMBOLSO 1]:[DESEMBOLSO 8]])</f>
        <v>75965250</v>
      </c>
      <c r="BC812" s="35">
        <f>VLOOKUP(Tabla4[[#This Row],[SERVICIO 2025]],$J$2:$V$14,10,0)*Tabla4[[#This Row],[TOTAL COBERTURA]]*$W$3</f>
        <v>75328400</v>
      </c>
      <c r="BD812" s="47" t="s">
        <v>211</v>
      </c>
      <c r="BE812" s="12" t="b">
        <f>EXACT(Tabla4[[#This Row],[VALOR ATENCIÓN (8 MESES)]],Tabla4[[#This Row],[VALOR TOTAL]])</f>
        <v>1</v>
      </c>
      <c r="BF812" s="23">
        <f>Tabla4[[#This Row],[VALOR ATENCIÓN (8 MESES)]]-Tabla4[[#This Row],[VALOR TOTAL]]</f>
        <v>0</v>
      </c>
      <c r="BG812" s="12" t="b">
        <f>EXACT(Tabla4[[#This Row],[TOTAL DESEMBOLSOS]],Tabla4[[#This Row],[VALOR ATENCIÓN (8 MESES)]])</f>
        <v>1</v>
      </c>
      <c r="BH812" s="29">
        <f>Tabla4[[#This Row],[TOTAL DESEMBOLSOS]]-Tabla4[[#This Row],[VALOR ATENCIÓN (8 MESES)]]</f>
        <v>0</v>
      </c>
      <c r="BI812" t="s">
        <v>98</v>
      </c>
      <c r="BJ812">
        <v>1967</v>
      </c>
    </row>
    <row r="813" spans="1:62">
      <c r="A813" s="13">
        <v>1967</v>
      </c>
      <c r="B813" s="13" t="s">
        <v>1800</v>
      </c>
      <c r="C813" s="12" t="s">
        <v>87</v>
      </c>
      <c r="D813" s="12" t="s">
        <v>527</v>
      </c>
      <c r="E813" s="12" t="s">
        <v>1778</v>
      </c>
      <c r="F813" s="12" t="s">
        <v>21</v>
      </c>
      <c r="G813" s="12" t="s">
        <v>90</v>
      </c>
      <c r="H813" s="12" t="s">
        <v>1812</v>
      </c>
      <c r="I813" s="12">
        <v>54401136970</v>
      </c>
      <c r="J813" s="12" t="s">
        <v>1813</v>
      </c>
      <c r="K813" s="12">
        <v>1</v>
      </c>
      <c r="L813" s="12">
        <v>50</v>
      </c>
      <c r="M813" s="12"/>
      <c r="N813" s="13">
        <v>1967</v>
      </c>
      <c r="O813" s="12" t="s">
        <v>93</v>
      </c>
      <c r="P813" s="12"/>
      <c r="Q813" s="12"/>
      <c r="R813" s="12" t="s">
        <v>94</v>
      </c>
      <c r="S813" s="12">
        <v>10</v>
      </c>
      <c r="T813" s="12" t="s">
        <v>209</v>
      </c>
      <c r="U813" s="12" t="s">
        <v>210</v>
      </c>
      <c r="V813" s="12">
        <f>VLOOKUP(Tabla4[[#This Row],[ZONA DEFINITIVO]],Hoja1!$A$1:$D$121,3,0)</f>
        <v>229127</v>
      </c>
      <c r="W813" s="12">
        <f>VLOOKUP(Tabla4[[#This Row],[ZONA DEFINITIVO]],Hoja1!$A$1:$D$121,2,0)</f>
        <v>15238</v>
      </c>
      <c r="X813" s="12">
        <f>VLOOKUP(Tabla4[[#This Row],[ZONA DEFINITIVO]],Hoja1!$A$1:$D$121,4,0)</f>
        <v>88225</v>
      </c>
      <c r="Y813" s="12" t="str">
        <f>+IF(Tabla4[[#This Row],[AGRUPACIONES]]=1,SUMIFS(Tabla4[UDS],Tabla4[ZONA DEFINITIVO],Tabla4[[#This Row],[ZONA DEFINITIVO]])," ")</f>
        <v xml:space="preserve"> </v>
      </c>
      <c r="Z813" s="12" t="str">
        <f>+IF(Tabla4[[#This Row],[AGRUPACIONES]]=1,SUMIFS(Tabla4[TOTAL COBERTURA],Tabla4[ZONA DEFINITIVO],Tabla4[[#This Row],[ZONA DEFINITIVO]])," ")</f>
        <v xml:space="preserve"> </v>
      </c>
      <c r="AA813" s="12"/>
      <c r="AB813" s="38">
        <v>75965250</v>
      </c>
      <c r="AC813" s="37">
        <v>0.02</v>
      </c>
      <c r="AD813" s="38">
        <f t="shared" si="13"/>
        <v>1519305</v>
      </c>
      <c r="AE813" s="12"/>
      <c r="AF813" s="12">
        <f>COUNTIF($A$20:A813,A813)</f>
        <v>8</v>
      </c>
      <c r="AG813" s="38">
        <v>75965250</v>
      </c>
      <c r="AH813" s="38">
        <f>Tabla4[[#This Row],[VALOR CONTRAPARTIDA]]+Tabla4[[#This Row],[TOTAL APORTES ICBF]]</f>
        <v>77484555</v>
      </c>
      <c r="AI813" s="35"/>
      <c r="AJ813" s="38"/>
      <c r="AK813" s="38"/>
      <c r="AL813" s="23"/>
      <c r="AM813" s="35">
        <f>VLOOKUP(Tabla4[[#This Row],[SERVICIO 2025]],$J$2:$V$14,5,0)*Tabla4[[#This Row],[TOTAL COBERTURA]]</f>
        <v>2337200</v>
      </c>
      <c r="AN813" s="35">
        <f>VLOOKUP(Tabla4[[#This Row],[SERVICIO 2025]],$J$2:$V$14,6,0)*Tabla4[[#This Row],[TOTAL COBERTURA]]</f>
        <v>1892050</v>
      </c>
      <c r="AO813" s="35">
        <f>VLOOKUP(Tabla4[[#This Row],[SERVICIO 2025]],$J$2:$V$14,8,0)*Tabla4[[#This Row],[TOTAL COBERTURA]]</f>
        <v>0</v>
      </c>
      <c r="AP813" s="35">
        <f>VLOOKUP(Tabla4[[#This Row],[SERVICIO 2025]],$J$2:$V$14,3,0)*Tabla4[[#This Row],[TOTAL COBERTURA]]*8</f>
        <v>71736000</v>
      </c>
      <c r="AQ813" s="35"/>
      <c r="AR813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813" s="35" t="str">
        <f>+IF(Tabla4[[#This Row],[AGRUPACIONES]]=1,SUMIFS(Tabla4[VALOR TOTAL],Tabla4[ZONA DEFINITIVO],Tabla4[[#This Row],[ZONA DEFINITIVO]])," ")</f>
        <v xml:space="preserve"> </v>
      </c>
      <c r="AT813" s="27">
        <f>(VLOOKUP(Tabla4[[#This Row],[SERVICIO 2025]],$J$2:$V$14,3,0)*Tabla4[[#This Row],[TOTAL COBERTURA]])+Tabla4[[#This Row],[VALOR FASE PREPARATORIA DE ALISTAMIENTO]]+Tabla4[[#This Row],[DOTACIÓN ÚNICA]]</f>
        <v>11304200</v>
      </c>
      <c r="AU813" s="35">
        <f>(VLOOKUP(Tabla4[[#This Row],[SERVICIO 2025]],$J$2:$V$14,3,0)*Tabla4[[#This Row],[TOTAL COBERTURA]])</f>
        <v>8967000</v>
      </c>
      <c r="AV813" s="35">
        <f>(VLOOKUP(Tabla4[[#This Row],[SERVICIO 2025]],$J$2:$V$14,3,0)*Tabla4[[#This Row],[TOTAL COBERTURA]])</f>
        <v>8967000</v>
      </c>
      <c r="AW813" s="35">
        <f>(VLOOKUP(Tabla4[[#This Row],[SERVICIO 2025]],$J$2:$V$14,3,0)*Tabla4[[#This Row],[TOTAL COBERTURA]])</f>
        <v>8967000</v>
      </c>
      <c r="AX813" s="35">
        <f>(VLOOKUP(Tabla4[[#This Row],[SERVICIO 2025]],$J$2:$V$14,3,0)*Tabla4[[#This Row],[TOTAL COBERTURA]])</f>
        <v>8967000</v>
      </c>
      <c r="AY813" s="35">
        <f>(VLOOKUP(Tabla4[[#This Row],[SERVICIO 2025]],$J$2:$V$14,3,0)*Tabla4[[#This Row],[TOTAL COBERTURA]])</f>
        <v>8967000</v>
      </c>
      <c r="AZ813" s="35">
        <f>(VLOOKUP(Tabla4[[#This Row],[SERVICIO 2025]],$J$2:$V$14,3,0)*Tabla4[[#This Row],[TOTAL COBERTURA]])</f>
        <v>8967000</v>
      </c>
      <c r="BA813" s="35">
        <f>(VLOOKUP(Tabla4[[#This Row],[SERVICIO 2025]],$J$2:$V$14,3,0)*Tabla4[[#This Row],[TOTAL COBERTURA]])+Tabla4[[#This Row],[VALOR FASE PREPARATORIA DE CIERRE]]</f>
        <v>10859050</v>
      </c>
      <c r="BB813" s="35">
        <f>SUM(Tabla4[[#This Row],[DESEMBOLSO 1]:[DESEMBOLSO 8]])</f>
        <v>75965250</v>
      </c>
      <c r="BC813" s="35">
        <f>VLOOKUP(Tabla4[[#This Row],[SERVICIO 2025]],$J$2:$V$14,10,0)*Tabla4[[#This Row],[TOTAL COBERTURA]]*$W$3</f>
        <v>75328400</v>
      </c>
      <c r="BD813" s="47" t="s">
        <v>211</v>
      </c>
      <c r="BE813" s="12" t="b">
        <f>EXACT(Tabla4[[#This Row],[VALOR ATENCIÓN (8 MESES)]],Tabla4[[#This Row],[VALOR TOTAL]])</f>
        <v>1</v>
      </c>
      <c r="BF813" s="23">
        <f>Tabla4[[#This Row],[VALOR ATENCIÓN (8 MESES)]]-Tabla4[[#This Row],[VALOR TOTAL]]</f>
        <v>0</v>
      </c>
      <c r="BG813" s="12" t="b">
        <f>EXACT(Tabla4[[#This Row],[TOTAL DESEMBOLSOS]],Tabla4[[#This Row],[VALOR ATENCIÓN (8 MESES)]])</f>
        <v>1</v>
      </c>
      <c r="BH813" s="29">
        <f>Tabla4[[#This Row],[TOTAL DESEMBOLSOS]]-Tabla4[[#This Row],[VALOR ATENCIÓN (8 MESES)]]</f>
        <v>0</v>
      </c>
      <c r="BI813" t="s">
        <v>98</v>
      </c>
      <c r="BJ813">
        <v>1967</v>
      </c>
    </row>
    <row r="814" spans="1:62">
      <c r="A814" s="13">
        <v>1967</v>
      </c>
      <c r="B814" s="13" t="s">
        <v>1800</v>
      </c>
      <c r="C814" s="12" t="s">
        <v>87</v>
      </c>
      <c r="D814" s="12" t="s">
        <v>527</v>
      </c>
      <c r="E814" s="12" t="s">
        <v>1778</v>
      </c>
      <c r="F814" s="12" t="s">
        <v>21</v>
      </c>
      <c r="G814" s="12" t="s">
        <v>90</v>
      </c>
      <c r="H814" s="12" t="s">
        <v>1814</v>
      </c>
      <c r="I814" s="12">
        <v>54401136987</v>
      </c>
      <c r="J814" s="12" t="s">
        <v>1814</v>
      </c>
      <c r="K814" s="12">
        <v>1</v>
      </c>
      <c r="L814" s="12">
        <v>50</v>
      </c>
      <c r="M814" s="12"/>
      <c r="N814" s="13">
        <v>1967</v>
      </c>
      <c r="O814" s="12" t="s">
        <v>93</v>
      </c>
      <c r="P814" s="12"/>
      <c r="Q814" s="12"/>
      <c r="R814" s="12" t="s">
        <v>94</v>
      </c>
      <c r="S814" s="12">
        <v>10</v>
      </c>
      <c r="T814" s="12" t="s">
        <v>209</v>
      </c>
      <c r="U814" s="12" t="s">
        <v>210</v>
      </c>
      <c r="V814" s="12">
        <f>VLOOKUP(Tabla4[[#This Row],[ZONA DEFINITIVO]],Hoja1!$A$1:$D$121,3,0)</f>
        <v>229127</v>
      </c>
      <c r="W814" s="12">
        <f>VLOOKUP(Tabla4[[#This Row],[ZONA DEFINITIVO]],Hoja1!$A$1:$D$121,2,0)</f>
        <v>15238</v>
      </c>
      <c r="X814" s="12">
        <f>VLOOKUP(Tabla4[[#This Row],[ZONA DEFINITIVO]],Hoja1!$A$1:$D$121,4,0)</f>
        <v>88225</v>
      </c>
      <c r="Y814" s="12" t="str">
        <f>+IF(Tabla4[[#This Row],[AGRUPACIONES]]=1,SUMIFS(Tabla4[UDS],Tabla4[ZONA DEFINITIVO],Tabla4[[#This Row],[ZONA DEFINITIVO]])," ")</f>
        <v xml:space="preserve"> </v>
      </c>
      <c r="Z814" s="12" t="str">
        <f>+IF(Tabla4[[#This Row],[AGRUPACIONES]]=1,SUMIFS(Tabla4[TOTAL COBERTURA],Tabla4[ZONA DEFINITIVO],Tabla4[[#This Row],[ZONA DEFINITIVO]])," ")</f>
        <v xml:space="preserve"> </v>
      </c>
      <c r="AA814" s="12"/>
      <c r="AB814" s="38">
        <v>75965250</v>
      </c>
      <c r="AC814" s="37">
        <v>0.02</v>
      </c>
      <c r="AD814" s="38">
        <f t="shared" si="13"/>
        <v>1519305</v>
      </c>
      <c r="AE814" s="12"/>
      <c r="AF814" s="12">
        <f>COUNTIF($A$20:A814,A814)</f>
        <v>9</v>
      </c>
      <c r="AG814" s="38">
        <v>75965250</v>
      </c>
      <c r="AH814" s="38">
        <f>Tabla4[[#This Row],[VALOR CONTRAPARTIDA]]+Tabla4[[#This Row],[TOTAL APORTES ICBF]]</f>
        <v>77484555</v>
      </c>
      <c r="AI814" s="35"/>
      <c r="AJ814" s="38"/>
      <c r="AK814" s="38"/>
      <c r="AL814" s="23"/>
      <c r="AM814" s="35">
        <f>VLOOKUP(Tabla4[[#This Row],[SERVICIO 2025]],$J$2:$V$14,5,0)*Tabla4[[#This Row],[TOTAL COBERTURA]]</f>
        <v>2337200</v>
      </c>
      <c r="AN814" s="35">
        <f>VLOOKUP(Tabla4[[#This Row],[SERVICIO 2025]],$J$2:$V$14,6,0)*Tabla4[[#This Row],[TOTAL COBERTURA]]</f>
        <v>1892050</v>
      </c>
      <c r="AO814" s="35">
        <f>VLOOKUP(Tabla4[[#This Row],[SERVICIO 2025]],$J$2:$V$14,8,0)*Tabla4[[#This Row],[TOTAL COBERTURA]]</f>
        <v>0</v>
      </c>
      <c r="AP814" s="35">
        <f>VLOOKUP(Tabla4[[#This Row],[SERVICIO 2025]],$J$2:$V$14,3,0)*Tabla4[[#This Row],[TOTAL COBERTURA]]*8</f>
        <v>71736000</v>
      </c>
      <c r="AQ814" s="35"/>
      <c r="AR814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814" s="35" t="str">
        <f>+IF(Tabla4[[#This Row],[AGRUPACIONES]]=1,SUMIFS(Tabla4[VALOR TOTAL],Tabla4[ZONA DEFINITIVO],Tabla4[[#This Row],[ZONA DEFINITIVO]])," ")</f>
        <v xml:space="preserve"> </v>
      </c>
      <c r="AT814" s="27">
        <f>(VLOOKUP(Tabla4[[#This Row],[SERVICIO 2025]],$J$2:$V$14,3,0)*Tabla4[[#This Row],[TOTAL COBERTURA]])+Tabla4[[#This Row],[VALOR FASE PREPARATORIA DE ALISTAMIENTO]]+Tabla4[[#This Row],[DOTACIÓN ÚNICA]]</f>
        <v>11304200</v>
      </c>
      <c r="AU814" s="35">
        <f>(VLOOKUP(Tabla4[[#This Row],[SERVICIO 2025]],$J$2:$V$14,3,0)*Tabla4[[#This Row],[TOTAL COBERTURA]])</f>
        <v>8967000</v>
      </c>
      <c r="AV814" s="35">
        <f>(VLOOKUP(Tabla4[[#This Row],[SERVICIO 2025]],$J$2:$V$14,3,0)*Tabla4[[#This Row],[TOTAL COBERTURA]])</f>
        <v>8967000</v>
      </c>
      <c r="AW814" s="35">
        <f>(VLOOKUP(Tabla4[[#This Row],[SERVICIO 2025]],$J$2:$V$14,3,0)*Tabla4[[#This Row],[TOTAL COBERTURA]])</f>
        <v>8967000</v>
      </c>
      <c r="AX814" s="35">
        <f>(VLOOKUP(Tabla4[[#This Row],[SERVICIO 2025]],$J$2:$V$14,3,0)*Tabla4[[#This Row],[TOTAL COBERTURA]])</f>
        <v>8967000</v>
      </c>
      <c r="AY814" s="35">
        <f>(VLOOKUP(Tabla4[[#This Row],[SERVICIO 2025]],$J$2:$V$14,3,0)*Tabla4[[#This Row],[TOTAL COBERTURA]])</f>
        <v>8967000</v>
      </c>
      <c r="AZ814" s="35">
        <f>(VLOOKUP(Tabla4[[#This Row],[SERVICIO 2025]],$J$2:$V$14,3,0)*Tabla4[[#This Row],[TOTAL COBERTURA]])</f>
        <v>8967000</v>
      </c>
      <c r="BA814" s="35">
        <f>(VLOOKUP(Tabla4[[#This Row],[SERVICIO 2025]],$J$2:$V$14,3,0)*Tabla4[[#This Row],[TOTAL COBERTURA]])+Tabla4[[#This Row],[VALOR FASE PREPARATORIA DE CIERRE]]</f>
        <v>10859050</v>
      </c>
      <c r="BB814" s="35">
        <f>SUM(Tabla4[[#This Row],[DESEMBOLSO 1]:[DESEMBOLSO 8]])</f>
        <v>75965250</v>
      </c>
      <c r="BC814" s="35">
        <f>VLOOKUP(Tabla4[[#This Row],[SERVICIO 2025]],$J$2:$V$14,10,0)*Tabla4[[#This Row],[TOTAL COBERTURA]]*$W$3</f>
        <v>75328400</v>
      </c>
      <c r="BD814" s="47" t="s">
        <v>211</v>
      </c>
      <c r="BE814" s="12" t="b">
        <f>EXACT(Tabla4[[#This Row],[VALOR ATENCIÓN (8 MESES)]],Tabla4[[#This Row],[VALOR TOTAL]])</f>
        <v>1</v>
      </c>
      <c r="BF814" s="23">
        <f>Tabla4[[#This Row],[VALOR ATENCIÓN (8 MESES)]]-Tabla4[[#This Row],[VALOR TOTAL]]</f>
        <v>0</v>
      </c>
      <c r="BG814" s="12" t="b">
        <f>EXACT(Tabla4[[#This Row],[TOTAL DESEMBOLSOS]],Tabla4[[#This Row],[VALOR ATENCIÓN (8 MESES)]])</f>
        <v>1</v>
      </c>
      <c r="BH814" s="29">
        <f>Tabla4[[#This Row],[TOTAL DESEMBOLSOS]]-Tabla4[[#This Row],[VALOR ATENCIÓN (8 MESES)]]</f>
        <v>0</v>
      </c>
      <c r="BI814" t="s">
        <v>98</v>
      </c>
      <c r="BJ814">
        <v>1967</v>
      </c>
    </row>
    <row r="815" spans="1:62">
      <c r="A815" s="13">
        <v>1967</v>
      </c>
      <c r="B815" s="13" t="s">
        <v>1800</v>
      </c>
      <c r="C815" s="12" t="s">
        <v>87</v>
      </c>
      <c r="D815" s="12" t="s">
        <v>527</v>
      </c>
      <c r="E815" s="12" t="s">
        <v>1778</v>
      </c>
      <c r="F815" s="12" t="s">
        <v>21</v>
      </c>
      <c r="G815" s="12" t="s">
        <v>90</v>
      </c>
      <c r="H815" s="12" t="s">
        <v>1815</v>
      </c>
      <c r="I815" s="12">
        <v>54401146615</v>
      </c>
      <c r="J815" s="12" t="s">
        <v>1816</v>
      </c>
      <c r="K815" s="12">
        <v>1</v>
      </c>
      <c r="L815" s="12">
        <v>49</v>
      </c>
      <c r="M815" s="12"/>
      <c r="N815" s="13">
        <v>1967</v>
      </c>
      <c r="O815" s="12" t="s">
        <v>93</v>
      </c>
      <c r="P815" s="12"/>
      <c r="Q815" s="12"/>
      <c r="R815" s="12" t="s">
        <v>94</v>
      </c>
      <c r="S815" s="12">
        <v>10</v>
      </c>
      <c r="T815" s="12" t="s">
        <v>209</v>
      </c>
      <c r="U815" s="12" t="s">
        <v>210</v>
      </c>
      <c r="V815" s="12">
        <f>VLOOKUP(Tabla4[[#This Row],[ZONA DEFINITIVO]],Hoja1!$A$1:$D$121,3,0)</f>
        <v>229127</v>
      </c>
      <c r="W815" s="12">
        <f>VLOOKUP(Tabla4[[#This Row],[ZONA DEFINITIVO]],Hoja1!$A$1:$D$121,2,0)</f>
        <v>15238</v>
      </c>
      <c r="X815" s="12">
        <f>VLOOKUP(Tabla4[[#This Row],[ZONA DEFINITIVO]],Hoja1!$A$1:$D$121,4,0)</f>
        <v>88225</v>
      </c>
      <c r="Y815" s="12" t="str">
        <f>+IF(Tabla4[[#This Row],[AGRUPACIONES]]=1,SUMIFS(Tabla4[UDS],Tabla4[ZONA DEFINITIVO],Tabla4[[#This Row],[ZONA DEFINITIVO]])," ")</f>
        <v xml:space="preserve"> </v>
      </c>
      <c r="Z815" s="12" t="str">
        <f>+IF(Tabla4[[#This Row],[AGRUPACIONES]]=1,SUMIFS(Tabla4[TOTAL COBERTURA],Tabla4[ZONA DEFINITIVO],Tabla4[[#This Row],[ZONA DEFINITIVO]])," ")</f>
        <v xml:space="preserve"> </v>
      </c>
      <c r="AA815" s="12"/>
      <c r="AB815" s="38">
        <v>74445945</v>
      </c>
      <c r="AC815" s="37">
        <v>0.02</v>
      </c>
      <c r="AD815" s="38">
        <f t="shared" si="13"/>
        <v>1488918.9000000001</v>
      </c>
      <c r="AE815" s="12"/>
      <c r="AF815" s="12">
        <f>COUNTIF($A$20:A815,A815)</f>
        <v>10</v>
      </c>
      <c r="AG815" s="38">
        <v>74445945</v>
      </c>
      <c r="AH815" s="38">
        <f>Tabla4[[#This Row],[VALOR CONTRAPARTIDA]]+Tabla4[[#This Row],[TOTAL APORTES ICBF]]</f>
        <v>75934863.900000006</v>
      </c>
      <c r="AI815" s="35"/>
      <c r="AJ815" s="38"/>
      <c r="AK815" s="38"/>
      <c r="AL815" s="23"/>
      <c r="AM815" s="35">
        <f>VLOOKUP(Tabla4[[#This Row],[SERVICIO 2025]],$J$2:$V$14,5,0)*Tabla4[[#This Row],[TOTAL COBERTURA]]</f>
        <v>2290456</v>
      </c>
      <c r="AN815" s="35">
        <f>VLOOKUP(Tabla4[[#This Row],[SERVICIO 2025]],$J$2:$V$14,6,0)*Tabla4[[#This Row],[TOTAL COBERTURA]]</f>
        <v>1854209</v>
      </c>
      <c r="AO815" s="35">
        <f>VLOOKUP(Tabla4[[#This Row],[SERVICIO 2025]],$J$2:$V$14,8,0)*Tabla4[[#This Row],[TOTAL COBERTURA]]</f>
        <v>0</v>
      </c>
      <c r="AP815" s="35">
        <f>VLOOKUP(Tabla4[[#This Row],[SERVICIO 2025]],$J$2:$V$14,3,0)*Tabla4[[#This Row],[TOTAL COBERTURA]]*8</f>
        <v>70301280</v>
      </c>
      <c r="AQ815" s="35"/>
      <c r="AR815" s="35">
        <f>Tabla4[[#This Row],[VALOR FASE PREPARATORIA DE ALISTAMIENTO]]+Tabla4[[#This Row],[VALOR FASE PREPARATORIA DE CIERRE]]+Tabla4[[#This Row],[DOTACIÓN ÚNICA]]+Tabla4[[#This Row],[VALOR ATENCIÓN]]+Tabla4[[#This Row],[VALOR RACION PREPARADA]]</f>
        <v>74445945</v>
      </c>
      <c r="AS815" s="35" t="str">
        <f>+IF(Tabla4[[#This Row],[AGRUPACIONES]]=1,SUMIFS(Tabla4[VALOR TOTAL],Tabla4[ZONA DEFINITIVO],Tabla4[[#This Row],[ZONA DEFINITIVO]])," ")</f>
        <v xml:space="preserve"> </v>
      </c>
      <c r="AT815" s="27">
        <f>(VLOOKUP(Tabla4[[#This Row],[SERVICIO 2025]],$J$2:$V$14,3,0)*Tabla4[[#This Row],[TOTAL COBERTURA]])+Tabla4[[#This Row],[VALOR FASE PREPARATORIA DE ALISTAMIENTO]]+Tabla4[[#This Row],[DOTACIÓN ÚNICA]]</f>
        <v>11078116</v>
      </c>
      <c r="AU815" s="35">
        <f>(VLOOKUP(Tabla4[[#This Row],[SERVICIO 2025]],$J$2:$V$14,3,0)*Tabla4[[#This Row],[TOTAL COBERTURA]])</f>
        <v>8787660</v>
      </c>
      <c r="AV815" s="35">
        <f>(VLOOKUP(Tabla4[[#This Row],[SERVICIO 2025]],$J$2:$V$14,3,0)*Tabla4[[#This Row],[TOTAL COBERTURA]])</f>
        <v>8787660</v>
      </c>
      <c r="AW815" s="35">
        <f>(VLOOKUP(Tabla4[[#This Row],[SERVICIO 2025]],$J$2:$V$14,3,0)*Tabla4[[#This Row],[TOTAL COBERTURA]])</f>
        <v>8787660</v>
      </c>
      <c r="AX815" s="35">
        <f>(VLOOKUP(Tabla4[[#This Row],[SERVICIO 2025]],$J$2:$V$14,3,0)*Tabla4[[#This Row],[TOTAL COBERTURA]])</f>
        <v>8787660</v>
      </c>
      <c r="AY815" s="35">
        <f>(VLOOKUP(Tabla4[[#This Row],[SERVICIO 2025]],$J$2:$V$14,3,0)*Tabla4[[#This Row],[TOTAL COBERTURA]])</f>
        <v>8787660</v>
      </c>
      <c r="AZ815" s="35">
        <f>(VLOOKUP(Tabla4[[#This Row],[SERVICIO 2025]],$J$2:$V$14,3,0)*Tabla4[[#This Row],[TOTAL COBERTURA]])</f>
        <v>8787660</v>
      </c>
      <c r="BA815" s="35">
        <f>(VLOOKUP(Tabla4[[#This Row],[SERVICIO 2025]],$J$2:$V$14,3,0)*Tabla4[[#This Row],[TOTAL COBERTURA]])+Tabla4[[#This Row],[VALOR FASE PREPARATORIA DE CIERRE]]</f>
        <v>10641869</v>
      </c>
      <c r="BB815" s="35">
        <f>SUM(Tabla4[[#This Row],[DESEMBOLSO 1]:[DESEMBOLSO 8]])</f>
        <v>74445945</v>
      </c>
      <c r="BC815" s="35">
        <f>VLOOKUP(Tabla4[[#This Row],[SERVICIO 2025]],$J$2:$V$14,10,0)*Tabla4[[#This Row],[TOTAL COBERTURA]]*$W$3</f>
        <v>73821832</v>
      </c>
      <c r="BD815" s="47" t="s">
        <v>211</v>
      </c>
      <c r="BE815" s="12" t="b">
        <f>EXACT(Tabla4[[#This Row],[VALOR ATENCIÓN (8 MESES)]],Tabla4[[#This Row],[VALOR TOTAL]])</f>
        <v>1</v>
      </c>
      <c r="BF815" s="23">
        <f>Tabla4[[#This Row],[VALOR ATENCIÓN (8 MESES)]]-Tabla4[[#This Row],[VALOR TOTAL]]</f>
        <v>0</v>
      </c>
      <c r="BG815" s="12" t="b">
        <f>EXACT(Tabla4[[#This Row],[TOTAL DESEMBOLSOS]],Tabla4[[#This Row],[VALOR ATENCIÓN (8 MESES)]])</f>
        <v>1</v>
      </c>
      <c r="BH815" s="29">
        <f>Tabla4[[#This Row],[TOTAL DESEMBOLSOS]]-Tabla4[[#This Row],[VALOR ATENCIÓN (8 MESES)]]</f>
        <v>0</v>
      </c>
      <c r="BI815" t="s">
        <v>98</v>
      </c>
      <c r="BJ815">
        <v>1967</v>
      </c>
    </row>
    <row r="816" spans="1:62">
      <c r="A816" s="13">
        <v>1967</v>
      </c>
      <c r="B816" s="13" t="s">
        <v>1800</v>
      </c>
      <c r="C816" s="12" t="s">
        <v>87</v>
      </c>
      <c r="D816" s="12" t="s">
        <v>527</v>
      </c>
      <c r="E816" s="12" t="s">
        <v>1778</v>
      </c>
      <c r="F816" s="12" t="s">
        <v>21</v>
      </c>
      <c r="G816" s="12" t="s">
        <v>90</v>
      </c>
      <c r="H816" s="12" t="s">
        <v>1817</v>
      </c>
      <c r="I816" s="12">
        <v>54401147008</v>
      </c>
      <c r="J816" s="12" t="s">
        <v>1817</v>
      </c>
      <c r="K816" s="12">
        <v>1</v>
      </c>
      <c r="L816" s="12">
        <v>50</v>
      </c>
      <c r="M816" s="12"/>
      <c r="N816" s="13">
        <v>1967</v>
      </c>
      <c r="O816" s="12" t="s">
        <v>93</v>
      </c>
      <c r="P816" s="12"/>
      <c r="Q816" s="12"/>
      <c r="R816" s="12" t="s">
        <v>94</v>
      </c>
      <c r="S816" s="12">
        <v>10</v>
      </c>
      <c r="T816" s="12" t="s">
        <v>209</v>
      </c>
      <c r="U816" s="12" t="s">
        <v>210</v>
      </c>
      <c r="V816" s="12">
        <f>VLOOKUP(Tabla4[[#This Row],[ZONA DEFINITIVO]],Hoja1!$A$1:$D$121,3,0)</f>
        <v>229127</v>
      </c>
      <c r="W816" s="12">
        <f>VLOOKUP(Tabla4[[#This Row],[ZONA DEFINITIVO]],Hoja1!$A$1:$D$121,2,0)</f>
        <v>15238</v>
      </c>
      <c r="X816" s="12">
        <f>VLOOKUP(Tabla4[[#This Row],[ZONA DEFINITIVO]],Hoja1!$A$1:$D$121,4,0)</f>
        <v>88225</v>
      </c>
      <c r="Y816" s="12" t="str">
        <f>+IF(Tabla4[[#This Row],[AGRUPACIONES]]=1,SUMIFS(Tabla4[UDS],Tabla4[ZONA DEFINITIVO],Tabla4[[#This Row],[ZONA DEFINITIVO]])," ")</f>
        <v xml:space="preserve"> </v>
      </c>
      <c r="Z816" s="12" t="str">
        <f>+IF(Tabla4[[#This Row],[AGRUPACIONES]]=1,SUMIFS(Tabla4[TOTAL COBERTURA],Tabla4[ZONA DEFINITIVO],Tabla4[[#This Row],[ZONA DEFINITIVO]])," ")</f>
        <v xml:space="preserve"> </v>
      </c>
      <c r="AA816" s="12"/>
      <c r="AB816" s="38">
        <v>75965250</v>
      </c>
      <c r="AC816" s="37">
        <v>0.02</v>
      </c>
      <c r="AD816" s="38">
        <f t="shared" si="13"/>
        <v>1519305</v>
      </c>
      <c r="AE816" s="12"/>
      <c r="AF816" s="12">
        <f>COUNTIF($A$20:A816,A816)</f>
        <v>11</v>
      </c>
      <c r="AG816" s="38">
        <v>75965250</v>
      </c>
      <c r="AH816" s="38">
        <f>Tabla4[[#This Row],[VALOR CONTRAPARTIDA]]+Tabla4[[#This Row],[TOTAL APORTES ICBF]]</f>
        <v>77484555</v>
      </c>
      <c r="AI816" s="35"/>
      <c r="AJ816" s="38"/>
      <c r="AK816" s="38"/>
      <c r="AL816" s="23"/>
      <c r="AM816" s="35">
        <f>VLOOKUP(Tabla4[[#This Row],[SERVICIO 2025]],$J$2:$V$14,5,0)*Tabla4[[#This Row],[TOTAL COBERTURA]]</f>
        <v>2337200</v>
      </c>
      <c r="AN816" s="35">
        <f>VLOOKUP(Tabla4[[#This Row],[SERVICIO 2025]],$J$2:$V$14,6,0)*Tabla4[[#This Row],[TOTAL COBERTURA]]</f>
        <v>1892050</v>
      </c>
      <c r="AO816" s="35">
        <f>VLOOKUP(Tabla4[[#This Row],[SERVICIO 2025]],$J$2:$V$14,8,0)*Tabla4[[#This Row],[TOTAL COBERTURA]]</f>
        <v>0</v>
      </c>
      <c r="AP816" s="35">
        <f>VLOOKUP(Tabla4[[#This Row],[SERVICIO 2025]],$J$2:$V$14,3,0)*Tabla4[[#This Row],[TOTAL COBERTURA]]*8</f>
        <v>71736000</v>
      </c>
      <c r="AQ816" s="35"/>
      <c r="AR816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816" s="35" t="str">
        <f>+IF(Tabla4[[#This Row],[AGRUPACIONES]]=1,SUMIFS(Tabla4[VALOR TOTAL],Tabla4[ZONA DEFINITIVO],Tabla4[[#This Row],[ZONA DEFINITIVO]])," ")</f>
        <v xml:space="preserve"> </v>
      </c>
      <c r="AT816" s="27">
        <f>(VLOOKUP(Tabla4[[#This Row],[SERVICIO 2025]],$J$2:$V$14,3,0)*Tabla4[[#This Row],[TOTAL COBERTURA]])+Tabla4[[#This Row],[VALOR FASE PREPARATORIA DE ALISTAMIENTO]]+Tabla4[[#This Row],[DOTACIÓN ÚNICA]]</f>
        <v>11304200</v>
      </c>
      <c r="AU816" s="35">
        <f>(VLOOKUP(Tabla4[[#This Row],[SERVICIO 2025]],$J$2:$V$14,3,0)*Tabla4[[#This Row],[TOTAL COBERTURA]])</f>
        <v>8967000</v>
      </c>
      <c r="AV816" s="35">
        <f>(VLOOKUP(Tabla4[[#This Row],[SERVICIO 2025]],$J$2:$V$14,3,0)*Tabla4[[#This Row],[TOTAL COBERTURA]])</f>
        <v>8967000</v>
      </c>
      <c r="AW816" s="35">
        <f>(VLOOKUP(Tabla4[[#This Row],[SERVICIO 2025]],$J$2:$V$14,3,0)*Tabla4[[#This Row],[TOTAL COBERTURA]])</f>
        <v>8967000</v>
      </c>
      <c r="AX816" s="35">
        <f>(VLOOKUP(Tabla4[[#This Row],[SERVICIO 2025]],$J$2:$V$14,3,0)*Tabla4[[#This Row],[TOTAL COBERTURA]])</f>
        <v>8967000</v>
      </c>
      <c r="AY816" s="35">
        <f>(VLOOKUP(Tabla4[[#This Row],[SERVICIO 2025]],$J$2:$V$14,3,0)*Tabla4[[#This Row],[TOTAL COBERTURA]])</f>
        <v>8967000</v>
      </c>
      <c r="AZ816" s="35">
        <f>(VLOOKUP(Tabla4[[#This Row],[SERVICIO 2025]],$J$2:$V$14,3,0)*Tabla4[[#This Row],[TOTAL COBERTURA]])</f>
        <v>8967000</v>
      </c>
      <c r="BA816" s="35">
        <f>(VLOOKUP(Tabla4[[#This Row],[SERVICIO 2025]],$J$2:$V$14,3,0)*Tabla4[[#This Row],[TOTAL COBERTURA]])+Tabla4[[#This Row],[VALOR FASE PREPARATORIA DE CIERRE]]</f>
        <v>10859050</v>
      </c>
      <c r="BB816" s="35">
        <f>SUM(Tabla4[[#This Row],[DESEMBOLSO 1]:[DESEMBOLSO 8]])</f>
        <v>75965250</v>
      </c>
      <c r="BC816" s="35">
        <f>VLOOKUP(Tabla4[[#This Row],[SERVICIO 2025]],$J$2:$V$14,10,0)*Tabla4[[#This Row],[TOTAL COBERTURA]]*$W$3</f>
        <v>75328400</v>
      </c>
      <c r="BD816" s="47" t="s">
        <v>211</v>
      </c>
      <c r="BE816" s="12" t="b">
        <f>EXACT(Tabla4[[#This Row],[VALOR ATENCIÓN (8 MESES)]],Tabla4[[#This Row],[VALOR TOTAL]])</f>
        <v>1</v>
      </c>
      <c r="BF816" s="23">
        <f>Tabla4[[#This Row],[VALOR ATENCIÓN (8 MESES)]]-Tabla4[[#This Row],[VALOR TOTAL]]</f>
        <v>0</v>
      </c>
      <c r="BG816" s="12" t="b">
        <f>EXACT(Tabla4[[#This Row],[TOTAL DESEMBOLSOS]],Tabla4[[#This Row],[VALOR ATENCIÓN (8 MESES)]])</f>
        <v>1</v>
      </c>
      <c r="BH816" s="29">
        <f>Tabla4[[#This Row],[TOTAL DESEMBOLSOS]]-Tabla4[[#This Row],[VALOR ATENCIÓN (8 MESES)]]</f>
        <v>0</v>
      </c>
      <c r="BI816" t="s">
        <v>98</v>
      </c>
      <c r="BJ816">
        <v>1967</v>
      </c>
    </row>
    <row r="817" spans="1:62">
      <c r="A817" s="13">
        <v>1969</v>
      </c>
      <c r="B817" s="13" t="s">
        <v>1818</v>
      </c>
      <c r="C817" s="12" t="s">
        <v>87</v>
      </c>
      <c r="D817" s="12" t="s">
        <v>462</v>
      </c>
      <c r="E817" s="12" t="s">
        <v>1819</v>
      </c>
      <c r="F817" s="12" t="s">
        <v>18</v>
      </c>
      <c r="G817" s="12" t="s">
        <v>90</v>
      </c>
      <c r="H817" s="12" t="s">
        <v>1820</v>
      </c>
      <c r="I817" s="12">
        <v>54801119785</v>
      </c>
      <c r="J817" s="12" t="s">
        <v>1821</v>
      </c>
      <c r="K817" s="12">
        <v>1</v>
      </c>
      <c r="L817" s="12">
        <v>14</v>
      </c>
      <c r="M817" s="12"/>
      <c r="N817" s="13">
        <v>1969</v>
      </c>
      <c r="O817" s="12" t="s">
        <v>93</v>
      </c>
      <c r="P817" s="12"/>
      <c r="Q817" s="12"/>
      <c r="R817" s="12" t="s">
        <v>94</v>
      </c>
      <c r="S817" s="12">
        <v>10</v>
      </c>
      <c r="T817" s="12" t="s">
        <v>1822</v>
      </c>
      <c r="U817" s="12" t="s">
        <v>1823</v>
      </c>
      <c r="V817" s="12">
        <f>VLOOKUP(Tabla4[[#This Row],[ZONA DEFINITIVO]],Hoja1!$A$1:$D$121,3,0)</f>
        <v>229128</v>
      </c>
      <c r="W817" s="12">
        <f>VLOOKUP(Tabla4[[#This Row],[ZONA DEFINITIVO]],Hoja1!$A$1:$D$121,2,0)</f>
        <v>15206</v>
      </c>
      <c r="X817" s="12">
        <f>VLOOKUP(Tabla4[[#This Row],[ZONA DEFINITIVO]],Hoja1!$A$1:$D$121,4,0)</f>
        <v>92225</v>
      </c>
      <c r="Y817" s="12">
        <f>+IF(Tabla4[[#This Row],[AGRUPACIONES]]=1,SUMIFS(Tabla4[UDS],Tabla4[ZONA DEFINITIVO],Tabla4[[#This Row],[ZONA DEFINITIVO]])," ")</f>
        <v>14</v>
      </c>
      <c r="Z817" s="12">
        <f>+IF(Tabla4[[#This Row],[AGRUPACIONES]]=1,SUMIFS(Tabla4[TOTAL COBERTURA],Tabla4[ZONA DEFINITIVO],Tabla4[[#This Row],[ZONA DEFINITIVO]])," ")</f>
        <v>695</v>
      </c>
      <c r="AA817" s="12"/>
      <c r="AB817" s="38">
        <v>30522702</v>
      </c>
      <c r="AC817" s="37">
        <v>0.02</v>
      </c>
      <c r="AD817" s="38">
        <f t="shared" si="13"/>
        <v>610454.04</v>
      </c>
      <c r="AE817" s="12"/>
      <c r="AF817" s="12">
        <f>COUNTIF($A$20:A817,A817)</f>
        <v>1</v>
      </c>
      <c r="AG817" s="38">
        <v>30522702</v>
      </c>
      <c r="AH817" s="38">
        <f>Tabla4[[#This Row],[VALOR CONTRAPARTIDA]]+Tabla4[[#This Row],[TOTAL APORTES ICBF]]</f>
        <v>31133156.039999999</v>
      </c>
      <c r="AI817" s="35">
        <f>ROUND(+IF(Tabla4[[#This Row],[AGRUPACIONES]]=1,SUMIFS(Tabla4[TOTAL APORTES ICBF],Tabla4[ZONA DEFINITIVO],Tabla4[[#This Row],[ZONA DEFINITIVO]])," "),0)</f>
        <v>1526516457</v>
      </c>
      <c r="AJ817" s="38">
        <f>ROUND(+IF(Tabla4[[#This Row],[AGRUPACIONES]]=1,SUMIFS(Tabla4[VALOR CONTRAPARTIDA],Tabla4[ZONA DEFINITIVO],Tabla4[[#This Row],[ZONA DEFINITIVO]])," "),0)</f>
        <v>30530329</v>
      </c>
      <c r="AK817" s="38">
        <f>Tabla4[[#This Row],[TOTAL APORTES ICBF AGRUPADO]]+Tabla4[[#This Row],[TOTAL CONTRAPARTIDA AGRUPADO]]</f>
        <v>1557046786</v>
      </c>
      <c r="AL817" s="23">
        <f>Tabla4[[#This Row],[TOTAL APORTES ICBF AGRUPADO]]/$AL$18</f>
        <v>1072.3684278187566</v>
      </c>
      <c r="AM817" s="35">
        <f>VLOOKUP(Tabla4[[#This Row],[SERVICIO 2025]],$J$2:$V$14,5,0)*Tabla4[[#This Row],[TOTAL COBERTURA]]</f>
        <v>691264</v>
      </c>
      <c r="AN817" s="35">
        <f>VLOOKUP(Tabla4[[#This Row],[SERVICIO 2025]],$J$2:$V$14,6,0)*Tabla4[[#This Row],[TOTAL COBERTURA]]</f>
        <v>574406</v>
      </c>
      <c r="AO817" s="35">
        <f>VLOOKUP(Tabla4[[#This Row],[SERVICIO 2025]],$J$2:$V$14,8,0)*Tabla4[[#This Row],[TOTAL COBERTURA]]</f>
        <v>407400</v>
      </c>
      <c r="AP817" s="35">
        <f>VLOOKUP(Tabla4[[#This Row],[SERVICIO 2025]],$J$2:$V$14,3,0)*Tabla4[[#This Row],[TOTAL COBERTURA]]*8</f>
        <v>28849632</v>
      </c>
      <c r="AQ817" s="35"/>
      <c r="AR817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817" s="35">
        <f>+IF(Tabla4[[#This Row],[AGRUPACIONES]]=1,SUMIFS(Tabla4[VALOR TOTAL],Tabla4[ZONA DEFINITIVO],Tabla4[[#This Row],[ZONA DEFINITIVO]])," ")</f>
        <v>1526516457</v>
      </c>
      <c r="AT817" s="27">
        <f>(VLOOKUP(Tabla4[[#This Row],[SERVICIO 2025]],$J$2:$V$14,3,0)*Tabla4[[#This Row],[TOTAL COBERTURA]])+Tabla4[[#This Row],[VALOR FASE PREPARATORIA DE ALISTAMIENTO]]+Tabla4[[#This Row],[DOTACIÓN ÚNICA]]</f>
        <v>4704868</v>
      </c>
      <c r="AU817" s="35">
        <f>(VLOOKUP(Tabla4[[#This Row],[SERVICIO 2025]],$J$2:$V$14,3,0)*Tabla4[[#This Row],[TOTAL COBERTURA]])</f>
        <v>3606204</v>
      </c>
      <c r="AV817" s="35">
        <f>(VLOOKUP(Tabla4[[#This Row],[SERVICIO 2025]],$J$2:$V$14,3,0)*Tabla4[[#This Row],[TOTAL COBERTURA]])</f>
        <v>3606204</v>
      </c>
      <c r="AW817" s="35">
        <f>(VLOOKUP(Tabla4[[#This Row],[SERVICIO 2025]],$J$2:$V$14,3,0)*Tabla4[[#This Row],[TOTAL COBERTURA]])</f>
        <v>3606204</v>
      </c>
      <c r="AX817" s="35">
        <f>(VLOOKUP(Tabla4[[#This Row],[SERVICIO 2025]],$J$2:$V$14,3,0)*Tabla4[[#This Row],[TOTAL COBERTURA]])</f>
        <v>3606204</v>
      </c>
      <c r="AY817" s="35">
        <f>(VLOOKUP(Tabla4[[#This Row],[SERVICIO 2025]],$J$2:$V$14,3,0)*Tabla4[[#This Row],[TOTAL COBERTURA]])</f>
        <v>3606204</v>
      </c>
      <c r="AZ817" s="35">
        <f>(VLOOKUP(Tabla4[[#This Row],[SERVICIO 2025]],$J$2:$V$14,3,0)*Tabla4[[#This Row],[TOTAL COBERTURA]])</f>
        <v>3606204</v>
      </c>
      <c r="BA817" s="35">
        <f>(VLOOKUP(Tabla4[[#This Row],[SERVICIO 2025]],$J$2:$V$14,3,0)*Tabla4[[#This Row],[TOTAL COBERTURA]])+Tabla4[[#This Row],[VALOR FASE PREPARATORIA DE CIERRE]]</f>
        <v>4180610</v>
      </c>
      <c r="BB817" s="35">
        <f>SUM(Tabla4[[#This Row],[DESEMBOLSO 1]:[DESEMBOLSO 8]])</f>
        <v>30522702</v>
      </c>
      <c r="BC817" s="35">
        <f>VLOOKUP(Tabla4[[#This Row],[SERVICIO 2025]],$J$2:$V$14,10,0)*Tabla4[[#This Row],[TOTAL COBERTURA]]*$W$3</f>
        <v>20202896</v>
      </c>
      <c r="BD817" s="47" t="s">
        <v>211</v>
      </c>
      <c r="BE817" s="12" t="b">
        <f>EXACT(Tabla4[[#This Row],[VALOR ATENCIÓN (8 MESES)]],Tabla4[[#This Row],[VALOR TOTAL]])</f>
        <v>1</v>
      </c>
      <c r="BF817" s="23">
        <f>Tabla4[[#This Row],[VALOR ATENCIÓN (8 MESES)]]-Tabla4[[#This Row],[VALOR TOTAL]]</f>
        <v>0</v>
      </c>
      <c r="BG817" s="12" t="b">
        <f>EXACT(Tabla4[[#This Row],[TOTAL DESEMBOLSOS]],Tabla4[[#This Row],[VALOR ATENCIÓN (8 MESES)]])</f>
        <v>1</v>
      </c>
      <c r="BH817" s="29">
        <f>Tabla4[[#This Row],[TOTAL DESEMBOLSOS]]-Tabla4[[#This Row],[VALOR ATENCIÓN (8 MESES)]]</f>
        <v>0</v>
      </c>
      <c r="BI817" t="s">
        <v>98</v>
      </c>
      <c r="BJ817">
        <v>1969</v>
      </c>
    </row>
    <row r="818" spans="1:62">
      <c r="A818" s="13">
        <v>1969</v>
      </c>
      <c r="B818" s="13" t="s">
        <v>1818</v>
      </c>
      <c r="C818" s="12" t="s">
        <v>87</v>
      </c>
      <c r="D818" s="12" t="s">
        <v>462</v>
      </c>
      <c r="E818" s="12" t="s">
        <v>1819</v>
      </c>
      <c r="F818" s="12" t="s">
        <v>18</v>
      </c>
      <c r="G818" s="12" t="s">
        <v>90</v>
      </c>
      <c r="H818" s="12" t="s">
        <v>1824</v>
      </c>
      <c r="I818" s="12">
        <v>54801119789</v>
      </c>
      <c r="J818" s="12" t="s">
        <v>1825</v>
      </c>
      <c r="K818" s="12">
        <v>1</v>
      </c>
      <c r="L818" s="12">
        <v>17</v>
      </c>
      <c r="M818" s="12"/>
      <c r="N818" s="13">
        <v>1969</v>
      </c>
      <c r="O818" s="12" t="s">
        <v>93</v>
      </c>
      <c r="P818" s="12"/>
      <c r="Q818" s="12"/>
      <c r="R818" s="12" t="s">
        <v>94</v>
      </c>
      <c r="S818" s="12">
        <v>10</v>
      </c>
      <c r="T818" s="12" t="s">
        <v>1822</v>
      </c>
      <c r="U818" s="12" t="s">
        <v>1823</v>
      </c>
      <c r="V818" s="12">
        <f>VLOOKUP(Tabla4[[#This Row],[ZONA DEFINITIVO]],Hoja1!$A$1:$D$121,3,0)</f>
        <v>229128</v>
      </c>
      <c r="W818" s="12">
        <f>VLOOKUP(Tabla4[[#This Row],[ZONA DEFINITIVO]],Hoja1!$A$1:$D$121,2,0)</f>
        <v>15206</v>
      </c>
      <c r="X818" s="12">
        <f>VLOOKUP(Tabla4[[#This Row],[ZONA DEFINITIVO]],Hoja1!$A$1:$D$121,4,0)</f>
        <v>92225</v>
      </c>
      <c r="Y818" s="12" t="str">
        <f>+IF(Tabla4[[#This Row],[AGRUPACIONES]]=1,SUMIFS(Tabla4[UDS],Tabla4[ZONA DEFINITIVO],Tabla4[[#This Row],[ZONA DEFINITIVO]])," ")</f>
        <v xml:space="preserve"> </v>
      </c>
      <c r="Z818" s="12" t="str">
        <f>+IF(Tabla4[[#This Row],[AGRUPACIONES]]=1,SUMIFS(Tabla4[TOTAL COBERTURA],Tabla4[ZONA DEFINITIVO],Tabla4[[#This Row],[ZONA DEFINITIVO]])," ")</f>
        <v xml:space="preserve"> </v>
      </c>
      <c r="AA818" s="12"/>
      <c r="AB818" s="38">
        <v>37063281</v>
      </c>
      <c r="AC818" s="37">
        <v>0.02</v>
      </c>
      <c r="AD818" s="38">
        <f t="shared" si="13"/>
        <v>741265.62</v>
      </c>
      <c r="AE818" s="12"/>
      <c r="AF818" s="12">
        <f>COUNTIF($A$20:A818,A818)</f>
        <v>2</v>
      </c>
      <c r="AG818" s="38">
        <v>37063281</v>
      </c>
      <c r="AH818" s="38">
        <f>Tabla4[[#This Row],[VALOR CONTRAPARTIDA]]+Tabla4[[#This Row],[TOTAL APORTES ICBF]]</f>
        <v>37804546.619999997</v>
      </c>
      <c r="AI818" s="35"/>
      <c r="AJ818" s="38"/>
      <c r="AK818" s="38"/>
      <c r="AL818" s="23"/>
      <c r="AM818" s="35">
        <f>VLOOKUP(Tabla4[[#This Row],[SERVICIO 2025]],$J$2:$V$14,5,0)*Tabla4[[#This Row],[TOTAL COBERTURA]]</f>
        <v>839392</v>
      </c>
      <c r="AN818" s="35">
        <f>VLOOKUP(Tabla4[[#This Row],[SERVICIO 2025]],$J$2:$V$14,6,0)*Tabla4[[#This Row],[TOTAL COBERTURA]]</f>
        <v>697493</v>
      </c>
      <c r="AO818" s="35">
        <f>VLOOKUP(Tabla4[[#This Row],[SERVICIO 2025]],$J$2:$V$14,8,0)*Tabla4[[#This Row],[TOTAL COBERTURA]]</f>
        <v>494700</v>
      </c>
      <c r="AP818" s="35">
        <f>VLOOKUP(Tabla4[[#This Row],[SERVICIO 2025]],$J$2:$V$14,3,0)*Tabla4[[#This Row],[TOTAL COBERTURA]]*8</f>
        <v>35031696</v>
      </c>
      <c r="AQ818" s="35"/>
      <c r="AR818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818" s="35" t="str">
        <f>+IF(Tabla4[[#This Row],[AGRUPACIONES]]=1,SUMIFS(Tabla4[VALOR TOTAL],Tabla4[ZONA DEFINITIVO],Tabla4[[#This Row],[ZONA DEFINITIVO]])," ")</f>
        <v xml:space="preserve"> </v>
      </c>
      <c r="AT818" s="27">
        <f>(VLOOKUP(Tabla4[[#This Row],[SERVICIO 2025]],$J$2:$V$14,3,0)*Tabla4[[#This Row],[TOTAL COBERTURA]])+Tabla4[[#This Row],[VALOR FASE PREPARATORIA DE ALISTAMIENTO]]+Tabla4[[#This Row],[DOTACIÓN ÚNICA]]</f>
        <v>5713054</v>
      </c>
      <c r="AU818" s="35">
        <f>(VLOOKUP(Tabla4[[#This Row],[SERVICIO 2025]],$J$2:$V$14,3,0)*Tabla4[[#This Row],[TOTAL COBERTURA]])</f>
        <v>4378962</v>
      </c>
      <c r="AV818" s="35">
        <f>(VLOOKUP(Tabla4[[#This Row],[SERVICIO 2025]],$J$2:$V$14,3,0)*Tabla4[[#This Row],[TOTAL COBERTURA]])</f>
        <v>4378962</v>
      </c>
      <c r="AW818" s="35">
        <f>(VLOOKUP(Tabla4[[#This Row],[SERVICIO 2025]],$J$2:$V$14,3,0)*Tabla4[[#This Row],[TOTAL COBERTURA]])</f>
        <v>4378962</v>
      </c>
      <c r="AX818" s="35">
        <f>(VLOOKUP(Tabla4[[#This Row],[SERVICIO 2025]],$J$2:$V$14,3,0)*Tabla4[[#This Row],[TOTAL COBERTURA]])</f>
        <v>4378962</v>
      </c>
      <c r="AY818" s="35">
        <f>(VLOOKUP(Tabla4[[#This Row],[SERVICIO 2025]],$J$2:$V$14,3,0)*Tabla4[[#This Row],[TOTAL COBERTURA]])</f>
        <v>4378962</v>
      </c>
      <c r="AZ818" s="35">
        <f>(VLOOKUP(Tabla4[[#This Row],[SERVICIO 2025]],$J$2:$V$14,3,0)*Tabla4[[#This Row],[TOTAL COBERTURA]])</f>
        <v>4378962</v>
      </c>
      <c r="BA818" s="35">
        <f>(VLOOKUP(Tabla4[[#This Row],[SERVICIO 2025]],$J$2:$V$14,3,0)*Tabla4[[#This Row],[TOTAL COBERTURA]])+Tabla4[[#This Row],[VALOR FASE PREPARATORIA DE CIERRE]]</f>
        <v>5076455</v>
      </c>
      <c r="BB818" s="35">
        <f>SUM(Tabla4[[#This Row],[DESEMBOLSO 1]:[DESEMBOLSO 8]])</f>
        <v>37063281</v>
      </c>
      <c r="BC818" s="35">
        <f>VLOOKUP(Tabla4[[#This Row],[SERVICIO 2025]],$J$2:$V$14,10,0)*Tabla4[[#This Row],[TOTAL COBERTURA]]*$W$3</f>
        <v>24532088</v>
      </c>
      <c r="BD818" s="47" t="s">
        <v>211</v>
      </c>
      <c r="BE818" s="12" t="b">
        <f>EXACT(Tabla4[[#This Row],[VALOR ATENCIÓN (8 MESES)]],Tabla4[[#This Row],[VALOR TOTAL]])</f>
        <v>1</v>
      </c>
      <c r="BF818" s="23">
        <f>Tabla4[[#This Row],[VALOR ATENCIÓN (8 MESES)]]-Tabla4[[#This Row],[VALOR TOTAL]]</f>
        <v>0</v>
      </c>
      <c r="BG818" s="12" t="b">
        <f>EXACT(Tabla4[[#This Row],[TOTAL DESEMBOLSOS]],Tabla4[[#This Row],[VALOR ATENCIÓN (8 MESES)]])</f>
        <v>1</v>
      </c>
      <c r="BH818" s="29">
        <f>Tabla4[[#This Row],[TOTAL DESEMBOLSOS]]-Tabla4[[#This Row],[VALOR ATENCIÓN (8 MESES)]]</f>
        <v>0</v>
      </c>
      <c r="BI818" t="s">
        <v>98</v>
      </c>
      <c r="BJ818">
        <v>1969</v>
      </c>
    </row>
    <row r="819" spans="1:62">
      <c r="A819" s="13">
        <v>1969</v>
      </c>
      <c r="B819" s="13" t="s">
        <v>1818</v>
      </c>
      <c r="C819" s="12" t="s">
        <v>87</v>
      </c>
      <c r="D819" s="12" t="s">
        <v>462</v>
      </c>
      <c r="E819" s="12" t="s">
        <v>1819</v>
      </c>
      <c r="F819" s="12" t="s">
        <v>18</v>
      </c>
      <c r="G819" s="12" t="s">
        <v>90</v>
      </c>
      <c r="H819" s="12" t="s">
        <v>1826</v>
      </c>
      <c r="I819" s="12">
        <v>54801119791</v>
      </c>
      <c r="J819" s="12" t="s">
        <v>1827</v>
      </c>
      <c r="K819" s="12">
        <v>1</v>
      </c>
      <c r="L819" s="12">
        <v>11</v>
      </c>
      <c r="M819" s="12"/>
      <c r="N819" s="13">
        <v>1969</v>
      </c>
      <c r="O819" s="12" t="s">
        <v>93</v>
      </c>
      <c r="P819" s="12"/>
      <c r="Q819" s="12"/>
      <c r="R819" s="12" t="s">
        <v>94</v>
      </c>
      <c r="S819" s="12">
        <v>10</v>
      </c>
      <c r="T819" s="12" t="s">
        <v>1822</v>
      </c>
      <c r="U819" s="12" t="s">
        <v>1823</v>
      </c>
      <c r="V819" s="12">
        <f>VLOOKUP(Tabla4[[#This Row],[ZONA DEFINITIVO]],Hoja1!$A$1:$D$121,3,0)</f>
        <v>229128</v>
      </c>
      <c r="W819" s="12">
        <f>VLOOKUP(Tabla4[[#This Row],[ZONA DEFINITIVO]],Hoja1!$A$1:$D$121,2,0)</f>
        <v>15206</v>
      </c>
      <c r="X819" s="12">
        <f>VLOOKUP(Tabla4[[#This Row],[ZONA DEFINITIVO]],Hoja1!$A$1:$D$121,4,0)</f>
        <v>92225</v>
      </c>
      <c r="Y819" s="12" t="str">
        <f>+IF(Tabla4[[#This Row],[AGRUPACIONES]]=1,SUMIFS(Tabla4[UDS],Tabla4[ZONA DEFINITIVO],Tabla4[[#This Row],[ZONA DEFINITIVO]])," ")</f>
        <v xml:space="preserve"> </v>
      </c>
      <c r="Z819" s="12" t="str">
        <f>+IF(Tabla4[[#This Row],[AGRUPACIONES]]=1,SUMIFS(Tabla4[TOTAL COBERTURA],Tabla4[ZONA DEFINITIVO],Tabla4[[#This Row],[ZONA DEFINITIVO]])," ")</f>
        <v xml:space="preserve"> </v>
      </c>
      <c r="AA819" s="12"/>
      <c r="AB819" s="38">
        <v>23982123</v>
      </c>
      <c r="AC819" s="37">
        <v>0.02</v>
      </c>
      <c r="AD819" s="38">
        <f t="shared" si="13"/>
        <v>479642.46</v>
      </c>
      <c r="AE819" s="12"/>
      <c r="AF819" s="12">
        <f>COUNTIF($A$20:A819,A819)</f>
        <v>3</v>
      </c>
      <c r="AG819" s="38">
        <v>23982123</v>
      </c>
      <c r="AH819" s="38">
        <f>Tabla4[[#This Row],[VALOR CONTRAPARTIDA]]+Tabla4[[#This Row],[TOTAL APORTES ICBF]]</f>
        <v>24461765.460000001</v>
      </c>
      <c r="AI819" s="35"/>
      <c r="AJ819" s="38"/>
      <c r="AK819" s="38"/>
      <c r="AL819" s="23"/>
      <c r="AM819" s="35">
        <f>VLOOKUP(Tabla4[[#This Row],[SERVICIO 2025]],$J$2:$V$14,5,0)*Tabla4[[#This Row],[TOTAL COBERTURA]]</f>
        <v>543136</v>
      </c>
      <c r="AN819" s="35">
        <f>VLOOKUP(Tabla4[[#This Row],[SERVICIO 2025]],$J$2:$V$14,6,0)*Tabla4[[#This Row],[TOTAL COBERTURA]]</f>
        <v>451319</v>
      </c>
      <c r="AO819" s="35">
        <f>VLOOKUP(Tabla4[[#This Row],[SERVICIO 2025]],$J$2:$V$14,8,0)*Tabla4[[#This Row],[TOTAL COBERTURA]]</f>
        <v>320100</v>
      </c>
      <c r="AP819" s="35">
        <f>VLOOKUP(Tabla4[[#This Row],[SERVICIO 2025]],$J$2:$V$14,3,0)*Tabla4[[#This Row],[TOTAL COBERTURA]]*8</f>
        <v>22667568</v>
      </c>
      <c r="AQ819" s="35"/>
      <c r="AR819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819" s="35" t="str">
        <f>+IF(Tabla4[[#This Row],[AGRUPACIONES]]=1,SUMIFS(Tabla4[VALOR TOTAL],Tabla4[ZONA DEFINITIVO],Tabla4[[#This Row],[ZONA DEFINITIVO]])," ")</f>
        <v xml:space="preserve"> </v>
      </c>
      <c r="AT819" s="27">
        <f>(VLOOKUP(Tabla4[[#This Row],[SERVICIO 2025]],$J$2:$V$14,3,0)*Tabla4[[#This Row],[TOTAL COBERTURA]])+Tabla4[[#This Row],[VALOR FASE PREPARATORIA DE ALISTAMIENTO]]+Tabla4[[#This Row],[DOTACIÓN ÚNICA]]</f>
        <v>3696682</v>
      </c>
      <c r="AU819" s="35">
        <f>(VLOOKUP(Tabla4[[#This Row],[SERVICIO 2025]],$J$2:$V$14,3,0)*Tabla4[[#This Row],[TOTAL COBERTURA]])</f>
        <v>2833446</v>
      </c>
      <c r="AV819" s="35">
        <f>(VLOOKUP(Tabla4[[#This Row],[SERVICIO 2025]],$J$2:$V$14,3,0)*Tabla4[[#This Row],[TOTAL COBERTURA]])</f>
        <v>2833446</v>
      </c>
      <c r="AW819" s="35">
        <f>(VLOOKUP(Tabla4[[#This Row],[SERVICIO 2025]],$J$2:$V$14,3,0)*Tabla4[[#This Row],[TOTAL COBERTURA]])</f>
        <v>2833446</v>
      </c>
      <c r="AX819" s="35">
        <f>(VLOOKUP(Tabla4[[#This Row],[SERVICIO 2025]],$J$2:$V$14,3,0)*Tabla4[[#This Row],[TOTAL COBERTURA]])</f>
        <v>2833446</v>
      </c>
      <c r="AY819" s="35">
        <f>(VLOOKUP(Tabla4[[#This Row],[SERVICIO 2025]],$J$2:$V$14,3,0)*Tabla4[[#This Row],[TOTAL COBERTURA]])</f>
        <v>2833446</v>
      </c>
      <c r="AZ819" s="35">
        <f>(VLOOKUP(Tabla4[[#This Row],[SERVICIO 2025]],$J$2:$V$14,3,0)*Tabla4[[#This Row],[TOTAL COBERTURA]])</f>
        <v>2833446</v>
      </c>
      <c r="BA819" s="35">
        <f>(VLOOKUP(Tabla4[[#This Row],[SERVICIO 2025]],$J$2:$V$14,3,0)*Tabla4[[#This Row],[TOTAL COBERTURA]])+Tabla4[[#This Row],[VALOR FASE PREPARATORIA DE CIERRE]]</f>
        <v>3284765</v>
      </c>
      <c r="BB819" s="35">
        <f>SUM(Tabla4[[#This Row],[DESEMBOLSO 1]:[DESEMBOLSO 8]])</f>
        <v>23982123</v>
      </c>
      <c r="BC819" s="35">
        <f>VLOOKUP(Tabla4[[#This Row],[SERVICIO 2025]],$J$2:$V$14,10,0)*Tabla4[[#This Row],[TOTAL COBERTURA]]*$W$3</f>
        <v>15873704</v>
      </c>
      <c r="BD819" s="47" t="s">
        <v>211</v>
      </c>
      <c r="BE819" s="12" t="b">
        <f>EXACT(Tabla4[[#This Row],[VALOR ATENCIÓN (8 MESES)]],Tabla4[[#This Row],[VALOR TOTAL]])</f>
        <v>1</v>
      </c>
      <c r="BF819" s="23">
        <f>Tabla4[[#This Row],[VALOR ATENCIÓN (8 MESES)]]-Tabla4[[#This Row],[VALOR TOTAL]]</f>
        <v>0</v>
      </c>
      <c r="BG819" s="12" t="b">
        <f>EXACT(Tabla4[[#This Row],[TOTAL DESEMBOLSOS]],Tabla4[[#This Row],[VALOR ATENCIÓN (8 MESES)]])</f>
        <v>1</v>
      </c>
      <c r="BH819" s="29">
        <f>Tabla4[[#This Row],[TOTAL DESEMBOLSOS]]-Tabla4[[#This Row],[VALOR ATENCIÓN (8 MESES)]]</f>
        <v>0</v>
      </c>
      <c r="BI819" t="s">
        <v>98</v>
      </c>
      <c r="BJ819">
        <v>1969</v>
      </c>
    </row>
    <row r="820" spans="1:62">
      <c r="A820" s="13">
        <v>1969</v>
      </c>
      <c r="B820" s="13" t="s">
        <v>1818</v>
      </c>
      <c r="C820" s="12" t="s">
        <v>87</v>
      </c>
      <c r="D820" s="12" t="s">
        <v>462</v>
      </c>
      <c r="E820" s="12" t="s">
        <v>1819</v>
      </c>
      <c r="F820" s="12" t="s">
        <v>18</v>
      </c>
      <c r="G820" s="12" t="s">
        <v>90</v>
      </c>
      <c r="H820" s="12" t="s">
        <v>1828</v>
      </c>
      <c r="I820" s="12">
        <v>54801119795</v>
      </c>
      <c r="J820" s="12" t="s">
        <v>1829</v>
      </c>
      <c r="K820" s="12">
        <v>1</v>
      </c>
      <c r="L820" s="12">
        <v>197</v>
      </c>
      <c r="M820" s="12"/>
      <c r="N820" s="13">
        <v>1969</v>
      </c>
      <c r="O820" s="12" t="s">
        <v>93</v>
      </c>
      <c r="P820" s="12"/>
      <c r="Q820" s="12"/>
      <c r="R820" s="12" t="s">
        <v>94</v>
      </c>
      <c r="S820" s="12">
        <v>10</v>
      </c>
      <c r="T820" s="12" t="s">
        <v>1822</v>
      </c>
      <c r="U820" s="12" t="s">
        <v>1823</v>
      </c>
      <c r="V820" s="12">
        <f>VLOOKUP(Tabla4[[#This Row],[ZONA DEFINITIVO]],Hoja1!$A$1:$D$121,3,0)</f>
        <v>229128</v>
      </c>
      <c r="W820" s="12">
        <f>VLOOKUP(Tabla4[[#This Row],[ZONA DEFINITIVO]],Hoja1!$A$1:$D$121,2,0)</f>
        <v>15206</v>
      </c>
      <c r="X820" s="12">
        <f>VLOOKUP(Tabla4[[#This Row],[ZONA DEFINITIVO]],Hoja1!$A$1:$D$121,4,0)</f>
        <v>92225</v>
      </c>
      <c r="Y820" s="12" t="str">
        <f>+IF(Tabla4[[#This Row],[AGRUPACIONES]]=1,SUMIFS(Tabla4[UDS],Tabla4[ZONA DEFINITIVO],Tabla4[[#This Row],[ZONA DEFINITIVO]])," ")</f>
        <v xml:space="preserve"> </v>
      </c>
      <c r="Z820" s="12" t="str">
        <f>+IF(Tabla4[[#This Row],[AGRUPACIONES]]=1,SUMIFS(Tabla4[TOTAL COBERTURA],Tabla4[ZONA DEFINITIVO],Tabla4[[#This Row],[ZONA DEFINITIVO]])," ")</f>
        <v xml:space="preserve"> </v>
      </c>
      <c r="AA820" s="12"/>
      <c r="AB820" s="38">
        <v>429498021</v>
      </c>
      <c r="AC820" s="37">
        <v>0.02</v>
      </c>
      <c r="AD820" s="38">
        <f t="shared" si="13"/>
        <v>8589960.4199999999</v>
      </c>
      <c r="AE820" s="12"/>
      <c r="AF820" s="12">
        <f>COUNTIF($A$20:A820,A820)</f>
        <v>4</v>
      </c>
      <c r="AG820" s="38">
        <v>429498021</v>
      </c>
      <c r="AH820" s="38">
        <f>Tabla4[[#This Row],[VALOR CONTRAPARTIDA]]+Tabla4[[#This Row],[TOTAL APORTES ICBF]]</f>
        <v>438087981.42000002</v>
      </c>
      <c r="AI820" s="35"/>
      <c r="AJ820" s="38"/>
      <c r="AK820" s="38"/>
      <c r="AL820" s="23"/>
      <c r="AM820" s="35">
        <f>VLOOKUP(Tabla4[[#This Row],[SERVICIO 2025]],$J$2:$V$14,5,0)*Tabla4[[#This Row],[TOTAL COBERTURA]]</f>
        <v>9727072</v>
      </c>
      <c r="AN820" s="35">
        <f>VLOOKUP(Tabla4[[#This Row],[SERVICIO 2025]],$J$2:$V$14,6,0)*Tabla4[[#This Row],[TOTAL COBERTURA]]</f>
        <v>8082713</v>
      </c>
      <c r="AO820" s="35">
        <f>VLOOKUP(Tabla4[[#This Row],[SERVICIO 2025]],$J$2:$V$14,8,0)*Tabla4[[#This Row],[TOTAL COBERTURA]]</f>
        <v>5732700</v>
      </c>
      <c r="AP820" s="35">
        <f>VLOOKUP(Tabla4[[#This Row],[SERVICIO 2025]],$J$2:$V$14,3,0)*Tabla4[[#This Row],[TOTAL COBERTURA]]*8</f>
        <v>405955536</v>
      </c>
      <c r="AQ820" s="35"/>
      <c r="AR820" s="35">
        <f>Tabla4[[#This Row],[VALOR FASE PREPARATORIA DE ALISTAMIENTO]]+Tabla4[[#This Row],[VALOR FASE PREPARATORIA DE CIERRE]]+Tabla4[[#This Row],[DOTACIÓN ÚNICA]]+Tabla4[[#This Row],[VALOR ATENCIÓN]]+Tabla4[[#This Row],[VALOR RACION PREPARADA]]</f>
        <v>429498021</v>
      </c>
      <c r="AS820" s="35" t="str">
        <f>+IF(Tabla4[[#This Row],[AGRUPACIONES]]=1,SUMIFS(Tabla4[VALOR TOTAL],Tabla4[ZONA DEFINITIVO],Tabla4[[#This Row],[ZONA DEFINITIVO]])," ")</f>
        <v xml:space="preserve"> </v>
      </c>
      <c r="AT820" s="27">
        <f>(VLOOKUP(Tabla4[[#This Row],[SERVICIO 2025]],$J$2:$V$14,3,0)*Tabla4[[#This Row],[TOTAL COBERTURA]])+Tabla4[[#This Row],[VALOR FASE PREPARATORIA DE ALISTAMIENTO]]+Tabla4[[#This Row],[DOTACIÓN ÚNICA]]</f>
        <v>66204214</v>
      </c>
      <c r="AU820" s="35">
        <f>(VLOOKUP(Tabla4[[#This Row],[SERVICIO 2025]],$J$2:$V$14,3,0)*Tabla4[[#This Row],[TOTAL COBERTURA]])</f>
        <v>50744442</v>
      </c>
      <c r="AV820" s="35">
        <f>(VLOOKUP(Tabla4[[#This Row],[SERVICIO 2025]],$J$2:$V$14,3,0)*Tabla4[[#This Row],[TOTAL COBERTURA]])</f>
        <v>50744442</v>
      </c>
      <c r="AW820" s="35">
        <f>(VLOOKUP(Tabla4[[#This Row],[SERVICIO 2025]],$J$2:$V$14,3,0)*Tabla4[[#This Row],[TOTAL COBERTURA]])</f>
        <v>50744442</v>
      </c>
      <c r="AX820" s="35">
        <f>(VLOOKUP(Tabla4[[#This Row],[SERVICIO 2025]],$J$2:$V$14,3,0)*Tabla4[[#This Row],[TOTAL COBERTURA]])</f>
        <v>50744442</v>
      </c>
      <c r="AY820" s="35">
        <f>(VLOOKUP(Tabla4[[#This Row],[SERVICIO 2025]],$J$2:$V$14,3,0)*Tabla4[[#This Row],[TOTAL COBERTURA]])</f>
        <v>50744442</v>
      </c>
      <c r="AZ820" s="35">
        <f>(VLOOKUP(Tabla4[[#This Row],[SERVICIO 2025]],$J$2:$V$14,3,0)*Tabla4[[#This Row],[TOTAL COBERTURA]])</f>
        <v>50744442</v>
      </c>
      <c r="BA820" s="35">
        <f>(VLOOKUP(Tabla4[[#This Row],[SERVICIO 2025]],$J$2:$V$14,3,0)*Tabla4[[#This Row],[TOTAL COBERTURA]])+Tabla4[[#This Row],[VALOR FASE PREPARATORIA DE CIERRE]]</f>
        <v>58827155</v>
      </c>
      <c r="BB820" s="35">
        <f>SUM(Tabla4[[#This Row],[DESEMBOLSO 1]:[DESEMBOLSO 8]])</f>
        <v>429498021</v>
      </c>
      <c r="BC820" s="35">
        <f>VLOOKUP(Tabla4[[#This Row],[SERVICIO 2025]],$J$2:$V$14,10,0)*Tabla4[[#This Row],[TOTAL COBERTURA]]*$W$3</f>
        <v>284283608</v>
      </c>
      <c r="BD820" s="47" t="s">
        <v>211</v>
      </c>
      <c r="BE820" s="12" t="b">
        <f>EXACT(Tabla4[[#This Row],[VALOR ATENCIÓN (8 MESES)]],Tabla4[[#This Row],[VALOR TOTAL]])</f>
        <v>1</v>
      </c>
      <c r="BF820" s="23">
        <f>Tabla4[[#This Row],[VALOR ATENCIÓN (8 MESES)]]-Tabla4[[#This Row],[VALOR TOTAL]]</f>
        <v>0</v>
      </c>
      <c r="BG820" s="12" t="b">
        <f>EXACT(Tabla4[[#This Row],[TOTAL DESEMBOLSOS]],Tabla4[[#This Row],[VALOR ATENCIÓN (8 MESES)]])</f>
        <v>1</v>
      </c>
      <c r="BH820" s="29">
        <f>Tabla4[[#This Row],[TOTAL DESEMBOLSOS]]-Tabla4[[#This Row],[VALOR ATENCIÓN (8 MESES)]]</f>
        <v>0</v>
      </c>
      <c r="BI820" t="s">
        <v>98</v>
      </c>
      <c r="BJ820">
        <v>1969</v>
      </c>
    </row>
    <row r="821" spans="1:62">
      <c r="A821" s="13">
        <v>1969</v>
      </c>
      <c r="B821" s="13" t="s">
        <v>1818</v>
      </c>
      <c r="C821" s="12" t="s">
        <v>87</v>
      </c>
      <c r="D821" s="12" t="s">
        <v>462</v>
      </c>
      <c r="E821" s="12" t="s">
        <v>1819</v>
      </c>
      <c r="F821" s="12" t="s">
        <v>18</v>
      </c>
      <c r="G821" s="12" t="s">
        <v>90</v>
      </c>
      <c r="H821" s="12" t="s">
        <v>1830</v>
      </c>
      <c r="I821" s="12">
        <v>54801135713</v>
      </c>
      <c r="J821" s="12" t="s">
        <v>1831</v>
      </c>
      <c r="K821" s="12">
        <v>1</v>
      </c>
      <c r="L821" s="12">
        <v>20</v>
      </c>
      <c r="M821" s="12"/>
      <c r="N821" s="13">
        <v>1969</v>
      </c>
      <c r="O821" s="12" t="s">
        <v>93</v>
      </c>
      <c r="P821" s="12"/>
      <c r="Q821" s="12"/>
      <c r="R821" s="12" t="s">
        <v>94</v>
      </c>
      <c r="S821" s="12">
        <v>10</v>
      </c>
      <c r="T821" s="12" t="s">
        <v>1822</v>
      </c>
      <c r="U821" s="12" t="s">
        <v>1823</v>
      </c>
      <c r="V821" s="12">
        <f>VLOOKUP(Tabla4[[#This Row],[ZONA DEFINITIVO]],Hoja1!$A$1:$D$121,3,0)</f>
        <v>229128</v>
      </c>
      <c r="W821" s="12">
        <f>VLOOKUP(Tabla4[[#This Row],[ZONA DEFINITIVO]],Hoja1!$A$1:$D$121,2,0)</f>
        <v>15206</v>
      </c>
      <c r="X821" s="12">
        <f>VLOOKUP(Tabla4[[#This Row],[ZONA DEFINITIVO]],Hoja1!$A$1:$D$121,4,0)</f>
        <v>92225</v>
      </c>
      <c r="Y821" s="12" t="str">
        <f>+IF(Tabla4[[#This Row],[AGRUPACIONES]]=1,SUMIFS(Tabla4[UDS],Tabla4[ZONA DEFINITIVO],Tabla4[[#This Row],[ZONA DEFINITIVO]])," ")</f>
        <v xml:space="preserve"> </v>
      </c>
      <c r="Z821" s="12" t="str">
        <f>+IF(Tabla4[[#This Row],[AGRUPACIONES]]=1,SUMIFS(Tabla4[TOTAL COBERTURA],Tabla4[ZONA DEFINITIVO],Tabla4[[#This Row],[ZONA DEFINITIVO]])," ")</f>
        <v xml:space="preserve"> </v>
      </c>
      <c r="AA821" s="12"/>
      <c r="AB821" s="38">
        <v>43603860</v>
      </c>
      <c r="AC821" s="37">
        <v>0.02</v>
      </c>
      <c r="AD821" s="38">
        <f t="shared" si="13"/>
        <v>872077.20000000007</v>
      </c>
      <c r="AE821" s="12"/>
      <c r="AF821" s="12">
        <f>COUNTIF($A$20:A821,A821)</f>
        <v>5</v>
      </c>
      <c r="AG821" s="38">
        <v>43603860</v>
      </c>
      <c r="AH821" s="38">
        <f>Tabla4[[#This Row],[VALOR CONTRAPARTIDA]]+Tabla4[[#This Row],[TOTAL APORTES ICBF]]</f>
        <v>44475937.200000003</v>
      </c>
      <c r="AI821" s="35"/>
      <c r="AJ821" s="38"/>
      <c r="AK821" s="38"/>
      <c r="AL821" s="23"/>
      <c r="AM821" s="35">
        <f>VLOOKUP(Tabla4[[#This Row],[SERVICIO 2025]],$J$2:$V$14,5,0)*Tabla4[[#This Row],[TOTAL COBERTURA]]</f>
        <v>987520</v>
      </c>
      <c r="AN821" s="35">
        <f>VLOOKUP(Tabla4[[#This Row],[SERVICIO 2025]],$J$2:$V$14,6,0)*Tabla4[[#This Row],[TOTAL COBERTURA]]</f>
        <v>820580</v>
      </c>
      <c r="AO821" s="35">
        <f>VLOOKUP(Tabla4[[#This Row],[SERVICIO 2025]],$J$2:$V$14,8,0)*Tabla4[[#This Row],[TOTAL COBERTURA]]</f>
        <v>582000</v>
      </c>
      <c r="AP821" s="35">
        <f>VLOOKUP(Tabla4[[#This Row],[SERVICIO 2025]],$J$2:$V$14,3,0)*Tabla4[[#This Row],[TOTAL COBERTURA]]*8</f>
        <v>41213760</v>
      </c>
      <c r="AQ821" s="35"/>
      <c r="AR821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821" s="35" t="str">
        <f>+IF(Tabla4[[#This Row],[AGRUPACIONES]]=1,SUMIFS(Tabla4[VALOR TOTAL],Tabla4[ZONA DEFINITIVO],Tabla4[[#This Row],[ZONA DEFINITIVO]])," ")</f>
        <v xml:space="preserve"> </v>
      </c>
      <c r="AT821" s="27">
        <f>(VLOOKUP(Tabla4[[#This Row],[SERVICIO 2025]],$J$2:$V$14,3,0)*Tabla4[[#This Row],[TOTAL COBERTURA]])+Tabla4[[#This Row],[VALOR FASE PREPARATORIA DE ALISTAMIENTO]]+Tabla4[[#This Row],[DOTACIÓN ÚNICA]]</f>
        <v>6721240</v>
      </c>
      <c r="AU821" s="35">
        <f>(VLOOKUP(Tabla4[[#This Row],[SERVICIO 2025]],$J$2:$V$14,3,0)*Tabla4[[#This Row],[TOTAL COBERTURA]])</f>
        <v>5151720</v>
      </c>
      <c r="AV821" s="35">
        <f>(VLOOKUP(Tabla4[[#This Row],[SERVICIO 2025]],$J$2:$V$14,3,0)*Tabla4[[#This Row],[TOTAL COBERTURA]])</f>
        <v>5151720</v>
      </c>
      <c r="AW821" s="35">
        <f>(VLOOKUP(Tabla4[[#This Row],[SERVICIO 2025]],$J$2:$V$14,3,0)*Tabla4[[#This Row],[TOTAL COBERTURA]])</f>
        <v>5151720</v>
      </c>
      <c r="AX821" s="35">
        <f>(VLOOKUP(Tabla4[[#This Row],[SERVICIO 2025]],$J$2:$V$14,3,0)*Tabla4[[#This Row],[TOTAL COBERTURA]])</f>
        <v>5151720</v>
      </c>
      <c r="AY821" s="35">
        <f>(VLOOKUP(Tabla4[[#This Row],[SERVICIO 2025]],$J$2:$V$14,3,0)*Tabla4[[#This Row],[TOTAL COBERTURA]])</f>
        <v>5151720</v>
      </c>
      <c r="AZ821" s="35">
        <f>(VLOOKUP(Tabla4[[#This Row],[SERVICIO 2025]],$J$2:$V$14,3,0)*Tabla4[[#This Row],[TOTAL COBERTURA]])</f>
        <v>5151720</v>
      </c>
      <c r="BA821" s="35">
        <f>(VLOOKUP(Tabla4[[#This Row],[SERVICIO 2025]],$J$2:$V$14,3,0)*Tabla4[[#This Row],[TOTAL COBERTURA]])+Tabla4[[#This Row],[VALOR FASE PREPARATORIA DE CIERRE]]</f>
        <v>5972300</v>
      </c>
      <c r="BB821" s="35">
        <f>SUM(Tabla4[[#This Row],[DESEMBOLSO 1]:[DESEMBOLSO 8]])</f>
        <v>43603860</v>
      </c>
      <c r="BC821" s="35">
        <f>VLOOKUP(Tabla4[[#This Row],[SERVICIO 2025]],$J$2:$V$14,10,0)*Tabla4[[#This Row],[TOTAL COBERTURA]]*$W$3</f>
        <v>28861280</v>
      </c>
      <c r="BD821" s="47" t="s">
        <v>211</v>
      </c>
      <c r="BE821" s="12" t="b">
        <f>EXACT(Tabla4[[#This Row],[VALOR ATENCIÓN (8 MESES)]],Tabla4[[#This Row],[VALOR TOTAL]])</f>
        <v>1</v>
      </c>
      <c r="BF821" s="23">
        <f>Tabla4[[#This Row],[VALOR ATENCIÓN (8 MESES)]]-Tabla4[[#This Row],[VALOR TOTAL]]</f>
        <v>0</v>
      </c>
      <c r="BG821" s="12" t="b">
        <f>EXACT(Tabla4[[#This Row],[TOTAL DESEMBOLSOS]],Tabla4[[#This Row],[VALOR ATENCIÓN (8 MESES)]])</f>
        <v>1</v>
      </c>
      <c r="BH821" s="29">
        <f>Tabla4[[#This Row],[TOTAL DESEMBOLSOS]]-Tabla4[[#This Row],[VALOR ATENCIÓN (8 MESES)]]</f>
        <v>0</v>
      </c>
      <c r="BI821" t="s">
        <v>98</v>
      </c>
      <c r="BJ821">
        <v>1969</v>
      </c>
    </row>
    <row r="822" spans="1:62">
      <c r="A822" s="13">
        <v>1969</v>
      </c>
      <c r="B822" s="13" t="s">
        <v>1818</v>
      </c>
      <c r="C822" s="12" t="s">
        <v>87</v>
      </c>
      <c r="D822" s="12" t="s">
        <v>462</v>
      </c>
      <c r="E822" s="12" t="s">
        <v>1819</v>
      </c>
      <c r="F822" s="12" t="s">
        <v>18</v>
      </c>
      <c r="G822" s="12" t="s">
        <v>90</v>
      </c>
      <c r="H822" s="12" t="s">
        <v>1832</v>
      </c>
      <c r="I822" s="12">
        <v>54801135750</v>
      </c>
      <c r="J822" s="12" t="s">
        <v>1833</v>
      </c>
      <c r="K822" s="12">
        <v>1</v>
      </c>
      <c r="L822" s="12">
        <v>13</v>
      </c>
      <c r="M822" s="12"/>
      <c r="N822" s="13">
        <v>1969</v>
      </c>
      <c r="O822" s="12" t="s">
        <v>93</v>
      </c>
      <c r="P822" s="12"/>
      <c r="Q822" s="12"/>
      <c r="R822" s="12" t="s">
        <v>94</v>
      </c>
      <c r="S822" s="12">
        <v>10</v>
      </c>
      <c r="T822" s="12" t="s">
        <v>1822</v>
      </c>
      <c r="U822" s="12" t="s">
        <v>1823</v>
      </c>
      <c r="V822" s="12">
        <f>VLOOKUP(Tabla4[[#This Row],[ZONA DEFINITIVO]],Hoja1!$A$1:$D$121,3,0)</f>
        <v>229128</v>
      </c>
      <c r="W822" s="12">
        <f>VLOOKUP(Tabla4[[#This Row],[ZONA DEFINITIVO]],Hoja1!$A$1:$D$121,2,0)</f>
        <v>15206</v>
      </c>
      <c r="X822" s="12">
        <f>VLOOKUP(Tabla4[[#This Row],[ZONA DEFINITIVO]],Hoja1!$A$1:$D$121,4,0)</f>
        <v>92225</v>
      </c>
      <c r="Y822" s="12" t="str">
        <f>+IF(Tabla4[[#This Row],[AGRUPACIONES]]=1,SUMIFS(Tabla4[UDS],Tabla4[ZONA DEFINITIVO],Tabla4[[#This Row],[ZONA DEFINITIVO]])," ")</f>
        <v xml:space="preserve"> </v>
      </c>
      <c r="Z822" s="12" t="str">
        <f>+IF(Tabla4[[#This Row],[AGRUPACIONES]]=1,SUMIFS(Tabla4[TOTAL COBERTURA],Tabla4[ZONA DEFINITIVO],Tabla4[[#This Row],[ZONA DEFINITIVO]])," ")</f>
        <v xml:space="preserve"> </v>
      </c>
      <c r="AA822" s="12"/>
      <c r="AB822" s="38">
        <v>28342509</v>
      </c>
      <c r="AC822" s="37">
        <v>0.02</v>
      </c>
      <c r="AD822" s="38">
        <f t="shared" si="13"/>
        <v>566850.18000000005</v>
      </c>
      <c r="AE822" s="12"/>
      <c r="AF822" s="12">
        <f>COUNTIF($A$20:A822,A822)</f>
        <v>6</v>
      </c>
      <c r="AG822" s="38">
        <v>28342509</v>
      </c>
      <c r="AH822" s="38">
        <f>Tabla4[[#This Row],[VALOR CONTRAPARTIDA]]+Tabla4[[#This Row],[TOTAL APORTES ICBF]]</f>
        <v>28909359.18</v>
      </c>
      <c r="AI822" s="35"/>
      <c r="AJ822" s="38"/>
      <c r="AK822" s="38"/>
      <c r="AL822" s="23"/>
      <c r="AM822" s="35">
        <f>VLOOKUP(Tabla4[[#This Row],[SERVICIO 2025]],$J$2:$V$14,5,0)*Tabla4[[#This Row],[TOTAL COBERTURA]]</f>
        <v>641888</v>
      </c>
      <c r="AN822" s="35">
        <f>VLOOKUP(Tabla4[[#This Row],[SERVICIO 2025]],$J$2:$V$14,6,0)*Tabla4[[#This Row],[TOTAL COBERTURA]]</f>
        <v>533377</v>
      </c>
      <c r="AO822" s="35">
        <f>VLOOKUP(Tabla4[[#This Row],[SERVICIO 2025]],$J$2:$V$14,8,0)*Tabla4[[#This Row],[TOTAL COBERTURA]]</f>
        <v>378300</v>
      </c>
      <c r="AP822" s="35">
        <f>VLOOKUP(Tabla4[[#This Row],[SERVICIO 2025]],$J$2:$V$14,3,0)*Tabla4[[#This Row],[TOTAL COBERTURA]]*8</f>
        <v>26788944</v>
      </c>
      <c r="AQ822" s="35"/>
      <c r="AR822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822" s="35" t="str">
        <f>+IF(Tabla4[[#This Row],[AGRUPACIONES]]=1,SUMIFS(Tabla4[VALOR TOTAL],Tabla4[ZONA DEFINITIVO],Tabla4[[#This Row],[ZONA DEFINITIVO]])," ")</f>
        <v xml:space="preserve"> </v>
      </c>
      <c r="AT822" s="27">
        <f>(VLOOKUP(Tabla4[[#This Row],[SERVICIO 2025]],$J$2:$V$14,3,0)*Tabla4[[#This Row],[TOTAL COBERTURA]])+Tabla4[[#This Row],[VALOR FASE PREPARATORIA DE ALISTAMIENTO]]+Tabla4[[#This Row],[DOTACIÓN ÚNICA]]</f>
        <v>4368806</v>
      </c>
      <c r="AU822" s="35">
        <f>(VLOOKUP(Tabla4[[#This Row],[SERVICIO 2025]],$J$2:$V$14,3,0)*Tabla4[[#This Row],[TOTAL COBERTURA]])</f>
        <v>3348618</v>
      </c>
      <c r="AV822" s="35">
        <f>(VLOOKUP(Tabla4[[#This Row],[SERVICIO 2025]],$J$2:$V$14,3,0)*Tabla4[[#This Row],[TOTAL COBERTURA]])</f>
        <v>3348618</v>
      </c>
      <c r="AW822" s="35">
        <f>(VLOOKUP(Tabla4[[#This Row],[SERVICIO 2025]],$J$2:$V$14,3,0)*Tabla4[[#This Row],[TOTAL COBERTURA]])</f>
        <v>3348618</v>
      </c>
      <c r="AX822" s="35">
        <f>(VLOOKUP(Tabla4[[#This Row],[SERVICIO 2025]],$J$2:$V$14,3,0)*Tabla4[[#This Row],[TOTAL COBERTURA]])</f>
        <v>3348618</v>
      </c>
      <c r="AY822" s="35">
        <f>(VLOOKUP(Tabla4[[#This Row],[SERVICIO 2025]],$J$2:$V$14,3,0)*Tabla4[[#This Row],[TOTAL COBERTURA]])</f>
        <v>3348618</v>
      </c>
      <c r="AZ822" s="35">
        <f>(VLOOKUP(Tabla4[[#This Row],[SERVICIO 2025]],$J$2:$V$14,3,0)*Tabla4[[#This Row],[TOTAL COBERTURA]])</f>
        <v>3348618</v>
      </c>
      <c r="BA822" s="35">
        <f>(VLOOKUP(Tabla4[[#This Row],[SERVICIO 2025]],$J$2:$V$14,3,0)*Tabla4[[#This Row],[TOTAL COBERTURA]])+Tabla4[[#This Row],[VALOR FASE PREPARATORIA DE CIERRE]]</f>
        <v>3881995</v>
      </c>
      <c r="BB822" s="35">
        <f>SUM(Tabla4[[#This Row],[DESEMBOLSO 1]:[DESEMBOLSO 8]])</f>
        <v>28342509</v>
      </c>
      <c r="BC822" s="35">
        <f>VLOOKUP(Tabla4[[#This Row],[SERVICIO 2025]],$J$2:$V$14,10,0)*Tabla4[[#This Row],[TOTAL COBERTURA]]*$W$3</f>
        <v>18759832</v>
      </c>
      <c r="BD822" s="47" t="s">
        <v>211</v>
      </c>
      <c r="BE822" s="12" t="b">
        <f>EXACT(Tabla4[[#This Row],[VALOR ATENCIÓN (8 MESES)]],Tabla4[[#This Row],[VALOR TOTAL]])</f>
        <v>1</v>
      </c>
      <c r="BF822" s="23">
        <f>Tabla4[[#This Row],[VALOR ATENCIÓN (8 MESES)]]-Tabla4[[#This Row],[VALOR TOTAL]]</f>
        <v>0</v>
      </c>
      <c r="BG822" s="12" t="b">
        <f>EXACT(Tabla4[[#This Row],[TOTAL DESEMBOLSOS]],Tabla4[[#This Row],[VALOR ATENCIÓN (8 MESES)]])</f>
        <v>1</v>
      </c>
      <c r="BH822" s="29">
        <f>Tabla4[[#This Row],[TOTAL DESEMBOLSOS]]-Tabla4[[#This Row],[VALOR ATENCIÓN (8 MESES)]]</f>
        <v>0</v>
      </c>
      <c r="BI822" t="s">
        <v>98</v>
      </c>
      <c r="BJ822">
        <v>1969</v>
      </c>
    </row>
    <row r="823" spans="1:62">
      <c r="A823" s="13">
        <v>1969</v>
      </c>
      <c r="B823" s="13" t="s">
        <v>1818</v>
      </c>
      <c r="C823" s="12" t="s">
        <v>87</v>
      </c>
      <c r="D823" s="12" t="s">
        <v>462</v>
      </c>
      <c r="E823" s="12" t="s">
        <v>1819</v>
      </c>
      <c r="F823" s="12" t="s">
        <v>19</v>
      </c>
      <c r="G823" s="12" t="s">
        <v>90</v>
      </c>
      <c r="H823" s="12" t="s">
        <v>1834</v>
      </c>
      <c r="I823" s="12">
        <v>54801135799</v>
      </c>
      <c r="J823" s="12" t="s">
        <v>1835</v>
      </c>
      <c r="K823" s="12">
        <v>1</v>
      </c>
      <c r="L823" s="12">
        <v>159</v>
      </c>
      <c r="M823" s="12"/>
      <c r="N823" s="13">
        <v>1969</v>
      </c>
      <c r="O823" s="12" t="s">
        <v>93</v>
      </c>
      <c r="P823" s="12"/>
      <c r="Q823" s="12"/>
      <c r="R823" s="12" t="s">
        <v>94</v>
      </c>
      <c r="S823" s="12">
        <v>10</v>
      </c>
      <c r="T823" s="12" t="s">
        <v>1822</v>
      </c>
      <c r="U823" s="12" t="s">
        <v>1823</v>
      </c>
      <c r="V823" s="12">
        <f>VLOOKUP(Tabla4[[#This Row],[ZONA DEFINITIVO]],Hoja1!$A$1:$D$121,3,0)</f>
        <v>229128</v>
      </c>
      <c r="W823" s="12">
        <f>VLOOKUP(Tabla4[[#This Row],[ZONA DEFINITIVO]],Hoja1!$A$1:$D$121,2,0)</f>
        <v>15206</v>
      </c>
      <c r="X823" s="12">
        <f>VLOOKUP(Tabla4[[#This Row],[ZONA DEFINITIVO]],Hoja1!$A$1:$D$121,4,0)</f>
        <v>92225</v>
      </c>
      <c r="Y823" s="12" t="str">
        <f>+IF(Tabla4[[#This Row],[AGRUPACIONES]]=1,SUMIFS(Tabla4[UDS],Tabla4[ZONA DEFINITIVO],Tabla4[[#This Row],[ZONA DEFINITIVO]])," ")</f>
        <v xml:space="preserve"> </v>
      </c>
      <c r="Z823" s="12" t="str">
        <f>+IF(Tabla4[[#This Row],[AGRUPACIONES]]=1,SUMIFS(Tabla4[TOTAL COBERTURA],Tabla4[ZONA DEFINITIVO],Tabla4[[#This Row],[ZONA DEFINITIVO]])," ")</f>
        <v xml:space="preserve"> </v>
      </c>
      <c r="AA823" s="12"/>
      <c r="AB823" s="38">
        <v>357933009</v>
      </c>
      <c r="AC823" s="37">
        <v>0.02</v>
      </c>
      <c r="AD823" s="38">
        <f t="shared" si="13"/>
        <v>7158660.1799999997</v>
      </c>
      <c r="AE823" s="12"/>
      <c r="AF823" s="12">
        <f>COUNTIF($A$20:A823,A823)</f>
        <v>7</v>
      </c>
      <c r="AG823" s="38">
        <v>357933009</v>
      </c>
      <c r="AH823" s="38">
        <f>Tabla4[[#This Row],[VALOR CONTRAPARTIDA]]+Tabla4[[#This Row],[TOTAL APORTES ICBF]]</f>
        <v>365091669.18000001</v>
      </c>
      <c r="AI823" s="35"/>
      <c r="AJ823" s="38"/>
      <c r="AK823" s="38"/>
      <c r="AL823" s="23"/>
      <c r="AM823" s="35">
        <f>VLOOKUP(Tabla4[[#This Row],[SERVICIO 2025]],$J$2:$V$14,5,0)*Tabla4[[#This Row],[TOTAL COBERTURA]]</f>
        <v>8182617</v>
      </c>
      <c r="AN823" s="35">
        <f>VLOOKUP(Tabla4[[#This Row],[SERVICIO 2025]],$J$2:$V$14,6,0)*Tabla4[[#This Row],[TOTAL COBERTURA]]</f>
        <v>6855444</v>
      </c>
      <c r="AO823" s="35">
        <f>VLOOKUP(Tabla4[[#This Row],[SERVICIO 2025]],$J$2:$V$14,8,0)*Tabla4[[#This Row],[TOTAL COBERTURA]]</f>
        <v>4626900</v>
      </c>
      <c r="AP823" s="35">
        <f>VLOOKUP(Tabla4[[#This Row],[SERVICIO 2025]],$J$2:$V$14,3,0)*Tabla4[[#This Row],[TOTAL COBERTURA]]*8</f>
        <v>338268048</v>
      </c>
      <c r="AQ823" s="35"/>
      <c r="AR823" s="35">
        <f>Tabla4[[#This Row],[VALOR FASE PREPARATORIA DE ALISTAMIENTO]]+Tabla4[[#This Row],[VALOR FASE PREPARATORIA DE CIERRE]]+Tabla4[[#This Row],[DOTACIÓN ÚNICA]]+Tabla4[[#This Row],[VALOR ATENCIÓN]]+Tabla4[[#This Row],[VALOR RACION PREPARADA]]</f>
        <v>357933009</v>
      </c>
      <c r="AS823" s="35" t="str">
        <f>+IF(Tabla4[[#This Row],[AGRUPACIONES]]=1,SUMIFS(Tabla4[VALOR TOTAL],Tabla4[ZONA DEFINITIVO],Tabla4[[#This Row],[ZONA DEFINITIVO]])," ")</f>
        <v xml:space="preserve"> </v>
      </c>
      <c r="AT823" s="27">
        <f>(VLOOKUP(Tabla4[[#This Row],[SERVICIO 2025]],$J$2:$V$14,3,0)*Tabla4[[#This Row],[TOTAL COBERTURA]])+Tabla4[[#This Row],[VALOR FASE PREPARATORIA DE ALISTAMIENTO]]+Tabla4[[#This Row],[DOTACIÓN ÚNICA]]</f>
        <v>55093023</v>
      </c>
      <c r="AU823" s="35">
        <f>(VLOOKUP(Tabla4[[#This Row],[SERVICIO 2025]],$J$2:$V$14,3,0)*Tabla4[[#This Row],[TOTAL COBERTURA]])</f>
        <v>42283506</v>
      </c>
      <c r="AV823" s="35">
        <f>(VLOOKUP(Tabla4[[#This Row],[SERVICIO 2025]],$J$2:$V$14,3,0)*Tabla4[[#This Row],[TOTAL COBERTURA]])</f>
        <v>42283506</v>
      </c>
      <c r="AW823" s="35">
        <f>(VLOOKUP(Tabla4[[#This Row],[SERVICIO 2025]],$J$2:$V$14,3,0)*Tabla4[[#This Row],[TOTAL COBERTURA]])</f>
        <v>42283506</v>
      </c>
      <c r="AX823" s="35">
        <f>(VLOOKUP(Tabla4[[#This Row],[SERVICIO 2025]],$J$2:$V$14,3,0)*Tabla4[[#This Row],[TOTAL COBERTURA]])</f>
        <v>42283506</v>
      </c>
      <c r="AY823" s="35">
        <f>(VLOOKUP(Tabla4[[#This Row],[SERVICIO 2025]],$J$2:$V$14,3,0)*Tabla4[[#This Row],[TOTAL COBERTURA]])</f>
        <v>42283506</v>
      </c>
      <c r="AZ823" s="35">
        <f>(VLOOKUP(Tabla4[[#This Row],[SERVICIO 2025]],$J$2:$V$14,3,0)*Tabla4[[#This Row],[TOTAL COBERTURA]])</f>
        <v>42283506</v>
      </c>
      <c r="BA823" s="35">
        <f>(VLOOKUP(Tabla4[[#This Row],[SERVICIO 2025]],$J$2:$V$14,3,0)*Tabla4[[#This Row],[TOTAL COBERTURA]])+Tabla4[[#This Row],[VALOR FASE PREPARATORIA DE CIERRE]]</f>
        <v>49138950</v>
      </c>
      <c r="BB823" s="35">
        <f>SUM(Tabla4[[#This Row],[DESEMBOLSO 1]:[DESEMBOLSO 8]])</f>
        <v>357933009</v>
      </c>
      <c r="BC823" s="35">
        <f>VLOOKUP(Tabla4[[#This Row],[SERVICIO 2025]],$J$2:$V$14,10,0)*Tabla4[[#This Row],[TOTAL COBERTURA]]*$W$3</f>
        <v>229447176</v>
      </c>
      <c r="BD823" s="47" t="s">
        <v>211</v>
      </c>
      <c r="BE823" s="12" t="b">
        <f>EXACT(Tabla4[[#This Row],[VALOR ATENCIÓN (8 MESES)]],Tabla4[[#This Row],[VALOR TOTAL]])</f>
        <v>1</v>
      </c>
      <c r="BF823" s="23">
        <f>Tabla4[[#This Row],[VALOR ATENCIÓN (8 MESES)]]-Tabla4[[#This Row],[VALOR TOTAL]]</f>
        <v>0</v>
      </c>
      <c r="BG823" s="12" t="b">
        <f>EXACT(Tabla4[[#This Row],[TOTAL DESEMBOLSOS]],Tabla4[[#This Row],[VALOR ATENCIÓN (8 MESES)]])</f>
        <v>1</v>
      </c>
      <c r="BH823" s="29">
        <f>Tabla4[[#This Row],[TOTAL DESEMBOLSOS]]-Tabla4[[#This Row],[VALOR ATENCIÓN (8 MESES)]]</f>
        <v>0</v>
      </c>
      <c r="BI823" t="s">
        <v>98</v>
      </c>
      <c r="BJ823">
        <v>1969</v>
      </c>
    </row>
    <row r="824" spans="1:62">
      <c r="A824" s="13">
        <v>1969</v>
      </c>
      <c r="B824" s="13" t="s">
        <v>1818</v>
      </c>
      <c r="C824" s="12" t="s">
        <v>87</v>
      </c>
      <c r="D824" s="12" t="s">
        <v>462</v>
      </c>
      <c r="E824" s="12" t="s">
        <v>1819</v>
      </c>
      <c r="F824" s="12" t="s">
        <v>18</v>
      </c>
      <c r="G824" s="12" t="s">
        <v>90</v>
      </c>
      <c r="H824" s="12" t="s">
        <v>1836</v>
      </c>
      <c r="I824" s="12">
        <v>54801135832</v>
      </c>
      <c r="J824" s="12" t="s">
        <v>1837</v>
      </c>
      <c r="K824" s="12">
        <v>1</v>
      </c>
      <c r="L824" s="12">
        <v>141</v>
      </c>
      <c r="M824" s="12"/>
      <c r="N824" s="13">
        <v>1969</v>
      </c>
      <c r="O824" s="12" t="s">
        <v>93</v>
      </c>
      <c r="P824" s="12"/>
      <c r="Q824" s="12"/>
      <c r="R824" s="12" t="s">
        <v>94</v>
      </c>
      <c r="S824" s="12">
        <v>10</v>
      </c>
      <c r="T824" s="12" t="s">
        <v>1822</v>
      </c>
      <c r="U824" s="12" t="s">
        <v>1823</v>
      </c>
      <c r="V824" s="12">
        <f>VLOOKUP(Tabla4[[#This Row],[ZONA DEFINITIVO]],Hoja1!$A$1:$D$121,3,0)</f>
        <v>229128</v>
      </c>
      <c r="W824" s="12">
        <f>VLOOKUP(Tabla4[[#This Row],[ZONA DEFINITIVO]],Hoja1!$A$1:$D$121,2,0)</f>
        <v>15206</v>
      </c>
      <c r="X824" s="12">
        <f>VLOOKUP(Tabla4[[#This Row],[ZONA DEFINITIVO]],Hoja1!$A$1:$D$121,4,0)</f>
        <v>92225</v>
      </c>
      <c r="Y824" s="12" t="str">
        <f>+IF(Tabla4[[#This Row],[AGRUPACIONES]]=1,SUMIFS(Tabla4[UDS],Tabla4[ZONA DEFINITIVO],Tabla4[[#This Row],[ZONA DEFINITIVO]])," ")</f>
        <v xml:space="preserve"> </v>
      </c>
      <c r="Z824" s="12" t="str">
        <f>+IF(Tabla4[[#This Row],[AGRUPACIONES]]=1,SUMIFS(Tabla4[TOTAL COBERTURA],Tabla4[ZONA DEFINITIVO],Tabla4[[#This Row],[ZONA DEFINITIVO]])," ")</f>
        <v xml:space="preserve"> </v>
      </c>
      <c r="AA824" s="12"/>
      <c r="AB824" s="38">
        <v>307407213</v>
      </c>
      <c r="AC824" s="37">
        <v>0.02</v>
      </c>
      <c r="AD824" s="38">
        <f t="shared" si="13"/>
        <v>6148144.2599999998</v>
      </c>
      <c r="AE824" s="12"/>
      <c r="AF824" s="12">
        <f>COUNTIF($A$20:A824,A824)</f>
        <v>8</v>
      </c>
      <c r="AG824" s="38">
        <v>307407213</v>
      </c>
      <c r="AH824" s="38">
        <f>Tabla4[[#This Row],[VALOR CONTRAPARTIDA]]+Tabla4[[#This Row],[TOTAL APORTES ICBF]]</f>
        <v>313555357.25999999</v>
      </c>
      <c r="AI824" s="35"/>
      <c r="AJ824" s="38"/>
      <c r="AK824" s="38"/>
      <c r="AL824" s="23"/>
      <c r="AM824" s="35">
        <f>VLOOKUP(Tabla4[[#This Row],[SERVICIO 2025]],$J$2:$V$14,5,0)*Tabla4[[#This Row],[TOTAL COBERTURA]]</f>
        <v>6962016</v>
      </c>
      <c r="AN824" s="35">
        <f>VLOOKUP(Tabla4[[#This Row],[SERVICIO 2025]],$J$2:$V$14,6,0)*Tabla4[[#This Row],[TOTAL COBERTURA]]</f>
        <v>5785089</v>
      </c>
      <c r="AO824" s="35">
        <f>VLOOKUP(Tabla4[[#This Row],[SERVICIO 2025]],$J$2:$V$14,8,0)*Tabla4[[#This Row],[TOTAL COBERTURA]]</f>
        <v>4103100</v>
      </c>
      <c r="AP824" s="35">
        <f>VLOOKUP(Tabla4[[#This Row],[SERVICIO 2025]],$J$2:$V$14,3,0)*Tabla4[[#This Row],[TOTAL COBERTURA]]*8</f>
        <v>290557008</v>
      </c>
      <c r="AQ824" s="35"/>
      <c r="AR824" s="35">
        <f>Tabla4[[#This Row],[VALOR FASE PREPARATORIA DE ALISTAMIENTO]]+Tabla4[[#This Row],[VALOR FASE PREPARATORIA DE CIERRE]]+Tabla4[[#This Row],[DOTACIÓN ÚNICA]]+Tabla4[[#This Row],[VALOR ATENCIÓN]]+Tabla4[[#This Row],[VALOR RACION PREPARADA]]</f>
        <v>307407213</v>
      </c>
      <c r="AS824" s="35" t="str">
        <f>+IF(Tabla4[[#This Row],[AGRUPACIONES]]=1,SUMIFS(Tabla4[VALOR TOTAL],Tabla4[ZONA DEFINITIVO],Tabla4[[#This Row],[ZONA DEFINITIVO]])," ")</f>
        <v xml:space="preserve"> </v>
      </c>
      <c r="AT824" s="27">
        <f>(VLOOKUP(Tabla4[[#This Row],[SERVICIO 2025]],$J$2:$V$14,3,0)*Tabla4[[#This Row],[TOTAL COBERTURA]])+Tabla4[[#This Row],[VALOR FASE PREPARATORIA DE ALISTAMIENTO]]+Tabla4[[#This Row],[DOTACIÓN ÚNICA]]</f>
        <v>47384742</v>
      </c>
      <c r="AU824" s="35">
        <f>(VLOOKUP(Tabla4[[#This Row],[SERVICIO 2025]],$J$2:$V$14,3,0)*Tabla4[[#This Row],[TOTAL COBERTURA]])</f>
        <v>36319626</v>
      </c>
      <c r="AV824" s="35">
        <f>(VLOOKUP(Tabla4[[#This Row],[SERVICIO 2025]],$J$2:$V$14,3,0)*Tabla4[[#This Row],[TOTAL COBERTURA]])</f>
        <v>36319626</v>
      </c>
      <c r="AW824" s="35">
        <f>(VLOOKUP(Tabla4[[#This Row],[SERVICIO 2025]],$J$2:$V$14,3,0)*Tabla4[[#This Row],[TOTAL COBERTURA]])</f>
        <v>36319626</v>
      </c>
      <c r="AX824" s="35">
        <f>(VLOOKUP(Tabla4[[#This Row],[SERVICIO 2025]],$J$2:$V$14,3,0)*Tabla4[[#This Row],[TOTAL COBERTURA]])</f>
        <v>36319626</v>
      </c>
      <c r="AY824" s="35">
        <f>(VLOOKUP(Tabla4[[#This Row],[SERVICIO 2025]],$J$2:$V$14,3,0)*Tabla4[[#This Row],[TOTAL COBERTURA]])</f>
        <v>36319626</v>
      </c>
      <c r="AZ824" s="35">
        <f>(VLOOKUP(Tabla4[[#This Row],[SERVICIO 2025]],$J$2:$V$14,3,0)*Tabla4[[#This Row],[TOTAL COBERTURA]])</f>
        <v>36319626</v>
      </c>
      <c r="BA824" s="35">
        <f>(VLOOKUP(Tabla4[[#This Row],[SERVICIO 2025]],$J$2:$V$14,3,0)*Tabla4[[#This Row],[TOTAL COBERTURA]])+Tabla4[[#This Row],[VALOR FASE PREPARATORIA DE CIERRE]]</f>
        <v>42104715</v>
      </c>
      <c r="BB824" s="35">
        <f>SUM(Tabla4[[#This Row],[DESEMBOLSO 1]:[DESEMBOLSO 8]])</f>
        <v>307407213</v>
      </c>
      <c r="BC824" s="35">
        <f>VLOOKUP(Tabla4[[#This Row],[SERVICIO 2025]],$J$2:$V$14,10,0)*Tabla4[[#This Row],[TOTAL COBERTURA]]*$W$3</f>
        <v>203472024</v>
      </c>
      <c r="BD824" s="47" t="s">
        <v>211</v>
      </c>
      <c r="BE824" s="12" t="b">
        <f>EXACT(Tabla4[[#This Row],[VALOR ATENCIÓN (8 MESES)]],Tabla4[[#This Row],[VALOR TOTAL]])</f>
        <v>1</v>
      </c>
      <c r="BF824" s="23">
        <f>Tabla4[[#This Row],[VALOR ATENCIÓN (8 MESES)]]-Tabla4[[#This Row],[VALOR TOTAL]]</f>
        <v>0</v>
      </c>
      <c r="BG824" s="12" t="b">
        <f>EXACT(Tabla4[[#This Row],[TOTAL DESEMBOLSOS]],Tabla4[[#This Row],[VALOR ATENCIÓN (8 MESES)]])</f>
        <v>1</v>
      </c>
      <c r="BH824" s="29">
        <f>Tabla4[[#This Row],[TOTAL DESEMBOLSOS]]-Tabla4[[#This Row],[VALOR ATENCIÓN (8 MESES)]]</f>
        <v>0</v>
      </c>
      <c r="BI824" t="s">
        <v>98</v>
      </c>
      <c r="BJ824">
        <v>1969</v>
      </c>
    </row>
    <row r="825" spans="1:62">
      <c r="A825" s="13">
        <v>1969</v>
      </c>
      <c r="B825" s="13" t="s">
        <v>1818</v>
      </c>
      <c r="C825" s="12" t="s">
        <v>87</v>
      </c>
      <c r="D825" s="12" t="s">
        <v>462</v>
      </c>
      <c r="E825" s="12" t="s">
        <v>1819</v>
      </c>
      <c r="F825" s="12" t="s">
        <v>18</v>
      </c>
      <c r="G825" s="12" t="s">
        <v>90</v>
      </c>
      <c r="H825" s="12" t="s">
        <v>1838</v>
      </c>
      <c r="I825" s="12">
        <v>54801135841</v>
      </c>
      <c r="J825" s="12" t="s">
        <v>1839</v>
      </c>
      <c r="K825" s="12">
        <v>1</v>
      </c>
      <c r="L825" s="12">
        <v>18</v>
      </c>
      <c r="M825" s="12"/>
      <c r="N825" s="13">
        <v>1969</v>
      </c>
      <c r="O825" s="12" t="s">
        <v>93</v>
      </c>
      <c r="P825" s="12"/>
      <c r="Q825" s="12"/>
      <c r="R825" s="12" t="s">
        <v>94</v>
      </c>
      <c r="S825" s="12">
        <v>10</v>
      </c>
      <c r="T825" s="12" t="s">
        <v>1822</v>
      </c>
      <c r="U825" s="12" t="s">
        <v>1823</v>
      </c>
      <c r="V825" s="12">
        <f>VLOOKUP(Tabla4[[#This Row],[ZONA DEFINITIVO]],Hoja1!$A$1:$D$121,3,0)</f>
        <v>229128</v>
      </c>
      <c r="W825" s="12">
        <f>VLOOKUP(Tabla4[[#This Row],[ZONA DEFINITIVO]],Hoja1!$A$1:$D$121,2,0)</f>
        <v>15206</v>
      </c>
      <c r="X825" s="12">
        <f>VLOOKUP(Tabla4[[#This Row],[ZONA DEFINITIVO]],Hoja1!$A$1:$D$121,4,0)</f>
        <v>92225</v>
      </c>
      <c r="Y825" s="12" t="str">
        <f>+IF(Tabla4[[#This Row],[AGRUPACIONES]]=1,SUMIFS(Tabla4[UDS],Tabla4[ZONA DEFINITIVO],Tabla4[[#This Row],[ZONA DEFINITIVO]])," ")</f>
        <v xml:space="preserve"> </v>
      </c>
      <c r="Z825" s="12" t="str">
        <f>+IF(Tabla4[[#This Row],[AGRUPACIONES]]=1,SUMIFS(Tabla4[TOTAL COBERTURA],Tabla4[ZONA DEFINITIVO],Tabla4[[#This Row],[ZONA DEFINITIVO]])," ")</f>
        <v xml:space="preserve"> </v>
      </c>
      <c r="AA825" s="12"/>
      <c r="AB825" s="38">
        <v>39243474</v>
      </c>
      <c r="AC825" s="37">
        <v>0.02</v>
      </c>
      <c r="AD825" s="38">
        <f t="shared" si="13"/>
        <v>784869.48</v>
      </c>
      <c r="AE825" s="12"/>
      <c r="AF825" s="12">
        <f>COUNTIF($A$20:A825,A825)</f>
        <v>9</v>
      </c>
      <c r="AG825" s="38">
        <v>39243474</v>
      </c>
      <c r="AH825" s="38">
        <f>Tabla4[[#This Row],[VALOR CONTRAPARTIDA]]+Tabla4[[#This Row],[TOTAL APORTES ICBF]]</f>
        <v>40028343.479999997</v>
      </c>
      <c r="AI825" s="35"/>
      <c r="AJ825" s="38"/>
      <c r="AK825" s="38"/>
      <c r="AL825" s="23"/>
      <c r="AM825" s="35">
        <f>VLOOKUP(Tabla4[[#This Row],[SERVICIO 2025]],$J$2:$V$14,5,0)*Tabla4[[#This Row],[TOTAL COBERTURA]]</f>
        <v>888768</v>
      </c>
      <c r="AN825" s="35">
        <f>VLOOKUP(Tabla4[[#This Row],[SERVICIO 2025]],$J$2:$V$14,6,0)*Tabla4[[#This Row],[TOTAL COBERTURA]]</f>
        <v>738522</v>
      </c>
      <c r="AO825" s="35">
        <f>VLOOKUP(Tabla4[[#This Row],[SERVICIO 2025]],$J$2:$V$14,8,0)*Tabla4[[#This Row],[TOTAL COBERTURA]]</f>
        <v>523800</v>
      </c>
      <c r="AP825" s="35">
        <f>VLOOKUP(Tabla4[[#This Row],[SERVICIO 2025]],$J$2:$V$14,3,0)*Tabla4[[#This Row],[TOTAL COBERTURA]]*8</f>
        <v>37092384</v>
      </c>
      <c r="AQ825" s="35"/>
      <c r="AR825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825" s="35" t="str">
        <f>+IF(Tabla4[[#This Row],[AGRUPACIONES]]=1,SUMIFS(Tabla4[VALOR TOTAL],Tabla4[ZONA DEFINITIVO],Tabla4[[#This Row],[ZONA DEFINITIVO]])," ")</f>
        <v xml:space="preserve"> </v>
      </c>
      <c r="AT825" s="27">
        <f>(VLOOKUP(Tabla4[[#This Row],[SERVICIO 2025]],$J$2:$V$14,3,0)*Tabla4[[#This Row],[TOTAL COBERTURA]])+Tabla4[[#This Row],[VALOR FASE PREPARATORIA DE ALISTAMIENTO]]+Tabla4[[#This Row],[DOTACIÓN ÚNICA]]</f>
        <v>6049116</v>
      </c>
      <c r="AU825" s="35">
        <f>(VLOOKUP(Tabla4[[#This Row],[SERVICIO 2025]],$J$2:$V$14,3,0)*Tabla4[[#This Row],[TOTAL COBERTURA]])</f>
        <v>4636548</v>
      </c>
      <c r="AV825" s="35">
        <f>(VLOOKUP(Tabla4[[#This Row],[SERVICIO 2025]],$J$2:$V$14,3,0)*Tabla4[[#This Row],[TOTAL COBERTURA]])</f>
        <v>4636548</v>
      </c>
      <c r="AW825" s="35">
        <f>(VLOOKUP(Tabla4[[#This Row],[SERVICIO 2025]],$J$2:$V$14,3,0)*Tabla4[[#This Row],[TOTAL COBERTURA]])</f>
        <v>4636548</v>
      </c>
      <c r="AX825" s="35">
        <f>(VLOOKUP(Tabla4[[#This Row],[SERVICIO 2025]],$J$2:$V$14,3,0)*Tabla4[[#This Row],[TOTAL COBERTURA]])</f>
        <v>4636548</v>
      </c>
      <c r="AY825" s="35">
        <f>(VLOOKUP(Tabla4[[#This Row],[SERVICIO 2025]],$J$2:$V$14,3,0)*Tabla4[[#This Row],[TOTAL COBERTURA]])</f>
        <v>4636548</v>
      </c>
      <c r="AZ825" s="35">
        <f>(VLOOKUP(Tabla4[[#This Row],[SERVICIO 2025]],$J$2:$V$14,3,0)*Tabla4[[#This Row],[TOTAL COBERTURA]])</f>
        <v>4636548</v>
      </c>
      <c r="BA825" s="35">
        <f>(VLOOKUP(Tabla4[[#This Row],[SERVICIO 2025]],$J$2:$V$14,3,0)*Tabla4[[#This Row],[TOTAL COBERTURA]])+Tabla4[[#This Row],[VALOR FASE PREPARATORIA DE CIERRE]]</f>
        <v>5375070</v>
      </c>
      <c r="BB825" s="35">
        <f>SUM(Tabla4[[#This Row],[DESEMBOLSO 1]:[DESEMBOLSO 8]])</f>
        <v>39243474</v>
      </c>
      <c r="BC825" s="35">
        <f>VLOOKUP(Tabla4[[#This Row],[SERVICIO 2025]],$J$2:$V$14,10,0)*Tabla4[[#This Row],[TOTAL COBERTURA]]*$W$3</f>
        <v>25975152</v>
      </c>
      <c r="BD825" s="47" t="s">
        <v>211</v>
      </c>
      <c r="BE825" s="12" t="b">
        <f>EXACT(Tabla4[[#This Row],[VALOR ATENCIÓN (8 MESES)]],Tabla4[[#This Row],[VALOR TOTAL]])</f>
        <v>1</v>
      </c>
      <c r="BF825" s="23">
        <f>Tabla4[[#This Row],[VALOR ATENCIÓN (8 MESES)]]-Tabla4[[#This Row],[VALOR TOTAL]]</f>
        <v>0</v>
      </c>
      <c r="BG825" s="12" t="b">
        <f>EXACT(Tabla4[[#This Row],[TOTAL DESEMBOLSOS]],Tabla4[[#This Row],[VALOR ATENCIÓN (8 MESES)]])</f>
        <v>1</v>
      </c>
      <c r="BH825" s="29">
        <f>Tabla4[[#This Row],[TOTAL DESEMBOLSOS]]-Tabla4[[#This Row],[VALOR ATENCIÓN (8 MESES)]]</f>
        <v>0</v>
      </c>
      <c r="BI825" t="s">
        <v>98</v>
      </c>
      <c r="BJ825">
        <v>1969</v>
      </c>
    </row>
    <row r="826" spans="1:62">
      <c r="A826" s="13">
        <v>1969</v>
      </c>
      <c r="B826" s="13" t="s">
        <v>1818</v>
      </c>
      <c r="C826" s="12" t="s">
        <v>87</v>
      </c>
      <c r="D826" s="12" t="s">
        <v>462</v>
      </c>
      <c r="E826" s="12" t="s">
        <v>1819</v>
      </c>
      <c r="F826" s="12" t="s">
        <v>18</v>
      </c>
      <c r="G826" s="12" t="s">
        <v>90</v>
      </c>
      <c r="H826" s="12" t="s">
        <v>1840</v>
      </c>
      <c r="I826" s="12">
        <v>54801135844</v>
      </c>
      <c r="J826" s="12" t="s">
        <v>1841</v>
      </c>
      <c r="K826" s="12">
        <v>1</v>
      </c>
      <c r="L826" s="12">
        <v>19</v>
      </c>
      <c r="M826" s="12"/>
      <c r="N826" s="13">
        <v>1969</v>
      </c>
      <c r="O826" s="12" t="s">
        <v>93</v>
      </c>
      <c r="P826" s="12"/>
      <c r="Q826" s="12"/>
      <c r="R826" s="12" t="s">
        <v>94</v>
      </c>
      <c r="S826" s="12">
        <v>10</v>
      </c>
      <c r="T826" s="12" t="s">
        <v>1822</v>
      </c>
      <c r="U826" s="12" t="s">
        <v>1823</v>
      </c>
      <c r="V826" s="12">
        <f>VLOOKUP(Tabla4[[#This Row],[ZONA DEFINITIVO]],Hoja1!$A$1:$D$121,3,0)</f>
        <v>229128</v>
      </c>
      <c r="W826" s="12">
        <f>VLOOKUP(Tabla4[[#This Row],[ZONA DEFINITIVO]],Hoja1!$A$1:$D$121,2,0)</f>
        <v>15206</v>
      </c>
      <c r="X826" s="12">
        <f>VLOOKUP(Tabla4[[#This Row],[ZONA DEFINITIVO]],Hoja1!$A$1:$D$121,4,0)</f>
        <v>92225</v>
      </c>
      <c r="Y826" s="12" t="str">
        <f>+IF(Tabla4[[#This Row],[AGRUPACIONES]]=1,SUMIFS(Tabla4[UDS],Tabla4[ZONA DEFINITIVO],Tabla4[[#This Row],[ZONA DEFINITIVO]])," ")</f>
        <v xml:space="preserve"> </v>
      </c>
      <c r="Z826" s="12" t="str">
        <f>+IF(Tabla4[[#This Row],[AGRUPACIONES]]=1,SUMIFS(Tabla4[TOTAL COBERTURA],Tabla4[ZONA DEFINITIVO],Tabla4[[#This Row],[ZONA DEFINITIVO]])," ")</f>
        <v xml:space="preserve"> </v>
      </c>
      <c r="AA826" s="12"/>
      <c r="AB826" s="38">
        <v>41423667</v>
      </c>
      <c r="AC826" s="37">
        <v>0.02</v>
      </c>
      <c r="AD826" s="38">
        <f t="shared" si="13"/>
        <v>828473.34</v>
      </c>
      <c r="AE826" s="12"/>
      <c r="AF826" s="12">
        <f>COUNTIF($A$20:A826,A826)</f>
        <v>10</v>
      </c>
      <c r="AG826" s="38">
        <v>41423667</v>
      </c>
      <c r="AH826" s="38">
        <f>Tabla4[[#This Row],[VALOR CONTRAPARTIDA]]+Tabla4[[#This Row],[TOTAL APORTES ICBF]]</f>
        <v>42252140.340000004</v>
      </c>
      <c r="AI826" s="35"/>
      <c r="AJ826" s="38"/>
      <c r="AK826" s="38"/>
      <c r="AL826" s="23"/>
      <c r="AM826" s="35">
        <f>VLOOKUP(Tabla4[[#This Row],[SERVICIO 2025]],$J$2:$V$14,5,0)*Tabla4[[#This Row],[TOTAL COBERTURA]]</f>
        <v>938144</v>
      </c>
      <c r="AN826" s="35">
        <f>VLOOKUP(Tabla4[[#This Row],[SERVICIO 2025]],$J$2:$V$14,6,0)*Tabla4[[#This Row],[TOTAL COBERTURA]]</f>
        <v>779551</v>
      </c>
      <c r="AO826" s="35">
        <f>VLOOKUP(Tabla4[[#This Row],[SERVICIO 2025]],$J$2:$V$14,8,0)*Tabla4[[#This Row],[TOTAL COBERTURA]]</f>
        <v>552900</v>
      </c>
      <c r="AP826" s="35">
        <f>VLOOKUP(Tabla4[[#This Row],[SERVICIO 2025]],$J$2:$V$14,3,0)*Tabla4[[#This Row],[TOTAL COBERTURA]]*8</f>
        <v>39153072</v>
      </c>
      <c r="AQ826" s="35"/>
      <c r="AR826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826" s="35" t="str">
        <f>+IF(Tabla4[[#This Row],[AGRUPACIONES]]=1,SUMIFS(Tabla4[VALOR TOTAL],Tabla4[ZONA DEFINITIVO],Tabla4[[#This Row],[ZONA DEFINITIVO]])," ")</f>
        <v xml:space="preserve"> </v>
      </c>
      <c r="AT826" s="27">
        <f>(VLOOKUP(Tabla4[[#This Row],[SERVICIO 2025]],$J$2:$V$14,3,0)*Tabla4[[#This Row],[TOTAL COBERTURA]])+Tabla4[[#This Row],[VALOR FASE PREPARATORIA DE ALISTAMIENTO]]+Tabla4[[#This Row],[DOTACIÓN ÚNICA]]</f>
        <v>6385178</v>
      </c>
      <c r="AU826" s="35">
        <f>(VLOOKUP(Tabla4[[#This Row],[SERVICIO 2025]],$J$2:$V$14,3,0)*Tabla4[[#This Row],[TOTAL COBERTURA]])</f>
        <v>4894134</v>
      </c>
      <c r="AV826" s="35">
        <f>(VLOOKUP(Tabla4[[#This Row],[SERVICIO 2025]],$J$2:$V$14,3,0)*Tabla4[[#This Row],[TOTAL COBERTURA]])</f>
        <v>4894134</v>
      </c>
      <c r="AW826" s="35">
        <f>(VLOOKUP(Tabla4[[#This Row],[SERVICIO 2025]],$J$2:$V$14,3,0)*Tabla4[[#This Row],[TOTAL COBERTURA]])</f>
        <v>4894134</v>
      </c>
      <c r="AX826" s="35">
        <f>(VLOOKUP(Tabla4[[#This Row],[SERVICIO 2025]],$J$2:$V$14,3,0)*Tabla4[[#This Row],[TOTAL COBERTURA]])</f>
        <v>4894134</v>
      </c>
      <c r="AY826" s="35">
        <f>(VLOOKUP(Tabla4[[#This Row],[SERVICIO 2025]],$J$2:$V$14,3,0)*Tabla4[[#This Row],[TOTAL COBERTURA]])</f>
        <v>4894134</v>
      </c>
      <c r="AZ826" s="35">
        <f>(VLOOKUP(Tabla4[[#This Row],[SERVICIO 2025]],$J$2:$V$14,3,0)*Tabla4[[#This Row],[TOTAL COBERTURA]])</f>
        <v>4894134</v>
      </c>
      <c r="BA826" s="35">
        <f>(VLOOKUP(Tabla4[[#This Row],[SERVICIO 2025]],$J$2:$V$14,3,0)*Tabla4[[#This Row],[TOTAL COBERTURA]])+Tabla4[[#This Row],[VALOR FASE PREPARATORIA DE CIERRE]]</f>
        <v>5673685</v>
      </c>
      <c r="BB826" s="35">
        <f>SUM(Tabla4[[#This Row],[DESEMBOLSO 1]:[DESEMBOLSO 8]])</f>
        <v>41423667</v>
      </c>
      <c r="BC826" s="35">
        <f>VLOOKUP(Tabla4[[#This Row],[SERVICIO 2025]],$J$2:$V$14,10,0)*Tabla4[[#This Row],[TOTAL COBERTURA]]*$W$3</f>
        <v>27418216</v>
      </c>
      <c r="BD826" s="47" t="s">
        <v>211</v>
      </c>
      <c r="BE826" s="12" t="b">
        <f>EXACT(Tabla4[[#This Row],[VALOR ATENCIÓN (8 MESES)]],Tabla4[[#This Row],[VALOR TOTAL]])</f>
        <v>1</v>
      </c>
      <c r="BF826" s="23">
        <f>Tabla4[[#This Row],[VALOR ATENCIÓN (8 MESES)]]-Tabla4[[#This Row],[VALOR TOTAL]]</f>
        <v>0</v>
      </c>
      <c r="BG826" s="12" t="b">
        <f>EXACT(Tabla4[[#This Row],[TOTAL DESEMBOLSOS]],Tabla4[[#This Row],[VALOR ATENCIÓN (8 MESES)]])</f>
        <v>1</v>
      </c>
      <c r="BH826" s="29">
        <f>Tabla4[[#This Row],[TOTAL DESEMBOLSOS]]-Tabla4[[#This Row],[VALOR ATENCIÓN (8 MESES)]]</f>
        <v>0</v>
      </c>
      <c r="BI826" t="s">
        <v>98</v>
      </c>
      <c r="BJ826">
        <v>1969</v>
      </c>
    </row>
    <row r="827" spans="1:62">
      <c r="A827" s="13">
        <v>1969</v>
      </c>
      <c r="B827" s="13" t="s">
        <v>1818</v>
      </c>
      <c r="C827" s="12" t="s">
        <v>87</v>
      </c>
      <c r="D827" s="12" t="s">
        <v>462</v>
      </c>
      <c r="E827" s="12" t="s">
        <v>1819</v>
      </c>
      <c r="F827" s="12" t="s">
        <v>18</v>
      </c>
      <c r="G827" s="12" t="s">
        <v>90</v>
      </c>
      <c r="H827" s="12" t="s">
        <v>1842</v>
      </c>
      <c r="I827" s="12">
        <v>54801135861</v>
      </c>
      <c r="J827" s="12" t="s">
        <v>1843</v>
      </c>
      <c r="K827" s="12">
        <v>1</v>
      </c>
      <c r="L827" s="12">
        <v>29</v>
      </c>
      <c r="M827" s="12"/>
      <c r="N827" s="13">
        <v>1969</v>
      </c>
      <c r="O827" s="12" t="s">
        <v>93</v>
      </c>
      <c r="P827" s="12"/>
      <c r="Q827" s="12"/>
      <c r="R827" s="12" t="s">
        <v>94</v>
      </c>
      <c r="S827" s="12">
        <v>10</v>
      </c>
      <c r="T827" s="12" t="s">
        <v>1822</v>
      </c>
      <c r="U827" s="12" t="s">
        <v>1823</v>
      </c>
      <c r="V827" s="12">
        <f>VLOOKUP(Tabla4[[#This Row],[ZONA DEFINITIVO]],Hoja1!$A$1:$D$121,3,0)</f>
        <v>229128</v>
      </c>
      <c r="W827" s="12">
        <f>VLOOKUP(Tabla4[[#This Row],[ZONA DEFINITIVO]],Hoja1!$A$1:$D$121,2,0)</f>
        <v>15206</v>
      </c>
      <c r="X827" s="12">
        <f>VLOOKUP(Tabla4[[#This Row],[ZONA DEFINITIVO]],Hoja1!$A$1:$D$121,4,0)</f>
        <v>92225</v>
      </c>
      <c r="Y827" s="12" t="str">
        <f>+IF(Tabla4[[#This Row],[AGRUPACIONES]]=1,SUMIFS(Tabla4[UDS],Tabla4[ZONA DEFINITIVO],Tabla4[[#This Row],[ZONA DEFINITIVO]])," ")</f>
        <v xml:space="preserve"> </v>
      </c>
      <c r="Z827" s="12" t="str">
        <f>+IF(Tabla4[[#This Row],[AGRUPACIONES]]=1,SUMIFS(Tabla4[TOTAL COBERTURA],Tabla4[ZONA DEFINITIVO],Tabla4[[#This Row],[ZONA DEFINITIVO]])," ")</f>
        <v xml:space="preserve"> </v>
      </c>
      <c r="AA827" s="12"/>
      <c r="AB827" s="38">
        <v>63225597</v>
      </c>
      <c r="AC827" s="37">
        <v>0.02</v>
      </c>
      <c r="AD827" s="38">
        <f t="shared" si="13"/>
        <v>1264511.94</v>
      </c>
      <c r="AE827" s="12"/>
      <c r="AF827" s="12">
        <f>COUNTIF($A$20:A827,A827)</f>
        <v>11</v>
      </c>
      <c r="AG827" s="38">
        <v>63225597</v>
      </c>
      <c r="AH827" s="38">
        <f>Tabla4[[#This Row],[VALOR CONTRAPARTIDA]]+Tabla4[[#This Row],[TOTAL APORTES ICBF]]</f>
        <v>64490108.939999998</v>
      </c>
      <c r="AI827" s="35"/>
      <c r="AJ827" s="38"/>
      <c r="AK827" s="38"/>
      <c r="AL827" s="23"/>
      <c r="AM827" s="35">
        <f>VLOOKUP(Tabla4[[#This Row],[SERVICIO 2025]],$J$2:$V$14,5,0)*Tabla4[[#This Row],[TOTAL COBERTURA]]</f>
        <v>1431904</v>
      </c>
      <c r="AN827" s="35">
        <f>VLOOKUP(Tabla4[[#This Row],[SERVICIO 2025]],$J$2:$V$14,6,0)*Tabla4[[#This Row],[TOTAL COBERTURA]]</f>
        <v>1189841</v>
      </c>
      <c r="AO827" s="35">
        <f>VLOOKUP(Tabla4[[#This Row],[SERVICIO 2025]],$J$2:$V$14,8,0)*Tabla4[[#This Row],[TOTAL COBERTURA]]</f>
        <v>843900</v>
      </c>
      <c r="AP827" s="35">
        <f>VLOOKUP(Tabla4[[#This Row],[SERVICIO 2025]],$J$2:$V$14,3,0)*Tabla4[[#This Row],[TOTAL COBERTURA]]*8</f>
        <v>59759952</v>
      </c>
      <c r="AQ827" s="35"/>
      <c r="AR827" s="35">
        <f>Tabla4[[#This Row],[VALOR FASE PREPARATORIA DE ALISTAMIENTO]]+Tabla4[[#This Row],[VALOR FASE PREPARATORIA DE CIERRE]]+Tabla4[[#This Row],[DOTACIÓN ÚNICA]]+Tabla4[[#This Row],[VALOR ATENCIÓN]]+Tabla4[[#This Row],[VALOR RACION PREPARADA]]</f>
        <v>63225597</v>
      </c>
      <c r="AS827" s="35" t="str">
        <f>+IF(Tabla4[[#This Row],[AGRUPACIONES]]=1,SUMIFS(Tabla4[VALOR TOTAL],Tabla4[ZONA DEFINITIVO],Tabla4[[#This Row],[ZONA DEFINITIVO]])," ")</f>
        <v xml:space="preserve"> </v>
      </c>
      <c r="AT827" s="27">
        <f>(VLOOKUP(Tabla4[[#This Row],[SERVICIO 2025]],$J$2:$V$14,3,0)*Tabla4[[#This Row],[TOTAL COBERTURA]])+Tabla4[[#This Row],[VALOR FASE PREPARATORIA DE ALISTAMIENTO]]+Tabla4[[#This Row],[DOTACIÓN ÚNICA]]</f>
        <v>9745798</v>
      </c>
      <c r="AU827" s="35">
        <f>(VLOOKUP(Tabla4[[#This Row],[SERVICIO 2025]],$J$2:$V$14,3,0)*Tabla4[[#This Row],[TOTAL COBERTURA]])</f>
        <v>7469994</v>
      </c>
      <c r="AV827" s="35">
        <f>(VLOOKUP(Tabla4[[#This Row],[SERVICIO 2025]],$J$2:$V$14,3,0)*Tabla4[[#This Row],[TOTAL COBERTURA]])</f>
        <v>7469994</v>
      </c>
      <c r="AW827" s="35">
        <f>(VLOOKUP(Tabla4[[#This Row],[SERVICIO 2025]],$J$2:$V$14,3,0)*Tabla4[[#This Row],[TOTAL COBERTURA]])</f>
        <v>7469994</v>
      </c>
      <c r="AX827" s="35">
        <f>(VLOOKUP(Tabla4[[#This Row],[SERVICIO 2025]],$J$2:$V$14,3,0)*Tabla4[[#This Row],[TOTAL COBERTURA]])</f>
        <v>7469994</v>
      </c>
      <c r="AY827" s="35">
        <f>(VLOOKUP(Tabla4[[#This Row],[SERVICIO 2025]],$J$2:$V$14,3,0)*Tabla4[[#This Row],[TOTAL COBERTURA]])</f>
        <v>7469994</v>
      </c>
      <c r="AZ827" s="35">
        <f>(VLOOKUP(Tabla4[[#This Row],[SERVICIO 2025]],$J$2:$V$14,3,0)*Tabla4[[#This Row],[TOTAL COBERTURA]])</f>
        <v>7469994</v>
      </c>
      <c r="BA827" s="35">
        <f>(VLOOKUP(Tabla4[[#This Row],[SERVICIO 2025]],$J$2:$V$14,3,0)*Tabla4[[#This Row],[TOTAL COBERTURA]])+Tabla4[[#This Row],[VALOR FASE PREPARATORIA DE CIERRE]]</f>
        <v>8659835</v>
      </c>
      <c r="BB827" s="35">
        <f>SUM(Tabla4[[#This Row],[DESEMBOLSO 1]:[DESEMBOLSO 8]])</f>
        <v>63225597</v>
      </c>
      <c r="BC827" s="35">
        <f>VLOOKUP(Tabla4[[#This Row],[SERVICIO 2025]],$J$2:$V$14,10,0)*Tabla4[[#This Row],[TOTAL COBERTURA]]*$W$3</f>
        <v>41848856</v>
      </c>
      <c r="BD827" s="47" t="s">
        <v>211</v>
      </c>
      <c r="BE827" s="12" t="b">
        <f>EXACT(Tabla4[[#This Row],[VALOR ATENCIÓN (8 MESES)]],Tabla4[[#This Row],[VALOR TOTAL]])</f>
        <v>1</v>
      </c>
      <c r="BF827" s="23">
        <f>Tabla4[[#This Row],[VALOR ATENCIÓN (8 MESES)]]-Tabla4[[#This Row],[VALOR TOTAL]]</f>
        <v>0</v>
      </c>
      <c r="BG827" s="12" t="b">
        <f>EXACT(Tabla4[[#This Row],[TOTAL DESEMBOLSOS]],Tabla4[[#This Row],[VALOR ATENCIÓN (8 MESES)]])</f>
        <v>1</v>
      </c>
      <c r="BH827" s="29">
        <f>Tabla4[[#This Row],[TOTAL DESEMBOLSOS]]-Tabla4[[#This Row],[VALOR ATENCIÓN (8 MESES)]]</f>
        <v>0</v>
      </c>
      <c r="BI827" t="s">
        <v>98</v>
      </c>
      <c r="BJ827">
        <v>1969</v>
      </c>
    </row>
    <row r="828" spans="1:62">
      <c r="A828" s="13">
        <v>1969</v>
      </c>
      <c r="B828" s="13" t="s">
        <v>1818</v>
      </c>
      <c r="C828" s="12" t="s">
        <v>87</v>
      </c>
      <c r="D828" s="12" t="s">
        <v>462</v>
      </c>
      <c r="E828" s="12" t="s">
        <v>1819</v>
      </c>
      <c r="F828" s="12" t="s">
        <v>18</v>
      </c>
      <c r="G828" s="12" t="s">
        <v>90</v>
      </c>
      <c r="H828" s="12" t="s">
        <v>1844</v>
      </c>
      <c r="I828" s="12">
        <v>54801139905</v>
      </c>
      <c r="J828" s="12" t="s">
        <v>1845</v>
      </c>
      <c r="K828" s="12">
        <v>1</v>
      </c>
      <c r="L828" s="12">
        <v>15</v>
      </c>
      <c r="M828" s="12"/>
      <c r="N828" s="13">
        <v>1969</v>
      </c>
      <c r="O828" s="12" t="s">
        <v>93</v>
      </c>
      <c r="P828" s="12"/>
      <c r="Q828" s="12"/>
      <c r="R828" s="12" t="s">
        <v>94</v>
      </c>
      <c r="S828" s="12">
        <v>10</v>
      </c>
      <c r="T828" s="12" t="s">
        <v>1822</v>
      </c>
      <c r="U828" s="12" t="s">
        <v>1823</v>
      </c>
      <c r="V828" s="12">
        <f>VLOOKUP(Tabla4[[#This Row],[ZONA DEFINITIVO]],Hoja1!$A$1:$D$121,3,0)</f>
        <v>229128</v>
      </c>
      <c r="W828" s="12">
        <f>VLOOKUP(Tabla4[[#This Row],[ZONA DEFINITIVO]],Hoja1!$A$1:$D$121,2,0)</f>
        <v>15206</v>
      </c>
      <c r="X828" s="12">
        <f>VLOOKUP(Tabla4[[#This Row],[ZONA DEFINITIVO]],Hoja1!$A$1:$D$121,4,0)</f>
        <v>92225</v>
      </c>
      <c r="Y828" s="12" t="str">
        <f>+IF(Tabla4[[#This Row],[AGRUPACIONES]]=1,SUMIFS(Tabla4[UDS],Tabla4[ZONA DEFINITIVO],Tabla4[[#This Row],[ZONA DEFINITIVO]])," ")</f>
        <v xml:space="preserve"> </v>
      </c>
      <c r="Z828" s="12" t="str">
        <f>+IF(Tabla4[[#This Row],[AGRUPACIONES]]=1,SUMIFS(Tabla4[TOTAL COBERTURA],Tabla4[ZONA DEFINITIVO],Tabla4[[#This Row],[ZONA DEFINITIVO]])," ")</f>
        <v xml:space="preserve"> </v>
      </c>
      <c r="AA828" s="12"/>
      <c r="AB828" s="38">
        <v>32702895</v>
      </c>
      <c r="AC828" s="37">
        <v>0.02</v>
      </c>
      <c r="AD828" s="38">
        <f t="shared" si="13"/>
        <v>654057.9</v>
      </c>
      <c r="AE828" s="12"/>
      <c r="AF828" s="12">
        <f>COUNTIF($A$20:A828,A828)</f>
        <v>12</v>
      </c>
      <c r="AG828" s="38">
        <v>32702895</v>
      </c>
      <c r="AH828" s="38">
        <f>Tabla4[[#This Row],[VALOR CONTRAPARTIDA]]+Tabla4[[#This Row],[TOTAL APORTES ICBF]]</f>
        <v>33356952.899999999</v>
      </c>
      <c r="AI828" s="35"/>
      <c r="AJ828" s="38"/>
      <c r="AK828" s="38"/>
      <c r="AL828" s="23"/>
      <c r="AM828" s="35">
        <f>VLOOKUP(Tabla4[[#This Row],[SERVICIO 2025]],$J$2:$V$14,5,0)*Tabla4[[#This Row],[TOTAL COBERTURA]]</f>
        <v>740640</v>
      </c>
      <c r="AN828" s="35">
        <f>VLOOKUP(Tabla4[[#This Row],[SERVICIO 2025]],$J$2:$V$14,6,0)*Tabla4[[#This Row],[TOTAL COBERTURA]]</f>
        <v>615435</v>
      </c>
      <c r="AO828" s="35">
        <f>VLOOKUP(Tabla4[[#This Row],[SERVICIO 2025]],$J$2:$V$14,8,0)*Tabla4[[#This Row],[TOTAL COBERTURA]]</f>
        <v>436500</v>
      </c>
      <c r="AP828" s="35">
        <f>VLOOKUP(Tabla4[[#This Row],[SERVICIO 2025]],$J$2:$V$14,3,0)*Tabla4[[#This Row],[TOTAL COBERTURA]]*8</f>
        <v>30910320</v>
      </c>
      <c r="AQ828" s="35"/>
      <c r="AR828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828" s="35" t="str">
        <f>+IF(Tabla4[[#This Row],[AGRUPACIONES]]=1,SUMIFS(Tabla4[VALOR TOTAL],Tabla4[ZONA DEFINITIVO],Tabla4[[#This Row],[ZONA DEFINITIVO]])," ")</f>
        <v xml:space="preserve"> </v>
      </c>
      <c r="AT828" s="27">
        <f>(VLOOKUP(Tabla4[[#This Row],[SERVICIO 2025]],$J$2:$V$14,3,0)*Tabla4[[#This Row],[TOTAL COBERTURA]])+Tabla4[[#This Row],[VALOR FASE PREPARATORIA DE ALISTAMIENTO]]+Tabla4[[#This Row],[DOTACIÓN ÚNICA]]</f>
        <v>5040930</v>
      </c>
      <c r="AU828" s="35">
        <f>(VLOOKUP(Tabla4[[#This Row],[SERVICIO 2025]],$J$2:$V$14,3,0)*Tabla4[[#This Row],[TOTAL COBERTURA]])</f>
        <v>3863790</v>
      </c>
      <c r="AV828" s="35">
        <f>(VLOOKUP(Tabla4[[#This Row],[SERVICIO 2025]],$J$2:$V$14,3,0)*Tabla4[[#This Row],[TOTAL COBERTURA]])</f>
        <v>3863790</v>
      </c>
      <c r="AW828" s="35">
        <f>(VLOOKUP(Tabla4[[#This Row],[SERVICIO 2025]],$J$2:$V$14,3,0)*Tabla4[[#This Row],[TOTAL COBERTURA]])</f>
        <v>3863790</v>
      </c>
      <c r="AX828" s="35">
        <f>(VLOOKUP(Tabla4[[#This Row],[SERVICIO 2025]],$J$2:$V$14,3,0)*Tabla4[[#This Row],[TOTAL COBERTURA]])</f>
        <v>3863790</v>
      </c>
      <c r="AY828" s="35">
        <f>(VLOOKUP(Tabla4[[#This Row],[SERVICIO 2025]],$J$2:$V$14,3,0)*Tabla4[[#This Row],[TOTAL COBERTURA]])</f>
        <v>3863790</v>
      </c>
      <c r="AZ828" s="35">
        <f>(VLOOKUP(Tabla4[[#This Row],[SERVICIO 2025]],$J$2:$V$14,3,0)*Tabla4[[#This Row],[TOTAL COBERTURA]])</f>
        <v>3863790</v>
      </c>
      <c r="BA828" s="35">
        <f>(VLOOKUP(Tabla4[[#This Row],[SERVICIO 2025]],$J$2:$V$14,3,0)*Tabla4[[#This Row],[TOTAL COBERTURA]])+Tabla4[[#This Row],[VALOR FASE PREPARATORIA DE CIERRE]]</f>
        <v>4479225</v>
      </c>
      <c r="BB828" s="35">
        <f>SUM(Tabla4[[#This Row],[DESEMBOLSO 1]:[DESEMBOLSO 8]])</f>
        <v>32702895</v>
      </c>
      <c r="BC828" s="35">
        <f>VLOOKUP(Tabla4[[#This Row],[SERVICIO 2025]],$J$2:$V$14,10,0)*Tabla4[[#This Row],[TOTAL COBERTURA]]*$W$3</f>
        <v>21645960</v>
      </c>
      <c r="BD828" s="47" t="s">
        <v>211</v>
      </c>
      <c r="BE828" s="12" t="b">
        <f>EXACT(Tabla4[[#This Row],[VALOR ATENCIÓN (8 MESES)]],Tabla4[[#This Row],[VALOR TOTAL]])</f>
        <v>1</v>
      </c>
      <c r="BF828" s="23">
        <f>Tabla4[[#This Row],[VALOR ATENCIÓN (8 MESES)]]-Tabla4[[#This Row],[VALOR TOTAL]]</f>
        <v>0</v>
      </c>
      <c r="BG828" s="12" t="b">
        <f>EXACT(Tabla4[[#This Row],[TOTAL DESEMBOLSOS]],Tabla4[[#This Row],[VALOR ATENCIÓN (8 MESES)]])</f>
        <v>1</v>
      </c>
      <c r="BH828" s="29">
        <f>Tabla4[[#This Row],[TOTAL DESEMBOLSOS]]-Tabla4[[#This Row],[VALOR ATENCIÓN (8 MESES)]]</f>
        <v>0</v>
      </c>
      <c r="BI828" t="s">
        <v>98</v>
      </c>
      <c r="BJ828">
        <v>1969</v>
      </c>
    </row>
    <row r="829" spans="1:62">
      <c r="A829" s="13">
        <v>1969</v>
      </c>
      <c r="B829" s="13" t="s">
        <v>1818</v>
      </c>
      <c r="C829" s="12" t="s">
        <v>87</v>
      </c>
      <c r="D829" s="12" t="s">
        <v>462</v>
      </c>
      <c r="E829" s="12" t="s">
        <v>1819</v>
      </c>
      <c r="F829" s="12" t="s">
        <v>18</v>
      </c>
      <c r="G829" s="12" t="s">
        <v>90</v>
      </c>
      <c r="H829" s="12" t="s">
        <v>1846</v>
      </c>
      <c r="I829" s="12">
        <v>54801140524</v>
      </c>
      <c r="J829" s="12" t="s">
        <v>1847</v>
      </c>
      <c r="K829" s="12">
        <v>1</v>
      </c>
      <c r="L829" s="12">
        <v>17</v>
      </c>
      <c r="M829" s="12"/>
      <c r="N829" s="13">
        <v>1969</v>
      </c>
      <c r="O829" s="12" t="s">
        <v>93</v>
      </c>
      <c r="P829" s="12"/>
      <c r="Q829" s="12"/>
      <c r="R829" s="12" t="s">
        <v>94</v>
      </c>
      <c r="S829" s="12">
        <v>10</v>
      </c>
      <c r="T829" s="12" t="s">
        <v>1822</v>
      </c>
      <c r="U829" s="12" t="s">
        <v>1823</v>
      </c>
      <c r="V829" s="12">
        <f>VLOOKUP(Tabla4[[#This Row],[ZONA DEFINITIVO]],Hoja1!$A$1:$D$121,3,0)</f>
        <v>229128</v>
      </c>
      <c r="W829" s="12">
        <f>VLOOKUP(Tabla4[[#This Row],[ZONA DEFINITIVO]],Hoja1!$A$1:$D$121,2,0)</f>
        <v>15206</v>
      </c>
      <c r="X829" s="12">
        <f>VLOOKUP(Tabla4[[#This Row],[ZONA DEFINITIVO]],Hoja1!$A$1:$D$121,4,0)</f>
        <v>92225</v>
      </c>
      <c r="Y829" s="12" t="str">
        <f>+IF(Tabla4[[#This Row],[AGRUPACIONES]]=1,SUMIFS(Tabla4[UDS],Tabla4[ZONA DEFINITIVO],Tabla4[[#This Row],[ZONA DEFINITIVO]])," ")</f>
        <v xml:space="preserve"> </v>
      </c>
      <c r="Z829" s="12" t="str">
        <f>+IF(Tabla4[[#This Row],[AGRUPACIONES]]=1,SUMIFS(Tabla4[TOTAL COBERTURA],Tabla4[ZONA DEFINITIVO],Tabla4[[#This Row],[ZONA DEFINITIVO]])," ")</f>
        <v xml:space="preserve"> </v>
      </c>
      <c r="AA829" s="12"/>
      <c r="AB829" s="38">
        <v>37063281</v>
      </c>
      <c r="AC829" s="37">
        <v>0.02</v>
      </c>
      <c r="AD829" s="38">
        <f t="shared" si="13"/>
        <v>741265.62</v>
      </c>
      <c r="AE829" s="12"/>
      <c r="AF829" s="12">
        <f>COUNTIF($A$20:A829,A829)</f>
        <v>13</v>
      </c>
      <c r="AG829" s="38">
        <v>37063281</v>
      </c>
      <c r="AH829" s="38">
        <f>Tabla4[[#This Row],[VALOR CONTRAPARTIDA]]+Tabla4[[#This Row],[TOTAL APORTES ICBF]]</f>
        <v>37804546.619999997</v>
      </c>
      <c r="AI829" s="35"/>
      <c r="AJ829" s="38"/>
      <c r="AK829" s="38"/>
      <c r="AL829" s="23"/>
      <c r="AM829" s="35">
        <f>VLOOKUP(Tabla4[[#This Row],[SERVICIO 2025]],$J$2:$V$14,5,0)*Tabla4[[#This Row],[TOTAL COBERTURA]]</f>
        <v>839392</v>
      </c>
      <c r="AN829" s="35">
        <f>VLOOKUP(Tabla4[[#This Row],[SERVICIO 2025]],$J$2:$V$14,6,0)*Tabla4[[#This Row],[TOTAL COBERTURA]]</f>
        <v>697493</v>
      </c>
      <c r="AO829" s="35">
        <f>VLOOKUP(Tabla4[[#This Row],[SERVICIO 2025]],$J$2:$V$14,8,0)*Tabla4[[#This Row],[TOTAL COBERTURA]]</f>
        <v>494700</v>
      </c>
      <c r="AP829" s="35">
        <f>VLOOKUP(Tabla4[[#This Row],[SERVICIO 2025]],$J$2:$V$14,3,0)*Tabla4[[#This Row],[TOTAL COBERTURA]]*8</f>
        <v>35031696</v>
      </c>
      <c r="AQ829" s="35"/>
      <c r="AR829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829" s="35" t="str">
        <f>+IF(Tabla4[[#This Row],[AGRUPACIONES]]=1,SUMIFS(Tabla4[VALOR TOTAL],Tabla4[ZONA DEFINITIVO],Tabla4[[#This Row],[ZONA DEFINITIVO]])," ")</f>
        <v xml:space="preserve"> </v>
      </c>
      <c r="AT829" s="27">
        <f>(VLOOKUP(Tabla4[[#This Row],[SERVICIO 2025]],$J$2:$V$14,3,0)*Tabla4[[#This Row],[TOTAL COBERTURA]])+Tabla4[[#This Row],[VALOR FASE PREPARATORIA DE ALISTAMIENTO]]+Tabla4[[#This Row],[DOTACIÓN ÚNICA]]</f>
        <v>5713054</v>
      </c>
      <c r="AU829" s="35">
        <f>(VLOOKUP(Tabla4[[#This Row],[SERVICIO 2025]],$J$2:$V$14,3,0)*Tabla4[[#This Row],[TOTAL COBERTURA]])</f>
        <v>4378962</v>
      </c>
      <c r="AV829" s="35">
        <f>(VLOOKUP(Tabla4[[#This Row],[SERVICIO 2025]],$J$2:$V$14,3,0)*Tabla4[[#This Row],[TOTAL COBERTURA]])</f>
        <v>4378962</v>
      </c>
      <c r="AW829" s="35">
        <f>(VLOOKUP(Tabla4[[#This Row],[SERVICIO 2025]],$J$2:$V$14,3,0)*Tabla4[[#This Row],[TOTAL COBERTURA]])</f>
        <v>4378962</v>
      </c>
      <c r="AX829" s="35">
        <f>(VLOOKUP(Tabla4[[#This Row],[SERVICIO 2025]],$J$2:$V$14,3,0)*Tabla4[[#This Row],[TOTAL COBERTURA]])</f>
        <v>4378962</v>
      </c>
      <c r="AY829" s="35">
        <f>(VLOOKUP(Tabla4[[#This Row],[SERVICIO 2025]],$J$2:$V$14,3,0)*Tabla4[[#This Row],[TOTAL COBERTURA]])</f>
        <v>4378962</v>
      </c>
      <c r="AZ829" s="35">
        <f>(VLOOKUP(Tabla4[[#This Row],[SERVICIO 2025]],$J$2:$V$14,3,0)*Tabla4[[#This Row],[TOTAL COBERTURA]])</f>
        <v>4378962</v>
      </c>
      <c r="BA829" s="35">
        <f>(VLOOKUP(Tabla4[[#This Row],[SERVICIO 2025]],$J$2:$V$14,3,0)*Tabla4[[#This Row],[TOTAL COBERTURA]])+Tabla4[[#This Row],[VALOR FASE PREPARATORIA DE CIERRE]]</f>
        <v>5076455</v>
      </c>
      <c r="BB829" s="35">
        <f>SUM(Tabla4[[#This Row],[DESEMBOLSO 1]:[DESEMBOLSO 8]])</f>
        <v>37063281</v>
      </c>
      <c r="BC829" s="35">
        <f>VLOOKUP(Tabla4[[#This Row],[SERVICIO 2025]],$J$2:$V$14,10,0)*Tabla4[[#This Row],[TOTAL COBERTURA]]*$W$3</f>
        <v>24532088</v>
      </c>
      <c r="BD829" s="47" t="s">
        <v>211</v>
      </c>
      <c r="BE829" s="12" t="b">
        <f>EXACT(Tabla4[[#This Row],[VALOR ATENCIÓN (8 MESES)]],Tabla4[[#This Row],[VALOR TOTAL]])</f>
        <v>1</v>
      </c>
      <c r="BF829" s="23">
        <f>Tabla4[[#This Row],[VALOR ATENCIÓN (8 MESES)]]-Tabla4[[#This Row],[VALOR TOTAL]]</f>
        <v>0</v>
      </c>
      <c r="BG829" s="12" t="b">
        <f>EXACT(Tabla4[[#This Row],[TOTAL DESEMBOLSOS]],Tabla4[[#This Row],[VALOR ATENCIÓN (8 MESES)]])</f>
        <v>1</v>
      </c>
      <c r="BH829" s="29">
        <f>Tabla4[[#This Row],[TOTAL DESEMBOLSOS]]-Tabla4[[#This Row],[VALOR ATENCIÓN (8 MESES)]]</f>
        <v>0</v>
      </c>
      <c r="BI829" t="s">
        <v>98</v>
      </c>
      <c r="BJ829">
        <v>1969</v>
      </c>
    </row>
    <row r="830" spans="1:62">
      <c r="A830" s="13">
        <v>1969</v>
      </c>
      <c r="B830" s="13" t="s">
        <v>1818</v>
      </c>
      <c r="C830" s="12" t="s">
        <v>87</v>
      </c>
      <c r="D830" s="12" t="s">
        <v>462</v>
      </c>
      <c r="E830" s="12" t="s">
        <v>1819</v>
      </c>
      <c r="F830" s="12" t="s">
        <v>18</v>
      </c>
      <c r="G830" s="12" t="s">
        <v>90</v>
      </c>
      <c r="H830" s="12" t="s">
        <v>1837</v>
      </c>
      <c r="I830" s="12">
        <v>54801143639</v>
      </c>
      <c r="J830" s="12" t="s">
        <v>1848</v>
      </c>
      <c r="K830" s="12">
        <v>1</v>
      </c>
      <c r="L830" s="12">
        <v>25</v>
      </c>
      <c r="M830" s="12"/>
      <c r="N830" s="13">
        <v>1969</v>
      </c>
      <c r="O830" s="12" t="s">
        <v>93</v>
      </c>
      <c r="P830" s="12"/>
      <c r="Q830" s="12"/>
      <c r="R830" s="12" t="s">
        <v>94</v>
      </c>
      <c r="S830" s="12">
        <v>10</v>
      </c>
      <c r="T830" s="12" t="s">
        <v>1822</v>
      </c>
      <c r="U830" s="12" t="s">
        <v>1823</v>
      </c>
      <c r="V830" s="12">
        <f>VLOOKUP(Tabla4[[#This Row],[ZONA DEFINITIVO]],Hoja1!$A$1:$D$121,3,0)</f>
        <v>229128</v>
      </c>
      <c r="W830" s="12">
        <f>VLOOKUP(Tabla4[[#This Row],[ZONA DEFINITIVO]],Hoja1!$A$1:$D$121,2,0)</f>
        <v>15206</v>
      </c>
      <c r="X830" s="12">
        <f>VLOOKUP(Tabla4[[#This Row],[ZONA DEFINITIVO]],Hoja1!$A$1:$D$121,4,0)</f>
        <v>92225</v>
      </c>
      <c r="Y830" s="12" t="str">
        <f>+IF(Tabla4[[#This Row],[AGRUPACIONES]]=1,SUMIFS(Tabla4[UDS],Tabla4[ZONA DEFINITIVO],Tabla4[[#This Row],[ZONA DEFINITIVO]])," ")</f>
        <v xml:space="preserve"> </v>
      </c>
      <c r="Z830" s="12" t="str">
        <f>+IF(Tabla4[[#This Row],[AGRUPACIONES]]=1,SUMIFS(Tabla4[TOTAL COBERTURA],Tabla4[ZONA DEFINITIVO],Tabla4[[#This Row],[ZONA DEFINITIVO]])," ")</f>
        <v xml:space="preserve"> </v>
      </c>
      <c r="AA830" s="12"/>
      <c r="AB830" s="38">
        <v>54504825</v>
      </c>
      <c r="AC830" s="37">
        <v>0.02</v>
      </c>
      <c r="AD830" s="38">
        <f t="shared" si="13"/>
        <v>1090096.5</v>
      </c>
      <c r="AE830" s="12"/>
      <c r="AF830" s="12">
        <f>COUNTIF($A$20:A830,A830)</f>
        <v>14</v>
      </c>
      <c r="AG830" s="38">
        <v>54504825</v>
      </c>
      <c r="AH830" s="38">
        <f>Tabla4[[#This Row],[VALOR CONTRAPARTIDA]]+Tabla4[[#This Row],[TOTAL APORTES ICBF]]</f>
        <v>55594921.5</v>
      </c>
      <c r="AI830" s="35"/>
      <c r="AJ830" s="38"/>
      <c r="AK830" s="38"/>
      <c r="AL830" s="23"/>
      <c r="AM830" s="35">
        <f>VLOOKUP(Tabla4[[#This Row],[SERVICIO 2025]],$J$2:$V$14,5,0)*Tabla4[[#This Row],[TOTAL COBERTURA]]</f>
        <v>1234400</v>
      </c>
      <c r="AN830" s="35">
        <f>VLOOKUP(Tabla4[[#This Row],[SERVICIO 2025]],$J$2:$V$14,6,0)*Tabla4[[#This Row],[TOTAL COBERTURA]]</f>
        <v>1025725</v>
      </c>
      <c r="AO830" s="35">
        <f>VLOOKUP(Tabla4[[#This Row],[SERVICIO 2025]],$J$2:$V$14,8,0)*Tabla4[[#This Row],[TOTAL COBERTURA]]</f>
        <v>727500</v>
      </c>
      <c r="AP830" s="35">
        <f>VLOOKUP(Tabla4[[#This Row],[SERVICIO 2025]],$J$2:$V$14,3,0)*Tabla4[[#This Row],[TOTAL COBERTURA]]*8</f>
        <v>51517200</v>
      </c>
      <c r="AQ830" s="35"/>
      <c r="AR830" s="35">
        <f>Tabla4[[#This Row],[VALOR FASE PREPARATORIA DE ALISTAMIENTO]]+Tabla4[[#This Row],[VALOR FASE PREPARATORIA DE CIERRE]]+Tabla4[[#This Row],[DOTACIÓN ÚNICA]]+Tabla4[[#This Row],[VALOR ATENCIÓN]]+Tabla4[[#This Row],[VALOR RACION PREPARADA]]</f>
        <v>54504825</v>
      </c>
      <c r="AS830" s="35" t="str">
        <f>+IF(Tabla4[[#This Row],[AGRUPACIONES]]=1,SUMIFS(Tabla4[VALOR TOTAL],Tabla4[ZONA DEFINITIVO],Tabla4[[#This Row],[ZONA DEFINITIVO]])," ")</f>
        <v xml:space="preserve"> </v>
      </c>
      <c r="AT830" s="27">
        <f>(VLOOKUP(Tabla4[[#This Row],[SERVICIO 2025]],$J$2:$V$14,3,0)*Tabla4[[#This Row],[TOTAL COBERTURA]])+Tabla4[[#This Row],[VALOR FASE PREPARATORIA DE ALISTAMIENTO]]+Tabla4[[#This Row],[DOTACIÓN ÚNICA]]</f>
        <v>8401550</v>
      </c>
      <c r="AU830" s="35">
        <f>(VLOOKUP(Tabla4[[#This Row],[SERVICIO 2025]],$J$2:$V$14,3,0)*Tabla4[[#This Row],[TOTAL COBERTURA]])</f>
        <v>6439650</v>
      </c>
      <c r="AV830" s="35">
        <f>(VLOOKUP(Tabla4[[#This Row],[SERVICIO 2025]],$J$2:$V$14,3,0)*Tabla4[[#This Row],[TOTAL COBERTURA]])</f>
        <v>6439650</v>
      </c>
      <c r="AW830" s="35">
        <f>(VLOOKUP(Tabla4[[#This Row],[SERVICIO 2025]],$J$2:$V$14,3,0)*Tabla4[[#This Row],[TOTAL COBERTURA]])</f>
        <v>6439650</v>
      </c>
      <c r="AX830" s="35">
        <f>(VLOOKUP(Tabla4[[#This Row],[SERVICIO 2025]],$J$2:$V$14,3,0)*Tabla4[[#This Row],[TOTAL COBERTURA]])</f>
        <v>6439650</v>
      </c>
      <c r="AY830" s="35">
        <f>(VLOOKUP(Tabla4[[#This Row],[SERVICIO 2025]],$J$2:$V$14,3,0)*Tabla4[[#This Row],[TOTAL COBERTURA]])</f>
        <v>6439650</v>
      </c>
      <c r="AZ830" s="35">
        <f>(VLOOKUP(Tabla4[[#This Row],[SERVICIO 2025]],$J$2:$V$14,3,0)*Tabla4[[#This Row],[TOTAL COBERTURA]])</f>
        <v>6439650</v>
      </c>
      <c r="BA830" s="35">
        <f>(VLOOKUP(Tabla4[[#This Row],[SERVICIO 2025]],$J$2:$V$14,3,0)*Tabla4[[#This Row],[TOTAL COBERTURA]])+Tabla4[[#This Row],[VALOR FASE PREPARATORIA DE CIERRE]]</f>
        <v>7465375</v>
      </c>
      <c r="BB830" s="35">
        <f>SUM(Tabla4[[#This Row],[DESEMBOLSO 1]:[DESEMBOLSO 8]])</f>
        <v>54504825</v>
      </c>
      <c r="BC830" s="35">
        <f>VLOOKUP(Tabla4[[#This Row],[SERVICIO 2025]],$J$2:$V$14,10,0)*Tabla4[[#This Row],[TOTAL COBERTURA]]*$W$3</f>
        <v>36076600</v>
      </c>
      <c r="BD830" s="47" t="s">
        <v>211</v>
      </c>
      <c r="BE830" s="12" t="b">
        <f>EXACT(Tabla4[[#This Row],[VALOR ATENCIÓN (8 MESES)]],Tabla4[[#This Row],[VALOR TOTAL]])</f>
        <v>1</v>
      </c>
      <c r="BF830" s="23">
        <f>Tabla4[[#This Row],[VALOR ATENCIÓN (8 MESES)]]-Tabla4[[#This Row],[VALOR TOTAL]]</f>
        <v>0</v>
      </c>
      <c r="BG830" s="12" t="b">
        <f>EXACT(Tabla4[[#This Row],[TOTAL DESEMBOLSOS]],Tabla4[[#This Row],[VALOR ATENCIÓN (8 MESES)]])</f>
        <v>1</v>
      </c>
      <c r="BH830" s="29">
        <f>Tabla4[[#This Row],[TOTAL DESEMBOLSOS]]-Tabla4[[#This Row],[VALOR ATENCIÓN (8 MESES)]]</f>
        <v>0</v>
      </c>
      <c r="BI830" t="s">
        <v>98</v>
      </c>
      <c r="BJ830">
        <v>1969</v>
      </c>
    </row>
    <row r="831" spans="1:62">
      <c r="A831" s="13">
        <v>1970</v>
      </c>
      <c r="B831" s="13" t="s">
        <v>1849</v>
      </c>
      <c r="C831" s="12" t="s">
        <v>87</v>
      </c>
      <c r="D831" s="12" t="s">
        <v>527</v>
      </c>
      <c r="E831" s="12" t="s">
        <v>1850</v>
      </c>
      <c r="F831" s="12" t="s">
        <v>18</v>
      </c>
      <c r="G831" s="12" t="s">
        <v>90</v>
      </c>
      <c r="H831" s="12" t="s">
        <v>767</v>
      </c>
      <c r="I831" s="12">
        <v>54831118027</v>
      </c>
      <c r="J831" s="12" t="s">
        <v>1851</v>
      </c>
      <c r="K831" s="12">
        <v>1</v>
      </c>
      <c r="L831" s="12">
        <v>48</v>
      </c>
      <c r="M831" s="12"/>
      <c r="N831" s="13">
        <v>1970</v>
      </c>
      <c r="O831" s="12" t="s">
        <v>93</v>
      </c>
      <c r="P831" s="12"/>
      <c r="Q831" s="12"/>
      <c r="R831" s="12" t="s">
        <v>94</v>
      </c>
      <c r="S831" s="12">
        <v>10</v>
      </c>
      <c r="T831" s="12" t="s">
        <v>1852</v>
      </c>
      <c r="U831" s="12" t="s">
        <v>1853</v>
      </c>
      <c r="V831" s="12">
        <f>VLOOKUP(Tabla4[[#This Row],[ZONA DEFINITIVO]],Hoja1!$A$1:$D$121,3,0)</f>
        <v>229129</v>
      </c>
      <c r="W831" s="12">
        <f>VLOOKUP(Tabla4[[#This Row],[ZONA DEFINITIVO]],Hoja1!$A$1:$D$121,2,0)</f>
        <v>15236</v>
      </c>
      <c r="X831" s="12">
        <f>VLOOKUP(Tabla4[[#This Row],[ZONA DEFINITIVO]],Hoja1!$A$1:$D$121,4,0)</f>
        <v>88125</v>
      </c>
      <c r="Y831" s="12">
        <f>+IF(Tabla4[[#This Row],[AGRUPACIONES]]=1,SUMIFS(Tabla4[UDS],Tabla4[ZONA DEFINITIVO],Tabla4[[#This Row],[ZONA DEFINITIVO]])," ")</f>
        <v>6</v>
      </c>
      <c r="Z831" s="12">
        <f>+IF(Tabla4[[#This Row],[AGRUPACIONES]]=1,SUMIFS(Tabla4[TOTAL COBERTURA],Tabla4[ZONA DEFINITIVO],Tabla4[[#This Row],[ZONA DEFINITIVO]])," ")</f>
        <v>329</v>
      </c>
      <c r="AA831" s="12"/>
      <c r="AB831" s="38">
        <v>104649264</v>
      </c>
      <c r="AC831" s="37">
        <v>0.02</v>
      </c>
      <c r="AD831" s="38">
        <f t="shared" si="13"/>
        <v>2092985.28</v>
      </c>
      <c r="AE831" s="12"/>
      <c r="AF831" s="12">
        <f>COUNTIF($A$20:A831,A831)</f>
        <v>1</v>
      </c>
      <c r="AG831" s="38">
        <v>104649264</v>
      </c>
      <c r="AH831" s="38">
        <f>Tabla4[[#This Row],[VALOR CONTRAPARTIDA]]+Tabla4[[#This Row],[TOTAL APORTES ICBF]]</f>
        <v>106742249.28</v>
      </c>
      <c r="AI831" s="35">
        <f>ROUND(+IF(Tabla4[[#This Row],[AGRUPACIONES]]=1,SUMIFS(Tabla4[TOTAL APORTES ICBF],Tabla4[ZONA DEFINITIVO],Tabla4[[#This Row],[ZONA DEFINITIVO]])," "),0)</f>
        <v>877976057</v>
      </c>
      <c r="AJ831" s="38">
        <f>ROUND(+IF(Tabla4[[#This Row],[AGRUPACIONES]]=1,SUMIFS(Tabla4[VALOR CONTRAPARTIDA],Tabla4[ZONA DEFINITIVO],Tabla4[[#This Row],[ZONA DEFINITIVO]])," "),0)</f>
        <v>17559521</v>
      </c>
      <c r="AK831" s="38">
        <f>Tabla4[[#This Row],[TOTAL APORTES ICBF AGRUPADO]]+Tabla4[[#This Row],[TOTAL CONTRAPARTIDA AGRUPADO]]</f>
        <v>895535578</v>
      </c>
      <c r="AL831" s="23">
        <f>Tabla4[[#This Row],[TOTAL APORTES ICBF AGRUPADO]]/$AL$18</f>
        <v>616.77278328064631</v>
      </c>
      <c r="AM831" s="35">
        <f>VLOOKUP(Tabla4[[#This Row],[SERVICIO 2025]],$J$2:$V$14,5,0)*Tabla4[[#This Row],[TOTAL COBERTURA]]</f>
        <v>2370048</v>
      </c>
      <c r="AN831" s="35">
        <f>VLOOKUP(Tabla4[[#This Row],[SERVICIO 2025]],$J$2:$V$14,6,0)*Tabla4[[#This Row],[TOTAL COBERTURA]]</f>
        <v>1969392</v>
      </c>
      <c r="AO831" s="35">
        <f>VLOOKUP(Tabla4[[#This Row],[SERVICIO 2025]],$J$2:$V$14,8,0)*Tabla4[[#This Row],[TOTAL COBERTURA]]</f>
        <v>1396800</v>
      </c>
      <c r="AP831" s="35">
        <f>VLOOKUP(Tabla4[[#This Row],[SERVICIO 2025]],$J$2:$V$14,3,0)*Tabla4[[#This Row],[TOTAL COBERTURA]]*8</f>
        <v>98913024</v>
      </c>
      <c r="AQ831" s="35"/>
      <c r="AR831" s="35">
        <f>Tabla4[[#This Row],[VALOR FASE PREPARATORIA DE ALISTAMIENTO]]+Tabla4[[#This Row],[VALOR FASE PREPARATORIA DE CIERRE]]+Tabla4[[#This Row],[DOTACIÓN ÚNICA]]+Tabla4[[#This Row],[VALOR ATENCIÓN]]+Tabla4[[#This Row],[VALOR RACION PREPARADA]]</f>
        <v>104649264</v>
      </c>
      <c r="AS831" s="35">
        <f>+IF(Tabla4[[#This Row],[AGRUPACIONES]]=1,SUMIFS(Tabla4[VALOR TOTAL],Tabla4[ZONA DEFINITIVO],Tabla4[[#This Row],[ZONA DEFINITIVO]])," ")</f>
        <v>877976057</v>
      </c>
      <c r="AT831" s="27">
        <f>(VLOOKUP(Tabla4[[#This Row],[SERVICIO 2025]],$J$2:$V$14,3,0)*Tabla4[[#This Row],[TOTAL COBERTURA]])+Tabla4[[#This Row],[VALOR FASE PREPARATORIA DE ALISTAMIENTO]]+Tabla4[[#This Row],[DOTACIÓN ÚNICA]]</f>
        <v>16130976</v>
      </c>
      <c r="AU831" s="35">
        <f>(VLOOKUP(Tabla4[[#This Row],[SERVICIO 2025]],$J$2:$V$14,3,0)*Tabla4[[#This Row],[TOTAL COBERTURA]])</f>
        <v>12364128</v>
      </c>
      <c r="AV831" s="35">
        <f>(VLOOKUP(Tabla4[[#This Row],[SERVICIO 2025]],$J$2:$V$14,3,0)*Tabla4[[#This Row],[TOTAL COBERTURA]])</f>
        <v>12364128</v>
      </c>
      <c r="AW831" s="35">
        <f>(VLOOKUP(Tabla4[[#This Row],[SERVICIO 2025]],$J$2:$V$14,3,0)*Tabla4[[#This Row],[TOTAL COBERTURA]])</f>
        <v>12364128</v>
      </c>
      <c r="AX831" s="35">
        <f>(VLOOKUP(Tabla4[[#This Row],[SERVICIO 2025]],$J$2:$V$14,3,0)*Tabla4[[#This Row],[TOTAL COBERTURA]])</f>
        <v>12364128</v>
      </c>
      <c r="AY831" s="35">
        <f>(VLOOKUP(Tabla4[[#This Row],[SERVICIO 2025]],$J$2:$V$14,3,0)*Tabla4[[#This Row],[TOTAL COBERTURA]])</f>
        <v>12364128</v>
      </c>
      <c r="AZ831" s="35">
        <f>(VLOOKUP(Tabla4[[#This Row],[SERVICIO 2025]],$J$2:$V$14,3,0)*Tabla4[[#This Row],[TOTAL COBERTURA]])</f>
        <v>12364128</v>
      </c>
      <c r="BA831" s="35">
        <f>(VLOOKUP(Tabla4[[#This Row],[SERVICIO 2025]],$J$2:$V$14,3,0)*Tabla4[[#This Row],[TOTAL COBERTURA]])+Tabla4[[#This Row],[VALOR FASE PREPARATORIA DE CIERRE]]</f>
        <v>14333520</v>
      </c>
      <c r="BB831" s="35">
        <f>SUM(Tabla4[[#This Row],[DESEMBOLSO 1]:[DESEMBOLSO 8]])</f>
        <v>104649264</v>
      </c>
      <c r="BC831" s="35"/>
      <c r="BD831" s="47" t="s">
        <v>97</v>
      </c>
      <c r="BE831" s="12" t="b">
        <f>EXACT(Tabla4[[#This Row],[VALOR ATENCIÓN (8 MESES)]],Tabla4[[#This Row],[VALOR TOTAL]])</f>
        <v>1</v>
      </c>
      <c r="BF831" s="23">
        <f>Tabla4[[#This Row],[VALOR ATENCIÓN (8 MESES)]]-Tabla4[[#This Row],[VALOR TOTAL]]</f>
        <v>0</v>
      </c>
      <c r="BG831" s="12" t="b">
        <f>EXACT(Tabla4[[#This Row],[TOTAL DESEMBOLSOS]],Tabla4[[#This Row],[VALOR ATENCIÓN (8 MESES)]])</f>
        <v>1</v>
      </c>
      <c r="BH831" s="29">
        <f>Tabla4[[#This Row],[TOTAL DESEMBOLSOS]]-Tabla4[[#This Row],[VALOR ATENCIÓN (8 MESES)]]</f>
        <v>0</v>
      </c>
      <c r="BI831" t="s">
        <v>98</v>
      </c>
    </row>
    <row r="832" spans="1:62">
      <c r="A832" s="13">
        <v>1970</v>
      </c>
      <c r="B832" s="13" t="s">
        <v>1849</v>
      </c>
      <c r="C832" s="12" t="s">
        <v>87</v>
      </c>
      <c r="D832" s="12" t="s">
        <v>527</v>
      </c>
      <c r="E832" s="12" t="s">
        <v>1850</v>
      </c>
      <c r="F832" s="12" t="s">
        <v>18</v>
      </c>
      <c r="G832" s="12" t="s">
        <v>90</v>
      </c>
      <c r="H832" s="12" t="s">
        <v>1854</v>
      </c>
      <c r="I832" s="12">
        <v>54831134931</v>
      </c>
      <c r="J832" s="12" t="s">
        <v>1855</v>
      </c>
      <c r="K832" s="12">
        <v>1</v>
      </c>
      <c r="L832" s="12">
        <v>47</v>
      </c>
      <c r="M832" s="12"/>
      <c r="N832" s="13">
        <v>1970</v>
      </c>
      <c r="O832" s="12" t="s">
        <v>93</v>
      </c>
      <c r="P832" s="12"/>
      <c r="Q832" s="12"/>
      <c r="R832" s="12" t="s">
        <v>94</v>
      </c>
      <c r="S832" s="12">
        <v>10</v>
      </c>
      <c r="T832" s="12" t="s">
        <v>1852</v>
      </c>
      <c r="U832" s="12" t="s">
        <v>1853</v>
      </c>
      <c r="V832" s="12">
        <f>VLOOKUP(Tabla4[[#This Row],[ZONA DEFINITIVO]],Hoja1!$A$1:$D$121,3,0)</f>
        <v>229129</v>
      </c>
      <c r="W832" s="12">
        <f>VLOOKUP(Tabla4[[#This Row],[ZONA DEFINITIVO]],Hoja1!$A$1:$D$121,2,0)</f>
        <v>15236</v>
      </c>
      <c r="X832" s="12">
        <f>VLOOKUP(Tabla4[[#This Row],[ZONA DEFINITIVO]],Hoja1!$A$1:$D$121,4,0)</f>
        <v>88125</v>
      </c>
      <c r="Y832" s="12" t="str">
        <f>+IF(Tabla4[[#This Row],[AGRUPACIONES]]=1,SUMIFS(Tabla4[UDS],Tabla4[ZONA DEFINITIVO],Tabla4[[#This Row],[ZONA DEFINITIVO]])," ")</f>
        <v xml:space="preserve"> </v>
      </c>
      <c r="Z832" s="12" t="str">
        <f>+IF(Tabla4[[#This Row],[AGRUPACIONES]]=1,SUMIFS(Tabla4[TOTAL COBERTURA],Tabla4[ZONA DEFINITIVO],Tabla4[[#This Row],[ZONA DEFINITIVO]])," ")</f>
        <v xml:space="preserve"> </v>
      </c>
      <c r="AA832" s="12"/>
      <c r="AB832" s="38">
        <v>102469071</v>
      </c>
      <c r="AC832" s="37">
        <v>0.02</v>
      </c>
      <c r="AD832" s="38">
        <f t="shared" si="13"/>
        <v>2049381.4200000002</v>
      </c>
      <c r="AE832" s="12"/>
      <c r="AF832" s="12">
        <f>COUNTIF($A$20:A832,A832)</f>
        <v>2</v>
      </c>
      <c r="AG832" s="38">
        <v>102469071</v>
      </c>
      <c r="AH832" s="38">
        <f>Tabla4[[#This Row],[VALOR CONTRAPARTIDA]]+Tabla4[[#This Row],[TOTAL APORTES ICBF]]</f>
        <v>104518452.42</v>
      </c>
      <c r="AI832" s="35"/>
      <c r="AJ832" s="38"/>
      <c r="AK832" s="38"/>
      <c r="AL832" s="23"/>
      <c r="AM832" s="35">
        <f>VLOOKUP(Tabla4[[#This Row],[SERVICIO 2025]],$J$2:$V$14,5,0)*Tabla4[[#This Row],[TOTAL COBERTURA]]</f>
        <v>2320672</v>
      </c>
      <c r="AN832" s="35">
        <f>VLOOKUP(Tabla4[[#This Row],[SERVICIO 2025]],$J$2:$V$14,6,0)*Tabla4[[#This Row],[TOTAL COBERTURA]]</f>
        <v>1928363</v>
      </c>
      <c r="AO832" s="35">
        <f>VLOOKUP(Tabla4[[#This Row],[SERVICIO 2025]],$J$2:$V$14,8,0)*Tabla4[[#This Row],[TOTAL COBERTURA]]</f>
        <v>1367700</v>
      </c>
      <c r="AP832" s="35">
        <f>VLOOKUP(Tabla4[[#This Row],[SERVICIO 2025]],$J$2:$V$14,3,0)*Tabla4[[#This Row],[TOTAL COBERTURA]]*8</f>
        <v>96852336</v>
      </c>
      <c r="AQ832" s="35"/>
      <c r="AR832" s="35">
        <f>Tabla4[[#This Row],[VALOR FASE PREPARATORIA DE ALISTAMIENTO]]+Tabla4[[#This Row],[VALOR FASE PREPARATORIA DE CIERRE]]+Tabla4[[#This Row],[DOTACIÓN ÚNICA]]+Tabla4[[#This Row],[VALOR ATENCIÓN]]+Tabla4[[#This Row],[VALOR RACION PREPARADA]]</f>
        <v>102469071</v>
      </c>
      <c r="AS832" s="35" t="str">
        <f>+IF(Tabla4[[#This Row],[AGRUPACIONES]]=1,SUMIFS(Tabla4[VALOR TOTAL],Tabla4[ZONA DEFINITIVO],Tabla4[[#This Row],[ZONA DEFINITIVO]])," ")</f>
        <v xml:space="preserve"> </v>
      </c>
      <c r="AT832" s="27">
        <f>(VLOOKUP(Tabla4[[#This Row],[SERVICIO 2025]],$J$2:$V$14,3,0)*Tabla4[[#This Row],[TOTAL COBERTURA]])+Tabla4[[#This Row],[VALOR FASE PREPARATORIA DE ALISTAMIENTO]]+Tabla4[[#This Row],[DOTACIÓN ÚNICA]]</f>
        <v>15794914</v>
      </c>
      <c r="AU832" s="35">
        <f>(VLOOKUP(Tabla4[[#This Row],[SERVICIO 2025]],$J$2:$V$14,3,0)*Tabla4[[#This Row],[TOTAL COBERTURA]])</f>
        <v>12106542</v>
      </c>
      <c r="AV832" s="35">
        <f>(VLOOKUP(Tabla4[[#This Row],[SERVICIO 2025]],$J$2:$V$14,3,0)*Tabla4[[#This Row],[TOTAL COBERTURA]])</f>
        <v>12106542</v>
      </c>
      <c r="AW832" s="35">
        <f>(VLOOKUP(Tabla4[[#This Row],[SERVICIO 2025]],$J$2:$V$14,3,0)*Tabla4[[#This Row],[TOTAL COBERTURA]])</f>
        <v>12106542</v>
      </c>
      <c r="AX832" s="35">
        <f>(VLOOKUP(Tabla4[[#This Row],[SERVICIO 2025]],$J$2:$V$14,3,0)*Tabla4[[#This Row],[TOTAL COBERTURA]])</f>
        <v>12106542</v>
      </c>
      <c r="AY832" s="35">
        <f>(VLOOKUP(Tabla4[[#This Row],[SERVICIO 2025]],$J$2:$V$14,3,0)*Tabla4[[#This Row],[TOTAL COBERTURA]])</f>
        <v>12106542</v>
      </c>
      <c r="AZ832" s="35">
        <f>(VLOOKUP(Tabla4[[#This Row],[SERVICIO 2025]],$J$2:$V$14,3,0)*Tabla4[[#This Row],[TOTAL COBERTURA]])</f>
        <v>12106542</v>
      </c>
      <c r="BA832" s="35">
        <f>(VLOOKUP(Tabla4[[#This Row],[SERVICIO 2025]],$J$2:$V$14,3,0)*Tabla4[[#This Row],[TOTAL COBERTURA]])+Tabla4[[#This Row],[VALOR FASE PREPARATORIA DE CIERRE]]</f>
        <v>14034905</v>
      </c>
      <c r="BB832" s="35">
        <f>SUM(Tabla4[[#This Row],[DESEMBOLSO 1]:[DESEMBOLSO 8]])</f>
        <v>102469071</v>
      </c>
      <c r="BC832" s="35"/>
      <c r="BD832" s="47" t="s">
        <v>97</v>
      </c>
      <c r="BE832" s="12" t="b">
        <f>EXACT(Tabla4[[#This Row],[VALOR ATENCIÓN (8 MESES)]],Tabla4[[#This Row],[VALOR TOTAL]])</f>
        <v>1</v>
      </c>
      <c r="BF832" s="23">
        <f>Tabla4[[#This Row],[VALOR ATENCIÓN (8 MESES)]]-Tabla4[[#This Row],[VALOR TOTAL]]</f>
        <v>0</v>
      </c>
      <c r="BG832" s="12" t="b">
        <f>EXACT(Tabla4[[#This Row],[TOTAL DESEMBOLSOS]],Tabla4[[#This Row],[VALOR ATENCIÓN (8 MESES)]])</f>
        <v>1</v>
      </c>
      <c r="BH832" s="29">
        <f>Tabla4[[#This Row],[TOTAL DESEMBOLSOS]]-Tabla4[[#This Row],[VALOR ATENCIÓN (8 MESES)]]</f>
        <v>0</v>
      </c>
      <c r="BI832" t="s">
        <v>98</v>
      </c>
    </row>
    <row r="833" spans="1:62">
      <c r="A833" s="13">
        <v>1970</v>
      </c>
      <c r="B833" s="13" t="s">
        <v>1849</v>
      </c>
      <c r="C833" s="12" t="s">
        <v>87</v>
      </c>
      <c r="D833" s="12" t="s">
        <v>527</v>
      </c>
      <c r="E833" s="12" t="s">
        <v>1850</v>
      </c>
      <c r="F833" s="12" t="s">
        <v>18</v>
      </c>
      <c r="G833" s="12" t="s">
        <v>90</v>
      </c>
      <c r="H833" s="12" t="s">
        <v>1591</v>
      </c>
      <c r="I833" s="12">
        <v>54831134965</v>
      </c>
      <c r="J833" s="12" t="s">
        <v>1856</v>
      </c>
      <c r="K833" s="12">
        <v>1</v>
      </c>
      <c r="L833" s="12">
        <v>51</v>
      </c>
      <c r="M833" s="12"/>
      <c r="N833" s="13">
        <v>1970</v>
      </c>
      <c r="O833" s="12" t="s">
        <v>93</v>
      </c>
      <c r="P833" s="12"/>
      <c r="Q833" s="12"/>
      <c r="R833" s="12" t="s">
        <v>94</v>
      </c>
      <c r="S833" s="12">
        <v>10</v>
      </c>
      <c r="T833" s="12" t="s">
        <v>1852</v>
      </c>
      <c r="U833" s="12" t="s">
        <v>1853</v>
      </c>
      <c r="V833" s="12">
        <f>VLOOKUP(Tabla4[[#This Row],[ZONA DEFINITIVO]],Hoja1!$A$1:$D$121,3,0)</f>
        <v>229129</v>
      </c>
      <c r="W833" s="12">
        <f>VLOOKUP(Tabla4[[#This Row],[ZONA DEFINITIVO]],Hoja1!$A$1:$D$121,2,0)</f>
        <v>15236</v>
      </c>
      <c r="X833" s="12">
        <f>VLOOKUP(Tabla4[[#This Row],[ZONA DEFINITIVO]],Hoja1!$A$1:$D$121,4,0)</f>
        <v>88125</v>
      </c>
      <c r="Y833" s="12" t="str">
        <f>+IF(Tabla4[[#This Row],[AGRUPACIONES]]=1,SUMIFS(Tabla4[UDS],Tabla4[ZONA DEFINITIVO],Tabla4[[#This Row],[ZONA DEFINITIVO]])," ")</f>
        <v xml:space="preserve"> </v>
      </c>
      <c r="Z833" s="12" t="str">
        <f>+IF(Tabla4[[#This Row],[AGRUPACIONES]]=1,SUMIFS(Tabla4[TOTAL COBERTURA],Tabla4[ZONA DEFINITIVO],Tabla4[[#This Row],[ZONA DEFINITIVO]])," ")</f>
        <v xml:space="preserve"> </v>
      </c>
      <c r="AA833" s="12"/>
      <c r="AB833" s="38">
        <v>111189843</v>
      </c>
      <c r="AC833" s="37">
        <v>0.02</v>
      </c>
      <c r="AD833" s="38">
        <f t="shared" si="13"/>
        <v>2223796.86</v>
      </c>
      <c r="AE833" s="12"/>
      <c r="AF833" s="12">
        <f>COUNTIF($A$20:A833,A833)</f>
        <v>3</v>
      </c>
      <c r="AG833" s="38">
        <v>111189843</v>
      </c>
      <c r="AH833" s="38">
        <f>Tabla4[[#This Row],[VALOR CONTRAPARTIDA]]+Tabla4[[#This Row],[TOTAL APORTES ICBF]]</f>
        <v>113413639.86</v>
      </c>
      <c r="AI833" s="35"/>
      <c r="AJ833" s="38"/>
      <c r="AK833" s="38"/>
      <c r="AL833" s="23"/>
      <c r="AM833" s="35">
        <f>VLOOKUP(Tabla4[[#This Row],[SERVICIO 2025]],$J$2:$V$14,5,0)*Tabla4[[#This Row],[TOTAL COBERTURA]]</f>
        <v>2518176</v>
      </c>
      <c r="AN833" s="35">
        <f>VLOOKUP(Tabla4[[#This Row],[SERVICIO 2025]],$J$2:$V$14,6,0)*Tabla4[[#This Row],[TOTAL COBERTURA]]</f>
        <v>2092479</v>
      </c>
      <c r="AO833" s="35">
        <f>VLOOKUP(Tabla4[[#This Row],[SERVICIO 2025]],$J$2:$V$14,8,0)*Tabla4[[#This Row],[TOTAL COBERTURA]]</f>
        <v>1484100</v>
      </c>
      <c r="AP833" s="35">
        <f>VLOOKUP(Tabla4[[#This Row],[SERVICIO 2025]],$J$2:$V$14,3,0)*Tabla4[[#This Row],[TOTAL COBERTURA]]*8</f>
        <v>105095088</v>
      </c>
      <c r="AQ833" s="35"/>
      <c r="AR833" s="35">
        <f>Tabla4[[#This Row],[VALOR FASE PREPARATORIA DE ALISTAMIENTO]]+Tabla4[[#This Row],[VALOR FASE PREPARATORIA DE CIERRE]]+Tabla4[[#This Row],[DOTACIÓN ÚNICA]]+Tabla4[[#This Row],[VALOR ATENCIÓN]]+Tabla4[[#This Row],[VALOR RACION PREPARADA]]</f>
        <v>111189843</v>
      </c>
      <c r="AS833" s="35" t="str">
        <f>+IF(Tabla4[[#This Row],[AGRUPACIONES]]=1,SUMIFS(Tabla4[VALOR TOTAL],Tabla4[ZONA DEFINITIVO],Tabla4[[#This Row],[ZONA DEFINITIVO]])," ")</f>
        <v xml:space="preserve"> </v>
      </c>
      <c r="AT833" s="27">
        <f>(VLOOKUP(Tabla4[[#This Row],[SERVICIO 2025]],$J$2:$V$14,3,0)*Tabla4[[#This Row],[TOTAL COBERTURA]])+Tabla4[[#This Row],[VALOR FASE PREPARATORIA DE ALISTAMIENTO]]+Tabla4[[#This Row],[DOTACIÓN ÚNICA]]</f>
        <v>17139162</v>
      </c>
      <c r="AU833" s="35">
        <f>(VLOOKUP(Tabla4[[#This Row],[SERVICIO 2025]],$J$2:$V$14,3,0)*Tabla4[[#This Row],[TOTAL COBERTURA]])</f>
        <v>13136886</v>
      </c>
      <c r="AV833" s="35">
        <f>(VLOOKUP(Tabla4[[#This Row],[SERVICIO 2025]],$J$2:$V$14,3,0)*Tabla4[[#This Row],[TOTAL COBERTURA]])</f>
        <v>13136886</v>
      </c>
      <c r="AW833" s="35">
        <f>(VLOOKUP(Tabla4[[#This Row],[SERVICIO 2025]],$J$2:$V$14,3,0)*Tabla4[[#This Row],[TOTAL COBERTURA]])</f>
        <v>13136886</v>
      </c>
      <c r="AX833" s="35">
        <f>(VLOOKUP(Tabla4[[#This Row],[SERVICIO 2025]],$J$2:$V$14,3,0)*Tabla4[[#This Row],[TOTAL COBERTURA]])</f>
        <v>13136886</v>
      </c>
      <c r="AY833" s="35">
        <f>(VLOOKUP(Tabla4[[#This Row],[SERVICIO 2025]],$J$2:$V$14,3,0)*Tabla4[[#This Row],[TOTAL COBERTURA]])</f>
        <v>13136886</v>
      </c>
      <c r="AZ833" s="35">
        <f>(VLOOKUP(Tabla4[[#This Row],[SERVICIO 2025]],$J$2:$V$14,3,0)*Tabla4[[#This Row],[TOTAL COBERTURA]])</f>
        <v>13136886</v>
      </c>
      <c r="BA833" s="35">
        <f>(VLOOKUP(Tabla4[[#This Row],[SERVICIO 2025]],$J$2:$V$14,3,0)*Tabla4[[#This Row],[TOTAL COBERTURA]])+Tabla4[[#This Row],[VALOR FASE PREPARATORIA DE CIERRE]]</f>
        <v>15229365</v>
      </c>
      <c r="BB833" s="35">
        <f>SUM(Tabla4[[#This Row],[DESEMBOLSO 1]:[DESEMBOLSO 8]])</f>
        <v>111189843</v>
      </c>
      <c r="BC833" s="35"/>
      <c r="BD833" s="47" t="s">
        <v>97</v>
      </c>
      <c r="BE833" s="12" t="b">
        <f>EXACT(Tabla4[[#This Row],[VALOR ATENCIÓN (8 MESES)]],Tabla4[[#This Row],[VALOR TOTAL]])</f>
        <v>1</v>
      </c>
      <c r="BF833" s="23">
        <f>Tabla4[[#This Row],[VALOR ATENCIÓN (8 MESES)]]-Tabla4[[#This Row],[VALOR TOTAL]]</f>
        <v>0</v>
      </c>
      <c r="BG833" s="12" t="b">
        <f>EXACT(Tabla4[[#This Row],[TOTAL DESEMBOLSOS]],Tabla4[[#This Row],[VALOR ATENCIÓN (8 MESES)]])</f>
        <v>1</v>
      </c>
      <c r="BH833" s="29">
        <f>Tabla4[[#This Row],[TOTAL DESEMBOLSOS]]-Tabla4[[#This Row],[VALOR ATENCIÓN (8 MESES)]]</f>
        <v>0</v>
      </c>
      <c r="BI833" t="s">
        <v>98</v>
      </c>
    </row>
    <row r="834" spans="1:62">
      <c r="A834" s="13">
        <v>1970</v>
      </c>
      <c r="B834" s="13" t="s">
        <v>1849</v>
      </c>
      <c r="C834" s="12" t="s">
        <v>87</v>
      </c>
      <c r="D834" s="12" t="s">
        <v>527</v>
      </c>
      <c r="E834" s="12" t="s">
        <v>1850</v>
      </c>
      <c r="F834" s="12" t="s">
        <v>18</v>
      </c>
      <c r="G834" s="12" t="s">
        <v>90</v>
      </c>
      <c r="H834" s="12" t="s">
        <v>615</v>
      </c>
      <c r="I834" s="12">
        <v>54831148709</v>
      </c>
      <c r="J834" s="12" t="s">
        <v>566</v>
      </c>
      <c r="K834" s="12">
        <v>1</v>
      </c>
      <c r="L834" s="12">
        <v>52</v>
      </c>
      <c r="M834" s="12"/>
      <c r="N834" s="13">
        <v>1970</v>
      </c>
      <c r="O834" s="12" t="s">
        <v>93</v>
      </c>
      <c r="P834" s="12"/>
      <c r="Q834" s="12"/>
      <c r="R834" s="12" t="s">
        <v>94</v>
      </c>
      <c r="S834" s="12">
        <v>10</v>
      </c>
      <c r="T834" s="12" t="s">
        <v>1852</v>
      </c>
      <c r="U834" s="12" t="s">
        <v>1853</v>
      </c>
      <c r="V834" s="12">
        <f>VLOOKUP(Tabla4[[#This Row],[ZONA DEFINITIVO]],Hoja1!$A$1:$D$121,3,0)</f>
        <v>229129</v>
      </c>
      <c r="W834" s="12">
        <f>VLOOKUP(Tabla4[[#This Row],[ZONA DEFINITIVO]],Hoja1!$A$1:$D$121,2,0)</f>
        <v>15236</v>
      </c>
      <c r="X834" s="12">
        <f>VLOOKUP(Tabla4[[#This Row],[ZONA DEFINITIVO]],Hoja1!$A$1:$D$121,4,0)</f>
        <v>88125</v>
      </c>
      <c r="Y834" s="12" t="str">
        <f>+IF(Tabla4[[#This Row],[AGRUPACIONES]]=1,SUMIFS(Tabla4[UDS],Tabla4[ZONA DEFINITIVO],Tabla4[[#This Row],[ZONA DEFINITIVO]])," ")</f>
        <v xml:space="preserve"> </v>
      </c>
      <c r="Z834" s="12" t="str">
        <f>+IF(Tabla4[[#This Row],[AGRUPACIONES]]=1,SUMIFS(Tabla4[TOTAL COBERTURA],Tabla4[ZONA DEFINITIVO],Tabla4[[#This Row],[ZONA DEFINITIVO]])," ")</f>
        <v xml:space="preserve"> </v>
      </c>
      <c r="AA834" s="12"/>
      <c r="AB834" s="38">
        <v>113370036</v>
      </c>
      <c r="AC834" s="37">
        <v>0.02</v>
      </c>
      <c r="AD834" s="38">
        <f t="shared" si="13"/>
        <v>2267400.7200000002</v>
      </c>
      <c r="AE834" s="12"/>
      <c r="AF834" s="12">
        <f>COUNTIF($A$20:A834,A834)</f>
        <v>4</v>
      </c>
      <c r="AG834" s="38">
        <v>113370036</v>
      </c>
      <c r="AH834" s="38">
        <f>Tabla4[[#This Row],[VALOR CONTRAPARTIDA]]+Tabla4[[#This Row],[TOTAL APORTES ICBF]]</f>
        <v>115637436.72</v>
      </c>
      <c r="AI834" s="35"/>
      <c r="AJ834" s="38"/>
      <c r="AK834" s="38"/>
      <c r="AL834" s="23"/>
      <c r="AM834" s="35">
        <f>VLOOKUP(Tabla4[[#This Row],[SERVICIO 2025]],$J$2:$V$14,5,0)*Tabla4[[#This Row],[TOTAL COBERTURA]]</f>
        <v>2567552</v>
      </c>
      <c r="AN834" s="35">
        <f>VLOOKUP(Tabla4[[#This Row],[SERVICIO 2025]],$J$2:$V$14,6,0)*Tabla4[[#This Row],[TOTAL COBERTURA]]</f>
        <v>2133508</v>
      </c>
      <c r="AO834" s="35">
        <f>VLOOKUP(Tabla4[[#This Row],[SERVICIO 2025]],$J$2:$V$14,8,0)*Tabla4[[#This Row],[TOTAL COBERTURA]]</f>
        <v>1513200</v>
      </c>
      <c r="AP834" s="35">
        <f>VLOOKUP(Tabla4[[#This Row],[SERVICIO 2025]],$J$2:$V$14,3,0)*Tabla4[[#This Row],[TOTAL COBERTURA]]*8</f>
        <v>107155776</v>
      </c>
      <c r="AQ834" s="35"/>
      <c r="AR834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834" s="35" t="str">
        <f>+IF(Tabla4[[#This Row],[AGRUPACIONES]]=1,SUMIFS(Tabla4[VALOR TOTAL],Tabla4[ZONA DEFINITIVO],Tabla4[[#This Row],[ZONA DEFINITIVO]])," ")</f>
        <v xml:space="preserve"> </v>
      </c>
      <c r="AT834" s="27">
        <f>(VLOOKUP(Tabla4[[#This Row],[SERVICIO 2025]],$J$2:$V$14,3,0)*Tabla4[[#This Row],[TOTAL COBERTURA]])+Tabla4[[#This Row],[VALOR FASE PREPARATORIA DE ALISTAMIENTO]]+Tabla4[[#This Row],[DOTACIÓN ÚNICA]]</f>
        <v>17475224</v>
      </c>
      <c r="AU834" s="35">
        <f>(VLOOKUP(Tabla4[[#This Row],[SERVICIO 2025]],$J$2:$V$14,3,0)*Tabla4[[#This Row],[TOTAL COBERTURA]])</f>
        <v>13394472</v>
      </c>
      <c r="AV834" s="35">
        <f>(VLOOKUP(Tabla4[[#This Row],[SERVICIO 2025]],$J$2:$V$14,3,0)*Tabla4[[#This Row],[TOTAL COBERTURA]])</f>
        <v>13394472</v>
      </c>
      <c r="AW834" s="35">
        <f>(VLOOKUP(Tabla4[[#This Row],[SERVICIO 2025]],$J$2:$V$14,3,0)*Tabla4[[#This Row],[TOTAL COBERTURA]])</f>
        <v>13394472</v>
      </c>
      <c r="AX834" s="35">
        <f>(VLOOKUP(Tabla4[[#This Row],[SERVICIO 2025]],$J$2:$V$14,3,0)*Tabla4[[#This Row],[TOTAL COBERTURA]])</f>
        <v>13394472</v>
      </c>
      <c r="AY834" s="35">
        <f>(VLOOKUP(Tabla4[[#This Row],[SERVICIO 2025]],$J$2:$V$14,3,0)*Tabla4[[#This Row],[TOTAL COBERTURA]])</f>
        <v>13394472</v>
      </c>
      <c r="AZ834" s="35">
        <f>(VLOOKUP(Tabla4[[#This Row],[SERVICIO 2025]],$J$2:$V$14,3,0)*Tabla4[[#This Row],[TOTAL COBERTURA]])</f>
        <v>13394472</v>
      </c>
      <c r="BA834" s="35">
        <f>(VLOOKUP(Tabla4[[#This Row],[SERVICIO 2025]],$J$2:$V$14,3,0)*Tabla4[[#This Row],[TOTAL COBERTURA]])+Tabla4[[#This Row],[VALOR FASE PREPARATORIA DE CIERRE]]</f>
        <v>15527980</v>
      </c>
      <c r="BB834" s="35">
        <f>SUM(Tabla4[[#This Row],[DESEMBOLSO 1]:[DESEMBOLSO 8]])</f>
        <v>113370036</v>
      </c>
      <c r="BC834" s="35"/>
      <c r="BD834" s="47" t="s">
        <v>97</v>
      </c>
      <c r="BE834" s="12" t="b">
        <f>EXACT(Tabla4[[#This Row],[VALOR ATENCIÓN (8 MESES)]],Tabla4[[#This Row],[VALOR TOTAL]])</f>
        <v>1</v>
      </c>
      <c r="BF834" s="23">
        <f>Tabla4[[#This Row],[VALOR ATENCIÓN (8 MESES)]]-Tabla4[[#This Row],[VALOR TOTAL]]</f>
        <v>0</v>
      </c>
      <c r="BG834" s="12" t="b">
        <f>EXACT(Tabla4[[#This Row],[TOTAL DESEMBOLSOS]],Tabla4[[#This Row],[VALOR ATENCIÓN (8 MESES)]])</f>
        <v>1</v>
      </c>
      <c r="BH834" s="29">
        <f>Tabla4[[#This Row],[TOTAL DESEMBOLSOS]]-Tabla4[[#This Row],[VALOR ATENCIÓN (8 MESES)]]</f>
        <v>0</v>
      </c>
      <c r="BI834" t="s">
        <v>98</v>
      </c>
    </row>
    <row r="835" spans="1:62">
      <c r="A835" s="13">
        <v>1970</v>
      </c>
      <c r="B835" s="13" t="s">
        <v>1849</v>
      </c>
      <c r="C835" s="12" t="s">
        <v>87</v>
      </c>
      <c r="D835" s="12" t="s">
        <v>527</v>
      </c>
      <c r="E835" s="12" t="s">
        <v>1850</v>
      </c>
      <c r="F835" s="12" t="s">
        <v>18</v>
      </c>
      <c r="G835" s="12" t="s">
        <v>90</v>
      </c>
      <c r="H835" s="12" t="s">
        <v>1857</v>
      </c>
      <c r="I835" s="12">
        <v>54831148710</v>
      </c>
      <c r="J835" s="12" t="s">
        <v>1858</v>
      </c>
      <c r="K835" s="12">
        <v>1</v>
      </c>
      <c r="L835" s="12">
        <v>51</v>
      </c>
      <c r="M835" s="12"/>
      <c r="N835" s="13">
        <v>1970</v>
      </c>
      <c r="O835" s="12" t="s">
        <v>93</v>
      </c>
      <c r="P835" s="12"/>
      <c r="Q835" s="12"/>
      <c r="R835" s="12" t="s">
        <v>94</v>
      </c>
      <c r="S835" s="12">
        <v>10</v>
      </c>
      <c r="T835" s="12" t="s">
        <v>1852</v>
      </c>
      <c r="U835" s="12" t="s">
        <v>1853</v>
      </c>
      <c r="V835" s="12">
        <f>VLOOKUP(Tabla4[[#This Row],[ZONA DEFINITIVO]],Hoja1!$A$1:$D$121,3,0)</f>
        <v>229129</v>
      </c>
      <c r="W835" s="12">
        <f>VLOOKUP(Tabla4[[#This Row],[ZONA DEFINITIVO]],Hoja1!$A$1:$D$121,2,0)</f>
        <v>15236</v>
      </c>
      <c r="X835" s="12">
        <f>VLOOKUP(Tabla4[[#This Row],[ZONA DEFINITIVO]],Hoja1!$A$1:$D$121,4,0)</f>
        <v>88125</v>
      </c>
      <c r="Y835" s="12" t="str">
        <f>+IF(Tabla4[[#This Row],[AGRUPACIONES]]=1,SUMIFS(Tabla4[UDS],Tabla4[ZONA DEFINITIVO],Tabla4[[#This Row],[ZONA DEFINITIVO]])," ")</f>
        <v xml:space="preserve"> </v>
      </c>
      <c r="Z835" s="12" t="str">
        <f>+IF(Tabla4[[#This Row],[AGRUPACIONES]]=1,SUMIFS(Tabla4[TOTAL COBERTURA],Tabla4[ZONA DEFINITIVO],Tabla4[[#This Row],[ZONA DEFINITIVO]])," ")</f>
        <v xml:space="preserve"> </v>
      </c>
      <c r="AA835" s="12"/>
      <c r="AB835" s="38">
        <v>111189843</v>
      </c>
      <c r="AC835" s="37">
        <v>0.02</v>
      </c>
      <c r="AD835" s="38">
        <f t="shared" si="13"/>
        <v>2223796.86</v>
      </c>
      <c r="AE835" s="12"/>
      <c r="AF835" s="12">
        <f>COUNTIF($A$20:A835,A835)</f>
        <v>5</v>
      </c>
      <c r="AG835" s="38">
        <v>111189843</v>
      </c>
      <c r="AH835" s="38">
        <f>Tabla4[[#This Row],[VALOR CONTRAPARTIDA]]+Tabla4[[#This Row],[TOTAL APORTES ICBF]]</f>
        <v>113413639.86</v>
      </c>
      <c r="AI835" s="35"/>
      <c r="AJ835" s="38"/>
      <c r="AK835" s="38"/>
      <c r="AL835" s="23"/>
      <c r="AM835" s="35">
        <f>VLOOKUP(Tabla4[[#This Row],[SERVICIO 2025]],$J$2:$V$14,5,0)*Tabla4[[#This Row],[TOTAL COBERTURA]]</f>
        <v>2518176</v>
      </c>
      <c r="AN835" s="35">
        <f>VLOOKUP(Tabla4[[#This Row],[SERVICIO 2025]],$J$2:$V$14,6,0)*Tabla4[[#This Row],[TOTAL COBERTURA]]</f>
        <v>2092479</v>
      </c>
      <c r="AO835" s="35">
        <f>VLOOKUP(Tabla4[[#This Row],[SERVICIO 2025]],$J$2:$V$14,8,0)*Tabla4[[#This Row],[TOTAL COBERTURA]]</f>
        <v>1484100</v>
      </c>
      <c r="AP835" s="35">
        <f>VLOOKUP(Tabla4[[#This Row],[SERVICIO 2025]],$J$2:$V$14,3,0)*Tabla4[[#This Row],[TOTAL COBERTURA]]*8</f>
        <v>105095088</v>
      </c>
      <c r="AQ835" s="35"/>
      <c r="AR835" s="35">
        <f>Tabla4[[#This Row],[VALOR FASE PREPARATORIA DE ALISTAMIENTO]]+Tabla4[[#This Row],[VALOR FASE PREPARATORIA DE CIERRE]]+Tabla4[[#This Row],[DOTACIÓN ÚNICA]]+Tabla4[[#This Row],[VALOR ATENCIÓN]]+Tabla4[[#This Row],[VALOR RACION PREPARADA]]</f>
        <v>111189843</v>
      </c>
      <c r="AS835" s="35" t="str">
        <f>+IF(Tabla4[[#This Row],[AGRUPACIONES]]=1,SUMIFS(Tabla4[VALOR TOTAL],Tabla4[ZONA DEFINITIVO],Tabla4[[#This Row],[ZONA DEFINITIVO]])," ")</f>
        <v xml:space="preserve"> </v>
      </c>
      <c r="AT835" s="27">
        <f>(VLOOKUP(Tabla4[[#This Row],[SERVICIO 2025]],$J$2:$V$14,3,0)*Tabla4[[#This Row],[TOTAL COBERTURA]])+Tabla4[[#This Row],[VALOR FASE PREPARATORIA DE ALISTAMIENTO]]+Tabla4[[#This Row],[DOTACIÓN ÚNICA]]</f>
        <v>17139162</v>
      </c>
      <c r="AU835" s="35">
        <f>(VLOOKUP(Tabla4[[#This Row],[SERVICIO 2025]],$J$2:$V$14,3,0)*Tabla4[[#This Row],[TOTAL COBERTURA]])</f>
        <v>13136886</v>
      </c>
      <c r="AV835" s="35">
        <f>(VLOOKUP(Tabla4[[#This Row],[SERVICIO 2025]],$J$2:$V$14,3,0)*Tabla4[[#This Row],[TOTAL COBERTURA]])</f>
        <v>13136886</v>
      </c>
      <c r="AW835" s="35">
        <f>(VLOOKUP(Tabla4[[#This Row],[SERVICIO 2025]],$J$2:$V$14,3,0)*Tabla4[[#This Row],[TOTAL COBERTURA]])</f>
        <v>13136886</v>
      </c>
      <c r="AX835" s="35">
        <f>(VLOOKUP(Tabla4[[#This Row],[SERVICIO 2025]],$J$2:$V$14,3,0)*Tabla4[[#This Row],[TOTAL COBERTURA]])</f>
        <v>13136886</v>
      </c>
      <c r="AY835" s="35">
        <f>(VLOOKUP(Tabla4[[#This Row],[SERVICIO 2025]],$J$2:$V$14,3,0)*Tabla4[[#This Row],[TOTAL COBERTURA]])</f>
        <v>13136886</v>
      </c>
      <c r="AZ835" s="35">
        <f>(VLOOKUP(Tabla4[[#This Row],[SERVICIO 2025]],$J$2:$V$14,3,0)*Tabla4[[#This Row],[TOTAL COBERTURA]])</f>
        <v>13136886</v>
      </c>
      <c r="BA835" s="35">
        <f>(VLOOKUP(Tabla4[[#This Row],[SERVICIO 2025]],$J$2:$V$14,3,0)*Tabla4[[#This Row],[TOTAL COBERTURA]])+Tabla4[[#This Row],[VALOR FASE PREPARATORIA DE CIERRE]]</f>
        <v>15229365</v>
      </c>
      <c r="BB835" s="35">
        <f>SUM(Tabla4[[#This Row],[DESEMBOLSO 1]:[DESEMBOLSO 8]])</f>
        <v>111189843</v>
      </c>
      <c r="BC835" s="35"/>
      <c r="BD835" s="47" t="s">
        <v>97</v>
      </c>
      <c r="BE835" s="12" t="b">
        <f>EXACT(Tabla4[[#This Row],[VALOR ATENCIÓN (8 MESES)]],Tabla4[[#This Row],[VALOR TOTAL]])</f>
        <v>1</v>
      </c>
      <c r="BF835" s="23">
        <f>Tabla4[[#This Row],[VALOR ATENCIÓN (8 MESES)]]-Tabla4[[#This Row],[VALOR TOTAL]]</f>
        <v>0</v>
      </c>
      <c r="BG835" s="12" t="b">
        <f>EXACT(Tabla4[[#This Row],[TOTAL DESEMBOLSOS]],Tabla4[[#This Row],[VALOR ATENCIÓN (8 MESES)]])</f>
        <v>1</v>
      </c>
      <c r="BH835" s="29">
        <f>Tabla4[[#This Row],[TOTAL DESEMBOLSOS]]-Tabla4[[#This Row],[VALOR ATENCIÓN (8 MESES)]]</f>
        <v>0</v>
      </c>
      <c r="BI835" t="s">
        <v>98</v>
      </c>
    </row>
    <row r="836" spans="1:62">
      <c r="A836" s="13">
        <v>1970</v>
      </c>
      <c r="B836" s="13" t="s">
        <v>1849</v>
      </c>
      <c r="C836" s="12" t="s">
        <v>87</v>
      </c>
      <c r="D836" s="12" t="s">
        <v>527</v>
      </c>
      <c r="E836" s="12" t="s">
        <v>1850</v>
      </c>
      <c r="F836" s="12" t="s">
        <v>14</v>
      </c>
      <c r="G836" s="12" t="s">
        <v>90</v>
      </c>
      <c r="H836" s="12" t="s">
        <v>1859</v>
      </c>
      <c r="I836" s="12">
        <v>548300032887</v>
      </c>
      <c r="J836" s="12" t="s">
        <v>1860</v>
      </c>
      <c r="K836" s="12">
        <v>1</v>
      </c>
      <c r="L836" s="12">
        <v>80</v>
      </c>
      <c r="M836" s="12"/>
      <c r="N836" s="13">
        <v>1970</v>
      </c>
      <c r="O836" s="12" t="s">
        <v>93</v>
      </c>
      <c r="P836" s="12"/>
      <c r="Q836" s="12"/>
      <c r="R836" s="12" t="s">
        <v>94</v>
      </c>
      <c r="S836" s="12">
        <v>10</v>
      </c>
      <c r="T836" s="12" t="s">
        <v>1852</v>
      </c>
      <c r="U836" s="12" t="s">
        <v>1853</v>
      </c>
      <c r="V836" s="12">
        <f>VLOOKUP(Tabla4[[#This Row],[ZONA DEFINITIVO]],Hoja1!$A$1:$D$121,3,0)</f>
        <v>229129</v>
      </c>
      <c r="W836" s="12">
        <f>VLOOKUP(Tabla4[[#This Row],[ZONA DEFINITIVO]],Hoja1!$A$1:$D$121,2,0)</f>
        <v>15236</v>
      </c>
      <c r="X836" s="12">
        <f>VLOOKUP(Tabla4[[#This Row],[ZONA DEFINITIVO]],Hoja1!$A$1:$D$121,4,0)</f>
        <v>88125</v>
      </c>
      <c r="Y836" s="12" t="str">
        <f>+IF(Tabla4[[#This Row],[AGRUPACIONES]]=1,SUMIFS(Tabla4[UDS],Tabla4[ZONA DEFINITIVO],Tabla4[[#This Row],[ZONA DEFINITIVO]])," ")</f>
        <v xml:space="preserve"> </v>
      </c>
      <c r="Z836" s="12" t="str">
        <f>+IF(Tabla4[[#This Row],[AGRUPACIONES]]=1,SUMIFS(Tabla4[TOTAL COBERTURA],Tabla4[ZONA DEFINITIVO],Tabla4[[#This Row],[ZONA DEFINITIVO]])," ")</f>
        <v xml:space="preserve"> </v>
      </c>
      <c r="AA836" s="12"/>
      <c r="AB836" s="38">
        <v>335108000</v>
      </c>
      <c r="AC836" s="37">
        <v>0.02</v>
      </c>
      <c r="AD836" s="38">
        <f t="shared" si="13"/>
        <v>6702160</v>
      </c>
      <c r="AE836" s="12"/>
      <c r="AF836" s="12">
        <f>COUNTIF($A$20:A836,A836)</f>
        <v>6</v>
      </c>
      <c r="AG836" s="38">
        <v>335108000</v>
      </c>
      <c r="AH836" s="38">
        <f>Tabla4[[#This Row],[VALOR CONTRAPARTIDA]]+Tabla4[[#This Row],[TOTAL APORTES ICBF]]</f>
        <v>341810160</v>
      </c>
      <c r="AI836" s="35"/>
      <c r="AJ836" s="38"/>
      <c r="AK836" s="38"/>
      <c r="AL836" s="23"/>
      <c r="AM836" s="35">
        <f>VLOOKUP(Tabla4[[#This Row],[SERVICIO 2025]],$J$2:$V$14,5,0)*Tabla4[[#This Row],[TOTAL COBERTURA]]</f>
        <v>7051440</v>
      </c>
      <c r="AN836" s="35">
        <f>VLOOKUP(Tabla4[[#This Row],[SERVICIO 2025]],$J$2:$V$14,6,0)*Tabla4[[#This Row],[TOTAL COBERTURA]]</f>
        <v>6003440</v>
      </c>
      <c r="AO836" s="35">
        <f>VLOOKUP(Tabla4[[#This Row],[SERVICIO 2025]],$J$2:$V$14,8,0)*Tabla4[[#This Row],[TOTAL COBERTURA]]</f>
        <v>0</v>
      </c>
      <c r="AP836" s="35">
        <f>VLOOKUP(Tabla4[[#This Row],[SERVICIO 2025]],$J$2:$V$14,3,0)*Tabla4[[#This Row],[TOTAL COBERTURA]]*8</f>
        <v>322053120</v>
      </c>
      <c r="AQ836" s="35"/>
      <c r="AR836" s="35">
        <f>Tabla4[[#This Row],[VALOR FASE PREPARATORIA DE ALISTAMIENTO]]+Tabla4[[#This Row],[VALOR FASE PREPARATORIA DE CIERRE]]+Tabla4[[#This Row],[DOTACIÓN ÚNICA]]+Tabla4[[#This Row],[VALOR ATENCIÓN]]+Tabla4[[#This Row],[VALOR RACION PREPARADA]]</f>
        <v>335108000</v>
      </c>
      <c r="AS836" s="35" t="str">
        <f>+IF(Tabla4[[#This Row],[AGRUPACIONES]]=1,SUMIFS(Tabla4[VALOR TOTAL],Tabla4[ZONA DEFINITIVO],Tabla4[[#This Row],[ZONA DEFINITIVO]])," ")</f>
        <v xml:space="preserve"> </v>
      </c>
      <c r="AT836" s="27">
        <f>(VLOOKUP(Tabla4[[#This Row],[SERVICIO 2025]],$J$2:$V$14,3,0)*Tabla4[[#This Row],[TOTAL COBERTURA]])+Tabla4[[#This Row],[VALOR FASE PREPARATORIA DE ALISTAMIENTO]]+Tabla4[[#This Row],[DOTACIÓN ÚNICA]]</f>
        <v>47308080</v>
      </c>
      <c r="AU836" s="35">
        <f>(VLOOKUP(Tabla4[[#This Row],[SERVICIO 2025]],$J$2:$V$14,3,0)*Tabla4[[#This Row],[TOTAL COBERTURA]])</f>
        <v>40256640</v>
      </c>
      <c r="AV836" s="35">
        <f>(VLOOKUP(Tabla4[[#This Row],[SERVICIO 2025]],$J$2:$V$14,3,0)*Tabla4[[#This Row],[TOTAL COBERTURA]])</f>
        <v>40256640</v>
      </c>
      <c r="AW836" s="35">
        <f>(VLOOKUP(Tabla4[[#This Row],[SERVICIO 2025]],$J$2:$V$14,3,0)*Tabla4[[#This Row],[TOTAL COBERTURA]])</f>
        <v>40256640</v>
      </c>
      <c r="AX836" s="35">
        <f>(VLOOKUP(Tabla4[[#This Row],[SERVICIO 2025]],$J$2:$V$14,3,0)*Tabla4[[#This Row],[TOTAL COBERTURA]])</f>
        <v>40256640</v>
      </c>
      <c r="AY836" s="35">
        <f>(VLOOKUP(Tabla4[[#This Row],[SERVICIO 2025]],$J$2:$V$14,3,0)*Tabla4[[#This Row],[TOTAL COBERTURA]])</f>
        <v>40256640</v>
      </c>
      <c r="AZ836" s="35">
        <f>(VLOOKUP(Tabla4[[#This Row],[SERVICIO 2025]],$J$2:$V$14,3,0)*Tabla4[[#This Row],[TOTAL COBERTURA]])</f>
        <v>40256640</v>
      </c>
      <c r="BA836" s="35">
        <f>(VLOOKUP(Tabla4[[#This Row],[SERVICIO 2025]],$J$2:$V$14,3,0)*Tabla4[[#This Row],[TOTAL COBERTURA]])+Tabla4[[#This Row],[VALOR FASE PREPARATORIA DE CIERRE]]</f>
        <v>46260080</v>
      </c>
      <c r="BB836" s="35">
        <f>SUM(Tabla4[[#This Row],[DESEMBOLSO 1]:[DESEMBOLSO 8]])</f>
        <v>335108000</v>
      </c>
      <c r="BC836" s="35">
        <f>VLOOKUP(Tabla4[[#This Row],[SERVICIO 2025]],$J$2:$V$14,10,0)*Tabla4[[#This Row],[TOTAL COBERTURA]]*$W$3</f>
        <v>0</v>
      </c>
      <c r="BD836" s="47" t="s">
        <v>145</v>
      </c>
      <c r="BE836" s="12" t="b">
        <f>EXACT(Tabla4[[#This Row],[VALOR ATENCIÓN (8 MESES)]],Tabla4[[#This Row],[VALOR TOTAL]])</f>
        <v>1</v>
      </c>
      <c r="BF836" s="23">
        <f>Tabla4[[#This Row],[VALOR ATENCIÓN (8 MESES)]]-Tabla4[[#This Row],[VALOR TOTAL]]</f>
        <v>0</v>
      </c>
      <c r="BG836" s="12" t="b">
        <f>EXACT(Tabla4[[#This Row],[TOTAL DESEMBOLSOS]],Tabla4[[#This Row],[VALOR ATENCIÓN (8 MESES)]])</f>
        <v>1</v>
      </c>
      <c r="BH836" s="29">
        <f>Tabla4[[#This Row],[TOTAL DESEMBOLSOS]]-Tabla4[[#This Row],[VALOR ATENCIÓN (8 MESES)]]</f>
        <v>0</v>
      </c>
      <c r="BI836" t="s">
        <v>98</v>
      </c>
    </row>
    <row r="837" spans="1:62">
      <c r="A837" s="13">
        <v>1972</v>
      </c>
      <c r="B837" s="13" t="s">
        <v>1861</v>
      </c>
      <c r="C837" s="12" t="s">
        <v>87</v>
      </c>
      <c r="D837" s="12" t="s">
        <v>987</v>
      </c>
      <c r="E837" s="12" t="s">
        <v>1862</v>
      </c>
      <c r="F837" s="12" t="s">
        <v>18</v>
      </c>
      <c r="G837" s="12" t="s">
        <v>90</v>
      </c>
      <c r="H837" s="12" t="s">
        <v>1863</v>
      </c>
      <c r="I837" s="12">
        <v>54951116575</v>
      </c>
      <c r="J837" s="12" t="s">
        <v>1864</v>
      </c>
      <c r="K837" s="12">
        <v>1</v>
      </c>
      <c r="L837" s="12">
        <v>15</v>
      </c>
      <c r="M837" s="12"/>
      <c r="N837" s="13">
        <v>1972</v>
      </c>
      <c r="O837" s="12" t="s">
        <v>93</v>
      </c>
      <c r="P837" s="12"/>
      <c r="Q837" s="12"/>
      <c r="R837" s="12" t="s">
        <v>94</v>
      </c>
      <c r="S837" s="12">
        <v>10</v>
      </c>
      <c r="T837" s="12" t="s">
        <v>209</v>
      </c>
      <c r="U837" s="12" t="s">
        <v>210</v>
      </c>
      <c r="V837" s="12">
        <f>VLOOKUP(Tabla4[[#This Row],[ZONA DEFINITIVO]],Hoja1!$A$1:$D$121,3,0)</f>
        <v>229130</v>
      </c>
      <c r="W837" s="12">
        <f>VLOOKUP(Tabla4[[#This Row],[ZONA DEFINITIVO]],Hoja1!$A$1:$D$121,2,0)</f>
        <v>15240</v>
      </c>
      <c r="X837" s="12">
        <f>VLOOKUP(Tabla4[[#This Row],[ZONA DEFINITIVO]],Hoja1!$A$1:$D$121,4,0)</f>
        <v>88425</v>
      </c>
      <c r="Y837" s="12">
        <f>+IF(Tabla4[[#This Row],[AGRUPACIONES]]=1,SUMIFS(Tabla4[UDS],Tabla4[ZONA DEFINITIVO],Tabla4[[#This Row],[ZONA DEFINITIVO]])," ")</f>
        <v>31</v>
      </c>
      <c r="Z837" s="12">
        <f>+IF(Tabla4[[#This Row],[AGRUPACIONES]]=1,SUMIFS(Tabla4[TOTAL COBERTURA],Tabla4[ZONA DEFINITIVO],Tabla4[[#This Row],[ZONA DEFINITIVO]])," ")</f>
        <v>642</v>
      </c>
      <c r="AA837" s="12"/>
      <c r="AB837" s="38">
        <v>32702895</v>
      </c>
      <c r="AC837" s="37">
        <v>0.02</v>
      </c>
      <c r="AD837" s="38">
        <f t="shared" si="13"/>
        <v>654057.9</v>
      </c>
      <c r="AE837" s="12"/>
      <c r="AF837" s="12">
        <f>COUNTIF($A$20:A837,A837)</f>
        <v>1</v>
      </c>
      <c r="AG837" s="38">
        <v>32702895</v>
      </c>
      <c r="AH837" s="38">
        <f>Tabla4[[#This Row],[VALOR CONTRAPARTIDA]]+Tabla4[[#This Row],[TOTAL APORTES ICBF]]</f>
        <v>33356952.899999999</v>
      </c>
      <c r="AI837" s="35">
        <f>ROUND(+IF(Tabla4[[#This Row],[AGRUPACIONES]]=1,SUMIFS(Tabla4[TOTAL APORTES ICBF],Tabla4[ZONA DEFINITIVO],Tabla4[[#This Row],[ZONA DEFINITIVO]])," "),0)</f>
        <v>1399683906</v>
      </c>
      <c r="AJ837" s="38">
        <f>ROUND(+IF(Tabla4[[#This Row],[AGRUPACIONES]]=1,SUMIFS(Tabla4[VALOR CONTRAPARTIDA],Tabla4[ZONA DEFINITIVO],Tabla4[[#This Row],[ZONA DEFINITIVO]])," "),0)</f>
        <v>27993678</v>
      </c>
      <c r="AK837" s="38">
        <f>Tabla4[[#This Row],[TOTAL APORTES ICBF AGRUPADO]]+Tabla4[[#This Row],[TOTAL CONTRAPARTIDA AGRUPADO]]</f>
        <v>1427677584</v>
      </c>
      <c r="AL837" s="23">
        <f>Tabla4[[#This Row],[TOTAL APORTES ICBF AGRUPADO]]/$AL$18</f>
        <v>983.26934035827185</v>
      </c>
      <c r="AM837" s="35">
        <f>VLOOKUP(Tabla4[[#This Row],[SERVICIO 2025]],$J$2:$V$14,5,0)*Tabla4[[#This Row],[TOTAL COBERTURA]]</f>
        <v>740640</v>
      </c>
      <c r="AN837" s="35">
        <f>VLOOKUP(Tabla4[[#This Row],[SERVICIO 2025]],$J$2:$V$14,6,0)*Tabla4[[#This Row],[TOTAL COBERTURA]]</f>
        <v>615435</v>
      </c>
      <c r="AO837" s="35">
        <f>VLOOKUP(Tabla4[[#This Row],[SERVICIO 2025]],$J$2:$V$14,8,0)*Tabla4[[#This Row],[TOTAL COBERTURA]]</f>
        <v>436500</v>
      </c>
      <c r="AP837" s="35">
        <f>VLOOKUP(Tabla4[[#This Row],[SERVICIO 2025]],$J$2:$V$14,3,0)*Tabla4[[#This Row],[TOTAL COBERTURA]]*8</f>
        <v>30910320</v>
      </c>
      <c r="AQ837" s="35"/>
      <c r="AR837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837" s="35">
        <f>+IF(Tabla4[[#This Row],[AGRUPACIONES]]=1,SUMIFS(Tabla4[VALOR TOTAL],Tabla4[ZONA DEFINITIVO],Tabla4[[#This Row],[ZONA DEFINITIVO]])," ")</f>
        <v>1399683906</v>
      </c>
      <c r="AT837" s="27">
        <f>(VLOOKUP(Tabla4[[#This Row],[SERVICIO 2025]],$J$2:$V$14,3,0)*Tabla4[[#This Row],[TOTAL COBERTURA]])+Tabla4[[#This Row],[VALOR FASE PREPARATORIA DE ALISTAMIENTO]]+Tabla4[[#This Row],[DOTACIÓN ÚNICA]]</f>
        <v>5040930</v>
      </c>
      <c r="AU837" s="35">
        <f>(VLOOKUP(Tabla4[[#This Row],[SERVICIO 2025]],$J$2:$V$14,3,0)*Tabla4[[#This Row],[TOTAL COBERTURA]])</f>
        <v>3863790</v>
      </c>
      <c r="AV837" s="35">
        <f>(VLOOKUP(Tabla4[[#This Row],[SERVICIO 2025]],$J$2:$V$14,3,0)*Tabla4[[#This Row],[TOTAL COBERTURA]])</f>
        <v>3863790</v>
      </c>
      <c r="AW837" s="35">
        <f>(VLOOKUP(Tabla4[[#This Row],[SERVICIO 2025]],$J$2:$V$14,3,0)*Tabla4[[#This Row],[TOTAL COBERTURA]])</f>
        <v>3863790</v>
      </c>
      <c r="AX837" s="35">
        <f>(VLOOKUP(Tabla4[[#This Row],[SERVICIO 2025]],$J$2:$V$14,3,0)*Tabla4[[#This Row],[TOTAL COBERTURA]])</f>
        <v>3863790</v>
      </c>
      <c r="AY837" s="35">
        <f>(VLOOKUP(Tabla4[[#This Row],[SERVICIO 2025]],$J$2:$V$14,3,0)*Tabla4[[#This Row],[TOTAL COBERTURA]])</f>
        <v>3863790</v>
      </c>
      <c r="AZ837" s="35">
        <f>(VLOOKUP(Tabla4[[#This Row],[SERVICIO 2025]],$J$2:$V$14,3,0)*Tabla4[[#This Row],[TOTAL COBERTURA]])</f>
        <v>3863790</v>
      </c>
      <c r="BA837" s="35">
        <f>(VLOOKUP(Tabla4[[#This Row],[SERVICIO 2025]],$J$2:$V$14,3,0)*Tabla4[[#This Row],[TOTAL COBERTURA]])+Tabla4[[#This Row],[VALOR FASE PREPARATORIA DE CIERRE]]</f>
        <v>4479225</v>
      </c>
      <c r="BB837" s="35">
        <f>SUM(Tabla4[[#This Row],[DESEMBOLSO 1]:[DESEMBOLSO 8]])</f>
        <v>32702895</v>
      </c>
      <c r="BC837" s="35">
        <f>VLOOKUP(Tabla4[[#This Row],[SERVICIO 2025]],$J$2:$V$14,10,0)*Tabla4[[#This Row],[TOTAL COBERTURA]]*$W$3</f>
        <v>21645960</v>
      </c>
      <c r="BD837" s="47" t="s">
        <v>211</v>
      </c>
      <c r="BE837" s="12" t="b">
        <f>EXACT(Tabla4[[#This Row],[VALOR ATENCIÓN (8 MESES)]],Tabla4[[#This Row],[VALOR TOTAL]])</f>
        <v>1</v>
      </c>
      <c r="BF837" s="23">
        <f>Tabla4[[#This Row],[VALOR ATENCIÓN (8 MESES)]]-Tabla4[[#This Row],[VALOR TOTAL]]</f>
        <v>0</v>
      </c>
      <c r="BG837" s="12" t="b">
        <f>EXACT(Tabla4[[#This Row],[TOTAL DESEMBOLSOS]],Tabla4[[#This Row],[VALOR ATENCIÓN (8 MESES)]])</f>
        <v>1</v>
      </c>
      <c r="BH837" s="29">
        <f>Tabla4[[#This Row],[TOTAL DESEMBOLSOS]]-Tabla4[[#This Row],[VALOR ATENCIÓN (8 MESES)]]</f>
        <v>0</v>
      </c>
      <c r="BI837" t="s">
        <v>98</v>
      </c>
      <c r="BJ837">
        <v>1972</v>
      </c>
    </row>
    <row r="838" spans="1:62">
      <c r="A838" s="13">
        <v>1972</v>
      </c>
      <c r="B838" s="13" t="s">
        <v>1861</v>
      </c>
      <c r="C838" s="12" t="s">
        <v>87</v>
      </c>
      <c r="D838" s="12" t="s">
        <v>987</v>
      </c>
      <c r="E838" s="12" t="s">
        <v>1862</v>
      </c>
      <c r="F838" s="12" t="s">
        <v>18</v>
      </c>
      <c r="G838" s="12" t="s">
        <v>90</v>
      </c>
      <c r="H838" s="12" t="s">
        <v>638</v>
      </c>
      <c r="I838" s="12">
        <v>54951116578</v>
      </c>
      <c r="J838" s="12" t="s">
        <v>1865</v>
      </c>
      <c r="K838" s="12">
        <v>1</v>
      </c>
      <c r="L838" s="12">
        <v>16</v>
      </c>
      <c r="M838" s="12"/>
      <c r="N838" s="13">
        <v>1972</v>
      </c>
      <c r="O838" s="12" t="s">
        <v>93</v>
      </c>
      <c r="P838" s="12"/>
      <c r="Q838" s="12"/>
      <c r="R838" s="12" t="s">
        <v>94</v>
      </c>
      <c r="S838" s="12">
        <v>10</v>
      </c>
      <c r="T838" s="12" t="s">
        <v>209</v>
      </c>
      <c r="U838" s="12" t="s">
        <v>210</v>
      </c>
      <c r="V838" s="12">
        <f>VLOOKUP(Tabla4[[#This Row],[ZONA DEFINITIVO]],Hoja1!$A$1:$D$121,3,0)</f>
        <v>229130</v>
      </c>
      <c r="W838" s="12">
        <f>VLOOKUP(Tabla4[[#This Row],[ZONA DEFINITIVO]],Hoja1!$A$1:$D$121,2,0)</f>
        <v>15240</v>
      </c>
      <c r="X838" s="12">
        <f>VLOOKUP(Tabla4[[#This Row],[ZONA DEFINITIVO]],Hoja1!$A$1:$D$121,4,0)</f>
        <v>88425</v>
      </c>
      <c r="Y838" s="12" t="str">
        <f>+IF(Tabla4[[#This Row],[AGRUPACIONES]]=1,SUMIFS(Tabla4[UDS],Tabla4[ZONA DEFINITIVO],Tabla4[[#This Row],[ZONA DEFINITIVO]])," ")</f>
        <v xml:space="preserve"> </v>
      </c>
      <c r="Z838" s="12" t="str">
        <f>+IF(Tabla4[[#This Row],[AGRUPACIONES]]=1,SUMIFS(Tabla4[TOTAL COBERTURA],Tabla4[ZONA DEFINITIVO],Tabla4[[#This Row],[ZONA DEFINITIVO]])," ")</f>
        <v xml:space="preserve"> </v>
      </c>
      <c r="AA838" s="12"/>
      <c r="AB838" s="38">
        <v>34883088</v>
      </c>
      <c r="AC838" s="37">
        <v>0.02</v>
      </c>
      <c r="AD838" s="38">
        <f t="shared" si="13"/>
        <v>697661.76</v>
      </c>
      <c r="AE838" s="12"/>
      <c r="AF838" s="12">
        <f>COUNTIF($A$20:A838,A838)</f>
        <v>2</v>
      </c>
      <c r="AG838" s="38">
        <v>34883088</v>
      </c>
      <c r="AH838" s="38">
        <f>Tabla4[[#This Row],[VALOR CONTRAPARTIDA]]+Tabla4[[#This Row],[TOTAL APORTES ICBF]]</f>
        <v>35580749.759999998</v>
      </c>
      <c r="AI838" s="35"/>
      <c r="AJ838" s="38"/>
      <c r="AK838" s="38"/>
      <c r="AL838" s="23"/>
      <c r="AM838" s="35">
        <f>VLOOKUP(Tabla4[[#This Row],[SERVICIO 2025]],$J$2:$V$14,5,0)*Tabla4[[#This Row],[TOTAL COBERTURA]]</f>
        <v>790016</v>
      </c>
      <c r="AN838" s="35">
        <f>VLOOKUP(Tabla4[[#This Row],[SERVICIO 2025]],$J$2:$V$14,6,0)*Tabla4[[#This Row],[TOTAL COBERTURA]]</f>
        <v>656464</v>
      </c>
      <c r="AO838" s="35">
        <f>VLOOKUP(Tabla4[[#This Row],[SERVICIO 2025]],$J$2:$V$14,8,0)*Tabla4[[#This Row],[TOTAL COBERTURA]]</f>
        <v>465600</v>
      </c>
      <c r="AP838" s="35">
        <f>VLOOKUP(Tabla4[[#This Row],[SERVICIO 2025]],$J$2:$V$14,3,0)*Tabla4[[#This Row],[TOTAL COBERTURA]]*8</f>
        <v>32971008</v>
      </c>
      <c r="AQ838" s="35"/>
      <c r="AR838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838" s="35" t="str">
        <f>+IF(Tabla4[[#This Row],[AGRUPACIONES]]=1,SUMIFS(Tabla4[VALOR TOTAL],Tabla4[ZONA DEFINITIVO],Tabla4[[#This Row],[ZONA DEFINITIVO]])," ")</f>
        <v xml:space="preserve"> </v>
      </c>
      <c r="AT838" s="27">
        <f>(VLOOKUP(Tabla4[[#This Row],[SERVICIO 2025]],$J$2:$V$14,3,0)*Tabla4[[#This Row],[TOTAL COBERTURA]])+Tabla4[[#This Row],[VALOR FASE PREPARATORIA DE ALISTAMIENTO]]+Tabla4[[#This Row],[DOTACIÓN ÚNICA]]</f>
        <v>5376992</v>
      </c>
      <c r="AU838" s="35">
        <f>(VLOOKUP(Tabla4[[#This Row],[SERVICIO 2025]],$J$2:$V$14,3,0)*Tabla4[[#This Row],[TOTAL COBERTURA]])</f>
        <v>4121376</v>
      </c>
      <c r="AV838" s="35">
        <f>(VLOOKUP(Tabla4[[#This Row],[SERVICIO 2025]],$J$2:$V$14,3,0)*Tabla4[[#This Row],[TOTAL COBERTURA]])</f>
        <v>4121376</v>
      </c>
      <c r="AW838" s="35">
        <f>(VLOOKUP(Tabla4[[#This Row],[SERVICIO 2025]],$J$2:$V$14,3,0)*Tabla4[[#This Row],[TOTAL COBERTURA]])</f>
        <v>4121376</v>
      </c>
      <c r="AX838" s="35">
        <f>(VLOOKUP(Tabla4[[#This Row],[SERVICIO 2025]],$J$2:$V$14,3,0)*Tabla4[[#This Row],[TOTAL COBERTURA]])</f>
        <v>4121376</v>
      </c>
      <c r="AY838" s="35">
        <f>(VLOOKUP(Tabla4[[#This Row],[SERVICIO 2025]],$J$2:$V$14,3,0)*Tabla4[[#This Row],[TOTAL COBERTURA]])</f>
        <v>4121376</v>
      </c>
      <c r="AZ838" s="35">
        <f>(VLOOKUP(Tabla4[[#This Row],[SERVICIO 2025]],$J$2:$V$14,3,0)*Tabla4[[#This Row],[TOTAL COBERTURA]])</f>
        <v>4121376</v>
      </c>
      <c r="BA838" s="35">
        <f>(VLOOKUP(Tabla4[[#This Row],[SERVICIO 2025]],$J$2:$V$14,3,0)*Tabla4[[#This Row],[TOTAL COBERTURA]])+Tabla4[[#This Row],[VALOR FASE PREPARATORIA DE CIERRE]]</f>
        <v>4777840</v>
      </c>
      <c r="BB838" s="35">
        <f>SUM(Tabla4[[#This Row],[DESEMBOLSO 1]:[DESEMBOLSO 8]])</f>
        <v>34883088</v>
      </c>
      <c r="BC838" s="35">
        <f>VLOOKUP(Tabla4[[#This Row],[SERVICIO 2025]],$J$2:$V$14,10,0)*Tabla4[[#This Row],[TOTAL COBERTURA]]*$W$3</f>
        <v>23089024</v>
      </c>
      <c r="BD838" s="47" t="s">
        <v>211</v>
      </c>
      <c r="BE838" s="12" t="b">
        <f>EXACT(Tabla4[[#This Row],[VALOR ATENCIÓN (8 MESES)]],Tabla4[[#This Row],[VALOR TOTAL]])</f>
        <v>1</v>
      </c>
      <c r="BF838" s="23">
        <f>Tabla4[[#This Row],[VALOR ATENCIÓN (8 MESES)]]-Tabla4[[#This Row],[VALOR TOTAL]]</f>
        <v>0</v>
      </c>
      <c r="BG838" s="12" t="b">
        <f>EXACT(Tabla4[[#This Row],[TOTAL DESEMBOLSOS]],Tabla4[[#This Row],[VALOR ATENCIÓN (8 MESES)]])</f>
        <v>1</v>
      </c>
      <c r="BH838" s="29">
        <f>Tabla4[[#This Row],[TOTAL DESEMBOLSOS]]-Tabla4[[#This Row],[VALOR ATENCIÓN (8 MESES)]]</f>
        <v>0</v>
      </c>
      <c r="BI838" t="s">
        <v>98</v>
      </c>
      <c r="BJ838">
        <v>1972</v>
      </c>
    </row>
    <row r="839" spans="1:62">
      <c r="A839" s="13">
        <v>1972</v>
      </c>
      <c r="B839" s="13" t="s">
        <v>1861</v>
      </c>
      <c r="C839" s="12" t="s">
        <v>87</v>
      </c>
      <c r="D839" s="12" t="s">
        <v>987</v>
      </c>
      <c r="E839" s="12" t="s">
        <v>1862</v>
      </c>
      <c r="F839" s="12" t="s">
        <v>18</v>
      </c>
      <c r="G839" s="12" t="s">
        <v>90</v>
      </c>
      <c r="H839" s="12" t="s">
        <v>1866</v>
      </c>
      <c r="I839" s="12">
        <v>54951116579</v>
      </c>
      <c r="J839" s="12" t="s">
        <v>1867</v>
      </c>
      <c r="K839" s="12">
        <v>1</v>
      </c>
      <c r="L839" s="12">
        <v>31</v>
      </c>
      <c r="M839" s="12"/>
      <c r="N839" s="13">
        <v>1972</v>
      </c>
      <c r="O839" s="12" t="s">
        <v>93</v>
      </c>
      <c r="P839" s="12"/>
      <c r="Q839" s="12"/>
      <c r="R839" s="12" t="s">
        <v>94</v>
      </c>
      <c r="S839" s="12">
        <v>10</v>
      </c>
      <c r="T839" s="12" t="s">
        <v>209</v>
      </c>
      <c r="U839" s="12" t="s">
        <v>210</v>
      </c>
      <c r="V839" s="12">
        <f>VLOOKUP(Tabla4[[#This Row],[ZONA DEFINITIVO]],Hoja1!$A$1:$D$121,3,0)</f>
        <v>229130</v>
      </c>
      <c r="W839" s="12">
        <f>VLOOKUP(Tabla4[[#This Row],[ZONA DEFINITIVO]],Hoja1!$A$1:$D$121,2,0)</f>
        <v>15240</v>
      </c>
      <c r="X839" s="12">
        <f>VLOOKUP(Tabla4[[#This Row],[ZONA DEFINITIVO]],Hoja1!$A$1:$D$121,4,0)</f>
        <v>88425</v>
      </c>
      <c r="Y839" s="12" t="str">
        <f>+IF(Tabla4[[#This Row],[AGRUPACIONES]]=1,SUMIFS(Tabla4[UDS],Tabla4[ZONA DEFINITIVO],Tabla4[[#This Row],[ZONA DEFINITIVO]])," ")</f>
        <v xml:space="preserve"> </v>
      </c>
      <c r="Z839" s="12" t="str">
        <f>+IF(Tabla4[[#This Row],[AGRUPACIONES]]=1,SUMIFS(Tabla4[TOTAL COBERTURA],Tabla4[ZONA DEFINITIVO],Tabla4[[#This Row],[ZONA DEFINITIVO]])," ")</f>
        <v xml:space="preserve"> </v>
      </c>
      <c r="AA839" s="12"/>
      <c r="AB839" s="38">
        <v>67585983</v>
      </c>
      <c r="AC839" s="37">
        <v>0.02</v>
      </c>
      <c r="AD839" s="38">
        <f t="shared" si="13"/>
        <v>1351719.66</v>
      </c>
      <c r="AE839" s="12"/>
      <c r="AF839" s="12">
        <f>COUNTIF($A$20:A839,A839)</f>
        <v>3</v>
      </c>
      <c r="AG839" s="38">
        <v>67585983</v>
      </c>
      <c r="AH839" s="38">
        <f>Tabla4[[#This Row],[VALOR CONTRAPARTIDA]]+Tabla4[[#This Row],[TOTAL APORTES ICBF]]</f>
        <v>68937702.659999996</v>
      </c>
      <c r="AI839" s="35"/>
      <c r="AJ839" s="38"/>
      <c r="AK839" s="38"/>
      <c r="AL839" s="23"/>
      <c r="AM839" s="35">
        <f>VLOOKUP(Tabla4[[#This Row],[SERVICIO 2025]],$J$2:$V$14,5,0)*Tabla4[[#This Row],[TOTAL COBERTURA]]</f>
        <v>1530656</v>
      </c>
      <c r="AN839" s="35">
        <f>VLOOKUP(Tabla4[[#This Row],[SERVICIO 2025]],$J$2:$V$14,6,0)*Tabla4[[#This Row],[TOTAL COBERTURA]]</f>
        <v>1271899</v>
      </c>
      <c r="AO839" s="35">
        <f>VLOOKUP(Tabla4[[#This Row],[SERVICIO 2025]],$J$2:$V$14,8,0)*Tabla4[[#This Row],[TOTAL COBERTURA]]</f>
        <v>902100</v>
      </c>
      <c r="AP839" s="35">
        <f>VLOOKUP(Tabla4[[#This Row],[SERVICIO 2025]],$J$2:$V$14,3,0)*Tabla4[[#This Row],[TOTAL COBERTURA]]*8</f>
        <v>63881328</v>
      </c>
      <c r="AQ839" s="35"/>
      <c r="AR839" s="35">
        <f>Tabla4[[#This Row],[VALOR FASE PREPARATORIA DE ALISTAMIENTO]]+Tabla4[[#This Row],[VALOR FASE PREPARATORIA DE CIERRE]]+Tabla4[[#This Row],[DOTACIÓN ÚNICA]]+Tabla4[[#This Row],[VALOR ATENCIÓN]]+Tabla4[[#This Row],[VALOR RACION PREPARADA]]</f>
        <v>67585983</v>
      </c>
      <c r="AS839" s="35" t="str">
        <f>+IF(Tabla4[[#This Row],[AGRUPACIONES]]=1,SUMIFS(Tabla4[VALOR TOTAL],Tabla4[ZONA DEFINITIVO],Tabla4[[#This Row],[ZONA DEFINITIVO]])," ")</f>
        <v xml:space="preserve"> </v>
      </c>
      <c r="AT839" s="27">
        <f>(VLOOKUP(Tabla4[[#This Row],[SERVICIO 2025]],$J$2:$V$14,3,0)*Tabla4[[#This Row],[TOTAL COBERTURA]])+Tabla4[[#This Row],[VALOR FASE PREPARATORIA DE ALISTAMIENTO]]+Tabla4[[#This Row],[DOTACIÓN ÚNICA]]</f>
        <v>10417922</v>
      </c>
      <c r="AU839" s="35">
        <f>(VLOOKUP(Tabla4[[#This Row],[SERVICIO 2025]],$J$2:$V$14,3,0)*Tabla4[[#This Row],[TOTAL COBERTURA]])</f>
        <v>7985166</v>
      </c>
      <c r="AV839" s="35">
        <f>(VLOOKUP(Tabla4[[#This Row],[SERVICIO 2025]],$J$2:$V$14,3,0)*Tabla4[[#This Row],[TOTAL COBERTURA]])</f>
        <v>7985166</v>
      </c>
      <c r="AW839" s="35">
        <f>(VLOOKUP(Tabla4[[#This Row],[SERVICIO 2025]],$J$2:$V$14,3,0)*Tabla4[[#This Row],[TOTAL COBERTURA]])</f>
        <v>7985166</v>
      </c>
      <c r="AX839" s="35">
        <f>(VLOOKUP(Tabla4[[#This Row],[SERVICIO 2025]],$J$2:$V$14,3,0)*Tabla4[[#This Row],[TOTAL COBERTURA]])</f>
        <v>7985166</v>
      </c>
      <c r="AY839" s="35">
        <f>(VLOOKUP(Tabla4[[#This Row],[SERVICIO 2025]],$J$2:$V$14,3,0)*Tabla4[[#This Row],[TOTAL COBERTURA]])</f>
        <v>7985166</v>
      </c>
      <c r="AZ839" s="35">
        <f>(VLOOKUP(Tabla4[[#This Row],[SERVICIO 2025]],$J$2:$V$14,3,0)*Tabla4[[#This Row],[TOTAL COBERTURA]])</f>
        <v>7985166</v>
      </c>
      <c r="BA839" s="35">
        <f>(VLOOKUP(Tabla4[[#This Row],[SERVICIO 2025]],$J$2:$V$14,3,0)*Tabla4[[#This Row],[TOTAL COBERTURA]])+Tabla4[[#This Row],[VALOR FASE PREPARATORIA DE CIERRE]]</f>
        <v>9257065</v>
      </c>
      <c r="BB839" s="35">
        <f>SUM(Tabla4[[#This Row],[DESEMBOLSO 1]:[DESEMBOLSO 8]])</f>
        <v>67585983</v>
      </c>
      <c r="BC839" s="35">
        <f>VLOOKUP(Tabla4[[#This Row],[SERVICIO 2025]],$J$2:$V$14,10,0)*Tabla4[[#This Row],[TOTAL COBERTURA]]*$W$3</f>
        <v>44734984</v>
      </c>
      <c r="BD839" s="47" t="s">
        <v>211</v>
      </c>
      <c r="BE839" s="12" t="b">
        <f>EXACT(Tabla4[[#This Row],[VALOR ATENCIÓN (8 MESES)]],Tabla4[[#This Row],[VALOR TOTAL]])</f>
        <v>1</v>
      </c>
      <c r="BF839" s="23">
        <f>Tabla4[[#This Row],[VALOR ATENCIÓN (8 MESES)]]-Tabla4[[#This Row],[VALOR TOTAL]]</f>
        <v>0</v>
      </c>
      <c r="BG839" s="12" t="b">
        <f>EXACT(Tabla4[[#This Row],[TOTAL DESEMBOLSOS]],Tabla4[[#This Row],[VALOR ATENCIÓN (8 MESES)]])</f>
        <v>1</v>
      </c>
      <c r="BH839" s="29">
        <f>Tabla4[[#This Row],[TOTAL DESEMBOLSOS]]-Tabla4[[#This Row],[VALOR ATENCIÓN (8 MESES)]]</f>
        <v>0</v>
      </c>
      <c r="BI839" t="s">
        <v>98</v>
      </c>
      <c r="BJ839">
        <v>1972</v>
      </c>
    </row>
    <row r="840" spans="1:62">
      <c r="A840" s="13">
        <v>1972</v>
      </c>
      <c r="B840" s="13" t="s">
        <v>1861</v>
      </c>
      <c r="C840" s="12" t="s">
        <v>87</v>
      </c>
      <c r="D840" s="12" t="s">
        <v>987</v>
      </c>
      <c r="E840" s="12" t="s">
        <v>1862</v>
      </c>
      <c r="F840" s="12" t="s">
        <v>18</v>
      </c>
      <c r="G840" s="12" t="s">
        <v>90</v>
      </c>
      <c r="H840" s="12" t="s">
        <v>1868</v>
      </c>
      <c r="I840" s="12">
        <v>54951116580</v>
      </c>
      <c r="J840" s="12" t="s">
        <v>1869</v>
      </c>
      <c r="K840" s="12">
        <v>1</v>
      </c>
      <c r="L840" s="12">
        <v>29</v>
      </c>
      <c r="M840" s="12"/>
      <c r="N840" s="13">
        <v>1972</v>
      </c>
      <c r="O840" s="12" t="s">
        <v>93</v>
      </c>
      <c r="P840" s="12"/>
      <c r="Q840" s="12"/>
      <c r="R840" s="12" t="s">
        <v>94</v>
      </c>
      <c r="S840" s="12">
        <v>10</v>
      </c>
      <c r="T840" s="12" t="s">
        <v>209</v>
      </c>
      <c r="U840" s="12" t="s">
        <v>210</v>
      </c>
      <c r="V840" s="12">
        <f>VLOOKUP(Tabla4[[#This Row],[ZONA DEFINITIVO]],Hoja1!$A$1:$D$121,3,0)</f>
        <v>229130</v>
      </c>
      <c r="W840" s="12">
        <f>VLOOKUP(Tabla4[[#This Row],[ZONA DEFINITIVO]],Hoja1!$A$1:$D$121,2,0)</f>
        <v>15240</v>
      </c>
      <c r="X840" s="12">
        <f>VLOOKUP(Tabla4[[#This Row],[ZONA DEFINITIVO]],Hoja1!$A$1:$D$121,4,0)</f>
        <v>88425</v>
      </c>
      <c r="Y840" s="12" t="str">
        <f>+IF(Tabla4[[#This Row],[AGRUPACIONES]]=1,SUMIFS(Tabla4[UDS],Tabla4[ZONA DEFINITIVO],Tabla4[[#This Row],[ZONA DEFINITIVO]])," ")</f>
        <v xml:space="preserve"> </v>
      </c>
      <c r="Z840" s="12" t="str">
        <f>+IF(Tabla4[[#This Row],[AGRUPACIONES]]=1,SUMIFS(Tabla4[TOTAL COBERTURA],Tabla4[ZONA DEFINITIVO],Tabla4[[#This Row],[ZONA DEFINITIVO]])," ")</f>
        <v xml:space="preserve"> </v>
      </c>
      <c r="AA840" s="12"/>
      <c r="AB840" s="38">
        <v>63225597</v>
      </c>
      <c r="AC840" s="37">
        <v>0.02</v>
      </c>
      <c r="AD840" s="38">
        <f t="shared" si="13"/>
        <v>1264511.94</v>
      </c>
      <c r="AE840" s="12"/>
      <c r="AF840" s="12">
        <f>COUNTIF($A$20:A840,A840)</f>
        <v>4</v>
      </c>
      <c r="AG840" s="38">
        <v>63225597</v>
      </c>
      <c r="AH840" s="38">
        <f>Tabla4[[#This Row],[VALOR CONTRAPARTIDA]]+Tabla4[[#This Row],[TOTAL APORTES ICBF]]</f>
        <v>64490108.939999998</v>
      </c>
      <c r="AI840" s="35"/>
      <c r="AJ840" s="38"/>
      <c r="AK840" s="38"/>
      <c r="AL840" s="23"/>
      <c r="AM840" s="35">
        <f>VLOOKUP(Tabla4[[#This Row],[SERVICIO 2025]],$J$2:$V$14,5,0)*Tabla4[[#This Row],[TOTAL COBERTURA]]</f>
        <v>1431904</v>
      </c>
      <c r="AN840" s="35">
        <f>VLOOKUP(Tabla4[[#This Row],[SERVICIO 2025]],$J$2:$V$14,6,0)*Tabla4[[#This Row],[TOTAL COBERTURA]]</f>
        <v>1189841</v>
      </c>
      <c r="AO840" s="35">
        <f>VLOOKUP(Tabla4[[#This Row],[SERVICIO 2025]],$J$2:$V$14,8,0)*Tabla4[[#This Row],[TOTAL COBERTURA]]</f>
        <v>843900</v>
      </c>
      <c r="AP840" s="35">
        <f>VLOOKUP(Tabla4[[#This Row],[SERVICIO 2025]],$J$2:$V$14,3,0)*Tabla4[[#This Row],[TOTAL COBERTURA]]*8</f>
        <v>59759952</v>
      </c>
      <c r="AQ840" s="35"/>
      <c r="AR840" s="35">
        <f>Tabla4[[#This Row],[VALOR FASE PREPARATORIA DE ALISTAMIENTO]]+Tabla4[[#This Row],[VALOR FASE PREPARATORIA DE CIERRE]]+Tabla4[[#This Row],[DOTACIÓN ÚNICA]]+Tabla4[[#This Row],[VALOR ATENCIÓN]]+Tabla4[[#This Row],[VALOR RACION PREPARADA]]</f>
        <v>63225597</v>
      </c>
      <c r="AS840" s="35" t="str">
        <f>+IF(Tabla4[[#This Row],[AGRUPACIONES]]=1,SUMIFS(Tabla4[VALOR TOTAL],Tabla4[ZONA DEFINITIVO],Tabla4[[#This Row],[ZONA DEFINITIVO]])," ")</f>
        <v xml:space="preserve"> </v>
      </c>
      <c r="AT840" s="27">
        <f>(VLOOKUP(Tabla4[[#This Row],[SERVICIO 2025]],$J$2:$V$14,3,0)*Tabla4[[#This Row],[TOTAL COBERTURA]])+Tabla4[[#This Row],[VALOR FASE PREPARATORIA DE ALISTAMIENTO]]+Tabla4[[#This Row],[DOTACIÓN ÚNICA]]</f>
        <v>9745798</v>
      </c>
      <c r="AU840" s="35">
        <f>(VLOOKUP(Tabla4[[#This Row],[SERVICIO 2025]],$J$2:$V$14,3,0)*Tabla4[[#This Row],[TOTAL COBERTURA]])</f>
        <v>7469994</v>
      </c>
      <c r="AV840" s="35">
        <f>(VLOOKUP(Tabla4[[#This Row],[SERVICIO 2025]],$J$2:$V$14,3,0)*Tabla4[[#This Row],[TOTAL COBERTURA]])</f>
        <v>7469994</v>
      </c>
      <c r="AW840" s="35">
        <f>(VLOOKUP(Tabla4[[#This Row],[SERVICIO 2025]],$J$2:$V$14,3,0)*Tabla4[[#This Row],[TOTAL COBERTURA]])</f>
        <v>7469994</v>
      </c>
      <c r="AX840" s="35">
        <f>(VLOOKUP(Tabla4[[#This Row],[SERVICIO 2025]],$J$2:$V$14,3,0)*Tabla4[[#This Row],[TOTAL COBERTURA]])</f>
        <v>7469994</v>
      </c>
      <c r="AY840" s="35">
        <f>(VLOOKUP(Tabla4[[#This Row],[SERVICIO 2025]],$J$2:$V$14,3,0)*Tabla4[[#This Row],[TOTAL COBERTURA]])</f>
        <v>7469994</v>
      </c>
      <c r="AZ840" s="35">
        <f>(VLOOKUP(Tabla4[[#This Row],[SERVICIO 2025]],$J$2:$V$14,3,0)*Tabla4[[#This Row],[TOTAL COBERTURA]])</f>
        <v>7469994</v>
      </c>
      <c r="BA840" s="35">
        <f>(VLOOKUP(Tabla4[[#This Row],[SERVICIO 2025]],$J$2:$V$14,3,0)*Tabla4[[#This Row],[TOTAL COBERTURA]])+Tabla4[[#This Row],[VALOR FASE PREPARATORIA DE CIERRE]]</f>
        <v>8659835</v>
      </c>
      <c r="BB840" s="35">
        <f>SUM(Tabla4[[#This Row],[DESEMBOLSO 1]:[DESEMBOLSO 8]])</f>
        <v>63225597</v>
      </c>
      <c r="BC840" s="35">
        <f>VLOOKUP(Tabla4[[#This Row],[SERVICIO 2025]],$J$2:$V$14,10,0)*Tabla4[[#This Row],[TOTAL COBERTURA]]*$W$3</f>
        <v>41848856</v>
      </c>
      <c r="BD840" s="47" t="s">
        <v>211</v>
      </c>
      <c r="BE840" s="12" t="b">
        <f>EXACT(Tabla4[[#This Row],[VALOR ATENCIÓN (8 MESES)]],Tabla4[[#This Row],[VALOR TOTAL]])</f>
        <v>1</v>
      </c>
      <c r="BF840" s="23">
        <f>Tabla4[[#This Row],[VALOR ATENCIÓN (8 MESES)]]-Tabla4[[#This Row],[VALOR TOTAL]]</f>
        <v>0</v>
      </c>
      <c r="BG840" s="12" t="b">
        <f>EXACT(Tabla4[[#This Row],[TOTAL DESEMBOLSOS]],Tabla4[[#This Row],[VALOR ATENCIÓN (8 MESES)]])</f>
        <v>1</v>
      </c>
      <c r="BH840" s="29">
        <f>Tabla4[[#This Row],[TOTAL DESEMBOLSOS]]-Tabla4[[#This Row],[VALOR ATENCIÓN (8 MESES)]]</f>
        <v>0</v>
      </c>
      <c r="BI840" t="s">
        <v>98</v>
      </c>
      <c r="BJ840">
        <v>1972</v>
      </c>
    </row>
    <row r="841" spans="1:62">
      <c r="A841" s="13">
        <v>1972</v>
      </c>
      <c r="B841" s="13" t="s">
        <v>1861</v>
      </c>
      <c r="C841" s="12" t="s">
        <v>87</v>
      </c>
      <c r="D841" s="12" t="s">
        <v>987</v>
      </c>
      <c r="E841" s="12" t="s">
        <v>1862</v>
      </c>
      <c r="F841" s="12" t="s">
        <v>18</v>
      </c>
      <c r="G841" s="12" t="s">
        <v>90</v>
      </c>
      <c r="H841" s="12" t="s">
        <v>1870</v>
      </c>
      <c r="I841" s="12">
        <v>54951116582</v>
      </c>
      <c r="J841" s="12" t="s">
        <v>1871</v>
      </c>
      <c r="K841" s="12">
        <v>1</v>
      </c>
      <c r="L841" s="12">
        <v>19</v>
      </c>
      <c r="M841" s="12"/>
      <c r="N841" s="13">
        <v>1972</v>
      </c>
      <c r="O841" s="12" t="s">
        <v>93</v>
      </c>
      <c r="P841" s="12"/>
      <c r="Q841" s="12"/>
      <c r="R841" s="12" t="s">
        <v>94</v>
      </c>
      <c r="S841" s="12">
        <v>10</v>
      </c>
      <c r="T841" s="12" t="s">
        <v>209</v>
      </c>
      <c r="U841" s="12" t="s">
        <v>210</v>
      </c>
      <c r="V841" s="12">
        <f>VLOOKUP(Tabla4[[#This Row],[ZONA DEFINITIVO]],Hoja1!$A$1:$D$121,3,0)</f>
        <v>229130</v>
      </c>
      <c r="W841" s="12">
        <f>VLOOKUP(Tabla4[[#This Row],[ZONA DEFINITIVO]],Hoja1!$A$1:$D$121,2,0)</f>
        <v>15240</v>
      </c>
      <c r="X841" s="12">
        <f>VLOOKUP(Tabla4[[#This Row],[ZONA DEFINITIVO]],Hoja1!$A$1:$D$121,4,0)</f>
        <v>88425</v>
      </c>
      <c r="Y841" s="12" t="str">
        <f>+IF(Tabla4[[#This Row],[AGRUPACIONES]]=1,SUMIFS(Tabla4[UDS],Tabla4[ZONA DEFINITIVO],Tabla4[[#This Row],[ZONA DEFINITIVO]])," ")</f>
        <v xml:space="preserve"> </v>
      </c>
      <c r="Z841" s="12" t="str">
        <f>+IF(Tabla4[[#This Row],[AGRUPACIONES]]=1,SUMIFS(Tabla4[TOTAL COBERTURA],Tabla4[ZONA DEFINITIVO],Tabla4[[#This Row],[ZONA DEFINITIVO]])," ")</f>
        <v xml:space="preserve"> </v>
      </c>
      <c r="AA841" s="12"/>
      <c r="AB841" s="38">
        <v>41423667</v>
      </c>
      <c r="AC841" s="37">
        <v>0.02</v>
      </c>
      <c r="AD841" s="38">
        <f t="shared" si="13"/>
        <v>828473.34</v>
      </c>
      <c r="AE841" s="12"/>
      <c r="AF841" s="12">
        <f>COUNTIF($A$20:A841,A841)</f>
        <v>5</v>
      </c>
      <c r="AG841" s="38">
        <v>41423667</v>
      </c>
      <c r="AH841" s="38">
        <f>Tabla4[[#This Row],[VALOR CONTRAPARTIDA]]+Tabla4[[#This Row],[TOTAL APORTES ICBF]]</f>
        <v>42252140.340000004</v>
      </c>
      <c r="AI841" s="35"/>
      <c r="AJ841" s="38"/>
      <c r="AK841" s="38"/>
      <c r="AL841" s="23"/>
      <c r="AM841" s="35">
        <f>VLOOKUP(Tabla4[[#This Row],[SERVICIO 2025]],$J$2:$V$14,5,0)*Tabla4[[#This Row],[TOTAL COBERTURA]]</f>
        <v>938144</v>
      </c>
      <c r="AN841" s="35">
        <f>VLOOKUP(Tabla4[[#This Row],[SERVICIO 2025]],$J$2:$V$14,6,0)*Tabla4[[#This Row],[TOTAL COBERTURA]]</f>
        <v>779551</v>
      </c>
      <c r="AO841" s="35">
        <f>VLOOKUP(Tabla4[[#This Row],[SERVICIO 2025]],$J$2:$V$14,8,0)*Tabla4[[#This Row],[TOTAL COBERTURA]]</f>
        <v>552900</v>
      </c>
      <c r="AP841" s="35">
        <f>VLOOKUP(Tabla4[[#This Row],[SERVICIO 2025]],$J$2:$V$14,3,0)*Tabla4[[#This Row],[TOTAL COBERTURA]]*8</f>
        <v>39153072</v>
      </c>
      <c r="AQ841" s="35"/>
      <c r="AR841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841" s="35" t="str">
        <f>+IF(Tabla4[[#This Row],[AGRUPACIONES]]=1,SUMIFS(Tabla4[VALOR TOTAL],Tabla4[ZONA DEFINITIVO],Tabla4[[#This Row],[ZONA DEFINITIVO]])," ")</f>
        <v xml:space="preserve"> </v>
      </c>
      <c r="AT841" s="27">
        <f>(VLOOKUP(Tabla4[[#This Row],[SERVICIO 2025]],$J$2:$V$14,3,0)*Tabla4[[#This Row],[TOTAL COBERTURA]])+Tabla4[[#This Row],[VALOR FASE PREPARATORIA DE ALISTAMIENTO]]+Tabla4[[#This Row],[DOTACIÓN ÚNICA]]</f>
        <v>6385178</v>
      </c>
      <c r="AU841" s="35">
        <f>(VLOOKUP(Tabla4[[#This Row],[SERVICIO 2025]],$J$2:$V$14,3,0)*Tabla4[[#This Row],[TOTAL COBERTURA]])</f>
        <v>4894134</v>
      </c>
      <c r="AV841" s="35">
        <f>(VLOOKUP(Tabla4[[#This Row],[SERVICIO 2025]],$J$2:$V$14,3,0)*Tabla4[[#This Row],[TOTAL COBERTURA]])</f>
        <v>4894134</v>
      </c>
      <c r="AW841" s="35">
        <f>(VLOOKUP(Tabla4[[#This Row],[SERVICIO 2025]],$J$2:$V$14,3,0)*Tabla4[[#This Row],[TOTAL COBERTURA]])</f>
        <v>4894134</v>
      </c>
      <c r="AX841" s="35">
        <f>(VLOOKUP(Tabla4[[#This Row],[SERVICIO 2025]],$J$2:$V$14,3,0)*Tabla4[[#This Row],[TOTAL COBERTURA]])</f>
        <v>4894134</v>
      </c>
      <c r="AY841" s="35">
        <f>(VLOOKUP(Tabla4[[#This Row],[SERVICIO 2025]],$J$2:$V$14,3,0)*Tabla4[[#This Row],[TOTAL COBERTURA]])</f>
        <v>4894134</v>
      </c>
      <c r="AZ841" s="35">
        <f>(VLOOKUP(Tabla4[[#This Row],[SERVICIO 2025]],$J$2:$V$14,3,0)*Tabla4[[#This Row],[TOTAL COBERTURA]])</f>
        <v>4894134</v>
      </c>
      <c r="BA841" s="35">
        <f>(VLOOKUP(Tabla4[[#This Row],[SERVICIO 2025]],$J$2:$V$14,3,0)*Tabla4[[#This Row],[TOTAL COBERTURA]])+Tabla4[[#This Row],[VALOR FASE PREPARATORIA DE CIERRE]]</f>
        <v>5673685</v>
      </c>
      <c r="BB841" s="35">
        <f>SUM(Tabla4[[#This Row],[DESEMBOLSO 1]:[DESEMBOLSO 8]])</f>
        <v>41423667</v>
      </c>
      <c r="BC841" s="35">
        <f>VLOOKUP(Tabla4[[#This Row],[SERVICIO 2025]],$J$2:$V$14,10,0)*Tabla4[[#This Row],[TOTAL COBERTURA]]*$W$3</f>
        <v>27418216</v>
      </c>
      <c r="BD841" s="47" t="s">
        <v>211</v>
      </c>
      <c r="BE841" s="12" t="b">
        <f>EXACT(Tabla4[[#This Row],[VALOR ATENCIÓN (8 MESES)]],Tabla4[[#This Row],[VALOR TOTAL]])</f>
        <v>1</v>
      </c>
      <c r="BF841" s="23">
        <f>Tabla4[[#This Row],[VALOR ATENCIÓN (8 MESES)]]-Tabla4[[#This Row],[VALOR TOTAL]]</f>
        <v>0</v>
      </c>
      <c r="BG841" s="12" t="b">
        <f>EXACT(Tabla4[[#This Row],[TOTAL DESEMBOLSOS]],Tabla4[[#This Row],[VALOR ATENCIÓN (8 MESES)]])</f>
        <v>1</v>
      </c>
      <c r="BH841" s="29">
        <f>Tabla4[[#This Row],[TOTAL DESEMBOLSOS]]-Tabla4[[#This Row],[VALOR ATENCIÓN (8 MESES)]]</f>
        <v>0</v>
      </c>
      <c r="BI841" t="s">
        <v>98</v>
      </c>
      <c r="BJ841">
        <v>1972</v>
      </c>
    </row>
    <row r="842" spans="1:62">
      <c r="A842" s="13">
        <v>1972</v>
      </c>
      <c r="B842" s="13" t="s">
        <v>1861</v>
      </c>
      <c r="C842" s="12" t="s">
        <v>87</v>
      </c>
      <c r="D842" s="12" t="s">
        <v>987</v>
      </c>
      <c r="E842" s="12" t="s">
        <v>1862</v>
      </c>
      <c r="F842" s="12" t="s">
        <v>18</v>
      </c>
      <c r="G842" s="12" t="s">
        <v>90</v>
      </c>
      <c r="H842" s="12" t="s">
        <v>1872</v>
      </c>
      <c r="I842" s="12">
        <v>54951116584</v>
      </c>
      <c r="J842" s="12" t="s">
        <v>1873</v>
      </c>
      <c r="K842" s="12">
        <v>1</v>
      </c>
      <c r="L842" s="12">
        <v>19</v>
      </c>
      <c r="M842" s="12"/>
      <c r="N842" s="13">
        <v>1972</v>
      </c>
      <c r="O842" s="12" t="s">
        <v>93</v>
      </c>
      <c r="P842" s="12"/>
      <c r="Q842" s="12"/>
      <c r="R842" s="12" t="s">
        <v>94</v>
      </c>
      <c r="S842" s="12">
        <v>10</v>
      </c>
      <c r="T842" s="12" t="s">
        <v>209</v>
      </c>
      <c r="U842" s="12" t="s">
        <v>210</v>
      </c>
      <c r="V842" s="12">
        <f>VLOOKUP(Tabla4[[#This Row],[ZONA DEFINITIVO]],Hoja1!$A$1:$D$121,3,0)</f>
        <v>229130</v>
      </c>
      <c r="W842" s="12">
        <f>VLOOKUP(Tabla4[[#This Row],[ZONA DEFINITIVO]],Hoja1!$A$1:$D$121,2,0)</f>
        <v>15240</v>
      </c>
      <c r="X842" s="12">
        <f>VLOOKUP(Tabla4[[#This Row],[ZONA DEFINITIVO]],Hoja1!$A$1:$D$121,4,0)</f>
        <v>88425</v>
      </c>
      <c r="Y842" s="12" t="str">
        <f>+IF(Tabla4[[#This Row],[AGRUPACIONES]]=1,SUMIFS(Tabla4[UDS],Tabla4[ZONA DEFINITIVO],Tabla4[[#This Row],[ZONA DEFINITIVO]])," ")</f>
        <v xml:space="preserve"> </v>
      </c>
      <c r="Z842" s="12" t="str">
        <f>+IF(Tabla4[[#This Row],[AGRUPACIONES]]=1,SUMIFS(Tabla4[TOTAL COBERTURA],Tabla4[ZONA DEFINITIVO],Tabla4[[#This Row],[ZONA DEFINITIVO]])," ")</f>
        <v xml:space="preserve"> </v>
      </c>
      <c r="AA842" s="12"/>
      <c r="AB842" s="38">
        <v>41423667</v>
      </c>
      <c r="AC842" s="37">
        <v>0.02</v>
      </c>
      <c r="AD842" s="38">
        <f t="shared" si="13"/>
        <v>828473.34</v>
      </c>
      <c r="AE842" s="12"/>
      <c r="AF842" s="12">
        <f>COUNTIF($A$20:A842,A842)</f>
        <v>6</v>
      </c>
      <c r="AG842" s="38">
        <v>41423667</v>
      </c>
      <c r="AH842" s="38">
        <f>Tabla4[[#This Row],[VALOR CONTRAPARTIDA]]+Tabla4[[#This Row],[TOTAL APORTES ICBF]]</f>
        <v>42252140.340000004</v>
      </c>
      <c r="AI842" s="35"/>
      <c r="AJ842" s="38"/>
      <c r="AK842" s="38"/>
      <c r="AL842" s="23"/>
      <c r="AM842" s="35">
        <f>VLOOKUP(Tabla4[[#This Row],[SERVICIO 2025]],$J$2:$V$14,5,0)*Tabla4[[#This Row],[TOTAL COBERTURA]]</f>
        <v>938144</v>
      </c>
      <c r="AN842" s="35">
        <f>VLOOKUP(Tabla4[[#This Row],[SERVICIO 2025]],$J$2:$V$14,6,0)*Tabla4[[#This Row],[TOTAL COBERTURA]]</f>
        <v>779551</v>
      </c>
      <c r="AO842" s="35">
        <f>VLOOKUP(Tabla4[[#This Row],[SERVICIO 2025]],$J$2:$V$14,8,0)*Tabla4[[#This Row],[TOTAL COBERTURA]]</f>
        <v>552900</v>
      </c>
      <c r="AP842" s="35">
        <f>VLOOKUP(Tabla4[[#This Row],[SERVICIO 2025]],$J$2:$V$14,3,0)*Tabla4[[#This Row],[TOTAL COBERTURA]]*8</f>
        <v>39153072</v>
      </c>
      <c r="AQ842" s="35"/>
      <c r="AR842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842" s="35" t="str">
        <f>+IF(Tabla4[[#This Row],[AGRUPACIONES]]=1,SUMIFS(Tabla4[VALOR TOTAL],Tabla4[ZONA DEFINITIVO],Tabla4[[#This Row],[ZONA DEFINITIVO]])," ")</f>
        <v xml:space="preserve"> </v>
      </c>
      <c r="AT842" s="27">
        <f>(VLOOKUP(Tabla4[[#This Row],[SERVICIO 2025]],$J$2:$V$14,3,0)*Tabla4[[#This Row],[TOTAL COBERTURA]])+Tabla4[[#This Row],[VALOR FASE PREPARATORIA DE ALISTAMIENTO]]+Tabla4[[#This Row],[DOTACIÓN ÚNICA]]</f>
        <v>6385178</v>
      </c>
      <c r="AU842" s="35">
        <f>(VLOOKUP(Tabla4[[#This Row],[SERVICIO 2025]],$J$2:$V$14,3,0)*Tabla4[[#This Row],[TOTAL COBERTURA]])</f>
        <v>4894134</v>
      </c>
      <c r="AV842" s="35">
        <f>(VLOOKUP(Tabla4[[#This Row],[SERVICIO 2025]],$J$2:$V$14,3,0)*Tabla4[[#This Row],[TOTAL COBERTURA]])</f>
        <v>4894134</v>
      </c>
      <c r="AW842" s="35">
        <f>(VLOOKUP(Tabla4[[#This Row],[SERVICIO 2025]],$J$2:$V$14,3,0)*Tabla4[[#This Row],[TOTAL COBERTURA]])</f>
        <v>4894134</v>
      </c>
      <c r="AX842" s="35">
        <f>(VLOOKUP(Tabla4[[#This Row],[SERVICIO 2025]],$J$2:$V$14,3,0)*Tabla4[[#This Row],[TOTAL COBERTURA]])</f>
        <v>4894134</v>
      </c>
      <c r="AY842" s="35">
        <f>(VLOOKUP(Tabla4[[#This Row],[SERVICIO 2025]],$J$2:$V$14,3,0)*Tabla4[[#This Row],[TOTAL COBERTURA]])</f>
        <v>4894134</v>
      </c>
      <c r="AZ842" s="35">
        <f>(VLOOKUP(Tabla4[[#This Row],[SERVICIO 2025]],$J$2:$V$14,3,0)*Tabla4[[#This Row],[TOTAL COBERTURA]])</f>
        <v>4894134</v>
      </c>
      <c r="BA842" s="35">
        <f>(VLOOKUP(Tabla4[[#This Row],[SERVICIO 2025]],$J$2:$V$14,3,0)*Tabla4[[#This Row],[TOTAL COBERTURA]])+Tabla4[[#This Row],[VALOR FASE PREPARATORIA DE CIERRE]]</f>
        <v>5673685</v>
      </c>
      <c r="BB842" s="35">
        <f>SUM(Tabla4[[#This Row],[DESEMBOLSO 1]:[DESEMBOLSO 8]])</f>
        <v>41423667</v>
      </c>
      <c r="BC842" s="35">
        <f>VLOOKUP(Tabla4[[#This Row],[SERVICIO 2025]],$J$2:$V$14,10,0)*Tabla4[[#This Row],[TOTAL COBERTURA]]*$W$3</f>
        <v>27418216</v>
      </c>
      <c r="BD842" s="47" t="s">
        <v>211</v>
      </c>
      <c r="BE842" s="12" t="b">
        <f>EXACT(Tabla4[[#This Row],[VALOR ATENCIÓN (8 MESES)]],Tabla4[[#This Row],[VALOR TOTAL]])</f>
        <v>1</v>
      </c>
      <c r="BF842" s="23">
        <f>Tabla4[[#This Row],[VALOR ATENCIÓN (8 MESES)]]-Tabla4[[#This Row],[VALOR TOTAL]]</f>
        <v>0</v>
      </c>
      <c r="BG842" s="12" t="b">
        <f>EXACT(Tabla4[[#This Row],[TOTAL DESEMBOLSOS]],Tabla4[[#This Row],[VALOR ATENCIÓN (8 MESES)]])</f>
        <v>1</v>
      </c>
      <c r="BH842" s="29">
        <f>Tabla4[[#This Row],[TOTAL DESEMBOLSOS]]-Tabla4[[#This Row],[VALOR ATENCIÓN (8 MESES)]]</f>
        <v>0</v>
      </c>
      <c r="BI842" t="s">
        <v>98</v>
      </c>
      <c r="BJ842">
        <v>1972</v>
      </c>
    </row>
    <row r="843" spans="1:62">
      <c r="A843" s="13">
        <v>1972</v>
      </c>
      <c r="B843" s="13" t="s">
        <v>1861</v>
      </c>
      <c r="C843" s="12" t="s">
        <v>87</v>
      </c>
      <c r="D843" s="12" t="s">
        <v>987</v>
      </c>
      <c r="E843" s="12" t="s">
        <v>1862</v>
      </c>
      <c r="F843" s="12" t="s">
        <v>18</v>
      </c>
      <c r="G843" s="12" t="s">
        <v>90</v>
      </c>
      <c r="H843" s="12" t="s">
        <v>1874</v>
      </c>
      <c r="I843" s="12">
        <v>54951116586</v>
      </c>
      <c r="J843" s="12" t="s">
        <v>1875</v>
      </c>
      <c r="K843" s="12">
        <v>1</v>
      </c>
      <c r="L843" s="12">
        <v>24</v>
      </c>
      <c r="M843" s="12"/>
      <c r="N843" s="13">
        <v>1972</v>
      </c>
      <c r="O843" s="12" t="s">
        <v>93</v>
      </c>
      <c r="P843" s="12"/>
      <c r="Q843" s="12"/>
      <c r="R843" s="12" t="s">
        <v>94</v>
      </c>
      <c r="S843" s="12">
        <v>10</v>
      </c>
      <c r="T843" s="12" t="s">
        <v>209</v>
      </c>
      <c r="U843" s="12" t="s">
        <v>210</v>
      </c>
      <c r="V843" s="12">
        <f>VLOOKUP(Tabla4[[#This Row],[ZONA DEFINITIVO]],Hoja1!$A$1:$D$121,3,0)</f>
        <v>229130</v>
      </c>
      <c r="W843" s="12">
        <f>VLOOKUP(Tabla4[[#This Row],[ZONA DEFINITIVO]],Hoja1!$A$1:$D$121,2,0)</f>
        <v>15240</v>
      </c>
      <c r="X843" s="12">
        <f>VLOOKUP(Tabla4[[#This Row],[ZONA DEFINITIVO]],Hoja1!$A$1:$D$121,4,0)</f>
        <v>88425</v>
      </c>
      <c r="Y843" s="12" t="str">
        <f>+IF(Tabla4[[#This Row],[AGRUPACIONES]]=1,SUMIFS(Tabla4[UDS],Tabla4[ZONA DEFINITIVO],Tabla4[[#This Row],[ZONA DEFINITIVO]])," ")</f>
        <v xml:space="preserve"> </v>
      </c>
      <c r="Z843" s="12" t="str">
        <f>+IF(Tabla4[[#This Row],[AGRUPACIONES]]=1,SUMIFS(Tabla4[TOTAL COBERTURA],Tabla4[ZONA DEFINITIVO],Tabla4[[#This Row],[ZONA DEFINITIVO]])," ")</f>
        <v xml:space="preserve"> </v>
      </c>
      <c r="AA843" s="12"/>
      <c r="AB843" s="38">
        <v>52324632</v>
      </c>
      <c r="AC843" s="37">
        <v>0.02</v>
      </c>
      <c r="AD843" s="38">
        <f t="shared" si="13"/>
        <v>1046492.64</v>
      </c>
      <c r="AE843" s="12"/>
      <c r="AF843" s="12">
        <f>COUNTIF($A$20:A843,A843)</f>
        <v>7</v>
      </c>
      <c r="AG843" s="38">
        <v>52324632</v>
      </c>
      <c r="AH843" s="38">
        <f>Tabla4[[#This Row],[VALOR CONTRAPARTIDA]]+Tabla4[[#This Row],[TOTAL APORTES ICBF]]</f>
        <v>53371124.640000001</v>
      </c>
      <c r="AI843" s="35"/>
      <c r="AJ843" s="38"/>
      <c r="AK843" s="38"/>
      <c r="AL843" s="23"/>
      <c r="AM843" s="35">
        <f>VLOOKUP(Tabla4[[#This Row],[SERVICIO 2025]],$J$2:$V$14,5,0)*Tabla4[[#This Row],[TOTAL COBERTURA]]</f>
        <v>1185024</v>
      </c>
      <c r="AN843" s="35">
        <f>VLOOKUP(Tabla4[[#This Row],[SERVICIO 2025]],$J$2:$V$14,6,0)*Tabla4[[#This Row],[TOTAL COBERTURA]]</f>
        <v>984696</v>
      </c>
      <c r="AO843" s="35">
        <f>VLOOKUP(Tabla4[[#This Row],[SERVICIO 2025]],$J$2:$V$14,8,0)*Tabla4[[#This Row],[TOTAL COBERTURA]]</f>
        <v>698400</v>
      </c>
      <c r="AP843" s="35">
        <f>VLOOKUP(Tabla4[[#This Row],[SERVICIO 2025]],$J$2:$V$14,3,0)*Tabla4[[#This Row],[TOTAL COBERTURA]]*8</f>
        <v>49456512</v>
      </c>
      <c r="AQ843" s="35"/>
      <c r="AR843" s="35">
        <f>Tabla4[[#This Row],[VALOR FASE PREPARATORIA DE ALISTAMIENTO]]+Tabla4[[#This Row],[VALOR FASE PREPARATORIA DE CIERRE]]+Tabla4[[#This Row],[DOTACIÓN ÚNICA]]+Tabla4[[#This Row],[VALOR ATENCIÓN]]+Tabla4[[#This Row],[VALOR RACION PREPARADA]]</f>
        <v>52324632</v>
      </c>
      <c r="AS843" s="35" t="str">
        <f>+IF(Tabla4[[#This Row],[AGRUPACIONES]]=1,SUMIFS(Tabla4[VALOR TOTAL],Tabla4[ZONA DEFINITIVO],Tabla4[[#This Row],[ZONA DEFINITIVO]])," ")</f>
        <v xml:space="preserve"> </v>
      </c>
      <c r="AT843" s="27">
        <f>(VLOOKUP(Tabla4[[#This Row],[SERVICIO 2025]],$J$2:$V$14,3,0)*Tabla4[[#This Row],[TOTAL COBERTURA]])+Tabla4[[#This Row],[VALOR FASE PREPARATORIA DE ALISTAMIENTO]]+Tabla4[[#This Row],[DOTACIÓN ÚNICA]]</f>
        <v>8065488</v>
      </c>
      <c r="AU843" s="35">
        <f>(VLOOKUP(Tabla4[[#This Row],[SERVICIO 2025]],$J$2:$V$14,3,0)*Tabla4[[#This Row],[TOTAL COBERTURA]])</f>
        <v>6182064</v>
      </c>
      <c r="AV843" s="35">
        <f>(VLOOKUP(Tabla4[[#This Row],[SERVICIO 2025]],$J$2:$V$14,3,0)*Tabla4[[#This Row],[TOTAL COBERTURA]])</f>
        <v>6182064</v>
      </c>
      <c r="AW843" s="35">
        <f>(VLOOKUP(Tabla4[[#This Row],[SERVICIO 2025]],$J$2:$V$14,3,0)*Tabla4[[#This Row],[TOTAL COBERTURA]])</f>
        <v>6182064</v>
      </c>
      <c r="AX843" s="35">
        <f>(VLOOKUP(Tabla4[[#This Row],[SERVICIO 2025]],$J$2:$V$14,3,0)*Tabla4[[#This Row],[TOTAL COBERTURA]])</f>
        <v>6182064</v>
      </c>
      <c r="AY843" s="35">
        <f>(VLOOKUP(Tabla4[[#This Row],[SERVICIO 2025]],$J$2:$V$14,3,0)*Tabla4[[#This Row],[TOTAL COBERTURA]])</f>
        <v>6182064</v>
      </c>
      <c r="AZ843" s="35">
        <f>(VLOOKUP(Tabla4[[#This Row],[SERVICIO 2025]],$J$2:$V$14,3,0)*Tabla4[[#This Row],[TOTAL COBERTURA]])</f>
        <v>6182064</v>
      </c>
      <c r="BA843" s="35">
        <f>(VLOOKUP(Tabla4[[#This Row],[SERVICIO 2025]],$J$2:$V$14,3,0)*Tabla4[[#This Row],[TOTAL COBERTURA]])+Tabla4[[#This Row],[VALOR FASE PREPARATORIA DE CIERRE]]</f>
        <v>7166760</v>
      </c>
      <c r="BB843" s="35">
        <f>SUM(Tabla4[[#This Row],[DESEMBOLSO 1]:[DESEMBOLSO 8]])</f>
        <v>52324632</v>
      </c>
      <c r="BC843" s="35">
        <f>VLOOKUP(Tabla4[[#This Row],[SERVICIO 2025]],$J$2:$V$14,10,0)*Tabla4[[#This Row],[TOTAL COBERTURA]]*$W$3</f>
        <v>34633536</v>
      </c>
      <c r="BD843" s="47" t="s">
        <v>211</v>
      </c>
      <c r="BE843" s="12" t="b">
        <f>EXACT(Tabla4[[#This Row],[VALOR ATENCIÓN (8 MESES)]],Tabla4[[#This Row],[VALOR TOTAL]])</f>
        <v>1</v>
      </c>
      <c r="BF843" s="23">
        <f>Tabla4[[#This Row],[VALOR ATENCIÓN (8 MESES)]]-Tabla4[[#This Row],[VALOR TOTAL]]</f>
        <v>0</v>
      </c>
      <c r="BG843" s="12" t="b">
        <f>EXACT(Tabla4[[#This Row],[TOTAL DESEMBOLSOS]],Tabla4[[#This Row],[VALOR ATENCIÓN (8 MESES)]])</f>
        <v>1</v>
      </c>
      <c r="BH843" s="29">
        <f>Tabla4[[#This Row],[TOTAL DESEMBOLSOS]]-Tabla4[[#This Row],[VALOR ATENCIÓN (8 MESES)]]</f>
        <v>0</v>
      </c>
      <c r="BI843" t="s">
        <v>98</v>
      </c>
      <c r="BJ843">
        <v>1972</v>
      </c>
    </row>
    <row r="844" spans="1:62">
      <c r="A844" s="13">
        <v>1972</v>
      </c>
      <c r="B844" s="13" t="s">
        <v>1861</v>
      </c>
      <c r="C844" s="12" t="s">
        <v>87</v>
      </c>
      <c r="D844" s="12" t="s">
        <v>987</v>
      </c>
      <c r="E844" s="12" t="s">
        <v>1862</v>
      </c>
      <c r="F844" s="12" t="s">
        <v>18</v>
      </c>
      <c r="G844" s="12" t="s">
        <v>90</v>
      </c>
      <c r="H844" s="12" t="s">
        <v>1876</v>
      </c>
      <c r="I844" s="12">
        <v>54951136470</v>
      </c>
      <c r="J844" s="12" t="s">
        <v>1877</v>
      </c>
      <c r="K844" s="12">
        <v>1</v>
      </c>
      <c r="L844" s="12">
        <v>28</v>
      </c>
      <c r="M844" s="12"/>
      <c r="N844" s="13">
        <v>1972</v>
      </c>
      <c r="O844" s="12" t="s">
        <v>93</v>
      </c>
      <c r="P844" s="12"/>
      <c r="Q844" s="12"/>
      <c r="R844" s="12" t="s">
        <v>94</v>
      </c>
      <c r="S844" s="12">
        <v>10</v>
      </c>
      <c r="T844" s="12" t="s">
        <v>209</v>
      </c>
      <c r="U844" s="12" t="s">
        <v>210</v>
      </c>
      <c r="V844" s="12">
        <f>VLOOKUP(Tabla4[[#This Row],[ZONA DEFINITIVO]],Hoja1!$A$1:$D$121,3,0)</f>
        <v>229130</v>
      </c>
      <c r="W844" s="12">
        <f>VLOOKUP(Tabla4[[#This Row],[ZONA DEFINITIVO]],Hoja1!$A$1:$D$121,2,0)</f>
        <v>15240</v>
      </c>
      <c r="X844" s="12">
        <f>VLOOKUP(Tabla4[[#This Row],[ZONA DEFINITIVO]],Hoja1!$A$1:$D$121,4,0)</f>
        <v>88425</v>
      </c>
      <c r="Y844" s="12" t="str">
        <f>+IF(Tabla4[[#This Row],[AGRUPACIONES]]=1,SUMIFS(Tabla4[UDS],Tabla4[ZONA DEFINITIVO],Tabla4[[#This Row],[ZONA DEFINITIVO]])," ")</f>
        <v xml:space="preserve"> </v>
      </c>
      <c r="Z844" s="12" t="str">
        <f>+IF(Tabla4[[#This Row],[AGRUPACIONES]]=1,SUMIFS(Tabla4[TOTAL COBERTURA],Tabla4[ZONA DEFINITIVO],Tabla4[[#This Row],[ZONA DEFINITIVO]])," ")</f>
        <v xml:space="preserve"> </v>
      </c>
      <c r="AA844" s="12"/>
      <c r="AB844" s="38">
        <v>61045404</v>
      </c>
      <c r="AC844" s="37">
        <v>0.02</v>
      </c>
      <c r="AD844" s="38">
        <f t="shared" si="13"/>
        <v>1220908.08</v>
      </c>
      <c r="AE844" s="12"/>
      <c r="AF844" s="12">
        <f>COUNTIF($A$20:A844,A844)</f>
        <v>8</v>
      </c>
      <c r="AG844" s="38">
        <v>61045404</v>
      </c>
      <c r="AH844" s="38">
        <f>Tabla4[[#This Row],[VALOR CONTRAPARTIDA]]+Tabla4[[#This Row],[TOTAL APORTES ICBF]]</f>
        <v>62266312.079999998</v>
      </c>
      <c r="AI844" s="35"/>
      <c r="AJ844" s="38"/>
      <c r="AK844" s="38"/>
      <c r="AL844" s="23"/>
      <c r="AM844" s="35">
        <f>VLOOKUP(Tabla4[[#This Row],[SERVICIO 2025]],$J$2:$V$14,5,0)*Tabla4[[#This Row],[TOTAL COBERTURA]]</f>
        <v>1382528</v>
      </c>
      <c r="AN844" s="35">
        <f>VLOOKUP(Tabla4[[#This Row],[SERVICIO 2025]],$J$2:$V$14,6,0)*Tabla4[[#This Row],[TOTAL COBERTURA]]</f>
        <v>1148812</v>
      </c>
      <c r="AO844" s="35">
        <f>VLOOKUP(Tabla4[[#This Row],[SERVICIO 2025]],$J$2:$V$14,8,0)*Tabla4[[#This Row],[TOTAL COBERTURA]]</f>
        <v>814800</v>
      </c>
      <c r="AP844" s="35">
        <f>VLOOKUP(Tabla4[[#This Row],[SERVICIO 2025]],$J$2:$V$14,3,0)*Tabla4[[#This Row],[TOTAL COBERTURA]]*8</f>
        <v>57699264</v>
      </c>
      <c r="AQ844" s="35"/>
      <c r="AR844" s="35">
        <f>Tabla4[[#This Row],[VALOR FASE PREPARATORIA DE ALISTAMIENTO]]+Tabla4[[#This Row],[VALOR FASE PREPARATORIA DE CIERRE]]+Tabla4[[#This Row],[DOTACIÓN ÚNICA]]+Tabla4[[#This Row],[VALOR ATENCIÓN]]+Tabla4[[#This Row],[VALOR RACION PREPARADA]]</f>
        <v>61045404</v>
      </c>
      <c r="AS844" s="35" t="str">
        <f>+IF(Tabla4[[#This Row],[AGRUPACIONES]]=1,SUMIFS(Tabla4[VALOR TOTAL],Tabla4[ZONA DEFINITIVO],Tabla4[[#This Row],[ZONA DEFINITIVO]])," ")</f>
        <v xml:space="preserve"> </v>
      </c>
      <c r="AT844" s="27">
        <f>(VLOOKUP(Tabla4[[#This Row],[SERVICIO 2025]],$J$2:$V$14,3,0)*Tabla4[[#This Row],[TOTAL COBERTURA]])+Tabla4[[#This Row],[VALOR FASE PREPARATORIA DE ALISTAMIENTO]]+Tabla4[[#This Row],[DOTACIÓN ÚNICA]]</f>
        <v>9409736</v>
      </c>
      <c r="AU844" s="35">
        <f>(VLOOKUP(Tabla4[[#This Row],[SERVICIO 2025]],$J$2:$V$14,3,0)*Tabla4[[#This Row],[TOTAL COBERTURA]])</f>
        <v>7212408</v>
      </c>
      <c r="AV844" s="35">
        <f>(VLOOKUP(Tabla4[[#This Row],[SERVICIO 2025]],$J$2:$V$14,3,0)*Tabla4[[#This Row],[TOTAL COBERTURA]])</f>
        <v>7212408</v>
      </c>
      <c r="AW844" s="35">
        <f>(VLOOKUP(Tabla4[[#This Row],[SERVICIO 2025]],$J$2:$V$14,3,0)*Tabla4[[#This Row],[TOTAL COBERTURA]])</f>
        <v>7212408</v>
      </c>
      <c r="AX844" s="35">
        <f>(VLOOKUP(Tabla4[[#This Row],[SERVICIO 2025]],$J$2:$V$14,3,0)*Tabla4[[#This Row],[TOTAL COBERTURA]])</f>
        <v>7212408</v>
      </c>
      <c r="AY844" s="35">
        <f>(VLOOKUP(Tabla4[[#This Row],[SERVICIO 2025]],$J$2:$V$14,3,0)*Tabla4[[#This Row],[TOTAL COBERTURA]])</f>
        <v>7212408</v>
      </c>
      <c r="AZ844" s="35">
        <f>(VLOOKUP(Tabla4[[#This Row],[SERVICIO 2025]],$J$2:$V$14,3,0)*Tabla4[[#This Row],[TOTAL COBERTURA]])</f>
        <v>7212408</v>
      </c>
      <c r="BA844" s="35">
        <f>(VLOOKUP(Tabla4[[#This Row],[SERVICIO 2025]],$J$2:$V$14,3,0)*Tabla4[[#This Row],[TOTAL COBERTURA]])+Tabla4[[#This Row],[VALOR FASE PREPARATORIA DE CIERRE]]</f>
        <v>8361220</v>
      </c>
      <c r="BB844" s="35">
        <f>SUM(Tabla4[[#This Row],[DESEMBOLSO 1]:[DESEMBOLSO 8]])</f>
        <v>61045404</v>
      </c>
      <c r="BC844" s="35">
        <f>VLOOKUP(Tabla4[[#This Row],[SERVICIO 2025]],$J$2:$V$14,10,0)*Tabla4[[#This Row],[TOTAL COBERTURA]]*$W$3</f>
        <v>40405792</v>
      </c>
      <c r="BD844" s="47" t="s">
        <v>211</v>
      </c>
      <c r="BE844" s="12" t="b">
        <f>EXACT(Tabla4[[#This Row],[VALOR ATENCIÓN (8 MESES)]],Tabla4[[#This Row],[VALOR TOTAL]])</f>
        <v>1</v>
      </c>
      <c r="BF844" s="23">
        <f>Tabla4[[#This Row],[VALOR ATENCIÓN (8 MESES)]]-Tabla4[[#This Row],[VALOR TOTAL]]</f>
        <v>0</v>
      </c>
      <c r="BG844" s="12" t="b">
        <f>EXACT(Tabla4[[#This Row],[TOTAL DESEMBOLSOS]],Tabla4[[#This Row],[VALOR ATENCIÓN (8 MESES)]])</f>
        <v>1</v>
      </c>
      <c r="BH844" s="29">
        <f>Tabla4[[#This Row],[TOTAL DESEMBOLSOS]]-Tabla4[[#This Row],[VALOR ATENCIÓN (8 MESES)]]</f>
        <v>0</v>
      </c>
      <c r="BI844" t="s">
        <v>98</v>
      </c>
      <c r="BJ844">
        <v>1972</v>
      </c>
    </row>
    <row r="845" spans="1:62">
      <c r="A845" s="13">
        <v>1972</v>
      </c>
      <c r="B845" s="13" t="s">
        <v>1861</v>
      </c>
      <c r="C845" s="12" t="s">
        <v>87</v>
      </c>
      <c r="D845" s="12" t="s">
        <v>987</v>
      </c>
      <c r="E845" s="12" t="s">
        <v>1862</v>
      </c>
      <c r="F845" s="12" t="s">
        <v>18</v>
      </c>
      <c r="G845" s="12" t="s">
        <v>90</v>
      </c>
      <c r="H845" s="12" t="s">
        <v>1878</v>
      </c>
      <c r="I845" s="12">
        <v>54951136473</v>
      </c>
      <c r="J845" s="12" t="s">
        <v>1879</v>
      </c>
      <c r="K845" s="12">
        <v>1</v>
      </c>
      <c r="L845" s="12">
        <v>10</v>
      </c>
      <c r="M845" s="12"/>
      <c r="N845" s="13">
        <v>1972</v>
      </c>
      <c r="O845" s="12" t="s">
        <v>93</v>
      </c>
      <c r="P845" s="12"/>
      <c r="Q845" s="12"/>
      <c r="R845" s="12" t="s">
        <v>94</v>
      </c>
      <c r="S845" s="12">
        <v>10</v>
      </c>
      <c r="T845" s="12" t="s">
        <v>209</v>
      </c>
      <c r="U845" s="12" t="s">
        <v>210</v>
      </c>
      <c r="V845" s="12">
        <f>VLOOKUP(Tabla4[[#This Row],[ZONA DEFINITIVO]],Hoja1!$A$1:$D$121,3,0)</f>
        <v>229130</v>
      </c>
      <c r="W845" s="12">
        <f>VLOOKUP(Tabla4[[#This Row],[ZONA DEFINITIVO]],Hoja1!$A$1:$D$121,2,0)</f>
        <v>15240</v>
      </c>
      <c r="X845" s="12">
        <f>VLOOKUP(Tabla4[[#This Row],[ZONA DEFINITIVO]],Hoja1!$A$1:$D$121,4,0)</f>
        <v>88425</v>
      </c>
      <c r="Y845" s="12" t="str">
        <f>+IF(Tabla4[[#This Row],[AGRUPACIONES]]=1,SUMIFS(Tabla4[UDS],Tabla4[ZONA DEFINITIVO],Tabla4[[#This Row],[ZONA DEFINITIVO]])," ")</f>
        <v xml:space="preserve"> </v>
      </c>
      <c r="Z845" s="12" t="str">
        <f>+IF(Tabla4[[#This Row],[AGRUPACIONES]]=1,SUMIFS(Tabla4[TOTAL COBERTURA],Tabla4[ZONA DEFINITIVO],Tabla4[[#This Row],[ZONA DEFINITIVO]])," ")</f>
        <v xml:space="preserve"> </v>
      </c>
      <c r="AA845" s="12"/>
      <c r="AB845" s="38">
        <v>21801930</v>
      </c>
      <c r="AC845" s="37">
        <v>0.02</v>
      </c>
      <c r="AD845" s="38">
        <f t="shared" si="13"/>
        <v>436038.60000000003</v>
      </c>
      <c r="AE845" s="12"/>
      <c r="AF845" s="12">
        <f>COUNTIF($A$20:A845,A845)</f>
        <v>9</v>
      </c>
      <c r="AG845" s="38">
        <v>21801930</v>
      </c>
      <c r="AH845" s="38">
        <f>Tabla4[[#This Row],[VALOR CONTRAPARTIDA]]+Tabla4[[#This Row],[TOTAL APORTES ICBF]]</f>
        <v>22237968.600000001</v>
      </c>
      <c r="AI845" s="35"/>
      <c r="AJ845" s="38"/>
      <c r="AK845" s="38"/>
      <c r="AL845" s="23"/>
      <c r="AM845" s="35">
        <f>VLOOKUP(Tabla4[[#This Row],[SERVICIO 2025]],$J$2:$V$14,5,0)*Tabla4[[#This Row],[TOTAL COBERTURA]]</f>
        <v>493760</v>
      </c>
      <c r="AN845" s="35">
        <f>VLOOKUP(Tabla4[[#This Row],[SERVICIO 2025]],$J$2:$V$14,6,0)*Tabla4[[#This Row],[TOTAL COBERTURA]]</f>
        <v>410290</v>
      </c>
      <c r="AO845" s="35">
        <f>VLOOKUP(Tabla4[[#This Row],[SERVICIO 2025]],$J$2:$V$14,8,0)*Tabla4[[#This Row],[TOTAL COBERTURA]]</f>
        <v>291000</v>
      </c>
      <c r="AP845" s="35">
        <f>VLOOKUP(Tabla4[[#This Row],[SERVICIO 2025]],$J$2:$V$14,3,0)*Tabla4[[#This Row],[TOTAL COBERTURA]]*8</f>
        <v>20606880</v>
      </c>
      <c r="AQ845" s="35"/>
      <c r="AR845" s="35">
        <f>Tabla4[[#This Row],[VALOR FASE PREPARATORIA DE ALISTAMIENTO]]+Tabla4[[#This Row],[VALOR FASE PREPARATORIA DE CIERRE]]+Tabla4[[#This Row],[DOTACIÓN ÚNICA]]+Tabla4[[#This Row],[VALOR ATENCIÓN]]+Tabla4[[#This Row],[VALOR RACION PREPARADA]]</f>
        <v>21801930</v>
      </c>
      <c r="AS845" s="35" t="str">
        <f>+IF(Tabla4[[#This Row],[AGRUPACIONES]]=1,SUMIFS(Tabla4[VALOR TOTAL],Tabla4[ZONA DEFINITIVO],Tabla4[[#This Row],[ZONA DEFINITIVO]])," ")</f>
        <v xml:space="preserve"> </v>
      </c>
      <c r="AT845" s="27">
        <f>(VLOOKUP(Tabla4[[#This Row],[SERVICIO 2025]],$J$2:$V$14,3,0)*Tabla4[[#This Row],[TOTAL COBERTURA]])+Tabla4[[#This Row],[VALOR FASE PREPARATORIA DE ALISTAMIENTO]]+Tabla4[[#This Row],[DOTACIÓN ÚNICA]]</f>
        <v>3360620</v>
      </c>
      <c r="AU845" s="35">
        <f>(VLOOKUP(Tabla4[[#This Row],[SERVICIO 2025]],$J$2:$V$14,3,0)*Tabla4[[#This Row],[TOTAL COBERTURA]])</f>
        <v>2575860</v>
      </c>
      <c r="AV845" s="35">
        <f>(VLOOKUP(Tabla4[[#This Row],[SERVICIO 2025]],$J$2:$V$14,3,0)*Tabla4[[#This Row],[TOTAL COBERTURA]])</f>
        <v>2575860</v>
      </c>
      <c r="AW845" s="35">
        <f>(VLOOKUP(Tabla4[[#This Row],[SERVICIO 2025]],$J$2:$V$14,3,0)*Tabla4[[#This Row],[TOTAL COBERTURA]])</f>
        <v>2575860</v>
      </c>
      <c r="AX845" s="35">
        <f>(VLOOKUP(Tabla4[[#This Row],[SERVICIO 2025]],$J$2:$V$14,3,0)*Tabla4[[#This Row],[TOTAL COBERTURA]])</f>
        <v>2575860</v>
      </c>
      <c r="AY845" s="35">
        <f>(VLOOKUP(Tabla4[[#This Row],[SERVICIO 2025]],$J$2:$V$14,3,0)*Tabla4[[#This Row],[TOTAL COBERTURA]])</f>
        <v>2575860</v>
      </c>
      <c r="AZ845" s="35">
        <f>(VLOOKUP(Tabla4[[#This Row],[SERVICIO 2025]],$J$2:$V$14,3,0)*Tabla4[[#This Row],[TOTAL COBERTURA]])</f>
        <v>2575860</v>
      </c>
      <c r="BA845" s="35">
        <f>(VLOOKUP(Tabla4[[#This Row],[SERVICIO 2025]],$J$2:$V$14,3,0)*Tabla4[[#This Row],[TOTAL COBERTURA]])+Tabla4[[#This Row],[VALOR FASE PREPARATORIA DE CIERRE]]</f>
        <v>2986150</v>
      </c>
      <c r="BB845" s="35">
        <f>SUM(Tabla4[[#This Row],[DESEMBOLSO 1]:[DESEMBOLSO 8]])</f>
        <v>21801930</v>
      </c>
      <c r="BC845" s="35">
        <f>VLOOKUP(Tabla4[[#This Row],[SERVICIO 2025]],$J$2:$V$14,10,0)*Tabla4[[#This Row],[TOTAL COBERTURA]]*$W$3</f>
        <v>14430640</v>
      </c>
      <c r="BD845" s="47" t="s">
        <v>211</v>
      </c>
      <c r="BE845" s="12" t="b">
        <f>EXACT(Tabla4[[#This Row],[VALOR ATENCIÓN (8 MESES)]],Tabla4[[#This Row],[VALOR TOTAL]])</f>
        <v>1</v>
      </c>
      <c r="BF845" s="23">
        <f>Tabla4[[#This Row],[VALOR ATENCIÓN (8 MESES)]]-Tabla4[[#This Row],[VALOR TOTAL]]</f>
        <v>0</v>
      </c>
      <c r="BG845" s="12" t="b">
        <f>EXACT(Tabla4[[#This Row],[TOTAL DESEMBOLSOS]],Tabla4[[#This Row],[VALOR ATENCIÓN (8 MESES)]])</f>
        <v>1</v>
      </c>
      <c r="BH845" s="29">
        <f>Tabla4[[#This Row],[TOTAL DESEMBOLSOS]]-Tabla4[[#This Row],[VALOR ATENCIÓN (8 MESES)]]</f>
        <v>0</v>
      </c>
      <c r="BI845" t="s">
        <v>98</v>
      </c>
      <c r="BJ845">
        <v>1972</v>
      </c>
    </row>
    <row r="846" spans="1:62">
      <c r="A846" s="13">
        <v>1972</v>
      </c>
      <c r="B846" s="13" t="s">
        <v>1861</v>
      </c>
      <c r="C846" s="12" t="s">
        <v>87</v>
      </c>
      <c r="D846" s="12" t="s">
        <v>987</v>
      </c>
      <c r="E846" s="12" t="s">
        <v>1862</v>
      </c>
      <c r="F846" s="12" t="s">
        <v>18</v>
      </c>
      <c r="G846" s="12" t="s">
        <v>90</v>
      </c>
      <c r="H846" s="12" t="s">
        <v>1880</v>
      </c>
      <c r="I846" s="12">
        <v>54951136476</v>
      </c>
      <c r="J846" s="12" t="s">
        <v>1881</v>
      </c>
      <c r="K846" s="12">
        <v>1</v>
      </c>
      <c r="L846" s="12">
        <v>35</v>
      </c>
      <c r="M846" s="12"/>
      <c r="N846" s="13">
        <v>1972</v>
      </c>
      <c r="O846" s="12" t="s">
        <v>93</v>
      </c>
      <c r="P846" s="12"/>
      <c r="Q846" s="12"/>
      <c r="R846" s="12" t="s">
        <v>94</v>
      </c>
      <c r="S846" s="12">
        <v>10</v>
      </c>
      <c r="T846" s="12" t="s">
        <v>209</v>
      </c>
      <c r="U846" s="12" t="s">
        <v>210</v>
      </c>
      <c r="V846" s="12">
        <f>VLOOKUP(Tabla4[[#This Row],[ZONA DEFINITIVO]],Hoja1!$A$1:$D$121,3,0)</f>
        <v>229130</v>
      </c>
      <c r="W846" s="12">
        <f>VLOOKUP(Tabla4[[#This Row],[ZONA DEFINITIVO]],Hoja1!$A$1:$D$121,2,0)</f>
        <v>15240</v>
      </c>
      <c r="X846" s="12">
        <f>VLOOKUP(Tabla4[[#This Row],[ZONA DEFINITIVO]],Hoja1!$A$1:$D$121,4,0)</f>
        <v>88425</v>
      </c>
      <c r="Y846" s="12" t="str">
        <f>+IF(Tabla4[[#This Row],[AGRUPACIONES]]=1,SUMIFS(Tabla4[UDS],Tabla4[ZONA DEFINITIVO],Tabla4[[#This Row],[ZONA DEFINITIVO]])," ")</f>
        <v xml:space="preserve"> </v>
      </c>
      <c r="Z846" s="12" t="str">
        <f>+IF(Tabla4[[#This Row],[AGRUPACIONES]]=1,SUMIFS(Tabla4[TOTAL COBERTURA],Tabla4[ZONA DEFINITIVO],Tabla4[[#This Row],[ZONA DEFINITIVO]])," ")</f>
        <v xml:space="preserve"> </v>
      </c>
      <c r="AA846" s="12"/>
      <c r="AB846" s="38">
        <v>76306755</v>
      </c>
      <c r="AC846" s="37">
        <v>0.02</v>
      </c>
      <c r="AD846" s="38">
        <f t="shared" si="13"/>
        <v>1526135.1</v>
      </c>
      <c r="AE846" s="12"/>
      <c r="AF846" s="12">
        <f>COUNTIF($A$20:A846,A846)</f>
        <v>10</v>
      </c>
      <c r="AG846" s="38">
        <v>76306755</v>
      </c>
      <c r="AH846" s="38">
        <f>Tabla4[[#This Row],[VALOR CONTRAPARTIDA]]+Tabla4[[#This Row],[TOTAL APORTES ICBF]]</f>
        <v>77832890.099999994</v>
      </c>
      <c r="AI846" s="35"/>
      <c r="AJ846" s="38"/>
      <c r="AK846" s="38"/>
      <c r="AL846" s="23"/>
      <c r="AM846" s="35">
        <f>VLOOKUP(Tabla4[[#This Row],[SERVICIO 2025]],$J$2:$V$14,5,0)*Tabla4[[#This Row],[TOTAL COBERTURA]]</f>
        <v>1728160</v>
      </c>
      <c r="AN846" s="35">
        <f>VLOOKUP(Tabla4[[#This Row],[SERVICIO 2025]],$J$2:$V$14,6,0)*Tabla4[[#This Row],[TOTAL COBERTURA]]</f>
        <v>1436015</v>
      </c>
      <c r="AO846" s="35">
        <f>VLOOKUP(Tabla4[[#This Row],[SERVICIO 2025]],$J$2:$V$14,8,0)*Tabla4[[#This Row],[TOTAL COBERTURA]]</f>
        <v>1018500</v>
      </c>
      <c r="AP846" s="35">
        <f>VLOOKUP(Tabla4[[#This Row],[SERVICIO 2025]],$J$2:$V$14,3,0)*Tabla4[[#This Row],[TOTAL COBERTURA]]*8</f>
        <v>72124080</v>
      </c>
      <c r="AQ846" s="35"/>
      <c r="AR846" s="35">
        <f>Tabla4[[#This Row],[VALOR FASE PREPARATORIA DE ALISTAMIENTO]]+Tabla4[[#This Row],[VALOR FASE PREPARATORIA DE CIERRE]]+Tabla4[[#This Row],[DOTACIÓN ÚNICA]]+Tabla4[[#This Row],[VALOR ATENCIÓN]]+Tabla4[[#This Row],[VALOR RACION PREPARADA]]</f>
        <v>76306755</v>
      </c>
      <c r="AS846" s="35" t="str">
        <f>+IF(Tabla4[[#This Row],[AGRUPACIONES]]=1,SUMIFS(Tabla4[VALOR TOTAL],Tabla4[ZONA DEFINITIVO],Tabla4[[#This Row],[ZONA DEFINITIVO]])," ")</f>
        <v xml:space="preserve"> </v>
      </c>
      <c r="AT846" s="27">
        <f>(VLOOKUP(Tabla4[[#This Row],[SERVICIO 2025]],$J$2:$V$14,3,0)*Tabla4[[#This Row],[TOTAL COBERTURA]])+Tabla4[[#This Row],[VALOR FASE PREPARATORIA DE ALISTAMIENTO]]+Tabla4[[#This Row],[DOTACIÓN ÚNICA]]</f>
        <v>11762170</v>
      </c>
      <c r="AU846" s="35">
        <f>(VLOOKUP(Tabla4[[#This Row],[SERVICIO 2025]],$J$2:$V$14,3,0)*Tabla4[[#This Row],[TOTAL COBERTURA]])</f>
        <v>9015510</v>
      </c>
      <c r="AV846" s="35">
        <f>(VLOOKUP(Tabla4[[#This Row],[SERVICIO 2025]],$J$2:$V$14,3,0)*Tabla4[[#This Row],[TOTAL COBERTURA]])</f>
        <v>9015510</v>
      </c>
      <c r="AW846" s="35">
        <f>(VLOOKUP(Tabla4[[#This Row],[SERVICIO 2025]],$J$2:$V$14,3,0)*Tabla4[[#This Row],[TOTAL COBERTURA]])</f>
        <v>9015510</v>
      </c>
      <c r="AX846" s="35">
        <f>(VLOOKUP(Tabla4[[#This Row],[SERVICIO 2025]],$J$2:$V$14,3,0)*Tabla4[[#This Row],[TOTAL COBERTURA]])</f>
        <v>9015510</v>
      </c>
      <c r="AY846" s="35">
        <f>(VLOOKUP(Tabla4[[#This Row],[SERVICIO 2025]],$J$2:$V$14,3,0)*Tabla4[[#This Row],[TOTAL COBERTURA]])</f>
        <v>9015510</v>
      </c>
      <c r="AZ846" s="35">
        <f>(VLOOKUP(Tabla4[[#This Row],[SERVICIO 2025]],$J$2:$V$14,3,0)*Tabla4[[#This Row],[TOTAL COBERTURA]])</f>
        <v>9015510</v>
      </c>
      <c r="BA846" s="35">
        <f>(VLOOKUP(Tabla4[[#This Row],[SERVICIO 2025]],$J$2:$V$14,3,0)*Tabla4[[#This Row],[TOTAL COBERTURA]])+Tabla4[[#This Row],[VALOR FASE PREPARATORIA DE CIERRE]]</f>
        <v>10451525</v>
      </c>
      <c r="BB846" s="35">
        <f>SUM(Tabla4[[#This Row],[DESEMBOLSO 1]:[DESEMBOLSO 8]])</f>
        <v>76306755</v>
      </c>
      <c r="BC846" s="35">
        <f>VLOOKUP(Tabla4[[#This Row],[SERVICIO 2025]],$J$2:$V$14,10,0)*Tabla4[[#This Row],[TOTAL COBERTURA]]*$W$3</f>
        <v>50507240</v>
      </c>
      <c r="BD846" s="47" t="s">
        <v>211</v>
      </c>
      <c r="BE846" s="12" t="b">
        <f>EXACT(Tabla4[[#This Row],[VALOR ATENCIÓN (8 MESES)]],Tabla4[[#This Row],[VALOR TOTAL]])</f>
        <v>1</v>
      </c>
      <c r="BF846" s="23">
        <f>Tabla4[[#This Row],[VALOR ATENCIÓN (8 MESES)]]-Tabla4[[#This Row],[VALOR TOTAL]]</f>
        <v>0</v>
      </c>
      <c r="BG846" s="12" t="b">
        <f>EXACT(Tabla4[[#This Row],[TOTAL DESEMBOLSOS]],Tabla4[[#This Row],[VALOR ATENCIÓN (8 MESES)]])</f>
        <v>1</v>
      </c>
      <c r="BH846" s="29">
        <f>Tabla4[[#This Row],[TOTAL DESEMBOLSOS]]-Tabla4[[#This Row],[VALOR ATENCIÓN (8 MESES)]]</f>
        <v>0</v>
      </c>
      <c r="BI846" t="s">
        <v>98</v>
      </c>
      <c r="BJ846">
        <v>1972</v>
      </c>
    </row>
    <row r="847" spans="1:62">
      <c r="A847" s="13">
        <v>1972</v>
      </c>
      <c r="B847" s="13" t="s">
        <v>1861</v>
      </c>
      <c r="C847" s="12" t="s">
        <v>87</v>
      </c>
      <c r="D847" s="12" t="s">
        <v>987</v>
      </c>
      <c r="E847" s="12" t="s">
        <v>1862</v>
      </c>
      <c r="F847" s="12" t="s">
        <v>18</v>
      </c>
      <c r="G847" s="12" t="s">
        <v>90</v>
      </c>
      <c r="H847" s="12" t="s">
        <v>1882</v>
      </c>
      <c r="I847" s="12">
        <v>54951136477</v>
      </c>
      <c r="J847" s="12" t="s">
        <v>1883</v>
      </c>
      <c r="K847" s="12">
        <v>1</v>
      </c>
      <c r="L847" s="12">
        <v>20</v>
      </c>
      <c r="M847" s="12"/>
      <c r="N847" s="13">
        <v>1972</v>
      </c>
      <c r="O847" s="12" t="s">
        <v>93</v>
      </c>
      <c r="P847" s="12"/>
      <c r="Q847" s="12"/>
      <c r="R847" s="12" t="s">
        <v>94</v>
      </c>
      <c r="S847" s="12">
        <v>10</v>
      </c>
      <c r="T847" s="12" t="s">
        <v>209</v>
      </c>
      <c r="U847" s="12" t="s">
        <v>210</v>
      </c>
      <c r="V847" s="12">
        <f>VLOOKUP(Tabla4[[#This Row],[ZONA DEFINITIVO]],Hoja1!$A$1:$D$121,3,0)</f>
        <v>229130</v>
      </c>
      <c r="W847" s="12">
        <f>VLOOKUP(Tabla4[[#This Row],[ZONA DEFINITIVO]],Hoja1!$A$1:$D$121,2,0)</f>
        <v>15240</v>
      </c>
      <c r="X847" s="12">
        <f>VLOOKUP(Tabla4[[#This Row],[ZONA DEFINITIVO]],Hoja1!$A$1:$D$121,4,0)</f>
        <v>88425</v>
      </c>
      <c r="Y847" s="12" t="str">
        <f>+IF(Tabla4[[#This Row],[AGRUPACIONES]]=1,SUMIFS(Tabla4[UDS],Tabla4[ZONA DEFINITIVO],Tabla4[[#This Row],[ZONA DEFINITIVO]])," ")</f>
        <v xml:space="preserve"> </v>
      </c>
      <c r="Z847" s="12" t="str">
        <f>+IF(Tabla4[[#This Row],[AGRUPACIONES]]=1,SUMIFS(Tabla4[TOTAL COBERTURA],Tabla4[ZONA DEFINITIVO],Tabla4[[#This Row],[ZONA DEFINITIVO]])," ")</f>
        <v xml:space="preserve"> </v>
      </c>
      <c r="AA847" s="12"/>
      <c r="AB847" s="38">
        <v>43603860</v>
      </c>
      <c r="AC847" s="37">
        <v>0.02</v>
      </c>
      <c r="AD847" s="38">
        <f t="shared" si="13"/>
        <v>872077.20000000007</v>
      </c>
      <c r="AE847" s="12"/>
      <c r="AF847" s="12">
        <f>COUNTIF($A$20:A847,A847)</f>
        <v>11</v>
      </c>
      <c r="AG847" s="38">
        <v>43603860</v>
      </c>
      <c r="AH847" s="38">
        <f>Tabla4[[#This Row],[VALOR CONTRAPARTIDA]]+Tabla4[[#This Row],[TOTAL APORTES ICBF]]</f>
        <v>44475937.200000003</v>
      </c>
      <c r="AI847" s="35"/>
      <c r="AJ847" s="38"/>
      <c r="AK847" s="38"/>
      <c r="AL847" s="23"/>
      <c r="AM847" s="35">
        <f>VLOOKUP(Tabla4[[#This Row],[SERVICIO 2025]],$J$2:$V$14,5,0)*Tabla4[[#This Row],[TOTAL COBERTURA]]</f>
        <v>987520</v>
      </c>
      <c r="AN847" s="35">
        <f>VLOOKUP(Tabla4[[#This Row],[SERVICIO 2025]],$J$2:$V$14,6,0)*Tabla4[[#This Row],[TOTAL COBERTURA]]</f>
        <v>820580</v>
      </c>
      <c r="AO847" s="35">
        <f>VLOOKUP(Tabla4[[#This Row],[SERVICIO 2025]],$J$2:$V$14,8,0)*Tabla4[[#This Row],[TOTAL COBERTURA]]</f>
        <v>582000</v>
      </c>
      <c r="AP847" s="35">
        <f>VLOOKUP(Tabla4[[#This Row],[SERVICIO 2025]],$J$2:$V$14,3,0)*Tabla4[[#This Row],[TOTAL COBERTURA]]*8</f>
        <v>41213760</v>
      </c>
      <c r="AQ847" s="35"/>
      <c r="AR847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847" s="35" t="str">
        <f>+IF(Tabla4[[#This Row],[AGRUPACIONES]]=1,SUMIFS(Tabla4[VALOR TOTAL],Tabla4[ZONA DEFINITIVO],Tabla4[[#This Row],[ZONA DEFINITIVO]])," ")</f>
        <v xml:space="preserve"> </v>
      </c>
      <c r="AT847" s="27">
        <f>(VLOOKUP(Tabla4[[#This Row],[SERVICIO 2025]],$J$2:$V$14,3,0)*Tabla4[[#This Row],[TOTAL COBERTURA]])+Tabla4[[#This Row],[VALOR FASE PREPARATORIA DE ALISTAMIENTO]]+Tabla4[[#This Row],[DOTACIÓN ÚNICA]]</f>
        <v>6721240</v>
      </c>
      <c r="AU847" s="35">
        <f>(VLOOKUP(Tabla4[[#This Row],[SERVICIO 2025]],$J$2:$V$14,3,0)*Tabla4[[#This Row],[TOTAL COBERTURA]])</f>
        <v>5151720</v>
      </c>
      <c r="AV847" s="35">
        <f>(VLOOKUP(Tabla4[[#This Row],[SERVICIO 2025]],$J$2:$V$14,3,0)*Tabla4[[#This Row],[TOTAL COBERTURA]])</f>
        <v>5151720</v>
      </c>
      <c r="AW847" s="35">
        <f>(VLOOKUP(Tabla4[[#This Row],[SERVICIO 2025]],$J$2:$V$14,3,0)*Tabla4[[#This Row],[TOTAL COBERTURA]])</f>
        <v>5151720</v>
      </c>
      <c r="AX847" s="35">
        <f>(VLOOKUP(Tabla4[[#This Row],[SERVICIO 2025]],$J$2:$V$14,3,0)*Tabla4[[#This Row],[TOTAL COBERTURA]])</f>
        <v>5151720</v>
      </c>
      <c r="AY847" s="35">
        <f>(VLOOKUP(Tabla4[[#This Row],[SERVICIO 2025]],$J$2:$V$14,3,0)*Tabla4[[#This Row],[TOTAL COBERTURA]])</f>
        <v>5151720</v>
      </c>
      <c r="AZ847" s="35">
        <f>(VLOOKUP(Tabla4[[#This Row],[SERVICIO 2025]],$J$2:$V$14,3,0)*Tabla4[[#This Row],[TOTAL COBERTURA]])</f>
        <v>5151720</v>
      </c>
      <c r="BA847" s="35">
        <f>(VLOOKUP(Tabla4[[#This Row],[SERVICIO 2025]],$J$2:$V$14,3,0)*Tabla4[[#This Row],[TOTAL COBERTURA]])+Tabla4[[#This Row],[VALOR FASE PREPARATORIA DE CIERRE]]</f>
        <v>5972300</v>
      </c>
      <c r="BB847" s="35">
        <f>SUM(Tabla4[[#This Row],[DESEMBOLSO 1]:[DESEMBOLSO 8]])</f>
        <v>43603860</v>
      </c>
      <c r="BC847" s="35">
        <f>VLOOKUP(Tabla4[[#This Row],[SERVICIO 2025]],$J$2:$V$14,10,0)*Tabla4[[#This Row],[TOTAL COBERTURA]]*$W$3</f>
        <v>28861280</v>
      </c>
      <c r="BD847" s="47" t="s">
        <v>211</v>
      </c>
      <c r="BE847" s="12" t="b">
        <f>EXACT(Tabla4[[#This Row],[VALOR ATENCIÓN (8 MESES)]],Tabla4[[#This Row],[VALOR TOTAL]])</f>
        <v>1</v>
      </c>
      <c r="BF847" s="23">
        <f>Tabla4[[#This Row],[VALOR ATENCIÓN (8 MESES)]]-Tabla4[[#This Row],[VALOR TOTAL]]</f>
        <v>0</v>
      </c>
      <c r="BG847" s="12" t="b">
        <f>EXACT(Tabla4[[#This Row],[TOTAL DESEMBOLSOS]],Tabla4[[#This Row],[VALOR ATENCIÓN (8 MESES)]])</f>
        <v>1</v>
      </c>
      <c r="BH847" s="29">
        <f>Tabla4[[#This Row],[TOTAL DESEMBOLSOS]]-Tabla4[[#This Row],[VALOR ATENCIÓN (8 MESES)]]</f>
        <v>0</v>
      </c>
      <c r="BI847" t="s">
        <v>98</v>
      </c>
      <c r="BJ847">
        <v>1972</v>
      </c>
    </row>
    <row r="848" spans="1:62">
      <c r="A848" s="13">
        <v>1972</v>
      </c>
      <c r="B848" s="13" t="s">
        <v>1861</v>
      </c>
      <c r="C848" s="12" t="s">
        <v>87</v>
      </c>
      <c r="D848" s="12" t="s">
        <v>987</v>
      </c>
      <c r="E848" s="12" t="s">
        <v>1862</v>
      </c>
      <c r="F848" s="12" t="s">
        <v>18</v>
      </c>
      <c r="G848" s="12" t="s">
        <v>90</v>
      </c>
      <c r="H848" s="12" t="s">
        <v>1884</v>
      </c>
      <c r="I848" s="12">
        <v>54951136482</v>
      </c>
      <c r="J848" s="12" t="s">
        <v>1885</v>
      </c>
      <c r="K848" s="12">
        <v>1</v>
      </c>
      <c r="L848" s="12">
        <v>22</v>
      </c>
      <c r="M848" s="12"/>
      <c r="N848" s="13">
        <v>1972</v>
      </c>
      <c r="O848" s="12" t="s">
        <v>93</v>
      </c>
      <c r="P848" s="12"/>
      <c r="Q848" s="12"/>
      <c r="R848" s="12" t="s">
        <v>94</v>
      </c>
      <c r="S848" s="12">
        <v>10</v>
      </c>
      <c r="T848" s="12" t="s">
        <v>209</v>
      </c>
      <c r="U848" s="12" t="s">
        <v>210</v>
      </c>
      <c r="V848" s="12">
        <f>VLOOKUP(Tabla4[[#This Row],[ZONA DEFINITIVO]],Hoja1!$A$1:$D$121,3,0)</f>
        <v>229130</v>
      </c>
      <c r="W848" s="12">
        <f>VLOOKUP(Tabla4[[#This Row],[ZONA DEFINITIVO]],Hoja1!$A$1:$D$121,2,0)</f>
        <v>15240</v>
      </c>
      <c r="X848" s="12">
        <f>VLOOKUP(Tabla4[[#This Row],[ZONA DEFINITIVO]],Hoja1!$A$1:$D$121,4,0)</f>
        <v>88425</v>
      </c>
      <c r="Y848" s="12" t="str">
        <f>+IF(Tabla4[[#This Row],[AGRUPACIONES]]=1,SUMIFS(Tabla4[UDS],Tabla4[ZONA DEFINITIVO],Tabla4[[#This Row],[ZONA DEFINITIVO]])," ")</f>
        <v xml:space="preserve"> </v>
      </c>
      <c r="Z848" s="12" t="str">
        <f>+IF(Tabla4[[#This Row],[AGRUPACIONES]]=1,SUMIFS(Tabla4[TOTAL COBERTURA],Tabla4[ZONA DEFINITIVO],Tabla4[[#This Row],[ZONA DEFINITIVO]])," ")</f>
        <v xml:space="preserve"> </v>
      </c>
      <c r="AA848" s="12"/>
      <c r="AB848" s="38">
        <v>47964246</v>
      </c>
      <c r="AC848" s="37">
        <v>0.02</v>
      </c>
      <c r="AD848" s="38">
        <f t="shared" si="13"/>
        <v>959284.92</v>
      </c>
      <c r="AE848" s="12"/>
      <c r="AF848" s="12">
        <f>COUNTIF($A$20:A848,A848)</f>
        <v>12</v>
      </c>
      <c r="AG848" s="38">
        <v>47964246</v>
      </c>
      <c r="AH848" s="38">
        <f>Tabla4[[#This Row],[VALOR CONTRAPARTIDA]]+Tabla4[[#This Row],[TOTAL APORTES ICBF]]</f>
        <v>48923530.920000002</v>
      </c>
      <c r="AI848" s="35"/>
      <c r="AJ848" s="38"/>
      <c r="AK848" s="38"/>
      <c r="AL848" s="23"/>
      <c r="AM848" s="35">
        <f>VLOOKUP(Tabla4[[#This Row],[SERVICIO 2025]],$J$2:$V$14,5,0)*Tabla4[[#This Row],[TOTAL COBERTURA]]</f>
        <v>1086272</v>
      </c>
      <c r="AN848" s="35">
        <f>VLOOKUP(Tabla4[[#This Row],[SERVICIO 2025]],$J$2:$V$14,6,0)*Tabla4[[#This Row],[TOTAL COBERTURA]]</f>
        <v>902638</v>
      </c>
      <c r="AO848" s="35">
        <f>VLOOKUP(Tabla4[[#This Row],[SERVICIO 2025]],$J$2:$V$14,8,0)*Tabla4[[#This Row],[TOTAL COBERTURA]]</f>
        <v>640200</v>
      </c>
      <c r="AP848" s="35">
        <f>VLOOKUP(Tabla4[[#This Row],[SERVICIO 2025]],$J$2:$V$14,3,0)*Tabla4[[#This Row],[TOTAL COBERTURA]]*8</f>
        <v>45335136</v>
      </c>
      <c r="AQ848" s="35"/>
      <c r="AR848" s="35">
        <f>Tabla4[[#This Row],[VALOR FASE PREPARATORIA DE ALISTAMIENTO]]+Tabla4[[#This Row],[VALOR FASE PREPARATORIA DE CIERRE]]+Tabla4[[#This Row],[DOTACIÓN ÚNICA]]+Tabla4[[#This Row],[VALOR ATENCIÓN]]+Tabla4[[#This Row],[VALOR RACION PREPARADA]]</f>
        <v>47964246</v>
      </c>
      <c r="AS848" s="35" t="str">
        <f>+IF(Tabla4[[#This Row],[AGRUPACIONES]]=1,SUMIFS(Tabla4[VALOR TOTAL],Tabla4[ZONA DEFINITIVO],Tabla4[[#This Row],[ZONA DEFINITIVO]])," ")</f>
        <v xml:space="preserve"> </v>
      </c>
      <c r="AT848" s="27">
        <f>(VLOOKUP(Tabla4[[#This Row],[SERVICIO 2025]],$J$2:$V$14,3,0)*Tabla4[[#This Row],[TOTAL COBERTURA]])+Tabla4[[#This Row],[VALOR FASE PREPARATORIA DE ALISTAMIENTO]]+Tabla4[[#This Row],[DOTACIÓN ÚNICA]]</f>
        <v>7393364</v>
      </c>
      <c r="AU848" s="35">
        <f>(VLOOKUP(Tabla4[[#This Row],[SERVICIO 2025]],$J$2:$V$14,3,0)*Tabla4[[#This Row],[TOTAL COBERTURA]])</f>
        <v>5666892</v>
      </c>
      <c r="AV848" s="35">
        <f>(VLOOKUP(Tabla4[[#This Row],[SERVICIO 2025]],$J$2:$V$14,3,0)*Tabla4[[#This Row],[TOTAL COBERTURA]])</f>
        <v>5666892</v>
      </c>
      <c r="AW848" s="35">
        <f>(VLOOKUP(Tabla4[[#This Row],[SERVICIO 2025]],$J$2:$V$14,3,0)*Tabla4[[#This Row],[TOTAL COBERTURA]])</f>
        <v>5666892</v>
      </c>
      <c r="AX848" s="35">
        <f>(VLOOKUP(Tabla4[[#This Row],[SERVICIO 2025]],$J$2:$V$14,3,0)*Tabla4[[#This Row],[TOTAL COBERTURA]])</f>
        <v>5666892</v>
      </c>
      <c r="AY848" s="35">
        <f>(VLOOKUP(Tabla4[[#This Row],[SERVICIO 2025]],$J$2:$V$14,3,0)*Tabla4[[#This Row],[TOTAL COBERTURA]])</f>
        <v>5666892</v>
      </c>
      <c r="AZ848" s="35">
        <f>(VLOOKUP(Tabla4[[#This Row],[SERVICIO 2025]],$J$2:$V$14,3,0)*Tabla4[[#This Row],[TOTAL COBERTURA]])</f>
        <v>5666892</v>
      </c>
      <c r="BA848" s="35">
        <f>(VLOOKUP(Tabla4[[#This Row],[SERVICIO 2025]],$J$2:$V$14,3,0)*Tabla4[[#This Row],[TOTAL COBERTURA]])+Tabla4[[#This Row],[VALOR FASE PREPARATORIA DE CIERRE]]</f>
        <v>6569530</v>
      </c>
      <c r="BB848" s="35">
        <f>SUM(Tabla4[[#This Row],[DESEMBOLSO 1]:[DESEMBOLSO 8]])</f>
        <v>47964246</v>
      </c>
      <c r="BC848" s="35">
        <f>VLOOKUP(Tabla4[[#This Row],[SERVICIO 2025]],$J$2:$V$14,10,0)*Tabla4[[#This Row],[TOTAL COBERTURA]]*$W$3</f>
        <v>31747408</v>
      </c>
      <c r="BD848" s="47" t="s">
        <v>211</v>
      </c>
      <c r="BE848" s="12" t="b">
        <f>EXACT(Tabla4[[#This Row],[VALOR ATENCIÓN (8 MESES)]],Tabla4[[#This Row],[VALOR TOTAL]])</f>
        <v>1</v>
      </c>
      <c r="BF848" s="23">
        <f>Tabla4[[#This Row],[VALOR ATENCIÓN (8 MESES)]]-Tabla4[[#This Row],[VALOR TOTAL]]</f>
        <v>0</v>
      </c>
      <c r="BG848" s="12" t="b">
        <f>EXACT(Tabla4[[#This Row],[TOTAL DESEMBOLSOS]],Tabla4[[#This Row],[VALOR ATENCIÓN (8 MESES)]])</f>
        <v>1</v>
      </c>
      <c r="BH848" s="29">
        <f>Tabla4[[#This Row],[TOTAL DESEMBOLSOS]]-Tabla4[[#This Row],[VALOR ATENCIÓN (8 MESES)]]</f>
        <v>0</v>
      </c>
      <c r="BI848" t="s">
        <v>98</v>
      </c>
      <c r="BJ848">
        <v>1972</v>
      </c>
    </row>
    <row r="849" spans="1:62">
      <c r="A849" s="13">
        <v>1972</v>
      </c>
      <c r="B849" s="13" t="s">
        <v>1861</v>
      </c>
      <c r="C849" s="12" t="s">
        <v>87</v>
      </c>
      <c r="D849" s="12" t="s">
        <v>987</v>
      </c>
      <c r="E849" s="12" t="s">
        <v>1862</v>
      </c>
      <c r="F849" s="12" t="s">
        <v>18</v>
      </c>
      <c r="G849" s="12" t="s">
        <v>90</v>
      </c>
      <c r="H849" s="12" t="s">
        <v>1886</v>
      </c>
      <c r="I849" s="12">
        <v>54951136487</v>
      </c>
      <c r="J849" s="12" t="s">
        <v>1887</v>
      </c>
      <c r="K849" s="12">
        <v>1</v>
      </c>
      <c r="L849" s="12">
        <v>14</v>
      </c>
      <c r="M849" s="12"/>
      <c r="N849" s="13">
        <v>1972</v>
      </c>
      <c r="O849" s="12" t="s">
        <v>93</v>
      </c>
      <c r="P849" s="12"/>
      <c r="Q849" s="12"/>
      <c r="R849" s="12" t="s">
        <v>94</v>
      </c>
      <c r="S849" s="12">
        <v>10</v>
      </c>
      <c r="T849" s="12" t="s">
        <v>209</v>
      </c>
      <c r="U849" s="12" t="s">
        <v>210</v>
      </c>
      <c r="V849" s="12">
        <f>VLOOKUP(Tabla4[[#This Row],[ZONA DEFINITIVO]],Hoja1!$A$1:$D$121,3,0)</f>
        <v>229130</v>
      </c>
      <c r="W849" s="12">
        <f>VLOOKUP(Tabla4[[#This Row],[ZONA DEFINITIVO]],Hoja1!$A$1:$D$121,2,0)</f>
        <v>15240</v>
      </c>
      <c r="X849" s="12">
        <f>VLOOKUP(Tabla4[[#This Row],[ZONA DEFINITIVO]],Hoja1!$A$1:$D$121,4,0)</f>
        <v>88425</v>
      </c>
      <c r="Y849" s="12" t="str">
        <f>+IF(Tabla4[[#This Row],[AGRUPACIONES]]=1,SUMIFS(Tabla4[UDS],Tabla4[ZONA DEFINITIVO],Tabla4[[#This Row],[ZONA DEFINITIVO]])," ")</f>
        <v xml:space="preserve"> </v>
      </c>
      <c r="Z849" s="12" t="str">
        <f>+IF(Tabla4[[#This Row],[AGRUPACIONES]]=1,SUMIFS(Tabla4[TOTAL COBERTURA],Tabla4[ZONA DEFINITIVO],Tabla4[[#This Row],[ZONA DEFINITIVO]])," ")</f>
        <v xml:space="preserve"> </v>
      </c>
      <c r="AA849" s="12"/>
      <c r="AB849" s="38">
        <v>30522702</v>
      </c>
      <c r="AC849" s="37">
        <v>0.02</v>
      </c>
      <c r="AD849" s="38">
        <f t="shared" si="13"/>
        <v>610454.04</v>
      </c>
      <c r="AE849" s="12"/>
      <c r="AF849" s="12">
        <f>COUNTIF($A$20:A849,A849)</f>
        <v>13</v>
      </c>
      <c r="AG849" s="38">
        <v>30522702</v>
      </c>
      <c r="AH849" s="38">
        <f>Tabla4[[#This Row],[VALOR CONTRAPARTIDA]]+Tabla4[[#This Row],[TOTAL APORTES ICBF]]</f>
        <v>31133156.039999999</v>
      </c>
      <c r="AI849" s="35"/>
      <c r="AJ849" s="38"/>
      <c r="AK849" s="38"/>
      <c r="AL849" s="23"/>
      <c r="AM849" s="35">
        <f>VLOOKUP(Tabla4[[#This Row],[SERVICIO 2025]],$J$2:$V$14,5,0)*Tabla4[[#This Row],[TOTAL COBERTURA]]</f>
        <v>691264</v>
      </c>
      <c r="AN849" s="35">
        <f>VLOOKUP(Tabla4[[#This Row],[SERVICIO 2025]],$J$2:$V$14,6,0)*Tabla4[[#This Row],[TOTAL COBERTURA]]</f>
        <v>574406</v>
      </c>
      <c r="AO849" s="35">
        <f>VLOOKUP(Tabla4[[#This Row],[SERVICIO 2025]],$J$2:$V$14,8,0)*Tabla4[[#This Row],[TOTAL COBERTURA]]</f>
        <v>407400</v>
      </c>
      <c r="AP849" s="35">
        <f>VLOOKUP(Tabla4[[#This Row],[SERVICIO 2025]],$J$2:$V$14,3,0)*Tabla4[[#This Row],[TOTAL COBERTURA]]*8</f>
        <v>28849632</v>
      </c>
      <c r="AQ849" s="35"/>
      <c r="AR849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849" s="35" t="str">
        <f>+IF(Tabla4[[#This Row],[AGRUPACIONES]]=1,SUMIFS(Tabla4[VALOR TOTAL],Tabla4[ZONA DEFINITIVO],Tabla4[[#This Row],[ZONA DEFINITIVO]])," ")</f>
        <v xml:space="preserve"> </v>
      </c>
      <c r="AT849" s="27">
        <f>(VLOOKUP(Tabla4[[#This Row],[SERVICIO 2025]],$J$2:$V$14,3,0)*Tabla4[[#This Row],[TOTAL COBERTURA]])+Tabla4[[#This Row],[VALOR FASE PREPARATORIA DE ALISTAMIENTO]]+Tabla4[[#This Row],[DOTACIÓN ÚNICA]]</f>
        <v>4704868</v>
      </c>
      <c r="AU849" s="35">
        <f>(VLOOKUP(Tabla4[[#This Row],[SERVICIO 2025]],$J$2:$V$14,3,0)*Tabla4[[#This Row],[TOTAL COBERTURA]])</f>
        <v>3606204</v>
      </c>
      <c r="AV849" s="35">
        <f>(VLOOKUP(Tabla4[[#This Row],[SERVICIO 2025]],$J$2:$V$14,3,0)*Tabla4[[#This Row],[TOTAL COBERTURA]])</f>
        <v>3606204</v>
      </c>
      <c r="AW849" s="35">
        <f>(VLOOKUP(Tabla4[[#This Row],[SERVICIO 2025]],$J$2:$V$14,3,0)*Tabla4[[#This Row],[TOTAL COBERTURA]])</f>
        <v>3606204</v>
      </c>
      <c r="AX849" s="35">
        <f>(VLOOKUP(Tabla4[[#This Row],[SERVICIO 2025]],$J$2:$V$14,3,0)*Tabla4[[#This Row],[TOTAL COBERTURA]])</f>
        <v>3606204</v>
      </c>
      <c r="AY849" s="35">
        <f>(VLOOKUP(Tabla4[[#This Row],[SERVICIO 2025]],$J$2:$V$14,3,0)*Tabla4[[#This Row],[TOTAL COBERTURA]])</f>
        <v>3606204</v>
      </c>
      <c r="AZ849" s="35">
        <f>(VLOOKUP(Tabla4[[#This Row],[SERVICIO 2025]],$J$2:$V$14,3,0)*Tabla4[[#This Row],[TOTAL COBERTURA]])</f>
        <v>3606204</v>
      </c>
      <c r="BA849" s="35">
        <f>(VLOOKUP(Tabla4[[#This Row],[SERVICIO 2025]],$J$2:$V$14,3,0)*Tabla4[[#This Row],[TOTAL COBERTURA]])+Tabla4[[#This Row],[VALOR FASE PREPARATORIA DE CIERRE]]</f>
        <v>4180610</v>
      </c>
      <c r="BB849" s="35">
        <f>SUM(Tabla4[[#This Row],[DESEMBOLSO 1]:[DESEMBOLSO 8]])</f>
        <v>30522702</v>
      </c>
      <c r="BC849" s="35">
        <f>VLOOKUP(Tabla4[[#This Row],[SERVICIO 2025]],$J$2:$V$14,10,0)*Tabla4[[#This Row],[TOTAL COBERTURA]]*$W$3</f>
        <v>20202896</v>
      </c>
      <c r="BD849" s="47" t="s">
        <v>211</v>
      </c>
      <c r="BE849" s="12" t="b">
        <f>EXACT(Tabla4[[#This Row],[VALOR ATENCIÓN (8 MESES)]],Tabla4[[#This Row],[VALOR TOTAL]])</f>
        <v>1</v>
      </c>
      <c r="BF849" s="23">
        <f>Tabla4[[#This Row],[VALOR ATENCIÓN (8 MESES)]]-Tabla4[[#This Row],[VALOR TOTAL]]</f>
        <v>0</v>
      </c>
      <c r="BG849" s="12" t="b">
        <f>EXACT(Tabla4[[#This Row],[TOTAL DESEMBOLSOS]],Tabla4[[#This Row],[VALOR ATENCIÓN (8 MESES)]])</f>
        <v>1</v>
      </c>
      <c r="BH849" s="29">
        <f>Tabla4[[#This Row],[TOTAL DESEMBOLSOS]]-Tabla4[[#This Row],[VALOR ATENCIÓN (8 MESES)]]</f>
        <v>0</v>
      </c>
      <c r="BI849" t="s">
        <v>98</v>
      </c>
      <c r="BJ849">
        <v>1972</v>
      </c>
    </row>
    <row r="850" spans="1:62">
      <c r="A850" s="13">
        <v>1972</v>
      </c>
      <c r="B850" s="13" t="s">
        <v>1861</v>
      </c>
      <c r="C850" s="12" t="s">
        <v>87</v>
      </c>
      <c r="D850" s="12" t="s">
        <v>987</v>
      </c>
      <c r="E850" s="12" t="s">
        <v>1862</v>
      </c>
      <c r="F850" s="12" t="s">
        <v>18</v>
      </c>
      <c r="G850" s="12" t="s">
        <v>90</v>
      </c>
      <c r="H850" s="12" t="s">
        <v>1888</v>
      </c>
      <c r="I850" s="12">
        <v>54951136490</v>
      </c>
      <c r="J850" s="12" t="s">
        <v>1889</v>
      </c>
      <c r="K850" s="12">
        <v>1</v>
      </c>
      <c r="L850" s="12">
        <v>31</v>
      </c>
      <c r="M850" s="12"/>
      <c r="N850" s="13">
        <v>1972</v>
      </c>
      <c r="O850" s="12" t="s">
        <v>93</v>
      </c>
      <c r="P850" s="12"/>
      <c r="Q850" s="12"/>
      <c r="R850" s="12" t="s">
        <v>94</v>
      </c>
      <c r="S850" s="12">
        <v>10</v>
      </c>
      <c r="T850" s="12" t="s">
        <v>209</v>
      </c>
      <c r="U850" s="12" t="s">
        <v>210</v>
      </c>
      <c r="V850" s="12">
        <f>VLOOKUP(Tabla4[[#This Row],[ZONA DEFINITIVO]],Hoja1!$A$1:$D$121,3,0)</f>
        <v>229130</v>
      </c>
      <c r="W850" s="12">
        <f>VLOOKUP(Tabla4[[#This Row],[ZONA DEFINITIVO]],Hoja1!$A$1:$D$121,2,0)</f>
        <v>15240</v>
      </c>
      <c r="X850" s="12">
        <f>VLOOKUP(Tabla4[[#This Row],[ZONA DEFINITIVO]],Hoja1!$A$1:$D$121,4,0)</f>
        <v>88425</v>
      </c>
      <c r="Y850" s="12" t="str">
        <f>+IF(Tabla4[[#This Row],[AGRUPACIONES]]=1,SUMIFS(Tabla4[UDS],Tabla4[ZONA DEFINITIVO],Tabla4[[#This Row],[ZONA DEFINITIVO]])," ")</f>
        <v xml:space="preserve"> </v>
      </c>
      <c r="Z850" s="12" t="str">
        <f>+IF(Tabla4[[#This Row],[AGRUPACIONES]]=1,SUMIFS(Tabla4[TOTAL COBERTURA],Tabla4[ZONA DEFINITIVO],Tabla4[[#This Row],[ZONA DEFINITIVO]])," ")</f>
        <v xml:space="preserve"> </v>
      </c>
      <c r="AA850" s="12"/>
      <c r="AB850" s="38">
        <v>67585983</v>
      </c>
      <c r="AC850" s="37">
        <v>0.02</v>
      </c>
      <c r="AD850" s="38">
        <f t="shared" si="13"/>
        <v>1351719.66</v>
      </c>
      <c r="AE850" s="12"/>
      <c r="AF850" s="12">
        <f>COUNTIF($A$20:A850,A850)</f>
        <v>14</v>
      </c>
      <c r="AG850" s="38">
        <v>67585983</v>
      </c>
      <c r="AH850" s="38">
        <f>Tabla4[[#This Row],[VALOR CONTRAPARTIDA]]+Tabla4[[#This Row],[TOTAL APORTES ICBF]]</f>
        <v>68937702.659999996</v>
      </c>
      <c r="AI850" s="35"/>
      <c r="AJ850" s="38"/>
      <c r="AK850" s="38"/>
      <c r="AL850" s="23"/>
      <c r="AM850" s="35">
        <f>VLOOKUP(Tabla4[[#This Row],[SERVICIO 2025]],$J$2:$V$14,5,0)*Tabla4[[#This Row],[TOTAL COBERTURA]]</f>
        <v>1530656</v>
      </c>
      <c r="AN850" s="35">
        <f>VLOOKUP(Tabla4[[#This Row],[SERVICIO 2025]],$J$2:$V$14,6,0)*Tabla4[[#This Row],[TOTAL COBERTURA]]</f>
        <v>1271899</v>
      </c>
      <c r="AO850" s="35">
        <f>VLOOKUP(Tabla4[[#This Row],[SERVICIO 2025]],$J$2:$V$14,8,0)*Tabla4[[#This Row],[TOTAL COBERTURA]]</f>
        <v>902100</v>
      </c>
      <c r="AP850" s="35">
        <f>VLOOKUP(Tabla4[[#This Row],[SERVICIO 2025]],$J$2:$V$14,3,0)*Tabla4[[#This Row],[TOTAL COBERTURA]]*8</f>
        <v>63881328</v>
      </c>
      <c r="AQ850" s="35"/>
      <c r="AR850" s="35">
        <f>Tabla4[[#This Row],[VALOR FASE PREPARATORIA DE ALISTAMIENTO]]+Tabla4[[#This Row],[VALOR FASE PREPARATORIA DE CIERRE]]+Tabla4[[#This Row],[DOTACIÓN ÚNICA]]+Tabla4[[#This Row],[VALOR ATENCIÓN]]+Tabla4[[#This Row],[VALOR RACION PREPARADA]]</f>
        <v>67585983</v>
      </c>
      <c r="AS850" s="35" t="str">
        <f>+IF(Tabla4[[#This Row],[AGRUPACIONES]]=1,SUMIFS(Tabla4[VALOR TOTAL],Tabla4[ZONA DEFINITIVO],Tabla4[[#This Row],[ZONA DEFINITIVO]])," ")</f>
        <v xml:space="preserve"> </v>
      </c>
      <c r="AT850" s="27">
        <f>(VLOOKUP(Tabla4[[#This Row],[SERVICIO 2025]],$J$2:$V$14,3,0)*Tabla4[[#This Row],[TOTAL COBERTURA]])+Tabla4[[#This Row],[VALOR FASE PREPARATORIA DE ALISTAMIENTO]]+Tabla4[[#This Row],[DOTACIÓN ÚNICA]]</f>
        <v>10417922</v>
      </c>
      <c r="AU850" s="35">
        <f>(VLOOKUP(Tabla4[[#This Row],[SERVICIO 2025]],$J$2:$V$14,3,0)*Tabla4[[#This Row],[TOTAL COBERTURA]])</f>
        <v>7985166</v>
      </c>
      <c r="AV850" s="35">
        <f>(VLOOKUP(Tabla4[[#This Row],[SERVICIO 2025]],$J$2:$V$14,3,0)*Tabla4[[#This Row],[TOTAL COBERTURA]])</f>
        <v>7985166</v>
      </c>
      <c r="AW850" s="35">
        <f>(VLOOKUP(Tabla4[[#This Row],[SERVICIO 2025]],$J$2:$V$14,3,0)*Tabla4[[#This Row],[TOTAL COBERTURA]])</f>
        <v>7985166</v>
      </c>
      <c r="AX850" s="35">
        <f>(VLOOKUP(Tabla4[[#This Row],[SERVICIO 2025]],$J$2:$V$14,3,0)*Tabla4[[#This Row],[TOTAL COBERTURA]])</f>
        <v>7985166</v>
      </c>
      <c r="AY850" s="35">
        <f>(VLOOKUP(Tabla4[[#This Row],[SERVICIO 2025]],$J$2:$V$14,3,0)*Tabla4[[#This Row],[TOTAL COBERTURA]])</f>
        <v>7985166</v>
      </c>
      <c r="AZ850" s="35">
        <f>(VLOOKUP(Tabla4[[#This Row],[SERVICIO 2025]],$J$2:$V$14,3,0)*Tabla4[[#This Row],[TOTAL COBERTURA]])</f>
        <v>7985166</v>
      </c>
      <c r="BA850" s="35">
        <f>(VLOOKUP(Tabla4[[#This Row],[SERVICIO 2025]],$J$2:$V$14,3,0)*Tabla4[[#This Row],[TOTAL COBERTURA]])+Tabla4[[#This Row],[VALOR FASE PREPARATORIA DE CIERRE]]</f>
        <v>9257065</v>
      </c>
      <c r="BB850" s="35">
        <f>SUM(Tabla4[[#This Row],[DESEMBOLSO 1]:[DESEMBOLSO 8]])</f>
        <v>67585983</v>
      </c>
      <c r="BC850" s="35">
        <f>VLOOKUP(Tabla4[[#This Row],[SERVICIO 2025]],$J$2:$V$14,10,0)*Tabla4[[#This Row],[TOTAL COBERTURA]]*$W$3</f>
        <v>44734984</v>
      </c>
      <c r="BD850" s="47" t="s">
        <v>211</v>
      </c>
      <c r="BE850" s="12" t="b">
        <f>EXACT(Tabla4[[#This Row],[VALOR ATENCIÓN (8 MESES)]],Tabla4[[#This Row],[VALOR TOTAL]])</f>
        <v>1</v>
      </c>
      <c r="BF850" s="23">
        <f>Tabla4[[#This Row],[VALOR ATENCIÓN (8 MESES)]]-Tabla4[[#This Row],[VALOR TOTAL]]</f>
        <v>0</v>
      </c>
      <c r="BG850" s="12" t="b">
        <f>EXACT(Tabla4[[#This Row],[TOTAL DESEMBOLSOS]],Tabla4[[#This Row],[VALOR ATENCIÓN (8 MESES)]])</f>
        <v>1</v>
      </c>
      <c r="BH850" s="29">
        <f>Tabla4[[#This Row],[TOTAL DESEMBOLSOS]]-Tabla4[[#This Row],[VALOR ATENCIÓN (8 MESES)]]</f>
        <v>0</v>
      </c>
      <c r="BI850" t="s">
        <v>98</v>
      </c>
      <c r="BJ850">
        <v>1972</v>
      </c>
    </row>
    <row r="851" spans="1:62">
      <c r="A851" s="13">
        <v>1972</v>
      </c>
      <c r="B851" s="13" t="s">
        <v>1861</v>
      </c>
      <c r="C851" s="12" t="s">
        <v>87</v>
      </c>
      <c r="D851" s="12" t="s">
        <v>987</v>
      </c>
      <c r="E851" s="12" t="s">
        <v>1862</v>
      </c>
      <c r="F851" s="12" t="s">
        <v>18</v>
      </c>
      <c r="G851" s="12" t="s">
        <v>90</v>
      </c>
      <c r="H851" s="12" t="s">
        <v>1890</v>
      </c>
      <c r="I851" s="12">
        <v>54951136493</v>
      </c>
      <c r="J851" s="12" t="s">
        <v>1891</v>
      </c>
      <c r="K851" s="12">
        <v>1</v>
      </c>
      <c r="L851" s="12">
        <v>16</v>
      </c>
      <c r="M851" s="12"/>
      <c r="N851" s="13">
        <v>1972</v>
      </c>
      <c r="O851" s="12" t="s">
        <v>93</v>
      </c>
      <c r="P851" s="12"/>
      <c r="Q851" s="12"/>
      <c r="R851" s="12" t="s">
        <v>94</v>
      </c>
      <c r="S851" s="12">
        <v>10</v>
      </c>
      <c r="T851" s="12" t="s">
        <v>209</v>
      </c>
      <c r="U851" s="12" t="s">
        <v>210</v>
      </c>
      <c r="V851" s="12">
        <f>VLOOKUP(Tabla4[[#This Row],[ZONA DEFINITIVO]],Hoja1!$A$1:$D$121,3,0)</f>
        <v>229130</v>
      </c>
      <c r="W851" s="12">
        <f>VLOOKUP(Tabla4[[#This Row],[ZONA DEFINITIVO]],Hoja1!$A$1:$D$121,2,0)</f>
        <v>15240</v>
      </c>
      <c r="X851" s="12">
        <f>VLOOKUP(Tabla4[[#This Row],[ZONA DEFINITIVO]],Hoja1!$A$1:$D$121,4,0)</f>
        <v>88425</v>
      </c>
      <c r="Y851" s="12" t="str">
        <f>+IF(Tabla4[[#This Row],[AGRUPACIONES]]=1,SUMIFS(Tabla4[UDS],Tabla4[ZONA DEFINITIVO],Tabla4[[#This Row],[ZONA DEFINITIVO]])," ")</f>
        <v xml:space="preserve"> </v>
      </c>
      <c r="Z851" s="12" t="str">
        <f>+IF(Tabla4[[#This Row],[AGRUPACIONES]]=1,SUMIFS(Tabla4[TOTAL COBERTURA],Tabla4[ZONA DEFINITIVO],Tabla4[[#This Row],[ZONA DEFINITIVO]])," ")</f>
        <v xml:space="preserve"> </v>
      </c>
      <c r="AA851" s="12"/>
      <c r="AB851" s="38">
        <v>34883088</v>
      </c>
      <c r="AC851" s="37">
        <v>0.02</v>
      </c>
      <c r="AD851" s="38">
        <f t="shared" si="13"/>
        <v>697661.76</v>
      </c>
      <c r="AE851" s="12"/>
      <c r="AF851" s="12">
        <f>COUNTIF($A$20:A851,A851)</f>
        <v>15</v>
      </c>
      <c r="AG851" s="38">
        <v>34883088</v>
      </c>
      <c r="AH851" s="38">
        <f>Tabla4[[#This Row],[VALOR CONTRAPARTIDA]]+Tabla4[[#This Row],[TOTAL APORTES ICBF]]</f>
        <v>35580749.759999998</v>
      </c>
      <c r="AI851" s="35"/>
      <c r="AJ851" s="38"/>
      <c r="AK851" s="38"/>
      <c r="AL851" s="23"/>
      <c r="AM851" s="35">
        <f>VLOOKUP(Tabla4[[#This Row],[SERVICIO 2025]],$J$2:$V$14,5,0)*Tabla4[[#This Row],[TOTAL COBERTURA]]</f>
        <v>790016</v>
      </c>
      <c r="AN851" s="35">
        <f>VLOOKUP(Tabla4[[#This Row],[SERVICIO 2025]],$J$2:$V$14,6,0)*Tabla4[[#This Row],[TOTAL COBERTURA]]</f>
        <v>656464</v>
      </c>
      <c r="AO851" s="35">
        <f>VLOOKUP(Tabla4[[#This Row],[SERVICIO 2025]],$J$2:$V$14,8,0)*Tabla4[[#This Row],[TOTAL COBERTURA]]</f>
        <v>465600</v>
      </c>
      <c r="AP851" s="35">
        <f>VLOOKUP(Tabla4[[#This Row],[SERVICIO 2025]],$J$2:$V$14,3,0)*Tabla4[[#This Row],[TOTAL COBERTURA]]*8</f>
        <v>32971008</v>
      </c>
      <c r="AQ851" s="35"/>
      <c r="AR851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851" s="35" t="str">
        <f>+IF(Tabla4[[#This Row],[AGRUPACIONES]]=1,SUMIFS(Tabla4[VALOR TOTAL],Tabla4[ZONA DEFINITIVO],Tabla4[[#This Row],[ZONA DEFINITIVO]])," ")</f>
        <v xml:space="preserve"> </v>
      </c>
      <c r="AT851" s="27">
        <f>(VLOOKUP(Tabla4[[#This Row],[SERVICIO 2025]],$J$2:$V$14,3,0)*Tabla4[[#This Row],[TOTAL COBERTURA]])+Tabla4[[#This Row],[VALOR FASE PREPARATORIA DE ALISTAMIENTO]]+Tabla4[[#This Row],[DOTACIÓN ÚNICA]]</f>
        <v>5376992</v>
      </c>
      <c r="AU851" s="35">
        <f>(VLOOKUP(Tabla4[[#This Row],[SERVICIO 2025]],$J$2:$V$14,3,0)*Tabla4[[#This Row],[TOTAL COBERTURA]])</f>
        <v>4121376</v>
      </c>
      <c r="AV851" s="35">
        <f>(VLOOKUP(Tabla4[[#This Row],[SERVICIO 2025]],$J$2:$V$14,3,0)*Tabla4[[#This Row],[TOTAL COBERTURA]])</f>
        <v>4121376</v>
      </c>
      <c r="AW851" s="35">
        <f>(VLOOKUP(Tabla4[[#This Row],[SERVICIO 2025]],$J$2:$V$14,3,0)*Tabla4[[#This Row],[TOTAL COBERTURA]])</f>
        <v>4121376</v>
      </c>
      <c r="AX851" s="35">
        <f>(VLOOKUP(Tabla4[[#This Row],[SERVICIO 2025]],$J$2:$V$14,3,0)*Tabla4[[#This Row],[TOTAL COBERTURA]])</f>
        <v>4121376</v>
      </c>
      <c r="AY851" s="35">
        <f>(VLOOKUP(Tabla4[[#This Row],[SERVICIO 2025]],$J$2:$V$14,3,0)*Tabla4[[#This Row],[TOTAL COBERTURA]])</f>
        <v>4121376</v>
      </c>
      <c r="AZ851" s="35">
        <f>(VLOOKUP(Tabla4[[#This Row],[SERVICIO 2025]],$J$2:$V$14,3,0)*Tabla4[[#This Row],[TOTAL COBERTURA]])</f>
        <v>4121376</v>
      </c>
      <c r="BA851" s="35">
        <f>(VLOOKUP(Tabla4[[#This Row],[SERVICIO 2025]],$J$2:$V$14,3,0)*Tabla4[[#This Row],[TOTAL COBERTURA]])+Tabla4[[#This Row],[VALOR FASE PREPARATORIA DE CIERRE]]</f>
        <v>4777840</v>
      </c>
      <c r="BB851" s="35">
        <f>SUM(Tabla4[[#This Row],[DESEMBOLSO 1]:[DESEMBOLSO 8]])</f>
        <v>34883088</v>
      </c>
      <c r="BC851" s="35">
        <f>VLOOKUP(Tabla4[[#This Row],[SERVICIO 2025]],$J$2:$V$14,10,0)*Tabla4[[#This Row],[TOTAL COBERTURA]]*$W$3</f>
        <v>23089024</v>
      </c>
      <c r="BD851" s="47" t="s">
        <v>211</v>
      </c>
      <c r="BE851" s="12" t="b">
        <f>EXACT(Tabla4[[#This Row],[VALOR ATENCIÓN (8 MESES)]],Tabla4[[#This Row],[VALOR TOTAL]])</f>
        <v>1</v>
      </c>
      <c r="BF851" s="23">
        <f>Tabla4[[#This Row],[VALOR ATENCIÓN (8 MESES)]]-Tabla4[[#This Row],[VALOR TOTAL]]</f>
        <v>0</v>
      </c>
      <c r="BG851" s="12" t="b">
        <f>EXACT(Tabla4[[#This Row],[TOTAL DESEMBOLSOS]],Tabla4[[#This Row],[VALOR ATENCIÓN (8 MESES)]])</f>
        <v>1</v>
      </c>
      <c r="BH851" s="29">
        <f>Tabla4[[#This Row],[TOTAL DESEMBOLSOS]]-Tabla4[[#This Row],[VALOR ATENCIÓN (8 MESES)]]</f>
        <v>0</v>
      </c>
      <c r="BI851" t="s">
        <v>98</v>
      </c>
      <c r="BJ851">
        <v>1972</v>
      </c>
    </row>
    <row r="852" spans="1:62">
      <c r="A852" s="13">
        <v>1972</v>
      </c>
      <c r="B852" s="13" t="s">
        <v>1861</v>
      </c>
      <c r="C852" s="12" t="s">
        <v>87</v>
      </c>
      <c r="D852" s="12" t="s">
        <v>987</v>
      </c>
      <c r="E852" s="12" t="s">
        <v>1862</v>
      </c>
      <c r="F852" s="12" t="s">
        <v>18</v>
      </c>
      <c r="G852" s="12" t="s">
        <v>90</v>
      </c>
      <c r="H852" s="12" t="s">
        <v>1892</v>
      </c>
      <c r="I852" s="12">
        <v>54951136505</v>
      </c>
      <c r="J852" s="12" t="s">
        <v>1893</v>
      </c>
      <c r="K852" s="12">
        <v>1</v>
      </c>
      <c r="L852" s="12">
        <v>18</v>
      </c>
      <c r="M852" s="12"/>
      <c r="N852" s="13">
        <v>1972</v>
      </c>
      <c r="O852" s="12" t="s">
        <v>93</v>
      </c>
      <c r="P852" s="12"/>
      <c r="Q852" s="12"/>
      <c r="R852" s="12" t="s">
        <v>94</v>
      </c>
      <c r="S852" s="12">
        <v>10</v>
      </c>
      <c r="T852" s="12" t="s">
        <v>209</v>
      </c>
      <c r="U852" s="12" t="s">
        <v>210</v>
      </c>
      <c r="V852" s="12">
        <f>VLOOKUP(Tabla4[[#This Row],[ZONA DEFINITIVO]],Hoja1!$A$1:$D$121,3,0)</f>
        <v>229130</v>
      </c>
      <c r="W852" s="12">
        <f>VLOOKUP(Tabla4[[#This Row],[ZONA DEFINITIVO]],Hoja1!$A$1:$D$121,2,0)</f>
        <v>15240</v>
      </c>
      <c r="X852" s="12">
        <f>VLOOKUP(Tabla4[[#This Row],[ZONA DEFINITIVO]],Hoja1!$A$1:$D$121,4,0)</f>
        <v>88425</v>
      </c>
      <c r="Y852" s="12" t="str">
        <f>+IF(Tabla4[[#This Row],[AGRUPACIONES]]=1,SUMIFS(Tabla4[UDS],Tabla4[ZONA DEFINITIVO],Tabla4[[#This Row],[ZONA DEFINITIVO]])," ")</f>
        <v xml:space="preserve"> </v>
      </c>
      <c r="Z852" s="12" t="str">
        <f>+IF(Tabla4[[#This Row],[AGRUPACIONES]]=1,SUMIFS(Tabla4[TOTAL COBERTURA],Tabla4[ZONA DEFINITIVO],Tabla4[[#This Row],[ZONA DEFINITIVO]])," ")</f>
        <v xml:space="preserve"> </v>
      </c>
      <c r="AA852" s="12"/>
      <c r="AB852" s="38">
        <v>39243474</v>
      </c>
      <c r="AC852" s="37">
        <v>0.02</v>
      </c>
      <c r="AD852" s="38">
        <f t="shared" ref="AD852:AD915" si="14">AB852*AC852</f>
        <v>784869.48</v>
      </c>
      <c r="AE852" s="12"/>
      <c r="AF852" s="12">
        <f>COUNTIF($A$20:A852,A852)</f>
        <v>16</v>
      </c>
      <c r="AG852" s="38">
        <v>39243474</v>
      </c>
      <c r="AH852" s="38">
        <f>Tabla4[[#This Row],[VALOR CONTRAPARTIDA]]+Tabla4[[#This Row],[TOTAL APORTES ICBF]]</f>
        <v>40028343.479999997</v>
      </c>
      <c r="AI852" s="35"/>
      <c r="AJ852" s="38"/>
      <c r="AK852" s="38"/>
      <c r="AL852" s="23"/>
      <c r="AM852" s="35">
        <f>VLOOKUP(Tabla4[[#This Row],[SERVICIO 2025]],$J$2:$V$14,5,0)*Tabla4[[#This Row],[TOTAL COBERTURA]]</f>
        <v>888768</v>
      </c>
      <c r="AN852" s="35">
        <f>VLOOKUP(Tabla4[[#This Row],[SERVICIO 2025]],$J$2:$V$14,6,0)*Tabla4[[#This Row],[TOTAL COBERTURA]]</f>
        <v>738522</v>
      </c>
      <c r="AO852" s="35">
        <f>VLOOKUP(Tabla4[[#This Row],[SERVICIO 2025]],$J$2:$V$14,8,0)*Tabla4[[#This Row],[TOTAL COBERTURA]]</f>
        <v>523800</v>
      </c>
      <c r="AP852" s="35">
        <f>VLOOKUP(Tabla4[[#This Row],[SERVICIO 2025]],$J$2:$V$14,3,0)*Tabla4[[#This Row],[TOTAL COBERTURA]]*8</f>
        <v>37092384</v>
      </c>
      <c r="AQ852" s="35"/>
      <c r="AR852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852" s="35" t="str">
        <f>+IF(Tabla4[[#This Row],[AGRUPACIONES]]=1,SUMIFS(Tabla4[VALOR TOTAL],Tabla4[ZONA DEFINITIVO],Tabla4[[#This Row],[ZONA DEFINITIVO]])," ")</f>
        <v xml:space="preserve"> </v>
      </c>
      <c r="AT852" s="27">
        <f>(VLOOKUP(Tabla4[[#This Row],[SERVICIO 2025]],$J$2:$V$14,3,0)*Tabla4[[#This Row],[TOTAL COBERTURA]])+Tabla4[[#This Row],[VALOR FASE PREPARATORIA DE ALISTAMIENTO]]+Tabla4[[#This Row],[DOTACIÓN ÚNICA]]</f>
        <v>6049116</v>
      </c>
      <c r="AU852" s="35">
        <f>(VLOOKUP(Tabla4[[#This Row],[SERVICIO 2025]],$J$2:$V$14,3,0)*Tabla4[[#This Row],[TOTAL COBERTURA]])</f>
        <v>4636548</v>
      </c>
      <c r="AV852" s="35">
        <f>(VLOOKUP(Tabla4[[#This Row],[SERVICIO 2025]],$J$2:$V$14,3,0)*Tabla4[[#This Row],[TOTAL COBERTURA]])</f>
        <v>4636548</v>
      </c>
      <c r="AW852" s="35">
        <f>(VLOOKUP(Tabla4[[#This Row],[SERVICIO 2025]],$J$2:$V$14,3,0)*Tabla4[[#This Row],[TOTAL COBERTURA]])</f>
        <v>4636548</v>
      </c>
      <c r="AX852" s="35">
        <f>(VLOOKUP(Tabla4[[#This Row],[SERVICIO 2025]],$J$2:$V$14,3,0)*Tabla4[[#This Row],[TOTAL COBERTURA]])</f>
        <v>4636548</v>
      </c>
      <c r="AY852" s="35">
        <f>(VLOOKUP(Tabla4[[#This Row],[SERVICIO 2025]],$J$2:$V$14,3,0)*Tabla4[[#This Row],[TOTAL COBERTURA]])</f>
        <v>4636548</v>
      </c>
      <c r="AZ852" s="35">
        <f>(VLOOKUP(Tabla4[[#This Row],[SERVICIO 2025]],$J$2:$V$14,3,0)*Tabla4[[#This Row],[TOTAL COBERTURA]])</f>
        <v>4636548</v>
      </c>
      <c r="BA852" s="35">
        <f>(VLOOKUP(Tabla4[[#This Row],[SERVICIO 2025]],$J$2:$V$14,3,0)*Tabla4[[#This Row],[TOTAL COBERTURA]])+Tabla4[[#This Row],[VALOR FASE PREPARATORIA DE CIERRE]]</f>
        <v>5375070</v>
      </c>
      <c r="BB852" s="35">
        <f>SUM(Tabla4[[#This Row],[DESEMBOLSO 1]:[DESEMBOLSO 8]])</f>
        <v>39243474</v>
      </c>
      <c r="BC852" s="35">
        <f>VLOOKUP(Tabla4[[#This Row],[SERVICIO 2025]],$J$2:$V$14,10,0)*Tabla4[[#This Row],[TOTAL COBERTURA]]*$W$3</f>
        <v>25975152</v>
      </c>
      <c r="BD852" s="47" t="s">
        <v>211</v>
      </c>
      <c r="BE852" s="12" t="b">
        <f>EXACT(Tabla4[[#This Row],[VALOR ATENCIÓN (8 MESES)]],Tabla4[[#This Row],[VALOR TOTAL]])</f>
        <v>1</v>
      </c>
      <c r="BF852" s="23">
        <f>Tabla4[[#This Row],[VALOR ATENCIÓN (8 MESES)]]-Tabla4[[#This Row],[VALOR TOTAL]]</f>
        <v>0</v>
      </c>
      <c r="BG852" s="12" t="b">
        <f>EXACT(Tabla4[[#This Row],[TOTAL DESEMBOLSOS]],Tabla4[[#This Row],[VALOR ATENCIÓN (8 MESES)]])</f>
        <v>1</v>
      </c>
      <c r="BH852" s="29">
        <f>Tabla4[[#This Row],[TOTAL DESEMBOLSOS]]-Tabla4[[#This Row],[VALOR ATENCIÓN (8 MESES)]]</f>
        <v>0</v>
      </c>
      <c r="BI852" t="s">
        <v>98</v>
      </c>
      <c r="BJ852">
        <v>1972</v>
      </c>
    </row>
    <row r="853" spans="1:62">
      <c r="A853" s="13">
        <v>1972</v>
      </c>
      <c r="B853" s="13" t="s">
        <v>1861</v>
      </c>
      <c r="C853" s="12" t="s">
        <v>87</v>
      </c>
      <c r="D853" s="12" t="s">
        <v>987</v>
      </c>
      <c r="E853" s="12" t="s">
        <v>1862</v>
      </c>
      <c r="F853" s="12" t="s">
        <v>18</v>
      </c>
      <c r="G853" s="12" t="s">
        <v>90</v>
      </c>
      <c r="H853" s="12" t="s">
        <v>1894</v>
      </c>
      <c r="I853" s="12">
        <v>54951136514</v>
      </c>
      <c r="J853" s="12" t="s">
        <v>1895</v>
      </c>
      <c r="K853" s="12">
        <v>1</v>
      </c>
      <c r="L853" s="12">
        <v>55</v>
      </c>
      <c r="M853" s="12"/>
      <c r="N853" s="13">
        <v>1972</v>
      </c>
      <c r="O853" s="12" t="s">
        <v>93</v>
      </c>
      <c r="P853" s="12"/>
      <c r="Q853" s="12"/>
      <c r="R853" s="12" t="s">
        <v>94</v>
      </c>
      <c r="S853" s="12">
        <v>10</v>
      </c>
      <c r="T853" s="12" t="s">
        <v>209</v>
      </c>
      <c r="U853" s="12" t="s">
        <v>210</v>
      </c>
      <c r="V853" s="12">
        <f>VLOOKUP(Tabla4[[#This Row],[ZONA DEFINITIVO]],Hoja1!$A$1:$D$121,3,0)</f>
        <v>229130</v>
      </c>
      <c r="W853" s="12">
        <f>VLOOKUP(Tabla4[[#This Row],[ZONA DEFINITIVO]],Hoja1!$A$1:$D$121,2,0)</f>
        <v>15240</v>
      </c>
      <c r="X853" s="12">
        <f>VLOOKUP(Tabla4[[#This Row],[ZONA DEFINITIVO]],Hoja1!$A$1:$D$121,4,0)</f>
        <v>88425</v>
      </c>
      <c r="Y853" s="12" t="str">
        <f>+IF(Tabla4[[#This Row],[AGRUPACIONES]]=1,SUMIFS(Tabla4[UDS],Tabla4[ZONA DEFINITIVO],Tabla4[[#This Row],[ZONA DEFINITIVO]])," ")</f>
        <v xml:space="preserve"> </v>
      </c>
      <c r="Z853" s="12" t="str">
        <f>+IF(Tabla4[[#This Row],[AGRUPACIONES]]=1,SUMIFS(Tabla4[TOTAL COBERTURA],Tabla4[ZONA DEFINITIVO],Tabla4[[#This Row],[ZONA DEFINITIVO]])," ")</f>
        <v xml:space="preserve"> </v>
      </c>
      <c r="AA853" s="12"/>
      <c r="AB853" s="38">
        <v>119910615</v>
      </c>
      <c r="AC853" s="37">
        <v>0.02</v>
      </c>
      <c r="AD853" s="38">
        <f t="shared" si="14"/>
        <v>2398212.3000000003</v>
      </c>
      <c r="AE853" s="12"/>
      <c r="AF853" s="12">
        <f>COUNTIF($A$20:A853,A853)</f>
        <v>17</v>
      </c>
      <c r="AG853" s="38">
        <v>119910615</v>
      </c>
      <c r="AH853" s="38">
        <f>Tabla4[[#This Row],[VALOR CONTRAPARTIDA]]+Tabla4[[#This Row],[TOTAL APORTES ICBF]]</f>
        <v>122308827.3</v>
      </c>
      <c r="AI853" s="35"/>
      <c r="AJ853" s="38"/>
      <c r="AK853" s="38"/>
      <c r="AL853" s="23"/>
      <c r="AM853" s="35">
        <f>VLOOKUP(Tabla4[[#This Row],[SERVICIO 2025]],$J$2:$V$14,5,0)*Tabla4[[#This Row],[TOTAL COBERTURA]]</f>
        <v>2715680</v>
      </c>
      <c r="AN853" s="35">
        <f>VLOOKUP(Tabla4[[#This Row],[SERVICIO 2025]],$J$2:$V$14,6,0)*Tabla4[[#This Row],[TOTAL COBERTURA]]</f>
        <v>2256595</v>
      </c>
      <c r="AO853" s="35">
        <f>VLOOKUP(Tabla4[[#This Row],[SERVICIO 2025]],$J$2:$V$14,8,0)*Tabla4[[#This Row],[TOTAL COBERTURA]]</f>
        <v>1600500</v>
      </c>
      <c r="AP853" s="35">
        <f>VLOOKUP(Tabla4[[#This Row],[SERVICIO 2025]],$J$2:$V$14,3,0)*Tabla4[[#This Row],[TOTAL COBERTURA]]*8</f>
        <v>113337840</v>
      </c>
      <c r="AQ853" s="35"/>
      <c r="AR853" s="35">
        <f>Tabla4[[#This Row],[VALOR FASE PREPARATORIA DE ALISTAMIENTO]]+Tabla4[[#This Row],[VALOR FASE PREPARATORIA DE CIERRE]]+Tabla4[[#This Row],[DOTACIÓN ÚNICA]]+Tabla4[[#This Row],[VALOR ATENCIÓN]]+Tabla4[[#This Row],[VALOR RACION PREPARADA]]</f>
        <v>119910615</v>
      </c>
      <c r="AS853" s="35" t="str">
        <f>+IF(Tabla4[[#This Row],[AGRUPACIONES]]=1,SUMIFS(Tabla4[VALOR TOTAL],Tabla4[ZONA DEFINITIVO],Tabla4[[#This Row],[ZONA DEFINITIVO]])," ")</f>
        <v xml:space="preserve"> </v>
      </c>
      <c r="AT853" s="27">
        <f>(VLOOKUP(Tabla4[[#This Row],[SERVICIO 2025]],$J$2:$V$14,3,0)*Tabla4[[#This Row],[TOTAL COBERTURA]])+Tabla4[[#This Row],[VALOR FASE PREPARATORIA DE ALISTAMIENTO]]+Tabla4[[#This Row],[DOTACIÓN ÚNICA]]</f>
        <v>18483410</v>
      </c>
      <c r="AU853" s="35">
        <f>(VLOOKUP(Tabla4[[#This Row],[SERVICIO 2025]],$J$2:$V$14,3,0)*Tabla4[[#This Row],[TOTAL COBERTURA]])</f>
        <v>14167230</v>
      </c>
      <c r="AV853" s="35">
        <f>(VLOOKUP(Tabla4[[#This Row],[SERVICIO 2025]],$J$2:$V$14,3,0)*Tabla4[[#This Row],[TOTAL COBERTURA]])</f>
        <v>14167230</v>
      </c>
      <c r="AW853" s="35">
        <f>(VLOOKUP(Tabla4[[#This Row],[SERVICIO 2025]],$J$2:$V$14,3,0)*Tabla4[[#This Row],[TOTAL COBERTURA]])</f>
        <v>14167230</v>
      </c>
      <c r="AX853" s="35">
        <f>(VLOOKUP(Tabla4[[#This Row],[SERVICIO 2025]],$J$2:$V$14,3,0)*Tabla4[[#This Row],[TOTAL COBERTURA]])</f>
        <v>14167230</v>
      </c>
      <c r="AY853" s="35">
        <f>(VLOOKUP(Tabla4[[#This Row],[SERVICIO 2025]],$J$2:$V$14,3,0)*Tabla4[[#This Row],[TOTAL COBERTURA]])</f>
        <v>14167230</v>
      </c>
      <c r="AZ853" s="35">
        <f>(VLOOKUP(Tabla4[[#This Row],[SERVICIO 2025]],$J$2:$V$14,3,0)*Tabla4[[#This Row],[TOTAL COBERTURA]])</f>
        <v>14167230</v>
      </c>
      <c r="BA853" s="35">
        <f>(VLOOKUP(Tabla4[[#This Row],[SERVICIO 2025]],$J$2:$V$14,3,0)*Tabla4[[#This Row],[TOTAL COBERTURA]])+Tabla4[[#This Row],[VALOR FASE PREPARATORIA DE CIERRE]]</f>
        <v>16423825</v>
      </c>
      <c r="BB853" s="35">
        <f>SUM(Tabla4[[#This Row],[DESEMBOLSO 1]:[DESEMBOLSO 8]])</f>
        <v>119910615</v>
      </c>
      <c r="BC853" s="35">
        <f>VLOOKUP(Tabla4[[#This Row],[SERVICIO 2025]],$J$2:$V$14,10,0)*Tabla4[[#This Row],[TOTAL COBERTURA]]*$W$3</f>
        <v>79368520</v>
      </c>
      <c r="BD853" s="47" t="s">
        <v>211</v>
      </c>
      <c r="BE853" s="12" t="b">
        <f>EXACT(Tabla4[[#This Row],[VALOR ATENCIÓN (8 MESES)]],Tabla4[[#This Row],[VALOR TOTAL]])</f>
        <v>1</v>
      </c>
      <c r="BF853" s="23">
        <f>Tabla4[[#This Row],[VALOR ATENCIÓN (8 MESES)]]-Tabla4[[#This Row],[VALOR TOTAL]]</f>
        <v>0</v>
      </c>
      <c r="BG853" s="12" t="b">
        <f>EXACT(Tabla4[[#This Row],[TOTAL DESEMBOLSOS]],Tabla4[[#This Row],[VALOR ATENCIÓN (8 MESES)]])</f>
        <v>1</v>
      </c>
      <c r="BH853" s="29">
        <f>Tabla4[[#This Row],[TOTAL DESEMBOLSOS]]-Tabla4[[#This Row],[VALOR ATENCIÓN (8 MESES)]]</f>
        <v>0</v>
      </c>
      <c r="BI853" t="s">
        <v>98</v>
      </c>
      <c r="BJ853">
        <v>1972</v>
      </c>
    </row>
    <row r="854" spans="1:62">
      <c r="A854" s="13">
        <v>1972</v>
      </c>
      <c r="B854" s="13" t="s">
        <v>1861</v>
      </c>
      <c r="C854" s="12" t="s">
        <v>87</v>
      </c>
      <c r="D854" s="12" t="s">
        <v>987</v>
      </c>
      <c r="E854" s="12" t="s">
        <v>1862</v>
      </c>
      <c r="F854" s="12" t="s">
        <v>18</v>
      </c>
      <c r="G854" s="12" t="s">
        <v>90</v>
      </c>
      <c r="H854" s="12" t="s">
        <v>1896</v>
      </c>
      <c r="I854" s="12">
        <v>54951136517</v>
      </c>
      <c r="J854" s="12" t="s">
        <v>1897</v>
      </c>
      <c r="K854" s="12">
        <v>1</v>
      </c>
      <c r="L854" s="12">
        <v>26</v>
      </c>
      <c r="M854" s="12"/>
      <c r="N854" s="13">
        <v>1972</v>
      </c>
      <c r="O854" s="12" t="s">
        <v>93</v>
      </c>
      <c r="P854" s="12"/>
      <c r="Q854" s="12"/>
      <c r="R854" s="12" t="s">
        <v>94</v>
      </c>
      <c r="S854" s="12">
        <v>10</v>
      </c>
      <c r="T854" s="12" t="s">
        <v>209</v>
      </c>
      <c r="U854" s="12" t="s">
        <v>210</v>
      </c>
      <c r="V854" s="12">
        <f>VLOOKUP(Tabla4[[#This Row],[ZONA DEFINITIVO]],Hoja1!$A$1:$D$121,3,0)</f>
        <v>229130</v>
      </c>
      <c r="W854" s="12">
        <f>VLOOKUP(Tabla4[[#This Row],[ZONA DEFINITIVO]],Hoja1!$A$1:$D$121,2,0)</f>
        <v>15240</v>
      </c>
      <c r="X854" s="12">
        <f>VLOOKUP(Tabla4[[#This Row],[ZONA DEFINITIVO]],Hoja1!$A$1:$D$121,4,0)</f>
        <v>88425</v>
      </c>
      <c r="Y854" s="12" t="str">
        <f>+IF(Tabla4[[#This Row],[AGRUPACIONES]]=1,SUMIFS(Tabla4[UDS],Tabla4[ZONA DEFINITIVO],Tabla4[[#This Row],[ZONA DEFINITIVO]])," ")</f>
        <v xml:space="preserve"> </v>
      </c>
      <c r="Z854" s="12" t="str">
        <f>+IF(Tabla4[[#This Row],[AGRUPACIONES]]=1,SUMIFS(Tabla4[TOTAL COBERTURA],Tabla4[ZONA DEFINITIVO],Tabla4[[#This Row],[ZONA DEFINITIVO]])," ")</f>
        <v xml:space="preserve"> </v>
      </c>
      <c r="AA854" s="12"/>
      <c r="AB854" s="38">
        <v>56685018</v>
      </c>
      <c r="AC854" s="37">
        <v>0.02</v>
      </c>
      <c r="AD854" s="38">
        <f t="shared" si="14"/>
        <v>1133700.3600000001</v>
      </c>
      <c r="AE854" s="12"/>
      <c r="AF854" s="12">
        <f>COUNTIF($A$20:A854,A854)</f>
        <v>18</v>
      </c>
      <c r="AG854" s="38">
        <v>56685018</v>
      </c>
      <c r="AH854" s="38">
        <f>Tabla4[[#This Row],[VALOR CONTRAPARTIDA]]+Tabla4[[#This Row],[TOTAL APORTES ICBF]]</f>
        <v>57818718.359999999</v>
      </c>
      <c r="AI854" s="35"/>
      <c r="AJ854" s="38"/>
      <c r="AK854" s="38"/>
      <c r="AL854" s="23"/>
      <c r="AM854" s="35">
        <f>VLOOKUP(Tabla4[[#This Row],[SERVICIO 2025]],$J$2:$V$14,5,0)*Tabla4[[#This Row],[TOTAL COBERTURA]]</f>
        <v>1283776</v>
      </c>
      <c r="AN854" s="35">
        <f>VLOOKUP(Tabla4[[#This Row],[SERVICIO 2025]],$J$2:$V$14,6,0)*Tabla4[[#This Row],[TOTAL COBERTURA]]</f>
        <v>1066754</v>
      </c>
      <c r="AO854" s="35">
        <f>VLOOKUP(Tabla4[[#This Row],[SERVICIO 2025]],$J$2:$V$14,8,0)*Tabla4[[#This Row],[TOTAL COBERTURA]]</f>
        <v>756600</v>
      </c>
      <c r="AP854" s="35">
        <f>VLOOKUP(Tabla4[[#This Row],[SERVICIO 2025]],$J$2:$V$14,3,0)*Tabla4[[#This Row],[TOTAL COBERTURA]]*8</f>
        <v>53577888</v>
      </c>
      <c r="AQ854" s="35"/>
      <c r="AR854" s="35">
        <f>Tabla4[[#This Row],[VALOR FASE PREPARATORIA DE ALISTAMIENTO]]+Tabla4[[#This Row],[VALOR FASE PREPARATORIA DE CIERRE]]+Tabla4[[#This Row],[DOTACIÓN ÚNICA]]+Tabla4[[#This Row],[VALOR ATENCIÓN]]+Tabla4[[#This Row],[VALOR RACION PREPARADA]]</f>
        <v>56685018</v>
      </c>
      <c r="AS854" s="35" t="str">
        <f>+IF(Tabla4[[#This Row],[AGRUPACIONES]]=1,SUMIFS(Tabla4[VALOR TOTAL],Tabla4[ZONA DEFINITIVO],Tabla4[[#This Row],[ZONA DEFINITIVO]])," ")</f>
        <v xml:space="preserve"> </v>
      </c>
      <c r="AT854" s="27">
        <f>(VLOOKUP(Tabla4[[#This Row],[SERVICIO 2025]],$J$2:$V$14,3,0)*Tabla4[[#This Row],[TOTAL COBERTURA]])+Tabla4[[#This Row],[VALOR FASE PREPARATORIA DE ALISTAMIENTO]]+Tabla4[[#This Row],[DOTACIÓN ÚNICA]]</f>
        <v>8737612</v>
      </c>
      <c r="AU854" s="35">
        <f>(VLOOKUP(Tabla4[[#This Row],[SERVICIO 2025]],$J$2:$V$14,3,0)*Tabla4[[#This Row],[TOTAL COBERTURA]])</f>
        <v>6697236</v>
      </c>
      <c r="AV854" s="35">
        <f>(VLOOKUP(Tabla4[[#This Row],[SERVICIO 2025]],$J$2:$V$14,3,0)*Tabla4[[#This Row],[TOTAL COBERTURA]])</f>
        <v>6697236</v>
      </c>
      <c r="AW854" s="35">
        <f>(VLOOKUP(Tabla4[[#This Row],[SERVICIO 2025]],$J$2:$V$14,3,0)*Tabla4[[#This Row],[TOTAL COBERTURA]])</f>
        <v>6697236</v>
      </c>
      <c r="AX854" s="35">
        <f>(VLOOKUP(Tabla4[[#This Row],[SERVICIO 2025]],$J$2:$V$14,3,0)*Tabla4[[#This Row],[TOTAL COBERTURA]])</f>
        <v>6697236</v>
      </c>
      <c r="AY854" s="35">
        <f>(VLOOKUP(Tabla4[[#This Row],[SERVICIO 2025]],$J$2:$V$14,3,0)*Tabla4[[#This Row],[TOTAL COBERTURA]])</f>
        <v>6697236</v>
      </c>
      <c r="AZ854" s="35">
        <f>(VLOOKUP(Tabla4[[#This Row],[SERVICIO 2025]],$J$2:$V$14,3,0)*Tabla4[[#This Row],[TOTAL COBERTURA]])</f>
        <v>6697236</v>
      </c>
      <c r="BA854" s="35">
        <f>(VLOOKUP(Tabla4[[#This Row],[SERVICIO 2025]],$J$2:$V$14,3,0)*Tabla4[[#This Row],[TOTAL COBERTURA]])+Tabla4[[#This Row],[VALOR FASE PREPARATORIA DE CIERRE]]</f>
        <v>7763990</v>
      </c>
      <c r="BB854" s="35">
        <f>SUM(Tabla4[[#This Row],[DESEMBOLSO 1]:[DESEMBOLSO 8]])</f>
        <v>56685018</v>
      </c>
      <c r="BC854" s="35">
        <f>VLOOKUP(Tabla4[[#This Row],[SERVICIO 2025]],$J$2:$V$14,10,0)*Tabla4[[#This Row],[TOTAL COBERTURA]]*$W$3</f>
        <v>37519664</v>
      </c>
      <c r="BD854" s="47" t="s">
        <v>211</v>
      </c>
      <c r="BE854" s="12" t="b">
        <f>EXACT(Tabla4[[#This Row],[VALOR ATENCIÓN (8 MESES)]],Tabla4[[#This Row],[VALOR TOTAL]])</f>
        <v>1</v>
      </c>
      <c r="BF854" s="23">
        <f>Tabla4[[#This Row],[VALOR ATENCIÓN (8 MESES)]]-Tabla4[[#This Row],[VALOR TOTAL]]</f>
        <v>0</v>
      </c>
      <c r="BG854" s="12" t="b">
        <f>EXACT(Tabla4[[#This Row],[TOTAL DESEMBOLSOS]],Tabla4[[#This Row],[VALOR ATENCIÓN (8 MESES)]])</f>
        <v>1</v>
      </c>
      <c r="BH854" s="29">
        <f>Tabla4[[#This Row],[TOTAL DESEMBOLSOS]]-Tabla4[[#This Row],[VALOR ATENCIÓN (8 MESES)]]</f>
        <v>0</v>
      </c>
      <c r="BI854" t="s">
        <v>98</v>
      </c>
      <c r="BJ854">
        <v>1972</v>
      </c>
    </row>
    <row r="855" spans="1:62">
      <c r="A855" s="13">
        <v>1972</v>
      </c>
      <c r="B855" s="13" t="s">
        <v>1861</v>
      </c>
      <c r="C855" s="12" t="s">
        <v>87</v>
      </c>
      <c r="D855" s="12" t="s">
        <v>987</v>
      </c>
      <c r="E855" s="12" t="s">
        <v>1862</v>
      </c>
      <c r="F855" s="12" t="s">
        <v>18</v>
      </c>
      <c r="G855" s="12" t="s">
        <v>90</v>
      </c>
      <c r="H855" s="12" t="s">
        <v>1898</v>
      </c>
      <c r="I855" s="12">
        <v>54951136525</v>
      </c>
      <c r="J855" s="12" t="s">
        <v>1899</v>
      </c>
      <c r="K855" s="12">
        <v>1</v>
      </c>
      <c r="L855" s="12">
        <v>12</v>
      </c>
      <c r="M855" s="12"/>
      <c r="N855" s="13">
        <v>1972</v>
      </c>
      <c r="O855" s="12" t="s">
        <v>93</v>
      </c>
      <c r="P855" s="12"/>
      <c r="Q855" s="12"/>
      <c r="R855" s="12" t="s">
        <v>94</v>
      </c>
      <c r="S855" s="12">
        <v>10</v>
      </c>
      <c r="T855" s="12" t="s">
        <v>209</v>
      </c>
      <c r="U855" s="12" t="s">
        <v>210</v>
      </c>
      <c r="V855" s="12">
        <f>VLOOKUP(Tabla4[[#This Row],[ZONA DEFINITIVO]],Hoja1!$A$1:$D$121,3,0)</f>
        <v>229130</v>
      </c>
      <c r="W855" s="12">
        <f>VLOOKUP(Tabla4[[#This Row],[ZONA DEFINITIVO]],Hoja1!$A$1:$D$121,2,0)</f>
        <v>15240</v>
      </c>
      <c r="X855" s="12">
        <f>VLOOKUP(Tabla4[[#This Row],[ZONA DEFINITIVO]],Hoja1!$A$1:$D$121,4,0)</f>
        <v>88425</v>
      </c>
      <c r="Y855" s="12" t="str">
        <f>+IF(Tabla4[[#This Row],[AGRUPACIONES]]=1,SUMIFS(Tabla4[UDS],Tabla4[ZONA DEFINITIVO],Tabla4[[#This Row],[ZONA DEFINITIVO]])," ")</f>
        <v xml:space="preserve"> </v>
      </c>
      <c r="Z855" s="12" t="str">
        <f>+IF(Tabla4[[#This Row],[AGRUPACIONES]]=1,SUMIFS(Tabla4[TOTAL COBERTURA],Tabla4[ZONA DEFINITIVO],Tabla4[[#This Row],[ZONA DEFINITIVO]])," ")</f>
        <v xml:space="preserve"> </v>
      </c>
      <c r="AA855" s="12"/>
      <c r="AB855" s="38">
        <v>26162316</v>
      </c>
      <c r="AC855" s="37">
        <v>0.02</v>
      </c>
      <c r="AD855" s="38">
        <f t="shared" si="14"/>
        <v>523246.32</v>
      </c>
      <c r="AE855" s="12"/>
      <c r="AF855" s="12">
        <f>COUNTIF($A$20:A855,A855)</f>
        <v>19</v>
      </c>
      <c r="AG855" s="38">
        <v>26162316</v>
      </c>
      <c r="AH855" s="38">
        <f>Tabla4[[#This Row],[VALOR CONTRAPARTIDA]]+Tabla4[[#This Row],[TOTAL APORTES ICBF]]</f>
        <v>26685562.32</v>
      </c>
      <c r="AI855" s="35"/>
      <c r="AJ855" s="38"/>
      <c r="AK855" s="38"/>
      <c r="AL855" s="23"/>
      <c r="AM855" s="35">
        <f>VLOOKUP(Tabla4[[#This Row],[SERVICIO 2025]],$J$2:$V$14,5,0)*Tabla4[[#This Row],[TOTAL COBERTURA]]</f>
        <v>592512</v>
      </c>
      <c r="AN855" s="35">
        <f>VLOOKUP(Tabla4[[#This Row],[SERVICIO 2025]],$J$2:$V$14,6,0)*Tabla4[[#This Row],[TOTAL COBERTURA]]</f>
        <v>492348</v>
      </c>
      <c r="AO855" s="35">
        <f>VLOOKUP(Tabla4[[#This Row],[SERVICIO 2025]],$J$2:$V$14,8,0)*Tabla4[[#This Row],[TOTAL COBERTURA]]</f>
        <v>349200</v>
      </c>
      <c r="AP855" s="35">
        <f>VLOOKUP(Tabla4[[#This Row],[SERVICIO 2025]],$J$2:$V$14,3,0)*Tabla4[[#This Row],[TOTAL COBERTURA]]*8</f>
        <v>24728256</v>
      </c>
      <c r="AQ855" s="35"/>
      <c r="AR855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855" s="35" t="str">
        <f>+IF(Tabla4[[#This Row],[AGRUPACIONES]]=1,SUMIFS(Tabla4[VALOR TOTAL],Tabla4[ZONA DEFINITIVO],Tabla4[[#This Row],[ZONA DEFINITIVO]])," ")</f>
        <v xml:space="preserve"> </v>
      </c>
      <c r="AT855" s="27">
        <f>(VLOOKUP(Tabla4[[#This Row],[SERVICIO 2025]],$J$2:$V$14,3,0)*Tabla4[[#This Row],[TOTAL COBERTURA]])+Tabla4[[#This Row],[VALOR FASE PREPARATORIA DE ALISTAMIENTO]]+Tabla4[[#This Row],[DOTACIÓN ÚNICA]]</f>
        <v>4032744</v>
      </c>
      <c r="AU855" s="35">
        <f>(VLOOKUP(Tabla4[[#This Row],[SERVICIO 2025]],$J$2:$V$14,3,0)*Tabla4[[#This Row],[TOTAL COBERTURA]])</f>
        <v>3091032</v>
      </c>
      <c r="AV855" s="35">
        <f>(VLOOKUP(Tabla4[[#This Row],[SERVICIO 2025]],$J$2:$V$14,3,0)*Tabla4[[#This Row],[TOTAL COBERTURA]])</f>
        <v>3091032</v>
      </c>
      <c r="AW855" s="35">
        <f>(VLOOKUP(Tabla4[[#This Row],[SERVICIO 2025]],$J$2:$V$14,3,0)*Tabla4[[#This Row],[TOTAL COBERTURA]])</f>
        <v>3091032</v>
      </c>
      <c r="AX855" s="35">
        <f>(VLOOKUP(Tabla4[[#This Row],[SERVICIO 2025]],$J$2:$V$14,3,0)*Tabla4[[#This Row],[TOTAL COBERTURA]])</f>
        <v>3091032</v>
      </c>
      <c r="AY855" s="35">
        <f>(VLOOKUP(Tabla4[[#This Row],[SERVICIO 2025]],$J$2:$V$14,3,0)*Tabla4[[#This Row],[TOTAL COBERTURA]])</f>
        <v>3091032</v>
      </c>
      <c r="AZ855" s="35">
        <f>(VLOOKUP(Tabla4[[#This Row],[SERVICIO 2025]],$J$2:$V$14,3,0)*Tabla4[[#This Row],[TOTAL COBERTURA]])</f>
        <v>3091032</v>
      </c>
      <c r="BA855" s="35">
        <f>(VLOOKUP(Tabla4[[#This Row],[SERVICIO 2025]],$J$2:$V$14,3,0)*Tabla4[[#This Row],[TOTAL COBERTURA]])+Tabla4[[#This Row],[VALOR FASE PREPARATORIA DE CIERRE]]</f>
        <v>3583380</v>
      </c>
      <c r="BB855" s="35">
        <f>SUM(Tabla4[[#This Row],[DESEMBOLSO 1]:[DESEMBOLSO 8]])</f>
        <v>26162316</v>
      </c>
      <c r="BC855" s="35">
        <f>VLOOKUP(Tabla4[[#This Row],[SERVICIO 2025]],$J$2:$V$14,10,0)*Tabla4[[#This Row],[TOTAL COBERTURA]]*$W$3</f>
        <v>17316768</v>
      </c>
      <c r="BD855" s="47" t="s">
        <v>211</v>
      </c>
      <c r="BE855" s="12" t="b">
        <f>EXACT(Tabla4[[#This Row],[VALOR ATENCIÓN (8 MESES)]],Tabla4[[#This Row],[VALOR TOTAL]])</f>
        <v>1</v>
      </c>
      <c r="BF855" s="23">
        <f>Tabla4[[#This Row],[VALOR ATENCIÓN (8 MESES)]]-Tabla4[[#This Row],[VALOR TOTAL]]</f>
        <v>0</v>
      </c>
      <c r="BG855" s="12" t="b">
        <f>EXACT(Tabla4[[#This Row],[TOTAL DESEMBOLSOS]],Tabla4[[#This Row],[VALOR ATENCIÓN (8 MESES)]])</f>
        <v>1</v>
      </c>
      <c r="BH855" s="29">
        <f>Tabla4[[#This Row],[TOTAL DESEMBOLSOS]]-Tabla4[[#This Row],[VALOR ATENCIÓN (8 MESES)]]</f>
        <v>0</v>
      </c>
      <c r="BI855" t="s">
        <v>98</v>
      </c>
      <c r="BJ855">
        <v>1972</v>
      </c>
    </row>
    <row r="856" spans="1:62">
      <c r="A856" s="13">
        <v>1972</v>
      </c>
      <c r="B856" s="13" t="s">
        <v>1861</v>
      </c>
      <c r="C856" s="12" t="s">
        <v>87</v>
      </c>
      <c r="D856" s="12" t="s">
        <v>987</v>
      </c>
      <c r="E856" s="12" t="s">
        <v>1862</v>
      </c>
      <c r="F856" s="12" t="s">
        <v>18</v>
      </c>
      <c r="G856" s="12" t="s">
        <v>90</v>
      </c>
      <c r="H856" s="12" t="s">
        <v>1900</v>
      </c>
      <c r="I856" s="12">
        <v>54951136527</v>
      </c>
      <c r="J856" s="12" t="s">
        <v>1901</v>
      </c>
      <c r="K856" s="12">
        <v>1</v>
      </c>
      <c r="L856" s="12">
        <v>13</v>
      </c>
      <c r="M856" s="12"/>
      <c r="N856" s="13">
        <v>1972</v>
      </c>
      <c r="O856" s="12" t="s">
        <v>93</v>
      </c>
      <c r="P856" s="12"/>
      <c r="Q856" s="12"/>
      <c r="R856" s="12" t="s">
        <v>94</v>
      </c>
      <c r="S856" s="12">
        <v>10</v>
      </c>
      <c r="T856" s="12" t="s">
        <v>209</v>
      </c>
      <c r="U856" s="12" t="s">
        <v>210</v>
      </c>
      <c r="V856" s="12">
        <f>VLOOKUP(Tabla4[[#This Row],[ZONA DEFINITIVO]],Hoja1!$A$1:$D$121,3,0)</f>
        <v>229130</v>
      </c>
      <c r="W856" s="12">
        <f>VLOOKUP(Tabla4[[#This Row],[ZONA DEFINITIVO]],Hoja1!$A$1:$D$121,2,0)</f>
        <v>15240</v>
      </c>
      <c r="X856" s="12">
        <f>VLOOKUP(Tabla4[[#This Row],[ZONA DEFINITIVO]],Hoja1!$A$1:$D$121,4,0)</f>
        <v>88425</v>
      </c>
      <c r="Y856" s="12" t="str">
        <f>+IF(Tabla4[[#This Row],[AGRUPACIONES]]=1,SUMIFS(Tabla4[UDS],Tabla4[ZONA DEFINITIVO],Tabla4[[#This Row],[ZONA DEFINITIVO]])," ")</f>
        <v xml:space="preserve"> </v>
      </c>
      <c r="Z856" s="12" t="str">
        <f>+IF(Tabla4[[#This Row],[AGRUPACIONES]]=1,SUMIFS(Tabla4[TOTAL COBERTURA],Tabla4[ZONA DEFINITIVO],Tabla4[[#This Row],[ZONA DEFINITIVO]])," ")</f>
        <v xml:space="preserve"> </v>
      </c>
      <c r="AA856" s="12"/>
      <c r="AB856" s="38">
        <v>28342509</v>
      </c>
      <c r="AC856" s="37">
        <v>0.02</v>
      </c>
      <c r="AD856" s="38">
        <f t="shared" si="14"/>
        <v>566850.18000000005</v>
      </c>
      <c r="AE856" s="12"/>
      <c r="AF856" s="12">
        <f>COUNTIF($A$20:A856,A856)</f>
        <v>20</v>
      </c>
      <c r="AG856" s="38">
        <v>28342509</v>
      </c>
      <c r="AH856" s="38">
        <f>Tabla4[[#This Row],[VALOR CONTRAPARTIDA]]+Tabla4[[#This Row],[TOTAL APORTES ICBF]]</f>
        <v>28909359.18</v>
      </c>
      <c r="AI856" s="35"/>
      <c r="AJ856" s="38"/>
      <c r="AK856" s="38"/>
      <c r="AL856" s="23"/>
      <c r="AM856" s="35">
        <f>VLOOKUP(Tabla4[[#This Row],[SERVICIO 2025]],$J$2:$V$14,5,0)*Tabla4[[#This Row],[TOTAL COBERTURA]]</f>
        <v>641888</v>
      </c>
      <c r="AN856" s="35">
        <f>VLOOKUP(Tabla4[[#This Row],[SERVICIO 2025]],$J$2:$V$14,6,0)*Tabla4[[#This Row],[TOTAL COBERTURA]]</f>
        <v>533377</v>
      </c>
      <c r="AO856" s="35">
        <f>VLOOKUP(Tabla4[[#This Row],[SERVICIO 2025]],$J$2:$V$14,8,0)*Tabla4[[#This Row],[TOTAL COBERTURA]]</f>
        <v>378300</v>
      </c>
      <c r="AP856" s="35">
        <f>VLOOKUP(Tabla4[[#This Row],[SERVICIO 2025]],$J$2:$V$14,3,0)*Tabla4[[#This Row],[TOTAL COBERTURA]]*8</f>
        <v>26788944</v>
      </c>
      <c r="AQ856" s="35"/>
      <c r="AR856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856" s="35" t="str">
        <f>+IF(Tabla4[[#This Row],[AGRUPACIONES]]=1,SUMIFS(Tabla4[VALOR TOTAL],Tabla4[ZONA DEFINITIVO],Tabla4[[#This Row],[ZONA DEFINITIVO]])," ")</f>
        <v xml:space="preserve"> </v>
      </c>
      <c r="AT856" s="27">
        <f>(VLOOKUP(Tabla4[[#This Row],[SERVICIO 2025]],$J$2:$V$14,3,0)*Tabla4[[#This Row],[TOTAL COBERTURA]])+Tabla4[[#This Row],[VALOR FASE PREPARATORIA DE ALISTAMIENTO]]+Tabla4[[#This Row],[DOTACIÓN ÚNICA]]</f>
        <v>4368806</v>
      </c>
      <c r="AU856" s="35">
        <f>(VLOOKUP(Tabla4[[#This Row],[SERVICIO 2025]],$J$2:$V$14,3,0)*Tabla4[[#This Row],[TOTAL COBERTURA]])</f>
        <v>3348618</v>
      </c>
      <c r="AV856" s="35">
        <f>(VLOOKUP(Tabla4[[#This Row],[SERVICIO 2025]],$J$2:$V$14,3,0)*Tabla4[[#This Row],[TOTAL COBERTURA]])</f>
        <v>3348618</v>
      </c>
      <c r="AW856" s="35">
        <f>(VLOOKUP(Tabla4[[#This Row],[SERVICIO 2025]],$J$2:$V$14,3,0)*Tabla4[[#This Row],[TOTAL COBERTURA]])</f>
        <v>3348618</v>
      </c>
      <c r="AX856" s="35">
        <f>(VLOOKUP(Tabla4[[#This Row],[SERVICIO 2025]],$J$2:$V$14,3,0)*Tabla4[[#This Row],[TOTAL COBERTURA]])</f>
        <v>3348618</v>
      </c>
      <c r="AY856" s="35">
        <f>(VLOOKUP(Tabla4[[#This Row],[SERVICIO 2025]],$J$2:$V$14,3,0)*Tabla4[[#This Row],[TOTAL COBERTURA]])</f>
        <v>3348618</v>
      </c>
      <c r="AZ856" s="35">
        <f>(VLOOKUP(Tabla4[[#This Row],[SERVICIO 2025]],$J$2:$V$14,3,0)*Tabla4[[#This Row],[TOTAL COBERTURA]])</f>
        <v>3348618</v>
      </c>
      <c r="BA856" s="35">
        <f>(VLOOKUP(Tabla4[[#This Row],[SERVICIO 2025]],$J$2:$V$14,3,0)*Tabla4[[#This Row],[TOTAL COBERTURA]])+Tabla4[[#This Row],[VALOR FASE PREPARATORIA DE CIERRE]]</f>
        <v>3881995</v>
      </c>
      <c r="BB856" s="35">
        <f>SUM(Tabla4[[#This Row],[DESEMBOLSO 1]:[DESEMBOLSO 8]])</f>
        <v>28342509</v>
      </c>
      <c r="BC856" s="35">
        <f>VLOOKUP(Tabla4[[#This Row],[SERVICIO 2025]],$J$2:$V$14,10,0)*Tabla4[[#This Row],[TOTAL COBERTURA]]*$W$3</f>
        <v>18759832</v>
      </c>
      <c r="BD856" s="47" t="s">
        <v>211</v>
      </c>
      <c r="BE856" s="12" t="b">
        <f>EXACT(Tabla4[[#This Row],[VALOR ATENCIÓN (8 MESES)]],Tabla4[[#This Row],[VALOR TOTAL]])</f>
        <v>1</v>
      </c>
      <c r="BF856" s="23">
        <f>Tabla4[[#This Row],[VALOR ATENCIÓN (8 MESES)]]-Tabla4[[#This Row],[VALOR TOTAL]]</f>
        <v>0</v>
      </c>
      <c r="BG856" s="12" t="b">
        <f>EXACT(Tabla4[[#This Row],[TOTAL DESEMBOLSOS]],Tabla4[[#This Row],[VALOR ATENCIÓN (8 MESES)]])</f>
        <v>1</v>
      </c>
      <c r="BH856" s="29">
        <f>Tabla4[[#This Row],[TOTAL DESEMBOLSOS]]-Tabla4[[#This Row],[VALOR ATENCIÓN (8 MESES)]]</f>
        <v>0</v>
      </c>
      <c r="BI856" t="s">
        <v>98</v>
      </c>
      <c r="BJ856">
        <v>1972</v>
      </c>
    </row>
    <row r="857" spans="1:62">
      <c r="A857" s="13">
        <v>1972</v>
      </c>
      <c r="B857" s="13" t="s">
        <v>1861</v>
      </c>
      <c r="C857" s="12" t="s">
        <v>87</v>
      </c>
      <c r="D857" s="12" t="s">
        <v>987</v>
      </c>
      <c r="E857" s="12" t="s">
        <v>1862</v>
      </c>
      <c r="F857" s="12" t="s">
        <v>18</v>
      </c>
      <c r="G857" s="12" t="s">
        <v>90</v>
      </c>
      <c r="H857" s="12" t="s">
        <v>1902</v>
      </c>
      <c r="I857" s="12">
        <v>54951136529</v>
      </c>
      <c r="J857" s="12" t="s">
        <v>1903</v>
      </c>
      <c r="K857" s="12">
        <v>1</v>
      </c>
      <c r="L857" s="12">
        <v>21</v>
      </c>
      <c r="M857" s="12"/>
      <c r="N857" s="13">
        <v>1972</v>
      </c>
      <c r="O857" s="12" t="s">
        <v>93</v>
      </c>
      <c r="P857" s="12"/>
      <c r="Q857" s="12"/>
      <c r="R857" s="12" t="s">
        <v>94</v>
      </c>
      <c r="S857" s="12">
        <v>10</v>
      </c>
      <c r="T857" s="12" t="s">
        <v>209</v>
      </c>
      <c r="U857" s="12" t="s">
        <v>210</v>
      </c>
      <c r="V857" s="12">
        <f>VLOOKUP(Tabla4[[#This Row],[ZONA DEFINITIVO]],Hoja1!$A$1:$D$121,3,0)</f>
        <v>229130</v>
      </c>
      <c r="W857" s="12">
        <f>VLOOKUP(Tabla4[[#This Row],[ZONA DEFINITIVO]],Hoja1!$A$1:$D$121,2,0)</f>
        <v>15240</v>
      </c>
      <c r="X857" s="12">
        <f>VLOOKUP(Tabla4[[#This Row],[ZONA DEFINITIVO]],Hoja1!$A$1:$D$121,4,0)</f>
        <v>88425</v>
      </c>
      <c r="Y857" s="12" t="str">
        <f>+IF(Tabla4[[#This Row],[AGRUPACIONES]]=1,SUMIFS(Tabla4[UDS],Tabla4[ZONA DEFINITIVO],Tabla4[[#This Row],[ZONA DEFINITIVO]])," ")</f>
        <v xml:space="preserve"> </v>
      </c>
      <c r="Z857" s="12" t="str">
        <f>+IF(Tabla4[[#This Row],[AGRUPACIONES]]=1,SUMIFS(Tabla4[TOTAL COBERTURA],Tabla4[ZONA DEFINITIVO],Tabla4[[#This Row],[ZONA DEFINITIVO]])," ")</f>
        <v xml:space="preserve"> </v>
      </c>
      <c r="AA857" s="12"/>
      <c r="AB857" s="38">
        <v>45784053</v>
      </c>
      <c r="AC857" s="37">
        <v>0.02</v>
      </c>
      <c r="AD857" s="38">
        <f t="shared" si="14"/>
        <v>915681.06</v>
      </c>
      <c r="AE857" s="12"/>
      <c r="AF857" s="12">
        <f>COUNTIF($A$20:A857,A857)</f>
        <v>21</v>
      </c>
      <c r="AG857" s="38">
        <v>45784053</v>
      </c>
      <c r="AH857" s="38">
        <f>Tabla4[[#This Row],[VALOR CONTRAPARTIDA]]+Tabla4[[#This Row],[TOTAL APORTES ICBF]]</f>
        <v>46699734.060000002</v>
      </c>
      <c r="AI857" s="35"/>
      <c r="AJ857" s="38"/>
      <c r="AK857" s="38"/>
      <c r="AL857" s="23"/>
      <c r="AM857" s="35">
        <f>VLOOKUP(Tabla4[[#This Row],[SERVICIO 2025]],$J$2:$V$14,5,0)*Tabla4[[#This Row],[TOTAL COBERTURA]]</f>
        <v>1036896</v>
      </c>
      <c r="AN857" s="35">
        <f>VLOOKUP(Tabla4[[#This Row],[SERVICIO 2025]],$J$2:$V$14,6,0)*Tabla4[[#This Row],[TOTAL COBERTURA]]</f>
        <v>861609</v>
      </c>
      <c r="AO857" s="35">
        <f>VLOOKUP(Tabla4[[#This Row],[SERVICIO 2025]],$J$2:$V$14,8,0)*Tabla4[[#This Row],[TOTAL COBERTURA]]</f>
        <v>611100</v>
      </c>
      <c r="AP857" s="35">
        <f>VLOOKUP(Tabla4[[#This Row],[SERVICIO 2025]],$J$2:$V$14,3,0)*Tabla4[[#This Row],[TOTAL COBERTURA]]*8</f>
        <v>43274448</v>
      </c>
      <c r="AQ857" s="35"/>
      <c r="AR857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857" s="35" t="str">
        <f>+IF(Tabla4[[#This Row],[AGRUPACIONES]]=1,SUMIFS(Tabla4[VALOR TOTAL],Tabla4[ZONA DEFINITIVO],Tabla4[[#This Row],[ZONA DEFINITIVO]])," ")</f>
        <v xml:space="preserve"> </v>
      </c>
      <c r="AT857" s="27">
        <f>(VLOOKUP(Tabla4[[#This Row],[SERVICIO 2025]],$J$2:$V$14,3,0)*Tabla4[[#This Row],[TOTAL COBERTURA]])+Tabla4[[#This Row],[VALOR FASE PREPARATORIA DE ALISTAMIENTO]]+Tabla4[[#This Row],[DOTACIÓN ÚNICA]]</f>
        <v>7057302</v>
      </c>
      <c r="AU857" s="35">
        <f>(VLOOKUP(Tabla4[[#This Row],[SERVICIO 2025]],$J$2:$V$14,3,0)*Tabla4[[#This Row],[TOTAL COBERTURA]])</f>
        <v>5409306</v>
      </c>
      <c r="AV857" s="35">
        <f>(VLOOKUP(Tabla4[[#This Row],[SERVICIO 2025]],$J$2:$V$14,3,0)*Tabla4[[#This Row],[TOTAL COBERTURA]])</f>
        <v>5409306</v>
      </c>
      <c r="AW857" s="35">
        <f>(VLOOKUP(Tabla4[[#This Row],[SERVICIO 2025]],$J$2:$V$14,3,0)*Tabla4[[#This Row],[TOTAL COBERTURA]])</f>
        <v>5409306</v>
      </c>
      <c r="AX857" s="35">
        <f>(VLOOKUP(Tabla4[[#This Row],[SERVICIO 2025]],$J$2:$V$14,3,0)*Tabla4[[#This Row],[TOTAL COBERTURA]])</f>
        <v>5409306</v>
      </c>
      <c r="AY857" s="35">
        <f>(VLOOKUP(Tabla4[[#This Row],[SERVICIO 2025]],$J$2:$V$14,3,0)*Tabla4[[#This Row],[TOTAL COBERTURA]])</f>
        <v>5409306</v>
      </c>
      <c r="AZ857" s="35">
        <f>(VLOOKUP(Tabla4[[#This Row],[SERVICIO 2025]],$J$2:$V$14,3,0)*Tabla4[[#This Row],[TOTAL COBERTURA]])</f>
        <v>5409306</v>
      </c>
      <c r="BA857" s="35">
        <f>(VLOOKUP(Tabla4[[#This Row],[SERVICIO 2025]],$J$2:$V$14,3,0)*Tabla4[[#This Row],[TOTAL COBERTURA]])+Tabla4[[#This Row],[VALOR FASE PREPARATORIA DE CIERRE]]</f>
        <v>6270915</v>
      </c>
      <c r="BB857" s="35">
        <f>SUM(Tabla4[[#This Row],[DESEMBOLSO 1]:[DESEMBOLSO 8]])</f>
        <v>45784053</v>
      </c>
      <c r="BC857" s="35">
        <f>VLOOKUP(Tabla4[[#This Row],[SERVICIO 2025]],$J$2:$V$14,10,0)*Tabla4[[#This Row],[TOTAL COBERTURA]]*$W$3</f>
        <v>30304344</v>
      </c>
      <c r="BD857" s="47" t="s">
        <v>211</v>
      </c>
      <c r="BE857" s="12" t="b">
        <f>EXACT(Tabla4[[#This Row],[VALOR ATENCIÓN (8 MESES)]],Tabla4[[#This Row],[VALOR TOTAL]])</f>
        <v>1</v>
      </c>
      <c r="BF857" s="23">
        <f>Tabla4[[#This Row],[VALOR ATENCIÓN (8 MESES)]]-Tabla4[[#This Row],[VALOR TOTAL]]</f>
        <v>0</v>
      </c>
      <c r="BG857" s="12" t="b">
        <f>EXACT(Tabla4[[#This Row],[TOTAL DESEMBOLSOS]],Tabla4[[#This Row],[VALOR ATENCIÓN (8 MESES)]])</f>
        <v>1</v>
      </c>
      <c r="BH857" s="29">
        <f>Tabla4[[#This Row],[TOTAL DESEMBOLSOS]]-Tabla4[[#This Row],[VALOR ATENCIÓN (8 MESES)]]</f>
        <v>0</v>
      </c>
      <c r="BI857" t="s">
        <v>98</v>
      </c>
      <c r="BJ857">
        <v>1972</v>
      </c>
    </row>
    <row r="858" spans="1:62">
      <c r="A858" s="13">
        <v>1972</v>
      </c>
      <c r="B858" s="13" t="s">
        <v>1861</v>
      </c>
      <c r="C858" s="12" t="s">
        <v>87</v>
      </c>
      <c r="D858" s="12" t="s">
        <v>987</v>
      </c>
      <c r="E858" s="12" t="s">
        <v>1862</v>
      </c>
      <c r="F858" s="12" t="s">
        <v>18</v>
      </c>
      <c r="G858" s="12" t="s">
        <v>90</v>
      </c>
      <c r="H858" s="12" t="s">
        <v>1904</v>
      </c>
      <c r="I858" s="12">
        <v>54951147799</v>
      </c>
      <c r="J858" s="12" t="s">
        <v>1905</v>
      </c>
      <c r="K858" s="12">
        <v>1</v>
      </c>
      <c r="L858" s="12">
        <v>17</v>
      </c>
      <c r="M858" s="12"/>
      <c r="N858" s="13">
        <v>1972</v>
      </c>
      <c r="O858" s="12" t="s">
        <v>93</v>
      </c>
      <c r="P858" s="12"/>
      <c r="Q858" s="12"/>
      <c r="R858" s="12" t="s">
        <v>94</v>
      </c>
      <c r="S858" s="12">
        <v>10</v>
      </c>
      <c r="T858" s="12" t="s">
        <v>209</v>
      </c>
      <c r="U858" s="12" t="s">
        <v>210</v>
      </c>
      <c r="V858" s="12">
        <f>VLOOKUP(Tabla4[[#This Row],[ZONA DEFINITIVO]],Hoja1!$A$1:$D$121,3,0)</f>
        <v>229130</v>
      </c>
      <c r="W858" s="12">
        <f>VLOOKUP(Tabla4[[#This Row],[ZONA DEFINITIVO]],Hoja1!$A$1:$D$121,2,0)</f>
        <v>15240</v>
      </c>
      <c r="X858" s="12">
        <f>VLOOKUP(Tabla4[[#This Row],[ZONA DEFINITIVO]],Hoja1!$A$1:$D$121,4,0)</f>
        <v>88425</v>
      </c>
      <c r="Y858" s="12" t="str">
        <f>+IF(Tabla4[[#This Row],[AGRUPACIONES]]=1,SUMIFS(Tabla4[UDS],Tabla4[ZONA DEFINITIVO],Tabla4[[#This Row],[ZONA DEFINITIVO]])," ")</f>
        <v xml:space="preserve"> </v>
      </c>
      <c r="Z858" s="12" t="str">
        <f>+IF(Tabla4[[#This Row],[AGRUPACIONES]]=1,SUMIFS(Tabla4[TOTAL COBERTURA],Tabla4[ZONA DEFINITIVO],Tabla4[[#This Row],[ZONA DEFINITIVO]])," ")</f>
        <v xml:space="preserve"> </v>
      </c>
      <c r="AA858" s="12"/>
      <c r="AB858" s="38">
        <v>37063281</v>
      </c>
      <c r="AC858" s="37">
        <v>0.02</v>
      </c>
      <c r="AD858" s="38">
        <f t="shared" si="14"/>
        <v>741265.62</v>
      </c>
      <c r="AE858" s="12"/>
      <c r="AF858" s="12">
        <f>COUNTIF($A$20:A858,A858)</f>
        <v>22</v>
      </c>
      <c r="AG858" s="38">
        <v>37063281</v>
      </c>
      <c r="AH858" s="38">
        <f>Tabla4[[#This Row],[VALOR CONTRAPARTIDA]]+Tabla4[[#This Row],[TOTAL APORTES ICBF]]</f>
        <v>37804546.619999997</v>
      </c>
      <c r="AI858" s="35"/>
      <c r="AJ858" s="38"/>
      <c r="AK858" s="38"/>
      <c r="AL858" s="23"/>
      <c r="AM858" s="35">
        <f>VLOOKUP(Tabla4[[#This Row],[SERVICIO 2025]],$J$2:$V$14,5,0)*Tabla4[[#This Row],[TOTAL COBERTURA]]</f>
        <v>839392</v>
      </c>
      <c r="AN858" s="35">
        <f>VLOOKUP(Tabla4[[#This Row],[SERVICIO 2025]],$J$2:$V$14,6,0)*Tabla4[[#This Row],[TOTAL COBERTURA]]</f>
        <v>697493</v>
      </c>
      <c r="AO858" s="35">
        <f>VLOOKUP(Tabla4[[#This Row],[SERVICIO 2025]],$J$2:$V$14,8,0)*Tabla4[[#This Row],[TOTAL COBERTURA]]</f>
        <v>494700</v>
      </c>
      <c r="AP858" s="35">
        <f>VLOOKUP(Tabla4[[#This Row],[SERVICIO 2025]],$J$2:$V$14,3,0)*Tabla4[[#This Row],[TOTAL COBERTURA]]*8</f>
        <v>35031696</v>
      </c>
      <c r="AQ858" s="35"/>
      <c r="AR858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858" s="35" t="str">
        <f>+IF(Tabla4[[#This Row],[AGRUPACIONES]]=1,SUMIFS(Tabla4[VALOR TOTAL],Tabla4[ZONA DEFINITIVO],Tabla4[[#This Row],[ZONA DEFINITIVO]])," ")</f>
        <v xml:space="preserve"> </v>
      </c>
      <c r="AT858" s="27">
        <f>(VLOOKUP(Tabla4[[#This Row],[SERVICIO 2025]],$J$2:$V$14,3,0)*Tabla4[[#This Row],[TOTAL COBERTURA]])+Tabla4[[#This Row],[VALOR FASE PREPARATORIA DE ALISTAMIENTO]]+Tabla4[[#This Row],[DOTACIÓN ÚNICA]]</f>
        <v>5713054</v>
      </c>
      <c r="AU858" s="35">
        <f>(VLOOKUP(Tabla4[[#This Row],[SERVICIO 2025]],$J$2:$V$14,3,0)*Tabla4[[#This Row],[TOTAL COBERTURA]])</f>
        <v>4378962</v>
      </c>
      <c r="AV858" s="35">
        <f>(VLOOKUP(Tabla4[[#This Row],[SERVICIO 2025]],$J$2:$V$14,3,0)*Tabla4[[#This Row],[TOTAL COBERTURA]])</f>
        <v>4378962</v>
      </c>
      <c r="AW858" s="35">
        <f>(VLOOKUP(Tabla4[[#This Row],[SERVICIO 2025]],$J$2:$V$14,3,0)*Tabla4[[#This Row],[TOTAL COBERTURA]])</f>
        <v>4378962</v>
      </c>
      <c r="AX858" s="35">
        <f>(VLOOKUP(Tabla4[[#This Row],[SERVICIO 2025]],$J$2:$V$14,3,0)*Tabla4[[#This Row],[TOTAL COBERTURA]])</f>
        <v>4378962</v>
      </c>
      <c r="AY858" s="35">
        <f>(VLOOKUP(Tabla4[[#This Row],[SERVICIO 2025]],$J$2:$V$14,3,0)*Tabla4[[#This Row],[TOTAL COBERTURA]])</f>
        <v>4378962</v>
      </c>
      <c r="AZ858" s="35">
        <f>(VLOOKUP(Tabla4[[#This Row],[SERVICIO 2025]],$J$2:$V$14,3,0)*Tabla4[[#This Row],[TOTAL COBERTURA]])</f>
        <v>4378962</v>
      </c>
      <c r="BA858" s="35">
        <f>(VLOOKUP(Tabla4[[#This Row],[SERVICIO 2025]],$J$2:$V$14,3,0)*Tabla4[[#This Row],[TOTAL COBERTURA]])+Tabla4[[#This Row],[VALOR FASE PREPARATORIA DE CIERRE]]</f>
        <v>5076455</v>
      </c>
      <c r="BB858" s="35">
        <f>SUM(Tabla4[[#This Row],[DESEMBOLSO 1]:[DESEMBOLSO 8]])</f>
        <v>37063281</v>
      </c>
      <c r="BC858" s="35">
        <f>VLOOKUP(Tabla4[[#This Row],[SERVICIO 2025]],$J$2:$V$14,10,0)*Tabla4[[#This Row],[TOTAL COBERTURA]]*$W$3</f>
        <v>24532088</v>
      </c>
      <c r="BD858" s="47" t="s">
        <v>211</v>
      </c>
      <c r="BE858" s="12" t="b">
        <f>EXACT(Tabla4[[#This Row],[VALOR ATENCIÓN (8 MESES)]],Tabla4[[#This Row],[VALOR TOTAL]])</f>
        <v>1</v>
      </c>
      <c r="BF858" s="23">
        <f>Tabla4[[#This Row],[VALOR ATENCIÓN (8 MESES)]]-Tabla4[[#This Row],[VALOR TOTAL]]</f>
        <v>0</v>
      </c>
      <c r="BG858" s="12" t="b">
        <f>EXACT(Tabla4[[#This Row],[TOTAL DESEMBOLSOS]],Tabla4[[#This Row],[VALOR ATENCIÓN (8 MESES)]])</f>
        <v>1</v>
      </c>
      <c r="BH858" s="29">
        <f>Tabla4[[#This Row],[TOTAL DESEMBOLSOS]]-Tabla4[[#This Row],[VALOR ATENCIÓN (8 MESES)]]</f>
        <v>0</v>
      </c>
      <c r="BI858" t="s">
        <v>98</v>
      </c>
      <c r="BJ858">
        <v>1972</v>
      </c>
    </row>
    <row r="859" spans="1:62">
      <c r="A859" s="13">
        <v>1972</v>
      </c>
      <c r="B859" s="13" t="s">
        <v>1861</v>
      </c>
      <c r="C859" s="12" t="s">
        <v>87</v>
      </c>
      <c r="D859" s="12" t="s">
        <v>987</v>
      </c>
      <c r="E859" s="12" t="s">
        <v>1862</v>
      </c>
      <c r="F859" s="12" t="s">
        <v>18</v>
      </c>
      <c r="G859" s="12" t="s">
        <v>90</v>
      </c>
      <c r="H859" s="12" t="s">
        <v>1906</v>
      </c>
      <c r="I859" s="12">
        <v>54951152145</v>
      </c>
      <c r="J859" s="12" t="s">
        <v>1907</v>
      </c>
      <c r="K859" s="12">
        <v>1</v>
      </c>
      <c r="L859" s="12">
        <v>11</v>
      </c>
      <c r="M859" s="12"/>
      <c r="N859" s="13">
        <v>1972</v>
      </c>
      <c r="O859" s="12" t="s">
        <v>93</v>
      </c>
      <c r="P859" s="12"/>
      <c r="Q859" s="12"/>
      <c r="R859" s="12" t="s">
        <v>94</v>
      </c>
      <c r="S859" s="12">
        <v>10</v>
      </c>
      <c r="T859" s="12" t="s">
        <v>209</v>
      </c>
      <c r="U859" s="12" t="s">
        <v>210</v>
      </c>
      <c r="V859" s="12">
        <f>VLOOKUP(Tabla4[[#This Row],[ZONA DEFINITIVO]],Hoja1!$A$1:$D$121,3,0)</f>
        <v>229130</v>
      </c>
      <c r="W859" s="12">
        <f>VLOOKUP(Tabla4[[#This Row],[ZONA DEFINITIVO]],Hoja1!$A$1:$D$121,2,0)</f>
        <v>15240</v>
      </c>
      <c r="X859" s="12">
        <f>VLOOKUP(Tabla4[[#This Row],[ZONA DEFINITIVO]],Hoja1!$A$1:$D$121,4,0)</f>
        <v>88425</v>
      </c>
      <c r="Y859" s="12" t="str">
        <f>+IF(Tabla4[[#This Row],[AGRUPACIONES]]=1,SUMIFS(Tabla4[UDS],Tabla4[ZONA DEFINITIVO],Tabla4[[#This Row],[ZONA DEFINITIVO]])," ")</f>
        <v xml:space="preserve"> </v>
      </c>
      <c r="Z859" s="12" t="str">
        <f>+IF(Tabla4[[#This Row],[AGRUPACIONES]]=1,SUMIFS(Tabla4[TOTAL COBERTURA],Tabla4[ZONA DEFINITIVO],Tabla4[[#This Row],[ZONA DEFINITIVO]])," ")</f>
        <v xml:space="preserve"> </v>
      </c>
      <c r="AA859" s="12"/>
      <c r="AB859" s="38">
        <v>23982123</v>
      </c>
      <c r="AC859" s="37">
        <v>0.02</v>
      </c>
      <c r="AD859" s="38">
        <f t="shared" si="14"/>
        <v>479642.46</v>
      </c>
      <c r="AE859" s="12"/>
      <c r="AF859" s="12">
        <f>COUNTIF($A$20:A859,A859)</f>
        <v>23</v>
      </c>
      <c r="AG859" s="38">
        <v>23982123</v>
      </c>
      <c r="AH859" s="38">
        <f>Tabla4[[#This Row],[VALOR CONTRAPARTIDA]]+Tabla4[[#This Row],[TOTAL APORTES ICBF]]</f>
        <v>24461765.460000001</v>
      </c>
      <c r="AI859" s="35"/>
      <c r="AJ859" s="38"/>
      <c r="AK859" s="38"/>
      <c r="AL859" s="23"/>
      <c r="AM859" s="35">
        <f>VLOOKUP(Tabla4[[#This Row],[SERVICIO 2025]],$J$2:$V$14,5,0)*Tabla4[[#This Row],[TOTAL COBERTURA]]</f>
        <v>543136</v>
      </c>
      <c r="AN859" s="35">
        <f>VLOOKUP(Tabla4[[#This Row],[SERVICIO 2025]],$J$2:$V$14,6,0)*Tabla4[[#This Row],[TOTAL COBERTURA]]</f>
        <v>451319</v>
      </c>
      <c r="AO859" s="35">
        <f>VLOOKUP(Tabla4[[#This Row],[SERVICIO 2025]],$J$2:$V$14,8,0)*Tabla4[[#This Row],[TOTAL COBERTURA]]</f>
        <v>320100</v>
      </c>
      <c r="AP859" s="35">
        <f>VLOOKUP(Tabla4[[#This Row],[SERVICIO 2025]],$J$2:$V$14,3,0)*Tabla4[[#This Row],[TOTAL COBERTURA]]*8</f>
        <v>22667568</v>
      </c>
      <c r="AQ859" s="35"/>
      <c r="AR859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859" s="35" t="str">
        <f>+IF(Tabla4[[#This Row],[AGRUPACIONES]]=1,SUMIFS(Tabla4[VALOR TOTAL],Tabla4[ZONA DEFINITIVO],Tabla4[[#This Row],[ZONA DEFINITIVO]])," ")</f>
        <v xml:space="preserve"> </v>
      </c>
      <c r="AT859" s="27">
        <f>(VLOOKUP(Tabla4[[#This Row],[SERVICIO 2025]],$J$2:$V$14,3,0)*Tabla4[[#This Row],[TOTAL COBERTURA]])+Tabla4[[#This Row],[VALOR FASE PREPARATORIA DE ALISTAMIENTO]]+Tabla4[[#This Row],[DOTACIÓN ÚNICA]]</f>
        <v>3696682</v>
      </c>
      <c r="AU859" s="35">
        <f>(VLOOKUP(Tabla4[[#This Row],[SERVICIO 2025]],$J$2:$V$14,3,0)*Tabla4[[#This Row],[TOTAL COBERTURA]])</f>
        <v>2833446</v>
      </c>
      <c r="AV859" s="35">
        <f>(VLOOKUP(Tabla4[[#This Row],[SERVICIO 2025]],$J$2:$V$14,3,0)*Tabla4[[#This Row],[TOTAL COBERTURA]])</f>
        <v>2833446</v>
      </c>
      <c r="AW859" s="35">
        <f>(VLOOKUP(Tabla4[[#This Row],[SERVICIO 2025]],$J$2:$V$14,3,0)*Tabla4[[#This Row],[TOTAL COBERTURA]])</f>
        <v>2833446</v>
      </c>
      <c r="AX859" s="35">
        <f>(VLOOKUP(Tabla4[[#This Row],[SERVICIO 2025]],$J$2:$V$14,3,0)*Tabla4[[#This Row],[TOTAL COBERTURA]])</f>
        <v>2833446</v>
      </c>
      <c r="AY859" s="35">
        <f>(VLOOKUP(Tabla4[[#This Row],[SERVICIO 2025]],$J$2:$V$14,3,0)*Tabla4[[#This Row],[TOTAL COBERTURA]])</f>
        <v>2833446</v>
      </c>
      <c r="AZ859" s="35">
        <f>(VLOOKUP(Tabla4[[#This Row],[SERVICIO 2025]],$J$2:$V$14,3,0)*Tabla4[[#This Row],[TOTAL COBERTURA]])</f>
        <v>2833446</v>
      </c>
      <c r="BA859" s="35">
        <f>(VLOOKUP(Tabla4[[#This Row],[SERVICIO 2025]],$J$2:$V$14,3,0)*Tabla4[[#This Row],[TOTAL COBERTURA]])+Tabla4[[#This Row],[VALOR FASE PREPARATORIA DE CIERRE]]</f>
        <v>3284765</v>
      </c>
      <c r="BB859" s="35">
        <f>SUM(Tabla4[[#This Row],[DESEMBOLSO 1]:[DESEMBOLSO 8]])</f>
        <v>23982123</v>
      </c>
      <c r="BC859" s="35">
        <f>VLOOKUP(Tabla4[[#This Row],[SERVICIO 2025]],$J$2:$V$14,10,0)*Tabla4[[#This Row],[TOTAL COBERTURA]]*$W$3</f>
        <v>15873704</v>
      </c>
      <c r="BD859" s="47" t="s">
        <v>211</v>
      </c>
      <c r="BE859" s="12" t="b">
        <f>EXACT(Tabla4[[#This Row],[VALOR ATENCIÓN (8 MESES)]],Tabla4[[#This Row],[VALOR TOTAL]])</f>
        <v>1</v>
      </c>
      <c r="BF859" s="23">
        <f>Tabla4[[#This Row],[VALOR ATENCIÓN (8 MESES)]]-Tabla4[[#This Row],[VALOR TOTAL]]</f>
        <v>0</v>
      </c>
      <c r="BG859" s="12" t="b">
        <f>EXACT(Tabla4[[#This Row],[TOTAL DESEMBOLSOS]],Tabla4[[#This Row],[VALOR ATENCIÓN (8 MESES)]])</f>
        <v>1</v>
      </c>
      <c r="BH859" s="29">
        <f>Tabla4[[#This Row],[TOTAL DESEMBOLSOS]]-Tabla4[[#This Row],[VALOR ATENCIÓN (8 MESES)]]</f>
        <v>0</v>
      </c>
      <c r="BI859" t="s">
        <v>98</v>
      </c>
      <c r="BJ859">
        <v>1972</v>
      </c>
    </row>
    <row r="860" spans="1:62">
      <c r="A860" s="13">
        <v>1972</v>
      </c>
      <c r="B860" s="13" t="s">
        <v>1861</v>
      </c>
      <c r="C860" s="12" t="s">
        <v>87</v>
      </c>
      <c r="D860" s="12" t="s">
        <v>987</v>
      </c>
      <c r="E860" s="12" t="s">
        <v>1862</v>
      </c>
      <c r="F860" s="12" t="s">
        <v>18</v>
      </c>
      <c r="G860" s="12" t="s">
        <v>90</v>
      </c>
      <c r="H860" s="12" t="s">
        <v>1908</v>
      </c>
      <c r="I860" s="12">
        <v>54951152150</v>
      </c>
      <c r="J860" s="12" t="s">
        <v>1909</v>
      </c>
      <c r="K860" s="12">
        <v>1</v>
      </c>
      <c r="L860" s="12">
        <v>16</v>
      </c>
      <c r="M860" s="12"/>
      <c r="N860" s="13">
        <v>1972</v>
      </c>
      <c r="O860" s="12" t="s">
        <v>93</v>
      </c>
      <c r="P860" s="12"/>
      <c r="Q860" s="12"/>
      <c r="R860" s="12" t="s">
        <v>94</v>
      </c>
      <c r="S860" s="12">
        <v>10</v>
      </c>
      <c r="T860" s="12" t="s">
        <v>209</v>
      </c>
      <c r="U860" s="12" t="s">
        <v>210</v>
      </c>
      <c r="V860" s="12">
        <f>VLOOKUP(Tabla4[[#This Row],[ZONA DEFINITIVO]],Hoja1!$A$1:$D$121,3,0)</f>
        <v>229130</v>
      </c>
      <c r="W860" s="12">
        <f>VLOOKUP(Tabla4[[#This Row],[ZONA DEFINITIVO]],Hoja1!$A$1:$D$121,2,0)</f>
        <v>15240</v>
      </c>
      <c r="X860" s="12">
        <f>VLOOKUP(Tabla4[[#This Row],[ZONA DEFINITIVO]],Hoja1!$A$1:$D$121,4,0)</f>
        <v>88425</v>
      </c>
      <c r="Y860" s="12" t="str">
        <f>+IF(Tabla4[[#This Row],[AGRUPACIONES]]=1,SUMIFS(Tabla4[UDS],Tabla4[ZONA DEFINITIVO],Tabla4[[#This Row],[ZONA DEFINITIVO]])," ")</f>
        <v xml:space="preserve"> </v>
      </c>
      <c r="Z860" s="12" t="str">
        <f>+IF(Tabla4[[#This Row],[AGRUPACIONES]]=1,SUMIFS(Tabla4[TOTAL COBERTURA],Tabla4[ZONA DEFINITIVO],Tabla4[[#This Row],[ZONA DEFINITIVO]])," ")</f>
        <v xml:space="preserve"> </v>
      </c>
      <c r="AA860" s="12"/>
      <c r="AB860" s="38">
        <v>34883088</v>
      </c>
      <c r="AC860" s="37">
        <v>0.02</v>
      </c>
      <c r="AD860" s="38">
        <f t="shared" si="14"/>
        <v>697661.76</v>
      </c>
      <c r="AE860" s="12"/>
      <c r="AF860" s="12">
        <f>COUNTIF($A$20:A860,A860)</f>
        <v>24</v>
      </c>
      <c r="AG860" s="38">
        <v>34883088</v>
      </c>
      <c r="AH860" s="38">
        <f>Tabla4[[#This Row],[VALOR CONTRAPARTIDA]]+Tabla4[[#This Row],[TOTAL APORTES ICBF]]</f>
        <v>35580749.759999998</v>
      </c>
      <c r="AI860" s="35"/>
      <c r="AJ860" s="38"/>
      <c r="AK860" s="38"/>
      <c r="AL860" s="23"/>
      <c r="AM860" s="35">
        <f>VLOOKUP(Tabla4[[#This Row],[SERVICIO 2025]],$J$2:$V$14,5,0)*Tabla4[[#This Row],[TOTAL COBERTURA]]</f>
        <v>790016</v>
      </c>
      <c r="AN860" s="35">
        <f>VLOOKUP(Tabla4[[#This Row],[SERVICIO 2025]],$J$2:$V$14,6,0)*Tabla4[[#This Row],[TOTAL COBERTURA]]</f>
        <v>656464</v>
      </c>
      <c r="AO860" s="35">
        <f>VLOOKUP(Tabla4[[#This Row],[SERVICIO 2025]],$J$2:$V$14,8,0)*Tabla4[[#This Row],[TOTAL COBERTURA]]</f>
        <v>465600</v>
      </c>
      <c r="AP860" s="35">
        <f>VLOOKUP(Tabla4[[#This Row],[SERVICIO 2025]],$J$2:$V$14,3,0)*Tabla4[[#This Row],[TOTAL COBERTURA]]*8</f>
        <v>32971008</v>
      </c>
      <c r="AQ860" s="35"/>
      <c r="AR860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860" s="35" t="str">
        <f>+IF(Tabla4[[#This Row],[AGRUPACIONES]]=1,SUMIFS(Tabla4[VALOR TOTAL],Tabla4[ZONA DEFINITIVO],Tabla4[[#This Row],[ZONA DEFINITIVO]])," ")</f>
        <v xml:space="preserve"> </v>
      </c>
      <c r="AT860" s="27">
        <f>(VLOOKUP(Tabla4[[#This Row],[SERVICIO 2025]],$J$2:$V$14,3,0)*Tabla4[[#This Row],[TOTAL COBERTURA]])+Tabla4[[#This Row],[VALOR FASE PREPARATORIA DE ALISTAMIENTO]]+Tabla4[[#This Row],[DOTACIÓN ÚNICA]]</f>
        <v>5376992</v>
      </c>
      <c r="AU860" s="35">
        <f>(VLOOKUP(Tabla4[[#This Row],[SERVICIO 2025]],$J$2:$V$14,3,0)*Tabla4[[#This Row],[TOTAL COBERTURA]])</f>
        <v>4121376</v>
      </c>
      <c r="AV860" s="35">
        <f>(VLOOKUP(Tabla4[[#This Row],[SERVICIO 2025]],$J$2:$V$14,3,0)*Tabla4[[#This Row],[TOTAL COBERTURA]])</f>
        <v>4121376</v>
      </c>
      <c r="AW860" s="35">
        <f>(VLOOKUP(Tabla4[[#This Row],[SERVICIO 2025]],$J$2:$V$14,3,0)*Tabla4[[#This Row],[TOTAL COBERTURA]])</f>
        <v>4121376</v>
      </c>
      <c r="AX860" s="35">
        <f>(VLOOKUP(Tabla4[[#This Row],[SERVICIO 2025]],$J$2:$V$14,3,0)*Tabla4[[#This Row],[TOTAL COBERTURA]])</f>
        <v>4121376</v>
      </c>
      <c r="AY860" s="35">
        <f>(VLOOKUP(Tabla4[[#This Row],[SERVICIO 2025]],$J$2:$V$14,3,0)*Tabla4[[#This Row],[TOTAL COBERTURA]])</f>
        <v>4121376</v>
      </c>
      <c r="AZ860" s="35">
        <f>(VLOOKUP(Tabla4[[#This Row],[SERVICIO 2025]],$J$2:$V$14,3,0)*Tabla4[[#This Row],[TOTAL COBERTURA]])</f>
        <v>4121376</v>
      </c>
      <c r="BA860" s="35">
        <f>(VLOOKUP(Tabla4[[#This Row],[SERVICIO 2025]],$J$2:$V$14,3,0)*Tabla4[[#This Row],[TOTAL COBERTURA]])+Tabla4[[#This Row],[VALOR FASE PREPARATORIA DE CIERRE]]</f>
        <v>4777840</v>
      </c>
      <c r="BB860" s="35">
        <f>SUM(Tabla4[[#This Row],[DESEMBOLSO 1]:[DESEMBOLSO 8]])</f>
        <v>34883088</v>
      </c>
      <c r="BC860" s="35">
        <f>VLOOKUP(Tabla4[[#This Row],[SERVICIO 2025]],$J$2:$V$14,10,0)*Tabla4[[#This Row],[TOTAL COBERTURA]]*$W$3</f>
        <v>23089024</v>
      </c>
      <c r="BD860" s="47" t="s">
        <v>211</v>
      </c>
      <c r="BE860" s="12" t="b">
        <f>EXACT(Tabla4[[#This Row],[VALOR ATENCIÓN (8 MESES)]],Tabla4[[#This Row],[VALOR TOTAL]])</f>
        <v>1</v>
      </c>
      <c r="BF860" s="23">
        <f>Tabla4[[#This Row],[VALOR ATENCIÓN (8 MESES)]]-Tabla4[[#This Row],[VALOR TOTAL]]</f>
        <v>0</v>
      </c>
      <c r="BG860" s="12" t="b">
        <f>EXACT(Tabla4[[#This Row],[TOTAL DESEMBOLSOS]],Tabla4[[#This Row],[VALOR ATENCIÓN (8 MESES)]])</f>
        <v>1</v>
      </c>
      <c r="BH860" s="29">
        <f>Tabla4[[#This Row],[TOTAL DESEMBOLSOS]]-Tabla4[[#This Row],[VALOR ATENCIÓN (8 MESES)]]</f>
        <v>0</v>
      </c>
      <c r="BI860" t="s">
        <v>98</v>
      </c>
      <c r="BJ860">
        <v>1972</v>
      </c>
    </row>
    <row r="861" spans="1:62">
      <c r="A861" s="13">
        <v>1972</v>
      </c>
      <c r="B861" s="13" t="s">
        <v>1861</v>
      </c>
      <c r="C861" s="12" t="s">
        <v>87</v>
      </c>
      <c r="D861" s="12" t="s">
        <v>987</v>
      </c>
      <c r="E861" s="12" t="s">
        <v>1862</v>
      </c>
      <c r="F861" s="12" t="s">
        <v>18</v>
      </c>
      <c r="G861" s="12" t="s">
        <v>90</v>
      </c>
      <c r="H861" s="12" t="s">
        <v>1910</v>
      </c>
      <c r="I861" s="12">
        <v>54951152834</v>
      </c>
      <c r="J861" s="12" t="s">
        <v>1911</v>
      </c>
      <c r="K861" s="12">
        <v>1</v>
      </c>
      <c r="L861" s="12">
        <v>20</v>
      </c>
      <c r="M861" s="12"/>
      <c r="N861" s="13">
        <v>1972</v>
      </c>
      <c r="O861" s="12" t="s">
        <v>93</v>
      </c>
      <c r="P861" s="12"/>
      <c r="Q861" s="12"/>
      <c r="R861" s="12" t="s">
        <v>94</v>
      </c>
      <c r="S861" s="12">
        <v>10</v>
      </c>
      <c r="T861" s="12" t="s">
        <v>209</v>
      </c>
      <c r="U861" s="12" t="s">
        <v>210</v>
      </c>
      <c r="V861" s="12">
        <f>VLOOKUP(Tabla4[[#This Row],[ZONA DEFINITIVO]],Hoja1!$A$1:$D$121,3,0)</f>
        <v>229130</v>
      </c>
      <c r="W861" s="12">
        <f>VLOOKUP(Tabla4[[#This Row],[ZONA DEFINITIVO]],Hoja1!$A$1:$D$121,2,0)</f>
        <v>15240</v>
      </c>
      <c r="X861" s="12">
        <f>VLOOKUP(Tabla4[[#This Row],[ZONA DEFINITIVO]],Hoja1!$A$1:$D$121,4,0)</f>
        <v>88425</v>
      </c>
      <c r="Y861" s="12" t="str">
        <f>+IF(Tabla4[[#This Row],[AGRUPACIONES]]=1,SUMIFS(Tabla4[UDS],Tabla4[ZONA DEFINITIVO],Tabla4[[#This Row],[ZONA DEFINITIVO]])," ")</f>
        <v xml:space="preserve"> </v>
      </c>
      <c r="Z861" s="12" t="str">
        <f>+IF(Tabla4[[#This Row],[AGRUPACIONES]]=1,SUMIFS(Tabla4[TOTAL COBERTURA],Tabla4[ZONA DEFINITIVO],Tabla4[[#This Row],[ZONA DEFINITIVO]])," ")</f>
        <v xml:space="preserve"> </v>
      </c>
      <c r="AA861" s="12"/>
      <c r="AB861" s="38">
        <v>43603860</v>
      </c>
      <c r="AC861" s="37">
        <v>0.02</v>
      </c>
      <c r="AD861" s="38">
        <f t="shared" si="14"/>
        <v>872077.20000000007</v>
      </c>
      <c r="AE861" s="12"/>
      <c r="AF861" s="12">
        <f>COUNTIF($A$20:A861,A861)</f>
        <v>25</v>
      </c>
      <c r="AG861" s="38">
        <v>43603860</v>
      </c>
      <c r="AH861" s="38">
        <f>Tabla4[[#This Row],[VALOR CONTRAPARTIDA]]+Tabla4[[#This Row],[TOTAL APORTES ICBF]]</f>
        <v>44475937.200000003</v>
      </c>
      <c r="AI861" s="35"/>
      <c r="AJ861" s="38"/>
      <c r="AK861" s="38"/>
      <c r="AL861" s="23"/>
      <c r="AM861" s="35">
        <f>VLOOKUP(Tabla4[[#This Row],[SERVICIO 2025]],$J$2:$V$14,5,0)*Tabla4[[#This Row],[TOTAL COBERTURA]]</f>
        <v>987520</v>
      </c>
      <c r="AN861" s="35">
        <f>VLOOKUP(Tabla4[[#This Row],[SERVICIO 2025]],$J$2:$V$14,6,0)*Tabla4[[#This Row],[TOTAL COBERTURA]]</f>
        <v>820580</v>
      </c>
      <c r="AO861" s="35">
        <f>VLOOKUP(Tabla4[[#This Row],[SERVICIO 2025]],$J$2:$V$14,8,0)*Tabla4[[#This Row],[TOTAL COBERTURA]]</f>
        <v>582000</v>
      </c>
      <c r="AP861" s="35">
        <f>VLOOKUP(Tabla4[[#This Row],[SERVICIO 2025]],$J$2:$V$14,3,0)*Tabla4[[#This Row],[TOTAL COBERTURA]]*8</f>
        <v>41213760</v>
      </c>
      <c r="AQ861" s="35"/>
      <c r="AR861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861" s="35" t="str">
        <f>+IF(Tabla4[[#This Row],[AGRUPACIONES]]=1,SUMIFS(Tabla4[VALOR TOTAL],Tabla4[ZONA DEFINITIVO],Tabla4[[#This Row],[ZONA DEFINITIVO]])," ")</f>
        <v xml:space="preserve"> </v>
      </c>
      <c r="AT861" s="27">
        <f>(VLOOKUP(Tabla4[[#This Row],[SERVICIO 2025]],$J$2:$V$14,3,0)*Tabla4[[#This Row],[TOTAL COBERTURA]])+Tabla4[[#This Row],[VALOR FASE PREPARATORIA DE ALISTAMIENTO]]+Tabla4[[#This Row],[DOTACIÓN ÚNICA]]</f>
        <v>6721240</v>
      </c>
      <c r="AU861" s="35">
        <f>(VLOOKUP(Tabla4[[#This Row],[SERVICIO 2025]],$J$2:$V$14,3,0)*Tabla4[[#This Row],[TOTAL COBERTURA]])</f>
        <v>5151720</v>
      </c>
      <c r="AV861" s="35">
        <f>(VLOOKUP(Tabla4[[#This Row],[SERVICIO 2025]],$J$2:$V$14,3,0)*Tabla4[[#This Row],[TOTAL COBERTURA]])</f>
        <v>5151720</v>
      </c>
      <c r="AW861" s="35">
        <f>(VLOOKUP(Tabla4[[#This Row],[SERVICIO 2025]],$J$2:$V$14,3,0)*Tabla4[[#This Row],[TOTAL COBERTURA]])</f>
        <v>5151720</v>
      </c>
      <c r="AX861" s="35">
        <f>(VLOOKUP(Tabla4[[#This Row],[SERVICIO 2025]],$J$2:$V$14,3,0)*Tabla4[[#This Row],[TOTAL COBERTURA]])</f>
        <v>5151720</v>
      </c>
      <c r="AY861" s="35">
        <f>(VLOOKUP(Tabla4[[#This Row],[SERVICIO 2025]],$J$2:$V$14,3,0)*Tabla4[[#This Row],[TOTAL COBERTURA]])</f>
        <v>5151720</v>
      </c>
      <c r="AZ861" s="35">
        <f>(VLOOKUP(Tabla4[[#This Row],[SERVICIO 2025]],$J$2:$V$14,3,0)*Tabla4[[#This Row],[TOTAL COBERTURA]])</f>
        <v>5151720</v>
      </c>
      <c r="BA861" s="35">
        <f>(VLOOKUP(Tabla4[[#This Row],[SERVICIO 2025]],$J$2:$V$14,3,0)*Tabla4[[#This Row],[TOTAL COBERTURA]])+Tabla4[[#This Row],[VALOR FASE PREPARATORIA DE CIERRE]]</f>
        <v>5972300</v>
      </c>
      <c r="BB861" s="35">
        <f>SUM(Tabla4[[#This Row],[DESEMBOLSO 1]:[DESEMBOLSO 8]])</f>
        <v>43603860</v>
      </c>
      <c r="BC861" s="35">
        <f>VLOOKUP(Tabla4[[#This Row],[SERVICIO 2025]],$J$2:$V$14,10,0)*Tabla4[[#This Row],[TOTAL COBERTURA]]*$W$3</f>
        <v>28861280</v>
      </c>
      <c r="BD861" s="47" t="s">
        <v>211</v>
      </c>
      <c r="BE861" s="12" t="b">
        <f>EXACT(Tabla4[[#This Row],[VALOR ATENCIÓN (8 MESES)]],Tabla4[[#This Row],[VALOR TOTAL]])</f>
        <v>1</v>
      </c>
      <c r="BF861" s="23">
        <f>Tabla4[[#This Row],[VALOR ATENCIÓN (8 MESES)]]-Tabla4[[#This Row],[VALOR TOTAL]]</f>
        <v>0</v>
      </c>
      <c r="BG861" s="12" t="b">
        <f>EXACT(Tabla4[[#This Row],[TOTAL DESEMBOLSOS]],Tabla4[[#This Row],[VALOR ATENCIÓN (8 MESES)]])</f>
        <v>1</v>
      </c>
      <c r="BH861" s="29">
        <f>Tabla4[[#This Row],[TOTAL DESEMBOLSOS]]-Tabla4[[#This Row],[VALOR ATENCIÓN (8 MESES)]]</f>
        <v>0</v>
      </c>
      <c r="BI861" t="s">
        <v>98</v>
      </c>
      <c r="BJ861">
        <v>1972</v>
      </c>
    </row>
    <row r="862" spans="1:62">
      <c r="A862" s="13">
        <v>1972</v>
      </c>
      <c r="B862" s="13" t="s">
        <v>1861</v>
      </c>
      <c r="C862" s="12" t="s">
        <v>87</v>
      </c>
      <c r="D862" s="12" t="s">
        <v>987</v>
      </c>
      <c r="E862" s="12" t="s">
        <v>1862</v>
      </c>
      <c r="F862" s="12" t="s">
        <v>18</v>
      </c>
      <c r="G862" s="12" t="s">
        <v>90</v>
      </c>
      <c r="H862" s="12" t="s">
        <v>1912</v>
      </c>
      <c r="I862" s="12">
        <v>54951152835</v>
      </c>
      <c r="J862" s="12" t="s">
        <v>1913</v>
      </c>
      <c r="K862" s="12">
        <v>1</v>
      </c>
      <c r="L862" s="12">
        <v>13</v>
      </c>
      <c r="M862" s="12"/>
      <c r="N862" s="13">
        <v>1972</v>
      </c>
      <c r="O862" s="12" t="s">
        <v>93</v>
      </c>
      <c r="P862" s="12"/>
      <c r="Q862" s="12"/>
      <c r="R862" s="12" t="s">
        <v>94</v>
      </c>
      <c r="S862" s="12">
        <v>10</v>
      </c>
      <c r="T862" s="12" t="s">
        <v>209</v>
      </c>
      <c r="U862" s="12" t="s">
        <v>210</v>
      </c>
      <c r="V862" s="12">
        <f>VLOOKUP(Tabla4[[#This Row],[ZONA DEFINITIVO]],Hoja1!$A$1:$D$121,3,0)</f>
        <v>229130</v>
      </c>
      <c r="W862" s="12">
        <f>VLOOKUP(Tabla4[[#This Row],[ZONA DEFINITIVO]],Hoja1!$A$1:$D$121,2,0)</f>
        <v>15240</v>
      </c>
      <c r="X862" s="12">
        <f>VLOOKUP(Tabla4[[#This Row],[ZONA DEFINITIVO]],Hoja1!$A$1:$D$121,4,0)</f>
        <v>88425</v>
      </c>
      <c r="Y862" s="12" t="str">
        <f>+IF(Tabla4[[#This Row],[AGRUPACIONES]]=1,SUMIFS(Tabla4[UDS],Tabla4[ZONA DEFINITIVO],Tabla4[[#This Row],[ZONA DEFINITIVO]])," ")</f>
        <v xml:space="preserve"> </v>
      </c>
      <c r="Z862" s="12" t="str">
        <f>+IF(Tabla4[[#This Row],[AGRUPACIONES]]=1,SUMIFS(Tabla4[TOTAL COBERTURA],Tabla4[ZONA DEFINITIVO],Tabla4[[#This Row],[ZONA DEFINITIVO]])," ")</f>
        <v xml:space="preserve"> </v>
      </c>
      <c r="AA862" s="12"/>
      <c r="AB862" s="38">
        <v>28342509</v>
      </c>
      <c r="AC862" s="37">
        <v>0.02</v>
      </c>
      <c r="AD862" s="38">
        <f t="shared" si="14"/>
        <v>566850.18000000005</v>
      </c>
      <c r="AE862" s="12"/>
      <c r="AF862" s="12">
        <f>COUNTIF($A$20:A862,A862)</f>
        <v>26</v>
      </c>
      <c r="AG862" s="38">
        <v>28342509</v>
      </c>
      <c r="AH862" s="38">
        <f>Tabla4[[#This Row],[VALOR CONTRAPARTIDA]]+Tabla4[[#This Row],[TOTAL APORTES ICBF]]</f>
        <v>28909359.18</v>
      </c>
      <c r="AI862" s="35"/>
      <c r="AJ862" s="38"/>
      <c r="AK862" s="38"/>
      <c r="AL862" s="23"/>
      <c r="AM862" s="35">
        <f>VLOOKUP(Tabla4[[#This Row],[SERVICIO 2025]],$J$2:$V$14,5,0)*Tabla4[[#This Row],[TOTAL COBERTURA]]</f>
        <v>641888</v>
      </c>
      <c r="AN862" s="35">
        <f>VLOOKUP(Tabla4[[#This Row],[SERVICIO 2025]],$J$2:$V$14,6,0)*Tabla4[[#This Row],[TOTAL COBERTURA]]</f>
        <v>533377</v>
      </c>
      <c r="AO862" s="35">
        <f>VLOOKUP(Tabla4[[#This Row],[SERVICIO 2025]],$J$2:$V$14,8,0)*Tabla4[[#This Row],[TOTAL COBERTURA]]</f>
        <v>378300</v>
      </c>
      <c r="AP862" s="35">
        <f>VLOOKUP(Tabla4[[#This Row],[SERVICIO 2025]],$J$2:$V$14,3,0)*Tabla4[[#This Row],[TOTAL COBERTURA]]*8</f>
        <v>26788944</v>
      </c>
      <c r="AQ862" s="35"/>
      <c r="AR862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862" s="35" t="str">
        <f>+IF(Tabla4[[#This Row],[AGRUPACIONES]]=1,SUMIFS(Tabla4[VALOR TOTAL],Tabla4[ZONA DEFINITIVO],Tabla4[[#This Row],[ZONA DEFINITIVO]])," ")</f>
        <v xml:space="preserve"> </v>
      </c>
      <c r="AT862" s="27">
        <f>(VLOOKUP(Tabla4[[#This Row],[SERVICIO 2025]],$J$2:$V$14,3,0)*Tabla4[[#This Row],[TOTAL COBERTURA]])+Tabla4[[#This Row],[VALOR FASE PREPARATORIA DE ALISTAMIENTO]]+Tabla4[[#This Row],[DOTACIÓN ÚNICA]]</f>
        <v>4368806</v>
      </c>
      <c r="AU862" s="35">
        <f>(VLOOKUP(Tabla4[[#This Row],[SERVICIO 2025]],$J$2:$V$14,3,0)*Tabla4[[#This Row],[TOTAL COBERTURA]])</f>
        <v>3348618</v>
      </c>
      <c r="AV862" s="35">
        <f>(VLOOKUP(Tabla4[[#This Row],[SERVICIO 2025]],$J$2:$V$14,3,0)*Tabla4[[#This Row],[TOTAL COBERTURA]])</f>
        <v>3348618</v>
      </c>
      <c r="AW862" s="35">
        <f>(VLOOKUP(Tabla4[[#This Row],[SERVICIO 2025]],$J$2:$V$14,3,0)*Tabla4[[#This Row],[TOTAL COBERTURA]])</f>
        <v>3348618</v>
      </c>
      <c r="AX862" s="35">
        <f>(VLOOKUP(Tabla4[[#This Row],[SERVICIO 2025]],$J$2:$V$14,3,0)*Tabla4[[#This Row],[TOTAL COBERTURA]])</f>
        <v>3348618</v>
      </c>
      <c r="AY862" s="35">
        <f>(VLOOKUP(Tabla4[[#This Row],[SERVICIO 2025]],$J$2:$V$14,3,0)*Tabla4[[#This Row],[TOTAL COBERTURA]])</f>
        <v>3348618</v>
      </c>
      <c r="AZ862" s="35">
        <f>(VLOOKUP(Tabla4[[#This Row],[SERVICIO 2025]],$J$2:$V$14,3,0)*Tabla4[[#This Row],[TOTAL COBERTURA]])</f>
        <v>3348618</v>
      </c>
      <c r="BA862" s="35">
        <f>(VLOOKUP(Tabla4[[#This Row],[SERVICIO 2025]],$J$2:$V$14,3,0)*Tabla4[[#This Row],[TOTAL COBERTURA]])+Tabla4[[#This Row],[VALOR FASE PREPARATORIA DE CIERRE]]</f>
        <v>3881995</v>
      </c>
      <c r="BB862" s="35">
        <f>SUM(Tabla4[[#This Row],[DESEMBOLSO 1]:[DESEMBOLSO 8]])</f>
        <v>28342509</v>
      </c>
      <c r="BC862" s="35">
        <f>VLOOKUP(Tabla4[[#This Row],[SERVICIO 2025]],$J$2:$V$14,10,0)*Tabla4[[#This Row],[TOTAL COBERTURA]]*$W$3</f>
        <v>18759832</v>
      </c>
      <c r="BD862" s="47" t="s">
        <v>211</v>
      </c>
      <c r="BE862" s="12" t="b">
        <f>EXACT(Tabla4[[#This Row],[VALOR ATENCIÓN (8 MESES)]],Tabla4[[#This Row],[VALOR TOTAL]])</f>
        <v>1</v>
      </c>
      <c r="BF862" s="23">
        <f>Tabla4[[#This Row],[VALOR ATENCIÓN (8 MESES)]]-Tabla4[[#This Row],[VALOR TOTAL]]</f>
        <v>0</v>
      </c>
      <c r="BG862" s="12" t="b">
        <f>EXACT(Tabla4[[#This Row],[TOTAL DESEMBOLSOS]],Tabla4[[#This Row],[VALOR ATENCIÓN (8 MESES)]])</f>
        <v>1</v>
      </c>
      <c r="BH862" s="29">
        <f>Tabla4[[#This Row],[TOTAL DESEMBOLSOS]]-Tabla4[[#This Row],[VALOR ATENCIÓN (8 MESES)]]</f>
        <v>0</v>
      </c>
      <c r="BI862" t="s">
        <v>98</v>
      </c>
      <c r="BJ862">
        <v>1972</v>
      </c>
    </row>
    <row r="863" spans="1:62">
      <c r="A863" s="13">
        <v>1972</v>
      </c>
      <c r="B863" s="13" t="s">
        <v>1861</v>
      </c>
      <c r="C863" s="12" t="s">
        <v>87</v>
      </c>
      <c r="D863" s="12" t="s">
        <v>987</v>
      </c>
      <c r="E863" s="12" t="s">
        <v>1862</v>
      </c>
      <c r="F863" s="12" t="s">
        <v>18</v>
      </c>
      <c r="G863" s="12" t="s">
        <v>90</v>
      </c>
      <c r="H863" s="12" t="s">
        <v>1914</v>
      </c>
      <c r="I863" s="12">
        <v>54951152907</v>
      </c>
      <c r="J863" s="12" t="s">
        <v>1915</v>
      </c>
      <c r="K863" s="12">
        <v>1</v>
      </c>
      <c r="L863" s="12">
        <v>10</v>
      </c>
      <c r="M863" s="12"/>
      <c r="N863" s="13">
        <v>1972</v>
      </c>
      <c r="O863" s="12" t="s">
        <v>93</v>
      </c>
      <c r="P863" s="12"/>
      <c r="Q863" s="12"/>
      <c r="R863" s="12" t="s">
        <v>94</v>
      </c>
      <c r="S863" s="12">
        <v>10</v>
      </c>
      <c r="T863" s="12" t="s">
        <v>209</v>
      </c>
      <c r="U863" s="12" t="s">
        <v>210</v>
      </c>
      <c r="V863" s="12">
        <f>VLOOKUP(Tabla4[[#This Row],[ZONA DEFINITIVO]],Hoja1!$A$1:$D$121,3,0)</f>
        <v>229130</v>
      </c>
      <c r="W863" s="12">
        <f>VLOOKUP(Tabla4[[#This Row],[ZONA DEFINITIVO]],Hoja1!$A$1:$D$121,2,0)</f>
        <v>15240</v>
      </c>
      <c r="X863" s="12">
        <f>VLOOKUP(Tabla4[[#This Row],[ZONA DEFINITIVO]],Hoja1!$A$1:$D$121,4,0)</f>
        <v>88425</v>
      </c>
      <c r="Y863" s="12" t="str">
        <f>+IF(Tabla4[[#This Row],[AGRUPACIONES]]=1,SUMIFS(Tabla4[UDS],Tabla4[ZONA DEFINITIVO],Tabla4[[#This Row],[ZONA DEFINITIVO]])," ")</f>
        <v xml:space="preserve"> </v>
      </c>
      <c r="Z863" s="12" t="str">
        <f>+IF(Tabla4[[#This Row],[AGRUPACIONES]]=1,SUMIFS(Tabla4[TOTAL COBERTURA],Tabla4[ZONA DEFINITIVO],Tabla4[[#This Row],[ZONA DEFINITIVO]])," ")</f>
        <v xml:space="preserve"> </v>
      </c>
      <c r="AA863" s="12"/>
      <c r="AB863" s="38">
        <v>21801930</v>
      </c>
      <c r="AC863" s="37">
        <v>0.02</v>
      </c>
      <c r="AD863" s="38">
        <f t="shared" si="14"/>
        <v>436038.60000000003</v>
      </c>
      <c r="AE863" s="12"/>
      <c r="AF863" s="12">
        <f>COUNTIF($A$20:A863,A863)</f>
        <v>27</v>
      </c>
      <c r="AG863" s="38">
        <v>21801930</v>
      </c>
      <c r="AH863" s="38">
        <f>Tabla4[[#This Row],[VALOR CONTRAPARTIDA]]+Tabla4[[#This Row],[TOTAL APORTES ICBF]]</f>
        <v>22237968.600000001</v>
      </c>
      <c r="AI863" s="35"/>
      <c r="AJ863" s="38"/>
      <c r="AK863" s="38"/>
      <c r="AL863" s="23"/>
      <c r="AM863" s="35">
        <f>VLOOKUP(Tabla4[[#This Row],[SERVICIO 2025]],$J$2:$V$14,5,0)*Tabla4[[#This Row],[TOTAL COBERTURA]]</f>
        <v>493760</v>
      </c>
      <c r="AN863" s="35">
        <f>VLOOKUP(Tabla4[[#This Row],[SERVICIO 2025]],$J$2:$V$14,6,0)*Tabla4[[#This Row],[TOTAL COBERTURA]]</f>
        <v>410290</v>
      </c>
      <c r="AO863" s="35">
        <f>VLOOKUP(Tabla4[[#This Row],[SERVICIO 2025]],$J$2:$V$14,8,0)*Tabla4[[#This Row],[TOTAL COBERTURA]]</f>
        <v>291000</v>
      </c>
      <c r="AP863" s="35">
        <f>VLOOKUP(Tabla4[[#This Row],[SERVICIO 2025]],$J$2:$V$14,3,0)*Tabla4[[#This Row],[TOTAL COBERTURA]]*8</f>
        <v>20606880</v>
      </c>
      <c r="AQ863" s="35"/>
      <c r="AR863" s="35">
        <f>Tabla4[[#This Row],[VALOR FASE PREPARATORIA DE ALISTAMIENTO]]+Tabla4[[#This Row],[VALOR FASE PREPARATORIA DE CIERRE]]+Tabla4[[#This Row],[DOTACIÓN ÚNICA]]+Tabla4[[#This Row],[VALOR ATENCIÓN]]+Tabla4[[#This Row],[VALOR RACION PREPARADA]]</f>
        <v>21801930</v>
      </c>
      <c r="AS863" s="35" t="str">
        <f>+IF(Tabla4[[#This Row],[AGRUPACIONES]]=1,SUMIFS(Tabla4[VALOR TOTAL],Tabla4[ZONA DEFINITIVO],Tabla4[[#This Row],[ZONA DEFINITIVO]])," ")</f>
        <v xml:space="preserve"> </v>
      </c>
      <c r="AT863" s="27">
        <f>(VLOOKUP(Tabla4[[#This Row],[SERVICIO 2025]],$J$2:$V$14,3,0)*Tabla4[[#This Row],[TOTAL COBERTURA]])+Tabla4[[#This Row],[VALOR FASE PREPARATORIA DE ALISTAMIENTO]]+Tabla4[[#This Row],[DOTACIÓN ÚNICA]]</f>
        <v>3360620</v>
      </c>
      <c r="AU863" s="35">
        <f>(VLOOKUP(Tabla4[[#This Row],[SERVICIO 2025]],$J$2:$V$14,3,0)*Tabla4[[#This Row],[TOTAL COBERTURA]])</f>
        <v>2575860</v>
      </c>
      <c r="AV863" s="35">
        <f>(VLOOKUP(Tabla4[[#This Row],[SERVICIO 2025]],$J$2:$V$14,3,0)*Tabla4[[#This Row],[TOTAL COBERTURA]])</f>
        <v>2575860</v>
      </c>
      <c r="AW863" s="35">
        <f>(VLOOKUP(Tabla4[[#This Row],[SERVICIO 2025]],$J$2:$V$14,3,0)*Tabla4[[#This Row],[TOTAL COBERTURA]])</f>
        <v>2575860</v>
      </c>
      <c r="AX863" s="35">
        <f>(VLOOKUP(Tabla4[[#This Row],[SERVICIO 2025]],$J$2:$V$14,3,0)*Tabla4[[#This Row],[TOTAL COBERTURA]])</f>
        <v>2575860</v>
      </c>
      <c r="AY863" s="35">
        <f>(VLOOKUP(Tabla4[[#This Row],[SERVICIO 2025]],$J$2:$V$14,3,0)*Tabla4[[#This Row],[TOTAL COBERTURA]])</f>
        <v>2575860</v>
      </c>
      <c r="AZ863" s="35">
        <f>(VLOOKUP(Tabla4[[#This Row],[SERVICIO 2025]],$J$2:$V$14,3,0)*Tabla4[[#This Row],[TOTAL COBERTURA]])</f>
        <v>2575860</v>
      </c>
      <c r="BA863" s="35">
        <f>(VLOOKUP(Tabla4[[#This Row],[SERVICIO 2025]],$J$2:$V$14,3,0)*Tabla4[[#This Row],[TOTAL COBERTURA]])+Tabla4[[#This Row],[VALOR FASE PREPARATORIA DE CIERRE]]</f>
        <v>2986150</v>
      </c>
      <c r="BB863" s="35">
        <f>SUM(Tabla4[[#This Row],[DESEMBOLSO 1]:[DESEMBOLSO 8]])</f>
        <v>21801930</v>
      </c>
      <c r="BC863" s="35">
        <f>VLOOKUP(Tabla4[[#This Row],[SERVICIO 2025]],$J$2:$V$14,10,0)*Tabla4[[#This Row],[TOTAL COBERTURA]]*$W$3</f>
        <v>14430640</v>
      </c>
      <c r="BD863" s="47" t="s">
        <v>211</v>
      </c>
      <c r="BE863" s="12" t="b">
        <f>EXACT(Tabla4[[#This Row],[VALOR ATENCIÓN (8 MESES)]],Tabla4[[#This Row],[VALOR TOTAL]])</f>
        <v>1</v>
      </c>
      <c r="BF863" s="23">
        <f>Tabla4[[#This Row],[VALOR ATENCIÓN (8 MESES)]]-Tabla4[[#This Row],[VALOR TOTAL]]</f>
        <v>0</v>
      </c>
      <c r="BG863" s="12" t="b">
        <f>EXACT(Tabla4[[#This Row],[TOTAL DESEMBOLSOS]],Tabla4[[#This Row],[VALOR ATENCIÓN (8 MESES)]])</f>
        <v>1</v>
      </c>
      <c r="BH863" s="29">
        <f>Tabla4[[#This Row],[TOTAL DESEMBOLSOS]]-Tabla4[[#This Row],[VALOR ATENCIÓN (8 MESES)]]</f>
        <v>0</v>
      </c>
      <c r="BI863" t="s">
        <v>98</v>
      </c>
      <c r="BJ863">
        <v>1972</v>
      </c>
    </row>
    <row r="864" spans="1:62">
      <c r="A864" s="13">
        <v>1972</v>
      </c>
      <c r="B864" s="13" t="s">
        <v>1861</v>
      </c>
      <c r="C864" s="12" t="s">
        <v>87</v>
      </c>
      <c r="D864" s="12" t="s">
        <v>987</v>
      </c>
      <c r="E864" s="12" t="s">
        <v>1862</v>
      </c>
      <c r="F864" s="12" t="s">
        <v>18</v>
      </c>
      <c r="G864" s="12" t="s">
        <v>90</v>
      </c>
      <c r="H864" s="12" t="s">
        <v>1916</v>
      </c>
      <c r="I864" s="12">
        <v>54951152908</v>
      </c>
      <c r="J864" s="12" t="s">
        <v>1917</v>
      </c>
      <c r="K864" s="12">
        <v>1</v>
      </c>
      <c r="L864" s="12">
        <v>19</v>
      </c>
      <c r="M864" s="12"/>
      <c r="N864" s="13">
        <v>1972</v>
      </c>
      <c r="O864" s="12" t="s">
        <v>93</v>
      </c>
      <c r="P864" s="12"/>
      <c r="Q864" s="12"/>
      <c r="R864" s="12" t="s">
        <v>94</v>
      </c>
      <c r="S864" s="12">
        <v>10</v>
      </c>
      <c r="T864" s="12" t="s">
        <v>209</v>
      </c>
      <c r="U864" s="12" t="s">
        <v>210</v>
      </c>
      <c r="V864" s="12">
        <f>VLOOKUP(Tabla4[[#This Row],[ZONA DEFINITIVO]],Hoja1!$A$1:$D$121,3,0)</f>
        <v>229130</v>
      </c>
      <c r="W864" s="12">
        <f>VLOOKUP(Tabla4[[#This Row],[ZONA DEFINITIVO]],Hoja1!$A$1:$D$121,2,0)</f>
        <v>15240</v>
      </c>
      <c r="X864" s="12">
        <f>VLOOKUP(Tabla4[[#This Row],[ZONA DEFINITIVO]],Hoja1!$A$1:$D$121,4,0)</f>
        <v>88425</v>
      </c>
      <c r="Y864" s="12" t="str">
        <f>+IF(Tabla4[[#This Row],[AGRUPACIONES]]=1,SUMIFS(Tabla4[UDS],Tabla4[ZONA DEFINITIVO],Tabla4[[#This Row],[ZONA DEFINITIVO]])," ")</f>
        <v xml:space="preserve"> </v>
      </c>
      <c r="Z864" s="12" t="str">
        <f>+IF(Tabla4[[#This Row],[AGRUPACIONES]]=1,SUMIFS(Tabla4[TOTAL COBERTURA],Tabla4[ZONA DEFINITIVO],Tabla4[[#This Row],[ZONA DEFINITIVO]])," ")</f>
        <v xml:space="preserve"> </v>
      </c>
      <c r="AA864" s="12"/>
      <c r="AB864" s="38">
        <v>41423667</v>
      </c>
      <c r="AC864" s="37">
        <v>0.02</v>
      </c>
      <c r="AD864" s="38">
        <f t="shared" si="14"/>
        <v>828473.34</v>
      </c>
      <c r="AE864" s="12"/>
      <c r="AF864" s="12">
        <f>COUNTIF($A$20:A864,A864)</f>
        <v>28</v>
      </c>
      <c r="AG864" s="38">
        <v>41423667</v>
      </c>
      <c r="AH864" s="38">
        <f>Tabla4[[#This Row],[VALOR CONTRAPARTIDA]]+Tabla4[[#This Row],[TOTAL APORTES ICBF]]</f>
        <v>42252140.340000004</v>
      </c>
      <c r="AI864" s="35"/>
      <c r="AJ864" s="38"/>
      <c r="AK864" s="38"/>
      <c r="AL864" s="23"/>
      <c r="AM864" s="35">
        <f>VLOOKUP(Tabla4[[#This Row],[SERVICIO 2025]],$J$2:$V$14,5,0)*Tabla4[[#This Row],[TOTAL COBERTURA]]</f>
        <v>938144</v>
      </c>
      <c r="AN864" s="35">
        <f>VLOOKUP(Tabla4[[#This Row],[SERVICIO 2025]],$J$2:$V$14,6,0)*Tabla4[[#This Row],[TOTAL COBERTURA]]</f>
        <v>779551</v>
      </c>
      <c r="AO864" s="35">
        <f>VLOOKUP(Tabla4[[#This Row],[SERVICIO 2025]],$J$2:$V$14,8,0)*Tabla4[[#This Row],[TOTAL COBERTURA]]</f>
        <v>552900</v>
      </c>
      <c r="AP864" s="35">
        <f>VLOOKUP(Tabla4[[#This Row],[SERVICIO 2025]],$J$2:$V$14,3,0)*Tabla4[[#This Row],[TOTAL COBERTURA]]*8</f>
        <v>39153072</v>
      </c>
      <c r="AQ864" s="35"/>
      <c r="AR864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864" s="35" t="str">
        <f>+IF(Tabla4[[#This Row],[AGRUPACIONES]]=1,SUMIFS(Tabla4[VALOR TOTAL],Tabla4[ZONA DEFINITIVO],Tabla4[[#This Row],[ZONA DEFINITIVO]])," ")</f>
        <v xml:space="preserve"> </v>
      </c>
      <c r="AT864" s="27">
        <f>(VLOOKUP(Tabla4[[#This Row],[SERVICIO 2025]],$J$2:$V$14,3,0)*Tabla4[[#This Row],[TOTAL COBERTURA]])+Tabla4[[#This Row],[VALOR FASE PREPARATORIA DE ALISTAMIENTO]]+Tabla4[[#This Row],[DOTACIÓN ÚNICA]]</f>
        <v>6385178</v>
      </c>
      <c r="AU864" s="35">
        <f>(VLOOKUP(Tabla4[[#This Row],[SERVICIO 2025]],$J$2:$V$14,3,0)*Tabla4[[#This Row],[TOTAL COBERTURA]])</f>
        <v>4894134</v>
      </c>
      <c r="AV864" s="35">
        <f>(VLOOKUP(Tabla4[[#This Row],[SERVICIO 2025]],$J$2:$V$14,3,0)*Tabla4[[#This Row],[TOTAL COBERTURA]])</f>
        <v>4894134</v>
      </c>
      <c r="AW864" s="35">
        <f>(VLOOKUP(Tabla4[[#This Row],[SERVICIO 2025]],$J$2:$V$14,3,0)*Tabla4[[#This Row],[TOTAL COBERTURA]])</f>
        <v>4894134</v>
      </c>
      <c r="AX864" s="35">
        <f>(VLOOKUP(Tabla4[[#This Row],[SERVICIO 2025]],$J$2:$V$14,3,0)*Tabla4[[#This Row],[TOTAL COBERTURA]])</f>
        <v>4894134</v>
      </c>
      <c r="AY864" s="35">
        <f>(VLOOKUP(Tabla4[[#This Row],[SERVICIO 2025]],$J$2:$V$14,3,0)*Tabla4[[#This Row],[TOTAL COBERTURA]])</f>
        <v>4894134</v>
      </c>
      <c r="AZ864" s="35">
        <f>(VLOOKUP(Tabla4[[#This Row],[SERVICIO 2025]],$J$2:$V$14,3,0)*Tabla4[[#This Row],[TOTAL COBERTURA]])</f>
        <v>4894134</v>
      </c>
      <c r="BA864" s="35">
        <f>(VLOOKUP(Tabla4[[#This Row],[SERVICIO 2025]],$J$2:$V$14,3,0)*Tabla4[[#This Row],[TOTAL COBERTURA]])+Tabla4[[#This Row],[VALOR FASE PREPARATORIA DE CIERRE]]</f>
        <v>5673685</v>
      </c>
      <c r="BB864" s="35">
        <f>SUM(Tabla4[[#This Row],[DESEMBOLSO 1]:[DESEMBOLSO 8]])</f>
        <v>41423667</v>
      </c>
      <c r="BC864" s="35">
        <f>VLOOKUP(Tabla4[[#This Row],[SERVICIO 2025]],$J$2:$V$14,10,0)*Tabla4[[#This Row],[TOTAL COBERTURA]]*$W$3</f>
        <v>27418216</v>
      </c>
      <c r="BD864" s="47" t="s">
        <v>211</v>
      </c>
      <c r="BE864" s="12" t="b">
        <f>EXACT(Tabla4[[#This Row],[VALOR ATENCIÓN (8 MESES)]],Tabla4[[#This Row],[VALOR TOTAL]])</f>
        <v>1</v>
      </c>
      <c r="BF864" s="23">
        <f>Tabla4[[#This Row],[VALOR ATENCIÓN (8 MESES)]]-Tabla4[[#This Row],[VALOR TOTAL]]</f>
        <v>0</v>
      </c>
      <c r="BG864" s="12" t="b">
        <f>EXACT(Tabla4[[#This Row],[TOTAL DESEMBOLSOS]],Tabla4[[#This Row],[VALOR ATENCIÓN (8 MESES)]])</f>
        <v>1</v>
      </c>
      <c r="BH864" s="29">
        <f>Tabla4[[#This Row],[TOTAL DESEMBOLSOS]]-Tabla4[[#This Row],[VALOR ATENCIÓN (8 MESES)]]</f>
        <v>0</v>
      </c>
      <c r="BI864" t="s">
        <v>98</v>
      </c>
      <c r="BJ864">
        <v>1972</v>
      </c>
    </row>
    <row r="865" spans="1:62">
      <c r="A865" s="13">
        <v>1972</v>
      </c>
      <c r="B865" s="13" t="s">
        <v>1861</v>
      </c>
      <c r="C865" s="12" t="s">
        <v>87</v>
      </c>
      <c r="D865" s="12" t="s">
        <v>987</v>
      </c>
      <c r="E865" s="12" t="s">
        <v>1862</v>
      </c>
      <c r="F865" s="12" t="s">
        <v>18</v>
      </c>
      <c r="G865" s="12" t="s">
        <v>90</v>
      </c>
      <c r="H865" s="12" t="s">
        <v>1918</v>
      </c>
      <c r="I865" s="12">
        <v>54951153127</v>
      </c>
      <c r="J865" s="12" t="s">
        <v>1919</v>
      </c>
      <c r="K865" s="12">
        <v>1</v>
      </c>
      <c r="L865" s="12">
        <v>19</v>
      </c>
      <c r="M865" s="12"/>
      <c r="N865" s="13">
        <v>1972</v>
      </c>
      <c r="O865" s="12" t="s">
        <v>93</v>
      </c>
      <c r="P865" s="12"/>
      <c r="Q865" s="12"/>
      <c r="R865" s="12" t="s">
        <v>94</v>
      </c>
      <c r="S865" s="12">
        <v>10</v>
      </c>
      <c r="T865" s="12" t="s">
        <v>209</v>
      </c>
      <c r="U865" s="12" t="s">
        <v>210</v>
      </c>
      <c r="V865" s="12">
        <f>VLOOKUP(Tabla4[[#This Row],[ZONA DEFINITIVO]],Hoja1!$A$1:$D$121,3,0)</f>
        <v>229130</v>
      </c>
      <c r="W865" s="12">
        <f>VLOOKUP(Tabla4[[#This Row],[ZONA DEFINITIVO]],Hoja1!$A$1:$D$121,2,0)</f>
        <v>15240</v>
      </c>
      <c r="X865" s="12">
        <f>VLOOKUP(Tabla4[[#This Row],[ZONA DEFINITIVO]],Hoja1!$A$1:$D$121,4,0)</f>
        <v>88425</v>
      </c>
      <c r="Y865" s="12" t="str">
        <f>+IF(Tabla4[[#This Row],[AGRUPACIONES]]=1,SUMIFS(Tabla4[UDS],Tabla4[ZONA DEFINITIVO],Tabla4[[#This Row],[ZONA DEFINITIVO]])," ")</f>
        <v xml:space="preserve"> </v>
      </c>
      <c r="Z865" s="12" t="str">
        <f>+IF(Tabla4[[#This Row],[AGRUPACIONES]]=1,SUMIFS(Tabla4[TOTAL COBERTURA],Tabla4[ZONA DEFINITIVO],Tabla4[[#This Row],[ZONA DEFINITIVO]])," ")</f>
        <v xml:space="preserve"> </v>
      </c>
      <c r="AA865" s="12"/>
      <c r="AB865" s="38">
        <v>41423667</v>
      </c>
      <c r="AC865" s="37">
        <v>0.02</v>
      </c>
      <c r="AD865" s="38">
        <f t="shared" si="14"/>
        <v>828473.34</v>
      </c>
      <c r="AE865" s="12"/>
      <c r="AF865" s="12">
        <f>COUNTIF($A$20:A865,A865)</f>
        <v>29</v>
      </c>
      <c r="AG865" s="38">
        <v>41423667</v>
      </c>
      <c r="AH865" s="38">
        <f>Tabla4[[#This Row],[VALOR CONTRAPARTIDA]]+Tabla4[[#This Row],[TOTAL APORTES ICBF]]</f>
        <v>42252140.340000004</v>
      </c>
      <c r="AI865" s="35"/>
      <c r="AJ865" s="38"/>
      <c r="AK865" s="38"/>
      <c r="AL865" s="23"/>
      <c r="AM865" s="35">
        <f>VLOOKUP(Tabla4[[#This Row],[SERVICIO 2025]],$J$2:$V$14,5,0)*Tabla4[[#This Row],[TOTAL COBERTURA]]</f>
        <v>938144</v>
      </c>
      <c r="AN865" s="35">
        <f>VLOOKUP(Tabla4[[#This Row],[SERVICIO 2025]],$J$2:$V$14,6,0)*Tabla4[[#This Row],[TOTAL COBERTURA]]</f>
        <v>779551</v>
      </c>
      <c r="AO865" s="35">
        <f>VLOOKUP(Tabla4[[#This Row],[SERVICIO 2025]],$J$2:$V$14,8,0)*Tabla4[[#This Row],[TOTAL COBERTURA]]</f>
        <v>552900</v>
      </c>
      <c r="AP865" s="35">
        <f>VLOOKUP(Tabla4[[#This Row],[SERVICIO 2025]],$J$2:$V$14,3,0)*Tabla4[[#This Row],[TOTAL COBERTURA]]*8</f>
        <v>39153072</v>
      </c>
      <c r="AQ865" s="35"/>
      <c r="AR865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865" s="35" t="str">
        <f>+IF(Tabla4[[#This Row],[AGRUPACIONES]]=1,SUMIFS(Tabla4[VALOR TOTAL],Tabla4[ZONA DEFINITIVO],Tabla4[[#This Row],[ZONA DEFINITIVO]])," ")</f>
        <v xml:space="preserve"> </v>
      </c>
      <c r="AT865" s="27">
        <f>(VLOOKUP(Tabla4[[#This Row],[SERVICIO 2025]],$J$2:$V$14,3,0)*Tabla4[[#This Row],[TOTAL COBERTURA]])+Tabla4[[#This Row],[VALOR FASE PREPARATORIA DE ALISTAMIENTO]]+Tabla4[[#This Row],[DOTACIÓN ÚNICA]]</f>
        <v>6385178</v>
      </c>
      <c r="AU865" s="35">
        <f>(VLOOKUP(Tabla4[[#This Row],[SERVICIO 2025]],$J$2:$V$14,3,0)*Tabla4[[#This Row],[TOTAL COBERTURA]])</f>
        <v>4894134</v>
      </c>
      <c r="AV865" s="35">
        <f>(VLOOKUP(Tabla4[[#This Row],[SERVICIO 2025]],$J$2:$V$14,3,0)*Tabla4[[#This Row],[TOTAL COBERTURA]])</f>
        <v>4894134</v>
      </c>
      <c r="AW865" s="35">
        <f>(VLOOKUP(Tabla4[[#This Row],[SERVICIO 2025]],$J$2:$V$14,3,0)*Tabla4[[#This Row],[TOTAL COBERTURA]])</f>
        <v>4894134</v>
      </c>
      <c r="AX865" s="35">
        <f>(VLOOKUP(Tabla4[[#This Row],[SERVICIO 2025]],$J$2:$V$14,3,0)*Tabla4[[#This Row],[TOTAL COBERTURA]])</f>
        <v>4894134</v>
      </c>
      <c r="AY865" s="35">
        <f>(VLOOKUP(Tabla4[[#This Row],[SERVICIO 2025]],$J$2:$V$14,3,0)*Tabla4[[#This Row],[TOTAL COBERTURA]])</f>
        <v>4894134</v>
      </c>
      <c r="AZ865" s="35">
        <f>(VLOOKUP(Tabla4[[#This Row],[SERVICIO 2025]],$J$2:$V$14,3,0)*Tabla4[[#This Row],[TOTAL COBERTURA]])</f>
        <v>4894134</v>
      </c>
      <c r="BA865" s="35">
        <f>(VLOOKUP(Tabla4[[#This Row],[SERVICIO 2025]],$J$2:$V$14,3,0)*Tabla4[[#This Row],[TOTAL COBERTURA]])+Tabla4[[#This Row],[VALOR FASE PREPARATORIA DE CIERRE]]</f>
        <v>5673685</v>
      </c>
      <c r="BB865" s="35">
        <f>SUM(Tabla4[[#This Row],[DESEMBOLSO 1]:[DESEMBOLSO 8]])</f>
        <v>41423667</v>
      </c>
      <c r="BC865" s="35">
        <f>VLOOKUP(Tabla4[[#This Row],[SERVICIO 2025]],$J$2:$V$14,10,0)*Tabla4[[#This Row],[TOTAL COBERTURA]]*$W$3</f>
        <v>27418216</v>
      </c>
      <c r="BD865" s="47" t="s">
        <v>211</v>
      </c>
      <c r="BE865" s="12" t="b">
        <f>EXACT(Tabla4[[#This Row],[VALOR ATENCIÓN (8 MESES)]],Tabla4[[#This Row],[VALOR TOTAL]])</f>
        <v>1</v>
      </c>
      <c r="BF865" s="23">
        <f>Tabla4[[#This Row],[VALOR ATENCIÓN (8 MESES)]]-Tabla4[[#This Row],[VALOR TOTAL]]</f>
        <v>0</v>
      </c>
      <c r="BG865" s="12" t="b">
        <f>EXACT(Tabla4[[#This Row],[TOTAL DESEMBOLSOS]],Tabla4[[#This Row],[VALOR ATENCIÓN (8 MESES)]])</f>
        <v>1</v>
      </c>
      <c r="BH865" s="29">
        <f>Tabla4[[#This Row],[TOTAL DESEMBOLSOS]]-Tabla4[[#This Row],[VALOR ATENCIÓN (8 MESES)]]</f>
        <v>0</v>
      </c>
      <c r="BI865" t="s">
        <v>98</v>
      </c>
      <c r="BJ865">
        <v>1972</v>
      </c>
    </row>
    <row r="866" spans="1:62">
      <c r="A866" s="13">
        <v>1972</v>
      </c>
      <c r="B866" s="13" t="s">
        <v>1861</v>
      </c>
      <c r="C866" s="12" t="s">
        <v>87</v>
      </c>
      <c r="D866" s="12" t="s">
        <v>987</v>
      </c>
      <c r="E866" s="12" t="s">
        <v>1862</v>
      </c>
      <c r="F866" s="12" t="s">
        <v>18</v>
      </c>
      <c r="G866" s="12" t="s">
        <v>90</v>
      </c>
      <c r="H866" s="12" t="s">
        <v>1920</v>
      </c>
      <c r="I866" s="12">
        <v>549500079948</v>
      </c>
      <c r="J866" s="12" t="s">
        <v>1921</v>
      </c>
      <c r="K866" s="12">
        <v>1</v>
      </c>
      <c r="L866" s="12">
        <v>32</v>
      </c>
      <c r="M866" s="12"/>
      <c r="N866" s="13">
        <v>1972</v>
      </c>
      <c r="O866" s="12" t="s">
        <v>93</v>
      </c>
      <c r="P866" s="12"/>
      <c r="Q866" s="12"/>
      <c r="R866" s="12" t="s">
        <v>94</v>
      </c>
      <c r="S866" s="12">
        <v>10</v>
      </c>
      <c r="T866" s="12" t="s">
        <v>209</v>
      </c>
      <c r="U866" s="12" t="s">
        <v>210</v>
      </c>
      <c r="V866" s="12">
        <f>VLOOKUP(Tabla4[[#This Row],[ZONA DEFINITIVO]],Hoja1!$A$1:$D$121,3,0)</f>
        <v>229130</v>
      </c>
      <c r="W866" s="12">
        <f>VLOOKUP(Tabla4[[#This Row],[ZONA DEFINITIVO]],Hoja1!$A$1:$D$121,2,0)</f>
        <v>15240</v>
      </c>
      <c r="X866" s="12">
        <f>VLOOKUP(Tabla4[[#This Row],[ZONA DEFINITIVO]],Hoja1!$A$1:$D$121,4,0)</f>
        <v>88425</v>
      </c>
      <c r="Y866" s="12" t="str">
        <f>+IF(Tabla4[[#This Row],[AGRUPACIONES]]=1,SUMIFS(Tabla4[UDS],Tabla4[ZONA DEFINITIVO],Tabla4[[#This Row],[ZONA DEFINITIVO]])," ")</f>
        <v xml:space="preserve"> </v>
      </c>
      <c r="Z866" s="12" t="str">
        <f>+IF(Tabla4[[#This Row],[AGRUPACIONES]]=1,SUMIFS(Tabla4[TOTAL COBERTURA],Tabla4[ZONA DEFINITIVO],Tabla4[[#This Row],[ZONA DEFINITIVO]])," ")</f>
        <v xml:space="preserve"> </v>
      </c>
      <c r="AA866" s="12"/>
      <c r="AB866" s="38">
        <v>69766176</v>
      </c>
      <c r="AC866" s="37">
        <v>0.02</v>
      </c>
      <c r="AD866" s="38">
        <f t="shared" si="14"/>
        <v>1395323.52</v>
      </c>
      <c r="AE866" s="12"/>
      <c r="AF866" s="12">
        <f>COUNTIF($A$20:A866,A866)</f>
        <v>30</v>
      </c>
      <c r="AG866" s="38">
        <v>69766176</v>
      </c>
      <c r="AH866" s="38">
        <f>Tabla4[[#This Row],[VALOR CONTRAPARTIDA]]+Tabla4[[#This Row],[TOTAL APORTES ICBF]]</f>
        <v>71161499.519999996</v>
      </c>
      <c r="AI866" s="35"/>
      <c r="AJ866" s="38"/>
      <c r="AK866" s="38"/>
      <c r="AL866" s="23"/>
      <c r="AM866" s="35">
        <f>VLOOKUP(Tabla4[[#This Row],[SERVICIO 2025]],$J$2:$V$14,5,0)*Tabla4[[#This Row],[TOTAL COBERTURA]]</f>
        <v>1580032</v>
      </c>
      <c r="AN866" s="35">
        <f>VLOOKUP(Tabla4[[#This Row],[SERVICIO 2025]],$J$2:$V$14,6,0)*Tabla4[[#This Row],[TOTAL COBERTURA]]</f>
        <v>1312928</v>
      </c>
      <c r="AO866" s="35">
        <f>VLOOKUP(Tabla4[[#This Row],[SERVICIO 2025]],$J$2:$V$14,8,0)*Tabla4[[#This Row],[TOTAL COBERTURA]]</f>
        <v>931200</v>
      </c>
      <c r="AP866" s="35">
        <f>VLOOKUP(Tabla4[[#This Row],[SERVICIO 2025]],$J$2:$V$14,3,0)*Tabla4[[#This Row],[TOTAL COBERTURA]]*8</f>
        <v>65942016</v>
      </c>
      <c r="AQ866" s="35"/>
      <c r="AR866" s="35">
        <f>Tabla4[[#This Row],[VALOR FASE PREPARATORIA DE ALISTAMIENTO]]+Tabla4[[#This Row],[VALOR FASE PREPARATORIA DE CIERRE]]+Tabla4[[#This Row],[DOTACIÓN ÚNICA]]+Tabla4[[#This Row],[VALOR ATENCIÓN]]+Tabla4[[#This Row],[VALOR RACION PREPARADA]]</f>
        <v>69766176</v>
      </c>
      <c r="AS866" s="35" t="str">
        <f>+IF(Tabla4[[#This Row],[AGRUPACIONES]]=1,SUMIFS(Tabla4[VALOR TOTAL],Tabla4[ZONA DEFINITIVO],Tabla4[[#This Row],[ZONA DEFINITIVO]])," ")</f>
        <v xml:space="preserve"> </v>
      </c>
      <c r="AT866" s="27">
        <f>(VLOOKUP(Tabla4[[#This Row],[SERVICIO 2025]],$J$2:$V$14,3,0)*Tabla4[[#This Row],[TOTAL COBERTURA]])+Tabla4[[#This Row],[VALOR FASE PREPARATORIA DE ALISTAMIENTO]]+Tabla4[[#This Row],[DOTACIÓN ÚNICA]]</f>
        <v>10753984</v>
      </c>
      <c r="AU866" s="35">
        <f>(VLOOKUP(Tabla4[[#This Row],[SERVICIO 2025]],$J$2:$V$14,3,0)*Tabla4[[#This Row],[TOTAL COBERTURA]])</f>
        <v>8242752</v>
      </c>
      <c r="AV866" s="35">
        <f>(VLOOKUP(Tabla4[[#This Row],[SERVICIO 2025]],$J$2:$V$14,3,0)*Tabla4[[#This Row],[TOTAL COBERTURA]])</f>
        <v>8242752</v>
      </c>
      <c r="AW866" s="35">
        <f>(VLOOKUP(Tabla4[[#This Row],[SERVICIO 2025]],$J$2:$V$14,3,0)*Tabla4[[#This Row],[TOTAL COBERTURA]])</f>
        <v>8242752</v>
      </c>
      <c r="AX866" s="35">
        <f>(VLOOKUP(Tabla4[[#This Row],[SERVICIO 2025]],$J$2:$V$14,3,0)*Tabla4[[#This Row],[TOTAL COBERTURA]])</f>
        <v>8242752</v>
      </c>
      <c r="AY866" s="35">
        <f>(VLOOKUP(Tabla4[[#This Row],[SERVICIO 2025]],$J$2:$V$14,3,0)*Tabla4[[#This Row],[TOTAL COBERTURA]])</f>
        <v>8242752</v>
      </c>
      <c r="AZ866" s="35">
        <f>(VLOOKUP(Tabla4[[#This Row],[SERVICIO 2025]],$J$2:$V$14,3,0)*Tabla4[[#This Row],[TOTAL COBERTURA]])</f>
        <v>8242752</v>
      </c>
      <c r="BA866" s="35">
        <f>(VLOOKUP(Tabla4[[#This Row],[SERVICIO 2025]],$J$2:$V$14,3,0)*Tabla4[[#This Row],[TOTAL COBERTURA]])+Tabla4[[#This Row],[VALOR FASE PREPARATORIA DE CIERRE]]</f>
        <v>9555680</v>
      </c>
      <c r="BB866" s="35">
        <f>SUM(Tabla4[[#This Row],[DESEMBOLSO 1]:[DESEMBOLSO 8]])</f>
        <v>69766176</v>
      </c>
      <c r="BC866" s="35">
        <f>VLOOKUP(Tabla4[[#This Row],[SERVICIO 2025]],$J$2:$V$14,10,0)*Tabla4[[#This Row],[TOTAL COBERTURA]]*$W$3</f>
        <v>46178048</v>
      </c>
      <c r="BD866" s="47" t="s">
        <v>211</v>
      </c>
      <c r="BE866" s="12" t="b">
        <f>EXACT(Tabla4[[#This Row],[VALOR ATENCIÓN (8 MESES)]],Tabla4[[#This Row],[VALOR TOTAL]])</f>
        <v>1</v>
      </c>
      <c r="BF866" s="23">
        <f>Tabla4[[#This Row],[VALOR ATENCIÓN (8 MESES)]]-Tabla4[[#This Row],[VALOR TOTAL]]</f>
        <v>0</v>
      </c>
      <c r="BG866" s="12" t="b">
        <f>EXACT(Tabla4[[#This Row],[TOTAL DESEMBOLSOS]],Tabla4[[#This Row],[VALOR ATENCIÓN (8 MESES)]])</f>
        <v>1</v>
      </c>
      <c r="BH866" s="29">
        <f>Tabla4[[#This Row],[TOTAL DESEMBOLSOS]]-Tabla4[[#This Row],[VALOR ATENCIÓN (8 MESES)]]</f>
        <v>0</v>
      </c>
      <c r="BI866" t="s">
        <v>98</v>
      </c>
      <c r="BJ866">
        <v>1972</v>
      </c>
    </row>
    <row r="867" spans="1:62">
      <c r="A867" s="13">
        <v>1972</v>
      </c>
      <c r="B867" s="13" t="s">
        <v>1861</v>
      </c>
      <c r="C867" s="12" t="s">
        <v>87</v>
      </c>
      <c r="D867" s="12" t="s">
        <v>987</v>
      </c>
      <c r="E867" s="12" t="s">
        <v>1862</v>
      </c>
      <c r="F867" s="12" t="s">
        <v>18</v>
      </c>
      <c r="G867" s="12" t="s">
        <v>90</v>
      </c>
      <c r="H867" s="12" t="s">
        <v>1922</v>
      </c>
      <c r="I867" s="12">
        <v>549500122080</v>
      </c>
      <c r="J867" s="12" t="s">
        <v>1923</v>
      </c>
      <c r="K867" s="12">
        <v>1</v>
      </c>
      <c r="L867" s="12">
        <v>11</v>
      </c>
      <c r="M867" s="12"/>
      <c r="N867" s="13">
        <v>1972</v>
      </c>
      <c r="O867" s="12" t="s">
        <v>93</v>
      </c>
      <c r="P867" s="12"/>
      <c r="Q867" s="12"/>
      <c r="R867" s="12" t="s">
        <v>94</v>
      </c>
      <c r="S867" s="12">
        <v>10</v>
      </c>
      <c r="T867" s="12" t="s">
        <v>209</v>
      </c>
      <c r="U867" s="12" t="s">
        <v>210</v>
      </c>
      <c r="V867" s="12">
        <f>VLOOKUP(Tabla4[[#This Row],[ZONA DEFINITIVO]],Hoja1!$A$1:$D$121,3,0)</f>
        <v>229130</v>
      </c>
      <c r="W867" s="12">
        <f>VLOOKUP(Tabla4[[#This Row],[ZONA DEFINITIVO]],Hoja1!$A$1:$D$121,2,0)</f>
        <v>15240</v>
      </c>
      <c r="X867" s="12">
        <f>VLOOKUP(Tabla4[[#This Row],[ZONA DEFINITIVO]],Hoja1!$A$1:$D$121,4,0)</f>
        <v>88425</v>
      </c>
      <c r="Y867" s="12" t="str">
        <f>+IF(Tabla4[[#This Row],[AGRUPACIONES]]=1,SUMIFS(Tabla4[UDS],Tabla4[ZONA DEFINITIVO],Tabla4[[#This Row],[ZONA DEFINITIVO]])," ")</f>
        <v xml:space="preserve"> </v>
      </c>
      <c r="Z867" s="12" t="str">
        <f>+IF(Tabla4[[#This Row],[AGRUPACIONES]]=1,SUMIFS(Tabla4[TOTAL COBERTURA],Tabla4[ZONA DEFINITIVO],Tabla4[[#This Row],[ZONA DEFINITIVO]])," ")</f>
        <v xml:space="preserve"> </v>
      </c>
      <c r="AA867" s="12"/>
      <c r="AB867" s="38">
        <v>23982123</v>
      </c>
      <c r="AC867" s="37">
        <v>0.02</v>
      </c>
      <c r="AD867" s="38">
        <f t="shared" si="14"/>
        <v>479642.46</v>
      </c>
      <c r="AE867" s="12"/>
      <c r="AF867" s="12">
        <f>COUNTIF($A$20:A867,A867)</f>
        <v>31</v>
      </c>
      <c r="AG867" s="38">
        <v>23982123</v>
      </c>
      <c r="AH867" s="38">
        <f>Tabla4[[#This Row],[VALOR CONTRAPARTIDA]]+Tabla4[[#This Row],[TOTAL APORTES ICBF]]</f>
        <v>24461765.460000001</v>
      </c>
      <c r="AI867" s="35"/>
      <c r="AJ867" s="38"/>
      <c r="AK867" s="38"/>
      <c r="AL867" s="23"/>
      <c r="AM867" s="35">
        <f>VLOOKUP(Tabla4[[#This Row],[SERVICIO 2025]],$J$2:$V$14,5,0)*Tabla4[[#This Row],[TOTAL COBERTURA]]</f>
        <v>543136</v>
      </c>
      <c r="AN867" s="35">
        <f>VLOOKUP(Tabla4[[#This Row],[SERVICIO 2025]],$J$2:$V$14,6,0)*Tabla4[[#This Row],[TOTAL COBERTURA]]</f>
        <v>451319</v>
      </c>
      <c r="AO867" s="35">
        <f>VLOOKUP(Tabla4[[#This Row],[SERVICIO 2025]],$J$2:$V$14,8,0)*Tabla4[[#This Row],[TOTAL COBERTURA]]</f>
        <v>320100</v>
      </c>
      <c r="AP867" s="35">
        <f>VLOOKUP(Tabla4[[#This Row],[SERVICIO 2025]],$J$2:$V$14,3,0)*Tabla4[[#This Row],[TOTAL COBERTURA]]*8</f>
        <v>22667568</v>
      </c>
      <c r="AQ867" s="35"/>
      <c r="AR867" s="35">
        <f>Tabla4[[#This Row],[VALOR FASE PREPARATORIA DE ALISTAMIENTO]]+Tabla4[[#This Row],[VALOR FASE PREPARATORIA DE CIERRE]]+Tabla4[[#This Row],[DOTACIÓN ÚNICA]]+Tabla4[[#This Row],[VALOR ATENCIÓN]]+Tabla4[[#This Row],[VALOR RACION PREPARADA]]</f>
        <v>23982123</v>
      </c>
      <c r="AS867" s="35" t="str">
        <f>+IF(Tabla4[[#This Row],[AGRUPACIONES]]=1,SUMIFS(Tabla4[VALOR TOTAL],Tabla4[ZONA DEFINITIVO],Tabla4[[#This Row],[ZONA DEFINITIVO]])," ")</f>
        <v xml:space="preserve"> </v>
      </c>
      <c r="AT867" s="27">
        <f>(VLOOKUP(Tabla4[[#This Row],[SERVICIO 2025]],$J$2:$V$14,3,0)*Tabla4[[#This Row],[TOTAL COBERTURA]])+Tabla4[[#This Row],[VALOR FASE PREPARATORIA DE ALISTAMIENTO]]+Tabla4[[#This Row],[DOTACIÓN ÚNICA]]</f>
        <v>3696682</v>
      </c>
      <c r="AU867" s="35">
        <f>(VLOOKUP(Tabla4[[#This Row],[SERVICIO 2025]],$J$2:$V$14,3,0)*Tabla4[[#This Row],[TOTAL COBERTURA]])</f>
        <v>2833446</v>
      </c>
      <c r="AV867" s="35">
        <f>(VLOOKUP(Tabla4[[#This Row],[SERVICIO 2025]],$J$2:$V$14,3,0)*Tabla4[[#This Row],[TOTAL COBERTURA]])</f>
        <v>2833446</v>
      </c>
      <c r="AW867" s="35">
        <f>(VLOOKUP(Tabla4[[#This Row],[SERVICIO 2025]],$J$2:$V$14,3,0)*Tabla4[[#This Row],[TOTAL COBERTURA]])</f>
        <v>2833446</v>
      </c>
      <c r="AX867" s="35">
        <f>(VLOOKUP(Tabla4[[#This Row],[SERVICIO 2025]],$J$2:$V$14,3,0)*Tabla4[[#This Row],[TOTAL COBERTURA]])</f>
        <v>2833446</v>
      </c>
      <c r="AY867" s="35">
        <f>(VLOOKUP(Tabla4[[#This Row],[SERVICIO 2025]],$J$2:$V$14,3,0)*Tabla4[[#This Row],[TOTAL COBERTURA]])</f>
        <v>2833446</v>
      </c>
      <c r="AZ867" s="35">
        <f>(VLOOKUP(Tabla4[[#This Row],[SERVICIO 2025]],$J$2:$V$14,3,0)*Tabla4[[#This Row],[TOTAL COBERTURA]])</f>
        <v>2833446</v>
      </c>
      <c r="BA867" s="35">
        <f>(VLOOKUP(Tabla4[[#This Row],[SERVICIO 2025]],$J$2:$V$14,3,0)*Tabla4[[#This Row],[TOTAL COBERTURA]])+Tabla4[[#This Row],[VALOR FASE PREPARATORIA DE CIERRE]]</f>
        <v>3284765</v>
      </c>
      <c r="BB867" s="35">
        <f>SUM(Tabla4[[#This Row],[DESEMBOLSO 1]:[DESEMBOLSO 8]])</f>
        <v>23982123</v>
      </c>
      <c r="BC867" s="35">
        <f>VLOOKUP(Tabla4[[#This Row],[SERVICIO 2025]],$J$2:$V$14,10,0)*Tabla4[[#This Row],[TOTAL COBERTURA]]*$W$3</f>
        <v>15873704</v>
      </c>
      <c r="BD867" s="47" t="s">
        <v>211</v>
      </c>
      <c r="BE867" s="12" t="b">
        <f>EXACT(Tabla4[[#This Row],[VALOR ATENCIÓN (8 MESES)]],Tabla4[[#This Row],[VALOR TOTAL]])</f>
        <v>1</v>
      </c>
      <c r="BF867" s="23">
        <f>Tabla4[[#This Row],[VALOR ATENCIÓN (8 MESES)]]-Tabla4[[#This Row],[VALOR TOTAL]]</f>
        <v>0</v>
      </c>
      <c r="BG867" s="12" t="b">
        <f>EXACT(Tabla4[[#This Row],[TOTAL DESEMBOLSOS]],Tabla4[[#This Row],[VALOR ATENCIÓN (8 MESES)]])</f>
        <v>1</v>
      </c>
      <c r="BH867" s="29">
        <f>Tabla4[[#This Row],[TOTAL DESEMBOLSOS]]-Tabla4[[#This Row],[VALOR ATENCIÓN (8 MESES)]]</f>
        <v>0</v>
      </c>
      <c r="BI867" t="s">
        <v>98</v>
      </c>
      <c r="BJ867">
        <v>1972</v>
      </c>
    </row>
    <row r="868" spans="1:62">
      <c r="A868" s="13">
        <v>1976</v>
      </c>
      <c r="B868" s="13" t="s">
        <v>1924</v>
      </c>
      <c r="C868" s="12" t="s">
        <v>87</v>
      </c>
      <c r="D868" s="12" t="s">
        <v>579</v>
      </c>
      <c r="E868" s="12" t="s">
        <v>1925</v>
      </c>
      <c r="F868" s="12" t="s">
        <v>18</v>
      </c>
      <c r="G868" s="12" t="s">
        <v>90</v>
      </c>
      <c r="H868" s="12" t="s">
        <v>1926</v>
      </c>
      <c r="I868" s="12">
        <v>55431115842</v>
      </c>
      <c r="J868" s="12" t="s">
        <v>1927</v>
      </c>
      <c r="K868" s="12">
        <v>1</v>
      </c>
      <c r="L868" s="12">
        <v>12</v>
      </c>
      <c r="M868" s="12"/>
      <c r="N868" s="13">
        <v>1976</v>
      </c>
      <c r="O868" s="12" t="s">
        <v>93</v>
      </c>
      <c r="P868" s="12"/>
      <c r="Q868" s="12"/>
      <c r="R868" s="12" t="s">
        <v>94</v>
      </c>
      <c r="S868" s="12">
        <v>10</v>
      </c>
      <c r="T868" s="12" t="s">
        <v>1928</v>
      </c>
      <c r="U868" s="12" t="s">
        <v>1929</v>
      </c>
      <c r="V868" s="12">
        <f>VLOOKUP(Tabla4[[#This Row],[ZONA DEFINITIVO]],Hoja1!$A$1:$D$121,3,0)</f>
        <v>229133</v>
      </c>
      <c r="W868" s="12">
        <f>VLOOKUP(Tabla4[[#This Row],[ZONA DEFINITIVO]],Hoja1!$A$1:$D$121,2,0)</f>
        <v>15209</v>
      </c>
      <c r="X868" s="12">
        <f>VLOOKUP(Tabla4[[#This Row],[ZONA DEFINITIVO]],Hoja1!$A$1:$D$121,4,0)</f>
        <v>92325</v>
      </c>
      <c r="Y868" s="12">
        <f>+IF(Tabla4[[#This Row],[AGRUPACIONES]]=1,SUMIFS(Tabla4[UDS],Tabla4[ZONA DEFINITIVO],Tabla4[[#This Row],[ZONA DEFINITIVO]])," ")</f>
        <v>15</v>
      </c>
      <c r="Z868" s="12">
        <f>+IF(Tabla4[[#This Row],[AGRUPACIONES]]=1,SUMIFS(Tabla4[TOTAL COBERTURA],Tabla4[ZONA DEFINITIVO],Tabla4[[#This Row],[ZONA DEFINITIVO]])," ")</f>
        <v>304</v>
      </c>
      <c r="AA868" s="12"/>
      <c r="AB868" s="38">
        <v>26162316</v>
      </c>
      <c r="AC868" s="37">
        <v>0.02</v>
      </c>
      <c r="AD868" s="38">
        <f t="shared" si="14"/>
        <v>523246.32</v>
      </c>
      <c r="AE868" s="12"/>
      <c r="AF868" s="12">
        <f>COUNTIF($A$20:A868,A868)</f>
        <v>1</v>
      </c>
      <c r="AG868" s="38">
        <v>26162316</v>
      </c>
      <c r="AH868" s="38">
        <f>Tabla4[[#This Row],[VALOR CONTRAPARTIDA]]+Tabla4[[#This Row],[TOTAL APORTES ICBF]]</f>
        <v>26685562.32</v>
      </c>
      <c r="AI868" s="35">
        <f>ROUND(+IF(Tabla4[[#This Row],[AGRUPACIONES]]=1,SUMIFS(Tabla4[TOTAL APORTES ICBF],Tabla4[ZONA DEFINITIVO],Tabla4[[#This Row],[ZONA DEFINITIVO]])," "),0)</f>
        <v>865653029</v>
      </c>
      <c r="AJ868" s="38">
        <f>ROUND(+IF(Tabla4[[#This Row],[AGRUPACIONES]]=1,SUMIFS(Tabla4[VALOR CONTRAPARTIDA],Tabla4[ZONA DEFINITIVO],Tabla4[[#This Row],[ZONA DEFINITIVO]])," "),0)</f>
        <v>17313061</v>
      </c>
      <c r="AK868" s="38">
        <f>Tabla4[[#This Row],[TOTAL APORTES ICBF AGRUPADO]]+Tabla4[[#This Row],[TOTAL CONTRAPARTIDA AGRUPADO]]</f>
        <v>882966090</v>
      </c>
      <c r="AL868" s="23">
        <f>Tabla4[[#This Row],[TOTAL APORTES ICBF AGRUPADO]]/$AL$18</f>
        <v>608.11593185809625</v>
      </c>
      <c r="AM868" s="35">
        <f>VLOOKUP(Tabla4[[#This Row],[SERVICIO 2025]],$J$2:$V$14,5,0)*Tabla4[[#This Row],[TOTAL COBERTURA]]</f>
        <v>592512</v>
      </c>
      <c r="AN868" s="35">
        <f>VLOOKUP(Tabla4[[#This Row],[SERVICIO 2025]],$J$2:$V$14,6,0)*Tabla4[[#This Row],[TOTAL COBERTURA]]</f>
        <v>492348</v>
      </c>
      <c r="AO868" s="35">
        <f>VLOOKUP(Tabla4[[#This Row],[SERVICIO 2025]],$J$2:$V$14,8,0)*Tabla4[[#This Row],[TOTAL COBERTURA]]</f>
        <v>349200</v>
      </c>
      <c r="AP868" s="35">
        <f>VLOOKUP(Tabla4[[#This Row],[SERVICIO 2025]],$J$2:$V$14,3,0)*Tabla4[[#This Row],[TOTAL COBERTURA]]*8</f>
        <v>24728256</v>
      </c>
      <c r="AQ868" s="35"/>
      <c r="AR868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868" s="35">
        <f>+IF(Tabla4[[#This Row],[AGRUPACIONES]]=1,SUMIFS(Tabla4[VALOR TOTAL],Tabla4[ZONA DEFINITIVO],Tabla4[[#This Row],[ZONA DEFINITIVO]])," ")</f>
        <v>865653029</v>
      </c>
      <c r="AT868" s="27">
        <f>(VLOOKUP(Tabla4[[#This Row],[SERVICIO 2025]],$J$2:$V$14,3,0)*Tabla4[[#This Row],[TOTAL COBERTURA]])+Tabla4[[#This Row],[VALOR FASE PREPARATORIA DE ALISTAMIENTO]]+Tabla4[[#This Row],[DOTACIÓN ÚNICA]]</f>
        <v>4032744</v>
      </c>
      <c r="AU868" s="35">
        <f>(VLOOKUP(Tabla4[[#This Row],[SERVICIO 2025]],$J$2:$V$14,3,0)*Tabla4[[#This Row],[TOTAL COBERTURA]])</f>
        <v>3091032</v>
      </c>
      <c r="AV868" s="35">
        <f>(VLOOKUP(Tabla4[[#This Row],[SERVICIO 2025]],$J$2:$V$14,3,0)*Tabla4[[#This Row],[TOTAL COBERTURA]])</f>
        <v>3091032</v>
      </c>
      <c r="AW868" s="35">
        <f>(VLOOKUP(Tabla4[[#This Row],[SERVICIO 2025]],$J$2:$V$14,3,0)*Tabla4[[#This Row],[TOTAL COBERTURA]])</f>
        <v>3091032</v>
      </c>
      <c r="AX868" s="35">
        <f>(VLOOKUP(Tabla4[[#This Row],[SERVICIO 2025]],$J$2:$V$14,3,0)*Tabla4[[#This Row],[TOTAL COBERTURA]])</f>
        <v>3091032</v>
      </c>
      <c r="AY868" s="35">
        <f>(VLOOKUP(Tabla4[[#This Row],[SERVICIO 2025]],$J$2:$V$14,3,0)*Tabla4[[#This Row],[TOTAL COBERTURA]])</f>
        <v>3091032</v>
      </c>
      <c r="AZ868" s="35">
        <f>(VLOOKUP(Tabla4[[#This Row],[SERVICIO 2025]],$J$2:$V$14,3,0)*Tabla4[[#This Row],[TOTAL COBERTURA]])</f>
        <v>3091032</v>
      </c>
      <c r="BA868" s="35">
        <f>(VLOOKUP(Tabla4[[#This Row],[SERVICIO 2025]],$J$2:$V$14,3,0)*Tabla4[[#This Row],[TOTAL COBERTURA]])+Tabla4[[#This Row],[VALOR FASE PREPARATORIA DE CIERRE]]</f>
        <v>3583380</v>
      </c>
      <c r="BB868" s="35">
        <f>SUM(Tabla4[[#This Row],[DESEMBOLSO 1]:[DESEMBOLSO 8]])</f>
        <v>26162316</v>
      </c>
      <c r="BC868" s="35">
        <f>VLOOKUP(Tabla4[[#This Row],[SERVICIO 2025]],$J$2:$V$14,10,0)*Tabla4[[#This Row],[TOTAL COBERTURA]]*$W$3</f>
        <v>17316768</v>
      </c>
      <c r="BD868" s="47" t="s">
        <v>211</v>
      </c>
      <c r="BE868" s="12" t="b">
        <f>EXACT(Tabla4[[#This Row],[VALOR ATENCIÓN (8 MESES)]],Tabla4[[#This Row],[VALOR TOTAL]])</f>
        <v>1</v>
      </c>
      <c r="BF868" s="23">
        <f>Tabla4[[#This Row],[VALOR ATENCIÓN (8 MESES)]]-Tabla4[[#This Row],[VALOR TOTAL]]</f>
        <v>0</v>
      </c>
      <c r="BG868" s="12" t="b">
        <f>EXACT(Tabla4[[#This Row],[TOTAL DESEMBOLSOS]],Tabla4[[#This Row],[VALOR ATENCIÓN (8 MESES)]])</f>
        <v>1</v>
      </c>
      <c r="BH868" s="29">
        <f>Tabla4[[#This Row],[TOTAL DESEMBOLSOS]]-Tabla4[[#This Row],[VALOR ATENCIÓN (8 MESES)]]</f>
        <v>0</v>
      </c>
      <c r="BI868" t="s">
        <v>98</v>
      </c>
      <c r="BJ868">
        <v>1976</v>
      </c>
    </row>
    <row r="869" spans="1:62">
      <c r="A869" s="13">
        <v>1976</v>
      </c>
      <c r="B869" s="13" t="s">
        <v>1924</v>
      </c>
      <c r="C869" s="12" t="s">
        <v>87</v>
      </c>
      <c r="D869" s="12" t="s">
        <v>579</v>
      </c>
      <c r="E869" s="12" t="s">
        <v>1925</v>
      </c>
      <c r="F869" s="12" t="s">
        <v>18</v>
      </c>
      <c r="G869" s="12" t="s">
        <v>90</v>
      </c>
      <c r="H869" s="12" t="s">
        <v>1930</v>
      </c>
      <c r="I869" s="12">
        <v>55431115843</v>
      </c>
      <c r="J869" s="12" t="s">
        <v>1931</v>
      </c>
      <c r="K869" s="12">
        <v>1</v>
      </c>
      <c r="L869" s="12">
        <v>14</v>
      </c>
      <c r="M869" s="12"/>
      <c r="N869" s="13">
        <v>1976</v>
      </c>
      <c r="O869" s="12" t="s">
        <v>93</v>
      </c>
      <c r="P869" s="12"/>
      <c r="Q869" s="12"/>
      <c r="R869" s="12" t="s">
        <v>94</v>
      </c>
      <c r="S869" s="12">
        <v>10</v>
      </c>
      <c r="T869" s="12" t="s">
        <v>1928</v>
      </c>
      <c r="U869" s="12" t="s">
        <v>1929</v>
      </c>
      <c r="V869" s="12">
        <f>VLOOKUP(Tabla4[[#This Row],[ZONA DEFINITIVO]],Hoja1!$A$1:$D$121,3,0)</f>
        <v>229133</v>
      </c>
      <c r="W869" s="12">
        <f>VLOOKUP(Tabla4[[#This Row],[ZONA DEFINITIVO]],Hoja1!$A$1:$D$121,2,0)</f>
        <v>15209</v>
      </c>
      <c r="X869" s="12">
        <f>VLOOKUP(Tabla4[[#This Row],[ZONA DEFINITIVO]],Hoja1!$A$1:$D$121,4,0)</f>
        <v>92325</v>
      </c>
      <c r="Y869" s="12" t="str">
        <f>+IF(Tabla4[[#This Row],[AGRUPACIONES]]=1,SUMIFS(Tabla4[UDS],Tabla4[ZONA DEFINITIVO],Tabla4[[#This Row],[ZONA DEFINITIVO]])," ")</f>
        <v xml:space="preserve"> </v>
      </c>
      <c r="Z869" s="12" t="str">
        <f>+IF(Tabla4[[#This Row],[AGRUPACIONES]]=1,SUMIFS(Tabla4[TOTAL COBERTURA],Tabla4[ZONA DEFINITIVO],Tabla4[[#This Row],[ZONA DEFINITIVO]])," ")</f>
        <v xml:space="preserve"> </v>
      </c>
      <c r="AA869" s="12"/>
      <c r="AB869" s="38">
        <v>30522702</v>
      </c>
      <c r="AC869" s="37">
        <v>0.02</v>
      </c>
      <c r="AD869" s="38">
        <f t="shared" si="14"/>
        <v>610454.04</v>
      </c>
      <c r="AE869" s="12"/>
      <c r="AF869" s="12">
        <f>COUNTIF($A$20:A869,A869)</f>
        <v>2</v>
      </c>
      <c r="AG869" s="38">
        <v>30522702</v>
      </c>
      <c r="AH869" s="38">
        <f>Tabla4[[#This Row],[VALOR CONTRAPARTIDA]]+Tabla4[[#This Row],[TOTAL APORTES ICBF]]</f>
        <v>31133156.039999999</v>
      </c>
      <c r="AI869" s="35"/>
      <c r="AJ869" s="38"/>
      <c r="AK869" s="38"/>
      <c r="AL869" s="23"/>
      <c r="AM869" s="35">
        <f>VLOOKUP(Tabla4[[#This Row],[SERVICIO 2025]],$J$2:$V$14,5,0)*Tabla4[[#This Row],[TOTAL COBERTURA]]</f>
        <v>691264</v>
      </c>
      <c r="AN869" s="35">
        <f>VLOOKUP(Tabla4[[#This Row],[SERVICIO 2025]],$J$2:$V$14,6,0)*Tabla4[[#This Row],[TOTAL COBERTURA]]</f>
        <v>574406</v>
      </c>
      <c r="AO869" s="35">
        <f>VLOOKUP(Tabla4[[#This Row],[SERVICIO 2025]],$J$2:$V$14,8,0)*Tabla4[[#This Row],[TOTAL COBERTURA]]</f>
        <v>407400</v>
      </c>
      <c r="AP869" s="35">
        <f>VLOOKUP(Tabla4[[#This Row],[SERVICIO 2025]],$J$2:$V$14,3,0)*Tabla4[[#This Row],[TOTAL COBERTURA]]*8</f>
        <v>28849632</v>
      </c>
      <c r="AQ869" s="35"/>
      <c r="AR869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869" s="35" t="str">
        <f>+IF(Tabla4[[#This Row],[AGRUPACIONES]]=1,SUMIFS(Tabla4[VALOR TOTAL],Tabla4[ZONA DEFINITIVO],Tabla4[[#This Row],[ZONA DEFINITIVO]])," ")</f>
        <v xml:space="preserve"> </v>
      </c>
      <c r="AT869" s="27">
        <f>(VLOOKUP(Tabla4[[#This Row],[SERVICIO 2025]],$J$2:$V$14,3,0)*Tabla4[[#This Row],[TOTAL COBERTURA]])+Tabla4[[#This Row],[VALOR FASE PREPARATORIA DE ALISTAMIENTO]]+Tabla4[[#This Row],[DOTACIÓN ÚNICA]]</f>
        <v>4704868</v>
      </c>
      <c r="AU869" s="35">
        <f>(VLOOKUP(Tabla4[[#This Row],[SERVICIO 2025]],$J$2:$V$14,3,0)*Tabla4[[#This Row],[TOTAL COBERTURA]])</f>
        <v>3606204</v>
      </c>
      <c r="AV869" s="35">
        <f>(VLOOKUP(Tabla4[[#This Row],[SERVICIO 2025]],$J$2:$V$14,3,0)*Tabla4[[#This Row],[TOTAL COBERTURA]])</f>
        <v>3606204</v>
      </c>
      <c r="AW869" s="35">
        <f>(VLOOKUP(Tabla4[[#This Row],[SERVICIO 2025]],$J$2:$V$14,3,0)*Tabla4[[#This Row],[TOTAL COBERTURA]])</f>
        <v>3606204</v>
      </c>
      <c r="AX869" s="35">
        <f>(VLOOKUP(Tabla4[[#This Row],[SERVICIO 2025]],$J$2:$V$14,3,0)*Tabla4[[#This Row],[TOTAL COBERTURA]])</f>
        <v>3606204</v>
      </c>
      <c r="AY869" s="35">
        <f>(VLOOKUP(Tabla4[[#This Row],[SERVICIO 2025]],$J$2:$V$14,3,0)*Tabla4[[#This Row],[TOTAL COBERTURA]])</f>
        <v>3606204</v>
      </c>
      <c r="AZ869" s="35">
        <f>(VLOOKUP(Tabla4[[#This Row],[SERVICIO 2025]],$J$2:$V$14,3,0)*Tabla4[[#This Row],[TOTAL COBERTURA]])</f>
        <v>3606204</v>
      </c>
      <c r="BA869" s="35">
        <f>(VLOOKUP(Tabla4[[#This Row],[SERVICIO 2025]],$J$2:$V$14,3,0)*Tabla4[[#This Row],[TOTAL COBERTURA]])+Tabla4[[#This Row],[VALOR FASE PREPARATORIA DE CIERRE]]</f>
        <v>4180610</v>
      </c>
      <c r="BB869" s="35">
        <f>SUM(Tabla4[[#This Row],[DESEMBOLSO 1]:[DESEMBOLSO 8]])</f>
        <v>30522702</v>
      </c>
      <c r="BC869" s="35">
        <f>VLOOKUP(Tabla4[[#This Row],[SERVICIO 2025]],$J$2:$V$14,10,0)*Tabla4[[#This Row],[TOTAL COBERTURA]]*$W$3</f>
        <v>20202896</v>
      </c>
      <c r="BD869" s="47" t="s">
        <v>211</v>
      </c>
      <c r="BE869" s="12" t="b">
        <f>EXACT(Tabla4[[#This Row],[VALOR ATENCIÓN (8 MESES)]],Tabla4[[#This Row],[VALOR TOTAL]])</f>
        <v>1</v>
      </c>
      <c r="BF869" s="23">
        <f>Tabla4[[#This Row],[VALOR ATENCIÓN (8 MESES)]]-Tabla4[[#This Row],[VALOR TOTAL]]</f>
        <v>0</v>
      </c>
      <c r="BG869" s="12" t="b">
        <f>EXACT(Tabla4[[#This Row],[TOTAL DESEMBOLSOS]],Tabla4[[#This Row],[VALOR ATENCIÓN (8 MESES)]])</f>
        <v>1</v>
      </c>
      <c r="BH869" s="29">
        <f>Tabla4[[#This Row],[TOTAL DESEMBOLSOS]]-Tabla4[[#This Row],[VALOR ATENCIÓN (8 MESES)]]</f>
        <v>0</v>
      </c>
      <c r="BI869" t="s">
        <v>98</v>
      </c>
      <c r="BJ869">
        <v>1976</v>
      </c>
    </row>
    <row r="870" spans="1:62">
      <c r="A870" s="13">
        <v>1976</v>
      </c>
      <c r="B870" s="13" t="s">
        <v>1924</v>
      </c>
      <c r="C870" s="12" t="s">
        <v>87</v>
      </c>
      <c r="D870" s="12" t="s">
        <v>579</v>
      </c>
      <c r="E870" s="12" t="s">
        <v>1925</v>
      </c>
      <c r="F870" s="12" t="s">
        <v>18</v>
      </c>
      <c r="G870" s="12" t="s">
        <v>90</v>
      </c>
      <c r="H870" s="12" t="s">
        <v>1932</v>
      </c>
      <c r="I870" s="12">
        <v>55431115844</v>
      </c>
      <c r="J870" s="12" t="s">
        <v>1933</v>
      </c>
      <c r="K870" s="12">
        <v>1</v>
      </c>
      <c r="L870" s="12">
        <v>14</v>
      </c>
      <c r="M870" s="12"/>
      <c r="N870" s="13">
        <v>1976</v>
      </c>
      <c r="O870" s="12" t="s">
        <v>93</v>
      </c>
      <c r="P870" s="12"/>
      <c r="Q870" s="12"/>
      <c r="R870" s="12" t="s">
        <v>94</v>
      </c>
      <c r="S870" s="12">
        <v>10</v>
      </c>
      <c r="T870" s="12" t="s">
        <v>1928</v>
      </c>
      <c r="U870" s="12" t="s">
        <v>1929</v>
      </c>
      <c r="V870" s="12">
        <f>VLOOKUP(Tabla4[[#This Row],[ZONA DEFINITIVO]],Hoja1!$A$1:$D$121,3,0)</f>
        <v>229133</v>
      </c>
      <c r="W870" s="12">
        <f>VLOOKUP(Tabla4[[#This Row],[ZONA DEFINITIVO]],Hoja1!$A$1:$D$121,2,0)</f>
        <v>15209</v>
      </c>
      <c r="X870" s="12">
        <f>VLOOKUP(Tabla4[[#This Row],[ZONA DEFINITIVO]],Hoja1!$A$1:$D$121,4,0)</f>
        <v>92325</v>
      </c>
      <c r="Y870" s="12" t="str">
        <f>+IF(Tabla4[[#This Row],[AGRUPACIONES]]=1,SUMIFS(Tabla4[UDS],Tabla4[ZONA DEFINITIVO],Tabla4[[#This Row],[ZONA DEFINITIVO]])," ")</f>
        <v xml:space="preserve"> </v>
      </c>
      <c r="Z870" s="12" t="str">
        <f>+IF(Tabla4[[#This Row],[AGRUPACIONES]]=1,SUMIFS(Tabla4[TOTAL COBERTURA],Tabla4[ZONA DEFINITIVO],Tabla4[[#This Row],[ZONA DEFINITIVO]])," ")</f>
        <v xml:space="preserve"> </v>
      </c>
      <c r="AA870" s="12"/>
      <c r="AB870" s="38">
        <v>30522702</v>
      </c>
      <c r="AC870" s="37">
        <v>0.02</v>
      </c>
      <c r="AD870" s="38">
        <f t="shared" si="14"/>
        <v>610454.04</v>
      </c>
      <c r="AE870" s="12"/>
      <c r="AF870" s="12">
        <f>COUNTIF($A$20:A870,A870)</f>
        <v>3</v>
      </c>
      <c r="AG870" s="38">
        <v>30522702</v>
      </c>
      <c r="AH870" s="38">
        <f>Tabla4[[#This Row],[VALOR CONTRAPARTIDA]]+Tabla4[[#This Row],[TOTAL APORTES ICBF]]</f>
        <v>31133156.039999999</v>
      </c>
      <c r="AI870" s="35"/>
      <c r="AJ870" s="38"/>
      <c r="AK870" s="38"/>
      <c r="AL870" s="23"/>
      <c r="AM870" s="35">
        <f>VLOOKUP(Tabla4[[#This Row],[SERVICIO 2025]],$J$2:$V$14,5,0)*Tabla4[[#This Row],[TOTAL COBERTURA]]</f>
        <v>691264</v>
      </c>
      <c r="AN870" s="35">
        <f>VLOOKUP(Tabla4[[#This Row],[SERVICIO 2025]],$J$2:$V$14,6,0)*Tabla4[[#This Row],[TOTAL COBERTURA]]</f>
        <v>574406</v>
      </c>
      <c r="AO870" s="35">
        <f>VLOOKUP(Tabla4[[#This Row],[SERVICIO 2025]],$J$2:$V$14,8,0)*Tabla4[[#This Row],[TOTAL COBERTURA]]</f>
        <v>407400</v>
      </c>
      <c r="AP870" s="35">
        <f>VLOOKUP(Tabla4[[#This Row],[SERVICIO 2025]],$J$2:$V$14,3,0)*Tabla4[[#This Row],[TOTAL COBERTURA]]*8</f>
        <v>28849632</v>
      </c>
      <c r="AQ870" s="35"/>
      <c r="AR870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870" s="35" t="str">
        <f>+IF(Tabla4[[#This Row],[AGRUPACIONES]]=1,SUMIFS(Tabla4[VALOR TOTAL],Tabla4[ZONA DEFINITIVO],Tabla4[[#This Row],[ZONA DEFINITIVO]])," ")</f>
        <v xml:space="preserve"> </v>
      </c>
      <c r="AT870" s="27">
        <f>(VLOOKUP(Tabla4[[#This Row],[SERVICIO 2025]],$J$2:$V$14,3,0)*Tabla4[[#This Row],[TOTAL COBERTURA]])+Tabla4[[#This Row],[VALOR FASE PREPARATORIA DE ALISTAMIENTO]]+Tabla4[[#This Row],[DOTACIÓN ÚNICA]]</f>
        <v>4704868</v>
      </c>
      <c r="AU870" s="35">
        <f>(VLOOKUP(Tabla4[[#This Row],[SERVICIO 2025]],$J$2:$V$14,3,0)*Tabla4[[#This Row],[TOTAL COBERTURA]])</f>
        <v>3606204</v>
      </c>
      <c r="AV870" s="35">
        <f>(VLOOKUP(Tabla4[[#This Row],[SERVICIO 2025]],$J$2:$V$14,3,0)*Tabla4[[#This Row],[TOTAL COBERTURA]])</f>
        <v>3606204</v>
      </c>
      <c r="AW870" s="35">
        <f>(VLOOKUP(Tabla4[[#This Row],[SERVICIO 2025]],$J$2:$V$14,3,0)*Tabla4[[#This Row],[TOTAL COBERTURA]])</f>
        <v>3606204</v>
      </c>
      <c r="AX870" s="35">
        <f>(VLOOKUP(Tabla4[[#This Row],[SERVICIO 2025]],$J$2:$V$14,3,0)*Tabla4[[#This Row],[TOTAL COBERTURA]])</f>
        <v>3606204</v>
      </c>
      <c r="AY870" s="35">
        <f>(VLOOKUP(Tabla4[[#This Row],[SERVICIO 2025]],$J$2:$V$14,3,0)*Tabla4[[#This Row],[TOTAL COBERTURA]])</f>
        <v>3606204</v>
      </c>
      <c r="AZ870" s="35">
        <f>(VLOOKUP(Tabla4[[#This Row],[SERVICIO 2025]],$J$2:$V$14,3,0)*Tabla4[[#This Row],[TOTAL COBERTURA]])</f>
        <v>3606204</v>
      </c>
      <c r="BA870" s="35">
        <f>(VLOOKUP(Tabla4[[#This Row],[SERVICIO 2025]],$J$2:$V$14,3,0)*Tabla4[[#This Row],[TOTAL COBERTURA]])+Tabla4[[#This Row],[VALOR FASE PREPARATORIA DE CIERRE]]</f>
        <v>4180610</v>
      </c>
      <c r="BB870" s="35">
        <f>SUM(Tabla4[[#This Row],[DESEMBOLSO 1]:[DESEMBOLSO 8]])</f>
        <v>30522702</v>
      </c>
      <c r="BC870" s="35">
        <f>VLOOKUP(Tabla4[[#This Row],[SERVICIO 2025]],$J$2:$V$14,10,0)*Tabla4[[#This Row],[TOTAL COBERTURA]]*$W$3</f>
        <v>20202896</v>
      </c>
      <c r="BD870" s="47" t="s">
        <v>211</v>
      </c>
      <c r="BE870" s="12" t="b">
        <f>EXACT(Tabla4[[#This Row],[VALOR ATENCIÓN (8 MESES)]],Tabla4[[#This Row],[VALOR TOTAL]])</f>
        <v>1</v>
      </c>
      <c r="BF870" s="23">
        <f>Tabla4[[#This Row],[VALOR ATENCIÓN (8 MESES)]]-Tabla4[[#This Row],[VALOR TOTAL]]</f>
        <v>0</v>
      </c>
      <c r="BG870" s="12" t="b">
        <f>EXACT(Tabla4[[#This Row],[TOTAL DESEMBOLSOS]],Tabla4[[#This Row],[VALOR ATENCIÓN (8 MESES)]])</f>
        <v>1</v>
      </c>
      <c r="BH870" s="29">
        <f>Tabla4[[#This Row],[TOTAL DESEMBOLSOS]]-Tabla4[[#This Row],[VALOR ATENCIÓN (8 MESES)]]</f>
        <v>0</v>
      </c>
      <c r="BI870" t="s">
        <v>98</v>
      </c>
      <c r="BJ870">
        <v>1976</v>
      </c>
    </row>
    <row r="871" spans="1:62">
      <c r="A871" s="13">
        <v>1976</v>
      </c>
      <c r="B871" s="13" t="s">
        <v>1924</v>
      </c>
      <c r="C871" s="12" t="s">
        <v>87</v>
      </c>
      <c r="D871" s="12" t="s">
        <v>579</v>
      </c>
      <c r="E871" s="12" t="s">
        <v>1925</v>
      </c>
      <c r="F871" s="12" t="s">
        <v>18</v>
      </c>
      <c r="G871" s="12" t="s">
        <v>90</v>
      </c>
      <c r="H871" s="12" t="s">
        <v>1934</v>
      </c>
      <c r="I871" s="12">
        <v>55431137352</v>
      </c>
      <c r="J871" s="12" t="s">
        <v>1935</v>
      </c>
      <c r="K871" s="12">
        <v>1</v>
      </c>
      <c r="L871" s="12">
        <v>4</v>
      </c>
      <c r="M871" s="12"/>
      <c r="N871" s="13">
        <v>1976</v>
      </c>
      <c r="O871" s="12" t="s">
        <v>93</v>
      </c>
      <c r="P871" s="12"/>
      <c r="Q871" s="12"/>
      <c r="R871" s="12" t="s">
        <v>94</v>
      </c>
      <c r="S871" s="12">
        <v>10</v>
      </c>
      <c r="T871" s="12" t="s">
        <v>1928</v>
      </c>
      <c r="U871" s="12" t="s">
        <v>1929</v>
      </c>
      <c r="V871" s="12">
        <f>VLOOKUP(Tabla4[[#This Row],[ZONA DEFINITIVO]],Hoja1!$A$1:$D$121,3,0)</f>
        <v>229133</v>
      </c>
      <c r="W871" s="12">
        <f>VLOOKUP(Tabla4[[#This Row],[ZONA DEFINITIVO]],Hoja1!$A$1:$D$121,2,0)</f>
        <v>15209</v>
      </c>
      <c r="X871" s="12">
        <f>VLOOKUP(Tabla4[[#This Row],[ZONA DEFINITIVO]],Hoja1!$A$1:$D$121,4,0)</f>
        <v>92325</v>
      </c>
      <c r="Y871" s="12" t="str">
        <f>+IF(Tabla4[[#This Row],[AGRUPACIONES]]=1,SUMIFS(Tabla4[UDS],Tabla4[ZONA DEFINITIVO],Tabla4[[#This Row],[ZONA DEFINITIVO]])," ")</f>
        <v xml:space="preserve"> </v>
      </c>
      <c r="Z871" s="12" t="str">
        <f>+IF(Tabla4[[#This Row],[AGRUPACIONES]]=1,SUMIFS(Tabla4[TOTAL COBERTURA],Tabla4[ZONA DEFINITIVO],Tabla4[[#This Row],[ZONA DEFINITIVO]])," ")</f>
        <v xml:space="preserve"> </v>
      </c>
      <c r="AA871" s="12"/>
      <c r="AB871" s="38">
        <v>8720772</v>
      </c>
      <c r="AC871" s="37">
        <v>0.02</v>
      </c>
      <c r="AD871" s="38">
        <f t="shared" si="14"/>
        <v>174415.44</v>
      </c>
      <c r="AE871" s="12"/>
      <c r="AF871" s="12">
        <f>COUNTIF($A$20:A871,A871)</f>
        <v>4</v>
      </c>
      <c r="AG871" s="38">
        <v>8720772</v>
      </c>
      <c r="AH871" s="38">
        <f>Tabla4[[#This Row],[VALOR CONTRAPARTIDA]]+Tabla4[[#This Row],[TOTAL APORTES ICBF]]</f>
        <v>8895187.4399999995</v>
      </c>
      <c r="AI871" s="35"/>
      <c r="AJ871" s="38"/>
      <c r="AK871" s="38"/>
      <c r="AL871" s="23"/>
      <c r="AM871" s="35">
        <f>VLOOKUP(Tabla4[[#This Row],[SERVICIO 2025]],$J$2:$V$14,5,0)*Tabla4[[#This Row],[TOTAL COBERTURA]]</f>
        <v>197504</v>
      </c>
      <c r="AN871" s="35">
        <f>VLOOKUP(Tabla4[[#This Row],[SERVICIO 2025]],$J$2:$V$14,6,0)*Tabla4[[#This Row],[TOTAL COBERTURA]]</f>
        <v>164116</v>
      </c>
      <c r="AO871" s="35">
        <f>VLOOKUP(Tabla4[[#This Row],[SERVICIO 2025]],$J$2:$V$14,8,0)*Tabla4[[#This Row],[TOTAL COBERTURA]]</f>
        <v>116400</v>
      </c>
      <c r="AP871" s="35">
        <f>VLOOKUP(Tabla4[[#This Row],[SERVICIO 2025]],$J$2:$V$14,3,0)*Tabla4[[#This Row],[TOTAL COBERTURA]]*8</f>
        <v>8242752</v>
      </c>
      <c r="AQ871" s="35"/>
      <c r="AR871" s="35">
        <f>Tabla4[[#This Row],[VALOR FASE PREPARATORIA DE ALISTAMIENTO]]+Tabla4[[#This Row],[VALOR FASE PREPARATORIA DE CIERRE]]+Tabla4[[#This Row],[DOTACIÓN ÚNICA]]+Tabla4[[#This Row],[VALOR ATENCIÓN]]+Tabla4[[#This Row],[VALOR RACION PREPARADA]]</f>
        <v>8720772</v>
      </c>
      <c r="AS871" s="35" t="str">
        <f>+IF(Tabla4[[#This Row],[AGRUPACIONES]]=1,SUMIFS(Tabla4[VALOR TOTAL],Tabla4[ZONA DEFINITIVO],Tabla4[[#This Row],[ZONA DEFINITIVO]])," ")</f>
        <v xml:space="preserve"> </v>
      </c>
      <c r="AT871" s="27">
        <f>(VLOOKUP(Tabla4[[#This Row],[SERVICIO 2025]],$J$2:$V$14,3,0)*Tabla4[[#This Row],[TOTAL COBERTURA]])+Tabla4[[#This Row],[VALOR FASE PREPARATORIA DE ALISTAMIENTO]]+Tabla4[[#This Row],[DOTACIÓN ÚNICA]]</f>
        <v>1344248</v>
      </c>
      <c r="AU871" s="35">
        <f>(VLOOKUP(Tabla4[[#This Row],[SERVICIO 2025]],$J$2:$V$14,3,0)*Tabla4[[#This Row],[TOTAL COBERTURA]])</f>
        <v>1030344</v>
      </c>
      <c r="AV871" s="35">
        <f>(VLOOKUP(Tabla4[[#This Row],[SERVICIO 2025]],$J$2:$V$14,3,0)*Tabla4[[#This Row],[TOTAL COBERTURA]])</f>
        <v>1030344</v>
      </c>
      <c r="AW871" s="35">
        <f>(VLOOKUP(Tabla4[[#This Row],[SERVICIO 2025]],$J$2:$V$14,3,0)*Tabla4[[#This Row],[TOTAL COBERTURA]])</f>
        <v>1030344</v>
      </c>
      <c r="AX871" s="35">
        <f>(VLOOKUP(Tabla4[[#This Row],[SERVICIO 2025]],$J$2:$V$14,3,0)*Tabla4[[#This Row],[TOTAL COBERTURA]])</f>
        <v>1030344</v>
      </c>
      <c r="AY871" s="35">
        <f>(VLOOKUP(Tabla4[[#This Row],[SERVICIO 2025]],$J$2:$V$14,3,0)*Tabla4[[#This Row],[TOTAL COBERTURA]])</f>
        <v>1030344</v>
      </c>
      <c r="AZ871" s="35">
        <f>(VLOOKUP(Tabla4[[#This Row],[SERVICIO 2025]],$J$2:$V$14,3,0)*Tabla4[[#This Row],[TOTAL COBERTURA]])</f>
        <v>1030344</v>
      </c>
      <c r="BA871" s="35">
        <f>(VLOOKUP(Tabla4[[#This Row],[SERVICIO 2025]],$J$2:$V$14,3,0)*Tabla4[[#This Row],[TOTAL COBERTURA]])+Tabla4[[#This Row],[VALOR FASE PREPARATORIA DE CIERRE]]</f>
        <v>1194460</v>
      </c>
      <c r="BB871" s="35">
        <f>SUM(Tabla4[[#This Row],[DESEMBOLSO 1]:[DESEMBOLSO 8]])</f>
        <v>8720772</v>
      </c>
      <c r="BC871" s="35">
        <f>VLOOKUP(Tabla4[[#This Row],[SERVICIO 2025]],$J$2:$V$14,10,0)*Tabla4[[#This Row],[TOTAL COBERTURA]]*$W$3</f>
        <v>5772256</v>
      </c>
      <c r="BD871" s="47" t="s">
        <v>211</v>
      </c>
      <c r="BE871" s="12" t="b">
        <f>EXACT(Tabla4[[#This Row],[VALOR ATENCIÓN (8 MESES)]],Tabla4[[#This Row],[VALOR TOTAL]])</f>
        <v>1</v>
      </c>
      <c r="BF871" s="23">
        <f>Tabla4[[#This Row],[VALOR ATENCIÓN (8 MESES)]]-Tabla4[[#This Row],[VALOR TOTAL]]</f>
        <v>0</v>
      </c>
      <c r="BG871" s="12" t="b">
        <f>EXACT(Tabla4[[#This Row],[TOTAL DESEMBOLSOS]],Tabla4[[#This Row],[VALOR ATENCIÓN (8 MESES)]])</f>
        <v>1</v>
      </c>
      <c r="BH871" s="29">
        <f>Tabla4[[#This Row],[TOTAL DESEMBOLSOS]]-Tabla4[[#This Row],[VALOR ATENCIÓN (8 MESES)]]</f>
        <v>0</v>
      </c>
      <c r="BI871" t="s">
        <v>98</v>
      </c>
      <c r="BJ871">
        <v>1976</v>
      </c>
    </row>
    <row r="872" spans="1:62">
      <c r="A872" s="13">
        <v>1976</v>
      </c>
      <c r="B872" s="13" t="s">
        <v>1924</v>
      </c>
      <c r="C872" s="12" t="s">
        <v>87</v>
      </c>
      <c r="D872" s="12" t="s">
        <v>579</v>
      </c>
      <c r="E872" s="12" t="s">
        <v>1925</v>
      </c>
      <c r="F872" s="12" t="s">
        <v>18</v>
      </c>
      <c r="G872" s="12" t="s">
        <v>90</v>
      </c>
      <c r="H872" s="12" t="s">
        <v>1936</v>
      </c>
      <c r="I872" s="12">
        <v>55431137354</v>
      </c>
      <c r="J872" s="12" t="s">
        <v>1937</v>
      </c>
      <c r="K872" s="12">
        <v>1</v>
      </c>
      <c r="L872" s="12">
        <v>20</v>
      </c>
      <c r="M872" s="12"/>
      <c r="N872" s="13">
        <v>1976</v>
      </c>
      <c r="O872" s="12" t="s">
        <v>93</v>
      </c>
      <c r="P872" s="12"/>
      <c r="Q872" s="12"/>
      <c r="R872" s="12" t="s">
        <v>94</v>
      </c>
      <c r="S872" s="12">
        <v>10</v>
      </c>
      <c r="T872" s="12" t="s">
        <v>1928</v>
      </c>
      <c r="U872" s="12" t="s">
        <v>1929</v>
      </c>
      <c r="V872" s="12">
        <f>VLOOKUP(Tabla4[[#This Row],[ZONA DEFINITIVO]],Hoja1!$A$1:$D$121,3,0)</f>
        <v>229133</v>
      </c>
      <c r="W872" s="12">
        <f>VLOOKUP(Tabla4[[#This Row],[ZONA DEFINITIVO]],Hoja1!$A$1:$D$121,2,0)</f>
        <v>15209</v>
      </c>
      <c r="X872" s="12">
        <f>VLOOKUP(Tabla4[[#This Row],[ZONA DEFINITIVO]],Hoja1!$A$1:$D$121,4,0)</f>
        <v>92325</v>
      </c>
      <c r="Y872" s="12" t="str">
        <f>+IF(Tabla4[[#This Row],[AGRUPACIONES]]=1,SUMIFS(Tabla4[UDS],Tabla4[ZONA DEFINITIVO],Tabla4[[#This Row],[ZONA DEFINITIVO]])," ")</f>
        <v xml:space="preserve"> </v>
      </c>
      <c r="Z872" s="12" t="str">
        <f>+IF(Tabla4[[#This Row],[AGRUPACIONES]]=1,SUMIFS(Tabla4[TOTAL COBERTURA],Tabla4[ZONA DEFINITIVO],Tabla4[[#This Row],[ZONA DEFINITIVO]])," ")</f>
        <v xml:space="preserve"> </v>
      </c>
      <c r="AA872" s="12"/>
      <c r="AB872" s="38">
        <v>43603860</v>
      </c>
      <c r="AC872" s="37">
        <v>0.02</v>
      </c>
      <c r="AD872" s="38">
        <f t="shared" si="14"/>
        <v>872077.20000000007</v>
      </c>
      <c r="AE872" s="12"/>
      <c r="AF872" s="12">
        <f>COUNTIF($A$20:A872,A872)</f>
        <v>5</v>
      </c>
      <c r="AG872" s="38">
        <v>43603860</v>
      </c>
      <c r="AH872" s="38">
        <f>Tabla4[[#This Row],[VALOR CONTRAPARTIDA]]+Tabla4[[#This Row],[TOTAL APORTES ICBF]]</f>
        <v>44475937.200000003</v>
      </c>
      <c r="AI872" s="35"/>
      <c r="AJ872" s="38"/>
      <c r="AK872" s="38"/>
      <c r="AL872" s="23"/>
      <c r="AM872" s="35">
        <f>VLOOKUP(Tabla4[[#This Row],[SERVICIO 2025]],$J$2:$V$14,5,0)*Tabla4[[#This Row],[TOTAL COBERTURA]]</f>
        <v>987520</v>
      </c>
      <c r="AN872" s="35">
        <f>VLOOKUP(Tabla4[[#This Row],[SERVICIO 2025]],$J$2:$V$14,6,0)*Tabla4[[#This Row],[TOTAL COBERTURA]]</f>
        <v>820580</v>
      </c>
      <c r="AO872" s="35">
        <f>VLOOKUP(Tabla4[[#This Row],[SERVICIO 2025]],$J$2:$V$14,8,0)*Tabla4[[#This Row],[TOTAL COBERTURA]]</f>
        <v>582000</v>
      </c>
      <c r="AP872" s="35">
        <f>VLOOKUP(Tabla4[[#This Row],[SERVICIO 2025]],$J$2:$V$14,3,0)*Tabla4[[#This Row],[TOTAL COBERTURA]]*8</f>
        <v>41213760</v>
      </c>
      <c r="AQ872" s="35"/>
      <c r="AR872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872" s="35" t="str">
        <f>+IF(Tabla4[[#This Row],[AGRUPACIONES]]=1,SUMIFS(Tabla4[VALOR TOTAL],Tabla4[ZONA DEFINITIVO],Tabla4[[#This Row],[ZONA DEFINITIVO]])," ")</f>
        <v xml:space="preserve"> </v>
      </c>
      <c r="AT872" s="27">
        <f>(VLOOKUP(Tabla4[[#This Row],[SERVICIO 2025]],$J$2:$V$14,3,0)*Tabla4[[#This Row],[TOTAL COBERTURA]])+Tabla4[[#This Row],[VALOR FASE PREPARATORIA DE ALISTAMIENTO]]+Tabla4[[#This Row],[DOTACIÓN ÚNICA]]</f>
        <v>6721240</v>
      </c>
      <c r="AU872" s="35">
        <f>(VLOOKUP(Tabla4[[#This Row],[SERVICIO 2025]],$J$2:$V$14,3,0)*Tabla4[[#This Row],[TOTAL COBERTURA]])</f>
        <v>5151720</v>
      </c>
      <c r="AV872" s="35">
        <f>(VLOOKUP(Tabla4[[#This Row],[SERVICIO 2025]],$J$2:$V$14,3,0)*Tabla4[[#This Row],[TOTAL COBERTURA]])</f>
        <v>5151720</v>
      </c>
      <c r="AW872" s="35">
        <f>(VLOOKUP(Tabla4[[#This Row],[SERVICIO 2025]],$J$2:$V$14,3,0)*Tabla4[[#This Row],[TOTAL COBERTURA]])</f>
        <v>5151720</v>
      </c>
      <c r="AX872" s="35">
        <f>(VLOOKUP(Tabla4[[#This Row],[SERVICIO 2025]],$J$2:$V$14,3,0)*Tabla4[[#This Row],[TOTAL COBERTURA]])</f>
        <v>5151720</v>
      </c>
      <c r="AY872" s="35">
        <f>(VLOOKUP(Tabla4[[#This Row],[SERVICIO 2025]],$J$2:$V$14,3,0)*Tabla4[[#This Row],[TOTAL COBERTURA]])</f>
        <v>5151720</v>
      </c>
      <c r="AZ872" s="35">
        <f>(VLOOKUP(Tabla4[[#This Row],[SERVICIO 2025]],$J$2:$V$14,3,0)*Tabla4[[#This Row],[TOTAL COBERTURA]])</f>
        <v>5151720</v>
      </c>
      <c r="BA872" s="35">
        <f>(VLOOKUP(Tabla4[[#This Row],[SERVICIO 2025]],$J$2:$V$14,3,0)*Tabla4[[#This Row],[TOTAL COBERTURA]])+Tabla4[[#This Row],[VALOR FASE PREPARATORIA DE CIERRE]]</f>
        <v>5972300</v>
      </c>
      <c r="BB872" s="35">
        <f>SUM(Tabla4[[#This Row],[DESEMBOLSO 1]:[DESEMBOLSO 8]])</f>
        <v>43603860</v>
      </c>
      <c r="BC872" s="35">
        <f>VLOOKUP(Tabla4[[#This Row],[SERVICIO 2025]],$J$2:$V$14,10,0)*Tabla4[[#This Row],[TOTAL COBERTURA]]*$W$3</f>
        <v>28861280</v>
      </c>
      <c r="BD872" s="47" t="s">
        <v>211</v>
      </c>
      <c r="BE872" s="12" t="b">
        <f>EXACT(Tabla4[[#This Row],[VALOR ATENCIÓN (8 MESES)]],Tabla4[[#This Row],[VALOR TOTAL]])</f>
        <v>1</v>
      </c>
      <c r="BF872" s="23">
        <f>Tabla4[[#This Row],[VALOR ATENCIÓN (8 MESES)]]-Tabla4[[#This Row],[VALOR TOTAL]]</f>
        <v>0</v>
      </c>
      <c r="BG872" s="12" t="b">
        <f>EXACT(Tabla4[[#This Row],[TOTAL DESEMBOLSOS]],Tabla4[[#This Row],[VALOR ATENCIÓN (8 MESES)]])</f>
        <v>1</v>
      </c>
      <c r="BH872" s="29">
        <f>Tabla4[[#This Row],[TOTAL DESEMBOLSOS]]-Tabla4[[#This Row],[VALOR ATENCIÓN (8 MESES)]]</f>
        <v>0</v>
      </c>
      <c r="BI872" t="s">
        <v>98</v>
      </c>
      <c r="BJ872">
        <v>1976</v>
      </c>
    </row>
    <row r="873" spans="1:62">
      <c r="A873" s="13">
        <v>1976</v>
      </c>
      <c r="B873" s="13" t="s">
        <v>1924</v>
      </c>
      <c r="C873" s="12" t="s">
        <v>87</v>
      </c>
      <c r="D873" s="12" t="s">
        <v>579</v>
      </c>
      <c r="E873" s="12" t="s">
        <v>1925</v>
      </c>
      <c r="F873" s="12" t="s">
        <v>18</v>
      </c>
      <c r="G873" s="12" t="s">
        <v>90</v>
      </c>
      <c r="H873" s="12" t="s">
        <v>1938</v>
      </c>
      <c r="I873" s="12">
        <v>55431137357</v>
      </c>
      <c r="J873" s="12" t="s">
        <v>1939</v>
      </c>
      <c r="K873" s="12">
        <v>1</v>
      </c>
      <c r="L873" s="12">
        <v>51</v>
      </c>
      <c r="M873" s="12"/>
      <c r="N873" s="13">
        <v>1976</v>
      </c>
      <c r="O873" s="12" t="s">
        <v>93</v>
      </c>
      <c r="P873" s="12"/>
      <c r="Q873" s="12"/>
      <c r="R873" s="12" t="s">
        <v>94</v>
      </c>
      <c r="S873" s="12">
        <v>10</v>
      </c>
      <c r="T873" s="12" t="s">
        <v>1928</v>
      </c>
      <c r="U873" s="12" t="s">
        <v>1929</v>
      </c>
      <c r="V873" s="12">
        <f>VLOOKUP(Tabla4[[#This Row],[ZONA DEFINITIVO]],Hoja1!$A$1:$D$121,3,0)</f>
        <v>229133</v>
      </c>
      <c r="W873" s="12">
        <f>VLOOKUP(Tabla4[[#This Row],[ZONA DEFINITIVO]],Hoja1!$A$1:$D$121,2,0)</f>
        <v>15209</v>
      </c>
      <c r="X873" s="12">
        <f>VLOOKUP(Tabla4[[#This Row],[ZONA DEFINITIVO]],Hoja1!$A$1:$D$121,4,0)</f>
        <v>92325</v>
      </c>
      <c r="Y873" s="12" t="str">
        <f>+IF(Tabla4[[#This Row],[AGRUPACIONES]]=1,SUMIFS(Tabla4[UDS],Tabla4[ZONA DEFINITIVO],Tabla4[[#This Row],[ZONA DEFINITIVO]])," ")</f>
        <v xml:space="preserve"> </v>
      </c>
      <c r="Z873" s="12" t="str">
        <f>+IF(Tabla4[[#This Row],[AGRUPACIONES]]=1,SUMIFS(Tabla4[TOTAL COBERTURA],Tabla4[ZONA DEFINITIVO],Tabla4[[#This Row],[ZONA DEFINITIVO]])," ")</f>
        <v xml:space="preserve"> </v>
      </c>
      <c r="AA873" s="12"/>
      <c r="AB873" s="38">
        <v>111189843</v>
      </c>
      <c r="AC873" s="37">
        <v>0.02</v>
      </c>
      <c r="AD873" s="38">
        <f t="shared" si="14"/>
        <v>2223796.86</v>
      </c>
      <c r="AE873" s="12"/>
      <c r="AF873" s="12">
        <f>COUNTIF($A$20:A873,A873)</f>
        <v>6</v>
      </c>
      <c r="AG873" s="38">
        <v>111189843</v>
      </c>
      <c r="AH873" s="38">
        <f>Tabla4[[#This Row],[VALOR CONTRAPARTIDA]]+Tabla4[[#This Row],[TOTAL APORTES ICBF]]</f>
        <v>113413639.86</v>
      </c>
      <c r="AI873" s="35"/>
      <c r="AJ873" s="38"/>
      <c r="AK873" s="38"/>
      <c r="AL873" s="23"/>
      <c r="AM873" s="35">
        <f>VLOOKUP(Tabla4[[#This Row],[SERVICIO 2025]],$J$2:$V$14,5,0)*Tabla4[[#This Row],[TOTAL COBERTURA]]</f>
        <v>2518176</v>
      </c>
      <c r="AN873" s="35">
        <f>VLOOKUP(Tabla4[[#This Row],[SERVICIO 2025]],$J$2:$V$14,6,0)*Tabla4[[#This Row],[TOTAL COBERTURA]]</f>
        <v>2092479</v>
      </c>
      <c r="AO873" s="35">
        <f>VLOOKUP(Tabla4[[#This Row],[SERVICIO 2025]],$J$2:$V$14,8,0)*Tabla4[[#This Row],[TOTAL COBERTURA]]</f>
        <v>1484100</v>
      </c>
      <c r="AP873" s="35">
        <f>VLOOKUP(Tabla4[[#This Row],[SERVICIO 2025]],$J$2:$V$14,3,0)*Tabla4[[#This Row],[TOTAL COBERTURA]]*8</f>
        <v>105095088</v>
      </c>
      <c r="AQ873" s="35"/>
      <c r="AR873" s="35">
        <f>Tabla4[[#This Row],[VALOR FASE PREPARATORIA DE ALISTAMIENTO]]+Tabla4[[#This Row],[VALOR FASE PREPARATORIA DE CIERRE]]+Tabla4[[#This Row],[DOTACIÓN ÚNICA]]+Tabla4[[#This Row],[VALOR ATENCIÓN]]+Tabla4[[#This Row],[VALOR RACION PREPARADA]]</f>
        <v>111189843</v>
      </c>
      <c r="AS873" s="35" t="str">
        <f>+IF(Tabla4[[#This Row],[AGRUPACIONES]]=1,SUMIFS(Tabla4[VALOR TOTAL],Tabla4[ZONA DEFINITIVO],Tabla4[[#This Row],[ZONA DEFINITIVO]])," ")</f>
        <v xml:space="preserve"> </v>
      </c>
      <c r="AT873" s="27">
        <f>(VLOOKUP(Tabla4[[#This Row],[SERVICIO 2025]],$J$2:$V$14,3,0)*Tabla4[[#This Row],[TOTAL COBERTURA]])+Tabla4[[#This Row],[VALOR FASE PREPARATORIA DE ALISTAMIENTO]]+Tabla4[[#This Row],[DOTACIÓN ÚNICA]]</f>
        <v>17139162</v>
      </c>
      <c r="AU873" s="35">
        <f>(VLOOKUP(Tabla4[[#This Row],[SERVICIO 2025]],$J$2:$V$14,3,0)*Tabla4[[#This Row],[TOTAL COBERTURA]])</f>
        <v>13136886</v>
      </c>
      <c r="AV873" s="35">
        <f>(VLOOKUP(Tabla4[[#This Row],[SERVICIO 2025]],$J$2:$V$14,3,0)*Tabla4[[#This Row],[TOTAL COBERTURA]])</f>
        <v>13136886</v>
      </c>
      <c r="AW873" s="35">
        <f>(VLOOKUP(Tabla4[[#This Row],[SERVICIO 2025]],$J$2:$V$14,3,0)*Tabla4[[#This Row],[TOTAL COBERTURA]])</f>
        <v>13136886</v>
      </c>
      <c r="AX873" s="35">
        <f>(VLOOKUP(Tabla4[[#This Row],[SERVICIO 2025]],$J$2:$V$14,3,0)*Tabla4[[#This Row],[TOTAL COBERTURA]])</f>
        <v>13136886</v>
      </c>
      <c r="AY873" s="35">
        <f>(VLOOKUP(Tabla4[[#This Row],[SERVICIO 2025]],$J$2:$V$14,3,0)*Tabla4[[#This Row],[TOTAL COBERTURA]])</f>
        <v>13136886</v>
      </c>
      <c r="AZ873" s="35">
        <f>(VLOOKUP(Tabla4[[#This Row],[SERVICIO 2025]],$J$2:$V$14,3,0)*Tabla4[[#This Row],[TOTAL COBERTURA]])</f>
        <v>13136886</v>
      </c>
      <c r="BA873" s="35">
        <f>(VLOOKUP(Tabla4[[#This Row],[SERVICIO 2025]],$J$2:$V$14,3,0)*Tabla4[[#This Row],[TOTAL COBERTURA]])+Tabla4[[#This Row],[VALOR FASE PREPARATORIA DE CIERRE]]</f>
        <v>15229365</v>
      </c>
      <c r="BB873" s="35">
        <f>SUM(Tabla4[[#This Row],[DESEMBOLSO 1]:[DESEMBOLSO 8]])</f>
        <v>111189843</v>
      </c>
      <c r="BC873" s="35">
        <f>VLOOKUP(Tabla4[[#This Row],[SERVICIO 2025]],$J$2:$V$14,10,0)*Tabla4[[#This Row],[TOTAL COBERTURA]]*$W$3</f>
        <v>73596264</v>
      </c>
      <c r="BD873" s="47" t="s">
        <v>211</v>
      </c>
      <c r="BE873" s="12" t="b">
        <f>EXACT(Tabla4[[#This Row],[VALOR ATENCIÓN (8 MESES)]],Tabla4[[#This Row],[VALOR TOTAL]])</f>
        <v>1</v>
      </c>
      <c r="BF873" s="23">
        <f>Tabla4[[#This Row],[VALOR ATENCIÓN (8 MESES)]]-Tabla4[[#This Row],[VALOR TOTAL]]</f>
        <v>0</v>
      </c>
      <c r="BG873" s="12" t="b">
        <f>EXACT(Tabla4[[#This Row],[TOTAL DESEMBOLSOS]],Tabla4[[#This Row],[VALOR ATENCIÓN (8 MESES)]])</f>
        <v>1</v>
      </c>
      <c r="BH873" s="29">
        <f>Tabla4[[#This Row],[TOTAL DESEMBOLSOS]]-Tabla4[[#This Row],[VALOR ATENCIÓN (8 MESES)]]</f>
        <v>0</v>
      </c>
      <c r="BI873" t="s">
        <v>98</v>
      </c>
      <c r="BJ873">
        <v>1976</v>
      </c>
    </row>
    <row r="874" spans="1:62">
      <c r="A874" s="13">
        <v>1976</v>
      </c>
      <c r="B874" s="13" t="s">
        <v>1924</v>
      </c>
      <c r="C874" s="12" t="s">
        <v>87</v>
      </c>
      <c r="D874" s="12" t="s">
        <v>579</v>
      </c>
      <c r="E874" s="12" t="s">
        <v>1925</v>
      </c>
      <c r="F874" s="12" t="s">
        <v>18</v>
      </c>
      <c r="G874" s="12" t="s">
        <v>90</v>
      </c>
      <c r="H874" s="12" t="s">
        <v>1614</v>
      </c>
      <c r="I874" s="12">
        <v>55431137364</v>
      </c>
      <c r="J874" s="12" t="s">
        <v>1940</v>
      </c>
      <c r="K874" s="12">
        <v>1</v>
      </c>
      <c r="L874" s="12">
        <v>13</v>
      </c>
      <c r="M874" s="12"/>
      <c r="N874" s="13">
        <v>1976</v>
      </c>
      <c r="O874" s="12" t="s">
        <v>93</v>
      </c>
      <c r="P874" s="12"/>
      <c r="Q874" s="12"/>
      <c r="R874" s="12" t="s">
        <v>94</v>
      </c>
      <c r="S874" s="12">
        <v>10</v>
      </c>
      <c r="T874" s="12" t="s">
        <v>1928</v>
      </c>
      <c r="U874" s="12" t="s">
        <v>1929</v>
      </c>
      <c r="V874" s="12">
        <f>VLOOKUP(Tabla4[[#This Row],[ZONA DEFINITIVO]],Hoja1!$A$1:$D$121,3,0)</f>
        <v>229133</v>
      </c>
      <c r="W874" s="12">
        <f>VLOOKUP(Tabla4[[#This Row],[ZONA DEFINITIVO]],Hoja1!$A$1:$D$121,2,0)</f>
        <v>15209</v>
      </c>
      <c r="X874" s="12">
        <f>VLOOKUP(Tabla4[[#This Row],[ZONA DEFINITIVO]],Hoja1!$A$1:$D$121,4,0)</f>
        <v>92325</v>
      </c>
      <c r="Y874" s="12" t="str">
        <f>+IF(Tabla4[[#This Row],[AGRUPACIONES]]=1,SUMIFS(Tabla4[UDS],Tabla4[ZONA DEFINITIVO],Tabla4[[#This Row],[ZONA DEFINITIVO]])," ")</f>
        <v xml:space="preserve"> </v>
      </c>
      <c r="Z874" s="12" t="str">
        <f>+IF(Tabla4[[#This Row],[AGRUPACIONES]]=1,SUMIFS(Tabla4[TOTAL COBERTURA],Tabla4[ZONA DEFINITIVO],Tabla4[[#This Row],[ZONA DEFINITIVO]])," ")</f>
        <v xml:space="preserve"> </v>
      </c>
      <c r="AA874" s="12"/>
      <c r="AB874" s="38">
        <v>28342509</v>
      </c>
      <c r="AC874" s="37">
        <v>0.02</v>
      </c>
      <c r="AD874" s="38">
        <f t="shared" si="14"/>
        <v>566850.18000000005</v>
      </c>
      <c r="AE874" s="12"/>
      <c r="AF874" s="12">
        <f>COUNTIF($A$20:A874,A874)</f>
        <v>7</v>
      </c>
      <c r="AG874" s="38">
        <v>28342509</v>
      </c>
      <c r="AH874" s="38">
        <f>Tabla4[[#This Row],[VALOR CONTRAPARTIDA]]+Tabla4[[#This Row],[TOTAL APORTES ICBF]]</f>
        <v>28909359.18</v>
      </c>
      <c r="AI874" s="35"/>
      <c r="AJ874" s="38"/>
      <c r="AK874" s="38"/>
      <c r="AL874" s="23"/>
      <c r="AM874" s="35">
        <f>VLOOKUP(Tabla4[[#This Row],[SERVICIO 2025]],$J$2:$V$14,5,0)*Tabla4[[#This Row],[TOTAL COBERTURA]]</f>
        <v>641888</v>
      </c>
      <c r="AN874" s="35">
        <f>VLOOKUP(Tabla4[[#This Row],[SERVICIO 2025]],$J$2:$V$14,6,0)*Tabla4[[#This Row],[TOTAL COBERTURA]]</f>
        <v>533377</v>
      </c>
      <c r="AO874" s="35">
        <f>VLOOKUP(Tabla4[[#This Row],[SERVICIO 2025]],$J$2:$V$14,8,0)*Tabla4[[#This Row],[TOTAL COBERTURA]]</f>
        <v>378300</v>
      </c>
      <c r="AP874" s="35">
        <f>VLOOKUP(Tabla4[[#This Row],[SERVICIO 2025]],$J$2:$V$14,3,0)*Tabla4[[#This Row],[TOTAL COBERTURA]]*8</f>
        <v>26788944</v>
      </c>
      <c r="AQ874" s="35"/>
      <c r="AR874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874" s="35" t="str">
        <f>+IF(Tabla4[[#This Row],[AGRUPACIONES]]=1,SUMIFS(Tabla4[VALOR TOTAL],Tabla4[ZONA DEFINITIVO],Tabla4[[#This Row],[ZONA DEFINITIVO]])," ")</f>
        <v xml:space="preserve"> </v>
      </c>
      <c r="AT874" s="27">
        <f>(VLOOKUP(Tabla4[[#This Row],[SERVICIO 2025]],$J$2:$V$14,3,0)*Tabla4[[#This Row],[TOTAL COBERTURA]])+Tabla4[[#This Row],[VALOR FASE PREPARATORIA DE ALISTAMIENTO]]+Tabla4[[#This Row],[DOTACIÓN ÚNICA]]</f>
        <v>4368806</v>
      </c>
      <c r="AU874" s="35">
        <f>(VLOOKUP(Tabla4[[#This Row],[SERVICIO 2025]],$J$2:$V$14,3,0)*Tabla4[[#This Row],[TOTAL COBERTURA]])</f>
        <v>3348618</v>
      </c>
      <c r="AV874" s="35">
        <f>(VLOOKUP(Tabla4[[#This Row],[SERVICIO 2025]],$J$2:$V$14,3,0)*Tabla4[[#This Row],[TOTAL COBERTURA]])</f>
        <v>3348618</v>
      </c>
      <c r="AW874" s="35">
        <f>(VLOOKUP(Tabla4[[#This Row],[SERVICIO 2025]],$J$2:$V$14,3,0)*Tabla4[[#This Row],[TOTAL COBERTURA]])</f>
        <v>3348618</v>
      </c>
      <c r="AX874" s="35">
        <f>(VLOOKUP(Tabla4[[#This Row],[SERVICIO 2025]],$J$2:$V$14,3,0)*Tabla4[[#This Row],[TOTAL COBERTURA]])</f>
        <v>3348618</v>
      </c>
      <c r="AY874" s="35">
        <f>(VLOOKUP(Tabla4[[#This Row],[SERVICIO 2025]],$J$2:$V$14,3,0)*Tabla4[[#This Row],[TOTAL COBERTURA]])</f>
        <v>3348618</v>
      </c>
      <c r="AZ874" s="35">
        <f>(VLOOKUP(Tabla4[[#This Row],[SERVICIO 2025]],$J$2:$V$14,3,0)*Tabla4[[#This Row],[TOTAL COBERTURA]])</f>
        <v>3348618</v>
      </c>
      <c r="BA874" s="35">
        <f>(VLOOKUP(Tabla4[[#This Row],[SERVICIO 2025]],$J$2:$V$14,3,0)*Tabla4[[#This Row],[TOTAL COBERTURA]])+Tabla4[[#This Row],[VALOR FASE PREPARATORIA DE CIERRE]]</f>
        <v>3881995</v>
      </c>
      <c r="BB874" s="35">
        <f>SUM(Tabla4[[#This Row],[DESEMBOLSO 1]:[DESEMBOLSO 8]])</f>
        <v>28342509</v>
      </c>
      <c r="BC874" s="35">
        <f>VLOOKUP(Tabla4[[#This Row],[SERVICIO 2025]],$J$2:$V$14,10,0)*Tabla4[[#This Row],[TOTAL COBERTURA]]*$W$3</f>
        <v>18759832</v>
      </c>
      <c r="BD874" s="47" t="s">
        <v>211</v>
      </c>
      <c r="BE874" s="12" t="b">
        <f>EXACT(Tabla4[[#This Row],[VALOR ATENCIÓN (8 MESES)]],Tabla4[[#This Row],[VALOR TOTAL]])</f>
        <v>1</v>
      </c>
      <c r="BF874" s="23">
        <f>Tabla4[[#This Row],[VALOR ATENCIÓN (8 MESES)]]-Tabla4[[#This Row],[VALOR TOTAL]]</f>
        <v>0</v>
      </c>
      <c r="BG874" s="12" t="b">
        <f>EXACT(Tabla4[[#This Row],[TOTAL DESEMBOLSOS]],Tabla4[[#This Row],[VALOR ATENCIÓN (8 MESES)]])</f>
        <v>1</v>
      </c>
      <c r="BH874" s="29">
        <f>Tabla4[[#This Row],[TOTAL DESEMBOLSOS]]-Tabla4[[#This Row],[VALOR ATENCIÓN (8 MESES)]]</f>
        <v>0</v>
      </c>
      <c r="BI874" t="s">
        <v>98</v>
      </c>
      <c r="BJ874">
        <v>1976</v>
      </c>
    </row>
    <row r="875" spans="1:62">
      <c r="A875" s="13">
        <v>1976</v>
      </c>
      <c r="B875" s="13" t="s">
        <v>1924</v>
      </c>
      <c r="C875" s="12" t="s">
        <v>87</v>
      </c>
      <c r="D875" s="12" t="s">
        <v>579</v>
      </c>
      <c r="E875" s="12" t="s">
        <v>1925</v>
      </c>
      <c r="F875" s="12" t="s">
        <v>18</v>
      </c>
      <c r="G875" s="12" t="s">
        <v>90</v>
      </c>
      <c r="H875" s="12" t="s">
        <v>1941</v>
      </c>
      <c r="I875" s="12">
        <v>55431137384</v>
      </c>
      <c r="J875" s="12" t="s">
        <v>1942</v>
      </c>
      <c r="K875" s="12">
        <v>1</v>
      </c>
      <c r="L875" s="12">
        <v>14</v>
      </c>
      <c r="M875" s="12"/>
      <c r="N875" s="13">
        <v>1976</v>
      </c>
      <c r="O875" s="12" t="s">
        <v>93</v>
      </c>
      <c r="P875" s="12"/>
      <c r="Q875" s="12"/>
      <c r="R875" s="12" t="s">
        <v>94</v>
      </c>
      <c r="S875" s="12">
        <v>10</v>
      </c>
      <c r="T875" s="12" t="s">
        <v>1928</v>
      </c>
      <c r="U875" s="12" t="s">
        <v>1929</v>
      </c>
      <c r="V875" s="12">
        <f>VLOOKUP(Tabla4[[#This Row],[ZONA DEFINITIVO]],Hoja1!$A$1:$D$121,3,0)</f>
        <v>229133</v>
      </c>
      <c r="W875" s="12">
        <f>VLOOKUP(Tabla4[[#This Row],[ZONA DEFINITIVO]],Hoja1!$A$1:$D$121,2,0)</f>
        <v>15209</v>
      </c>
      <c r="X875" s="12">
        <f>VLOOKUP(Tabla4[[#This Row],[ZONA DEFINITIVO]],Hoja1!$A$1:$D$121,4,0)</f>
        <v>92325</v>
      </c>
      <c r="Y875" s="12" t="str">
        <f>+IF(Tabla4[[#This Row],[AGRUPACIONES]]=1,SUMIFS(Tabla4[UDS],Tabla4[ZONA DEFINITIVO],Tabla4[[#This Row],[ZONA DEFINITIVO]])," ")</f>
        <v xml:space="preserve"> </v>
      </c>
      <c r="Z875" s="12" t="str">
        <f>+IF(Tabla4[[#This Row],[AGRUPACIONES]]=1,SUMIFS(Tabla4[TOTAL COBERTURA],Tabla4[ZONA DEFINITIVO],Tabla4[[#This Row],[ZONA DEFINITIVO]])," ")</f>
        <v xml:space="preserve"> </v>
      </c>
      <c r="AA875" s="12"/>
      <c r="AB875" s="38">
        <v>30522702</v>
      </c>
      <c r="AC875" s="37">
        <v>0.02</v>
      </c>
      <c r="AD875" s="38">
        <f t="shared" si="14"/>
        <v>610454.04</v>
      </c>
      <c r="AE875" s="12"/>
      <c r="AF875" s="12">
        <f>COUNTIF($A$20:A875,A875)</f>
        <v>8</v>
      </c>
      <c r="AG875" s="38">
        <v>30522702</v>
      </c>
      <c r="AH875" s="38">
        <f>Tabla4[[#This Row],[VALOR CONTRAPARTIDA]]+Tabla4[[#This Row],[TOTAL APORTES ICBF]]</f>
        <v>31133156.039999999</v>
      </c>
      <c r="AI875" s="35"/>
      <c r="AJ875" s="38"/>
      <c r="AK875" s="38"/>
      <c r="AL875" s="23"/>
      <c r="AM875" s="35">
        <f>VLOOKUP(Tabla4[[#This Row],[SERVICIO 2025]],$J$2:$V$14,5,0)*Tabla4[[#This Row],[TOTAL COBERTURA]]</f>
        <v>691264</v>
      </c>
      <c r="AN875" s="35">
        <f>VLOOKUP(Tabla4[[#This Row],[SERVICIO 2025]],$J$2:$V$14,6,0)*Tabla4[[#This Row],[TOTAL COBERTURA]]</f>
        <v>574406</v>
      </c>
      <c r="AO875" s="35">
        <f>VLOOKUP(Tabla4[[#This Row],[SERVICIO 2025]],$J$2:$V$14,8,0)*Tabla4[[#This Row],[TOTAL COBERTURA]]</f>
        <v>407400</v>
      </c>
      <c r="AP875" s="35">
        <f>VLOOKUP(Tabla4[[#This Row],[SERVICIO 2025]],$J$2:$V$14,3,0)*Tabla4[[#This Row],[TOTAL COBERTURA]]*8</f>
        <v>28849632</v>
      </c>
      <c r="AQ875" s="35"/>
      <c r="AR875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875" s="35" t="str">
        <f>+IF(Tabla4[[#This Row],[AGRUPACIONES]]=1,SUMIFS(Tabla4[VALOR TOTAL],Tabla4[ZONA DEFINITIVO],Tabla4[[#This Row],[ZONA DEFINITIVO]])," ")</f>
        <v xml:space="preserve"> </v>
      </c>
      <c r="AT875" s="27">
        <f>(VLOOKUP(Tabla4[[#This Row],[SERVICIO 2025]],$J$2:$V$14,3,0)*Tabla4[[#This Row],[TOTAL COBERTURA]])+Tabla4[[#This Row],[VALOR FASE PREPARATORIA DE ALISTAMIENTO]]+Tabla4[[#This Row],[DOTACIÓN ÚNICA]]</f>
        <v>4704868</v>
      </c>
      <c r="AU875" s="35">
        <f>(VLOOKUP(Tabla4[[#This Row],[SERVICIO 2025]],$J$2:$V$14,3,0)*Tabla4[[#This Row],[TOTAL COBERTURA]])</f>
        <v>3606204</v>
      </c>
      <c r="AV875" s="35">
        <f>(VLOOKUP(Tabla4[[#This Row],[SERVICIO 2025]],$J$2:$V$14,3,0)*Tabla4[[#This Row],[TOTAL COBERTURA]])</f>
        <v>3606204</v>
      </c>
      <c r="AW875" s="35">
        <f>(VLOOKUP(Tabla4[[#This Row],[SERVICIO 2025]],$J$2:$V$14,3,0)*Tabla4[[#This Row],[TOTAL COBERTURA]])</f>
        <v>3606204</v>
      </c>
      <c r="AX875" s="35">
        <f>(VLOOKUP(Tabla4[[#This Row],[SERVICIO 2025]],$J$2:$V$14,3,0)*Tabla4[[#This Row],[TOTAL COBERTURA]])</f>
        <v>3606204</v>
      </c>
      <c r="AY875" s="35">
        <f>(VLOOKUP(Tabla4[[#This Row],[SERVICIO 2025]],$J$2:$V$14,3,0)*Tabla4[[#This Row],[TOTAL COBERTURA]])</f>
        <v>3606204</v>
      </c>
      <c r="AZ875" s="35">
        <f>(VLOOKUP(Tabla4[[#This Row],[SERVICIO 2025]],$J$2:$V$14,3,0)*Tabla4[[#This Row],[TOTAL COBERTURA]])</f>
        <v>3606204</v>
      </c>
      <c r="BA875" s="35">
        <f>(VLOOKUP(Tabla4[[#This Row],[SERVICIO 2025]],$J$2:$V$14,3,0)*Tabla4[[#This Row],[TOTAL COBERTURA]])+Tabla4[[#This Row],[VALOR FASE PREPARATORIA DE CIERRE]]</f>
        <v>4180610</v>
      </c>
      <c r="BB875" s="35">
        <f>SUM(Tabla4[[#This Row],[DESEMBOLSO 1]:[DESEMBOLSO 8]])</f>
        <v>30522702</v>
      </c>
      <c r="BC875" s="35">
        <f>VLOOKUP(Tabla4[[#This Row],[SERVICIO 2025]],$J$2:$V$14,10,0)*Tabla4[[#This Row],[TOTAL COBERTURA]]*$W$3</f>
        <v>20202896</v>
      </c>
      <c r="BD875" s="47" t="s">
        <v>211</v>
      </c>
      <c r="BE875" s="12" t="b">
        <f>EXACT(Tabla4[[#This Row],[VALOR ATENCIÓN (8 MESES)]],Tabla4[[#This Row],[VALOR TOTAL]])</f>
        <v>1</v>
      </c>
      <c r="BF875" s="23">
        <f>Tabla4[[#This Row],[VALOR ATENCIÓN (8 MESES)]]-Tabla4[[#This Row],[VALOR TOTAL]]</f>
        <v>0</v>
      </c>
      <c r="BG875" s="12" t="b">
        <f>EXACT(Tabla4[[#This Row],[TOTAL DESEMBOLSOS]],Tabla4[[#This Row],[VALOR ATENCIÓN (8 MESES)]])</f>
        <v>1</v>
      </c>
      <c r="BH875" s="29">
        <f>Tabla4[[#This Row],[TOTAL DESEMBOLSOS]]-Tabla4[[#This Row],[VALOR ATENCIÓN (8 MESES)]]</f>
        <v>0</v>
      </c>
      <c r="BI875" t="s">
        <v>98</v>
      </c>
      <c r="BJ875">
        <v>1976</v>
      </c>
    </row>
    <row r="876" spans="1:62">
      <c r="A876" s="13">
        <v>1976</v>
      </c>
      <c r="B876" s="13" t="s">
        <v>1924</v>
      </c>
      <c r="C876" s="12" t="s">
        <v>87</v>
      </c>
      <c r="D876" s="12" t="s">
        <v>579</v>
      </c>
      <c r="E876" s="12" t="s">
        <v>1925</v>
      </c>
      <c r="F876" s="12" t="s">
        <v>18</v>
      </c>
      <c r="G876" s="12" t="s">
        <v>90</v>
      </c>
      <c r="H876" s="12" t="s">
        <v>1943</v>
      </c>
      <c r="I876" s="12">
        <v>55431137394</v>
      </c>
      <c r="J876" s="12" t="s">
        <v>1944</v>
      </c>
      <c r="K876" s="12">
        <v>1</v>
      </c>
      <c r="L876" s="12">
        <v>12</v>
      </c>
      <c r="M876" s="12"/>
      <c r="N876" s="13">
        <v>1976</v>
      </c>
      <c r="O876" s="12" t="s">
        <v>93</v>
      </c>
      <c r="P876" s="12"/>
      <c r="Q876" s="12"/>
      <c r="R876" s="12" t="s">
        <v>94</v>
      </c>
      <c r="S876" s="12">
        <v>10</v>
      </c>
      <c r="T876" s="12" t="s">
        <v>1928</v>
      </c>
      <c r="U876" s="12" t="s">
        <v>1929</v>
      </c>
      <c r="V876" s="12">
        <f>VLOOKUP(Tabla4[[#This Row],[ZONA DEFINITIVO]],Hoja1!$A$1:$D$121,3,0)</f>
        <v>229133</v>
      </c>
      <c r="W876" s="12">
        <f>VLOOKUP(Tabla4[[#This Row],[ZONA DEFINITIVO]],Hoja1!$A$1:$D$121,2,0)</f>
        <v>15209</v>
      </c>
      <c r="X876" s="12">
        <f>VLOOKUP(Tabla4[[#This Row],[ZONA DEFINITIVO]],Hoja1!$A$1:$D$121,4,0)</f>
        <v>92325</v>
      </c>
      <c r="Y876" s="12" t="str">
        <f>+IF(Tabla4[[#This Row],[AGRUPACIONES]]=1,SUMIFS(Tabla4[UDS],Tabla4[ZONA DEFINITIVO],Tabla4[[#This Row],[ZONA DEFINITIVO]])," ")</f>
        <v xml:space="preserve"> </v>
      </c>
      <c r="Z876" s="12" t="str">
        <f>+IF(Tabla4[[#This Row],[AGRUPACIONES]]=1,SUMIFS(Tabla4[TOTAL COBERTURA],Tabla4[ZONA DEFINITIVO],Tabla4[[#This Row],[ZONA DEFINITIVO]])," ")</f>
        <v xml:space="preserve"> </v>
      </c>
      <c r="AA876" s="12"/>
      <c r="AB876" s="38">
        <v>26162316</v>
      </c>
      <c r="AC876" s="37">
        <v>0.02</v>
      </c>
      <c r="AD876" s="38">
        <f t="shared" si="14"/>
        <v>523246.32</v>
      </c>
      <c r="AE876" s="12"/>
      <c r="AF876" s="12">
        <f>COUNTIF($A$20:A876,A876)</f>
        <v>9</v>
      </c>
      <c r="AG876" s="38">
        <v>26162316</v>
      </c>
      <c r="AH876" s="38">
        <f>Tabla4[[#This Row],[VALOR CONTRAPARTIDA]]+Tabla4[[#This Row],[TOTAL APORTES ICBF]]</f>
        <v>26685562.32</v>
      </c>
      <c r="AI876" s="35"/>
      <c r="AJ876" s="38"/>
      <c r="AK876" s="38"/>
      <c r="AL876" s="23"/>
      <c r="AM876" s="35">
        <f>VLOOKUP(Tabla4[[#This Row],[SERVICIO 2025]],$J$2:$V$14,5,0)*Tabla4[[#This Row],[TOTAL COBERTURA]]</f>
        <v>592512</v>
      </c>
      <c r="AN876" s="35">
        <f>VLOOKUP(Tabla4[[#This Row],[SERVICIO 2025]],$J$2:$V$14,6,0)*Tabla4[[#This Row],[TOTAL COBERTURA]]</f>
        <v>492348</v>
      </c>
      <c r="AO876" s="35">
        <f>VLOOKUP(Tabla4[[#This Row],[SERVICIO 2025]],$J$2:$V$14,8,0)*Tabla4[[#This Row],[TOTAL COBERTURA]]</f>
        <v>349200</v>
      </c>
      <c r="AP876" s="35">
        <f>VLOOKUP(Tabla4[[#This Row],[SERVICIO 2025]],$J$2:$V$14,3,0)*Tabla4[[#This Row],[TOTAL COBERTURA]]*8</f>
        <v>24728256</v>
      </c>
      <c r="AQ876" s="35"/>
      <c r="AR876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876" s="35" t="str">
        <f>+IF(Tabla4[[#This Row],[AGRUPACIONES]]=1,SUMIFS(Tabla4[VALOR TOTAL],Tabla4[ZONA DEFINITIVO],Tabla4[[#This Row],[ZONA DEFINITIVO]])," ")</f>
        <v xml:space="preserve"> </v>
      </c>
      <c r="AT876" s="27">
        <f>(VLOOKUP(Tabla4[[#This Row],[SERVICIO 2025]],$J$2:$V$14,3,0)*Tabla4[[#This Row],[TOTAL COBERTURA]])+Tabla4[[#This Row],[VALOR FASE PREPARATORIA DE ALISTAMIENTO]]+Tabla4[[#This Row],[DOTACIÓN ÚNICA]]</f>
        <v>4032744</v>
      </c>
      <c r="AU876" s="35">
        <f>(VLOOKUP(Tabla4[[#This Row],[SERVICIO 2025]],$J$2:$V$14,3,0)*Tabla4[[#This Row],[TOTAL COBERTURA]])</f>
        <v>3091032</v>
      </c>
      <c r="AV876" s="35">
        <f>(VLOOKUP(Tabla4[[#This Row],[SERVICIO 2025]],$J$2:$V$14,3,0)*Tabla4[[#This Row],[TOTAL COBERTURA]])</f>
        <v>3091032</v>
      </c>
      <c r="AW876" s="35">
        <f>(VLOOKUP(Tabla4[[#This Row],[SERVICIO 2025]],$J$2:$V$14,3,0)*Tabla4[[#This Row],[TOTAL COBERTURA]])</f>
        <v>3091032</v>
      </c>
      <c r="AX876" s="35">
        <f>(VLOOKUP(Tabla4[[#This Row],[SERVICIO 2025]],$J$2:$V$14,3,0)*Tabla4[[#This Row],[TOTAL COBERTURA]])</f>
        <v>3091032</v>
      </c>
      <c r="AY876" s="35">
        <f>(VLOOKUP(Tabla4[[#This Row],[SERVICIO 2025]],$J$2:$V$14,3,0)*Tabla4[[#This Row],[TOTAL COBERTURA]])</f>
        <v>3091032</v>
      </c>
      <c r="AZ876" s="35">
        <f>(VLOOKUP(Tabla4[[#This Row],[SERVICIO 2025]],$J$2:$V$14,3,0)*Tabla4[[#This Row],[TOTAL COBERTURA]])</f>
        <v>3091032</v>
      </c>
      <c r="BA876" s="35">
        <f>(VLOOKUP(Tabla4[[#This Row],[SERVICIO 2025]],$J$2:$V$14,3,0)*Tabla4[[#This Row],[TOTAL COBERTURA]])+Tabla4[[#This Row],[VALOR FASE PREPARATORIA DE CIERRE]]</f>
        <v>3583380</v>
      </c>
      <c r="BB876" s="35">
        <f>SUM(Tabla4[[#This Row],[DESEMBOLSO 1]:[DESEMBOLSO 8]])</f>
        <v>26162316</v>
      </c>
      <c r="BC876" s="35">
        <f>VLOOKUP(Tabla4[[#This Row],[SERVICIO 2025]],$J$2:$V$14,10,0)*Tabla4[[#This Row],[TOTAL COBERTURA]]*$W$3</f>
        <v>17316768</v>
      </c>
      <c r="BD876" s="47" t="s">
        <v>211</v>
      </c>
      <c r="BE876" s="12" t="b">
        <f>EXACT(Tabla4[[#This Row],[VALOR ATENCIÓN (8 MESES)]],Tabla4[[#This Row],[VALOR TOTAL]])</f>
        <v>1</v>
      </c>
      <c r="BF876" s="23">
        <f>Tabla4[[#This Row],[VALOR ATENCIÓN (8 MESES)]]-Tabla4[[#This Row],[VALOR TOTAL]]</f>
        <v>0</v>
      </c>
      <c r="BG876" s="12" t="b">
        <f>EXACT(Tabla4[[#This Row],[TOTAL DESEMBOLSOS]],Tabla4[[#This Row],[VALOR ATENCIÓN (8 MESES)]])</f>
        <v>1</v>
      </c>
      <c r="BH876" s="29">
        <f>Tabla4[[#This Row],[TOTAL DESEMBOLSOS]]-Tabla4[[#This Row],[VALOR ATENCIÓN (8 MESES)]]</f>
        <v>0</v>
      </c>
      <c r="BI876" t="s">
        <v>98</v>
      </c>
      <c r="BJ876">
        <v>1976</v>
      </c>
    </row>
    <row r="877" spans="1:62">
      <c r="A877" s="13">
        <v>1976</v>
      </c>
      <c r="B877" s="13" t="s">
        <v>1924</v>
      </c>
      <c r="C877" s="12" t="s">
        <v>87</v>
      </c>
      <c r="D877" s="12" t="s">
        <v>579</v>
      </c>
      <c r="E877" s="12" t="s">
        <v>1925</v>
      </c>
      <c r="F877" s="12" t="s">
        <v>18</v>
      </c>
      <c r="G877" s="12" t="s">
        <v>90</v>
      </c>
      <c r="H877" s="12" t="s">
        <v>1945</v>
      </c>
      <c r="I877" s="12">
        <v>55431137395</v>
      </c>
      <c r="J877" s="12" t="s">
        <v>1946</v>
      </c>
      <c r="K877" s="12">
        <v>1</v>
      </c>
      <c r="L877" s="12">
        <v>5</v>
      </c>
      <c r="M877" s="12"/>
      <c r="N877" s="13">
        <v>1976</v>
      </c>
      <c r="O877" s="12" t="s">
        <v>93</v>
      </c>
      <c r="P877" s="12"/>
      <c r="Q877" s="12"/>
      <c r="R877" s="12" t="s">
        <v>94</v>
      </c>
      <c r="S877" s="12">
        <v>10</v>
      </c>
      <c r="T877" s="12" t="s">
        <v>1928</v>
      </c>
      <c r="U877" s="12" t="s">
        <v>1929</v>
      </c>
      <c r="V877" s="12">
        <f>VLOOKUP(Tabla4[[#This Row],[ZONA DEFINITIVO]],Hoja1!$A$1:$D$121,3,0)</f>
        <v>229133</v>
      </c>
      <c r="W877" s="12">
        <f>VLOOKUP(Tabla4[[#This Row],[ZONA DEFINITIVO]],Hoja1!$A$1:$D$121,2,0)</f>
        <v>15209</v>
      </c>
      <c r="X877" s="12">
        <f>VLOOKUP(Tabla4[[#This Row],[ZONA DEFINITIVO]],Hoja1!$A$1:$D$121,4,0)</f>
        <v>92325</v>
      </c>
      <c r="Y877" s="12" t="str">
        <f>+IF(Tabla4[[#This Row],[AGRUPACIONES]]=1,SUMIFS(Tabla4[UDS],Tabla4[ZONA DEFINITIVO],Tabla4[[#This Row],[ZONA DEFINITIVO]])," ")</f>
        <v xml:space="preserve"> </v>
      </c>
      <c r="Z877" s="12" t="str">
        <f>+IF(Tabla4[[#This Row],[AGRUPACIONES]]=1,SUMIFS(Tabla4[TOTAL COBERTURA],Tabla4[ZONA DEFINITIVO],Tabla4[[#This Row],[ZONA DEFINITIVO]])," ")</f>
        <v xml:space="preserve"> </v>
      </c>
      <c r="AA877" s="12"/>
      <c r="AB877" s="38">
        <v>10900965</v>
      </c>
      <c r="AC877" s="37">
        <v>0.02</v>
      </c>
      <c r="AD877" s="38">
        <f t="shared" si="14"/>
        <v>218019.30000000002</v>
      </c>
      <c r="AE877" s="12"/>
      <c r="AF877" s="12">
        <f>COUNTIF($A$20:A877,A877)</f>
        <v>10</v>
      </c>
      <c r="AG877" s="38">
        <v>10900965</v>
      </c>
      <c r="AH877" s="38">
        <f>Tabla4[[#This Row],[VALOR CONTRAPARTIDA]]+Tabla4[[#This Row],[TOTAL APORTES ICBF]]</f>
        <v>11118984.300000001</v>
      </c>
      <c r="AI877" s="35"/>
      <c r="AJ877" s="38"/>
      <c r="AK877" s="38"/>
      <c r="AL877" s="23"/>
      <c r="AM877" s="35">
        <f>VLOOKUP(Tabla4[[#This Row],[SERVICIO 2025]],$J$2:$V$14,5,0)*Tabla4[[#This Row],[TOTAL COBERTURA]]</f>
        <v>246880</v>
      </c>
      <c r="AN877" s="35">
        <f>VLOOKUP(Tabla4[[#This Row],[SERVICIO 2025]],$J$2:$V$14,6,0)*Tabla4[[#This Row],[TOTAL COBERTURA]]</f>
        <v>205145</v>
      </c>
      <c r="AO877" s="35">
        <f>VLOOKUP(Tabla4[[#This Row],[SERVICIO 2025]],$J$2:$V$14,8,0)*Tabla4[[#This Row],[TOTAL COBERTURA]]</f>
        <v>145500</v>
      </c>
      <c r="AP877" s="35">
        <f>VLOOKUP(Tabla4[[#This Row],[SERVICIO 2025]],$J$2:$V$14,3,0)*Tabla4[[#This Row],[TOTAL COBERTURA]]*8</f>
        <v>10303440</v>
      </c>
      <c r="AQ877" s="35"/>
      <c r="AR877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</v>
      </c>
      <c r="AS877" s="35" t="str">
        <f>+IF(Tabla4[[#This Row],[AGRUPACIONES]]=1,SUMIFS(Tabla4[VALOR TOTAL],Tabla4[ZONA DEFINITIVO],Tabla4[[#This Row],[ZONA DEFINITIVO]])," ")</f>
        <v xml:space="preserve"> </v>
      </c>
      <c r="AT877" s="27">
        <f>(VLOOKUP(Tabla4[[#This Row],[SERVICIO 2025]],$J$2:$V$14,3,0)*Tabla4[[#This Row],[TOTAL COBERTURA]])+Tabla4[[#This Row],[VALOR FASE PREPARATORIA DE ALISTAMIENTO]]+Tabla4[[#This Row],[DOTACIÓN ÚNICA]]</f>
        <v>1680310</v>
      </c>
      <c r="AU877" s="35">
        <f>(VLOOKUP(Tabla4[[#This Row],[SERVICIO 2025]],$J$2:$V$14,3,0)*Tabla4[[#This Row],[TOTAL COBERTURA]])</f>
        <v>1287930</v>
      </c>
      <c r="AV877" s="35">
        <f>(VLOOKUP(Tabla4[[#This Row],[SERVICIO 2025]],$J$2:$V$14,3,0)*Tabla4[[#This Row],[TOTAL COBERTURA]])</f>
        <v>1287930</v>
      </c>
      <c r="AW877" s="35">
        <f>(VLOOKUP(Tabla4[[#This Row],[SERVICIO 2025]],$J$2:$V$14,3,0)*Tabla4[[#This Row],[TOTAL COBERTURA]])</f>
        <v>1287930</v>
      </c>
      <c r="AX877" s="35">
        <f>(VLOOKUP(Tabla4[[#This Row],[SERVICIO 2025]],$J$2:$V$14,3,0)*Tabla4[[#This Row],[TOTAL COBERTURA]])</f>
        <v>1287930</v>
      </c>
      <c r="AY877" s="35">
        <f>(VLOOKUP(Tabla4[[#This Row],[SERVICIO 2025]],$J$2:$V$14,3,0)*Tabla4[[#This Row],[TOTAL COBERTURA]])</f>
        <v>1287930</v>
      </c>
      <c r="AZ877" s="35">
        <f>(VLOOKUP(Tabla4[[#This Row],[SERVICIO 2025]],$J$2:$V$14,3,0)*Tabla4[[#This Row],[TOTAL COBERTURA]])</f>
        <v>1287930</v>
      </c>
      <c r="BA877" s="35">
        <f>(VLOOKUP(Tabla4[[#This Row],[SERVICIO 2025]],$J$2:$V$14,3,0)*Tabla4[[#This Row],[TOTAL COBERTURA]])+Tabla4[[#This Row],[VALOR FASE PREPARATORIA DE CIERRE]]</f>
        <v>1493075</v>
      </c>
      <c r="BB877" s="35">
        <f>SUM(Tabla4[[#This Row],[DESEMBOLSO 1]:[DESEMBOLSO 8]])</f>
        <v>10900965</v>
      </c>
      <c r="BC877" s="35">
        <f>VLOOKUP(Tabla4[[#This Row],[SERVICIO 2025]],$J$2:$V$14,10,0)*Tabla4[[#This Row],[TOTAL COBERTURA]]*$W$3</f>
        <v>7215320</v>
      </c>
      <c r="BD877" s="47" t="s">
        <v>211</v>
      </c>
      <c r="BE877" s="12" t="b">
        <f>EXACT(Tabla4[[#This Row],[VALOR ATENCIÓN (8 MESES)]],Tabla4[[#This Row],[VALOR TOTAL]])</f>
        <v>1</v>
      </c>
      <c r="BF877" s="23">
        <f>Tabla4[[#This Row],[VALOR ATENCIÓN (8 MESES)]]-Tabla4[[#This Row],[VALOR TOTAL]]</f>
        <v>0</v>
      </c>
      <c r="BG877" s="12" t="b">
        <f>EXACT(Tabla4[[#This Row],[TOTAL DESEMBOLSOS]],Tabla4[[#This Row],[VALOR ATENCIÓN (8 MESES)]])</f>
        <v>1</v>
      </c>
      <c r="BH877" s="29">
        <f>Tabla4[[#This Row],[TOTAL DESEMBOLSOS]]-Tabla4[[#This Row],[VALOR ATENCIÓN (8 MESES)]]</f>
        <v>0</v>
      </c>
      <c r="BI877" t="s">
        <v>98</v>
      </c>
      <c r="BJ877">
        <v>1976</v>
      </c>
    </row>
    <row r="878" spans="1:62">
      <c r="A878" s="13">
        <v>1976</v>
      </c>
      <c r="B878" s="13" t="s">
        <v>1924</v>
      </c>
      <c r="C878" s="12" t="s">
        <v>87</v>
      </c>
      <c r="D878" s="12" t="s">
        <v>579</v>
      </c>
      <c r="E878" s="12" t="s">
        <v>1925</v>
      </c>
      <c r="F878" s="12" t="s">
        <v>18</v>
      </c>
      <c r="G878" s="12" t="s">
        <v>90</v>
      </c>
      <c r="H878" s="12" t="s">
        <v>1947</v>
      </c>
      <c r="I878" s="12">
        <v>55431148814</v>
      </c>
      <c r="J878" s="12" t="s">
        <v>1948</v>
      </c>
      <c r="K878" s="12">
        <v>1</v>
      </c>
      <c r="L878" s="12">
        <v>16</v>
      </c>
      <c r="M878" s="12"/>
      <c r="N878" s="13">
        <v>1976</v>
      </c>
      <c r="O878" s="12" t="s">
        <v>93</v>
      </c>
      <c r="P878" s="12"/>
      <c r="Q878" s="12"/>
      <c r="R878" s="12" t="s">
        <v>94</v>
      </c>
      <c r="S878" s="12">
        <v>10</v>
      </c>
      <c r="T878" s="12" t="s">
        <v>1928</v>
      </c>
      <c r="U878" s="12" t="s">
        <v>1929</v>
      </c>
      <c r="V878" s="12">
        <f>VLOOKUP(Tabla4[[#This Row],[ZONA DEFINITIVO]],Hoja1!$A$1:$D$121,3,0)</f>
        <v>229133</v>
      </c>
      <c r="W878" s="12">
        <f>VLOOKUP(Tabla4[[#This Row],[ZONA DEFINITIVO]],Hoja1!$A$1:$D$121,2,0)</f>
        <v>15209</v>
      </c>
      <c r="X878" s="12">
        <f>VLOOKUP(Tabla4[[#This Row],[ZONA DEFINITIVO]],Hoja1!$A$1:$D$121,4,0)</f>
        <v>92325</v>
      </c>
      <c r="Y878" s="12" t="str">
        <f>+IF(Tabla4[[#This Row],[AGRUPACIONES]]=1,SUMIFS(Tabla4[UDS],Tabla4[ZONA DEFINITIVO],Tabla4[[#This Row],[ZONA DEFINITIVO]])," ")</f>
        <v xml:space="preserve"> </v>
      </c>
      <c r="Z878" s="12" t="str">
        <f>+IF(Tabla4[[#This Row],[AGRUPACIONES]]=1,SUMIFS(Tabla4[TOTAL COBERTURA],Tabla4[ZONA DEFINITIVO],Tabla4[[#This Row],[ZONA DEFINITIVO]])," ")</f>
        <v xml:space="preserve"> </v>
      </c>
      <c r="AA878" s="12"/>
      <c r="AB878" s="38">
        <v>34883088</v>
      </c>
      <c r="AC878" s="37">
        <v>0.02</v>
      </c>
      <c r="AD878" s="38">
        <f t="shared" si="14"/>
        <v>697661.76</v>
      </c>
      <c r="AE878" s="12"/>
      <c r="AF878" s="12">
        <f>COUNTIF($A$20:A878,A878)</f>
        <v>11</v>
      </c>
      <c r="AG878" s="38">
        <v>34883088</v>
      </c>
      <c r="AH878" s="38">
        <f>Tabla4[[#This Row],[VALOR CONTRAPARTIDA]]+Tabla4[[#This Row],[TOTAL APORTES ICBF]]</f>
        <v>35580749.759999998</v>
      </c>
      <c r="AI878" s="35"/>
      <c r="AJ878" s="38"/>
      <c r="AK878" s="38"/>
      <c r="AL878" s="23"/>
      <c r="AM878" s="35">
        <f>VLOOKUP(Tabla4[[#This Row],[SERVICIO 2025]],$J$2:$V$14,5,0)*Tabla4[[#This Row],[TOTAL COBERTURA]]</f>
        <v>790016</v>
      </c>
      <c r="AN878" s="35">
        <f>VLOOKUP(Tabla4[[#This Row],[SERVICIO 2025]],$J$2:$V$14,6,0)*Tabla4[[#This Row],[TOTAL COBERTURA]]</f>
        <v>656464</v>
      </c>
      <c r="AO878" s="35">
        <f>VLOOKUP(Tabla4[[#This Row],[SERVICIO 2025]],$J$2:$V$14,8,0)*Tabla4[[#This Row],[TOTAL COBERTURA]]</f>
        <v>465600</v>
      </c>
      <c r="AP878" s="35">
        <f>VLOOKUP(Tabla4[[#This Row],[SERVICIO 2025]],$J$2:$V$14,3,0)*Tabla4[[#This Row],[TOTAL COBERTURA]]*8</f>
        <v>32971008</v>
      </c>
      <c r="AQ878" s="35"/>
      <c r="AR878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878" s="35" t="str">
        <f>+IF(Tabla4[[#This Row],[AGRUPACIONES]]=1,SUMIFS(Tabla4[VALOR TOTAL],Tabla4[ZONA DEFINITIVO],Tabla4[[#This Row],[ZONA DEFINITIVO]])," ")</f>
        <v xml:space="preserve"> </v>
      </c>
      <c r="AT878" s="27">
        <f>(VLOOKUP(Tabla4[[#This Row],[SERVICIO 2025]],$J$2:$V$14,3,0)*Tabla4[[#This Row],[TOTAL COBERTURA]])+Tabla4[[#This Row],[VALOR FASE PREPARATORIA DE ALISTAMIENTO]]+Tabla4[[#This Row],[DOTACIÓN ÚNICA]]</f>
        <v>5376992</v>
      </c>
      <c r="AU878" s="35">
        <f>(VLOOKUP(Tabla4[[#This Row],[SERVICIO 2025]],$J$2:$V$14,3,0)*Tabla4[[#This Row],[TOTAL COBERTURA]])</f>
        <v>4121376</v>
      </c>
      <c r="AV878" s="35">
        <f>(VLOOKUP(Tabla4[[#This Row],[SERVICIO 2025]],$J$2:$V$14,3,0)*Tabla4[[#This Row],[TOTAL COBERTURA]])</f>
        <v>4121376</v>
      </c>
      <c r="AW878" s="35">
        <f>(VLOOKUP(Tabla4[[#This Row],[SERVICIO 2025]],$J$2:$V$14,3,0)*Tabla4[[#This Row],[TOTAL COBERTURA]])</f>
        <v>4121376</v>
      </c>
      <c r="AX878" s="35">
        <f>(VLOOKUP(Tabla4[[#This Row],[SERVICIO 2025]],$J$2:$V$14,3,0)*Tabla4[[#This Row],[TOTAL COBERTURA]])</f>
        <v>4121376</v>
      </c>
      <c r="AY878" s="35">
        <f>(VLOOKUP(Tabla4[[#This Row],[SERVICIO 2025]],$J$2:$V$14,3,0)*Tabla4[[#This Row],[TOTAL COBERTURA]])</f>
        <v>4121376</v>
      </c>
      <c r="AZ878" s="35">
        <f>(VLOOKUP(Tabla4[[#This Row],[SERVICIO 2025]],$J$2:$V$14,3,0)*Tabla4[[#This Row],[TOTAL COBERTURA]])</f>
        <v>4121376</v>
      </c>
      <c r="BA878" s="35">
        <f>(VLOOKUP(Tabla4[[#This Row],[SERVICIO 2025]],$J$2:$V$14,3,0)*Tabla4[[#This Row],[TOTAL COBERTURA]])+Tabla4[[#This Row],[VALOR FASE PREPARATORIA DE CIERRE]]</f>
        <v>4777840</v>
      </c>
      <c r="BB878" s="35">
        <f>SUM(Tabla4[[#This Row],[DESEMBOLSO 1]:[DESEMBOLSO 8]])</f>
        <v>34883088</v>
      </c>
      <c r="BC878" s="35">
        <f>VLOOKUP(Tabla4[[#This Row],[SERVICIO 2025]],$J$2:$V$14,10,0)*Tabla4[[#This Row],[TOTAL COBERTURA]]*$W$3</f>
        <v>23089024</v>
      </c>
      <c r="BD878" s="47" t="s">
        <v>211</v>
      </c>
      <c r="BE878" s="12" t="b">
        <f>EXACT(Tabla4[[#This Row],[VALOR ATENCIÓN (8 MESES)]],Tabla4[[#This Row],[VALOR TOTAL]])</f>
        <v>1</v>
      </c>
      <c r="BF878" s="23">
        <f>Tabla4[[#This Row],[VALOR ATENCIÓN (8 MESES)]]-Tabla4[[#This Row],[VALOR TOTAL]]</f>
        <v>0</v>
      </c>
      <c r="BG878" s="12" t="b">
        <f>EXACT(Tabla4[[#This Row],[TOTAL DESEMBOLSOS]],Tabla4[[#This Row],[VALOR ATENCIÓN (8 MESES)]])</f>
        <v>1</v>
      </c>
      <c r="BH878" s="29">
        <f>Tabla4[[#This Row],[TOTAL DESEMBOLSOS]]-Tabla4[[#This Row],[VALOR ATENCIÓN (8 MESES)]]</f>
        <v>0</v>
      </c>
      <c r="BI878" t="s">
        <v>98</v>
      </c>
      <c r="BJ878">
        <v>1976</v>
      </c>
    </row>
    <row r="879" spans="1:62">
      <c r="A879" s="13">
        <v>1976</v>
      </c>
      <c r="B879" s="13" t="s">
        <v>1924</v>
      </c>
      <c r="C879" s="12" t="s">
        <v>87</v>
      </c>
      <c r="D879" s="12" t="s">
        <v>579</v>
      </c>
      <c r="E879" s="12" t="s">
        <v>1925</v>
      </c>
      <c r="F879" s="12" t="s">
        <v>18</v>
      </c>
      <c r="G879" s="12" t="s">
        <v>90</v>
      </c>
      <c r="H879" s="12" t="s">
        <v>1949</v>
      </c>
      <c r="I879" s="12">
        <v>55431150151</v>
      </c>
      <c r="J879" s="12" t="s">
        <v>1950</v>
      </c>
      <c r="K879" s="12">
        <v>1</v>
      </c>
      <c r="L879" s="12">
        <v>14</v>
      </c>
      <c r="M879" s="12"/>
      <c r="N879" s="13">
        <v>1976</v>
      </c>
      <c r="O879" s="12" t="s">
        <v>93</v>
      </c>
      <c r="P879" s="12"/>
      <c r="Q879" s="12"/>
      <c r="R879" s="12" t="s">
        <v>94</v>
      </c>
      <c r="S879" s="12">
        <v>10</v>
      </c>
      <c r="T879" s="12" t="s">
        <v>1928</v>
      </c>
      <c r="U879" s="12" t="s">
        <v>1929</v>
      </c>
      <c r="V879" s="12">
        <f>VLOOKUP(Tabla4[[#This Row],[ZONA DEFINITIVO]],Hoja1!$A$1:$D$121,3,0)</f>
        <v>229133</v>
      </c>
      <c r="W879" s="12">
        <f>VLOOKUP(Tabla4[[#This Row],[ZONA DEFINITIVO]],Hoja1!$A$1:$D$121,2,0)</f>
        <v>15209</v>
      </c>
      <c r="X879" s="12">
        <f>VLOOKUP(Tabla4[[#This Row],[ZONA DEFINITIVO]],Hoja1!$A$1:$D$121,4,0)</f>
        <v>92325</v>
      </c>
      <c r="Y879" s="12" t="str">
        <f>+IF(Tabla4[[#This Row],[AGRUPACIONES]]=1,SUMIFS(Tabla4[UDS],Tabla4[ZONA DEFINITIVO],Tabla4[[#This Row],[ZONA DEFINITIVO]])," ")</f>
        <v xml:space="preserve"> </v>
      </c>
      <c r="Z879" s="12" t="str">
        <f>+IF(Tabla4[[#This Row],[AGRUPACIONES]]=1,SUMIFS(Tabla4[TOTAL COBERTURA],Tabla4[ZONA DEFINITIVO],Tabla4[[#This Row],[ZONA DEFINITIVO]])," ")</f>
        <v xml:space="preserve"> </v>
      </c>
      <c r="AA879" s="12"/>
      <c r="AB879" s="38">
        <v>30522702</v>
      </c>
      <c r="AC879" s="37">
        <v>0.02</v>
      </c>
      <c r="AD879" s="38">
        <f t="shared" si="14"/>
        <v>610454.04</v>
      </c>
      <c r="AE879" s="12"/>
      <c r="AF879" s="12">
        <f>COUNTIF($A$20:A879,A879)</f>
        <v>12</v>
      </c>
      <c r="AG879" s="38">
        <v>30522702</v>
      </c>
      <c r="AH879" s="38">
        <f>Tabla4[[#This Row],[VALOR CONTRAPARTIDA]]+Tabla4[[#This Row],[TOTAL APORTES ICBF]]</f>
        <v>31133156.039999999</v>
      </c>
      <c r="AI879" s="35"/>
      <c r="AJ879" s="38"/>
      <c r="AK879" s="38"/>
      <c r="AL879" s="23"/>
      <c r="AM879" s="35">
        <f>VLOOKUP(Tabla4[[#This Row],[SERVICIO 2025]],$J$2:$V$14,5,0)*Tabla4[[#This Row],[TOTAL COBERTURA]]</f>
        <v>691264</v>
      </c>
      <c r="AN879" s="35">
        <f>VLOOKUP(Tabla4[[#This Row],[SERVICIO 2025]],$J$2:$V$14,6,0)*Tabla4[[#This Row],[TOTAL COBERTURA]]</f>
        <v>574406</v>
      </c>
      <c r="AO879" s="35">
        <f>VLOOKUP(Tabla4[[#This Row],[SERVICIO 2025]],$J$2:$V$14,8,0)*Tabla4[[#This Row],[TOTAL COBERTURA]]</f>
        <v>407400</v>
      </c>
      <c r="AP879" s="35">
        <f>VLOOKUP(Tabla4[[#This Row],[SERVICIO 2025]],$J$2:$V$14,3,0)*Tabla4[[#This Row],[TOTAL COBERTURA]]*8</f>
        <v>28849632</v>
      </c>
      <c r="AQ879" s="35"/>
      <c r="AR879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879" s="35" t="str">
        <f>+IF(Tabla4[[#This Row],[AGRUPACIONES]]=1,SUMIFS(Tabla4[VALOR TOTAL],Tabla4[ZONA DEFINITIVO],Tabla4[[#This Row],[ZONA DEFINITIVO]])," ")</f>
        <v xml:space="preserve"> </v>
      </c>
      <c r="AT879" s="27">
        <f>(VLOOKUP(Tabla4[[#This Row],[SERVICIO 2025]],$J$2:$V$14,3,0)*Tabla4[[#This Row],[TOTAL COBERTURA]])+Tabla4[[#This Row],[VALOR FASE PREPARATORIA DE ALISTAMIENTO]]+Tabla4[[#This Row],[DOTACIÓN ÚNICA]]</f>
        <v>4704868</v>
      </c>
      <c r="AU879" s="35">
        <f>(VLOOKUP(Tabla4[[#This Row],[SERVICIO 2025]],$J$2:$V$14,3,0)*Tabla4[[#This Row],[TOTAL COBERTURA]])</f>
        <v>3606204</v>
      </c>
      <c r="AV879" s="35">
        <f>(VLOOKUP(Tabla4[[#This Row],[SERVICIO 2025]],$J$2:$V$14,3,0)*Tabla4[[#This Row],[TOTAL COBERTURA]])</f>
        <v>3606204</v>
      </c>
      <c r="AW879" s="35">
        <f>(VLOOKUP(Tabla4[[#This Row],[SERVICIO 2025]],$J$2:$V$14,3,0)*Tabla4[[#This Row],[TOTAL COBERTURA]])</f>
        <v>3606204</v>
      </c>
      <c r="AX879" s="35">
        <f>(VLOOKUP(Tabla4[[#This Row],[SERVICIO 2025]],$J$2:$V$14,3,0)*Tabla4[[#This Row],[TOTAL COBERTURA]])</f>
        <v>3606204</v>
      </c>
      <c r="AY879" s="35">
        <f>(VLOOKUP(Tabla4[[#This Row],[SERVICIO 2025]],$J$2:$V$14,3,0)*Tabla4[[#This Row],[TOTAL COBERTURA]])</f>
        <v>3606204</v>
      </c>
      <c r="AZ879" s="35">
        <f>(VLOOKUP(Tabla4[[#This Row],[SERVICIO 2025]],$J$2:$V$14,3,0)*Tabla4[[#This Row],[TOTAL COBERTURA]])</f>
        <v>3606204</v>
      </c>
      <c r="BA879" s="35">
        <f>(VLOOKUP(Tabla4[[#This Row],[SERVICIO 2025]],$J$2:$V$14,3,0)*Tabla4[[#This Row],[TOTAL COBERTURA]])+Tabla4[[#This Row],[VALOR FASE PREPARATORIA DE CIERRE]]</f>
        <v>4180610</v>
      </c>
      <c r="BB879" s="35">
        <f>SUM(Tabla4[[#This Row],[DESEMBOLSO 1]:[DESEMBOLSO 8]])</f>
        <v>30522702</v>
      </c>
      <c r="BC879" s="35">
        <f>VLOOKUP(Tabla4[[#This Row],[SERVICIO 2025]],$J$2:$V$14,10,0)*Tabla4[[#This Row],[TOTAL COBERTURA]]*$W$3</f>
        <v>20202896</v>
      </c>
      <c r="BD879" s="47" t="s">
        <v>211</v>
      </c>
      <c r="BE879" s="12" t="b">
        <f>EXACT(Tabla4[[#This Row],[VALOR ATENCIÓN (8 MESES)]],Tabla4[[#This Row],[VALOR TOTAL]])</f>
        <v>1</v>
      </c>
      <c r="BF879" s="23">
        <f>Tabla4[[#This Row],[VALOR ATENCIÓN (8 MESES)]]-Tabla4[[#This Row],[VALOR TOTAL]]</f>
        <v>0</v>
      </c>
      <c r="BG879" s="12" t="b">
        <f>EXACT(Tabla4[[#This Row],[TOTAL DESEMBOLSOS]],Tabla4[[#This Row],[VALOR ATENCIÓN (8 MESES)]])</f>
        <v>1</v>
      </c>
      <c r="BH879" s="29">
        <f>Tabla4[[#This Row],[TOTAL DESEMBOLSOS]]-Tabla4[[#This Row],[VALOR ATENCIÓN (8 MESES)]]</f>
        <v>0</v>
      </c>
      <c r="BI879" t="s">
        <v>98</v>
      </c>
      <c r="BJ879">
        <v>1976</v>
      </c>
    </row>
    <row r="880" spans="1:62">
      <c r="A880" s="13">
        <v>1976</v>
      </c>
      <c r="B880" s="13" t="s">
        <v>1924</v>
      </c>
      <c r="C880" s="12" t="s">
        <v>87</v>
      </c>
      <c r="D880" s="12" t="s">
        <v>579</v>
      </c>
      <c r="E880" s="12" t="s">
        <v>1925</v>
      </c>
      <c r="F880" s="12" t="s">
        <v>14</v>
      </c>
      <c r="G880" s="12" t="s">
        <v>90</v>
      </c>
      <c r="H880" s="12" t="s">
        <v>1951</v>
      </c>
      <c r="I880" s="12">
        <v>554300054616</v>
      </c>
      <c r="J880" s="12" t="s">
        <v>1952</v>
      </c>
      <c r="K880" s="12">
        <v>1</v>
      </c>
      <c r="L880" s="12">
        <v>86</v>
      </c>
      <c r="M880" s="12"/>
      <c r="N880" s="13">
        <v>1976</v>
      </c>
      <c r="O880" s="12" t="s">
        <v>93</v>
      </c>
      <c r="P880" s="12"/>
      <c r="Q880" s="12"/>
      <c r="R880" s="12" t="s">
        <v>94</v>
      </c>
      <c r="S880" s="12">
        <v>10</v>
      </c>
      <c r="T880" s="12" t="s">
        <v>1928</v>
      </c>
      <c r="U880" s="12" t="s">
        <v>1929</v>
      </c>
      <c r="V880" s="12">
        <f>VLOOKUP(Tabla4[[#This Row],[ZONA DEFINITIVO]],Hoja1!$A$1:$D$121,3,0)</f>
        <v>229133</v>
      </c>
      <c r="W880" s="12">
        <f>VLOOKUP(Tabla4[[#This Row],[ZONA DEFINITIVO]],Hoja1!$A$1:$D$121,2,0)</f>
        <v>15209</v>
      </c>
      <c r="X880" s="12">
        <f>VLOOKUP(Tabla4[[#This Row],[ZONA DEFINITIVO]],Hoja1!$A$1:$D$121,4,0)</f>
        <v>92325</v>
      </c>
      <c r="Y880" s="12" t="str">
        <f>+IF(Tabla4[[#This Row],[AGRUPACIONES]]=1,SUMIFS(Tabla4[UDS],Tabla4[ZONA DEFINITIVO],Tabla4[[#This Row],[ZONA DEFINITIVO]])," ")</f>
        <v xml:space="preserve"> </v>
      </c>
      <c r="Z880" s="12" t="str">
        <f>+IF(Tabla4[[#This Row],[AGRUPACIONES]]=1,SUMIFS(Tabla4[TOTAL COBERTURA],Tabla4[ZONA DEFINITIVO],Tabla4[[#This Row],[ZONA DEFINITIVO]])," ")</f>
        <v xml:space="preserve"> </v>
      </c>
      <c r="AA880" s="12"/>
      <c r="AB880" s="38">
        <v>360241100</v>
      </c>
      <c r="AC880" s="37">
        <v>0.02</v>
      </c>
      <c r="AD880" s="38">
        <f t="shared" si="14"/>
        <v>7204822</v>
      </c>
      <c r="AE880" s="12"/>
      <c r="AF880" s="12">
        <f>COUNTIF($A$20:A880,A880)</f>
        <v>13</v>
      </c>
      <c r="AG880" s="38">
        <v>360241100</v>
      </c>
      <c r="AH880" s="38">
        <f>Tabla4[[#This Row],[VALOR CONTRAPARTIDA]]+Tabla4[[#This Row],[TOTAL APORTES ICBF]]</f>
        <v>367445922</v>
      </c>
      <c r="AI880" s="35"/>
      <c r="AJ880" s="38"/>
      <c r="AK880" s="38"/>
      <c r="AL880" s="23"/>
      <c r="AM880" s="35">
        <f>VLOOKUP(Tabla4[[#This Row],[SERVICIO 2025]],$J$2:$V$14,5,0)*Tabla4[[#This Row],[TOTAL COBERTURA]]</f>
        <v>7580298</v>
      </c>
      <c r="AN880" s="35">
        <f>VLOOKUP(Tabla4[[#This Row],[SERVICIO 2025]],$J$2:$V$14,6,0)*Tabla4[[#This Row],[TOTAL COBERTURA]]</f>
        <v>6453698</v>
      </c>
      <c r="AO880" s="35">
        <f>VLOOKUP(Tabla4[[#This Row],[SERVICIO 2025]],$J$2:$V$14,8,0)*Tabla4[[#This Row],[TOTAL COBERTURA]]</f>
        <v>0</v>
      </c>
      <c r="AP880" s="35">
        <f>VLOOKUP(Tabla4[[#This Row],[SERVICIO 2025]],$J$2:$V$14,3,0)*Tabla4[[#This Row],[TOTAL COBERTURA]]*8</f>
        <v>346207104</v>
      </c>
      <c r="AQ880" s="35"/>
      <c r="AR880" s="35">
        <f>Tabla4[[#This Row],[VALOR FASE PREPARATORIA DE ALISTAMIENTO]]+Tabla4[[#This Row],[VALOR FASE PREPARATORIA DE CIERRE]]+Tabla4[[#This Row],[DOTACIÓN ÚNICA]]+Tabla4[[#This Row],[VALOR ATENCIÓN]]+Tabla4[[#This Row],[VALOR RACION PREPARADA]]</f>
        <v>360241100</v>
      </c>
      <c r="AS880" s="35" t="str">
        <f>+IF(Tabla4[[#This Row],[AGRUPACIONES]]=1,SUMIFS(Tabla4[VALOR TOTAL],Tabla4[ZONA DEFINITIVO],Tabla4[[#This Row],[ZONA DEFINITIVO]])," ")</f>
        <v xml:space="preserve"> </v>
      </c>
      <c r="AT880" s="27">
        <f>(VLOOKUP(Tabla4[[#This Row],[SERVICIO 2025]],$J$2:$V$14,3,0)*Tabla4[[#This Row],[TOTAL COBERTURA]])+Tabla4[[#This Row],[VALOR FASE PREPARATORIA DE ALISTAMIENTO]]+Tabla4[[#This Row],[DOTACIÓN ÚNICA]]</f>
        <v>50856186</v>
      </c>
      <c r="AU880" s="35">
        <f>(VLOOKUP(Tabla4[[#This Row],[SERVICIO 2025]],$J$2:$V$14,3,0)*Tabla4[[#This Row],[TOTAL COBERTURA]])</f>
        <v>43275888</v>
      </c>
      <c r="AV880" s="35">
        <f>(VLOOKUP(Tabla4[[#This Row],[SERVICIO 2025]],$J$2:$V$14,3,0)*Tabla4[[#This Row],[TOTAL COBERTURA]])</f>
        <v>43275888</v>
      </c>
      <c r="AW880" s="35">
        <f>(VLOOKUP(Tabla4[[#This Row],[SERVICIO 2025]],$J$2:$V$14,3,0)*Tabla4[[#This Row],[TOTAL COBERTURA]])</f>
        <v>43275888</v>
      </c>
      <c r="AX880" s="35">
        <f>(VLOOKUP(Tabla4[[#This Row],[SERVICIO 2025]],$J$2:$V$14,3,0)*Tabla4[[#This Row],[TOTAL COBERTURA]])</f>
        <v>43275888</v>
      </c>
      <c r="AY880" s="35">
        <f>(VLOOKUP(Tabla4[[#This Row],[SERVICIO 2025]],$J$2:$V$14,3,0)*Tabla4[[#This Row],[TOTAL COBERTURA]])</f>
        <v>43275888</v>
      </c>
      <c r="AZ880" s="35">
        <f>(VLOOKUP(Tabla4[[#This Row],[SERVICIO 2025]],$J$2:$V$14,3,0)*Tabla4[[#This Row],[TOTAL COBERTURA]])</f>
        <v>43275888</v>
      </c>
      <c r="BA880" s="35">
        <f>(VLOOKUP(Tabla4[[#This Row],[SERVICIO 2025]],$J$2:$V$14,3,0)*Tabla4[[#This Row],[TOTAL COBERTURA]])+Tabla4[[#This Row],[VALOR FASE PREPARATORIA DE CIERRE]]</f>
        <v>49729586</v>
      </c>
      <c r="BB880" s="35">
        <f>SUM(Tabla4[[#This Row],[DESEMBOLSO 1]:[DESEMBOLSO 8]])</f>
        <v>360241100</v>
      </c>
      <c r="BC880" s="35">
        <f>VLOOKUP(Tabla4[[#This Row],[SERVICIO 2025]],$J$2:$V$14,10,0)*Tabla4[[#This Row],[TOTAL COBERTURA]]*$W$3</f>
        <v>0</v>
      </c>
      <c r="BD880" s="47" t="s">
        <v>145</v>
      </c>
      <c r="BE880" s="12" t="b">
        <f>EXACT(Tabla4[[#This Row],[VALOR ATENCIÓN (8 MESES)]],Tabla4[[#This Row],[VALOR TOTAL]])</f>
        <v>1</v>
      </c>
      <c r="BF880" s="23">
        <f>Tabla4[[#This Row],[VALOR ATENCIÓN (8 MESES)]]-Tabla4[[#This Row],[VALOR TOTAL]]</f>
        <v>0</v>
      </c>
      <c r="BG880" s="12" t="b">
        <f>EXACT(Tabla4[[#This Row],[TOTAL DESEMBOLSOS]],Tabla4[[#This Row],[VALOR ATENCIÓN (8 MESES)]])</f>
        <v>1</v>
      </c>
      <c r="BH880" s="29">
        <f>Tabla4[[#This Row],[TOTAL DESEMBOLSOS]]-Tabla4[[#This Row],[VALOR ATENCIÓN (8 MESES)]]</f>
        <v>0</v>
      </c>
      <c r="BI880" t="s">
        <v>98</v>
      </c>
      <c r="BJ880">
        <v>1976</v>
      </c>
    </row>
    <row r="881" spans="1:62">
      <c r="A881" s="13">
        <v>1976</v>
      </c>
      <c r="B881" s="13" t="s">
        <v>1924</v>
      </c>
      <c r="C881" s="12" t="s">
        <v>87</v>
      </c>
      <c r="D881" s="12" t="s">
        <v>579</v>
      </c>
      <c r="E881" s="12" t="s">
        <v>1925</v>
      </c>
      <c r="F881" s="12" t="s">
        <v>14</v>
      </c>
      <c r="G881" s="12" t="s">
        <v>90</v>
      </c>
      <c r="H881" s="12" t="s">
        <v>1953</v>
      </c>
      <c r="I881" s="12">
        <v>554300054915</v>
      </c>
      <c r="J881" s="12" t="s">
        <v>1954</v>
      </c>
      <c r="K881" s="12">
        <v>1</v>
      </c>
      <c r="L881" s="12">
        <v>15</v>
      </c>
      <c r="M881" s="12"/>
      <c r="N881" s="13">
        <v>1976</v>
      </c>
      <c r="O881" s="12" t="s">
        <v>93</v>
      </c>
      <c r="P881" s="12"/>
      <c r="Q881" s="12"/>
      <c r="R881" s="12" t="s">
        <v>94</v>
      </c>
      <c r="S881" s="12">
        <v>10</v>
      </c>
      <c r="T881" s="12" t="s">
        <v>1928</v>
      </c>
      <c r="U881" s="12" t="s">
        <v>1929</v>
      </c>
      <c r="V881" s="12">
        <f>VLOOKUP(Tabla4[[#This Row],[ZONA DEFINITIVO]],Hoja1!$A$1:$D$121,3,0)</f>
        <v>229133</v>
      </c>
      <c r="W881" s="12">
        <f>VLOOKUP(Tabla4[[#This Row],[ZONA DEFINITIVO]],Hoja1!$A$1:$D$121,2,0)</f>
        <v>15209</v>
      </c>
      <c r="X881" s="12">
        <f>VLOOKUP(Tabla4[[#This Row],[ZONA DEFINITIVO]],Hoja1!$A$1:$D$121,4,0)</f>
        <v>92325</v>
      </c>
      <c r="Y881" s="12" t="str">
        <f>+IF(Tabla4[[#This Row],[AGRUPACIONES]]=1,SUMIFS(Tabla4[UDS],Tabla4[ZONA DEFINITIVO],Tabla4[[#This Row],[ZONA DEFINITIVO]])," ")</f>
        <v xml:space="preserve"> </v>
      </c>
      <c r="Z881" s="12" t="str">
        <f>+IF(Tabla4[[#This Row],[AGRUPACIONES]]=1,SUMIFS(Tabla4[TOTAL COBERTURA],Tabla4[ZONA DEFINITIVO],Tabla4[[#This Row],[ZONA DEFINITIVO]])," ")</f>
        <v xml:space="preserve"> </v>
      </c>
      <c r="AA881" s="12"/>
      <c r="AB881" s="38">
        <v>62832750</v>
      </c>
      <c r="AC881" s="37">
        <v>0.02</v>
      </c>
      <c r="AD881" s="38">
        <f t="shared" si="14"/>
        <v>1256655</v>
      </c>
      <c r="AE881" s="12"/>
      <c r="AF881" s="12">
        <f>COUNTIF($A$20:A881,A881)</f>
        <v>14</v>
      </c>
      <c r="AG881" s="38">
        <v>62832750</v>
      </c>
      <c r="AH881" s="38">
        <f>Tabla4[[#This Row],[VALOR CONTRAPARTIDA]]+Tabla4[[#This Row],[TOTAL APORTES ICBF]]</f>
        <v>64089405</v>
      </c>
      <c r="AI881" s="35"/>
      <c r="AJ881" s="38"/>
      <c r="AK881" s="38"/>
      <c r="AL881" s="23"/>
      <c r="AM881" s="35">
        <f>VLOOKUP(Tabla4[[#This Row],[SERVICIO 2025]],$J$2:$V$14,5,0)*Tabla4[[#This Row],[TOTAL COBERTURA]]</f>
        <v>1322145</v>
      </c>
      <c r="AN881" s="35">
        <f>VLOOKUP(Tabla4[[#This Row],[SERVICIO 2025]],$J$2:$V$14,6,0)*Tabla4[[#This Row],[TOTAL COBERTURA]]</f>
        <v>1125645</v>
      </c>
      <c r="AO881" s="35">
        <f>VLOOKUP(Tabla4[[#This Row],[SERVICIO 2025]],$J$2:$V$14,8,0)*Tabla4[[#This Row],[TOTAL COBERTURA]]</f>
        <v>0</v>
      </c>
      <c r="AP881" s="35">
        <f>VLOOKUP(Tabla4[[#This Row],[SERVICIO 2025]],$J$2:$V$14,3,0)*Tabla4[[#This Row],[TOTAL COBERTURA]]*8</f>
        <v>60384960</v>
      </c>
      <c r="AQ881" s="35"/>
      <c r="AR881" s="35">
        <f>Tabla4[[#This Row],[VALOR FASE PREPARATORIA DE ALISTAMIENTO]]+Tabla4[[#This Row],[VALOR FASE PREPARATORIA DE CIERRE]]+Tabla4[[#This Row],[DOTACIÓN ÚNICA]]+Tabla4[[#This Row],[VALOR ATENCIÓN]]+Tabla4[[#This Row],[VALOR RACION PREPARADA]]</f>
        <v>62832750</v>
      </c>
      <c r="AS881" s="35" t="str">
        <f>+IF(Tabla4[[#This Row],[AGRUPACIONES]]=1,SUMIFS(Tabla4[VALOR TOTAL],Tabla4[ZONA DEFINITIVO],Tabla4[[#This Row],[ZONA DEFINITIVO]])," ")</f>
        <v xml:space="preserve"> </v>
      </c>
      <c r="AT881" s="27">
        <f>(VLOOKUP(Tabla4[[#This Row],[SERVICIO 2025]],$J$2:$V$14,3,0)*Tabla4[[#This Row],[TOTAL COBERTURA]])+Tabla4[[#This Row],[VALOR FASE PREPARATORIA DE ALISTAMIENTO]]+Tabla4[[#This Row],[DOTACIÓN ÚNICA]]</f>
        <v>8870265</v>
      </c>
      <c r="AU881" s="35">
        <f>(VLOOKUP(Tabla4[[#This Row],[SERVICIO 2025]],$J$2:$V$14,3,0)*Tabla4[[#This Row],[TOTAL COBERTURA]])</f>
        <v>7548120</v>
      </c>
      <c r="AV881" s="35">
        <f>(VLOOKUP(Tabla4[[#This Row],[SERVICIO 2025]],$J$2:$V$14,3,0)*Tabla4[[#This Row],[TOTAL COBERTURA]])</f>
        <v>7548120</v>
      </c>
      <c r="AW881" s="35">
        <f>(VLOOKUP(Tabla4[[#This Row],[SERVICIO 2025]],$J$2:$V$14,3,0)*Tabla4[[#This Row],[TOTAL COBERTURA]])</f>
        <v>7548120</v>
      </c>
      <c r="AX881" s="35">
        <f>(VLOOKUP(Tabla4[[#This Row],[SERVICIO 2025]],$J$2:$V$14,3,0)*Tabla4[[#This Row],[TOTAL COBERTURA]])</f>
        <v>7548120</v>
      </c>
      <c r="AY881" s="35">
        <f>(VLOOKUP(Tabla4[[#This Row],[SERVICIO 2025]],$J$2:$V$14,3,0)*Tabla4[[#This Row],[TOTAL COBERTURA]])</f>
        <v>7548120</v>
      </c>
      <c r="AZ881" s="35">
        <f>(VLOOKUP(Tabla4[[#This Row],[SERVICIO 2025]],$J$2:$V$14,3,0)*Tabla4[[#This Row],[TOTAL COBERTURA]])</f>
        <v>7548120</v>
      </c>
      <c r="BA881" s="35">
        <f>(VLOOKUP(Tabla4[[#This Row],[SERVICIO 2025]],$J$2:$V$14,3,0)*Tabla4[[#This Row],[TOTAL COBERTURA]])+Tabla4[[#This Row],[VALOR FASE PREPARATORIA DE CIERRE]]</f>
        <v>8673765</v>
      </c>
      <c r="BB881" s="35">
        <f>SUM(Tabla4[[#This Row],[DESEMBOLSO 1]:[DESEMBOLSO 8]])</f>
        <v>62832750</v>
      </c>
      <c r="BC881" s="35">
        <f>VLOOKUP(Tabla4[[#This Row],[SERVICIO 2025]],$J$2:$V$14,10,0)*Tabla4[[#This Row],[TOTAL COBERTURA]]*$W$3</f>
        <v>0</v>
      </c>
      <c r="BD881" s="47" t="s">
        <v>145</v>
      </c>
      <c r="BE881" s="12" t="b">
        <f>EXACT(Tabla4[[#This Row],[VALOR ATENCIÓN (8 MESES)]],Tabla4[[#This Row],[VALOR TOTAL]])</f>
        <v>1</v>
      </c>
      <c r="BF881" s="23">
        <f>Tabla4[[#This Row],[VALOR ATENCIÓN (8 MESES)]]-Tabla4[[#This Row],[VALOR TOTAL]]</f>
        <v>0</v>
      </c>
      <c r="BG881" s="12" t="b">
        <f>EXACT(Tabla4[[#This Row],[TOTAL DESEMBOLSOS]],Tabla4[[#This Row],[VALOR ATENCIÓN (8 MESES)]])</f>
        <v>1</v>
      </c>
      <c r="BH881" s="29">
        <f>Tabla4[[#This Row],[TOTAL DESEMBOLSOS]]-Tabla4[[#This Row],[VALOR ATENCIÓN (8 MESES)]]</f>
        <v>0</v>
      </c>
      <c r="BI881" t="s">
        <v>98</v>
      </c>
      <c r="BJ881">
        <v>1976</v>
      </c>
    </row>
    <row r="882" spans="1:62">
      <c r="A882" s="13">
        <v>1976</v>
      </c>
      <c r="B882" s="13" t="s">
        <v>1924</v>
      </c>
      <c r="C882" s="12" t="s">
        <v>87</v>
      </c>
      <c r="D882" s="12" t="s">
        <v>579</v>
      </c>
      <c r="E882" s="12" t="s">
        <v>1925</v>
      </c>
      <c r="F882" s="12" t="s">
        <v>18</v>
      </c>
      <c r="G882" s="12" t="s">
        <v>90</v>
      </c>
      <c r="H882" s="12" t="s">
        <v>1955</v>
      </c>
      <c r="I882" s="12">
        <v>554300100038</v>
      </c>
      <c r="J882" s="12" t="s">
        <v>1956</v>
      </c>
      <c r="K882" s="12">
        <v>1</v>
      </c>
      <c r="L882" s="12">
        <v>14</v>
      </c>
      <c r="M882" s="12"/>
      <c r="N882" s="13">
        <v>1976</v>
      </c>
      <c r="O882" s="12" t="s">
        <v>93</v>
      </c>
      <c r="P882" s="12"/>
      <c r="Q882" s="12"/>
      <c r="R882" s="12" t="s">
        <v>94</v>
      </c>
      <c r="S882" s="12">
        <v>10</v>
      </c>
      <c r="T882" s="12" t="s">
        <v>1928</v>
      </c>
      <c r="U882" s="12" t="s">
        <v>1929</v>
      </c>
      <c r="V882" s="12">
        <f>VLOOKUP(Tabla4[[#This Row],[ZONA DEFINITIVO]],Hoja1!$A$1:$D$121,3,0)</f>
        <v>229133</v>
      </c>
      <c r="W882" s="12">
        <f>VLOOKUP(Tabla4[[#This Row],[ZONA DEFINITIVO]],Hoja1!$A$1:$D$121,2,0)</f>
        <v>15209</v>
      </c>
      <c r="X882" s="12">
        <f>VLOOKUP(Tabla4[[#This Row],[ZONA DEFINITIVO]],Hoja1!$A$1:$D$121,4,0)</f>
        <v>92325</v>
      </c>
      <c r="Y882" s="12" t="str">
        <f>+IF(Tabla4[[#This Row],[AGRUPACIONES]]=1,SUMIFS(Tabla4[UDS],Tabla4[ZONA DEFINITIVO],Tabla4[[#This Row],[ZONA DEFINITIVO]])," ")</f>
        <v xml:space="preserve"> </v>
      </c>
      <c r="Z882" s="12" t="str">
        <f>+IF(Tabla4[[#This Row],[AGRUPACIONES]]=1,SUMIFS(Tabla4[TOTAL COBERTURA],Tabla4[ZONA DEFINITIVO],Tabla4[[#This Row],[ZONA DEFINITIVO]])," ")</f>
        <v xml:space="preserve"> </v>
      </c>
      <c r="AA882" s="12"/>
      <c r="AB882" s="38">
        <v>30522702</v>
      </c>
      <c r="AC882" s="37">
        <v>0.02</v>
      </c>
      <c r="AD882" s="38">
        <f t="shared" si="14"/>
        <v>610454.04</v>
      </c>
      <c r="AE882" s="12"/>
      <c r="AF882" s="12">
        <f>COUNTIF($A$20:A882,A882)</f>
        <v>15</v>
      </c>
      <c r="AG882" s="38">
        <v>30522702</v>
      </c>
      <c r="AH882" s="38">
        <f>Tabla4[[#This Row],[VALOR CONTRAPARTIDA]]+Tabla4[[#This Row],[TOTAL APORTES ICBF]]</f>
        <v>31133156.039999999</v>
      </c>
      <c r="AI882" s="35"/>
      <c r="AJ882" s="38"/>
      <c r="AK882" s="38"/>
      <c r="AL882" s="23"/>
      <c r="AM882" s="35">
        <f>VLOOKUP(Tabla4[[#This Row],[SERVICIO 2025]],$J$2:$V$14,5,0)*Tabla4[[#This Row],[TOTAL COBERTURA]]</f>
        <v>691264</v>
      </c>
      <c r="AN882" s="35">
        <f>VLOOKUP(Tabla4[[#This Row],[SERVICIO 2025]],$J$2:$V$14,6,0)*Tabla4[[#This Row],[TOTAL COBERTURA]]</f>
        <v>574406</v>
      </c>
      <c r="AO882" s="35">
        <f>VLOOKUP(Tabla4[[#This Row],[SERVICIO 2025]],$J$2:$V$14,8,0)*Tabla4[[#This Row],[TOTAL COBERTURA]]</f>
        <v>407400</v>
      </c>
      <c r="AP882" s="35">
        <f>VLOOKUP(Tabla4[[#This Row],[SERVICIO 2025]],$J$2:$V$14,3,0)*Tabla4[[#This Row],[TOTAL COBERTURA]]*8</f>
        <v>28849632</v>
      </c>
      <c r="AQ882" s="35"/>
      <c r="AR882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882" s="35" t="str">
        <f>+IF(Tabla4[[#This Row],[AGRUPACIONES]]=1,SUMIFS(Tabla4[VALOR TOTAL],Tabla4[ZONA DEFINITIVO],Tabla4[[#This Row],[ZONA DEFINITIVO]])," ")</f>
        <v xml:space="preserve"> </v>
      </c>
      <c r="AT882" s="27">
        <f>(VLOOKUP(Tabla4[[#This Row],[SERVICIO 2025]],$J$2:$V$14,3,0)*Tabla4[[#This Row],[TOTAL COBERTURA]])+Tabla4[[#This Row],[VALOR FASE PREPARATORIA DE ALISTAMIENTO]]+Tabla4[[#This Row],[DOTACIÓN ÚNICA]]</f>
        <v>4704868</v>
      </c>
      <c r="AU882" s="35">
        <f>(VLOOKUP(Tabla4[[#This Row],[SERVICIO 2025]],$J$2:$V$14,3,0)*Tabla4[[#This Row],[TOTAL COBERTURA]])</f>
        <v>3606204</v>
      </c>
      <c r="AV882" s="35">
        <f>(VLOOKUP(Tabla4[[#This Row],[SERVICIO 2025]],$J$2:$V$14,3,0)*Tabla4[[#This Row],[TOTAL COBERTURA]])</f>
        <v>3606204</v>
      </c>
      <c r="AW882" s="35">
        <f>(VLOOKUP(Tabla4[[#This Row],[SERVICIO 2025]],$J$2:$V$14,3,0)*Tabla4[[#This Row],[TOTAL COBERTURA]])</f>
        <v>3606204</v>
      </c>
      <c r="AX882" s="35">
        <f>(VLOOKUP(Tabla4[[#This Row],[SERVICIO 2025]],$J$2:$V$14,3,0)*Tabla4[[#This Row],[TOTAL COBERTURA]])</f>
        <v>3606204</v>
      </c>
      <c r="AY882" s="35">
        <f>(VLOOKUP(Tabla4[[#This Row],[SERVICIO 2025]],$J$2:$V$14,3,0)*Tabla4[[#This Row],[TOTAL COBERTURA]])</f>
        <v>3606204</v>
      </c>
      <c r="AZ882" s="35">
        <f>(VLOOKUP(Tabla4[[#This Row],[SERVICIO 2025]],$J$2:$V$14,3,0)*Tabla4[[#This Row],[TOTAL COBERTURA]])</f>
        <v>3606204</v>
      </c>
      <c r="BA882" s="35">
        <f>(VLOOKUP(Tabla4[[#This Row],[SERVICIO 2025]],$J$2:$V$14,3,0)*Tabla4[[#This Row],[TOTAL COBERTURA]])+Tabla4[[#This Row],[VALOR FASE PREPARATORIA DE CIERRE]]</f>
        <v>4180610</v>
      </c>
      <c r="BB882" s="35">
        <f>SUM(Tabla4[[#This Row],[DESEMBOLSO 1]:[DESEMBOLSO 8]])</f>
        <v>30522702</v>
      </c>
      <c r="BC882" s="35">
        <f>VLOOKUP(Tabla4[[#This Row],[SERVICIO 2025]],$J$2:$V$14,10,0)*Tabla4[[#This Row],[TOTAL COBERTURA]]*$W$3</f>
        <v>20202896</v>
      </c>
      <c r="BD882" s="47" t="s">
        <v>211</v>
      </c>
      <c r="BE882" s="12" t="b">
        <f>EXACT(Tabla4[[#This Row],[VALOR ATENCIÓN (8 MESES)]],Tabla4[[#This Row],[VALOR TOTAL]])</f>
        <v>1</v>
      </c>
      <c r="BF882" s="23">
        <f>Tabla4[[#This Row],[VALOR ATENCIÓN (8 MESES)]]-Tabla4[[#This Row],[VALOR TOTAL]]</f>
        <v>0</v>
      </c>
      <c r="BG882" s="12" t="b">
        <f>EXACT(Tabla4[[#This Row],[TOTAL DESEMBOLSOS]],Tabla4[[#This Row],[VALOR ATENCIÓN (8 MESES)]])</f>
        <v>1</v>
      </c>
      <c r="BH882" s="29">
        <f>Tabla4[[#This Row],[TOTAL DESEMBOLSOS]]-Tabla4[[#This Row],[VALOR ATENCIÓN (8 MESES)]]</f>
        <v>0</v>
      </c>
      <c r="BI882" t="s">
        <v>98</v>
      </c>
      <c r="BJ882">
        <v>1976</v>
      </c>
    </row>
    <row r="883" spans="1:62">
      <c r="A883" s="13">
        <v>1977</v>
      </c>
      <c r="B883" s="13" t="s">
        <v>1957</v>
      </c>
      <c r="C883" s="12" t="s">
        <v>87</v>
      </c>
      <c r="D883" s="12" t="s">
        <v>482</v>
      </c>
      <c r="E883" s="12" t="s">
        <v>1958</v>
      </c>
      <c r="F883" s="12" t="s">
        <v>21</v>
      </c>
      <c r="G883" s="12" t="s">
        <v>90</v>
      </c>
      <c r="H883" s="12" t="s">
        <v>1959</v>
      </c>
      <c r="I883" s="12">
        <v>55791116750</v>
      </c>
      <c r="J883" s="12" t="s">
        <v>1960</v>
      </c>
      <c r="K883" s="12">
        <v>1</v>
      </c>
      <c r="L883" s="12">
        <v>11</v>
      </c>
      <c r="M883" s="12"/>
      <c r="N883" s="13">
        <v>1977</v>
      </c>
      <c r="O883" s="12" t="s">
        <v>93</v>
      </c>
      <c r="P883" s="12"/>
      <c r="Q883" s="12"/>
      <c r="R883" s="12" t="s">
        <v>94</v>
      </c>
      <c r="S883" s="12">
        <v>10</v>
      </c>
      <c r="T883" s="12" t="s">
        <v>1961</v>
      </c>
      <c r="U883" s="12" t="s">
        <v>1962</v>
      </c>
      <c r="V883" s="12">
        <f>VLOOKUP(Tabla4[[#This Row],[ZONA DEFINITIVO]],Hoja1!$A$1:$D$121,3,0)</f>
        <v>229134</v>
      </c>
      <c r="W883" s="12">
        <f>VLOOKUP(Tabla4[[#This Row],[ZONA DEFINITIVO]],Hoja1!$A$1:$D$121,2,0)</f>
        <v>15239</v>
      </c>
      <c r="X883" s="12">
        <f>VLOOKUP(Tabla4[[#This Row],[ZONA DEFINITIVO]],Hoja1!$A$1:$D$121,4,0)</f>
        <v>88325</v>
      </c>
      <c r="Y883" s="12">
        <f>+IF(Tabla4[[#This Row],[AGRUPACIONES]]=1,SUMIFS(Tabla4[UDS],Tabla4[ZONA DEFINITIVO],Tabla4[[#This Row],[ZONA DEFINITIVO]])," ")</f>
        <v>21</v>
      </c>
      <c r="Z883" s="12">
        <f>+IF(Tabla4[[#This Row],[AGRUPACIONES]]=1,SUMIFS(Tabla4[TOTAL COBERTURA],Tabla4[ZONA DEFINITIVO],Tabla4[[#This Row],[ZONA DEFINITIVO]])," ")</f>
        <v>740</v>
      </c>
      <c r="AA883" s="12"/>
      <c r="AB883" s="38">
        <v>16712355</v>
      </c>
      <c r="AC883" s="37">
        <v>0.02</v>
      </c>
      <c r="AD883" s="38">
        <f t="shared" si="14"/>
        <v>334247.10000000003</v>
      </c>
      <c r="AE883" s="12"/>
      <c r="AF883" s="12">
        <f>COUNTIF($A$20:A883,A883)</f>
        <v>1</v>
      </c>
      <c r="AG883" s="38">
        <v>16712355</v>
      </c>
      <c r="AH883" s="38">
        <f>Tabla4[[#This Row],[VALOR CONTRAPARTIDA]]+Tabla4[[#This Row],[TOTAL APORTES ICBF]]</f>
        <v>17046602.100000001</v>
      </c>
      <c r="AI883" s="35">
        <f>ROUND(+IF(Tabla4[[#This Row],[AGRUPACIONES]]=1,SUMIFS(Tabla4[TOTAL APORTES ICBF],Tabla4[ZONA DEFINITIVO],Tabla4[[#This Row],[ZONA DEFINITIVO]])," "),0)</f>
        <v>1526841326</v>
      </c>
      <c r="AJ883" s="38">
        <f>ROUND(+IF(Tabla4[[#This Row],[AGRUPACIONES]]=1,SUMIFS(Tabla4[VALOR CONTRAPARTIDA],Tabla4[ZONA DEFINITIVO],Tabla4[[#This Row],[ZONA DEFINITIVO]])," "),0)</f>
        <v>30536827</v>
      </c>
      <c r="AK883" s="38">
        <f>Tabla4[[#This Row],[TOTAL APORTES ICBF AGRUPADO]]+Tabla4[[#This Row],[TOTAL CONTRAPARTIDA AGRUPADO]]</f>
        <v>1557378153</v>
      </c>
      <c r="AL883" s="23">
        <f>Tabla4[[#This Row],[TOTAL APORTES ICBF AGRUPADO]]/$AL$18</f>
        <v>1072.596646294345</v>
      </c>
      <c r="AM883" s="35">
        <f>VLOOKUP(Tabla4[[#This Row],[SERVICIO 2025]],$J$2:$V$14,5,0)*Tabla4[[#This Row],[TOTAL COBERTURA]]</f>
        <v>514184</v>
      </c>
      <c r="AN883" s="35">
        <f>VLOOKUP(Tabla4[[#This Row],[SERVICIO 2025]],$J$2:$V$14,6,0)*Tabla4[[#This Row],[TOTAL COBERTURA]]</f>
        <v>416251</v>
      </c>
      <c r="AO883" s="35">
        <f>VLOOKUP(Tabla4[[#This Row],[SERVICIO 2025]],$J$2:$V$14,8,0)*Tabla4[[#This Row],[TOTAL COBERTURA]]</f>
        <v>0</v>
      </c>
      <c r="AP883" s="35">
        <f>VLOOKUP(Tabla4[[#This Row],[SERVICIO 2025]],$J$2:$V$14,3,0)*Tabla4[[#This Row],[TOTAL COBERTURA]]*8</f>
        <v>15781920</v>
      </c>
      <c r="AQ883" s="35"/>
      <c r="AR883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883" s="35">
        <f>+IF(Tabla4[[#This Row],[AGRUPACIONES]]=1,SUMIFS(Tabla4[VALOR TOTAL],Tabla4[ZONA DEFINITIVO],Tabla4[[#This Row],[ZONA DEFINITIVO]])," ")</f>
        <v>1526841326</v>
      </c>
      <c r="AT883" s="27">
        <f>(VLOOKUP(Tabla4[[#This Row],[SERVICIO 2025]],$J$2:$V$14,3,0)*Tabla4[[#This Row],[TOTAL COBERTURA]])+Tabla4[[#This Row],[VALOR FASE PREPARATORIA DE ALISTAMIENTO]]+Tabla4[[#This Row],[DOTACIÓN ÚNICA]]</f>
        <v>2486924</v>
      </c>
      <c r="AU883" s="35">
        <f>(VLOOKUP(Tabla4[[#This Row],[SERVICIO 2025]],$J$2:$V$14,3,0)*Tabla4[[#This Row],[TOTAL COBERTURA]])</f>
        <v>1972740</v>
      </c>
      <c r="AV883" s="35">
        <f>(VLOOKUP(Tabla4[[#This Row],[SERVICIO 2025]],$J$2:$V$14,3,0)*Tabla4[[#This Row],[TOTAL COBERTURA]])</f>
        <v>1972740</v>
      </c>
      <c r="AW883" s="35">
        <f>(VLOOKUP(Tabla4[[#This Row],[SERVICIO 2025]],$J$2:$V$14,3,0)*Tabla4[[#This Row],[TOTAL COBERTURA]])</f>
        <v>1972740</v>
      </c>
      <c r="AX883" s="35">
        <f>(VLOOKUP(Tabla4[[#This Row],[SERVICIO 2025]],$J$2:$V$14,3,0)*Tabla4[[#This Row],[TOTAL COBERTURA]])</f>
        <v>1972740</v>
      </c>
      <c r="AY883" s="35">
        <f>(VLOOKUP(Tabla4[[#This Row],[SERVICIO 2025]],$J$2:$V$14,3,0)*Tabla4[[#This Row],[TOTAL COBERTURA]])</f>
        <v>1972740</v>
      </c>
      <c r="AZ883" s="35">
        <f>(VLOOKUP(Tabla4[[#This Row],[SERVICIO 2025]],$J$2:$V$14,3,0)*Tabla4[[#This Row],[TOTAL COBERTURA]])</f>
        <v>1972740</v>
      </c>
      <c r="BA883" s="35">
        <f>(VLOOKUP(Tabla4[[#This Row],[SERVICIO 2025]],$J$2:$V$14,3,0)*Tabla4[[#This Row],[TOTAL COBERTURA]])+Tabla4[[#This Row],[VALOR FASE PREPARATORIA DE CIERRE]]</f>
        <v>2388991</v>
      </c>
      <c r="BB883" s="35">
        <f>SUM(Tabla4[[#This Row],[DESEMBOLSO 1]:[DESEMBOLSO 8]])</f>
        <v>16712355</v>
      </c>
      <c r="BC883" s="35">
        <f>VLOOKUP(Tabla4[[#This Row],[SERVICIO 2025]],$J$2:$V$14,10,0)*Tabla4[[#This Row],[TOTAL COBERTURA]]*$W$3</f>
        <v>16572248</v>
      </c>
      <c r="BD883" s="47" t="s">
        <v>211</v>
      </c>
      <c r="BE883" s="12" t="b">
        <f>EXACT(Tabla4[[#This Row],[VALOR ATENCIÓN (8 MESES)]],Tabla4[[#This Row],[VALOR TOTAL]])</f>
        <v>1</v>
      </c>
      <c r="BF883" s="23">
        <f>Tabla4[[#This Row],[VALOR ATENCIÓN (8 MESES)]]-Tabla4[[#This Row],[VALOR TOTAL]]</f>
        <v>0</v>
      </c>
      <c r="BG883" s="12" t="b">
        <f>EXACT(Tabla4[[#This Row],[TOTAL DESEMBOLSOS]],Tabla4[[#This Row],[VALOR ATENCIÓN (8 MESES)]])</f>
        <v>1</v>
      </c>
      <c r="BH883" s="29">
        <f>Tabla4[[#This Row],[TOTAL DESEMBOLSOS]]-Tabla4[[#This Row],[VALOR ATENCIÓN (8 MESES)]]</f>
        <v>0</v>
      </c>
      <c r="BI883" t="s">
        <v>98</v>
      </c>
      <c r="BJ883">
        <v>1977</v>
      </c>
    </row>
    <row r="884" spans="1:62">
      <c r="A884" s="13">
        <v>1977</v>
      </c>
      <c r="B884" s="13" t="s">
        <v>1957</v>
      </c>
      <c r="C884" s="12" t="s">
        <v>87</v>
      </c>
      <c r="D884" s="12" t="s">
        <v>482</v>
      </c>
      <c r="E884" s="12" t="s">
        <v>1958</v>
      </c>
      <c r="F884" s="12" t="s">
        <v>21</v>
      </c>
      <c r="G884" s="12" t="s">
        <v>90</v>
      </c>
      <c r="H884" s="12" t="s">
        <v>1963</v>
      </c>
      <c r="I884" s="12">
        <v>55791116756</v>
      </c>
      <c r="J884" s="12" t="s">
        <v>1964</v>
      </c>
      <c r="K884" s="12">
        <v>1</v>
      </c>
      <c r="L884" s="12">
        <v>19</v>
      </c>
      <c r="M884" s="12"/>
      <c r="N884" s="13">
        <v>1977</v>
      </c>
      <c r="O884" s="12" t="s">
        <v>93</v>
      </c>
      <c r="P884" s="12"/>
      <c r="Q884" s="12"/>
      <c r="R884" s="12" t="s">
        <v>94</v>
      </c>
      <c r="S884" s="12">
        <v>10</v>
      </c>
      <c r="T884" s="12" t="s">
        <v>1961</v>
      </c>
      <c r="U884" s="12" t="s">
        <v>1962</v>
      </c>
      <c r="V884" s="12">
        <f>VLOOKUP(Tabla4[[#This Row],[ZONA DEFINITIVO]],Hoja1!$A$1:$D$121,3,0)</f>
        <v>229134</v>
      </c>
      <c r="W884" s="12">
        <f>VLOOKUP(Tabla4[[#This Row],[ZONA DEFINITIVO]],Hoja1!$A$1:$D$121,2,0)</f>
        <v>15239</v>
      </c>
      <c r="X884" s="12">
        <f>VLOOKUP(Tabla4[[#This Row],[ZONA DEFINITIVO]],Hoja1!$A$1:$D$121,4,0)</f>
        <v>88325</v>
      </c>
      <c r="Y884" s="12" t="str">
        <f>+IF(Tabla4[[#This Row],[AGRUPACIONES]]=1,SUMIFS(Tabla4[UDS],Tabla4[ZONA DEFINITIVO],Tabla4[[#This Row],[ZONA DEFINITIVO]])," ")</f>
        <v xml:space="preserve"> </v>
      </c>
      <c r="Z884" s="12" t="str">
        <f>+IF(Tabla4[[#This Row],[AGRUPACIONES]]=1,SUMIFS(Tabla4[TOTAL COBERTURA],Tabla4[ZONA DEFINITIVO],Tabla4[[#This Row],[ZONA DEFINITIVO]])," ")</f>
        <v xml:space="preserve"> </v>
      </c>
      <c r="AA884" s="12"/>
      <c r="AB884" s="38">
        <v>28866795</v>
      </c>
      <c r="AC884" s="37">
        <v>0.02</v>
      </c>
      <c r="AD884" s="38">
        <f t="shared" si="14"/>
        <v>577335.9</v>
      </c>
      <c r="AE884" s="12"/>
      <c r="AF884" s="12">
        <f>COUNTIF($A$20:A884,A884)</f>
        <v>2</v>
      </c>
      <c r="AG884" s="38">
        <v>28866795</v>
      </c>
      <c r="AH884" s="38">
        <f>Tabla4[[#This Row],[VALOR CONTRAPARTIDA]]+Tabla4[[#This Row],[TOTAL APORTES ICBF]]</f>
        <v>29444130.899999999</v>
      </c>
      <c r="AI884" s="35"/>
      <c r="AJ884" s="38"/>
      <c r="AK884" s="38"/>
      <c r="AL884" s="23"/>
      <c r="AM884" s="35">
        <f>VLOOKUP(Tabla4[[#This Row],[SERVICIO 2025]],$J$2:$V$14,5,0)*Tabla4[[#This Row],[TOTAL COBERTURA]]</f>
        <v>888136</v>
      </c>
      <c r="AN884" s="35">
        <f>VLOOKUP(Tabla4[[#This Row],[SERVICIO 2025]],$J$2:$V$14,6,0)*Tabla4[[#This Row],[TOTAL COBERTURA]]</f>
        <v>718979</v>
      </c>
      <c r="AO884" s="35">
        <f>VLOOKUP(Tabla4[[#This Row],[SERVICIO 2025]],$J$2:$V$14,8,0)*Tabla4[[#This Row],[TOTAL COBERTURA]]</f>
        <v>0</v>
      </c>
      <c r="AP884" s="35">
        <f>VLOOKUP(Tabla4[[#This Row],[SERVICIO 2025]],$J$2:$V$14,3,0)*Tabla4[[#This Row],[TOTAL COBERTURA]]*8</f>
        <v>27259680</v>
      </c>
      <c r="AQ884" s="35"/>
      <c r="AR884" s="35">
        <f>Tabla4[[#This Row],[VALOR FASE PREPARATORIA DE ALISTAMIENTO]]+Tabla4[[#This Row],[VALOR FASE PREPARATORIA DE CIERRE]]+Tabla4[[#This Row],[DOTACIÓN ÚNICA]]+Tabla4[[#This Row],[VALOR ATENCIÓN]]+Tabla4[[#This Row],[VALOR RACION PREPARADA]]</f>
        <v>28866795</v>
      </c>
      <c r="AS884" s="35" t="str">
        <f>+IF(Tabla4[[#This Row],[AGRUPACIONES]]=1,SUMIFS(Tabla4[VALOR TOTAL],Tabla4[ZONA DEFINITIVO],Tabla4[[#This Row],[ZONA DEFINITIVO]])," ")</f>
        <v xml:space="preserve"> </v>
      </c>
      <c r="AT884" s="27">
        <f>(VLOOKUP(Tabla4[[#This Row],[SERVICIO 2025]],$J$2:$V$14,3,0)*Tabla4[[#This Row],[TOTAL COBERTURA]])+Tabla4[[#This Row],[VALOR FASE PREPARATORIA DE ALISTAMIENTO]]+Tabla4[[#This Row],[DOTACIÓN ÚNICA]]</f>
        <v>4295596</v>
      </c>
      <c r="AU884" s="35">
        <f>(VLOOKUP(Tabla4[[#This Row],[SERVICIO 2025]],$J$2:$V$14,3,0)*Tabla4[[#This Row],[TOTAL COBERTURA]])</f>
        <v>3407460</v>
      </c>
      <c r="AV884" s="35">
        <f>(VLOOKUP(Tabla4[[#This Row],[SERVICIO 2025]],$J$2:$V$14,3,0)*Tabla4[[#This Row],[TOTAL COBERTURA]])</f>
        <v>3407460</v>
      </c>
      <c r="AW884" s="35">
        <f>(VLOOKUP(Tabla4[[#This Row],[SERVICIO 2025]],$J$2:$V$14,3,0)*Tabla4[[#This Row],[TOTAL COBERTURA]])</f>
        <v>3407460</v>
      </c>
      <c r="AX884" s="35">
        <f>(VLOOKUP(Tabla4[[#This Row],[SERVICIO 2025]],$J$2:$V$14,3,0)*Tabla4[[#This Row],[TOTAL COBERTURA]])</f>
        <v>3407460</v>
      </c>
      <c r="AY884" s="35">
        <f>(VLOOKUP(Tabla4[[#This Row],[SERVICIO 2025]],$J$2:$V$14,3,0)*Tabla4[[#This Row],[TOTAL COBERTURA]])</f>
        <v>3407460</v>
      </c>
      <c r="AZ884" s="35">
        <f>(VLOOKUP(Tabla4[[#This Row],[SERVICIO 2025]],$J$2:$V$14,3,0)*Tabla4[[#This Row],[TOTAL COBERTURA]])</f>
        <v>3407460</v>
      </c>
      <c r="BA884" s="35">
        <f>(VLOOKUP(Tabla4[[#This Row],[SERVICIO 2025]],$J$2:$V$14,3,0)*Tabla4[[#This Row],[TOTAL COBERTURA]])+Tabla4[[#This Row],[VALOR FASE PREPARATORIA DE CIERRE]]</f>
        <v>4126439</v>
      </c>
      <c r="BB884" s="35">
        <f>SUM(Tabla4[[#This Row],[DESEMBOLSO 1]:[DESEMBOLSO 8]])</f>
        <v>28866795</v>
      </c>
      <c r="BC884" s="35">
        <f>VLOOKUP(Tabla4[[#This Row],[SERVICIO 2025]],$J$2:$V$14,10,0)*Tabla4[[#This Row],[TOTAL COBERTURA]]*$W$3</f>
        <v>28624792</v>
      </c>
      <c r="BD884" s="47" t="s">
        <v>211</v>
      </c>
      <c r="BE884" s="12" t="b">
        <f>EXACT(Tabla4[[#This Row],[VALOR ATENCIÓN (8 MESES)]],Tabla4[[#This Row],[VALOR TOTAL]])</f>
        <v>1</v>
      </c>
      <c r="BF884" s="23">
        <f>Tabla4[[#This Row],[VALOR ATENCIÓN (8 MESES)]]-Tabla4[[#This Row],[VALOR TOTAL]]</f>
        <v>0</v>
      </c>
      <c r="BG884" s="12" t="b">
        <f>EXACT(Tabla4[[#This Row],[TOTAL DESEMBOLSOS]],Tabla4[[#This Row],[VALOR ATENCIÓN (8 MESES)]])</f>
        <v>1</v>
      </c>
      <c r="BH884" s="29">
        <f>Tabla4[[#This Row],[TOTAL DESEMBOLSOS]]-Tabla4[[#This Row],[VALOR ATENCIÓN (8 MESES)]]</f>
        <v>0</v>
      </c>
      <c r="BI884" t="s">
        <v>98</v>
      </c>
      <c r="BJ884">
        <v>1977</v>
      </c>
    </row>
    <row r="885" spans="1:62">
      <c r="A885" s="13">
        <v>1977</v>
      </c>
      <c r="B885" s="13" t="s">
        <v>1957</v>
      </c>
      <c r="C885" s="12" t="s">
        <v>87</v>
      </c>
      <c r="D885" s="12" t="s">
        <v>482</v>
      </c>
      <c r="E885" s="12" t="s">
        <v>1958</v>
      </c>
      <c r="F885" s="12" t="s">
        <v>21</v>
      </c>
      <c r="G885" s="12" t="s">
        <v>90</v>
      </c>
      <c r="H885" s="12" t="s">
        <v>1965</v>
      </c>
      <c r="I885" s="12">
        <v>55791116760</v>
      </c>
      <c r="J885" s="12" t="s">
        <v>1966</v>
      </c>
      <c r="K885" s="12">
        <v>1</v>
      </c>
      <c r="L885" s="12">
        <v>20</v>
      </c>
      <c r="M885" s="12"/>
      <c r="N885" s="13">
        <v>1977</v>
      </c>
      <c r="O885" s="12" t="s">
        <v>93</v>
      </c>
      <c r="P885" s="12"/>
      <c r="Q885" s="12"/>
      <c r="R885" s="12" t="s">
        <v>94</v>
      </c>
      <c r="S885" s="12">
        <v>10</v>
      </c>
      <c r="T885" s="12" t="s">
        <v>1961</v>
      </c>
      <c r="U885" s="12" t="s">
        <v>1962</v>
      </c>
      <c r="V885" s="12">
        <f>VLOOKUP(Tabla4[[#This Row],[ZONA DEFINITIVO]],Hoja1!$A$1:$D$121,3,0)</f>
        <v>229134</v>
      </c>
      <c r="W885" s="12">
        <f>VLOOKUP(Tabla4[[#This Row],[ZONA DEFINITIVO]],Hoja1!$A$1:$D$121,2,0)</f>
        <v>15239</v>
      </c>
      <c r="X885" s="12">
        <f>VLOOKUP(Tabla4[[#This Row],[ZONA DEFINITIVO]],Hoja1!$A$1:$D$121,4,0)</f>
        <v>88325</v>
      </c>
      <c r="Y885" s="12" t="str">
        <f>+IF(Tabla4[[#This Row],[AGRUPACIONES]]=1,SUMIFS(Tabla4[UDS],Tabla4[ZONA DEFINITIVO],Tabla4[[#This Row],[ZONA DEFINITIVO]])," ")</f>
        <v xml:space="preserve"> </v>
      </c>
      <c r="Z885" s="12" t="str">
        <f>+IF(Tabla4[[#This Row],[AGRUPACIONES]]=1,SUMIFS(Tabla4[TOTAL COBERTURA],Tabla4[ZONA DEFINITIVO],Tabla4[[#This Row],[ZONA DEFINITIVO]])," ")</f>
        <v xml:space="preserve"> </v>
      </c>
      <c r="AA885" s="12"/>
      <c r="AB885" s="38">
        <v>30386100</v>
      </c>
      <c r="AC885" s="37">
        <v>0.02</v>
      </c>
      <c r="AD885" s="38">
        <f t="shared" si="14"/>
        <v>607722</v>
      </c>
      <c r="AE885" s="12"/>
      <c r="AF885" s="12">
        <f>COUNTIF($A$20:A885,A885)</f>
        <v>3</v>
      </c>
      <c r="AG885" s="38">
        <v>30386100</v>
      </c>
      <c r="AH885" s="38">
        <f>Tabla4[[#This Row],[VALOR CONTRAPARTIDA]]+Tabla4[[#This Row],[TOTAL APORTES ICBF]]</f>
        <v>30993822</v>
      </c>
      <c r="AI885" s="35"/>
      <c r="AJ885" s="38"/>
      <c r="AK885" s="38"/>
      <c r="AL885" s="23"/>
      <c r="AM885" s="35">
        <f>VLOOKUP(Tabla4[[#This Row],[SERVICIO 2025]],$J$2:$V$14,5,0)*Tabla4[[#This Row],[TOTAL COBERTURA]]</f>
        <v>934880</v>
      </c>
      <c r="AN885" s="35">
        <f>VLOOKUP(Tabla4[[#This Row],[SERVICIO 2025]],$J$2:$V$14,6,0)*Tabla4[[#This Row],[TOTAL COBERTURA]]</f>
        <v>756820</v>
      </c>
      <c r="AO885" s="35">
        <f>VLOOKUP(Tabla4[[#This Row],[SERVICIO 2025]],$J$2:$V$14,8,0)*Tabla4[[#This Row],[TOTAL COBERTURA]]</f>
        <v>0</v>
      </c>
      <c r="AP885" s="35">
        <f>VLOOKUP(Tabla4[[#This Row],[SERVICIO 2025]],$J$2:$V$14,3,0)*Tabla4[[#This Row],[TOTAL COBERTURA]]*8</f>
        <v>28694400</v>
      </c>
      <c r="AQ885" s="35"/>
      <c r="AR885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885" s="35" t="str">
        <f>+IF(Tabla4[[#This Row],[AGRUPACIONES]]=1,SUMIFS(Tabla4[VALOR TOTAL],Tabla4[ZONA DEFINITIVO],Tabla4[[#This Row],[ZONA DEFINITIVO]])," ")</f>
        <v xml:space="preserve"> </v>
      </c>
      <c r="AT885" s="27">
        <f>(VLOOKUP(Tabla4[[#This Row],[SERVICIO 2025]],$J$2:$V$14,3,0)*Tabla4[[#This Row],[TOTAL COBERTURA]])+Tabla4[[#This Row],[VALOR FASE PREPARATORIA DE ALISTAMIENTO]]+Tabla4[[#This Row],[DOTACIÓN ÚNICA]]</f>
        <v>4521680</v>
      </c>
      <c r="AU885" s="35">
        <f>(VLOOKUP(Tabla4[[#This Row],[SERVICIO 2025]],$J$2:$V$14,3,0)*Tabla4[[#This Row],[TOTAL COBERTURA]])</f>
        <v>3586800</v>
      </c>
      <c r="AV885" s="35">
        <f>(VLOOKUP(Tabla4[[#This Row],[SERVICIO 2025]],$J$2:$V$14,3,0)*Tabla4[[#This Row],[TOTAL COBERTURA]])</f>
        <v>3586800</v>
      </c>
      <c r="AW885" s="35">
        <f>(VLOOKUP(Tabla4[[#This Row],[SERVICIO 2025]],$J$2:$V$14,3,0)*Tabla4[[#This Row],[TOTAL COBERTURA]])</f>
        <v>3586800</v>
      </c>
      <c r="AX885" s="35">
        <f>(VLOOKUP(Tabla4[[#This Row],[SERVICIO 2025]],$J$2:$V$14,3,0)*Tabla4[[#This Row],[TOTAL COBERTURA]])</f>
        <v>3586800</v>
      </c>
      <c r="AY885" s="35">
        <f>(VLOOKUP(Tabla4[[#This Row],[SERVICIO 2025]],$J$2:$V$14,3,0)*Tabla4[[#This Row],[TOTAL COBERTURA]])</f>
        <v>3586800</v>
      </c>
      <c r="AZ885" s="35">
        <f>(VLOOKUP(Tabla4[[#This Row],[SERVICIO 2025]],$J$2:$V$14,3,0)*Tabla4[[#This Row],[TOTAL COBERTURA]])</f>
        <v>3586800</v>
      </c>
      <c r="BA885" s="35">
        <f>(VLOOKUP(Tabla4[[#This Row],[SERVICIO 2025]],$J$2:$V$14,3,0)*Tabla4[[#This Row],[TOTAL COBERTURA]])+Tabla4[[#This Row],[VALOR FASE PREPARATORIA DE CIERRE]]</f>
        <v>4343620</v>
      </c>
      <c r="BB885" s="35">
        <f>SUM(Tabla4[[#This Row],[DESEMBOLSO 1]:[DESEMBOLSO 8]])</f>
        <v>30386100</v>
      </c>
      <c r="BC885" s="35">
        <f>VLOOKUP(Tabla4[[#This Row],[SERVICIO 2025]],$J$2:$V$14,10,0)*Tabla4[[#This Row],[TOTAL COBERTURA]]*$W$3</f>
        <v>30131360</v>
      </c>
      <c r="BD885" s="47" t="s">
        <v>211</v>
      </c>
      <c r="BE885" s="12" t="b">
        <f>EXACT(Tabla4[[#This Row],[VALOR ATENCIÓN (8 MESES)]],Tabla4[[#This Row],[VALOR TOTAL]])</f>
        <v>1</v>
      </c>
      <c r="BF885" s="23">
        <f>Tabla4[[#This Row],[VALOR ATENCIÓN (8 MESES)]]-Tabla4[[#This Row],[VALOR TOTAL]]</f>
        <v>0</v>
      </c>
      <c r="BG885" s="12" t="b">
        <f>EXACT(Tabla4[[#This Row],[TOTAL DESEMBOLSOS]],Tabla4[[#This Row],[VALOR ATENCIÓN (8 MESES)]])</f>
        <v>1</v>
      </c>
      <c r="BH885" s="29">
        <f>Tabla4[[#This Row],[TOTAL DESEMBOLSOS]]-Tabla4[[#This Row],[VALOR ATENCIÓN (8 MESES)]]</f>
        <v>0</v>
      </c>
      <c r="BI885" t="s">
        <v>98</v>
      </c>
      <c r="BJ885">
        <v>1977</v>
      </c>
    </row>
    <row r="886" spans="1:62">
      <c r="A886" s="13">
        <v>1977</v>
      </c>
      <c r="B886" s="13" t="s">
        <v>1957</v>
      </c>
      <c r="C886" s="12" t="s">
        <v>87</v>
      </c>
      <c r="D886" s="12" t="s">
        <v>482</v>
      </c>
      <c r="E886" s="12" t="s">
        <v>1958</v>
      </c>
      <c r="F886" s="12" t="s">
        <v>21</v>
      </c>
      <c r="G886" s="12" t="s">
        <v>90</v>
      </c>
      <c r="H886" s="12" t="s">
        <v>1967</v>
      </c>
      <c r="I886" s="12">
        <v>55791116762</v>
      </c>
      <c r="J886" s="12" t="s">
        <v>1968</v>
      </c>
      <c r="K886" s="12">
        <v>1</v>
      </c>
      <c r="L886" s="12">
        <v>23</v>
      </c>
      <c r="M886" s="12"/>
      <c r="N886" s="13">
        <v>1977</v>
      </c>
      <c r="O886" s="12" t="s">
        <v>93</v>
      </c>
      <c r="P886" s="12"/>
      <c r="Q886" s="12"/>
      <c r="R886" s="12" t="s">
        <v>94</v>
      </c>
      <c r="S886" s="12">
        <v>10</v>
      </c>
      <c r="T886" s="12" t="s">
        <v>1961</v>
      </c>
      <c r="U886" s="12" t="s">
        <v>1962</v>
      </c>
      <c r="V886" s="12">
        <f>VLOOKUP(Tabla4[[#This Row],[ZONA DEFINITIVO]],Hoja1!$A$1:$D$121,3,0)</f>
        <v>229134</v>
      </c>
      <c r="W886" s="12">
        <f>VLOOKUP(Tabla4[[#This Row],[ZONA DEFINITIVO]],Hoja1!$A$1:$D$121,2,0)</f>
        <v>15239</v>
      </c>
      <c r="X886" s="12">
        <f>VLOOKUP(Tabla4[[#This Row],[ZONA DEFINITIVO]],Hoja1!$A$1:$D$121,4,0)</f>
        <v>88325</v>
      </c>
      <c r="Y886" s="12" t="str">
        <f>+IF(Tabla4[[#This Row],[AGRUPACIONES]]=1,SUMIFS(Tabla4[UDS],Tabla4[ZONA DEFINITIVO],Tabla4[[#This Row],[ZONA DEFINITIVO]])," ")</f>
        <v xml:space="preserve"> </v>
      </c>
      <c r="Z886" s="12" t="str">
        <f>+IF(Tabla4[[#This Row],[AGRUPACIONES]]=1,SUMIFS(Tabla4[TOTAL COBERTURA],Tabla4[ZONA DEFINITIVO],Tabla4[[#This Row],[ZONA DEFINITIVO]])," ")</f>
        <v xml:space="preserve"> </v>
      </c>
      <c r="AA886" s="12"/>
      <c r="AB886" s="38">
        <v>34944015</v>
      </c>
      <c r="AC886" s="37">
        <v>0.02</v>
      </c>
      <c r="AD886" s="38">
        <f t="shared" si="14"/>
        <v>698880.3</v>
      </c>
      <c r="AE886" s="12"/>
      <c r="AF886" s="12">
        <f>COUNTIF($A$20:A886,A886)</f>
        <v>4</v>
      </c>
      <c r="AG886" s="38">
        <v>34944015</v>
      </c>
      <c r="AH886" s="38">
        <f>Tabla4[[#This Row],[VALOR CONTRAPARTIDA]]+Tabla4[[#This Row],[TOTAL APORTES ICBF]]</f>
        <v>35642895.299999997</v>
      </c>
      <c r="AI886" s="35"/>
      <c r="AJ886" s="38"/>
      <c r="AK886" s="38"/>
      <c r="AL886" s="23"/>
      <c r="AM886" s="35">
        <f>VLOOKUP(Tabla4[[#This Row],[SERVICIO 2025]],$J$2:$V$14,5,0)*Tabla4[[#This Row],[TOTAL COBERTURA]]</f>
        <v>1075112</v>
      </c>
      <c r="AN886" s="35">
        <f>VLOOKUP(Tabla4[[#This Row],[SERVICIO 2025]],$J$2:$V$14,6,0)*Tabla4[[#This Row],[TOTAL COBERTURA]]</f>
        <v>870343</v>
      </c>
      <c r="AO886" s="35">
        <f>VLOOKUP(Tabla4[[#This Row],[SERVICIO 2025]],$J$2:$V$14,8,0)*Tabla4[[#This Row],[TOTAL COBERTURA]]</f>
        <v>0</v>
      </c>
      <c r="AP886" s="35">
        <f>VLOOKUP(Tabla4[[#This Row],[SERVICIO 2025]],$J$2:$V$14,3,0)*Tabla4[[#This Row],[TOTAL COBERTURA]]*8</f>
        <v>32998560</v>
      </c>
      <c r="AQ886" s="35"/>
      <c r="AR886" s="35">
        <f>Tabla4[[#This Row],[VALOR FASE PREPARATORIA DE ALISTAMIENTO]]+Tabla4[[#This Row],[VALOR FASE PREPARATORIA DE CIERRE]]+Tabla4[[#This Row],[DOTACIÓN ÚNICA]]+Tabla4[[#This Row],[VALOR ATENCIÓN]]+Tabla4[[#This Row],[VALOR RACION PREPARADA]]</f>
        <v>34944015</v>
      </c>
      <c r="AS886" s="35" t="str">
        <f>+IF(Tabla4[[#This Row],[AGRUPACIONES]]=1,SUMIFS(Tabla4[VALOR TOTAL],Tabla4[ZONA DEFINITIVO],Tabla4[[#This Row],[ZONA DEFINITIVO]])," ")</f>
        <v xml:space="preserve"> </v>
      </c>
      <c r="AT886" s="27">
        <f>(VLOOKUP(Tabla4[[#This Row],[SERVICIO 2025]],$J$2:$V$14,3,0)*Tabla4[[#This Row],[TOTAL COBERTURA]])+Tabla4[[#This Row],[VALOR FASE PREPARATORIA DE ALISTAMIENTO]]+Tabla4[[#This Row],[DOTACIÓN ÚNICA]]</f>
        <v>5199932</v>
      </c>
      <c r="AU886" s="35">
        <f>(VLOOKUP(Tabla4[[#This Row],[SERVICIO 2025]],$J$2:$V$14,3,0)*Tabla4[[#This Row],[TOTAL COBERTURA]])</f>
        <v>4124820</v>
      </c>
      <c r="AV886" s="35">
        <f>(VLOOKUP(Tabla4[[#This Row],[SERVICIO 2025]],$J$2:$V$14,3,0)*Tabla4[[#This Row],[TOTAL COBERTURA]])</f>
        <v>4124820</v>
      </c>
      <c r="AW886" s="35">
        <f>(VLOOKUP(Tabla4[[#This Row],[SERVICIO 2025]],$J$2:$V$14,3,0)*Tabla4[[#This Row],[TOTAL COBERTURA]])</f>
        <v>4124820</v>
      </c>
      <c r="AX886" s="35">
        <f>(VLOOKUP(Tabla4[[#This Row],[SERVICIO 2025]],$J$2:$V$14,3,0)*Tabla4[[#This Row],[TOTAL COBERTURA]])</f>
        <v>4124820</v>
      </c>
      <c r="AY886" s="35">
        <f>(VLOOKUP(Tabla4[[#This Row],[SERVICIO 2025]],$J$2:$V$14,3,0)*Tabla4[[#This Row],[TOTAL COBERTURA]])</f>
        <v>4124820</v>
      </c>
      <c r="AZ886" s="35">
        <f>(VLOOKUP(Tabla4[[#This Row],[SERVICIO 2025]],$J$2:$V$14,3,0)*Tabla4[[#This Row],[TOTAL COBERTURA]])</f>
        <v>4124820</v>
      </c>
      <c r="BA886" s="35">
        <f>(VLOOKUP(Tabla4[[#This Row],[SERVICIO 2025]],$J$2:$V$14,3,0)*Tabla4[[#This Row],[TOTAL COBERTURA]])+Tabla4[[#This Row],[VALOR FASE PREPARATORIA DE CIERRE]]</f>
        <v>4995163</v>
      </c>
      <c r="BB886" s="35">
        <f>SUM(Tabla4[[#This Row],[DESEMBOLSO 1]:[DESEMBOLSO 8]])</f>
        <v>34944015</v>
      </c>
      <c r="BC886" s="35">
        <f>VLOOKUP(Tabla4[[#This Row],[SERVICIO 2025]],$J$2:$V$14,10,0)*Tabla4[[#This Row],[TOTAL COBERTURA]]*$W$3</f>
        <v>34651064</v>
      </c>
      <c r="BD886" s="47" t="s">
        <v>211</v>
      </c>
      <c r="BE886" s="12" t="b">
        <f>EXACT(Tabla4[[#This Row],[VALOR ATENCIÓN (8 MESES)]],Tabla4[[#This Row],[VALOR TOTAL]])</f>
        <v>1</v>
      </c>
      <c r="BF886" s="23">
        <f>Tabla4[[#This Row],[VALOR ATENCIÓN (8 MESES)]]-Tabla4[[#This Row],[VALOR TOTAL]]</f>
        <v>0</v>
      </c>
      <c r="BG886" s="12" t="b">
        <f>EXACT(Tabla4[[#This Row],[TOTAL DESEMBOLSOS]],Tabla4[[#This Row],[VALOR ATENCIÓN (8 MESES)]])</f>
        <v>1</v>
      </c>
      <c r="BH886" s="29">
        <f>Tabla4[[#This Row],[TOTAL DESEMBOLSOS]]-Tabla4[[#This Row],[VALOR ATENCIÓN (8 MESES)]]</f>
        <v>0</v>
      </c>
      <c r="BI886" t="s">
        <v>98</v>
      </c>
      <c r="BJ886">
        <v>1977</v>
      </c>
    </row>
    <row r="887" spans="1:62">
      <c r="A887" s="13">
        <v>1977</v>
      </c>
      <c r="B887" s="13" t="s">
        <v>1957</v>
      </c>
      <c r="C887" s="12" t="s">
        <v>87</v>
      </c>
      <c r="D887" s="12" t="s">
        <v>482</v>
      </c>
      <c r="E887" s="12" t="s">
        <v>1958</v>
      </c>
      <c r="F887" s="12" t="s">
        <v>21</v>
      </c>
      <c r="G887" s="12" t="s">
        <v>90</v>
      </c>
      <c r="H887" s="12" t="s">
        <v>1969</v>
      </c>
      <c r="I887" s="12">
        <v>55791116770</v>
      </c>
      <c r="J887" s="12" t="s">
        <v>1970</v>
      </c>
      <c r="K887" s="12">
        <v>1</v>
      </c>
      <c r="L887" s="12">
        <v>17</v>
      </c>
      <c r="M887" s="12"/>
      <c r="N887" s="13">
        <v>1977</v>
      </c>
      <c r="O887" s="12" t="s">
        <v>93</v>
      </c>
      <c r="P887" s="12"/>
      <c r="Q887" s="12"/>
      <c r="R887" s="12" t="s">
        <v>94</v>
      </c>
      <c r="S887" s="12">
        <v>10</v>
      </c>
      <c r="T887" s="12" t="s">
        <v>1961</v>
      </c>
      <c r="U887" s="12" t="s">
        <v>1962</v>
      </c>
      <c r="V887" s="12">
        <f>VLOOKUP(Tabla4[[#This Row],[ZONA DEFINITIVO]],Hoja1!$A$1:$D$121,3,0)</f>
        <v>229134</v>
      </c>
      <c r="W887" s="12">
        <f>VLOOKUP(Tabla4[[#This Row],[ZONA DEFINITIVO]],Hoja1!$A$1:$D$121,2,0)</f>
        <v>15239</v>
      </c>
      <c r="X887" s="12">
        <f>VLOOKUP(Tabla4[[#This Row],[ZONA DEFINITIVO]],Hoja1!$A$1:$D$121,4,0)</f>
        <v>88325</v>
      </c>
      <c r="Y887" s="12" t="str">
        <f>+IF(Tabla4[[#This Row],[AGRUPACIONES]]=1,SUMIFS(Tabla4[UDS],Tabla4[ZONA DEFINITIVO],Tabla4[[#This Row],[ZONA DEFINITIVO]])," ")</f>
        <v xml:space="preserve"> </v>
      </c>
      <c r="Z887" s="12" t="str">
        <f>+IF(Tabla4[[#This Row],[AGRUPACIONES]]=1,SUMIFS(Tabla4[TOTAL COBERTURA],Tabla4[ZONA DEFINITIVO],Tabla4[[#This Row],[ZONA DEFINITIVO]])," ")</f>
        <v xml:space="preserve"> </v>
      </c>
      <c r="AA887" s="12"/>
      <c r="AB887" s="38">
        <v>25828185</v>
      </c>
      <c r="AC887" s="37">
        <v>0.02</v>
      </c>
      <c r="AD887" s="38">
        <f t="shared" si="14"/>
        <v>516563.7</v>
      </c>
      <c r="AE887" s="12"/>
      <c r="AF887" s="12">
        <f>COUNTIF($A$20:A887,A887)</f>
        <v>5</v>
      </c>
      <c r="AG887" s="38">
        <v>25828185</v>
      </c>
      <c r="AH887" s="38">
        <f>Tabla4[[#This Row],[VALOR CONTRAPARTIDA]]+Tabla4[[#This Row],[TOTAL APORTES ICBF]]</f>
        <v>26344748.699999999</v>
      </c>
      <c r="AI887" s="35"/>
      <c r="AJ887" s="38"/>
      <c r="AK887" s="38"/>
      <c r="AL887" s="23"/>
      <c r="AM887" s="35">
        <f>VLOOKUP(Tabla4[[#This Row],[SERVICIO 2025]],$J$2:$V$14,5,0)*Tabla4[[#This Row],[TOTAL COBERTURA]]</f>
        <v>794648</v>
      </c>
      <c r="AN887" s="35">
        <f>VLOOKUP(Tabla4[[#This Row],[SERVICIO 2025]],$J$2:$V$14,6,0)*Tabla4[[#This Row],[TOTAL COBERTURA]]</f>
        <v>643297</v>
      </c>
      <c r="AO887" s="35">
        <f>VLOOKUP(Tabla4[[#This Row],[SERVICIO 2025]],$J$2:$V$14,8,0)*Tabla4[[#This Row],[TOTAL COBERTURA]]</f>
        <v>0</v>
      </c>
      <c r="AP887" s="35">
        <f>VLOOKUP(Tabla4[[#This Row],[SERVICIO 2025]],$J$2:$V$14,3,0)*Tabla4[[#This Row],[TOTAL COBERTURA]]*8</f>
        <v>24390240</v>
      </c>
      <c r="AQ887" s="35"/>
      <c r="AR887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887" s="35" t="str">
        <f>+IF(Tabla4[[#This Row],[AGRUPACIONES]]=1,SUMIFS(Tabla4[VALOR TOTAL],Tabla4[ZONA DEFINITIVO],Tabla4[[#This Row],[ZONA DEFINITIVO]])," ")</f>
        <v xml:space="preserve"> </v>
      </c>
      <c r="AT887" s="27">
        <f>(VLOOKUP(Tabla4[[#This Row],[SERVICIO 2025]],$J$2:$V$14,3,0)*Tabla4[[#This Row],[TOTAL COBERTURA]])+Tabla4[[#This Row],[VALOR FASE PREPARATORIA DE ALISTAMIENTO]]+Tabla4[[#This Row],[DOTACIÓN ÚNICA]]</f>
        <v>3843428</v>
      </c>
      <c r="AU887" s="35">
        <f>(VLOOKUP(Tabla4[[#This Row],[SERVICIO 2025]],$J$2:$V$14,3,0)*Tabla4[[#This Row],[TOTAL COBERTURA]])</f>
        <v>3048780</v>
      </c>
      <c r="AV887" s="35">
        <f>(VLOOKUP(Tabla4[[#This Row],[SERVICIO 2025]],$J$2:$V$14,3,0)*Tabla4[[#This Row],[TOTAL COBERTURA]])</f>
        <v>3048780</v>
      </c>
      <c r="AW887" s="35">
        <f>(VLOOKUP(Tabla4[[#This Row],[SERVICIO 2025]],$J$2:$V$14,3,0)*Tabla4[[#This Row],[TOTAL COBERTURA]])</f>
        <v>3048780</v>
      </c>
      <c r="AX887" s="35">
        <f>(VLOOKUP(Tabla4[[#This Row],[SERVICIO 2025]],$J$2:$V$14,3,0)*Tabla4[[#This Row],[TOTAL COBERTURA]])</f>
        <v>3048780</v>
      </c>
      <c r="AY887" s="35">
        <f>(VLOOKUP(Tabla4[[#This Row],[SERVICIO 2025]],$J$2:$V$14,3,0)*Tabla4[[#This Row],[TOTAL COBERTURA]])</f>
        <v>3048780</v>
      </c>
      <c r="AZ887" s="35">
        <f>(VLOOKUP(Tabla4[[#This Row],[SERVICIO 2025]],$J$2:$V$14,3,0)*Tabla4[[#This Row],[TOTAL COBERTURA]])</f>
        <v>3048780</v>
      </c>
      <c r="BA887" s="35">
        <f>(VLOOKUP(Tabla4[[#This Row],[SERVICIO 2025]],$J$2:$V$14,3,0)*Tabla4[[#This Row],[TOTAL COBERTURA]])+Tabla4[[#This Row],[VALOR FASE PREPARATORIA DE CIERRE]]</f>
        <v>3692077</v>
      </c>
      <c r="BB887" s="35">
        <f>SUM(Tabla4[[#This Row],[DESEMBOLSO 1]:[DESEMBOLSO 8]])</f>
        <v>25828185</v>
      </c>
      <c r="BC887" s="35">
        <f>VLOOKUP(Tabla4[[#This Row],[SERVICIO 2025]],$J$2:$V$14,10,0)*Tabla4[[#This Row],[TOTAL COBERTURA]]*$W$3</f>
        <v>25611656</v>
      </c>
      <c r="BD887" s="47" t="s">
        <v>211</v>
      </c>
      <c r="BE887" s="12" t="b">
        <f>EXACT(Tabla4[[#This Row],[VALOR ATENCIÓN (8 MESES)]],Tabla4[[#This Row],[VALOR TOTAL]])</f>
        <v>1</v>
      </c>
      <c r="BF887" s="23">
        <f>Tabla4[[#This Row],[VALOR ATENCIÓN (8 MESES)]]-Tabla4[[#This Row],[VALOR TOTAL]]</f>
        <v>0</v>
      </c>
      <c r="BG887" s="12" t="b">
        <f>EXACT(Tabla4[[#This Row],[TOTAL DESEMBOLSOS]],Tabla4[[#This Row],[VALOR ATENCIÓN (8 MESES)]])</f>
        <v>1</v>
      </c>
      <c r="BH887" s="29">
        <f>Tabla4[[#This Row],[TOTAL DESEMBOLSOS]]-Tabla4[[#This Row],[VALOR ATENCIÓN (8 MESES)]]</f>
        <v>0</v>
      </c>
      <c r="BI887" t="s">
        <v>98</v>
      </c>
      <c r="BJ887">
        <v>1977</v>
      </c>
    </row>
    <row r="888" spans="1:62">
      <c r="A888" s="13">
        <v>1977</v>
      </c>
      <c r="B888" s="13" t="s">
        <v>1957</v>
      </c>
      <c r="C888" s="12" t="s">
        <v>87</v>
      </c>
      <c r="D888" s="12" t="s">
        <v>482</v>
      </c>
      <c r="E888" s="12" t="s">
        <v>1958</v>
      </c>
      <c r="F888" s="12" t="s">
        <v>21</v>
      </c>
      <c r="G888" s="12" t="s">
        <v>90</v>
      </c>
      <c r="H888" s="12" t="s">
        <v>1971</v>
      </c>
      <c r="I888" s="12">
        <v>55791116776</v>
      </c>
      <c r="J888" s="12" t="s">
        <v>1972</v>
      </c>
      <c r="K888" s="12">
        <v>1</v>
      </c>
      <c r="L888" s="12">
        <v>18</v>
      </c>
      <c r="M888" s="12"/>
      <c r="N888" s="13">
        <v>1977</v>
      </c>
      <c r="O888" s="12" t="s">
        <v>93</v>
      </c>
      <c r="P888" s="12"/>
      <c r="Q888" s="12"/>
      <c r="R888" s="12" t="s">
        <v>94</v>
      </c>
      <c r="S888" s="12">
        <v>10</v>
      </c>
      <c r="T888" s="12" t="s">
        <v>1961</v>
      </c>
      <c r="U888" s="12" t="s">
        <v>1962</v>
      </c>
      <c r="V888" s="12">
        <f>VLOOKUP(Tabla4[[#This Row],[ZONA DEFINITIVO]],Hoja1!$A$1:$D$121,3,0)</f>
        <v>229134</v>
      </c>
      <c r="W888" s="12">
        <f>VLOOKUP(Tabla4[[#This Row],[ZONA DEFINITIVO]],Hoja1!$A$1:$D$121,2,0)</f>
        <v>15239</v>
      </c>
      <c r="X888" s="12">
        <f>VLOOKUP(Tabla4[[#This Row],[ZONA DEFINITIVO]],Hoja1!$A$1:$D$121,4,0)</f>
        <v>88325</v>
      </c>
      <c r="Y888" s="12" t="str">
        <f>+IF(Tabla4[[#This Row],[AGRUPACIONES]]=1,SUMIFS(Tabla4[UDS],Tabla4[ZONA DEFINITIVO],Tabla4[[#This Row],[ZONA DEFINITIVO]])," ")</f>
        <v xml:space="preserve"> </v>
      </c>
      <c r="Z888" s="12" t="str">
        <f>+IF(Tabla4[[#This Row],[AGRUPACIONES]]=1,SUMIFS(Tabla4[TOTAL COBERTURA],Tabla4[ZONA DEFINITIVO],Tabla4[[#This Row],[ZONA DEFINITIVO]])," ")</f>
        <v xml:space="preserve"> </v>
      </c>
      <c r="AA888" s="12"/>
      <c r="AB888" s="38">
        <v>27347490</v>
      </c>
      <c r="AC888" s="37">
        <v>0.02</v>
      </c>
      <c r="AD888" s="38">
        <f t="shared" si="14"/>
        <v>546949.80000000005</v>
      </c>
      <c r="AE888" s="12"/>
      <c r="AF888" s="12">
        <f>COUNTIF($A$20:A888,A888)</f>
        <v>6</v>
      </c>
      <c r="AG888" s="38">
        <v>27347490</v>
      </c>
      <c r="AH888" s="38">
        <f>Tabla4[[#This Row],[VALOR CONTRAPARTIDA]]+Tabla4[[#This Row],[TOTAL APORTES ICBF]]</f>
        <v>27894439.800000001</v>
      </c>
      <c r="AI888" s="35"/>
      <c r="AJ888" s="38"/>
      <c r="AK888" s="38"/>
      <c r="AL888" s="23"/>
      <c r="AM888" s="35">
        <f>VLOOKUP(Tabla4[[#This Row],[SERVICIO 2025]],$J$2:$V$14,5,0)*Tabla4[[#This Row],[TOTAL COBERTURA]]</f>
        <v>841392</v>
      </c>
      <c r="AN888" s="35">
        <f>VLOOKUP(Tabla4[[#This Row],[SERVICIO 2025]],$J$2:$V$14,6,0)*Tabla4[[#This Row],[TOTAL COBERTURA]]</f>
        <v>681138</v>
      </c>
      <c r="AO888" s="35">
        <f>VLOOKUP(Tabla4[[#This Row],[SERVICIO 2025]],$J$2:$V$14,8,0)*Tabla4[[#This Row],[TOTAL COBERTURA]]</f>
        <v>0</v>
      </c>
      <c r="AP888" s="35">
        <f>VLOOKUP(Tabla4[[#This Row],[SERVICIO 2025]],$J$2:$V$14,3,0)*Tabla4[[#This Row],[TOTAL COBERTURA]]*8</f>
        <v>25824960</v>
      </c>
      <c r="AQ888" s="35"/>
      <c r="AR888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888" s="35" t="str">
        <f>+IF(Tabla4[[#This Row],[AGRUPACIONES]]=1,SUMIFS(Tabla4[VALOR TOTAL],Tabla4[ZONA DEFINITIVO],Tabla4[[#This Row],[ZONA DEFINITIVO]])," ")</f>
        <v xml:space="preserve"> </v>
      </c>
      <c r="AT888" s="27">
        <f>(VLOOKUP(Tabla4[[#This Row],[SERVICIO 2025]],$J$2:$V$14,3,0)*Tabla4[[#This Row],[TOTAL COBERTURA]])+Tabla4[[#This Row],[VALOR FASE PREPARATORIA DE ALISTAMIENTO]]+Tabla4[[#This Row],[DOTACIÓN ÚNICA]]</f>
        <v>4069512</v>
      </c>
      <c r="AU888" s="35">
        <f>(VLOOKUP(Tabla4[[#This Row],[SERVICIO 2025]],$J$2:$V$14,3,0)*Tabla4[[#This Row],[TOTAL COBERTURA]])</f>
        <v>3228120</v>
      </c>
      <c r="AV888" s="35">
        <f>(VLOOKUP(Tabla4[[#This Row],[SERVICIO 2025]],$J$2:$V$14,3,0)*Tabla4[[#This Row],[TOTAL COBERTURA]])</f>
        <v>3228120</v>
      </c>
      <c r="AW888" s="35">
        <f>(VLOOKUP(Tabla4[[#This Row],[SERVICIO 2025]],$J$2:$V$14,3,0)*Tabla4[[#This Row],[TOTAL COBERTURA]])</f>
        <v>3228120</v>
      </c>
      <c r="AX888" s="35">
        <f>(VLOOKUP(Tabla4[[#This Row],[SERVICIO 2025]],$J$2:$V$14,3,0)*Tabla4[[#This Row],[TOTAL COBERTURA]])</f>
        <v>3228120</v>
      </c>
      <c r="AY888" s="35">
        <f>(VLOOKUP(Tabla4[[#This Row],[SERVICIO 2025]],$J$2:$V$14,3,0)*Tabla4[[#This Row],[TOTAL COBERTURA]])</f>
        <v>3228120</v>
      </c>
      <c r="AZ888" s="35">
        <f>(VLOOKUP(Tabla4[[#This Row],[SERVICIO 2025]],$J$2:$V$14,3,0)*Tabla4[[#This Row],[TOTAL COBERTURA]])</f>
        <v>3228120</v>
      </c>
      <c r="BA888" s="35">
        <f>(VLOOKUP(Tabla4[[#This Row],[SERVICIO 2025]],$J$2:$V$14,3,0)*Tabla4[[#This Row],[TOTAL COBERTURA]])+Tabla4[[#This Row],[VALOR FASE PREPARATORIA DE CIERRE]]</f>
        <v>3909258</v>
      </c>
      <c r="BB888" s="35">
        <f>SUM(Tabla4[[#This Row],[DESEMBOLSO 1]:[DESEMBOLSO 8]])</f>
        <v>27347490</v>
      </c>
      <c r="BC888" s="35">
        <f>VLOOKUP(Tabla4[[#This Row],[SERVICIO 2025]],$J$2:$V$14,10,0)*Tabla4[[#This Row],[TOTAL COBERTURA]]*$W$3</f>
        <v>27118224</v>
      </c>
      <c r="BD888" s="47" t="s">
        <v>211</v>
      </c>
      <c r="BE888" s="12" t="b">
        <f>EXACT(Tabla4[[#This Row],[VALOR ATENCIÓN (8 MESES)]],Tabla4[[#This Row],[VALOR TOTAL]])</f>
        <v>1</v>
      </c>
      <c r="BF888" s="23">
        <f>Tabla4[[#This Row],[VALOR ATENCIÓN (8 MESES)]]-Tabla4[[#This Row],[VALOR TOTAL]]</f>
        <v>0</v>
      </c>
      <c r="BG888" s="12" t="b">
        <f>EXACT(Tabla4[[#This Row],[TOTAL DESEMBOLSOS]],Tabla4[[#This Row],[VALOR ATENCIÓN (8 MESES)]])</f>
        <v>1</v>
      </c>
      <c r="BH888" s="29">
        <f>Tabla4[[#This Row],[TOTAL DESEMBOLSOS]]-Tabla4[[#This Row],[VALOR ATENCIÓN (8 MESES)]]</f>
        <v>0</v>
      </c>
      <c r="BI888" t="s">
        <v>98</v>
      </c>
      <c r="BJ888">
        <v>1977</v>
      </c>
    </row>
    <row r="889" spans="1:62">
      <c r="A889" s="13">
        <v>1977</v>
      </c>
      <c r="B889" s="13" t="s">
        <v>1957</v>
      </c>
      <c r="C889" s="12" t="s">
        <v>87</v>
      </c>
      <c r="D889" s="12" t="s">
        <v>482</v>
      </c>
      <c r="E889" s="12" t="s">
        <v>1958</v>
      </c>
      <c r="F889" s="12" t="s">
        <v>21</v>
      </c>
      <c r="G889" s="12" t="s">
        <v>90</v>
      </c>
      <c r="H889" s="12" t="s">
        <v>1973</v>
      </c>
      <c r="I889" s="12">
        <v>55791137005</v>
      </c>
      <c r="J889" s="12" t="s">
        <v>1974</v>
      </c>
      <c r="K889" s="12">
        <v>1</v>
      </c>
      <c r="L889" s="12">
        <v>44</v>
      </c>
      <c r="M889" s="12"/>
      <c r="N889" s="13">
        <v>1977</v>
      </c>
      <c r="O889" s="12" t="s">
        <v>93</v>
      </c>
      <c r="P889" s="12"/>
      <c r="Q889" s="12"/>
      <c r="R889" s="12" t="s">
        <v>94</v>
      </c>
      <c r="S889" s="12">
        <v>10</v>
      </c>
      <c r="T889" s="12" t="s">
        <v>1961</v>
      </c>
      <c r="U889" s="12" t="s">
        <v>1962</v>
      </c>
      <c r="V889" s="12">
        <f>VLOOKUP(Tabla4[[#This Row],[ZONA DEFINITIVO]],Hoja1!$A$1:$D$121,3,0)</f>
        <v>229134</v>
      </c>
      <c r="W889" s="12">
        <f>VLOOKUP(Tabla4[[#This Row],[ZONA DEFINITIVO]],Hoja1!$A$1:$D$121,2,0)</f>
        <v>15239</v>
      </c>
      <c r="X889" s="12">
        <f>VLOOKUP(Tabla4[[#This Row],[ZONA DEFINITIVO]],Hoja1!$A$1:$D$121,4,0)</f>
        <v>88325</v>
      </c>
      <c r="Y889" s="12" t="str">
        <f>+IF(Tabla4[[#This Row],[AGRUPACIONES]]=1,SUMIFS(Tabla4[UDS],Tabla4[ZONA DEFINITIVO],Tabla4[[#This Row],[ZONA DEFINITIVO]])," ")</f>
        <v xml:space="preserve"> </v>
      </c>
      <c r="Z889" s="12" t="str">
        <f>+IF(Tabla4[[#This Row],[AGRUPACIONES]]=1,SUMIFS(Tabla4[TOTAL COBERTURA],Tabla4[ZONA DEFINITIVO],Tabla4[[#This Row],[ZONA DEFINITIVO]])," ")</f>
        <v xml:space="preserve"> </v>
      </c>
      <c r="AA889" s="12"/>
      <c r="AB889" s="38">
        <v>66849420</v>
      </c>
      <c r="AC889" s="37">
        <v>0.02</v>
      </c>
      <c r="AD889" s="38">
        <f t="shared" si="14"/>
        <v>1336988.4000000001</v>
      </c>
      <c r="AE889" s="12"/>
      <c r="AF889" s="12">
        <f>COUNTIF($A$20:A889,A889)</f>
        <v>7</v>
      </c>
      <c r="AG889" s="38">
        <v>66849420</v>
      </c>
      <c r="AH889" s="38">
        <f>Tabla4[[#This Row],[VALOR CONTRAPARTIDA]]+Tabla4[[#This Row],[TOTAL APORTES ICBF]]</f>
        <v>68186408.400000006</v>
      </c>
      <c r="AI889" s="35"/>
      <c r="AJ889" s="38"/>
      <c r="AK889" s="38"/>
      <c r="AL889" s="23"/>
      <c r="AM889" s="35">
        <f>VLOOKUP(Tabla4[[#This Row],[SERVICIO 2025]],$J$2:$V$14,5,0)*Tabla4[[#This Row],[TOTAL COBERTURA]]</f>
        <v>2056736</v>
      </c>
      <c r="AN889" s="35">
        <f>VLOOKUP(Tabla4[[#This Row],[SERVICIO 2025]],$J$2:$V$14,6,0)*Tabla4[[#This Row],[TOTAL COBERTURA]]</f>
        <v>1665004</v>
      </c>
      <c r="AO889" s="35">
        <f>VLOOKUP(Tabla4[[#This Row],[SERVICIO 2025]],$J$2:$V$14,8,0)*Tabla4[[#This Row],[TOTAL COBERTURA]]</f>
        <v>0</v>
      </c>
      <c r="AP889" s="35">
        <f>VLOOKUP(Tabla4[[#This Row],[SERVICIO 2025]],$J$2:$V$14,3,0)*Tabla4[[#This Row],[TOTAL COBERTURA]]*8</f>
        <v>63127680</v>
      </c>
      <c r="AQ889" s="35"/>
      <c r="AR889" s="35">
        <f>Tabla4[[#This Row],[VALOR FASE PREPARATORIA DE ALISTAMIENTO]]+Tabla4[[#This Row],[VALOR FASE PREPARATORIA DE CIERRE]]+Tabla4[[#This Row],[DOTACIÓN ÚNICA]]+Tabla4[[#This Row],[VALOR ATENCIÓN]]+Tabla4[[#This Row],[VALOR RACION PREPARADA]]</f>
        <v>66849420</v>
      </c>
      <c r="AS889" s="35" t="str">
        <f>+IF(Tabla4[[#This Row],[AGRUPACIONES]]=1,SUMIFS(Tabla4[VALOR TOTAL],Tabla4[ZONA DEFINITIVO],Tabla4[[#This Row],[ZONA DEFINITIVO]])," ")</f>
        <v xml:space="preserve"> </v>
      </c>
      <c r="AT889" s="27">
        <f>(VLOOKUP(Tabla4[[#This Row],[SERVICIO 2025]],$J$2:$V$14,3,0)*Tabla4[[#This Row],[TOTAL COBERTURA]])+Tabla4[[#This Row],[VALOR FASE PREPARATORIA DE ALISTAMIENTO]]+Tabla4[[#This Row],[DOTACIÓN ÚNICA]]</f>
        <v>9947696</v>
      </c>
      <c r="AU889" s="35">
        <f>(VLOOKUP(Tabla4[[#This Row],[SERVICIO 2025]],$J$2:$V$14,3,0)*Tabla4[[#This Row],[TOTAL COBERTURA]])</f>
        <v>7890960</v>
      </c>
      <c r="AV889" s="35">
        <f>(VLOOKUP(Tabla4[[#This Row],[SERVICIO 2025]],$J$2:$V$14,3,0)*Tabla4[[#This Row],[TOTAL COBERTURA]])</f>
        <v>7890960</v>
      </c>
      <c r="AW889" s="35">
        <f>(VLOOKUP(Tabla4[[#This Row],[SERVICIO 2025]],$J$2:$V$14,3,0)*Tabla4[[#This Row],[TOTAL COBERTURA]])</f>
        <v>7890960</v>
      </c>
      <c r="AX889" s="35">
        <f>(VLOOKUP(Tabla4[[#This Row],[SERVICIO 2025]],$J$2:$V$14,3,0)*Tabla4[[#This Row],[TOTAL COBERTURA]])</f>
        <v>7890960</v>
      </c>
      <c r="AY889" s="35">
        <f>(VLOOKUP(Tabla4[[#This Row],[SERVICIO 2025]],$J$2:$V$14,3,0)*Tabla4[[#This Row],[TOTAL COBERTURA]])</f>
        <v>7890960</v>
      </c>
      <c r="AZ889" s="35">
        <f>(VLOOKUP(Tabla4[[#This Row],[SERVICIO 2025]],$J$2:$V$14,3,0)*Tabla4[[#This Row],[TOTAL COBERTURA]])</f>
        <v>7890960</v>
      </c>
      <c r="BA889" s="35">
        <f>(VLOOKUP(Tabla4[[#This Row],[SERVICIO 2025]],$J$2:$V$14,3,0)*Tabla4[[#This Row],[TOTAL COBERTURA]])+Tabla4[[#This Row],[VALOR FASE PREPARATORIA DE CIERRE]]</f>
        <v>9555964</v>
      </c>
      <c r="BB889" s="35">
        <f>SUM(Tabla4[[#This Row],[DESEMBOLSO 1]:[DESEMBOLSO 8]])</f>
        <v>66849420</v>
      </c>
      <c r="BC889" s="35">
        <f>VLOOKUP(Tabla4[[#This Row],[SERVICIO 2025]],$J$2:$V$14,10,0)*Tabla4[[#This Row],[TOTAL COBERTURA]]*$W$3</f>
        <v>66288992</v>
      </c>
      <c r="BD889" s="47" t="s">
        <v>211</v>
      </c>
      <c r="BE889" s="12" t="b">
        <f>EXACT(Tabla4[[#This Row],[VALOR ATENCIÓN (8 MESES)]],Tabla4[[#This Row],[VALOR TOTAL]])</f>
        <v>1</v>
      </c>
      <c r="BF889" s="23">
        <f>Tabla4[[#This Row],[VALOR ATENCIÓN (8 MESES)]]-Tabla4[[#This Row],[VALOR TOTAL]]</f>
        <v>0</v>
      </c>
      <c r="BG889" s="12" t="b">
        <f>EXACT(Tabla4[[#This Row],[TOTAL DESEMBOLSOS]],Tabla4[[#This Row],[VALOR ATENCIÓN (8 MESES)]])</f>
        <v>1</v>
      </c>
      <c r="BH889" s="29">
        <f>Tabla4[[#This Row],[TOTAL DESEMBOLSOS]]-Tabla4[[#This Row],[VALOR ATENCIÓN (8 MESES)]]</f>
        <v>0</v>
      </c>
      <c r="BI889" t="s">
        <v>98</v>
      </c>
      <c r="BJ889">
        <v>1977</v>
      </c>
    </row>
    <row r="890" spans="1:62">
      <c r="A890" s="13">
        <v>1977</v>
      </c>
      <c r="B890" s="13" t="s">
        <v>1957</v>
      </c>
      <c r="C890" s="12" t="s">
        <v>87</v>
      </c>
      <c r="D890" s="12" t="s">
        <v>482</v>
      </c>
      <c r="E890" s="12" t="s">
        <v>1958</v>
      </c>
      <c r="F890" s="12" t="s">
        <v>21</v>
      </c>
      <c r="G890" s="12" t="s">
        <v>90</v>
      </c>
      <c r="H890" s="12" t="s">
        <v>1975</v>
      </c>
      <c r="I890" s="12">
        <v>55791137006</v>
      </c>
      <c r="J890" s="12" t="s">
        <v>1976</v>
      </c>
      <c r="K890" s="12">
        <v>1</v>
      </c>
      <c r="L890" s="12">
        <v>18</v>
      </c>
      <c r="M890" s="12"/>
      <c r="N890" s="13">
        <v>1977</v>
      </c>
      <c r="O890" s="12" t="s">
        <v>93</v>
      </c>
      <c r="P890" s="12"/>
      <c r="Q890" s="12"/>
      <c r="R890" s="12" t="s">
        <v>94</v>
      </c>
      <c r="S890" s="12">
        <v>10</v>
      </c>
      <c r="T890" s="12" t="s">
        <v>1961</v>
      </c>
      <c r="U890" s="12" t="s">
        <v>1962</v>
      </c>
      <c r="V890" s="12">
        <f>VLOOKUP(Tabla4[[#This Row],[ZONA DEFINITIVO]],Hoja1!$A$1:$D$121,3,0)</f>
        <v>229134</v>
      </c>
      <c r="W890" s="12">
        <f>VLOOKUP(Tabla4[[#This Row],[ZONA DEFINITIVO]],Hoja1!$A$1:$D$121,2,0)</f>
        <v>15239</v>
      </c>
      <c r="X890" s="12">
        <f>VLOOKUP(Tabla4[[#This Row],[ZONA DEFINITIVO]],Hoja1!$A$1:$D$121,4,0)</f>
        <v>88325</v>
      </c>
      <c r="Y890" s="12" t="str">
        <f>+IF(Tabla4[[#This Row],[AGRUPACIONES]]=1,SUMIFS(Tabla4[UDS],Tabla4[ZONA DEFINITIVO],Tabla4[[#This Row],[ZONA DEFINITIVO]])," ")</f>
        <v xml:space="preserve"> </v>
      </c>
      <c r="Z890" s="12" t="str">
        <f>+IF(Tabla4[[#This Row],[AGRUPACIONES]]=1,SUMIFS(Tabla4[TOTAL COBERTURA],Tabla4[ZONA DEFINITIVO],Tabla4[[#This Row],[ZONA DEFINITIVO]])," ")</f>
        <v xml:space="preserve"> </v>
      </c>
      <c r="AA890" s="12"/>
      <c r="AB890" s="38">
        <v>27347490</v>
      </c>
      <c r="AC890" s="37">
        <v>0.02</v>
      </c>
      <c r="AD890" s="38">
        <f t="shared" si="14"/>
        <v>546949.80000000005</v>
      </c>
      <c r="AE890" s="12"/>
      <c r="AF890" s="12">
        <f>COUNTIF($A$20:A890,A890)</f>
        <v>8</v>
      </c>
      <c r="AG890" s="38">
        <v>27347490</v>
      </c>
      <c r="AH890" s="38">
        <f>Tabla4[[#This Row],[VALOR CONTRAPARTIDA]]+Tabla4[[#This Row],[TOTAL APORTES ICBF]]</f>
        <v>27894439.800000001</v>
      </c>
      <c r="AI890" s="35"/>
      <c r="AJ890" s="38"/>
      <c r="AK890" s="38"/>
      <c r="AL890" s="23"/>
      <c r="AM890" s="35">
        <f>VLOOKUP(Tabla4[[#This Row],[SERVICIO 2025]],$J$2:$V$14,5,0)*Tabla4[[#This Row],[TOTAL COBERTURA]]</f>
        <v>841392</v>
      </c>
      <c r="AN890" s="35">
        <f>VLOOKUP(Tabla4[[#This Row],[SERVICIO 2025]],$J$2:$V$14,6,0)*Tabla4[[#This Row],[TOTAL COBERTURA]]</f>
        <v>681138</v>
      </c>
      <c r="AO890" s="35">
        <f>VLOOKUP(Tabla4[[#This Row],[SERVICIO 2025]],$J$2:$V$14,8,0)*Tabla4[[#This Row],[TOTAL COBERTURA]]</f>
        <v>0</v>
      </c>
      <c r="AP890" s="35">
        <f>VLOOKUP(Tabla4[[#This Row],[SERVICIO 2025]],$J$2:$V$14,3,0)*Tabla4[[#This Row],[TOTAL COBERTURA]]*8</f>
        <v>25824960</v>
      </c>
      <c r="AQ890" s="35"/>
      <c r="AR890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890" s="35" t="str">
        <f>+IF(Tabla4[[#This Row],[AGRUPACIONES]]=1,SUMIFS(Tabla4[VALOR TOTAL],Tabla4[ZONA DEFINITIVO],Tabla4[[#This Row],[ZONA DEFINITIVO]])," ")</f>
        <v xml:space="preserve"> </v>
      </c>
      <c r="AT890" s="27">
        <f>(VLOOKUP(Tabla4[[#This Row],[SERVICIO 2025]],$J$2:$V$14,3,0)*Tabla4[[#This Row],[TOTAL COBERTURA]])+Tabla4[[#This Row],[VALOR FASE PREPARATORIA DE ALISTAMIENTO]]+Tabla4[[#This Row],[DOTACIÓN ÚNICA]]</f>
        <v>4069512</v>
      </c>
      <c r="AU890" s="35">
        <f>(VLOOKUP(Tabla4[[#This Row],[SERVICIO 2025]],$J$2:$V$14,3,0)*Tabla4[[#This Row],[TOTAL COBERTURA]])</f>
        <v>3228120</v>
      </c>
      <c r="AV890" s="35">
        <f>(VLOOKUP(Tabla4[[#This Row],[SERVICIO 2025]],$J$2:$V$14,3,0)*Tabla4[[#This Row],[TOTAL COBERTURA]])</f>
        <v>3228120</v>
      </c>
      <c r="AW890" s="35">
        <f>(VLOOKUP(Tabla4[[#This Row],[SERVICIO 2025]],$J$2:$V$14,3,0)*Tabla4[[#This Row],[TOTAL COBERTURA]])</f>
        <v>3228120</v>
      </c>
      <c r="AX890" s="35">
        <f>(VLOOKUP(Tabla4[[#This Row],[SERVICIO 2025]],$J$2:$V$14,3,0)*Tabla4[[#This Row],[TOTAL COBERTURA]])</f>
        <v>3228120</v>
      </c>
      <c r="AY890" s="35">
        <f>(VLOOKUP(Tabla4[[#This Row],[SERVICIO 2025]],$J$2:$V$14,3,0)*Tabla4[[#This Row],[TOTAL COBERTURA]])</f>
        <v>3228120</v>
      </c>
      <c r="AZ890" s="35">
        <f>(VLOOKUP(Tabla4[[#This Row],[SERVICIO 2025]],$J$2:$V$14,3,0)*Tabla4[[#This Row],[TOTAL COBERTURA]])</f>
        <v>3228120</v>
      </c>
      <c r="BA890" s="35">
        <f>(VLOOKUP(Tabla4[[#This Row],[SERVICIO 2025]],$J$2:$V$14,3,0)*Tabla4[[#This Row],[TOTAL COBERTURA]])+Tabla4[[#This Row],[VALOR FASE PREPARATORIA DE CIERRE]]</f>
        <v>3909258</v>
      </c>
      <c r="BB890" s="35">
        <f>SUM(Tabla4[[#This Row],[DESEMBOLSO 1]:[DESEMBOLSO 8]])</f>
        <v>27347490</v>
      </c>
      <c r="BC890" s="35">
        <f>VLOOKUP(Tabla4[[#This Row],[SERVICIO 2025]],$J$2:$V$14,10,0)*Tabla4[[#This Row],[TOTAL COBERTURA]]*$W$3</f>
        <v>27118224</v>
      </c>
      <c r="BD890" s="47" t="s">
        <v>211</v>
      </c>
      <c r="BE890" s="12" t="b">
        <f>EXACT(Tabla4[[#This Row],[VALOR ATENCIÓN (8 MESES)]],Tabla4[[#This Row],[VALOR TOTAL]])</f>
        <v>1</v>
      </c>
      <c r="BF890" s="23">
        <f>Tabla4[[#This Row],[VALOR ATENCIÓN (8 MESES)]]-Tabla4[[#This Row],[VALOR TOTAL]]</f>
        <v>0</v>
      </c>
      <c r="BG890" s="12" t="b">
        <f>EXACT(Tabla4[[#This Row],[TOTAL DESEMBOLSOS]],Tabla4[[#This Row],[VALOR ATENCIÓN (8 MESES)]])</f>
        <v>1</v>
      </c>
      <c r="BH890" s="29">
        <f>Tabla4[[#This Row],[TOTAL DESEMBOLSOS]]-Tabla4[[#This Row],[VALOR ATENCIÓN (8 MESES)]]</f>
        <v>0</v>
      </c>
      <c r="BI890" t="s">
        <v>98</v>
      </c>
      <c r="BJ890">
        <v>1977</v>
      </c>
    </row>
    <row r="891" spans="1:62">
      <c r="A891" s="13">
        <v>1977</v>
      </c>
      <c r="B891" s="13" t="s">
        <v>1957</v>
      </c>
      <c r="C891" s="12" t="s">
        <v>87</v>
      </c>
      <c r="D891" s="12" t="s">
        <v>482</v>
      </c>
      <c r="E891" s="12" t="s">
        <v>1958</v>
      </c>
      <c r="F891" s="12" t="s">
        <v>21</v>
      </c>
      <c r="G891" s="12" t="s">
        <v>90</v>
      </c>
      <c r="H891" s="12" t="s">
        <v>1977</v>
      </c>
      <c r="I891" s="12">
        <v>55791137014</v>
      </c>
      <c r="J891" s="12" t="s">
        <v>1978</v>
      </c>
      <c r="K891" s="12">
        <v>1</v>
      </c>
      <c r="L891" s="12">
        <v>13</v>
      </c>
      <c r="M891" s="12"/>
      <c r="N891" s="13">
        <v>1977</v>
      </c>
      <c r="O891" s="12" t="s">
        <v>93</v>
      </c>
      <c r="P891" s="12"/>
      <c r="Q891" s="12"/>
      <c r="R891" s="12" t="s">
        <v>94</v>
      </c>
      <c r="S891" s="12">
        <v>10</v>
      </c>
      <c r="T891" s="12" t="s">
        <v>1961</v>
      </c>
      <c r="U891" s="12" t="s">
        <v>1962</v>
      </c>
      <c r="V891" s="12">
        <f>VLOOKUP(Tabla4[[#This Row],[ZONA DEFINITIVO]],Hoja1!$A$1:$D$121,3,0)</f>
        <v>229134</v>
      </c>
      <c r="W891" s="12">
        <f>VLOOKUP(Tabla4[[#This Row],[ZONA DEFINITIVO]],Hoja1!$A$1:$D$121,2,0)</f>
        <v>15239</v>
      </c>
      <c r="X891" s="12">
        <f>VLOOKUP(Tabla4[[#This Row],[ZONA DEFINITIVO]],Hoja1!$A$1:$D$121,4,0)</f>
        <v>88325</v>
      </c>
      <c r="Y891" s="12" t="str">
        <f>+IF(Tabla4[[#This Row],[AGRUPACIONES]]=1,SUMIFS(Tabla4[UDS],Tabla4[ZONA DEFINITIVO],Tabla4[[#This Row],[ZONA DEFINITIVO]])," ")</f>
        <v xml:space="preserve"> </v>
      </c>
      <c r="Z891" s="12" t="str">
        <f>+IF(Tabla4[[#This Row],[AGRUPACIONES]]=1,SUMIFS(Tabla4[TOTAL COBERTURA],Tabla4[ZONA DEFINITIVO],Tabla4[[#This Row],[ZONA DEFINITIVO]])," ")</f>
        <v xml:space="preserve"> </v>
      </c>
      <c r="AA891" s="12"/>
      <c r="AB891" s="38">
        <v>19750965</v>
      </c>
      <c r="AC891" s="37">
        <v>0.02</v>
      </c>
      <c r="AD891" s="38">
        <f t="shared" si="14"/>
        <v>395019.3</v>
      </c>
      <c r="AE891" s="12"/>
      <c r="AF891" s="12">
        <f>COUNTIF($A$20:A891,A891)</f>
        <v>9</v>
      </c>
      <c r="AG891" s="38">
        <v>19750965</v>
      </c>
      <c r="AH891" s="38">
        <f>Tabla4[[#This Row],[VALOR CONTRAPARTIDA]]+Tabla4[[#This Row],[TOTAL APORTES ICBF]]</f>
        <v>20145984.300000001</v>
      </c>
      <c r="AI891" s="35"/>
      <c r="AJ891" s="38"/>
      <c r="AK891" s="38"/>
      <c r="AL891" s="23"/>
      <c r="AM891" s="35">
        <f>VLOOKUP(Tabla4[[#This Row],[SERVICIO 2025]],$J$2:$V$14,5,0)*Tabla4[[#This Row],[TOTAL COBERTURA]]</f>
        <v>607672</v>
      </c>
      <c r="AN891" s="35">
        <f>VLOOKUP(Tabla4[[#This Row],[SERVICIO 2025]],$J$2:$V$14,6,0)*Tabla4[[#This Row],[TOTAL COBERTURA]]</f>
        <v>491933</v>
      </c>
      <c r="AO891" s="35">
        <f>VLOOKUP(Tabla4[[#This Row],[SERVICIO 2025]],$J$2:$V$14,8,0)*Tabla4[[#This Row],[TOTAL COBERTURA]]</f>
        <v>0</v>
      </c>
      <c r="AP891" s="35">
        <f>VLOOKUP(Tabla4[[#This Row],[SERVICIO 2025]],$J$2:$V$14,3,0)*Tabla4[[#This Row],[TOTAL COBERTURA]]*8</f>
        <v>18651360</v>
      </c>
      <c r="AQ891" s="35"/>
      <c r="AR891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891" s="35" t="str">
        <f>+IF(Tabla4[[#This Row],[AGRUPACIONES]]=1,SUMIFS(Tabla4[VALOR TOTAL],Tabla4[ZONA DEFINITIVO],Tabla4[[#This Row],[ZONA DEFINITIVO]])," ")</f>
        <v xml:space="preserve"> </v>
      </c>
      <c r="AT891" s="27">
        <f>(VLOOKUP(Tabla4[[#This Row],[SERVICIO 2025]],$J$2:$V$14,3,0)*Tabla4[[#This Row],[TOTAL COBERTURA]])+Tabla4[[#This Row],[VALOR FASE PREPARATORIA DE ALISTAMIENTO]]+Tabla4[[#This Row],[DOTACIÓN ÚNICA]]</f>
        <v>2939092</v>
      </c>
      <c r="AU891" s="35">
        <f>(VLOOKUP(Tabla4[[#This Row],[SERVICIO 2025]],$J$2:$V$14,3,0)*Tabla4[[#This Row],[TOTAL COBERTURA]])</f>
        <v>2331420</v>
      </c>
      <c r="AV891" s="35">
        <f>(VLOOKUP(Tabla4[[#This Row],[SERVICIO 2025]],$J$2:$V$14,3,0)*Tabla4[[#This Row],[TOTAL COBERTURA]])</f>
        <v>2331420</v>
      </c>
      <c r="AW891" s="35">
        <f>(VLOOKUP(Tabla4[[#This Row],[SERVICIO 2025]],$J$2:$V$14,3,0)*Tabla4[[#This Row],[TOTAL COBERTURA]])</f>
        <v>2331420</v>
      </c>
      <c r="AX891" s="35">
        <f>(VLOOKUP(Tabla4[[#This Row],[SERVICIO 2025]],$J$2:$V$14,3,0)*Tabla4[[#This Row],[TOTAL COBERTURA]])</f>
        <v>2331420</v>
      </c>
      <c r="AY891" s="35">
        <f>(VLOOKUP(Tabla4[[#This Row],[SERVICIO 2025]],$J$2:$V$14,3,0)*Tabla4[[#This Row],[TOTAL COBERTURA]])</f>
        <v>2331420</v>
      </c>
      <c r="AZ891" s="35">
        <f>(VLOOKUP(Tabla4[[#This Row],[SERVICIO 2025]],$J$2:$V$14,3,0)*Tabla4[[#This Row],[TOTAL COBERTURA]])</f>
        <v>2331420</v>
      </c>
      <c r="BA891" s="35">
        <f>(VLOOKUP(Tabla4[[#This Row],[SERVICIO 2025]],$J$2:$V$14,3,0)*Tabla4[[#This Row],[TOTAL COBERTURA]])+Tabla4[[#This Row],[VALOR FASE PREPARATORIA DE CIERRE]]</f>
        <v>2823353</v>
      </c>
      <c r="BB891" s="35">
        <f>SUM(Tabla4[[#This Row],[DESEMBOLSO 1]:[DESEMBOLSO 8]])</f>
        <v>19750965</v>
      </c>
      <c r="BC891" s="35">
        <f>VLOOKUP(Tabla4[[#This Row],[SERVICIO 2025]],$J$2:$V$14,10,0)*Tabla4[[#This Row],[TOTAL COBERTURA]]*$W$3</f>
        <v>19585384</v>
      </c>
      <c r="BD891" s="47" t="s">
        <v>211</v>
      </c>
      <c r="BE891" s="12" t="b">
        <f>EXACT(Tabla4[[#This Row],[VALOR ATENCIÓN (8 MESES)]],Tabla4[[#This Row],[VALOR TOTAL]])</f>
        <v>1</v>
      </c>
      <c r="BF891" s="23">
        <f>Tabla4[[#This Row],[VALOR ATENCIÓN (8 MESES)]]-Tabla4[[#This Row],[VALOR TOTAL]]</f>
        <v>0</v>
      </c>
      <c r="BG891" s="12" t="b">
        <f>EXACT(Tabla4[[#This Row],[TOTAL DESEMBOLSOS]],Tabla4[[#This Row],[VALOR ATENCIÓN (8 MESES)]])</f>
        <v>1</v>
      </c>
      <c r="BH891" s="29">
        <f>Tabla4[[#This Row],[TOTAL DESEMBOLSOS]]-Tabla4[[#This Row],[VALOR ATENCIÓN (8 MESES)]]</f>
        <v>0</v>
      </c>
      <c r="BI891" t="s">
        <v>98</v>
      </c>
      <c r="BJ891">
        <v>1977</v>
      </c>
    </row>
    <row r="892" spans="1:62">
      <c r="A892" s="13">
        <v>1977</v>
      </c>
      <c r="B892" s="13" t="s">
        <v>1957</v>
      </c>
      <c r="C892" s="12" t="s">
        <v>87</v>
      </c>
      <c r="D892" s="12" t="s">
        <v>482</v>
      </c>
      <c r="E892" s="12" t="s">
        <v>1958</v>
      </c>
      <c r="F892" s="12" t="s">
        <v>21</v>
      </c>
      <c r="G892" s="12" t="s">
        <v>90</v>
      </c>
      <c r="H892" s="12" t="s">
        <v>1979</v>
      </c>
      <c r="I892" s="12">
        <v>55791148813</v>
      </c>
      <c r="J892" s="12" t="s">
        <v>1980</v>
      </c>
      <c r="K892" s="12">
        <v>1</v>
      </c>
      <c r="L892" s="12">
        <v>14</v>
      </c>
      <c r="M892" s="12"/>
      <c r="N892" s="13">
        <v>1977</v>
      </c>
      <c r="O892" s="12" t="s">
        <v>93</v>
      </c>
      <c r="P892" s="12"/>
      <c r="Q892" s="12"/>
      <c r="R892" s="12" t="s">
        <v>94</v>
      </c>
      <c r="S892" s="12">
        <v>10</v>
      </c>
      <c r="T892" s="12" t="s">
        <v>1961</v>
      </c>
      <c r="U892" s="12" t="s">
        <v>1962</v>
      </c>
      <c r="V892" s="12">
        <f>VLOOKUP(Tabla4[[#This Row],[ZONA DEFINITIVO]],Hoja1!$A$1:$D$121,3,0)</f>
        <v>229134</v>
      </c>
      <c r="W892" s="12">
        <f>VLOOKUP(Tabla4[[#This Row],[ZONA DEFINITIVO]],Hoja1!$A$1:$D$121,2,0)</f>
        <v>15239</v>
      </c>
      <c r="X892" s="12">
        <f>VLOOKUP(Tabla4[[#This Row],[ZONA DEFINITIVO]],Hoja1!$A$1:$D$121,4,0)</f>
        <v>88325</v>
      </c>
      <c r="Y892" s="12" t="str">
        <f>+IF(Tabla4[[#This Row],[AGRUPACIONES]]=1,SUMIFS(Tabla4[UDS],Tabla4[ZONA DEFINITIVO],Tabla4[[#This Row],[ZONA DEFINITIVO]])," ")</f>
        <v xml:space="preserve"> </v>
      </c>
      <c r="Z892" s="12" t="str">
        <f>+IF(Tabla4[[#This Row],[AGRUPACIONES]]=1,SUMIFS(Tabla4[TOTAL COBERTURA],Tabla4[ZONA DEFINITIVO],Tabla4[[#This Row],[ZONA DEFINITIVO]])," ")</f>
        <v xml:space="preserve"> </v>
      </c>
      <c r="AA892" s="12"/>
      <c r="AB892" s="38">
        <v>21270270</v>
      </c>
      <c r="AC892" s="37">
        <v>0.02</v>
      </c>
      <c r="AD892" s="38">
        <f t="shared" si="14"/>
        <v>425405.4</v>
      </c>
      <c r="AE892" s="12"/>
      <c r="AF892" s="12">
        <f>COUNTIF($A$20:A892,A892)</f>
        <v>10</v>
      </c>
      <c r="AG892" s="38">
        <v>21270270</v>
      </c>
      <c r="AH892" s="38">
        <f>Tabla4[[#This Row],[VALOR CONTRAPARTIDA]]+Tabla4[[#This Row],[TOTAL APORTES ICBF]]</f>
        <v>21695675.399999999</v>
      </c>
      <c r="AI892" s="35"/>
      <c r="AJ892" s="38"/>
      <c r="AK892" s="38"/>
      <c r="AL892" s="23"/>
      <c r="AM892" s="35">
        <f>VLOOKUP(Tabla4[[#This Row],[SERVICIO 2025]],$J$2:$V$14,5,0)*Tabla4[[#This Row],[TOTAL COBERTURA]]</f>
        <v>654416</v>
      </c>
      <c r="AN892" s="35">
        <f>VLOOKUP(Tabla4[[#This Row],[SERVICIO 2025]],$J$2:$V$14,6,0)*Tabla4[[#This Row],[TOTAL COBERTURA]]</f>
        <v>529774</v>
      </c>
      <c r="AO892" s="35">
        <f>VLOOKUP(Tabla4[[#This Row],[SERVICIO 2025]],$J$2:$V$14,8,0)*Tabla4[[#This Row],[TOTAL COBERTURA]]</f>
        <v>0</v>
      </c>
      <c r="AP892" s="35">
        <f>VLOOKUP(Tabla4[[#This Row],[SERVICIO 2025]],$J$2:$V$14,3,0)*Tabla4[[#This Row],[TOTAL COBERTURA]]*8</f>
        <v>20086080</v>
      </c>
      <c r="AQ892" s="35"/>
      <c r="AR892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892" s="35" t="str">
        <f>+IF(Tabla4[[#This Row],[AGRUPACIONES]]=1,SUMIFS(Tabla4[VALOR TOTAL],Tabla4[ZONA DEFINITIVO],Tabla4[[#This Row],[ZONA DEFINITIVO]])," ")</f>
        <v xml:space="preserve"> </v>
      </c>
      <c r="AT892" s="27">
        <f>(VLOOKUP(Tabla4[[#This Row],[SERVICIO 2025]],$J$2:$V$14,3,0)*Tabla4[[#This Row],[TOTAL COBERTURA]])+Tabla4[[#This Row],[VALOR FASE PREPARATORIA DE ALISTAMIENTO]]+Tabla4[[#This Row],[DOTACIÓN ÚNICA]]</f>
        <v>3165176</v>
      </c>
      <c r="AU892" s="35">
        <f>(VLOOKUP(Tabla4[[#This Row],[SERVICIO 2025]],$J$2:$V$14,3,0)*Tabla4[[#This Row],[TOTAL COBERTURA]])</f>
        <v>2510760</v>
      </c>
      <c r="AV892" s="35">
        <f>(VLOOKUP(Tabla4[[#This Row],[SERVICIO 2025]],$J$2:$V$14,3,0)*Tabla4[[#This Row],[TOTAL COBERTURA]])</f>
        <v>2510760</v>
      </c>
      <c r="AW892" s="35">
        <f>(VLOOKUP(Tabla4[[#This Row],[SERVICIO 2025]],$J$2:$V$14,3,0)*Tabla4[[#This Row],[TOTAL COBERTURA]])</f>
        <v>2510760</v>
      </c>
      <c r="AX892" s="35">
        <f>(VLOOKUP(Tabla4[[#This Row],[SERVICIO 2025]],$J$2:$V$14,3,0)*Tabla4[[#This Row],[TOTAL COBERTURA]])</f>
        <v>2510760</v>
      </c>
      <c r="AY892" s="35">
        <f>(VLOOKUP(Tabla4[[#This Row],[SERVICIO 2025]],$J$2:$V$14,3,0)*Tabla4[[#This Row],[TOTAL COBERTURA]])</f>
        <v>2510760</v>
      </c>
      <c r="AZ892" s="35">
        <f>(VLOOKUP(Tabla4[[#This Row],[SERVICIO 2025]],$J$2:$V$14,3,0)*Tabla4[[#This Row],[TOTAL COBERTURA]])</f>
        <v>2510760</v>
      </c>
      <c r="BA892" s="35">
        <f>(VLOOKUP(Tabla4[[#This Row],[SERVICIO 2025]],$J$2:$V$14,3,0)*Tabla4[[#This Row],[TOTAL COBERTURA]])+Tabla4[[#This Row],[VALOR FASE PREPARATORIA DE CIERRE]]</f>
        <v>3040534</v>
      </c>
      <c r="BB892" s="35">
        <f>SUM(Tabla4[[#This Row],[DESEMBOLSO 1]:[DESEMBOLSO 8]])</f>
        <v>21270270</v>
      </c>
      <c r="BC892" s="35">
        <f>VLOOKUP(Tabla4[[#This Row],[SERVICIO 2025]],$J$2:$V$14,10,0)*Tabla4[[#This Row],[TOTAL COBERTURA]]*$W$3</f>
        <v>21091952</v>
      </c>
      <c r="BD892" s="47" t="s">
        <v>211</v>
      </c>
      <c r="BE892" s="12" t="b">
        <f>EXACT(Tabla4[[#This Row],[VALOR ATENCIÓN (8 MESES)]],Tabla4[[#This Row],[VALOR TOTAL]])</f>
        <v>1</v>
      </c>
      <c r="BF892" s="23">
        <f>Tabla4[[#This Row],[VALOR ATENCIÓN (8 MESES)]]-Tabla4[[#This Row],[VALOR TOTAL]]</f>
        <v>0</v>
      </c>
      <c r="BG892" s="12" t="b">
        <f>EXACT(Tabla4[[#This Row],[TOTAL DESEMBOLSOS]],Tabla4[[#This Row],[VALOR ATENCIÓN (8 MESES)]])</f>
        <v>1</v>
      </c>
      <c r="BH892" s="29">
        <f>Tabla4[[#This Row],[TOTAL DESEMBOLSOS]]-Tabla4[[#This Row],[VALOR ATENCIÓN (8 MESES)]]</f>
        <v>0</v>
      </c>
      <c r="BI892" t="s">
        <v>98</v>
      </c>
      <c r="BJ892">
        <v>1977</v>
      </c>
    </row>
    <row r="893" spans="1:62">
      <c r="A893" s="13">
        <v>1977</v>
      </c>
      <c r="B893" s="13" t="s">
        <v>1957</v>
      </c>
      <c r="C893" s="12" t="s">
        <v>87</v>
      </c>
      <c r="D893" s="12" t="s">
        <v>482</v>
      </c>
      <c r="E893" s="12" t="s">
        <v>1958</v>
      </c>
      <c r="F893" s="12" t="s">
        <v>21</v>
      </c>
      <c r="G893" s="12" t="s">
        <v>90</v>
      </c>
      <c r="H893" s="12" t="s">
        <v>1981</v>
      </c>
      <c r="I893" s="12">
        <v>55791150487</v>
      </c>
      <c r="J893" s="12" t="s">
        <v>1982</v>
      </c>
      <c r="K893" s="12">
        <v>1</v>
      </c>
      <c r="L893" s="12">
        <v>134</v>
      </c>
      <c r="M893" s="12"/>
      <c r="N893" s="13">
        <v>1977</v>
      </c>
      <c r="O893" s="12" t="s">
        <v>93</v>
      </c>
      <c r="P893" s="12"/>
      <c r="Q893" s="12"/>
      <c r="R893" s="12" t="s">
        <v>94</v>
      </c>
      <c r="S893" s="12">
        <v>10</v>
      </c>
      <c r="T893" s="12" t="s">
        <v>1961</v>
      </c>
      <c r="U893" s="12" t="s">
        <v>1962</v>
      </c>
      <c r="V893" s="12">
        <f>VLOOKUP(Tabla4[[#This Row],[ZONA DEFINITIVO]],Hoja1!$A$1:$D$121,3,0)</f>
        <v>229134</v>
      </c>
      <c r="W893" s="12">
        <f>VLOOKUP(Tabla4[[#This Row],[ZONA DEFINITIVO]],Hoja1!$A$1:$D$121,2,0)</f>
        <v>15239</v>
      </c>
      <c r="X893" s="12">
        <f>VLOOKUP(Tabla4[[#This Row],[ZONA DEFINITIVO]],Hoja1!$A$1:$D$121,4,0)</f>
        <v>88325</v>
      </c>
      <c r="Y893" s="12" t="str">
        <f>+IF(Tabla4[[#This Row],[AGRUPACIONES]]=1,SUMIFS(Tabla4[UDS],Tabla4[ZONA DEFINITIVO],Tabla4[[#This Row],[ZONA DEFINITIVO]])," ")</f>
        <v xml:space="preserve"> </v>
      </c>
      <c r="Z893" s="12" t="str">
        <f>+IF(Tabla4[[#This Row],[AGRUPACIONES]]=1,SUMIFS(Tabla4[TOTAL COBERTURA],Tabla4[ZONA DEFINITIVO],Tabla4[[#This Row],[ZONA DEFINITIVO]])," ")</f>
        <v xml:space="preserve"> </v>
      </c>
      <c r="AA893" s="12"/>
      <c r="AB893" s="38">
        <v>203586870</v>
      </c>
      <c r="AC893" s="37">
        <v>0.02</v>
      </c>
      <c r="AD893" s="38">
        <f t="shared" si="14"/>
        <v>4071737.4</v>
      </c>
      <c r="AE893" s="12"/>
      <c r="AF893" s="12">
        <f>COUNTIF($A$20:A893,A893)</f>
        <v>11</v>
      </c>
      <c r="AG893" s="38">
        <v>203586870</v>
      </c>
      <c r="AH893" s="38">
        <f>Tabla4[[#This Row],[VALOR CONTRAPARTIDA]]+Tabla4[[#This Row],[TOTAL APORTES ICBF]]</f>
        <v>207658607.40000001</v>
      </c>
      <c r="AI893" s="35"/>
      <c r="AJ893" s="38"/>
      <c r="AK893" s="38"/>
      <c r="AL893" s="23"/>
      <c r="AM893" s="35">
        <f>VLOOKUP(Tabla4[[#This Row],[SERVICIO 2025]],$J$2:$V$14,5,0)*Tabla4[[#This Row],[TOTAL COBERTURA]]</f>
        <v>6263696</v>
      </c>
      <c r="AN893" s="35">
        <f>VLOOKUP(Tabla4[[#This Row],[SERVICIO 2025]],$J$2:$V$14,6,0)*Tabla4[[#This Row],[TOTAL COBERTURA]]</f>
        <v>5070694</v>
      </c>
      <c r="AO893" s="35">
        <f>VLOOKUP(Tabla4[[#This Row],[SERVICIO 2025]],$J$2:$V$14,8,0)*Tabla4[[#This Row],[TOTAL COBERTURA]]</f>
        <v>0</v>
      </c>
      <c r="AP893" s="35">
        <f>VLOOKUP(Tabla4[[#This Row],[SERVICIO 2025]],$J$2:$V$14,3,0)*Tabla4[[#This Row],[TOTAL COBERTURA]]*8</f>
        <v>192252480</v>
      </c>
      <c r="AQ893" s="35"/>
      <c r="AR893" s="35">
        <f>Tabla4[[#This Row],[VALOR FASE PREPARATORIA DE ALISTAMIENTO]]+Tabla4[[#This Row],[VALOR FASE PREPARATORIA DE CIERRE]]+Tabla4[[#This Row],[DOTACIÓN ÚNICA]]+Tabla4[[#This Row],[VALOR ATENCIÓN]]+Tabla4[[#This Row],[VALOR RACION PREPARADA]]</f>
        <v>203586870</v>
      </c>
      <c r="AS893" s="35" t="str">
        <f>+IF(Tabla4[[#This Row],[AGRUPACIONES]]=1,SUMIFS(Tabla4[VALOR TOTAL],Tabla4[ZONA DEFINITIVO],Tabla4[[#This Row],[ZONA DEFINITIVO]])," ")</f>
        <v xml:space="preserve"> </v>
      </c>
      <c r="AT893" s="27">
        <f>(VLOOKUP(Tabla4[[#This Row],[SERVICIO 2025]],$J$2:$V$14,3,0)*Tabla4[[#This Row],[TOTAL COBERTURA]])+Tabla4[[#This Row],[VALOR FASE PREPARATORIA DE ALISTAMIENTO]]+Tabla4[[#This Row],[DOTACIÓN ÚNICA]]</f>
        <v>30295256</v>
      </c>
      <c r="AU893" s="35">
        <f>(VLOOKUP(Tabla4[[#This Row],[SERVICIO 2025]],$J$2:$V$14,3,0)*Tabla4[[#This Row],[TOTAL COBERTURA]])</f>
        <v>24031560</v>
      </c>
      <c r="AV893" s="35">
        <f>(VLOOKUP(Tabla4[[#This Row],[SERVICIO 2025]],$J$2:$V$14,3,0)*Tabla4[[#This Row],[TOTAL COBERTURA]])</f>
        <v>24031560</v>
      </c>
      <c r="AW893" s="35">
        <f>(VLOOKUP(Tabla4[[#This Row],[SERVICIO 2025]],$J$2:$V$14,3,0)*Tabla4[[#This Row],[TOTAL COBERTURA]])</f>
        <v>24031560</v>
      </c>
      <c r="AX893" s="35">
        <f>(VLOOKUP(Tabla4[[#This Row],[SERVICIO 2025]],$J$2:$V$14,3,0)*Tabla4[[#This Row],[TOTAL COBERTURA]])</f>
        <v>24031560</v>
      </c>
      <c r="AY893" s="35">
        <f>(VLOOKUP(Tabla4[[#This Row],[SERVICIO 2025]],$J$2:$V$14,3,0)*Tabla4[[#This Row],[TOTAL COBERTURA]])</f>
        <v>24031560</v>
      </c>
      <c r="AZ893" s="35">
        <f>(VLOOKUP(Tabla4[[#This Row],[SERVICIO 2025]],$J$2:$V$14,3,0)*Tabla4[[#This Row],[TOTAL COBERTURA]])</f>
        <v>24031560</v>
      </c>
      <c r="BA893" s="35">
        <f>(VLOOKUP(Tabla4[[#This Row],[SERVICIO 2025]],$J$2:$V$14,3,0)*Tabla4[[#This Row],[TOTAL COBERTURA]])+Tabla4[[#This Row],[VALOR FASE PREPARATORIA DE CIERRE]]</f>
        <v>29102254</v>
      </c>
      <c r="BB893" s="35">
        <f>SUM(Tabla4[[#This Row],[DESEMBOLSO 1]:[DESEMBOLSO 8]])</f>
        <v>203586870</v>
      </c>
      <c r="BC893" s="35">
        <f>VLOOKUP(Tabla4[[#This Row],[SERVICIO 2025]],$J$2:$V$14,10,0)*Tabla4[[#This Row],[TOTAL COBERTURA]]*$W$3</f>
        <v>201880112</v>
      </c>
      <c r="BD893" s="47" t="s">
        <v>211</v>
      </c>
      <c r="BE893" s="12" t="b">
        <f>EXACT(Tabla4[[#This Row],[VALOR ATENCIÓN (8 MESES)]],Tabla4[[#This Row],[VALOR TOTAL]])</f>
        <v>1</v>
      </c>
      <c r="BF893" s="23">
        <f>Tabla4[[#This Row],[VALOR ATENCIÓN (8 MESES)]]-Tabla4[[#This Row],[VALOR TOTAL]]</f>
        <v>0</v>
      </c>
      <c r="BG893" s="12" t="b">
        <f>EXACT(Tabla4[[#This Row],[TOTAL DESEMBOLSOS]],Tabla4[[#This Row],[VALOR ATENCIÓN (8 MESES)]])</f>
        <v>1</v>
      </c>
      <c r="BH893" s="29">
        <f>Tabla4[[#This Row],[TOTAL DESEMBOLSOS]]-Tabla4[[#This Row],[VALOR ATENCIÓN (8 MESES)]]</f>
        <v>0</v>
      </c>
      <c r="BI893" t="s">
        <v>98</v>
      </c>
      <c r="BJ893">
        <v>1977</v>
      </c>
    </row>
    <row r="894" spans="1:62">
      <c r="A894" s="13">
        <v>1977</v>
      </c>
      <c r="B894" s="13" t="s">
        <v>1957</v>
      </c>
      <c r="C894" s="12" t="s">
        <v>87</v>
      </c>
      <c r="D894" s="12" t="s">
        <v>482</v>
      </c>
      <c r="E894" s="12" t="s">
        <v>1958</v>
      </c>
      <c r="F894" s="12" t="s">
        <v>21</v>
      </c>
      <c r="G894" s="12" t="s">
        <v>90</v>
      </c>
      <c r="H894" s="12" t="s">
        <v>1983</v>
      </c>
      <c r="I894" s="12">
        <v>55791151113</v>
      </c>
      <c r="J894" s="12" t="s">
        <v>1984</v>
      </c>
      <c r="K894" s="12">
        <v>1</v>
      </c>
      <c r="L894" s="12">
        <v>12</v>
      </c>
      <c r="M894" s="12"/>
      <c r="N894" s="13">
        <v>1977</v>
      </c>
      <c r="O894" s="12" t="s">
        <v>93</v>
      </c>
      <c r="P894" s="12"/>
      <c r="Q894" s="12"/>
      <c r="R894" s="12" t="s">
        <v>94</v>
      </c>
      <c r="S894" s="12">
        <v>10</v>
      </c>
      <c r="T894" s="12" t="s">
        <v>1961</v>
      </c>
      <c r="U894" s="12" t="s">
        <v>1962</v>
      </c>
      <c r="V894" s="12">
        <f>VLOOKUP(Tabla4[[#This Row],[ZONA DEFINITIVO]],Hoja1!$A$1:$D$121,3,0)</f>
        <v>229134</v>
      </c>
      <c r="W894" s="12">
        <f>VLOOKUP(Tabla4[[#This Row],[ZONA DEFINITIVO]],Hoja1!$A$1:$D$121,2,0)</f>
        <v>15239</v>
      </c>
      <c r="X894" s="12">
        <f>VLOOKUP(Tabla4[[#This Row],[ZONA DEFINITIVO]],Hoja1!$A$1:$D$121,4,0)</f>
        <v>88325</v>
      </c>
      <c r="Y894" s="12" t="str">
        <f>+IF(Tabla4[[#This Row],[AGRUPACIONES]]=1,SUMIFS(Tabla4[UDS],Tabla4[ZONA DEFINITIVO],Tabla4[[#This Row],[ZONA DEFINITIVO]])," ")</f>
        <v xml:space="preserve"> </v>
      </c>
      <c r="Z894" s="12" t="str">
        <f>+IF(Tabla4[[#This Row],[AGRUPACIONES]]=1,SUMIFS(Tabla4[TOTAL COBERTURA],Tabla4[ZONA DEFINITIVO],Tabla4[[#This Row],[ZONA DEFINITIVO]])," ")</f>
        <v xml:space="preserve"> </v>
      </c>
      <c r="AA894" s="12"/>
      <c r="AB894" s="38">
        <v>18231660</v>
      </c>
      <c r="AC894" s="37">
        <v>0.02</v>
      </c>
      <c r="AD894" s="38">
        <f t="shared" si="14"/>
        <v>364633.2</v>
      </c>
      <c r="AE894" s="12"/>
      <c r="AF894" s="12">
        <f>COUNTIF($A$20:A894,A894)</f>
        <v>12</v>
      </c>
      <c r="AG894" s="38">
        <v>18231660</v>
      </c>
      <c r="AH894" s="38">
        <f>Tabla4[[#This Row],[VALOR CONTRAPARTIDA]]+Tabla4[[#This Row],[TOTAL APORTES ICBF]]</f>
        <v>18596293.199999999</v>
      </c>
      <c r="AI894" s="35"/>
      <c r="AJ894" s="38"/>
      <c r="AK894" s="38"/>
      <c r="AL894" s="23"/>
      <c r="AM894" s="35">
        <f>VLOOKUP(Tabla4[[#This Row],[SERVICIO 2025]],$J$2:$V$14,5,0)*Tabla4[[#This Row],[TOTAL COBERTURA]]</f>
        <v>560928</v>
      </c>
      <c r="AN894" s="35">
        <f>VLOOKUP(Tabla4[[#This Row],[SERVICIO 2025]],$J$2:$V$14,6,0)*Tabla4[[#This Row],[TOTAL COBERTURA]]</f>
        <v>454092</v>
      </c>
      <c r="AO894" s="35">
        <f>VLOOKUP(Tabla4[[#This Row],[SERVICIO 2025]],$J$2:$V$14,8,0)*Tabla4[[#This Row],[TOTAL COBERTURA]]</f>
        <v>0</v>
      </c>
      <c r="AP894" s="35">
        <f>VLOOKUP(Tabla4[[#This Row],[SERVICIO 2025]],$J$2:$V$14,3,0)*Tabla4[[#This Row],[TOTAL COBERTURA]]*8</f>
        <v>17216640</v>
      </c>
      <c r="AQ894" s="35"/>
      <c r="AR894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894" s="35" t="str">
        <f>+IF(Tabla4[[#This Row],[AGRUPACIONES]]=1,SUMIFS(Tabla4[VALOR TOTAL],Tabla4[ZONA DEFINITIVO],Tabla4[[#This Row],[ZONA DEFINITIVO]])," ")</f>
        <v xml:space="preserve"> </v>
      </c>
      <c r="AT894" s="27">
        <f>(VLOOKUP(Tabla4[[#This Row],[SERVICIO 2025]],$J$2:$V$14,3,0)*Tabla4[[#This Row],[TOTAL COBERTURA]])+Tabla4[[#This Row],[VALOR FASE PREPARATORIA DE ALISTAMIENTO]]+Tabla4[[#This Row],[DOTACIÓN ÚNICA]]</f>
        <v>2713008</v>
      </c>
      <c r="AU894" s="35">
        <f>(VLOOKUP(Tabla4[[#This Row],[SERVICIO 2025]],$J$2:$V$14,3,0)*Tabla4[[#This Row],[TOTAL COBERTURA]])</f>
        <v>2152080</v>
      </c>
      <c r="AV894" s="35">
        <f>(VLOOKUP(Tabla4[[#This Row],[SERVICIO 2025]],$J$2:$V$14,3,0)*Tabla4[[#This Row],[TOTAL COBERTURA]])</f>
        <v>2152080</v>
      </c>
      <c r="AW894" s="35">
        <f>(VLOOKUP(Tabla4[[#This Row],[SERVICIO 2025]],$J$2:$V$14,3,0)*Tabla4[[#This Row],[TOTAL COBERTURA]])</f>
        <v>2152080</v>
      </c>
      <c r="AX894" s="35">
        <f>(VLOOKUP(Tabla4[[#This Row],[SERVICIO 2025]],$J$2:$V$14,3,0)*Tabla4[[#This Row],[TOTAL COBERTURA]])</f>
        <v>2152080</v>
      </c>
      <c r="AY894" s="35">
        <f>(VLOOKUP(Tabla4[[#This Row],[SERVICIO 2025]],$J$2:$V$14,3,0)*Tabla4[[#This Row],[TOTAL COBERTURA]])</f>
        <v>2152080</v>
      </c>
      <c r="AZ894" s="35">
        <f>(VLOOKUP(Tabla4[[#This Row],[SERVICIO 2025]],$J$2:$V$14,3,0)*Tabla4[[#This Row],[TOTAL COBERTURA]])</f>
        <v>2152080</v>
      </c>
      <c r="BA894" s="35">
        <f>(VLOOKUP(Tabla4[[#This Row],[SERVICIO 2025]],$J$2:$V$14,3,0)*Tabla4[[#This Row],[TOTAL COBERTURA]])+Tabla4[[#This Row],[VALOR FASE PREPARATORIA DE CIERRE]]</f>
        <v>2606172</v>
      </c>
      <c r="BB894" s="35">
        <f>SUM(Tabla4[[#This Row],[DESEMBOLSO 1]:[DESEMBOLSO 8]])</f>
        <v>18231660</v>
      </c>
      <c r="BC894" s="35">
        <f>VLOOKUP(Tabla4[[#This Row],[SERVICIO 2025]],$J$2:$V$14,10,0)*Tabla4[[#This Row],[TOTAL COBERTURA]]*$W$3</f>
        <v>18078816</v>
      </c>
      <c r="BD894" s="47" t="s">
        <v>211</v>
      </c>
      <c r="BE894" s="12" t="b">
        <f>EXACT(Tabla4[[#This Row],[VALOR ATENCIÓN (8 MESES)]],Tabla4[[#This Row],[VALOR TOTAL]])</f>
        <v>1</v>
      </c>
      <c r="BF894" s="23">
        <f>Tabla4[[#This Row],[VALOR ATENCIÓN (8 MESES)]]-Tabla4[[#This Row],[VALOR TOTAL]]</f>
        <v>0</v>
      </c>
      <c r="BG894" s="12" t="b">
        <f>EXACT(Tabla4[[#This Row],[TOTAL DESEMBOLSOS]],Tabla4[[#This Row],[VALOR ATENCIÓN (8 MESES)]])</f>
        <v>1</v>
      </c>
      <c r="BH894" s="29">
        <f>Tabla4[[#This Row],[TOTAL DESEMBOLSOS]]-Tabla4[[#This Row],[VALOR ATENCIÓN (8 MESES)]]</f>
        <v>0</v>
      </c>
      <c r="BI894" t="s">
        <v>98</v>
      </c>
      <c r="BJ894">
        <v>1977</v>
      </c>
    </row>
    <row r="895" spans="1:62">
      <c r="A895" s="13">
        <v>1977</v>
      </c>
      <c r="B895" s="13" t="s">
        <v>1957</v>
      </c>
      <c r="C895" s="12" t="s">
        <v>87</v>
      </c>
      <c r="D895" s="12" t="s">
        <v>482</v>
      </c>
      <c r="E895" s="12" t="s">
        <v>1958</v>
      </c>
      <c r="F895" s="12" t="s">
        <v>21</v>
      </c>
      <c r="G895" s="12" t="s">
        <v>90</v>
      </c>
      <c r="H895" s="12" t="s">
        <v>1985</v>
      </c>
      <c r="I895" s="12">
        <v>55791152832</v>
      </c>
      <c r="J895" s="12" t="s">
        <v>1986</v>
      </c>
      <c r="K895" s="12">
        <v>1</v>
      </c>
      <c r="L895" s="12">
        <v>14</v>
      </c>
      <c r="M895" s="12"/>
      <c r="N895" s="13">
        <v>1977</v>
      </c>
      <c r="O895" s="12" t="s">
        <v>93</v>
      </c>
      <c r="P895" s="12"/>
      <c r="Q895" s="12"/>
      <c r="R895" s="12" t="s">
        <v>94</v>
      </c>
      <c r="S895" s="12">
        <v>10</v>
      </c>
      <c r="T895" s="12" t="s">
        <v>1961</v>
      </c>
      <c r="U895" s="12" t="s">
        <v>1962</v>
      </c>
      <c r="V895" s="12">
        <f>VLOOKUP(Tabla4[[#This Row],[ZONA DEFINITIVO]],Hoja1!$A$1:$D$121,3,0)</f>
        <v>229134</v>
      </c>
      <c r="W895" s="12">
        <f>VLOOKUP(Tabla4[[#This Row],[ZONA DEFINITIVO]],Hoja1!$A$1:$D$121,2,0)</f>
        <v>15239</v>
      </c>
      <c r="X895" s="12">
        <f>VLOOKUP(Tabla4[[#This Row],[ZONA DEFINITIVO]],Hoja1!$A$1:$D$121,4,0)</f>
        <v>88325</v>
      </c>
      <c r="Y895" s="12" t="str">
        <f>+IF(Tabla4[[#This Row],[AGRUPACIONES]]=1,SUMIFS(Tabla4[UDS],Tabla4[ZONA DEFINITIVO],Tabla4[[#This Row],[ZONA DEFINITIVO]])," ")</f>
        <v xml:space="preserve"> </v>
      </c>
      <c r="Z895" s="12" t="str">
        <f>+IF(Tabla4[[#This Row],[AGRUPACIONES]]=1,SUMIFS(Tabla4[TOTAL COBERTURA],Tabla4[ZONA DEFINITIVO],Tabla4[[#This Row],[ZONA DEFINITIVO]])," ")</f>
        <v xml:space="preserve"> </v>
      </c>
      <c r="AA895" s="12"/>
      <c r="AB895" s="38">
        <v>21270270</v>
      </c>
      <c r="AC895" s="37">
        <v>0.02</v>
      </c>
      <c r="AD895" s="38">
        <f t="shared" si="14"/>
        <v>425405.4</v>
      </c>
      <c r="AE895" s="12"/>
      <c r="AF895" s="12">
        <f>COUNTIF($A$20:A895,A895)</f>
        <v>13</v>
      </c>
      <c r="AG895" s="38">
        <v>21270270</v>
      </c>
      <c r="AH895" s="38">
        <f>Tabla4[[#This Row],[VALOR CONTRAPARTIDA]]+Tabla4[[#This Row],[TOTAL APORTES ICBF]]</f>
        <v>21695675.399999999</v>
      </c>
      <c r="AI895" s="35"/>
      <c r="AJ895" s="38"/>
      <c r="AK895" s="38"/>
      <c r="AL895" s="23"/>
      <c r="AM895" s="35">
        <f>VLOOKUP(Tabla4[[#This Row],[SERVICIO 2025]],$J$2:$V$14,5,0)*Tabla4[[#This Row],[TOTAL COBERTURA]]</f>
        <v>654416</v>
      </c>
      <c r="AN895" s="35">
        <f>VLOOKUP(Tabla4[[#This Row],[SERVICIO 2025]],$J$2:$V$14,6,0)*Tabla4[[#This Row],[TOTAL COBERTURA]]</f>
        <v>529774</v>
      </c>
      <c r="AO895" s="35">
        <f>VLOOKUP(Tabla4[[#This Row],[SERVICIO 2025]],$J$2:$V$14,8,0)*Tabla4[[#This Row],[TOTAL COBERTURA]]</f>
        <v>0</v>
      </c>
      <c r="AP895" s="35">
        <f>VLOOKUP(Tabla4[[#This Row],[SERVICIO 2025]],$J$2:$V$14,3,0)*Tabla4[[#This Row],[TOTAL COBERTURA]]*8</f>
        <v>20086080</v>
      </c>
      <c r="AQ895" s="35"/>
      <c r="AR895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895" s="35" t="str">
        <f>+IF(Tabla4[[#This Row],[AGRUPACIONES]]=1,SUMIFS(Tabla4[VALOR TOTAL],Tabla4[ZONA DEFINITIVO],Tabla4[[#This Row],[ZONA DEFINITIVO]])," ")</f>
        <v xml:space="preserve"> </v>
      </c>
      <c r="AT895" s="27">
        <f>(VLOOKUP(Tabla4[[#This Row],[SERVICIO 2025]],$J$2:$V$14,3,0)*Tabla4[[#This Row],[TOTAL COBERTURA]])+Tabla4[[#This Row],[VALOR FASE PREPARATORIA DE ALISTAMIENTO]]+Tabla4[[#This Row],[DOTACIÓN ÚNICA]]</f>
        <v>3165176</v>
      </c>
      <c r="AU895" s="35">
        <f>(VLOOKUP(Tabla4[[#This Row],[SERVICIO 2025]],$J$2:$V$14,3,0)*Tabla4[[#This Row],[TOTAL COBERTURA]])</f>
        <v>2510760</v>
      </c>
      <c r="AV895" s="35">
        <f>(VLOOKUP(Tabla4[[#This Row],[SERVICIO 2025]],$J$2:$V$14,3,0)*Tabla4[[#This Row],[TOTAL COBERTURA]])</f>
        <v>2510760</v>
      </c>
      <c r="AW895" s="35">
        <f>(VLOOKUP(Tabla4[[#This Row],[SERVICIO 2025]],$J$2:$V$14,3,0)*Tabla4[[#This Row],[TOTAL COBERTURA]])</f>
        <v>2510760</v>
      </c>
      <c r="AX895" s="35">
        <f>(VLOOKUP(Tabla4[[#This Row],[SERVICIO 2025]],$J$2:$V$14,3,0)*Tabla4[[#This Row],[TOTAL COBERTURA]])</f>
        <v>2510760</v>
      </c>
      <c r="AY895" s="35">
        <f>(VLOOKUP(Tabla4[[#This Row],[SERVICIO 2025]],$J$2:$V$14,3,0)*Tabla4[[#This Row],[TOTAL COBERTURA]])</f>
        <v>2510760</v>
      </c>
      <c r="AZ895" s="35">
        <f>(VLOOKUP(Tabla4[[#This Row],[SERVICIO 2025]],$J$2:$V$14,3,0)*Tabla4[[#This Row],[TOTAL COBERTURA]])</f>
        <v>2510760</v>
      </c>
      <c r="BA895" s="35">
        <f>(VLOOKUP(Tabla4[[#This Row],[SERVICIO 2025]],$J$2:$V$14,3,0)*Tabla4[[#This Row],[TOTAL COBERTURA]])+Tabla4[[#This Row],[VALOR FASE PREPARATORIA DE CIERRE]]</f>
        <v>3040534</v>
      </c>
      <c r="BB895" s="35">
        <f>SUM(Tabla4[[#This Row],[DESEMBOLSO 1]:[DESEMBOLSO 8]])</f>
        <v>21270270</v>
      </c>
      <c r="BC895" s="35">
        <f>VLOOKUP(Tabla4[[#This Row],[SERVICIO 2025]],$J$2:$V$14,10,0)*Tabla4[[#This Row],[TOTAL COBERTURA]]*$W$3</f>
        <v>21091952</v>
      </c>
      <c r="BD895" s="47" t="s">
        <v>211</v>
      </c>
      <c r="BE895" s="12" t="b">
        <f>EXACT(Tabla4[[#This Row],[VALOR ATENCIÓN (8 MESES)]],Tabla4[[#This Row],[VALOR TOTAL]])</f>
        <v>1</v>
      </c>
      <c r="BF895" s="23">
        <f>Tabla4[[#This Row],[VALOR ATENCIÓN (8 MESES)]]-Tabla4[[#This Row],[VALOR TOTAL]]</f>
        <v>0</v>
      </c>
      <c r="BG895" s="12" t="b">
        <f>EXACT(Tabla4[[#This Row],[TOTAL DESEMBOLSOS]],Tabla4[[#This Row],[VALOR ATENCIÓN (8 MESES)]])</f>
        <v>1</v>
      </c>
      <c r="BH895" s="29">
        <f>Tabla4[[#This Row],[TOTAL DESEMBOLSOS]]-Tabla4[[#This Row],[VALOR ATENCIÓN (8 MESES)]]</f>
        <v>0</v>
      </c>
      <c r="BI895" t="s">
        <v>98</v>
      </c>
      <c r="BJ895">
        <v>1977</v>
      </c>
    </row>
    <row r="896" spans="1:62">
      <c r="A896" s="13">
        <v>1977</v>
      </c>
      <c r="B896" s="13" t="s">
        <v>1957</v>
      </c>
      <c r="C896" s="12" t="s">
        <v>87</v>
      </c>
      <c r="D896" s="12" t="s">
        <v>482</v>
      </c>
      <c r="E896" s="12" t="s">
        <v>1958</v>
      </c>
      <c r="F896" s="12" t="s">
        <v>21</v>
      </c>
      <c r="G896" s="12" t="s">
        <v>90</v>
      </c>
      <c r="H896" s="12" t="s">
        <v>1987</v>
      </c>
      <c r="I896" s="12">
        <v>55791155850</v>
      </c>
      <c r="J896" s="12" t="s">
        <v>1988</v>
      </c>
      <c r="K896" s="12">
        <v>1</v>
      </c>
      <c r="L896" s="12">
        <v>33</v>
      </c>
      <c r="M896" s="12"/>
      <c r="N896" s="13">
        <v>1977</v>
      </c>
      <c r="O896" s="12" t="s">
        <v>93</v>
      </c>
      <c r="P896" s="12"/>
      <c r="Q896" s="12"/>
      <c r="R896" s="12" t="s">
        <v>94</v>
      </c>
      <c r="S896" s="12">
        <v>10</v>
      </c>
      <c r="T896" s="12" t="s">
        <v>1961</v>
      </c>
      <c r="U896" s="12" t="s">
        <v>1962</v>
      </c>
      <c r="V896" s="12">
        <f>VLOOKUP(Tabla4[[#This Row],[ZONA DEFINITIVO]],Hoja1!$A$1:$D$121,3,0)</f>
        <v>229134</v>
      </c>
      <c r="W896" s="12">
        <f>VLOOKUP(Tabla4[[#This Row],[ZONA DEFINITIVO]],Hoja1!$A$1:$D$121,2,0)</f>
        <v>15239</v>
      </c>
      <c r="X896" s="12">
        <f>VLOOKUP(Tabla4[[#This Row],[ZONA DEFINITIVO]],Hoja1!$A$1:$D$121,4,0)</f>
        <v>88325</v>
      </c>
      <c r="Y896" s="12" t="str">
        <f>+IF(Tabla4[[#This Row],[AGRUPACIONES]]=1,SUMIFS(Tabla4[UDS],Tabla4[ZONA DEFINITIVO],Tabla4[[#This Row],[ZONA DEFINITIVO]])," ")</f>
        <v xml:space="preserve"> </v>
      </c>
      <c r="Z896" s="12" t="str">
        <f>+IF(Tabla4[[#This Row],[AGRUPACIONES]]=1,SUMIFS(Tabla4[TOTAL COBERTURA],Tabla4[ZONA DEFINITIVO],Tabla4[[#This Row],[ZONA DEFINITIVO]])," ")</f>
        <v xml:space="preserve"> </v>
      </c>
      <c r="AA896" s="12"/>
      <c r="AB896" s="38">
        <v>50137065</v>
      </c>
      <c r="AC896" s="37">
        <v>0.02</v>
      </c>
      <c r="AD896" s="38">
        <f t="shared" si="14"/>
        <v>1002741.3</v>
      </c>
      <c r="AE896" s="12"/>
      <c r="AF896" s="12">
        <f>COUNTIF($A$20:A896,A896)</f>
        <v>14</v>
      </c>
      <c r="AG896" s="38">
        <v>50137065</v>
      </c>
      <c r="AH896" s="38">
        <f>Tabla4[[#This Row],[VALOR CONTRAPARTIDA]]+Tabla4[[#This Row],[TOTAL APORTES ICBF]]</f>
        <v>51139806.299999997</v>
      </c>
      <c r="AI896" s="35"/>
      <c r="AJ896" s="38"/>
      <c r="AK896" s="38"/>
      <c r="AL896" s="23"/>
      <c r="AM896" s="35">
        <f>VLOOKUP(Tabla4[[#This Row],[SERVICIO 2025]],$J$2:$V$14,5,0)*Tabla4[[#This Row],[TOTAL COBERTURA]]</f>
        <v>1542552</v>
      </c>
      <c r="AN896" s="35">
        <f>VLOOKUP(Tabla4[[#This Row],[SERVICIO 2025]],$J$2:$V$14,6,0)*Tabla4[[#This Row],[TOTAL COBERTURA]]</f>
        <v>1248753</v>
      </c>
      <c r="AO896" s="35">
        <f>VLOOKUP(Tabla4[[#This Row],[SERVICIO 2025]],$J$2:$V$14,8,0)*Tabla4[[#This Row],[TOTAL COBERTURA]]</f>
        <v>0</v>
      </c>
      <c r="AP896" s="35">
        <f>VLOOKUP(Tabla4[[#This Row],[SERVICIO 2025]],$J$2:$V$14,3,0)*Tabla4[[#This Row],[TOTAL COBERTURA]]*8</f>
        <v>47345760</v>
      </c>
      <c r="AQ896" s="35"/>
      <c r="AR896" s="35">
        <f>Tabla4[[#This Row],[VALOR FASE PREPARATORIA DE ALISTAMIENTO]]+Tabla4[[#This Row],[VALOR FASE PREPARATORIA DE CIERRE]]+Tabla4[[#This Row],[DOTACIÓN ÚNICA]]+Tabla4[[#This Row],[VALOR ATENCIÓN]]+Tabla4[[#This Row],[VALOR RACION PREPARADA]]</f>
        <v>50137065</v>
      </c>
      <c r="AS896" s="35" t="str">
        <f>+IF(Tabla4[[#This Row],[AGRUPACIONES]]=1,SUMIFS(Tabla4[VALOR TOTAL],Tabla4[ZONA DEFINITIVO],Tabla4[[#This Row],[ZONA DEFINITIVO]])," ")</f>
        <v xml:space="preserve"> </v>
      </c>
      <c r="AT896" s="27">
        <f>(VLOOKUP(Tabla4[[#This Row],[SERVICIO 2025]],$J$2:$V$14,3,0)*Tabla4[[#This Row],[TOTAL COBERTURA]])+Tabla4[[#This Row],[VALOR FASE PREPARATORIA DE ALISTAMIENTO]]+Tabla4[[#This Row],[DOTACIÓN ÚNICA]]</f>
        <v>7460772</v>
      </c>
      <c r="AU896" s="35">
        <f>(VLOOKUP(Tabla4[[#This Row],[SERVICIO 2025]],$J$2:$V$14,3,0)*Tabla4[[#This Row],[TOTAL COBERTURA]])</f>
        <v>5918220</v>
      </c>
      <c r="AV896" s="35">
        <f>(VLOOKUP(Tabla4[[#This Row],[SERVICIO 2025]],$J$2:$V$14,3,0)*Tabla4[[#This Row],[TOTAL COBERTURA]])</f>
        <v>5918220</v>
      </c>
      <c r="AW896" s="35">
        <f>(VLOOKUP(Tabla4[[#This Row],[SERVICIO 2025]],$J$2:$V$14,3,0)*Tabla4[[#This Row],[TOTAL COBERTURA]])</f>
        <v>5918220</v>
      </c>
      <c r="AX896" s="35">
        <f>(VLOOKUP(Tabla4[[#This Row],[SERVICIO 2025]],$J$2:$V$14,3,0)*Tabla4[[#This Row],[TOTAL COBERTURA]])</f>
        <v>5918220</v>
      </c>
      <c r="AY896" s="35">
        <f>(VLOOKUP(Tabla4[[#This Row],[SERVICIO 2025]],$J$2:$V$14,3,0)*Tabla4[[#This Row],[TOTAL COBERTURA]])</f>
        <v>5918220</v>
      </c>
      <c r="AZ896" s="35">
        <f>(VLOOKUP(Tabla4[[#This Row],[SERVICIO 2025]],$J$2:$V$14,3,0)*Tabla4[[#This Row],[TOTAL COBERTURA]])</f>
        <v>5918220</v>
      </c>
      <c r="BA896" s="35">
        <f>(VLOOKUP(Tabla4[[#This Row],[SERVICIO 2025]],$J$2:$V$14,3,0)*Tabla4[[#This Row],[TOTAL COBERTURA]])+Tabla4[[#This Row],[VALOR FASE PREPARATORIA DE CIERRE]]</f>
        <v>7166973</v>
      </c>
      <c r="BB896" s="35">
        <f>SUM(Tabla4[[#This Row],[DESEMBOLSO 1]:[DESEMBOLSO 8]])</f>
        <v>50137065</v>
      </c>
      <c r="BC896" s="35">
        <f>VLOOKUP(Tabla4[[#This Row],[SERVICIO 2025]],$J$2:$V$14,10,0)*Tabla4[[#This Row],[TOTAL COBERTURA]]*$W$3</f>
        <v>49716744</v>
      </c>
      <c r="BD896" s="47" t="s">
        <v>211</v>
      </c>
      <c r="BE896" s="12" t="b">
        <f>EXACT(Tabla4[[#This Row],[VALOR ATENCIÓN (8 MESES)]],Tabla4[[#This Row],[VALOR TOTAL]])</f>
        <v>1</v>
      </c>
      <c r="BF896" s="23">
        <f>Tabla4[[#This Row],[VALOR ATENCIÓN (8 MESES)]]-Tabla4[[#This Row],[VALOR TOTAL]]</f>
        <v>0</v>
      </c>
      <c r="BG896" s="12" t="b">
        <f>EXACT(Tabla4[[#This Row],[TOTAL DESEMBOLSOS]],Tabla4[[#This Row],[VALOR ATENCIÓN (8 MESES)]])</f>
        <v>1</v>
      </c>
      <c r="BH896" s="29">
        <f>Tabla4[[#This Row],[TOTAL DESEMBOLSOS]]-Tabla4[[#This Row],[VALOR ATENCIÓN (8 MESES)]]</f>
        <v>0</v>
      </c>
      <c r="BI896" t="s">
        <v>98</v>
      </c>
      <c r="BJ896">
        <v>1977</v>
      </c>
    </row>
    <row r="897" spans="1:62">
      <c r="A897" s="13">
        <v>1977</v>
      </c>
      <c r="B897" s="13" t="s">
        <v>1957</v>
      </c>
      <c r="C897" s="12" t="s">
        <v>87</v>
      </c>
      <c r="D897" s="12" t="s">
        <v>482</v>
      </c>
      <c r="E897" s="12" t="s">
        <v>1958</v>
      </c>
      <c r="F897" s="12" t="s">
        <v>21</v>
      </c>
      <c r="G897" s="12" t="s">
        <v>90</v>
      </c>
      <c r="H897" s="12" t="s">
        <v>1989</v>
      </c>
      <c r="I897" s="12">
        <v>55791155851</v>
      </c>
      <c r="J897" s="12" t="s">
        <v>1990</v>
      </c>
      <c r="K897" s="12">
        <v>1</v>
      </c>
      <c r="L897" s="12">
        <v>18</v>
      </c>
      <c r="M897" s="12"/>
      <c r="N897" s="13">
        <v>1977</v>
      </c>
      <c r="O897" s="12" t="s">
        <v>93</v>
      </c>
      <c r="P897" s="12"/>
      <c r="Q897" s="12"/>
      <c r="R897" s="12" t="s">
        <v>94</v>
      </c>
      <c r="S897" s="12">
        <v>10</v>
      </c>
      <c r="T897" s="12" t="s">
        <v>1961</v>
      </c>
      <c r="U897" s="12" t="s">
        <v>1962</v>
      </c>
      <c r="V897" s="12">
        <f>VLOOKUP(Tabla4[[#This Row],[ZONA DEFINITIVO]],Hoja1!$A$1:$D$121,3,0)</f>
        <v>229134</v>
      </c>
      <c r="W897" s="12">
        <f>VLOOKUP(Tabla4[[#This Row],[ZONA DEFINITIVO]],Hoja1!$A$1:$D$121,2,0)</f>
        <v>15239</v>
      </c>
      <c r="X897" s="12">
        <f>VLOOKUP(Tabla4[[#This Row],[ZONA DEFINITIVO]],Hoja1!$A$1:$D$121,4,0)</f>
        <v>88325</v>
      </c>
      <c r="Y897" s="12" t="str">
        <f>+IF(Tabla4[[#This Row],[AGRUPACIONES]]=1,SUMIFS(Tabla4[UDS],Tabla4[ZONA DEFINITIVO],Tabla4[[#This Row],[ZONA DEFINITIVO]])," ")</f>
        <v xml:space="preserve"> </v>
      </c>
      <c r="Z897" s="12" t="str">
        <f>+IF(Tabla4[[#This Row],[AGRUPACIONES]]=1,SUMIFS(Tabla4[TOTAL COBERTURA],Tabla4[ZONA DEFINITIVO],Tabla4[[#This Row],[ZONA DEFINITIVO]])," ")</f>
        <v xml:space="preserve"> </v>
      </c>
      <c r="AA897" s="12"/>
      <c r="AB897" s="38">
        <v>27347490</v>
      </c>
      <c r="AC897" s="37">
        <v>0.02</v>
      </c>
      <c r="AD897" s="38">
        <f t="shared" si="14"/>
        <v>546949.80000000005</v>
      </c>
      <c r="AE897" s="12"/>
      <c r="AF897" s="12">
        <f>COUNTIF($A$20:A897,A897)</f>
        <v>15</v>
      </c>
      <c r="AG897" s="38">
        <v>27347490</v>
      </c>
      <c r="AH897" s="38">
        <f>Tabla4[[#This Row],[VALOR CONTRAPARTIDA]]+Tabla4[[#This Row],[TOTAL APORTES ICBF]]</f>
        <v>27894439.800000001</v>
      </c>
      <c r="AI897" s="35"/>
      <c r="AJ897" s="38"/>
      <c r="AK897" s="38"/>
      <c r="AL897" s="23"/>
      <c r="AM897" s="35">
        <f>VLOOKUP(Tabla4[[#This Row],[SERVICIO 2025]],$J$2:$V$14,5,0)*Tabla4[[#This Row],[TOTAL COBERTURA]]</f>
        <v>841392</v>
      </c>
      <c r="AN897" s="35">
        <f>VLOOKUP(Tabla4[[#This Row],[SERVICIO 2025]],$J$2:$V$14,6,0)*Tabla4[[#This Row],[TOTAL COBERTURA]]</f>
        <v>681138</v>
      </c>
      <c r="AO897" s="35">
        <f>VLOOKUP(Tabla4[[#This Row],[SERVICIO 2025]],$J$2:$V$14,8,0)*Tabla4[[#This Row],[TOTAL COBERTURA]]</f>
        <v>0</v>
      </c>
      <c r="AP897" s="35">
        <f>VLOOKUP(Tabla4[[#This Row],[SERVICIO 2025]],$J$2:$V$14,3,0)*Tabla4[[#This Row],[TOTAL COBERTURA]]*8</f>
        <v>25824960</v>
      </c>
      <c r="AQ897" s="35"/>
      <c r="AR897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897" s="35" t="str">
        <f>+IF(Tabla4[[#This Row],[AGRUPACIONES]]=1,SUMIFS(Tabla4[VALOR TOTAL],Tabla4[ZONA DEFINITIVO],Tabla4[[#This Row],[ZONA DEFINITIVO]])," ")</f>
        <v xml:space="preserve"> </v>
      </c>
      <c r="AT897" s="27">
        <f>(VLOOKUP(Tabla4[[#This Row],[SERVICIO 2025]],$J$2:$V$14,3,0)*Tabla4[[#This Row],[TOTAL COBERTURA]])+Tabla4[[#This Row],[VALOR FASE PREPARATORIA DE ALISTAMIENTO]]+Tabla4[[#This Row],[DOTACIÓN ÚNICA]]</f>
        <v>4069512</v>
      </c>
      <c r="AU897" s="35">
        <f>(VLOOKUP(Tabla4[[#This Row],[SERVICIO 2025]],$J$2:$V$14,3,0)*Tabla4[[#This Row],[TOTAL COBERTURA]])</f>
        <v>3228120</v>
      </c>
      <c r="AV897" s="35">
        <f>(VLOOKUP(Tabla4[[#This Row],[SERVICIO 2025]],$J$2:$V$14,3,0)*Tabla4[[#This Row],[TOTAL COBERTURA]])</f>
        <v>3228120</v>
      </c>
      <c r="AW897" s="35">
        <f>(VLOOKUP(Tabla4[[#This Row],[SERVICIO 2025]],$J$2:$V$14,3,0)*Tabla4[[#This Row],[TOTAL COBERTURA]])</f>
        <v>3228120</v>
      </c>
      <c r="AX897" s="35">
        <f>(VLOOKUP(Tabla4[[#This Row],[SERVICIO 2025]],$J$2:$V$14,3,0)*Tabla4[[#This Row],[TOTAL COBERTURA]])</f>
        <v>3228120</v>
      </c>
      <c r="AY897" s="35">
        <f>(VLOOKUP(Tabla4[[#This Row],[SERVICIO 2025]],$J$2:$V$14,3,0)*Tabla4[[#This Row],[TOTAL COBERTURA]])</f>
        <v>3228120</v>
      </c>
      <c r="AZ897" s="35">
        <f>(VLOOKUP(Tabla4[[#This Row],[SERVICIO 2025]],$J$2:$V$14,3,0)*Tabla4[[#This Row],[TOTAL COBERTURA]])</f>
        <v>3228120</v>
      </c>
      <c r="BA897" s="35">
        <f>(VLOOKUP(Tabla4[[#This Row],[SERVICIO 2025]],$J$2:$V$14,3,0)*Tabla4[[#This Row],[TOTAL COBERTURA]])+Tabla4[[#This Row],[VALOR FASE PREPARATORIA DE CIERRE]]</f>
        <v>3909258</v>
      </c>
      <c r="BB897" s="35">
        <f>SUM(Tabla4[[#This Row],[DESEMBOLSO 1]:[DESEMBOLSO 8]])</f>
        <v>27347490</v>
      </c>
      <c r="BC897" s="35">
        <f>VLOOKUP(Tabla4[[#This Row],[SERVICIO 2025]],$J$2:$V$14,10,0)*Tabla4[[#This Row],[TOTAL COBERTURA]]*$W$3</f>
        <v>27118224</v>
      </c>
      <c r="BD897" s="47" t="s">
        <v>211</v>
      </c>
      <c r="BE897" s="12" t="b">
        <f>EXACT(Tabla4[[#This Row],[VALOR ATENCIÓN (8 MESES)]],Tabla4[[#This Row],[VALOR TOTAL]])</f>
        <v>1</v>
      </c>
      <c r="BF897" s="23">
        <f>Tabla4[[#This Row],[VALOR ATENCIÓN (8 MESES)]]-Tabla4[[#This Row],[VALOR TOTAL]]</f>
        <v>0</v>
      </c>
      <c r="BG897" s="12" t="b">
        <f>EXACT(Tabla4[[#This Row],[TOTAL DESEMBOLSOS]],Tabla4[[#This Row],[VALOR ATENCIÓN (8 MESES)]])</f>
        <v>1</v>
      </c>
      <c r="BH897" s="29">
        <f>Tabla4[[#This Row],[TOTAL DESEMBOLSOS]]-Tabla4[[#This Row],[VALOR ATENCIÓN (8 MESES)]]</f>
        <v>0</v>
      </c>
      <c r="BI897" t="s">
        <v>98</v>
      </c>
      <c r="BJ897">
        <v>1977</v>
      </c>
    </row>
    <row r="898" spans="1:62">
      <c r="A898" s="13">
        <v>1977</v>
      </c>
      <c r="B898" s="13" t="s">
        <v>1957</v>
      </c>
      <c r="C898" s="12" t="s">
        <v>87</v>
      </c>
      <c r="D898" s="12" t="s">
        <v>482</v>
      </c>
      <c r="E898" s="12" t="s">
        <v>1958</v>
      </c>
      <c r="F898" s="12" t="s">
        <v>21</v>
      </c>
      <c r="G898" s="12" t="s">
        <v>90</v>
      </c>
      <c r="H898" s="12" t="s">
        <v>1991</v>
      </c>
      <c r="I898" s="12">
        <v>55791155852</v>
      </c>
      <c r="J898" s="12" t="s">
        <v>1992</v>
      </c>
      <c r="K898" s="12">
        <v>1</v>
      </c>
      <c r="L898" s="12">
        <v>17</v>
      </c>
      <c r="M898" s="12"/>
      <c r="N898" s="13">
        <v>1977</v>
      </c>
      <c r="O898" s="12" t="s">
        <v>93</v>
      </c>
      <c r="P898" s="12"/>
      <c r="Q898" s="12"/>
      <c r="R898" s="12" t="s">
        <v>94</v>
      </c>
      <c r="S898" s="12">
        <v>10</v>
      </c>
      <c r="T898" s="12" t="s">
        <v>1961</v>
      </c>
      <c r="U898" s="12" t="s">
        <v>1962</v>
      </c>
      <c r="V898" s="12">
        <f>VLOOKUP(Tabla4[[#This Row],[ZONA DEFINITIVO]],Hoja1!$A$1:$D$121,3,0)</f>
        <v>229134</v>
      </c>
      <c r="W898" s="12">
        <f>VLOOKUP(Tabla4[[#This Row],[ZONA DEFINITIVO]],Hoja1!$A$1:$D$121,2,0)</f>
        <v>15239</v>
      </c>
      <c r="X898" s="12">
        <f>VLOOKUP(Tabla4[[#This Row],[ZONA DEFINITIVO]],Hoja1!$A$1:$D$121,4,0)</f>
        <v>88325</v>
      </c>
      <c r="Y898" s="12" t="str">
        <f>+IF(Tabla4[[#This Row],[AGRUPACIONES]]=1,SUMIFS(Tabla4[UDS],Tabla4[ZONA DEFINITIVO],Tabla4[[#This Row],[ZONA DEFINITIVO]])," ")</f>
        <v xml:space="preserve"> </v>
      </c>
      <c r="Z898" s="12" t="str">
        <f>+IF(Tabla4[[#This Row],[AGRUPACIONES]]=1,SUMIFS(Tabla4[TOTAL COBERTURA],Tabla4[ZONA DEFINITIVO],Tabla4[[#This Row],[ZONA DEFINITIVO]])," ")</f>
        <v xml:space="preserve"> </v>
      </c>
      <c r="AA898" s="12"/>
      <c r="AB898" s="38">
        <v>25828185</v>
      </c>
      <c r="AC898" s="37">
        <v>0.02</v>
      </c>
      <c r="AD898" s="38">
        <f t="shared" si="14"/>
        <v>516563.7</v>
      </c>
      <c r="AE898" s="12"/>
      <c r="AF898" s="12">
        <f>COUNTIF($A$20:A898,A898)</f>
        <v>16</v>
      </c>
      <c r="AG898" s="38">
        <v>25828185</v>
      </c>
      <c r="AH898" s="38">
        <f>Tabla4[[#This Row],[VALOR CONTRAPARTIDA]]+Tabla4[[#This Row],[TOTAL APORTES ICBF]]</f>
        <v>26344748.699999999</v>
      </c>
      <c r="AI898" s="35"/>
      <c r="AJ898" s="38"/>
      <c r="AK898" s="38"/>
      <c r="AL898" s="23"/>
      <c r="AM898" s="35">
        <f>VLOOKUP(Tabla4[[#This Row],[SERVICIO 2025]],$J$2:$V$14,5,0)*Tabla4[[#This Row],[TOTAL COBERTURA]]</f>
        <v>794648</v>
      </c>
      <c r="AN898" s="35">
        <f>VLOOKUP(Tabla4[[#This Row],[SERVICIO 2025]],$J$2:$V$14,6,0)*Tabla4[[#This Row],[TOTAL COBERTURA]]</f>
        <v>643297</v>
      </c>
      <c r="AO898" s="35">
        <f>VLOOKUP(Tabla4[[#This Row],[SERVICIO 2025]],$J$2:$V$14,8,0)*Tabla4[[#This Row],[TOTAL COBERTURA]]</f>
        <v>0</v>
      </c>
      <c r="AP898" s="35">
        <f>VLOOKUP(Tabla4[[#This Row],[SERVICIO 2025]],$J$2:$V$14,3,0)*Tabla4[[#This Row],[TOTAL COBERTURA]]*8</f>
        <v>24390240</v>
      </c>
      <c r="AQ898" s="35"/>
      <c r="AR898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898" s="35" t="str">
        <f>+IF(Tabla4[[#This Row],[AGRUPACIONES]]=1,SUMIFS(Tabla4[VALOR TOTAL],Tabla4[ZONA DEFINITIVO],Tabla4[[#This Row],[ZONA DEFINITIVO]])," ")</f>
        <v xml:space="preserve"> </v>
      </c>
      <c r="AT898" s="27">
        <f>(VLOOKUP(Tabla4[[#This Row],[SERVICIO 2025]],$J$2:$V$14,3,0)*Tabla4[[#This Row],[TOTAL COBERTURA]])+Tabla4[[#This Row],[VALOR FASE PREPARATORIA DE ALISTAMIENTO]]+Tabla4[[#This Row],[DOTACIÓN ÚNICA]]</f>
        <v>3843428</v>
      </c>
      <c r="AU898" s="35">
        <f>(VLOOKUP(Tabla4[[#This Row],[SERVICIO 2025]],$J$2:$V$14,3,0)*Tabla4[[#This Row],[TOTAL COBERTURA]])</f>
        <v>3048780</v>
      </c>
      <c r="AV898" s="35">
        <f>(VLOOKUP(Tabla4[[#This Row],[SERVICIO 2025]],$J$2:$V$14,3,0)*Tabla4[[#This Row],[TOTAL COBERTURA]])</f>
        <v>3048780</v>
      </c>
      <c r="AW898" s="35">
        <f>(VLOOKUP(Tabla4[[#This Row],[SERVICIO 2025]],$J$2:$V$14,3,0)*Tabla4[[#This Row],[TOTAL COBERTURA]])</f>
        <v>3048780</v>
      </c>
      <c r="AX898" s="35">
        <f>(VLOOKUP(Tabla4[[#This Row],[SERVICIO 2025]],$J$2:$V$14,3,0)*Tabla4[[#This Row],[TOTAL COBERTURA]])</f>
        <v>3048780</v>
      </c>
      <c r="AY898" s="35">
        <f>(VLOOKUP(Tabla4[[#This Row],[SERVICIO 2025]],$J$2:$V$14,3,0)*Tabla4[[#This Row],[TOTAL COBERTURA]])</f>
        <v>3048780</v>
      </c>
      <c r="AZ898" s="35">
        <f>(VLOOKUP(Tabla4[[#This Row],[SERVICIO 2025]],$J$2:$V$14,3,0)*Tabla4[[#This Row],[TOTAL COBERTURA]])</f>
        <v>3048780</v>
      </c>
      <c r="BA898" s="35">
        <f>(VLOOKUP(Tabla4[[#This Row],[SERVICIO 2025]],$J$2:$V$14,3,0)*Tabla4[[#This Row],[TOTAL COBERTURA]])+Tabla4[[#This Row],[VALOR FASE PREPARATORIA DE CIERRE]]</f>
        <v>3692077</v>
      </c>
      <c r="BB898" s="35">
        <f>SUM(Tabla4[[#This Row],[DESEMBOLSO 1]:[DESEMBOLSO 8]])</f>
        <v>25828185</v>
      </c>
      <c r="BC898" s="35">
        <f>VLOOKUP(Tabla4[[#This Row],[SERVICIO 2025]],$J$2:$V$14,10,0)*Tabla4[[#This Row],[TOTAL COBERTURA]]*$W$3</f>
        <v>25611656</v>
      </c>
      <c r="BD898" s="47" t="s">
        <v>211</v>
      </c>
      <c r="BE898" s="12" t="b">
        <f>EXACT(Tabla4[[#This Row],[VALOR ATENCIÓN (8 MESES)]],Tabla4[[#This Row],[VALOR TOTAL]])</f>
        <v>1</v>
      </c>
      <c r="BF898" s="23">
        <f>Tabla4[[#This Row],[VALOR ATENCIÓN (8 MESES)]]-Tabla4[[#This Row],[VALOR TOTAL]]</f>
        <v>0</v>
      </c>
      <c r="BG898" s="12" t="b">
        <f>EXACT(Tabla4[[#This Row],[TOTAL DESEMBOLSOS]],Tabla4[[#This Row],[VALOR ATENCIÓN (8 MESES)]])</f>
        <v>1</v>
      </c>
      <c r="BH898" s="29">
        <f>Tabla4[[#This Row],[TOTAL DESEMBOLSOS]]-Tabla4[[#This Row],[VALOR ATENCIÓN (8 MESES)]]</f>
        <v>0</v>
      </c>
      <c r="BI898" t="s">
        <v>98</v>
      </c>
      <c r="BJ898">
        <v>1977</v>
      </c>
    </row>
    <row r="899" spans="1:62">
      <c r="A899" s="13">
        <v>1977</v>
      </c>
      <c r="B899" s="13" t="s">
        <v>1957</v>
      </c>
      <c r="C899" s="12" t="s">
        <v>87</v>
      </c>
      <c r="D899" s="12" t="s">
        <v>482</v>
      </c>
      <c r="E899" s="12" t="s">
        <v>1958</v>
      </c>
      <c r="F899" s="12" t="s">
        <v>21</v>
      </c>
      <c r="G899" s="12" t="s">
        <v>90</v>
      </c>
      <c r="H899" s="12" t="s">
        <v>1993</v>
      </c>
      <c r="I899" s="12">
        <v>55791155853</v>
      </c>
      <c r="J899" s="12" t="s">
        <v>1994</v>
      </c>
      <c r="K899" s="12">
        <v>1</v>
      </c>
      <c r="L899" s="12">
        <v>143</v>
      </c>
      <c r="M899" s="12"/>
      <c r="N899" s="13">
        <v>1977</v>
      </c>
      <c r="O899" s="12" t="s">
        <v>93</v>
      </c>
      <c r="P899" s="12"/>
      <c r="Q899" s="12"/>
      <c r="R899" s="12" t="s">
        <v>94</v>
      </c>
      <c r="S899" s="12">
        <v>10</v>
      </c>
      <c r="T899" s="12" t="s">
        <v>1961</v>
      </c>
      <c r="U899" s="12" t="s">
        <v>1962</v>
      </c>
      <c r="V899" s="12">
        <f>VLOOKUP(Tabla4[[#This Row],[ZONA DEFINITIVO]],Hoja1!$A$1:$D$121,3,0)</f>
        <v>229134</v>
      </c>
      <c r="W899" s="12">
        <f>VLOOKUP(Tabla4[[#This Row],[ZONA DEFINITIVO]],Hoja1!$A$1:$D$121,2,0)</f>
        <v>15239</v>
      </c>
      <c r="X899" s="12">
        <f>VLOOKUP(Tabla4[[#This Row],[ZONA DEFINITIVO]],Hoja1!$A$1:$D$121,4,0)</f>
        <v>88325</v>
      </c>
      <c r="Y899" s="12" t="str">
        <f>+IF(Tabla4[[#This Row],[AGRUPACIONES]]=1,SUMIFS(Tabla4[UDS],Tabla4[ZONA DEFINITIVO],Tabla4[[#This Row],[ZONA DEFINITIVO]])," ")</f>
        <v xml:space="preserve"> </v>
      </c>
      <c r="Z899" s="12" t="str">
        <f>+IF(Tabla4[[#This Row],[AGRUPACIONES]]=1,SUMIFS(Tabla4[TOTAL COBERTURA],Tabla4[ZONA DEFINITIVO],Tabla4[[#This Row],[ZONA DEFINITIVO]])," ")</f>
        <v xml:space="preserve"> </v>
      </c>
      <c r="AA899" s="12"/>
      <c r="AB899" s="38">
        <v>217260615</v>
      </c>
      <c r="AC899" s="37">
        <v>0.02</v>
      </c>
      <c r="AD899" s="38">
        <f t="shared" si="14"/>
        <v>4345212.3</v>
      </c>
      <c r="AE899" s="12"/>
      <c r="AF899" s="12">
        <f>COUNTIF($A$20:A899,A899)</f>
        <v>17</v>
      </c>
      <c r="AG899" s="38">
        <v>217260615</v>
      </c>
      <c r="AH899" s="38">
        <f>Tabla4[[#This Row],[VALOR CONTRAPARTIDA]]+Tabla4[[#This Row],[TOTAL APORTES ICBF]]</f>
        <v>221605827.30000001</v>
      </c>
      <c r="AI899" s="35"/>
      <c r="AJ899" s="38"/>
      <c r="AK899" s="38"/>
      <c r="AL899" s="23"/>
      <c r="AM899" s="35">
        <f>VLOOKUP(Tabla4[[#This Row],[SERVICIO 2025]],$J$2:$V$14,5,0)*Tabla4[[#This Row],[TOTAL COBERTURA]]</f>
        <v>6684392</v>
      </c>
      <c r="AN899" s="35">
        <f>VLOOKUP(Tabla4[[#This Row],[SERVICIO 2025]],$J$2:$V$14,6,0)*Tabla4[[#This Row],[TOTAL COBERTURA]]</f>
        <v>5411263</v>
      </c>
      <c r="AO899" s="35">
        <f>VLOOKUP(Tabla4[[#This Row],[SERVICIO 2025]],$J$2:$V$14,8,0)*Tabla4[[#This Row],[TOTAL COBERTURA]]</f>
        <v>0</v>
      </c>
      <c r="AP899" s="35">
        <f>VLOOKUP(Tabla4[[#This Row],[SERVICIO 2025]],$J$2:$V$14,3,0)*Tabla4[[#This Row],[TOTAL COBERTURA]]*8</f>
        <v>205164960</v>
      </c>
      <c r="AQ899" s="35"/>
      <c r="AR899" s="35">
        <f>Tabla4[[#This Row],[VALOR FASE PREPARATORIA DE ALISTAMIENTO]]+Tabla4[[#This Row],[VALOR FASE PREPARATORIA DE CIERRE]]+Tabla4[[#This Row],[DOTACIÓN ÚNICA]]+Tabla4[[#This Row],[VALOR ATENCIÓN]]+Tabla4[[#This Row],[VALOR RACION PREPARADA]]</f>
        <v>217260615</v>
      </c>
      <c r="AS899" s="35" t="str">
        <f>+IF(Tabla4[[#This Row],[AGRUPACIONES]]=1,SUMIFS(Tabla4[VALOR TOTAL],Tabla4[ZONA DEFINITIVO],Tabla4[[#This Row],[ZONA DEFINITIVO]])," ")</f>
        <v xml:space="preserve"> </v>
      </c>
      <c r="AT899" s="27">
        <f>(VLOOKUP(Tabla4[[#This Row],[SERVICIO 2025]],$J$2:$V$14,3,0)*Tabla4[[#This Row],[TOTAL COBERTURA]])+Tabla4[[#This Row],[VALOR FASE PREPARATORIA DE ALISTAMIENTO]]+Tabla4[[#This Row],[DOTACIÓN ÚNICA]]</f>
        <v>32330012</v>
      </c>
      <c r="AU899" s="35">
        <f>(VLOOKUP(Tabla4[[#This Row],[SERVICIO 2025]],$J$2:$V$14,3,0)*Tabla4[[#This Row],[TOTAL COBERTURA]])</f>
        <v>25645620</v>
      </c>
      <c r="AV899" s="35">
        <f>(VLOOKUP(Tabla4[[#This Row],[SERVICIO 2025]],$J$2:$V$14,3,0)*Tabla4[[#This Row],[TOTAL COBERTURA]])</f>
        <v>25645620</v>
      </c>
      <c r="AW899" s="35">
        <f>(VLOOKUP(Tabla4[[#This Row],[SERVICIO 2025]],$J$2:$V$14,3,0)*Tabla4[[#This Row],[TOTAL COBERTURA]])</f>
        <v>25645620</v>
      </c>
      <c r="AX899" s="35">
        <f>(VLOOKUP(Tabla4[[#This Row],[SERVICIO 2025]],$J$2:$V$14,3,0)*Tabla4[[#This Row],[TOTAL COBERTURA]])</f>
        <v>25645620</v>
      </c>
      <c r="AY899" s="35">
        <f>(VLOOKUP(Tabla4[[#This Row],[SERVICIO 2025]],$J$2:$V$14,3,0)*Tabla4[[#This Row],[TOTAL COBERTURA]])</f>
        <v>25645620</v>
      </c>
      <c r="AZ899" s="35">
        <f>(VLOOKUP(Tabla4[[#This Row],[SERVICIO 2025]],$J$2:$V$14,3,0)*Tabla4[[#This Row],[TOTAL COBERTURA]])</f>
        <v>25645620</v>
      </c>
      <c r="BA899" s="35">
        <f>(VLOOKUP(Tabla4[[#This Row],[SERVICIO 2025]],$J$2:$V$14,3,0)*Tabla4[[#This Row],[TOTAL COBERTURA]])+Tabla4[[#This Row],[VALOR FASE PREPARATORIA DE CIERRE]]</f>
        <v>31056883</v>
      </c>
      <c r="BB899" s="35">
        <f>SUM(Tabla4[[#This Row],[DESEMBOLSO 1]:[DESEMBOLSO 8]])</f>
        <v>217260615</v>
      </c>
      <c r="BC899" s="35">
        <f>VLOOKUP(Tabla4[[#This Row],[SERVICIO 2025]],$J$2:$V$14,10,0)*Tabla4[[#This Row],[TOTAL COBERTURA]]*$W$3</f>
        <v>215439224</v>
      </c>
      <c r="BD899" s="47" t="s">
        <v>211</v>
      </c>
      <c r="BE899" s="12" t="b">
        <f>EXACT(Tabla4[[#This Row],[VALOR ATENCIÓN (8 MESES)]],Tabla4[[#This Row],[VALOR TOTAL]])</f>
        <v>1</v>
      </c>
      <c r="BF899" s="23">
        <f>Tabla4[[#This Row],[VALOR ATENCIÓN (8 MESES)]]-Tabla4[[#This Row],[VALOR TOTAL]]</f>
        <v>0</v>
      </c>
      <c r="BG899" s="12" t="b">
        <f>EXACT(Tabla4[[#This Row],[TOTAL DESEMBOLSOS]],Tabla4[[#This Row],[VALOR ATENCIÓN (8 MESES)]])</f>
        <v>1</v>
      </c>
      <c r="BH899" s="29">
        <f>Tabla4[[#This Row],[TOTAL DESEMBOLSOS]]-Tabla4[[#This Row],[VALOR ATENCIÓN (8 MESES)]]</f>
        <v>0</v>
      </c>
      <c r="BI899" t="s">
        <v>98</v>
      </c>
      <c r="BJ899">
        <v>1977</v>
      </c>
    </row>
    <row r="900" spans="1:62">
      <c r="A900" s="13">
        <v>1977</v>
      </c>
      <c r="B900" s="13" t="s">
        <v>1957</v>
      </c>
      <c r="C900" s="12" t="s">
        <v>87</v>
      </c>
      <c r="D900" s="12" t="s">
        <v>482</v>
      </c>
      <c r="E900" s="12" t="s">
        <v>1958</v>
      </c>
      <c r="F900" s="12" t="s">
        <v>21</v>
      </c>
      <c r="G900" s="12" t="s">
        <v>90</v>
      </c>
      <c r="H900" s="12" t="s">
        <v>1995</v>
      </c>
      <c r="I900" s="12">
        <v>55791155854</v>
      </c>
      <c r="J900" s="12" t="s">
        <v>1996</v>
      </c>
      <c r="K900" s="12">
        <v>1</v>
      </c>
      <c r="L900" s="12">
        <v>18</v>
      </c>
      <c r="M900" s="12"/>
      <c r="N900" s="13">
        <v>1977</v>
      </c>
      <c r="O900" s="12" t="s">
        <v>93</v>
      </c>
      <c r="P900" s="12"/>
      <c r="Q900" s="12"/>
      <c r="R900" s="12" t="s">
        <v>94</v>
      </c>
      <c r="S900" s="12">
        <v>10</v>
      </c>
      <c r="T900" s="12" t="s">
        <v>1961</v>
      </c>
      <c r="U900" s="12" t="s">
        <v>1962</v>
      </c>
      <c r="V900" s="12">
        <f>VLOOKUP(Tabla4[[#This Row],[ZONA DEFINITIVO]],Hoja1!$A$1:$D$121,3,0)</f>
        <v>229134</v>
      </c>
      <c r="W900" s="12">
        <f>VLOOKUP(Tabla4[[#This Row],[ZONA DEFINITIVO]],Hoja1!$A$1:$D$121,2,0)</f>
        <v>15239</v>
      </c>
      <c r="X900" s="12">
        <f>VLOOKUP(Tabla4[[#This Row],[ZONA DEFINITIVO]],Hoja1!$A$1:$D$121,4,0)</f>
        <v>88325</v>
      </c>
      <c r="Y900" s="12" t="str">
        <f>+IF(Tabla4[[#This Row],[AGRUPACIONES]]=1,SUMIFS(Tabla4[UDS],Tabla4[ZONA DEFINITIVO],Tabla4[[#This Row],[ZONA DEFINITIVO]])," ")</f>
        <v xml:space="preserve"> </v>
      </c>
      <c r="Z900" s="12" t="str">
        <f>+IF(Tabla4[[#This Row],[AGRUPACIONES]]=1,SUMIFS(Tabla4[TOTAL COBERTURA],Tabla4[ZONA DEFINITIVO],Tabla4[[#This Row],[ZONA DEFINITIVO]])," ")</f>
        <v xml:space="preserve"> </v>
      </c>
      <c r="AA900" s="12"/>
      <c r="AB900" s="38">
        <v>27347490</v>
      </c>
      <c r="AC900" s="37">
        <v>0.02</v>
      </c>
      <c r="AD900" s="38">
        <f t="shared" si="14"/>
        <v>546949.80000000005</v>
      </c>
      <c r="AE900" s="12"/>
      <c r="AF900" s="12">
        <f>COUNTIF($A$20:A900,A900)</f>
        <v>18</v>
      </c>
      <c r="AG900" s="38">
        <v>27347490</v>
      </c>
      <c r="AH900" s="38">
        <f>Tabla4[[#This Row],[VALOR CONTRAPARTIDA]]+Tabla4[[#This Row],[TOTAL APORTES ICBF]]</f>
        <v>27894439.800000001</v>
      </c>
      <c r="AI900" s="35"/>
      <c r="AJ900" s="38"/>
      <c r="AK900" s="38"/>
      <c r="AL900" s="23"/>
      <c r="AM900" s="35">
        <f>VLOOKUP(Tabla4[[#This Row],[SERVICIO 2025]],$J$2:$V$14,5,0)*Tabla4[[#This Row],[TOTAL COBERTURA]]</f>
        <v>841392</v>
      </c>
      <c r="AN900" s="35">
        <f>VLOOKUP(Tabla4[[#This Row],[SERVICIO 2025]],$J$2:$V$14,6,0)*Tabla4[[#This Row],[TOTAL COBERTURA]]</f>
        <v>681138</v>
      </c>
      <c r="AO900" s="35">
        <f>VLOOKUP(Tabla4[[#This Row],[SERVICIO 2025]],$J$2:$V$14,8,0)*Tabla4[[#This Row],[TOTAL COBERTURA]]</f>
        <v>0</v>
      </c>
      <c r="AP900" s="35">
        <f>VLOOKUP(Tabla4[[#This Row],[SERVICIO 2025]],$J$2:$V$14,3,0)*Tabla4[[#This Row],[TOTAL COBERTURA]]*8</f>
        <v>25824960</v>
      </c>
      <c r="AQ900" s="35"/>
      <c r="AR900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900" s="35" t="str">
        <f>+IF(Tabla4[[#This Row],[AGRUPACIONES]]=1,SUMIFS(Tabla4[VALOR TOTAL],Tabla4[ZONA DEFINITIVO],Tabla4[[#This Row],[ZONA DEFINITIVO]])," ")</f>
        <v xml:space="preserve"> </v>
      </c>
      <c r="AT900" s="27">
        <f>(VLOOKUP(Tabla4[[#This Row],[SERVICIO 2025]],$J$2:$V$14,3,0)*Tabla4[[#This Row],[TOTAL COBERTURA]])+Tabla4[[#This Row],[VALOR FASE PREPARATORIA DE ALISTAMIENTO]]+Tabla4[[#This Row],[DOTACIÓN ÚNICA]]</f>
        <v>4069512</v>
      </c>
      <c r="AU900" s="35">
        <f>(VLOOKUP(Tabla4[[#This Row],[SERVICIO 2025]],$J$2:$V$14,3,0)*Tabla4[[#This Row],[TOTAL COBERTURA]])</f>
        <v>3228120</v>
      </c>
      <c r="AV900" s="35">
        <f>(VLOOKUP(Tabla4[[#This Row],[SERVICIO 2025]],$J$2:$V$14,3,0)*Tabla4[[#This Row],[TOTAL COBERTURA]])</f>
        <v>3228120</v>
      </c>
      <c r="AW900" s="35">
        <f>(VLOOKUP(Tabla4[[#This Row],[SERVICIO 2025]],$J$2:$V$14,3,0)*Tabla4[[#This Row],[TOTAL COBERTURA]])</f>
        <v>3228120</v>
      </c>
      <c r="AX900" s="35">
        <f>(VLOOKUP(Tabla4[[#This Row],[SERVICIO 2025]],$J$2:$V$14,3,0)*Tabla4[[#This Row],[TOTAL COBERTURA]])</f>
        <v>3228120</v>
      </c>
      <c r="AY900" s="35">
        <f>(VLOOKUP(Tabla4[[#This Row],[SERVICIO 2025]],$J$2:$V$14,3,0)*Tabla4[[#This Row],[TOTAL COBERTURA]])</f>
        <v>3228120</v>
      </c>
      <c r="AZ900" s="35">
        <f>(VLOOKUP(Tabla4[[#This Row],[SERVICIO 2025]],$J$2:$V$14,3,0)*Tabla4[[#This Row],[TOTAL COBERTURA]])</f>
        <v>3228120</v>
      </c>
      <c r="BA900" s="35">
        <f>(VLOOKUP(Tabla4[[#This Row],[SERVICIO 2025]],$J$2:$V$14,3,0)*Tabla4[[#This Row],[TOTAL COBERTURA]])+Tabla4[[#This Row],[VALOR FASE PREPARATORIA DE CIERRE]]</f>
        <v>3909258</v>
      </c>
      <c r="BB900" s="35">
        <f>SUM(Tabla4[[#This Row],[DESEMBOLSO 1]:[DESEMBOLSO 8]])</f>
        <v>27347490</v>
      </c>
      <c r="BC900" s="35">
        <f>VLOOKUP(Tabla4[[#This Row],[SERVICIO 2025]],$J$2:$V$14,10,0)*Tabla4[[#This Row],[TOTAL COBERTURA]]*$W$3</f>
        <v>27118224</v>
      </c>
      <c r="BD900" s="47" t="s">
        <v>211</v>
      </c>
      <c r="BE900" s="12" t="b">
        <f>EXACT(Tabla4[[#This Row],[VALOR ATENCIÓN (8 MESES)]],Tabla4[[#This Row],[VALOR TOTAL]])</f>
        <v>1</v>
      </c>
      <c r="BF900" s="23">
        <f>Tabla4[[#This Row],[VALOR ATENCIÓN (8 MESES)]]-Tabla4[[#This Row],[VALOR TOTAL]]</f>
        <v>0</v>
      </c>
      <c r="BG900" s="12" t="b">
        <f>EXACT(Tabla4[[#This Row],[TOTAL DESEMBOLSOS]],Tabla4[[#This Row],[VALOR ATENCIÓN (8 MESES)]])</f>
        <v>1</v>
      </c>
      <c r="BH900" s="29">
        <f>Tabla4[[#This Row],[TOTAL DESEMBOLSOS]]-Tabla4[[#This Row],[VALOR ATENCIÓN (8 MESES)]]</f>
        <v>0</v>
      </c>
      <c r="BI900" t="s">
        <v>98</v>
      </c>
      <c r="BJ900">
        <v>1977</v>
      </c>
    </row>
    <row r="901" spans="1:62">
      <c r="A901" s="13">
        <v>1977</v>
      </c>
      <c r="B901" s="13" t="s">
        <v>1957</v>
      </c>
      <c r="C901" s="12" t="s">
        <v>87</v>
      </c>
      <c r="D901" s="12" t="s">
        <v>482</v>
      </c>
      <c r="E901" s="12" t="s">
        <v>1958</v>
      </c>
      <c r="F901" s="12" t="s">
        <v>15</v>
      </c>
      <c r="G901" s="12" t="s">
        <v>90</v>
      </c>
      <c r="H901" s="12" t="s">
        <v>1997</v>
      </c>
      <c r="I901" s="12">
        <v>557900050057</v>
      </c>
      <c r="J901" s="12" t="s">
        <v>1998</v>
      </c>
      <c r="K901" s="12">
        <v>1</v>
      </c>
      <c r="L901" s="12">
        <v>62</v>
      </c>
      <c r="M901" s="12"/>
      <c r="N901" s="13">
        <v>1977</v>
      </c>
      <c r="O901" s="12" t="s">
        <v>93</v>
      </c>
      <c r="P901" s="12"/>
      <c r="Q901" s="12"/>
      <c r="R901" s="12" t="s">
        <v>94</v>
      </c>
      <c r="S901" s="12">
        <v>10</v>
      </c>
      <c r="T901" s="12" t="s">
        <v>1961</v>
      </c>
      <c r="U901" s="12" t="s">
        <v>1962</v>
      </c>
      <c r="V901" s="12">
        <f>VLOOKUP(Tabla4[[#This Row],[ZONA DEFINITIVO]],Hoja1!$A$1:$D$121,3,0)</f>
        <v>229134</v>
      </c>
      <c r="W901" s="12">
        <f>VLOOKUP(Tabla4[[#This Row],[ZONA DEFINITIVO]],Hoja1!$A$1:$D$121,2,0)</f>
        <v>15239</v>
      </c>
      <c r="X901" s="12">
        <f>VLOOKUP(Tabla4[[#This Row],[ZONA DEFINITIVO]],Hoja1!$A$1:$D$121,4,0)</f>
        <v>88325</v>
      </c>
      <c r="Y901" s="12" t="str">
        <f>+IF(Tabla4[[#This Row],[AGRUPACIONES]]=1,SUMIFS(Tabla4[UDS],Tabla4[ZONA DEFINITIVO],Tabla4[[#This Row],[ZONA DEFINITIVO]])," ")</f>
        <v xml:space="preserve"> </v>
      </c>
      <c r="Z901" s="12" t="str">
        <f>+IF(Tabla4[[#This Row],[AGRUPACIONES]]=1,SUMIFS(Tabla4[TOTAL COBERTURA],Tabla4[ZONA DEFINITIVO],Tabla4[[#This Row],[ZONA DEFINITIVO]])," ")</f>
        <v xml:space="preserve"> </v>
      </c>
      <c r="AA901" s="12"/>
      <c r="AB901" s="38">
        <v>268422924</v>
      </c>
      <c r="AC901" s="37">
        <v>0.02</v>
      </c>
      <c r="AD901" s="38">
        <f t="shared" si="14"/>
        <v>5368458.4800000004</v>
      </c>
      <c r="AE901" s="12"/>
      <c r="AF901" s="12">
        <f>COUNTIF($A$20:A901,A901)</f>
        <v>19</v>
      </c>
      <c r="AG901" s="38">
        <v>268422924</v>
      </c>
      <c r="AH901" s="38">
        <f>Tabla4[[#This Row],[VALOR CONTRAPARTIDA]]+Tabla4[[#This Row],[TOTAL APORTES ICBF]]</f>
        <v>273791382.48000002</v>
      </c>
      <c r="AI901" s="35"/>
      <c r="AJ901" s="38"/>
      <c r="AK901" s="38"/>
      <c r="AL901" s="23"/>
      <c r="AM901" s="35">
        <f>VLOOKUP(Tabla4[[#This Row],[SERVICIO 2025]],$J$2:$V$14,5,0)*Tabla4[[#This Row],[TOTAL COBERTURA]]</f>
        <v>5464866</v>
      </c>
      <c r="AN901" s="35">
        <f>VLOOKUP(Tabla4[[#This Row],[SERVICIO 2025]],$J$2:$V$14,6,0)*Tabla4[[#This Row],[TOTAL COBERTURA]]</f>
        <v>4652666</v>
      </c>
      <c r="AO901" s="35">
        <f>VLOOKUP(Tabla4[[#This Row],[SERVICIO 2025]],$J$2:$V$14,8,0)*Tabla4[[#This Row],[TOTAL COBERTURA]]</f>
        <v>0</v>
      </c>
      <c r="AP901" s="35">
        <f>VLOOKUP(Tabla4[[#This Row],[SERVICIO 2025]],$J$2:$V$14,3,0)*Tabla4[[#This Row],[TOTAL COBERTURA]]*8</f>
        <v>258305392</v>
      </c>
      <c r="AQ901" s="35"/>
      <c r="AR901" s="35">
        <f>Tabla4[[#This Row],[VALOR FASE PREPARATORIA DE ALISTAMIENTO]]+Tabla4[[#This Row],[VALOR FASE PREPARATORIA DE CIERRE]]+Tabla4[[#This Row],[DOTACIÓN ÚNICA]]+Tabla4[[#This Row],[VALOR ATENCIÓN]]+Tabla4[[#This Row],[VALOR RACION PREPARADA]]</f>
        <v>268422924</v>
      </c>
      <c r="AS901" s="35" t="str">
        <f>+IF(Tabla4[[#This Row],[AGRUPACIONES]]=1,SUMIFS(Tabla4[VALOR TOTAL],Tabla4[ZONA DEFINITIVO],Tabla4[[#This Row],[ZONA DEFINITIVO]])," ")</f>
        <v xml:space="preserve"> </v>
      </c>
      <c r="AT901" s="27">
        <f>(VLOOKUP(Tabla4[[#This Row],[SERVICIO 2025]],$J$2:$V$14,3,0)*Tabla4[[#This Row],[TOTAL COBERTURA]])+Tabla4[[#This Row],[VALOR FASE PREPARATORIA DE ALISTAMIENTO]]+Tabla4[[#This Row],[DOTACIÓN ÚNICA]]</f>
        <v>37753040</v>
      </c>
      <c r="AU901" s="35">
        <f>(VLOOKUP(Tabla4[[#This Row],[SERVICIO 2025]],$J$2:$V$14,3,0)*Tabla4[[#This Row],[TOTAL COBERTURA]])</f>
        <v>32288174</v>
      </c>
      <c r="AV901" s="35">
        <f>(VLOOKUP(Tabla4[[#This Row],[SERVICIO 2025]],$J$2:$V$14,3,0)*Tabla4[[#This Row],[TOTAL COBERTURA]])</f>
        <v>32288174</v>
      </c>
      <c r="AW901" s="35">
        <f>(VLOOKUP(Tabla4[[#This Row],[SERVICIO 2025]],$J$2:$V$14,3,0)*Tabla4[[#This Row],[TOTAL COBERTURA]])</f>
        <v>32288174</v>
      </c>
      <c r="AX901" s="35">
        <f>(VLOOKUP(Tabla4[[#This Row],[SERVICIO 2025]],$J$2:$V$14,3,0)*Tabla4[[#This Row],[TOTAL COBERTURA]])</f>
        <v>32288174</v>
      </c>
      <c r="AY901" s="35">
        <f>(VLOOKUP(Tabla4[[#This Row],[SERVICIO 2025]],$J$2:$V$14,3,0)*Tabla4[[#This Row],[TOTAL COBERTURA]])</f>
        <v>32288174</v>
      </c>
      <c r="AZ901" s="35">
        <f>(VLOOKUP(Tabla4[[#This Row],[SERVICIO 2025]],$J$2:$V$14,3,0)*Tabla4[[#This Row],[TOTAL COBERTURA]])</f>
        <v>32288174</v>
      </c>
      <c r="BA901" s="35">
        <f>(VLOOKUP(Tabla4[[#This Row],[SERVICIO 2025]],$J$2:$V$14,3,0)*Tabla4[[#This Row],[TOTAL COBERTURA]])+Tabla4[[#This Row],[VALOR FASE PREPARATORIA DE CIERRE]]</f>
        <v>36940840</v>
      </c>
      <c r="BB901" s="35">
        <f>SUM(Tabla4[[#This Row],[DESEMBOLSO 1]:[DESEMBOLSO 8]])</f>
        <v>268422924</v>
      </c>
      <c r="BC901" s="35">
        <f>VLOOKUP(Tabla4[[#This Row],[SERVICIO 2025]],$J$2:$V$14,10,0)*Tabla4[[#This Row],[TOTAL COBERTURA]]*$W$3</f>
        <v>0</v>
      </c>
      <c r="BD901" s="47" t="s">
        <v>145</v>
      </c>
      <c r="BE901" s="12" t="b">
        <f>EXACT(Tabla4[[#This Row],[VALOR ATENCIÓN (8 MESES)]],Tabla4[[#This Row],[VALOR TOTAL]])</f>
        <v>1</v>
      </c>
      <c r="BF901" s="23">
        <f>Tabla4[[#This Row],[VALOR ATENCIÓN (8 MESES)]]-Tabla4[[#This Row],[VALOR TOTAL]]</f>
        <v>0</v>
      </c>
      <c r="BG901" s="12" t="b">
        <f>EXACT(Tabla4[[#This Row],[TOTAL DESEMBOLSOS]],Tabla4[[#This Row],[VALOR ATENCIÓN (8 MESES)]])</f>
        <v>1</v>
      </c>
      <c r="BH901" s="29">
        <f>Tabla4[[#This Row],[TOTAL DESEMBOLSOS]]-Tabla4[[#This Row],[VALOR ATENCIÓN (8 MESES)]]</f>
        <v>0</v>
      </c>
      <c r="BI901" t="s">
        <v>98</v>
      </c>
      <c r="BJ901">
        <v>1977</v>
      </c>
    </row>
    <row r="902" spans="1:62">
      <c r="A902" s="13">
        <v>1977</v>
      </c>
      <c r="B902" s="13" t="s">
        <v>1957</v>
      </c>
      <c r="C902" s="12" t="s">
        <v>87</v>
      </c>
      <c r="D902" s="12" t="s">
        <v>482</v>
      </c>
      <c r="E902" s="12" t="s">
        <v>1958</v>
      </c>
      <c r="F902" s="12" t="s">
        <v>15</v>
      </c>
      <c r="G902" s="12" t="s">
        <v>90</v>
      </c>
      <c r="H902" s="12" t="s">
        <v>1999</v>
      </c>
      <c r="I902" s="12">
        <v>557900114390</v>
      </c>
      <c r="J902" s="12" t="s">
        <v>2000</v>
      </c>
      <c r="K902" s="12">
        <v>1</v>
      </c>
      <c r="L902" s="12">
        <v>70</v>
      </c>
      <c r="M902" s="12"/>
      <c r="N902" s="13">
        <v>1977</v>
      </c>
      <c r="O902" s="12" t="s">
        <v>93</v>
      </c>
      <c r="P902" s="12"/>
      <c r="Q902" s="12"/>
      <c r="R902" s="12" t="s">
        <v>94</v>
      </c>
      <c r="S902" s="12">
        <v>10</v>
      </c>
      <c r="T902" s="12" t="s">
        <v>1961</v>
      </c>
      <c r="U902" s="12" t="s">
        <v>1962</v>
      </c>
      <c r="V902" s="12">
        <f>VLOOKUP(Tabla4[[#This Row],[ZONA DEFINITIVO]],Hoja1!$A$1:$D$121,3,0)</f>
        <v>229134</v>
      </c>
      <c r="W902" s="12">
        <f>VLOOKUP(Tabla4[[#This Row],[ZONA DEFINITIVO]],Hoja1!$A$1:$D$121,2,0)</f>
        <v>15239</v>
      </c>
      <c r="X902" s="12">
        <f>VLOOKUP(Tabla4[[#This Row],[ZONA DEFINITIVO]],Hoja1!$A$1:$D$121,4,0)</f>
        <v>88325</v>
      </c>
      <c r="Y902" s="12" t="str">
        <f>+IF(Tabla4[[#This Row],[AGRUPACIONES]]=1,SUMIFS(Tabla4[UDS],Tabla4[ZONA DEFINITIVO],Tabla4[[#This Row],[ZONA DEFINITIVO]])," ")</f>
        <v xml:space="preserve"> </v>
      </c>
      <c r="Z902" s="12" t="str">
        <f>+IF(Tabla4[[#This Row],[AGRUPACIONES]]=1,SUMIFS(Tabla4[TOTAL COBERTURA],Tabla4[ZONA DEFINITIVO],Tabla4[[#This Row],[ZONA DEFINITIVO]])," ")</f>
        <v xml:space="preserve"> </v>
      </c>
      <c r="AA902" s="12"/>
      <c r="AB902" s="38">
        <v>303058140</v>
      </c>
      <c r="AC902" s="37">
        <v>0.02</v>
      </c>
      <c r="AD902" s="38">
        <f t="shared" si="14"/>
        <v>6061162.7999999998</v>
      </c>
      <c r="AE902" s="12"/>
      <c r="AF902" s="12">
        <f>COUNTIF($A$20:A902,A902)</f>
        <v>20</v>
      </c>
      <c r="AG902" s="38">
        <v>303058140</v>
      </c>
      <c r="AH902" s="38">
        <f>Tabla4[[#This Row],[VALOR CONTRAPARTIDA]]+Tabla4[[#This Row],[TOTAL APORTES ICBF]]</f>
        <v>309119302.80000001</v>
      </c>
      <c r="AI902" s="35"/>
      <c r="AJ902" s="38"/>
      <c r="AK902" s="38"/>
      <c r="AL902" s="23"/>
      <c r="AM902" s="35">
        <f>VLOOKUP(Tabla4[[#This Row],[SERVICIO 2025]],$J$2:$V$14,5,0)*Tabla4[[#This Row],[TOTAL COBERTURA]]</f>
        <v>6170010</v>
      </c>
      <c r="AN902" s="35">
        <f>VLOOKUP(Tabla4[[#This Row],[SERVICIO 2025]],$J$2:$V$14,6,0)*Tabla4[[#This Row],[TOTAL COBERTURA]]</f>
        <v>5253010</v>
      </c>
      <c r="AO902" s="35">
        <f>VLOOKUP(Tabla4[[#This Row],[SERVICIO 2025]],$J$2:$V$14,8,0)*Tabla4[[#This Row],[TOTAL COBERTURA]]</f>
        <v>0</v>
      </c>
      <c r="AP902" s="35">
        <f>VLOOKUP(Tabla4[[#This Row],[SERVICIO 2025]],$J$2:$V$14,3,0)*Tabla4[[#This Row],[TOTAL COBERTURA]]*8</f>
        <v>291635120</v>
      </c>
      <c r="AQ902" s="35"/>
      <c r="AR902" s="35">
        <f>Tabla4[[#This Row],[VALOR FASE PREPARATORIA DE ALISTAMIENTO]]+Tabla4[[#This Row],[VALOR FASE PREPARATORIA DE CIERRE]]+Tabla4[[#This Row],[DOTACIÓN ÚNICA]]+Tabla4[[#This Row],[VALOR ATENCIÓN]]+Tabla4[[#This Row],[VALOR RACION PREPARADA]]</f>
        <v>303058140</v>
      </c>
      <c r="AS902" s="35" t="str">
        <f>+IF(Tabla4[[#This Row],[AGRUPACIONES]]=1,SUMIFS(Tabla4[VALOR TOTAL],Tabla4[ZONA DEFINITIVO],Tabla4[[#This Row],[ZONA DEFINITIVO]])," ")</f>
        <v xml:space="preserve"> </v>
      </c>
      <c r="AT902" s="27">
        <f>(VLOOKUP(Tabla4[[#This Row],[SERVICIO 2025]],$J$2:$V$14,3,0)*Tabla4[[#This Row],[TOTAL COBERTURA]])+Tabla4[[#This Row],[VALOR FASE PREPARATORIA DE ALISTAMIENTO]]+Tabla4[[#This Row],[DOTACIÓN ÚNICA]]</f>
        <v>42624400</v>
      </c>
      <c r="AU902" s="35">
        <f>(VLOOKUP(Tabla4[[#This Row],[SERVICIO 2025]],$J$2:$V$14,3,0)*Tabla4[[#This Row],[TOTAL COBERTURA]])</f>
        <v>36454390</v>
      </c>
      <c r="AV902" s="35">
        <f>(VLOOKUP(Tabla4[[#This Row],[SERVICIO 2025]],$J$2:$V$14,3,0)*Tabla4[[#This Row],[TOTAL COBERTURA]])</f>
        <v>36454390</v>
      </c>
      <c r="AW902" s="35">
        <f>(VLOOKUP(Tabla4[[#This Row],[SERVICIO 2025]],$J$2:$V$14,3,0)*Tabla4[[#This Row],[TOTAL COBERTURA]])</f>
        <v>36454390</v>
      </c>
      <c r="AX902" s="35">
        <f>(VLOOKUP(Tabla4[[#This Row],[SERVICIO 2025]],$J$2:$V$14,3,0)*Tabla4[[#This Row],[TOTAL COBERTURA]])</f>
        <v>36454390</v>
      </c>
      <c r="AY902" s="35">
        <f>(VLOOKUP(Tabla4[[#This Row],[SERVICIO 2025]],$J$2:$V$14,3,0)*Tabla4[[#This Row],[TOTAL COBERTURA]])</f>
        <v>36454390</v>
      </c>
      <c r="AZ902" s="35">
        <f>(VLOOKUP(Tabla4[[#This Row],[SERVICIO 2025]],$J$2:$V$14,3,0)*Tabla4[[#This Row],[TOTAL COBERTURA]])</f>
        <v>36454390</v>
      </c>
      <c r="BA902" s="35">
        <f>(VLOOKUP(Tabla4[[#This Row],[SERVICIO 2025]],$J$2:$V$14,3,0)*Tabla4[[#This Row],[TOTAL COBERTURA]])+Tabla4[[#This Row],[VALOR FASE PREPARATORIA DE CIERRE]]</f>
        <v>41707400</v>
      </c>
      <c r="BB902" s="35">
        <f>SUM(Tabla4[[#This Row],[DESEMBOLSO 1]:[DESEMBOLSO 8]])</f>
        <v>303058140</v>
      </c>
      <c r="BC902" s="35">
        <f>VLOOKUP(Tabla4[[#This Row],[SERVICIO 2025]],$J$2:$V$14,10,0)*Tabla4[[#This Row],[TOTAL COBERTURA]]*$W$3</f>
        <v>0</v>
      </c>
      <c r="BD902" s="47" t="s">
        <v>145</v>
      </c>
      <c r="BE902" s="12" t="b">
        <f>EXACT(Tabla4[[#This Row],[VALOR ATENCIÓN (8 MESES)]],Tabla4[[#This Row],[VALOR TOTAL]])</f>
        <v>1</v>
      </c>
      <c r="BF902" s="23">
        <f>Tabla4[[#This Row],[VALOR ATENCIÓN (8 MESES)]]-Tabla4[[#This Row],[VALOR TOTAL]]</f>
        <v>0</v>
      </c>
      <c r="BG902" s="12" t="b">
        <f>EXACT(Tabla4[[#This Row],[TOTAL DESEMBOLSOS]],Tabla4[[#This Row],[VALOR ATENCIÓN (8 MESES)]])</f>
        <v>1</v>
      </c>
      <c r="BH902" s="29">
        <f>Tabla4[[#This Row],[TOTAL DESEMBOLSOS]]-Tabla4[[#This Row],[VALOR ATENCIÓN (8 MESES)]]</f>
        <v>0</v>
      </c>
      <c r="BI902" t="s">
        <v>98</v>
      </c>
      <c r="BJ902">
        <v>1977</v>
      </c>
    </row>
    <row r="903" spans="1:62">
      <c r="A903" s="13">
        <v>1977</v>
      </c>
      <c r="B903" s="13" t="s">
        <v>1957</v>
      </c>
      <c r="C903" s="12" t="s">
        <v>87</v>
      </c>
      <c r="D903" s="12" t="s">
        <v>482</v>
      </c>
      <c r="E903" s="12" t="s">
        <v>1958</v>
      </c>
      <c r="F903" s="12" t="s">
        <v>13</v>
      </c>
      <c r="G903" s="12" t="s">
        <v>90</v>
      </c>
      <c r="H903" s="12" t="s">
        <v>2001</v>
      </c>
      <c r="I903" s="12">
        <v>557900114392</v>
      </c>
      <c r="J903" s="12" t="s">
        <v>2002</v>
      </c>
      <c r="K903" s="12">
        <v>1</v>
      </c>
      <c r="L903" s="12">
        <v>22</v>
      </c>
      <c r="M903" s="12"/>
      <c r="N903" s="13">
        <v>1977</v>
      </c>
      <c r="O903" s="12" t="s">
        <v>93</v>
      </c>
      <c r="P903" s="12"/>
      <c r="Q903" s="12"/>
      <c r="R903" s="12" t="s">
        <v>94</v>
      </c>
      <c r="S903" s="12">
        <v>10</v>
      </c>
      <c r="T903" s="12" t="s">
        <v>1961</v>
      </c>
      <c r="U903" s="12" t="s">
        <v>1962</v>
      </c>
      <c r="V903" s="12">
        <f>VLOOKUP(Tabla4[[#This Row],[ZONA DEFINITIVO]],Hoja1!$A$1:$D$121,3,0)</f>
        <v>229134</v>
      </c>
      <c r="W903" s="12">
        <f>VLOOKUP(Tabla4[[#This Row],[ZONA DEFINITIVO]],Hoja1!$A$1:$D$121,2,0)</f>
        <v>15239</v>
      </c>
      <c r="X903" s="12">
        <f>VLOOKUP(Tabla4[[#This Row],[ZONA DEFINITIVO]],Hoja1!$A$1:$D$121,4,0)</f>
        <v>88325</v>
      </c>
      <c r="Y903" s="12" t="str">
        <f>+IF(Tabla4[[#This Row],[AGRUPACIONES]]=1,SUMIFS(Tabla4[UDS],Tabla4[ZONA DEFINITIVO],Tabla4[[#This Row],[ZONA DEFINITIVO]])," ")</f>
        <v xml:space="preserve"> </v>
      </c>
      <c r="Z903" s="12" t="str">
        <f>+IF(Tabla4[[#This Row],[AGRUPACIONES]]=1,SUMIFS(Tabla4[TOTAL COBERTURA],Tabla4[ZONA DEFINITIVO],Tabla4[[#This Row],[ZONA DEFINITIVO]])," ")</f>
        <v xml:space="preserve"> </v>
      </c>
      <c r="AA903" s="12"/>
      <c r="AB903" s="38">
        <v>65047532</v>
      </c>
      <c r="AC903" s="37">
        <v>0.02</v>
      </c>
      <c r="AD903" s="38">
        <f t="shared" si="14"/>
        <v>1300950.6400000001</v>
      </c>
      <c r="AE903" s="12"/>
      <c r="AF903" s="12">
        <f>COUNTIF($A$20:A903,A903)</f>
        <v>21</v>
      </c>
      <c r="AG903" s="38">
        <v>65047532</v>
      </c>
      <c r="AH903" s="38">
        <f>Tabla4[[#This Row],[VALOR CONTRAPARTIDA]]+Tabla4[[#This Row],[TOTAL APORTES ICBF]]</f>
        <v>66348482.640000001</v>
      </c>
      <c r="AI903" s="35"/>
      <c r="AJ903" s="38"/>
      <c r="AK903" s="38"/>
      <c r="AL903" s="23"/>
      <c r="AM903" s="35">
        <f>VLOOKUP(Tabla4[[#This Row],[SERVICIO 2025]],$J$2:$V$14,5,0)*Tabla4[[#This Row],[TOTAL COBERTURA]]</f>
        <v>1939146</v>
      </c>
      <c r="AN903" s="35">
        <f>VLOOKUP(Tabla4[[#This Row],[SERVICIO 2025]],$J$2:$V$14,6,0)*Tabla4[[#This Row],[TOTAL COBERTURA]]</f>
        <v>1650946</v>
      </c>
      <c r="AO903" s="35">
        <f>VLOOKUP(Tabla4[[#This Row],[SERVICIO 2025]],$J$2:$V$14,8,0)*Tabla4[[#This Row],[TOTAL COBERTURA]]</f>
        <v>0</v>
      </c>
      <c r="AP903" s="35">
        <f>VLOOKUP(Tabla4[[#This Row],[SERVICIO 2025]],$J$2:$V$14,3,0)*Tabla4[[#This Row],[TOTAL COBERTURA]]*8</f>
        <v>61457440</v>
      </c>
      <c r="AQ903" s="35"/>
      <c r="AR903" s="35">
        <f>Tabla4[[#This Row],[VALOR FASE PREPARATORIA DE ALISTAMIENTO]]+Tabla4[[#This Row],[VALOR FASE PREPARATORIA DE CIERRE]]+Tabla4[[#This Row],[DOTACIÓN ÚNICA]]+Tabla4[[#This Row],[VALOR ATENCIÓN]]+Tabla4[[#This Row],[VALOR RACION PREPARADA]]</f>
        <v>65047532</v>
      </c>
      <c r="AS903" s="35" t="str">
        <f>+IF(Tabla4[[#This Row],[AGRUPACIONES]]=1,SUMIFS(Tabla4[VALOR TOTAL],Tabla4[ZONA DEFINITIVO],Tabla4[[#This Row],[ZONA DEFINITIVO]])," ")</f>
        <v xml:space="preserve"> </v>
      </c>
      <c r="AT903" s="27">
        <f>(VLOOKUP(Tabla4[[#This Row],[SERVICIO 2025]],$J$2:$V$14,3,0)*Tabla4[[#This Row],[TOTAL COBERTURA]])+Tabla4[[#This Row],[VALOR FASE PREPARATORIA DE ALISTAMIENTO]]+Tabla4[[#This Row],[DOTACIÓN ÚNICA]]</f>
        <v>9621326</v>
      </c>
      <c r="AU903" s="35">
        <f>(VLOOKUP(Tabla4[[#This Row],[SERVICIO 2025]],$J$2:$V$14,3,0)*Tabla4[[#This Row],[TOTAL COBERTURA]])</f>
        <v>7682180</v>
      </c>
      <c r="AV903" s="35">
        <f>(VLOOKUP(Tabla4[[#This Row],[SERVICIO 2025]],$J$2:$V$14,3,0)*Tabla4[[#This Row],[TOTAL COBERTURA]])</f>
        <v>7682180</v>
      </c>
      <c r="AW903" s="35">
        <f>(VLOOKUP(Tabla4[[#This Row],[SERVICIO 2025]],$J$2:$V$14,3,0)*Tabla4[[#This Row],[TOTAL COBERTURA]])</f>
        <v>7682180</v>
      </c>
      <c r="AX903" s="35">
        <f>(VLOOKUP(Tabla4[[#This Row],[SERVICIO 2025]],$J$2:$V$14,3,0)*Tabla4[[#This Row],[TOTAL COBERTURA]])</f>
        <v>7682180</v>
      </c>
      <c r="AY903" s="35">
        <f>(VLOOKUP(Tabla4[[#This Row],[SERVICIO 2025]],$J$2:$V$14,3,0)*Tabla4[[#This Row],[TOTAL COBERTURA]])</f>
        <v>7682180</v>
      </c>
      <c r="AZ903" s="35">
        <f>(VLOOKUP(Tabla4[[#This Row],[SERVICIO 2025]],$J$2:$V$14,3,0)*Tabla4[[#This Row],[TOTAL COBERTURA]])</f>
        <v>7682180</v>
      </c>
      <c r="BA903" s="35">
        <f>(VLOOKUP(Tabla4[[#This Row],[SERVICIO 2025]],$J$2:$V$14,3,0)*Tabla4[[#This Row],[TOTAL COBERTURA]])+Tabla4[[#This Row],[VALOR FASE PREPARATORIA DE CIERRE]]</f>
        <v>9333126</v>
      </c>
      <c r="BB903" s="35">
        <f>SUM(Tabla4[[#This Row],[DESEMBOLSO 1]:[DESEMBOLSO 8]])</f>
        <v>65047532</v>
      </c>
      <c r="BC903" s="35">
        <f>VLOOKUP(Tabla4[[#This Row],[SERVICIO 2025]],$J$2:$V$14,10,0)*Tabla4[[#This Row],[TOTAL COBERTURA]]*$W$3</f>
        <v>27107168</v>
      </c>
      <c r="BD903" s="47" t="s">
        <v>211</v>
      </c>
      <c r="BE903" s="12" t="b">
        <f>EXACT(Tabla4[[#This Row],[VALOR ATENCIÓN (8 MESES)]],Tabla4[[#This Row],[VALOR TOTAL]])</f>
        <v>1</v>
      </c>
      <c r="BF903" s="23">
        <f>Tabla4[[#This Row],[VALOR ATENCIÓN (8 MESES)]]-Tabla4[[#This Row],[VALOR TOTAL]]</f>
        <v>0</v>
      </c>
      <c r="BG903" s="12" t="b">
        <f>EXACT(Tabla4[[#This Row],[TOTAL DESEMBOLSOS]],Tabla4[[#This Row],[VALOR ATENCIÓN (8 MESES)]])</f>
        <v>1</v>
      </c>
      <c r="BH903" s="29">
        <f>Tabla4[[#This Row],[TOTAL DESEMBOLSOS]]-Tabla4[[#This Row],[VALOR ATENCIÓN (8 MESES)]]</f>
        <v>0</v>
      </c>
      <c r="BI903" t="s">
        <v>98</v>
      </c>
      <c r="BJ903">
        <v>1977</v>
      </c>
    </row>
    <row r="904" spans="1:62">
      <c r="A904" s="13">
        <v>1979</v>
      </c>
      <c r="B904" s="13" t="s">
        <v>2003</v>
      </c>
      <c r="C904" s="12" t="s">
        <v>87</v>
      </c>
      <c r="D904" s="12" t="s">
        <v>482</v>
      </c>
      <c r="E904" s="12" t="s">
        <v>2004</v>
      </c>
      <c r="F904" s="12" t="s">
        <v>19</v>
      </c>
      <c r="G904" s="12" t="s">
        <v>90</v>
      </c>
      <c r="H904" s="12" t="s">
        <v>2005</v>
      </c>
      <c r="I904" s="12">
        <v>55911116797</v>
      </c>
      <c r="J904" s="12" t="s">
        <v>2006</v>
      </c>
      <c r="K904" s="12">
        <v>1</v>
      </c>
      <c r="L904" s="12">
        <v>16</v>
      </c>
      <c r="M904" s="12"/>
      <c r="N904" s="13">
        <v>1979</v>
      </c>
      <c r="O904" s="12" t="s">
        <v>93</v>
      </c>
      <c r="P904" s="12"/>
      <c r="Q904" s="12"/>
      <c r="R904" s="12" t="s">
        <v>94</v>
      </c>
      <c r="S904" s="12">
        <v>10</v>
      </c>
      <c r="T904" s="12" t="s">
        <v>486</v>
      </c>
      <c r="U904" s="12" t="s">
        <v>487</v>
      </c>
      <c r="V904" s="12">
        <f>VLOOKUP(Tabla4[[#This Row],[ZONA DEFINITIVO]],Hoja1!$A$1:$D$121,3,0)</f>
        <v>229135</v>
      </c>
      <c r="W904" s="12">
        <f>VLOOKUP(Tabla4[[#This Row],[ZONA DEFINITIVO]],Hoja1!$A$1:$D$121,2,0)</f>
        <v>15243</v>
      </c>
      <c r="X904" s="12">
        <f>VLOOKUP(Tabla4[[#This Row],[ZONA DEFINITIVO]],Hoja1!$A$1:$D$121,4,0)</f>
        <v>88625</v>
      </c>
      <c r="Y904" s="12">
        <f>+IF(Tabla4[[#This Row],[AGRUPACIONES]]=1,SUMIFS(Tabla4[UDS],Tabla4[ZONA DEFINITIVO],Tabla4[[#This Row],[ZONA DEFINITIVO]])," ")</f>
        <v>12</v>
      </c>
      <c r="Z904" s="12">
        <f>+IF(Tabla4[[#This Row],[AGRUPACIONES]]=1,SUMIFS(Tabla4[TOTAL COBERTURA],Tabla4[ZONA DEFINITIVO],Tabla4[[#This Row],[ZONA DEFINITIVO]])," ")</f>
        <v>492</v>
      </c>
      <c r="AA904" s="12"/>
      <c r="AB904" s="38">
        <v>36018416</v>
      </c>
      <c r="AC904" s="37">
        <v>0.02</v>
      </c>
      <c r="AD904" s="38">
        <f t="shared" si="14"/>
        <v>720368.32000000007</v>
      </c>
      <c r="AE904" s="12"/>
      <c r="AF904" s="12">
        <f>COUNTIF($A$20:A904,A904)</f>
        <v>1</v>
      </c>
      <c r="AG904" s="38">
        <v>36018416</v>
      </c>
      <c r="AH904" s="38">
        <f>Tabla4[[#This Row],[VALOR CONTRAPARTIDA]]+Tabla4[[#This Row],[TOTAL APORTES ICBF]]</f>
        <v>36738784.32</v>
      </c>
      <c r="AI904" s="35">
        <f>ROUND(+IF(Tabla4[[#This Row],[AGRUPACIONES]]=1,SUMIFS(Tabla4[TOTAL APORTES ICBF],Tabla4[ZONA DEFINITIVO],Tabla4[[#This Row],[ZONA DEFINITIVO]])," "),0)</f>
        <v>1161813527</v>
      </c>
      <c r="AJ904" s="38">
        <f>ROUND(+IF(Tabla4[[#This Row],[AGRUPACIONES]]=1,SUMIFS(Tabla4[VALOR CONTRAPARTIDA],Tabla4[ZONA DEFINITIVO],Tabla4[[#This Row],[ZONA DEFINITIVO]])," "),0)</f>
        <v>23236271</v>
      </c>
      <c r="AK904" s="38">
        <f>Tabla4[[#This Row],[TOTAL APORTES ICBF AGRUPADO]]+Tabla4[[#This Row],[TOTAL CONTRAPARTIDA AGRUPADO]]</f>
        <v>1185049798</v>
      </c>
      <c r="AL904" s="23">
        <f>Tabla4[[#This Row],[TOTAL APORTES ICBF AGRUPADO]]/$AL$18</f>
        <v>816.16686125746401</v>
      </c>
      <c r="AM904" s="35">
        <f>VLOOKUP(Tabla4[[#This Row],[SERVICIO 2025]],$J$2:$V$14,5,0)*Tabla4[[#This Row],[TOTAL COBERTURA]]</f>
        <v>823408</v>
      </c>
      <c r="AN904" s="35">
        <f>VLOOKUP(Tabla4[[#This Row],[SERVICIO 2025]],$J$2:$V$14,6,0)*Tabla4[[#This Row],[TOTAL COBERTURA]]</f>
        <v>689856</v>
      </c>
      <c r="AO904" s="35">
        <f>VLOOKUP(Tabla4[[#This Row],[SERVICIO 2025]],$J$2:$V$14,8,0)*Tabla4[[#This Row],[TOTAL COBERTURA]]</f>
        <v>465600</v>
      </c>
      <c r="AP904" s="35">
        <f>VLOOKUP(Tabla4[[#This Row],[SERVICIO 2025]],$J$2:$V$14,3,0)*Tabla4[[#This Row],[TOTAL COBERTURA]]*8</f>
        <v>34039552</v>
      </c>
      <c r="AQ904" s="35"/>
      <c r="AR904" s="35">
        <f>Tabla4[[#This Row],[VALOR FASE PREPARATORIA DE ALISTAMIENTO]]+Tabla4[[#This Row],[VALOR FASE PREPARATORIA DE CIERRE]]+Tabla4[[#This Row],[DOTACIÓN ÚNICA]]+Tabla4[[#This Row],[VALOR ATENCIÓN]]+Tabla4[[#This Row],[VALOR RACION PREPARADA]]</f>
        <v>36018416</v>
      </c>
      <c r="AS904" s="35">
        <f>+IF(Tabla4[[#This Row],[AGRUPACIONES]]=1,SUMIFS(Tabla4[VALOR TOTAL],Tabla4[ZONA DEFINITIVO],Tabla4[[#This Row],[ZONA DEFINITIVO]])," ")</f>
        <v>1161813527</v>
      </c>
      <c r="AT904" s="27">
        <f>(VLOOKUP(Tabla4[[#This Row],[SERVICIO 2025]],$J$2:$V$14,3,0)*Tabla4[[#This Row],[TOTAL COBERTURA]])+Tabla4[[#This Row],[VALOR FASE PREPARATORIA DE ALISTAMIENTO]]+Tabla4[[#This Row],[DOTACIÓN ÚNICA]]</f>
        <v>5543952</v>
      </c>
      <c r="AU904" s="35">
        <f>(VLOOKUP(Tabla4[[#This Row],[SERVICIO 2025]],$J$2:$V$14,3,0)*Tabla4[[#This Row],[TOTAL COBERTURA]])</f>
        <v>4254944</v>
      </c>
      <c r="AV904" s="35">
        <f>(VLOOKUP(Tabla4[[#This Row],[SERVICIO 2025]],$J$2:$V$14,3,0)*Tabla4[[#This Row],[TOTAL COBERTURA]])</f>
        <v>4254944</v>
      </c>
      <c r="AW904" s="35">
        <f>(VLOOKUP(Tabla4[[#This Row],[SERVICIO 2025]],$J$2:$V$14,3,0)*Tabla4[[#This Row],[TOTAL COBERTURA]])</f>
        <v>4254944</v>
      </c>
      <c r="AX904" s="35">
        <f>(VLOOKUP(Tabla4[[#This Row],[SERVICIO 2025]],$J$2:$V$14,3,0)*Tabla4[[#This Row],[TOTAL COBERTURA]])</f>
        <v>4254944</v>
      </c>
      <c r="AY904" s="35">
        <f>(VLOOKUP(Tabla4[[#This Row],[SERVICIO 2025]],$J$2:$V$14,3,0)*Tabla4[[#This Row],[TOTAL COBERTURA]])</f>
        <v>4254944</v>
      </c>
      <c r="AZ904" s="35">
        <f>(VLOOKUP(Tabla4[[#This Row],[SERVICIO 2025]],$J$2:$V$14,3,0)*Tabla4[[#This Row],[TOTAL COBERTURA]])</f>
        <v>4254944</v>
      </c>
      <c r="BA904" s="35">
        <f>(VLOOKUP(Tabla4[[#This Row],[SERVICIO 2025]],$J$2:$V$14,3,0)*Tabla4[[#This Row],[TOTAL COBERTURA]])+Tabla4[[#This Row],[VALOR FASE PREPARATORIA DE CIERRE]]</f>
        <v>4944800</v>
      </c>
      <c r="BB904" s="35">
        <f>SUM(Tabla4[[#This Row],[DESEMBOLSO 1]:[DESEMBOLSO 8]])</f>
        <v>36018416</v>
      </c>
      <c r="BC904" s="35"/>
      <c r="BD904" s="47" t="s">
        <v>97</v>
      </c>
      <c r="BE904" s="12" t="b">
        <f>EXACT(Tabla4[[#This Row],[VALOR ATENCIÓN (8 MESES)]],Tabla4[[#This Row],[VALOR TOTAL]])</f>
        <v>1</v>
      </c>
      <c r="BF904" s="23">
        <f>Tabla4[[#This Row],[VALOR ATENCIÓN (8 MESES)]]-Tabla4[[#This Row],[VALOR TOTAL]]</f>
        <v>0</v>
      </c>
      <c r="BG904" s="12" t="b">
        <f>EXACT(Tabla4[[#This Row],[TOTAL DESEMBOLSOS]],Tabla4[[#This Row],[VALOR ATENCIÓN (8 MESES)]])</f>
        <v>1</v>
      </c>
      <c r="BH904" s="29">
        <f>Tabla4[[#This Row],[TOTAL DESEMBOLSOS]]-Tabla4[[#This Row],[VALOR ATENCIÓN (8 MESES)]]</f>
        <v>0</v>
      </c>
      <c r="BI904" t="s">
        <v>98</v>
      </c>
    </row>
    <row r="905" spans="1:62">
      <c r="A905" s="13">
        <v>1979</v>
      </c>
      <c r="B905" s="13" t="s">
        <v>2003</v>
      </c>
      <c r="C905" s="12" t="s">
        <v>87</v>
      </c>
      <c r="D905" s="12" t="s">
        <v>482</v>
      </c>
      <c r="E905" s="12" t="s">
        <v>2004</v>
      </c>
      <c r="F905" s="12" t="s">
        <v>18</v>
      </c>
      <c r="G905" s="12" t="s">
        <v>90</v>
      </c>
      <c r="H905" s="12" t="s">
        <v>2007</v>
      </c>
      <c r="I905" s="12">
        <v>55911116799</v>
      </c>
      <c r="J905" s="12" t="s">
        <v>2008</v>
      </c>
      <c r="K905" s="12">
        <v>1</v>
      </c>
      <c r="L905" s="12">
        <v>34</v>
      </c>
      <c r="M905" s="12"/>
      <c r="N905" s="13">
        <v>1979</v>
      </c>
      <c r="O905" s="12" t="s">
        <v>93</v>
      </c>
      <c r="P905" s="12"/>
      <c r="Q905" s="12"/>
      <c r="R905" s="12" t="s">
        <v>94</v>
      </c>
      <c r="S905" s="12">
        <v>10</v>
      </c>
      <c r="T905" s="12" t="s">
        <v>486</v>
      </c>
      <c r="U905" s="12" t="s">
        <v>487</v>
      </c>
      <c r="V905" s="12">
        <f>VLOOKUP(Tabla4[[#This Row],[ZONA DEFINITIVO]],Hoja1!$A$1:$D$121,3,0)</f>
        <v>229135</v>
      </c>
      <c r="W905" s="12">
        <f>VLOOKUP(Tabla4[[#This Row],[ZONA DEFINITIVO]],Hoja1!$A$1:$D$121,2,0)</f>
        <v>15243</v>
      </c>
      <c r="X905" s="12">
        <f>VLOOKUP(Tabla4[[#This Row],[ZONA DEFINITIVO]],Hoja1!$A$1:$D$121,4,0)</f>
        <v>88625</v>
      </c>
      <c r="Y905" s="12" t="str">
        <f>+IF(Tabla4[[#This Row],[AGRUPACIONES]]=1,SUMIFS(Tabla4[UDS],Tabla4[ZONA DEFINITIVO],Tabla4[[#This Row],[ZONA DEFINITIVO]])," ")</f>
        <v xml:space="preserve"> </v>
      </c>
      <c r="Z905" s="12" t="str">
        <f>+IF(Tabla4[[#This Row],[AGRUPACIONES]]=1,SUMIFS(Tabla4[TOTAL COBERTURA],Tabla4[ZONA DEFINITIVO],Tabla4[[#This Row],[ZONA DEFINITIVO]])," ")</f>
        <v xml:space="preserve"> </v>
      </c>
      <c r="AA905" s="12"/>
      <c r="AB905" s="38">
        <v>74126562</v>
      </c>
      <c r="AC905" s="37">
        <v>0.02</v>
      </c>
      <c r="AD905" s="38">
        <f t="shared" si="14"/>
        <v>1482531.24</v>
      </c>
      <c r="AE905" s="12"/>
      <c r="AF905" s="12">
        <f>COUNTIF($A$20:A905,A905)</f>
        <v>2</v>
      </c>
      <c r="AG905" s="38">
        <v>74126562</v>
      </c>
      <c r="AH905" s="38">
        <f>Tabla4[[#This Row],[VALOR CONTRAPARTIDA]]+Tabla4[[#This Row],[TOTAL APORTES ICBF]]</f>
        <v>75609093.239999995</v>
      </c>
      <c r="AI905" s="35"/>
      <c r="AJ905" s="38"/>
      <c r="AK905" s="38"/>
      <c r="AL905" s="23"/>
      <c r="AM905" s="35">
        <f>VLOOKUP(Tabla4[[#This Row],[SERVICIO 2025]],$J$2:$V$14,5,0)*Tabla4[[#This Row],[TOTAL COBERTURA]]</f>
        <v>1678784</v>
      </c>
      <c r="AN905" s="35">
        <f>VLOOKUP(Tabla4[[#This Row],[SERVICIO 2025]],$J$2:$V$14,6,0)*Tabla4[[#This Row],[TOTAL COBERTURA]]</f>
        <v>1394986</v>
      </c>
      <c r="AO905" s="35">
        <f>VLOOKUP(Tabla4[[#This Row],[SERVICIO 2025]],$J$2:$V$14,8,0)*Tabla4[[#This Row],[TOTAL COBERTURA]]</f>
        <v>989400</v>
      </c>
      <c r="AP905" s="35">
        <f>VLOOKUP(Tabla4[[#This Row],[SERVICIO 2025]],$J$2:$V$14,3,0)*Tabla4[[#This Row],[TOTAL COBERTURA]]*8</f>
        <v>70063392</v>
      </c>
      <c r="AQ905" s="35"/>
      <c r="AR905" s="35">
        <f>Tabla4[[#This Row],[VALOR FASE PREPARATORIA DE ALISTAMIENTO]]+Tabla4[[#This Row],[VALOR FASE PREPARATORIA DE CIERRE]]+Tabla4[[#This Row],[DOTACIÓN ÚNICA]]+Tabla4[[#This Row],[VALOR ATENCIÓN]]+Tabla4[[#This Row],[VALOR RACION PREPARADA]]</f>
        <v>74126562</v>
      </c>
      <c r="AS905" s="35" t="str">
        <f>+IF(Tabla4[[#This Row],[AGRUPACIONES]]=1,SUMIFS(Tabla4[VALOR TOTAL],Tabla4[ZONA DEFINITIVO],Tabla4[[#This Row],[ZONA DEFINITIVO]])," ")</f>
        <v xml:space="preserve"> </v>
      </c>
      <c r="AT905" s="27">
        <f>(VLOOKUP(Tabla4[[#This Row],[SERVICIO 2025]],$J$2:$V$14,3,0)*Tabla4[[#This Row],[TOTAL COBERTURA]])+Tabla4[[#This Row],[VALOR FASE PREPARATORIA DE ALISTAMIENTO]]+Tabla4[[#This Row],[DOTACIÓN ÚNICA]]</f>
        <v>11426108</v>
      </c>
      <c r="AU905" s="35">
        <f>(VLOOKUP(Tabla4[[#This Row],[SERVICIO 2025]],$J$2:$V$14,3,0)*Tabla4[[#This Row],[TOTAL COBERTURA]])</f>
        <v>8757924</v>
      </c>
      <c r="AV905" s="35">
        <f>(VLOOKUP(Tabla4[[#This Row],[SERVICIO 2025]],$J$2:$V$14,3,0)*Tabla4[[#This Row],[TOTAL COBERTURA]])</f>
        <v>8757924</v>
      </c>
      <c r="AW905" s="35">
        <f>(VLOOKUP(Tabla4[[#This Row],[SERVICIO 2025]],$J$2:$V$14,3,0)*Tabla4[[#This Row],[TOTAL COBERTURA]])</f>
        <v>8757924</v>
      </c>
      <c r="AX905" s="35">
        <f>(VLOOKUP(Tabla4[[#This Row],[SERVICIO 2025]],$J$2:$V$14,3,0)*Tabla4[[#This Row],[TOTAL COBERTURA]])</f>
        <v>8757924</v>
      </c>
      <c r="AY905" s="35">
        <f>(VLOOKUP(Tabla4[[#This Row],[SERVICIO 2025]],$J$2:$V$14,3,0)*Tabla4[[#This Row],[TOTAL COBERTURA]])</f>
        <v>8757924</v>
      </c>
      <c r="AZ905" s="35">
        <f>(VLOOKUP(Tabla4[[#This Row],[SERVICIO 2025]],$J$2:$V$14,3,0)*Tabla4[[#This Row],[TOTAL COBERTURA]])</f>
        <v>8757924</v>
      </c>
      <c r="BA905" s="35">
        <f>(VLOOKUP(Tabla4[[#This Row],[SERVICIO 2025]],$J$2:$V$14,3,0)*Tabla4[[#This Row],[TOTAL COBERTURA]])+Tabla4[[#This Row],[VALOR FASE PREPARATORIA DE CIERRE]]</f>
        <v>10152910</v>
      </c>
      <c r="BB905" s="35">
        <f>SUM(Tabla4[[#This Row],[DESEMBOLSO 1]:[DESEMBOLSO 8]])</f>
        <v>74126562</v>
      </c>
      <c r="BC905" s="35"/>
      <c r="BD905" s="47" t="s">
        <v>97</v>
      </c>
      <c r="BE905" s="12" t="b">
        <f>EXACT(Tabla4[[#This Row],[VALOR ATENCIÓN (8 MESES)]],Tabla4[[#This Row],[VALOR TOTAL]])</f>
        <v>1</v>
      </c>
      <c r="BF905" s="23">
        <f>Tabla4[[#This Row],[VALOR ATENCIÓN (8 MESES)]]-Tabla4[[#This Row],[VALOR TOTAL]]</f>
        <v>0</v>
      </c>
      <c r="BG905" s="12" t="b">
        <f>EXACT(Tabla4[[#This Row],[TOTAL DESEMBOLSOS]],Tabla4[[#This Row],[VALOR ATENCIÓN (8 MESES)]])</f>
        <v>1</v>
      </c>
      <c r="BH905" s="29">
        <f>Tabla4[[#This Row],[TOTAL DESEMBOLSOS]]-Tabla4[[#This Row],[VALOR ATENCIÓN (8 MESES)]]</f>
        <v>0</v>
      </c>
      <c r="BI905" t="s">
        <v>98</v>
      </c>
    </row>
    <row r="906" spans="1:62">
      <c r="A906" s="13">
        <v>1979</v>
      </c>
      <c r="B906" s="13" t="s">
        <v>2003</v>
      </c>
      <c r="C906" s="12" t="s">
        <v>87</v>
      </c>
      <c r="D906" s="12" t="s">
        <v>482</v>
      </c>
      <c r="E906" s="12" t="s">
        <v>2004</v>
      </c>
      <c r="F906" s="12" t="s">
        <v>19</v>
      </c>
      <c r="G906" s="12" t="s">
        <v>90</v>
      </c>
      <c r="H906" s="12" t="s">
        <v>2009</v>
      </c>
      <c r="I906" s="12">
        <v>55911116806</v>
      </c>
      <c r="J906" s="12" t="s">
        <v>2010</v>
      </c>
      <c r="K906" s="12">
        <v>1</v>
      </c>
      <c r="L906" s="12">
        <v>15</v>
      </c>
      <c r="M906" s="12"/>
      <c r="N906" s="13">
        <v>1979</v>
      </c>
      <c r="O906" s="12" t="s">
        <v>93</v>
      </c>
      <c r="P906" s="12"/>
      <c r="Q906" s="12"/>
      <c r="R906" s="12" t="s">
        <v>94</v>
      </c>
      <c r="S906" s="12">
        <v>10</v>
      </c>
      <c r="T906" s="12" t="s">
        <v>486</v>
      </c>
      <c r="U906" s="12" t="s">
        <v>487</v>
      </c>
      <c r="V906" s="12">
        <f>VLOOKUP(Tabla4[[#This Row],[ZONA DEFINITIVO]],Hoja1!$A$1:$D$121,3,0)</f>
        <v>229135</v>
      </c>
      <c r="W906" s="12">
        <f>VLOOKUP(Tabla4[[#This Row],[ZONA DEFINITIVO]],Hoja1!$A$1:$D$121,2,0)</f>
        <v>15243</v>
      </c>
      <c r="X906" s="12">
        <f>VLOOKUP(Tabla4[[#This Row],[ZONA DEFINITIVO]],Hoja1!$A$1:$D$121,4,0)</f>
        <v>88625</v>
      </c>
      <c r="Y906" s="12" t="str">
        <f>+IF(Tabla4[[#This Row],[AGRUPACIONES]]=1,SUMIFS(Tabla4[UDS],Tabla4[ZONA DEFINITIVO],Tabla4[[#This Row],[ZONA DEFINITIVO]])," ")</f>
        <v xml:space="preserve"> </v>
      </c>
      <c r="Z906" s="12" t="str">
        <f>+IF(Tabla4[[#This Row],[AGRUPACIONES]]=1,SUMIFS(Tabla4[TOTAL COBERTURA],Tabla4[ZONA DEFINITIVO],Tabla4[[#This Row],[ZONA DEFINITIVO]])," ")</f>
        <v xml:space="preserve"> </v>
      </c>
      <c r="AA906" s="12"/>
      <c r="AB906" s="38">
        <v>33767265</v>
      </c>
      <c r="AC906" s="37">
        <v>0.02</v>
      </c>
      <c r="AD906" s="38">
        <f t="shared" si="14"/>
        <v>675345.3</v>
      </c>
      <c r="AE906" s="12"/>
      <c r="AF906" s="12">
        <f>COUNTIF($A$20:A906,A906)</f>
        <v>3</v>
      </c>
      <c r="AG906" s="38">
        <v>33767265</v>
      </c>
      <c r="AH906" s="38">
        <f>Tabla4[[#This Row],[VALOR CONTRAPARTIDA]]+Tabla4[[#This Row],[TOTAL APORTES ICBF]]</f>
        <v>34442610.299999997</v>
      </c>
      <c r="AI906" s="35"/>
      <c r="AJ906" s="38"/>
      <c r="AK906" s="38"/>
      <c r="AL906" s="23"/>
      <c r="AM906" s="35">
        <f>VLOOKUP(Tabla4[[#This Row],[SERVICIO 2025]],$J$2:$V$14,5,0)*Tabla4[[#This Row],[TOTAL COBERTURA]]</f>
        <v>771945</v>
      </c>
      <c r="AN906" s="35">
        <f>VLOOKUP(Tabla4[[#This Row],[SERVICIO 2025]],$J$2:$V$14,6,0)*Tabla4[[#This Row],[TOTAL COBERTURA]]</f>
        <v>646740</v>
      </c>
      <c r="AO906" s="35">
        <f>VLOOKUP(Tabla4[[#This Row],[SERVICIO 2025]],$J$2:$V$14,8,0)*Tabla4[[#This Row],[TOTAL COBERTURA]]</f>
        <v>436500</v>
      </c>
      <c r="AP906" s="35">
        <f>VLOOKUP(Tabla4[[#This Row],[SERVICIO 2025]],$J$2:$V$14,3,0)*Tabla4[[#This Row],[TOTAL COBERTURA]]*8</f>
        <v>31912080</v>
      </c>
      <c r="AQ906" s="35"/>
      <c r="AR906" s="35">
        <f>Tabla4[[#This Row],[VALOR FASE PREPARATORIA DE ALISTAMIENTO]]+Tabla4[[#This Row],[VALOR FASE PREPARATORIA DE CIERRE]]+Tabla4[[#This Row],[DOTACIÓN ÚNICA]]+Tabla4[[#This Row],[VALOR ATENCIÓN]]+Tabla4[[#This Row],[VALOR RACION PREPARADA]]</f>
        <v>33767265</v>
      </c>
      <c r="AS906" s="35" t="str">
        <f>+IF(Tabla4[[#This Row],[AGRUPACIONES]]=1,SUMIFS(Tabla4[VALOR TOTAL],Tabla4[ZONA DEFINITIVO],Tabla4[[#This Row],[ZONA DEFINITIVO]])," ")</f>
        <v xml:space="preserve"> </v>
      </c>
      <c r="AT906" s="27">
        <f>(VLOOKUP(Tabla4[[#This Row],[SERVICIO 2025]],$J$2:$V$14,3,0)*Tabla4[[#This Row],[TOTAL COBERTURA]])+Tabla4[[#This Row],[VALOR FASE PREPARATORIA DE ALISTAMIENTO]]+Tabla4[[#This Row],[DOTACIÓN ÚNICA]]</f>
        <v>5197455</v>
      </c>
      <c r="AU906" s="35">
        <f>(VLOOKUP(Tabla4[[#This Row],[SERVICIO 2025]],$J$2:$V$14,3,0)*Tabla4[[#This Row],[TOTAL COBERTURA]])</f>
        <v>3989010</v>
      </c>
      <c r="AV906" s="35">
        <f>(VLOOKUP(Tabla4[[#This Row],[SERVICIO 2025]],$J$2:$V$14,3,0)*Tabla4[[#This Row],[TOTAL COBERTURA]])</f>
        <v>3989010</v>
      </c>
      <c r="AW906" s="35">
        <f>(VLOOKUP(Tabla4[[#This Row],[SERVICIO 2025]],$J$2:$V$14,3,0)*Tabla4[[#This Row],[TOTAL COBERTURA]])</f>
        <v>3989010</v>
      </c>
      <c r="AX906" s="35">
        <f>(VLOOKUP(Tabla4[[#This Row],[SERVICIO 2025]],$J$2:$V$14,3,0)*Tabla4[[#This Row],[TOTAL COBERTURA]])</f>
        <v>3989010</v>
      </c>
      <c r="AY906" s="35">
        <f>(VLOOKUP(Tabla4[[#This Row],[SERVICIO 2025]],$J$2:$V$14,3,0)*Tabla4[[#This Row],[TOTAL COBERTURA]])</f>
        <v>3989010</v>
      </c>
      <c r="AZ906" s="35">
        <f>(VLOOKUP(Tabla4[[#This Row],[SERVICIO 2025]],$J$2:$V$14,3,0)*Tabla4[[#This Row],[TOTAL COBERTURA]])</f>
        <v>3989010</v>
      </c>
      <c r="BA906" s="35">
        <f>(VLOOKUP(Tabla4[[#This Row],[SERVICIO 2025]],$J$2:$V$14,3,0)*Tabla4[[#This Row],[TOTAL COBERTURA]])+Tabla4[[#This Row],[VALOR FASE PREPARATORIA DE CIERRE]]</f>
        <v>4635750</v>
      </c>
      <c r="BB906" s="35">
        <f>SUM(Tabla4[[#This Row],[DESEMBOLSO 1]:[DESEMBOLSO 8]])</f>
        <v>33767265</v>
      </c>
      <c r="BC906" s="35"/>
      <c r="BD906" s="47" t="s">
        <v>97</v>
      </c>
      <c r="BE906" s="12" t="b">
        <f>EXACT(Tabla4[[#This Row],[VALOR ATENCIÓN (8 MESES)]],Tabla4[[#This Row],[VALOR TOTAL]])</f>
        <v>1</v>
      </c>
      <c r="BF906" s="23">
        <f>Tabla4[[#This Row],[VALOR ATENCIÓN (8 MESES)]]-Tabla4[[#This Row],[VALOR TOTAL]]</f>
        <v>0</v>
      </c>
      <c r="BG906" s="12" t="b">
        <f>EXACT(Tabla4[[#This Row],[TOTAL DESEMBOLSOS]],Tabla4[[#This Row],[VALOR ATENCIÓN (8 MESES)]])</f>
        <v>1</v>
      </c>
      <c r="BH906" s="29">
        <f>Tabla4[[#This Row],[TOTAL DESEMBOLSOS]]-Tabla4[[#This Row],[VALOR ATENCIÓN (8 MESES)]]</f>
        <v>0</v>
      </c>
      <c r="BI906" t="s">
        <v>98</v>
      </c>
    </row>
    <row r="907" spans="1:62">
      <c r="A907" s="13">
        <v>1979</v>
      </c>
      <c r="B907" s="13" t="s">
        <v>2003</v>
      </c>
      <c r="C907" s="12" t="s">
        <v>87</v>
      </c>
      <c r="D907" s="12" t="s">
        <v>482</v>
      </c>
      <c r="E907" s="12" t="s">
        <v>2004</v>
      </c>
      <c r="F907" s="12" t="s">
        <v>19</v>
      </c>
      <c r="G907" s="12" t="s">
        <v>90</v>
      </c>
      <c r="H907" s="12" t="s">
        <v>2011</v>
      </c>
      <c r="I907" s="12">
        <v>55911116807</v>
      </c>
      <c r="J907" s="12" t="s">
        <v>2012</v>
      </c>
      <c r="K907" s="12">
        <v>1</v>
      </c>
      <c r="L907" s="12">
        <v>45</v>
      </c>
      <c r="M907" s="12"/>
      <c r="N907" s="13">
        <v>1979</v>
      </c>
      <c r="O907" s="12" t="s">
        <v>93</v>
      </c>
      <c r="P907" s="12"/>
      <c r="Q907" s="12"/>
      <c r="R907" s="12" t="s">
        <v>94</v>
      </c>
      <c r="S907" s="12">
        <v>10</v>
      </c>
      <c r="T907" s="12" t="s">
        <v>486</v>
      </c>
      <c r="U907" s="12" t="s">
        <v>487</v>
      </c>
      <c r="V907" s="12">
        <f>VLOOKUP(Tabla4[[#This Row],[ZONA DEFINITIVO]],Hoja1!$A$1:$D$121,3,0)</f>
        <v>229135</v>
      </c>
      <c r="W907" s="12">
        <f>VLOOKUP(Tabla4[[#This Row],[ZONA DEFINITIVO]],Hoja1!$A$1:$D$121,2,0)</f>
        <v>15243</v>
      </c>
      <c r="X907" s="12">
        <f>VLOOKUP(Tabla4[[#This Row],[ZONA DEFINITIVO]],Hoja1!$A$1:$D$121,4,0)</f>
        <v>88625</v>
      </c>
      <c r="Y907" s="12" t="str">
        <f>+IF(Tabla4[[#This Row],[AGRUPACIONES]]=1,SUMIFS(Tabla4[UDS],Tabla4[ZONA DEFINITIVO],Tabla4[[#This Row],[ZONA DEFINITIVO]])," ")</f>
        <v xml:space="preserve"> </v>
      </c>
      <c r="Z907" s="12" t="str">
        <f>+IF(Tabla4[[#This Row],[AGRUPACIONES]]=1,SUMIFS(Tabla4[TOTAL COBERTURA],Tabla4[ZONA DEFINITIVO],Tabla4[[#This Row],[ZONA DEFINITIVO]])," ")</f>
        <v xml:space="preserve"> </v>
      </c>
      <c r="AA907" s="12"/>
      <c r="AB907" s="38">
        <v>101301795</v>
      </c>
      <c r="AC907" s="37">
        <v>0.02</v>
      </c>
      <c r="AD907" s="38">
        <f t="shared" si="14"/>
        <v>2026035.9000000001</v>
      </c>
      <c r="AE907" s="12"/>
      <c r="AF907" s="12">
        <f>COUNTIF($A$20:A907,A907)</f>
        <v>4</v>
      </c>
      <c r="AG907" s="38">
        <v>101301795</v>
      </c>
      <c r="AH907" s="38">
        <f>Tabla4[[#This Row],[VALOR CONTRAPARTIDA]]+Tabla4[[#This Row],[TOTAL APORTES ICBF]]</f>
        <v>103327830.90000001</v>
      </c>
      <c r="AI907" s="35"/>
      <c r="AJ907" s="38"/>
      <c r="AK907" s="38"/>
      <c r="AL907" s="23"/>
      <c r="AM907" s="35">
        <f>VLOOKUP(Tabla4[[#This Row],[SERVICIO 2025]],$J$2:$V$14,5,0)*Tabla4[[#This Row],[TOTAL COBERTURA]]</f>
        <v>2315835</v>
      </c>
      <c r="AN907" s="35">
        <f>VLOOKUP(Tabla4[[#This Row],[SERVICIO 2025]],$J$2:$V$14,6,0)*Tabla4[[#This Row],[TOTAL COBERTURA]]</f>
        <v>1940220</v>
      </c>
      <c r="AO907" s="35">
        <f>VLOOKUP(Tabla4[[#This Row],[SERVICIO 2025]],$J$2:$V$14,8,0)*Tabla4[[#This Row],[TOTAL COBERTURA]]</f>
        <v>1309500</v>
      </c>
      <c r="AP907" s="35">
        <f>VLOOKUP(Tabla4[[#This Row],[SERVICIO 2025]],$J$2:$V$14,3,0)*Tabla4[[#This Row],[TOTAL COBERTURA]]*8</f>
        <v>95736240</v>
      </c>
      <c r="AQ907" s="35"/>
      <c r="AR907" s="35">
        <f>Tabla4[[#This Row],[VALOR FASE PREPARATORIA DE ALISTAMIENTO]]+Tabla4[[#This Row],[VALOR FASE PREPARATORIA DE CIERRE]]+Tabla4[[#This Row],[DOTACIÓN ÚNICA]]+Tabla4[[#This Row],[VALOR ATENCIÓN]]+Tabla4[[#This Row],[VALOR RACION PREPARADA]]</f>
        <v>101301795</v>
      </c>
      <c r="AS907" s="35" t="str">
        <f>+IF(Tabla4[[#This Row],[AGRUPACIONES]]=1,SUMIFS(Tabla4[VALOR TOTAL],Tabla4[ZONA DEFINITIVO],Tabla4[[#This Row],[ZONA DEFINITIVO]])," ")</f>
        <v xml:space="preserve"> </v>
      </c>
      <c r="AT907" s="27">
        <f>(VLOOKUP(Tabla4[[#This Row],[SERVICIO 2025]],$J$2:$V$14,3,0)*Tabla4[[#This Row],[TOTAL COBERTURA]])+Tabla4[[#This Row],[VALOR FASE PREPARATORIA DE ALISTAMIENTO]]+Tabla4[[#This Row],[DOTACIÓN ÚNICA]]</f>
        <v>15592365</v>
      </c>
      <c r="AU907" s="35">
        <f>(VLOOKUP(Tabla4[[#This Row],[SERVICIO 2025]],$J$2:$V$14,3,0)*Tabla4[[#This Row],[TOTAL COBERTURA]])</f>
        <v>11967030</v>
      </c>
      <c r="AV907" s="35">
        <f>(VLOOKUP(Tabla4[[#This Row],[SERVICIO 2025]],$J$2:$V$14,3,0)*Tabla4[[#This Row],[TOTAL COBERTURA]])</f>
        <v>11967030</v>
      </c>
      <c r="AW907" s="35">
        <f>(VLOOKUP(Tabla4[[#This Row],[SERVICIO 2025]],$J$2:$V$14,3,0)*Tabla4[[#This Row],[TOTAL COBERTURA]])</f>
        <v>11967030</v>
      </c>
      <c r="AX907" s="35">
        <f>(VLOOKUP(Tabla4[[#This Row],[SERVICIO 2025]],$J$2:$V$14,3,0)*Tabla4[[#This Row],[TOTAL COBERTURA]])</f>
        <v>11967030</v>
      </c>
      <c r="AY907" s="35">
        <f>(VLOOKUP(Tabla4[[#This Row],[SERVICIO 2025]],$J$2:$V$14,3,0)*Tabla4[[#This Row],[TOTAL COBERTURA]])</f>
        <v>11967030</v>
      </c>
      <c r="AZ907" s="35">
        <f>(VLOOKUP(Tabla4[[#This Row],[SERVICIO 2025]],$J$2:$V$14,3,0)*Tabla4[[#This Row],[TOTAL COBERTURA]])</f>
        <v>11967030</v>
      </c>
      <c r="BA907" s="35">
        <f>(VLOOKUP(Tabla4[[#This Row],[SERVICIO 2025]],$J$2:$V$14,3,0)*Tabla4[[#This Row],[TOTAL COBERTURA]])+Tabla4[[#This Row],[VALOR FASE PREPARATORIA DE CIERRE]]</f>
        <v>13907250</v>
      </c>
      <c r="BB907" s="35">
        <f>SUM(Tabla4[[#This Row],[DESEMBOLSO 1]:[DESEMBOLSO 8]])</f>
        <v>101301795</v>
      </c>
      <c r="BC907" s="35"/>
      <c r="BD907" s="47" t="s">
        <v>97</v>
      </c>
      <c r="BE907" s="12" t="b">
        <f>EXACT(Tabla4[[#This Row],[VALOR ATENCIÓN (8 MESES)]],Tabla4[[#This Row],[VALOR TOTAL]])</f>
        <v>1</v>
      </c>
      <c r="BF907" s="23">
        <f>Tabla4[[#This Row],[VALOR ATENCIÓN (8 MESES)]]-Tabla4[[#This Row],[VALOR TOTAL]]</f>
        <v>0</v>
      </c>
      <c r="BG907" s="12" t="b">
        <f>EXACT(Tabla4[[#This Row],[TOTAL DESEMBOLSOS]],Tabla4[[#This Row],[VALOR ATENCIÓN (8 MESES)]])</f>
        <v>1</v>
      </c>
      <c r="BH907" s="29">
        <f>Tabla4[[#This Row],[TOTAL DESEMBOLSOS]]-Tabla4[[#This Row],[VALOR ATENCIÓN (8 MESES)]]</f>
        <v>0</v>
      </c>
      <c r="BI907" t="s">
        <v>98</v>
      </c>
    </row>
    <row r="908" spans="1:62">
      <c r="A908" s="13">
        <v>1979</v>
      </c>
      <c r="B908" s="13" t="s">
        <v>2003</v>
      </c>
      <c r="C908" s="12" t="s">
        <v>87</v>
      </c>
      <c r="D908" s="12" t="s">
        <v>482</v>
      </c>
      <c r="E908" s="12" t="s">
        <v>2004</v>
      </c>
      <c r="F908" s="12" t="s">
        <v>18</v>
      </c>
      <c r="G908" s="12" t="s">
        <v>90</v>
      </c>
      <c r="H908" s="12" t="s">
        <v>2013</v>
      </c>
      <c r="I908" s="12">
        <v>55911148749</v>
      </c>
      <c r="J908" s="12" t="s">
        <v>2014</v>
      </c>
      <c r="K908" s="12">
        <v>1</v>
      </c>
      <c r="L908" s="12">
        <v>8</v>
      </c>
      <c r="M908" s="12"/>
      <c r="N908" s="13">
        <v>1979</v>
      </c>
      <c r="O908" s="12" t="s">
        <v>93</v>
      </c>
      <c r="P908" s="12"/>
      <c r="Q908" s="12"/>
      <c r="R908" s="12" t="s">
        <v>94</v>
      </c>
      <c r="S908" s="12">
        <v>10</v>
      </c>
      <c r="T908" s="12" t="s">
        <v>486</v>
      </c>
      <c r="U908" s="12" t="s">
        <v>487</v>
      </c>
      <c r="V908" s="12">
        <f>VLOOKUP(Tabla4[[#This Row],[ZONA DEFINITIVO]],Hoja1!$A$1:$D$121,3,0)</f>
        <v>229135</v>
      </c>
      <c r="W908" s="12">
        <f>VLOOKUP(Tabla4[[#This Row],[ZONA DEFINITIVO]],Hoja1!$A$1:$D$121,2,0)</f>
        <v>15243</v>
      </c>
      <c r="X908" s="12">
        <f>VLOOKUP(Tabla4[[#This Row],[ZONA DEFINITIVO]],Hoja1!$A$1:$D$121,4,0)</f>
        <v>88625</v>
      </c>
      <c r="Y908" s="12" t="str">
        <f>+IF(Tabla4[[#This Row],[AGRUPACIONES]]=1,SUMIFS(Tabla4[UDS],Tabla4[ZONA DEFINITIVO],Tabla4[[#This Row],[ZONA DEFINITIVO]])," ")</f>
        <v xml:space="preserve"> </v>
      </c>
      <c r="Z908" s="12" t="str">
        <f>+IF(Tabla4[[#This Row],[AGRUPACIONES]]=1,SUMIFS(Tabla4[TOTAL COBERTURA],Tabla4[ZONA DEFINITIVO],Tabla4[[#This Row],[ZONA DEFINITIVO]])," ")</f>
        <v xml:space="preserve"> </v>
      </c>
      <c r="AA908" s="12"/>
      <c r="AB908" s="38">
        <v>17441544</v>
      </c>
      <c r="AC908" s="37">
        <v>0.02</v>
      </c>
      <c r="AD908" s="38">
        <f t="shared" si="14"/>
        <v>348830.88</v>
      </c>
      <c r="AE908" s="12"/>
      <c r="AF908" s="12">
        <f>COUNTIF($A$20:A908,A908)</f>
        <v>5</v>
      </c>
      <c r="AG908" s="38">
        <v>17441544</v>
      </c>
      <c r="AH908" s="38">
        <f>Tabla4[[#This Row],[VALOR CONTRAPARTIDA]]+Tabla4[[#This Row],[TOTAL APORTES ICBF]]</f>
        <v>17790374.879999999</v>
      </c>
      <c r="AI908" s="35"/>
      <c r="AJ908" s="38"/>
      <c r="AK908" s="38"/>
      <c r="AL908" s="23"/>
      <c r="AM908" s="35">
        <f>VLOOKUP(Tabla4[[#This Row],[SERVICIO 2025]],$J$2:$V$14,5,0)*Tabla4[[#This Row],[TOTAL COBERTURA]]</f>
        <v>395008</v>
      </c>
      <c r="AN908" s="35">
        <f>VLOOKUP(Tabla4[[#This Row],[SERVICIO 2025]],$J$2:$V$14,6,0)*Tabla4[[#This Row],[TOTAL COBERTURA]]</f>
        <v>328232</v>
      </c>
      <c r="AO908" s="35">
        <f>VLOOKUP(Tabla4[[#This Row],[SERVICIO 2025]],$J$2:$V$14,8,0)*Tabla4[[#This Row],[TOTAL COBERTURA]]</f>
        <v>232800</v>
      </c>
      <c r="AP908" s="35">
        <f>VLOOKUP(Tabla4[[#This Row],[SERVICIO 2025]],$J$2:$V$14,3,0)*Tabla4[[#This Row],[TOTAL COBERTURA]]*8</f>
        <v>16485504</v>
      </c>
      <c r="AQ908" s="35"/>
      <c r="AR908" s="35">
        <f>Tabla4[[#This Row],[VALOR FASE PREPARATORIA DE ALISTAMIENTO]]+Tabla4[[#This Row],[VALOR FASE PREPARATORIA DE CIERRE]]+Tabla4[[#This Row],[DOTACIÓN ÚNICA]]+Tabla4[[#This Row],[VALOR ATENCIÓN]]+Tabla4[[#This Row],[VALOR RACION PREPARADA]]</f>
        <v>17441544</v>
      </c>
      <c r="AS908" s="35" t="str">
        <f>+IF(Tabla4[[#This Row],[AGRUPACIONES]]=1,SUMIFS(Tabla4[VALOR TOTAL],Tabla4[ZONA DEFINITIVO],Tabla4[[#This Row],[ZONA DEFINITIVO]])," ")</f>
        <v xml:space="preserve"> </v>
      </c>
      <c r="AT908" s="27">
        <f>(VLOOKUP(Tabla4[[#This Row],[SERVICIO 2025]],$J$2:$V$14,3,0)*Tabla4[[#This Row],[TOTAL COBERTURA]])+Tabla4[[#This Row],[VALOR FASE PREPARATORIA DE ALISTAMIENTO]]+Tabla4[[#This Row],[DOTACIÓN ÚNICA]]</f>
        <v>2688496</v>
      </c>
      <c r="AU908" s="35">
        <f>(VLOOKUP(Tabla4[[#This Row],[SERVICIO 2025]],$J$2:$V$14,3,0)*Tabla4[[#This Row],[TOTAL COBERTURA]])</f>
        <v>2060688</v>
      </c>
      <c r="AV908" s="35">
        <f>(VLOOKUP(Tabla4[[#This Row],[SERVICIO 2025]],$J$2:$V$14,3,0)*Tabla4[[#This Row],[TOTAL COBERTURA]])</f>
        <v>2060688</v>
      </c>
      <c r="AW908" s="35">
        <f>(VLOOKUP(Tabla4[[#This Row],[SERVICIO 2025]],$J$2:$V$14,3,0)*Tabla4[[#This Row],[TOTAL COBERTURA]])</f>
        <v>2060688</v>
      </c>
      <c r="AX908" s="35">
        <f>(VLOOKUP(Tabla4[[#This Row],[SERVICIO 2025]],$J$2:$V$14,3,0)*Tabla4[[#This Row],[TOTAL COBERTURA]])</f>
        <v>2060688</v>
      </c>
      <c r="AY908" s="35">
        <f>(VLOOKUP(Tabla4[[#This Row],[SERVICIO 2025]],$J$2:$V$14,3,0)*Tabla4[[#This Row],[TOTAL COBERTURA]])</f>
        <v>2060688</v>
      </c>
      <c r="AZ908" s="35">
        <f>(VLOOKUP(Tabla4[[#This Row],[SERVICIO 2025]],$J$2:$V$14,3,0)*Tabla4[[#This Row],[TOTAL COBERTURA]])</f>
        <v>2060688</v>
      </c>
      <c r="BA908" s="35">
        <f>(VLOOKUP(Tabla4[[#This Row],[SERVICIO 2025]],$J$2:$V$14,3,0)*Tabla4[[#This Row],[TOTAL COBERTURA]])+Tabla4[[#This Row],[VALOR FASE PREPARATORIA DE CIERRE]]</f>
        <v>2388920</v>
      </c>
      <c r="BB908" s="35">
        <f>SUM(Tabla4[[#This Row],[DESEMBOLSO 1]:[DESEMBOLSO 8]])</f>
        <v>17441544</v>
      </c>
      <c r="BC908" s="35"/>
      <c r="BD908" s="47" t="s">
        <v>97</v>
      </c>
      <c r="BE908" s="12" t="b">
        <f>EXACT(Tabla4[[#This Row],[VALOR ATENCIÓN (8 MESES)]],Tabla4[[#This Row],[VALOR TOTAL]])</f>
        <v>1</v>
      </c>
      <c r="BF908" s="23">
        <f>Tabla4[[#This Row],[VALOR ATENCIÓN (8 MESES)]]-Tabla4[[#This Row],[VALOR TOTAL]]</f>
        <v>0</v>
      </c>
      <c r="BG908" s="12" t="b">
        <f>EXACT(Tabla4[[#This Row],[TOTAL DESEMBOLSOS]],Tabla4[[#This Row],[VALOR ATENCIÓN (8 MESES)]])</f>
        <v>1</v>
      </c>
      <c r="BH908" s="29">
        <f>Tabla4[[#This Row],[TOTAL DESEMBOLSOS]]-Tabla4[[#This Row],[VALOR ATENCIÓN (8 MESES)]]</f>
        <v>0</v>
      </c>
      <c r="BI908" t="s">
        <v>98</v>
      </c>
    </row>
    <row r="909" spans="1:62">
      <c r="A909" s="13">
        <v>1979</v>
      </c>
      <c r="B909" s="13" t="s">
        <v>2003</v>
      </c>
      <c r="C909" s="12" t="s">
        <v>87</v>
      </c>
      <c r="D909" s="12" t="s">
        <v>482</v>
      </c>
      <c r="E909" s="12" t="s">
        <v>2004</v>
      </c>
      <c r="F909" s="12" t="s">
        <v>18</v>
      </c>
      <c r="G909" s="12" t="s">
        <v>90</v>
      </c>
      <c r="H909" s="12" t="s">
        <v>2015</v>
      </c>
      <c r="I909" s="12">
        <v>55911148750</v>
      </c>
      <c r="J909" s="12" t="s">
        <v>2016</v>
      </c>
      <c r="K909" s="12">
        <v>1</v>
      </c>
      <c r="L909" s="12">
        <v>53</v>
      </c>
      <c r="M909" s="12"/>
      <c r="N909" s="13">
        <v>1979</v>
      </c>
      <c r="O909" s="12" t="s">
        <v>93</v>
      </c>
      <c r="P909" s="12"/>
      <c r="Q909" s="12"/>
      <c r="R909" s="12" t="s">
        <v>94</v>
      </c>
      <c r="S909" s="12">
        <v>10</v>
      </c>
      <c r="T909" s="12" t="s">
        <v>486</v>
      </c>
      <c r="U909" s="12" t="s">
        <v>487</v>
      </c>
      <c r="V909" s="12">
        <f>VLOOKUP(Tabla4[[#This Row],[ZONA DEFINITIVO]],Hoja1!$A$1:$D$121,3,0)</f>
        <v>229135</v>
      </c>
      <c r="W909" s="12">
        <f>VLOOKUP(Tabla4[[#This Row],[ZONA DEFINITIVO]],Hoja1!$A$1:$D$121,2,0)</f>
        <v>15243</v>
      </c>
      <c r="X909" s="12">
        <f>VLOOKUP(Tabla4[[#This Row],[ZONA DEFINITIVO]],Hoja1!$A$1:$D$121,4,0)</f>
        <v>88625</v>
      </c>
      <c r="Y909" s="12" t="str">
        <f>+IF(Tabla4[[#This Row],[AGRUPACIONES]]=1,SUMIFS(Tabla4[UDS],Tabla4[ZONA DEFINITIVO],Tabla4[[#This Row],[ZONA DEFINITIVO]])," ")</f>
        <v xml:space="preserve"> </v>
      </c>
      <c r="Z909" s="12" t="str">
        <f>+IF(Tabla4[[#This Row],[AGRUPACIONES]]=1,SUMIFS(Tabla4[TOTAL COBERTURA],Tabla4[ZONA DEFINITIVO],Tabla4[[#This Row],[ZONA DEFINITIVO]])," ")</f>
        <v xml:space="preserve"> </v>
      </c>
      <c r="AA909" s="12"/>
      <c r="AB909" s="38">
        <v>115550229</v>
      </c>
      <c r="AC909" s="37">
        <v>0.02</v>
      </c>
      <c r="AD909" s="38">
        <f t="shared" si="14"/>
        <v>2311004.58</v>
      </c>
      <c r="AE909" s="12"/>
      <c r="AF909" s="12">
        <f>COUNTIF($A$20:A909,A909)</f>
        <v>6</v>
      </c>
      <c r="AG909" s="38">
        <v>115550229</v>
      </c>
      <c r="AH909" s="38">
        <f>Tabla4[[#This Row],[VALOR CONTRAPARTIDA]]+Tabla4[[#This Row],[TOTAL APORTES ICBF]]</f>
        <v>117861233.58</v>
      </c>
      <c r="AI909" s="35"/>
      <c r="AJ909" s="38"/>
      <c r="AK909" s="38"/>
      <c r="AL909" s="23"/>
      <c r="AM909" s="35">
        <f>VLOOKUP(Tabla4[[#This Row],[SERVICIO 2025]],$J$2:$V$14,5,0)*Tabla4[[#This Row],[TOTAL COBERTURA]]</f>
        <v>2616928</v>
      </c>
      <c r="AN909" s="35">
        <f>VLOOKUP(Tabla4[[#This Row],[SERVICIO 2025]],$J$2:$V$14,6,0)*Tabla4[[#This Row],[TOTAL COBERTURA]]</f>
        <v>2174537</v>
      </c>
      <c r="AO909" s="35">
        <f>VLOOKUP(Tabla4[[#This Row],[SERVICIO 2025]],$J$2:$V$14,8,0)*Tabla4[[#This Row],[TOTAL COBERTURA]]</f>
        <v>1542300</v>
      </c>
      <c r="AP909" s="35">
        <f>VLOOKUP(Tabla4[[#This Row],[SERVICIO 2025]],$J$2:$V$14,3,0)*Tabla4[[#This Row],[TOTAL COBERTURA]]*8</f>
        <v>109216464</v>
      </c>
      <c r="AQ909" s="35"/>
      <c r="AR909" s="35">
        <f>Tabla4[[#This Row],[VALOR FASE PREPARATORIA DE ALISTAMIENTO]]+Tabla4[[#This Row],[VALOR FASE PREPARATORIA DE CIERRE]]+Tabla4[[#This Row],[DOTACIÓN ÚNICA]]+Tabla4[[#This Row],[VALOR ATENCIÓN]]+Tabla4[[#This Row],[VALOR RACION PREPARADA]]</f>
        <v>115550229</v>
      </c>
      <c r="AS909" s="35" t="str">
        <f>+IF(Tabla4[[#This Row],[AGRUPACIONES]]=1,SUMIFS(Tabla4[VALOR TOTAL],Tabla4[ZONA DEFINITIVO],Tabla4[[#This Row],[ZONA DEFINITIVO]])," ")</f>
        <v xml:space="preserve"> </v>
      </c>
      <c r="AT909" s="27">
        <f>(VLOOKUP(Tabla4[[#This Row],[SERVICIO 2025]],$J$2:$V$14,3,0)*Tabla4[[#This Row],[TOTAL COBERTURA]])+Tabla4[[#This Row],[VALOR FASE PREPARATORIA DE ALISTAMIENTO]]+Tabla4[[#This Row],[DOTACIÓN ÚNICA]]</f>
        <v>17811286</v>
      </c>
      <c r="AU909" s="35">
        <f>(VLOOKUP(Tabla4[[#This Row],[SERVICIO 2025]],$J$2:$V$14,3,0)*Tabla4[[#This Row],[TOTAL COBERTURA]])</f>
        <v>13652058</v>
      </c>
      <c r="AV909" s="35">
        <f>(VLOOKUP(Tabla4[[#This Row],[SERVICIO 2025]],$J$2:$V$14,3,0)*Tabla4[[#This Row],[TOTAL COBERTURA]])</f>
        <v>13652058</v>
      </c>
      <c r="AW909" s="35">
        <f>(VLOOKUP(Tabla4[[#This Row],[SERVICIO 2025]],$J$2:$V$14,3,0)*Tabla4[[#This Row],[TOTAL COBERTURA]])</f>
        <v>13652058</v>
      </c>
      <c r="AX909" s="35">
        <f>(VLOOKUP(Tabla4[[#This Row],[SERVICIO 2025]],$J$2:$V$14,3,0)*Tabla4[[#This Row],[TOTAL COBERTURA]])</f>
        <v>13652058</v>
      </c>
      <c r="AY909" s="35">
        <f>(VLOOKUP(Tabla4[[#This Row],[SERVICIO 2025]],$J$2:$V$14,3,0)*Tabla4[[#This Row],[TOTAL COBERTURA]])</f>
        <v>13652058</v>
      </c>
      <c r="AZ909" s="35">
        <f>(VLOOKUP(Tabla4[[#This Row],[SERVICIO 2025]],$J$2:$V$14,3,0)*Tabla4[[#This Row],[TOTAL COBERTURA]])</f>
        <v>13652058</v>
      </c>
      <c r="BA909" s="35">
        <f>(VLOOKUP(Tabla4[[#This Row],[SERVICIO 2025]],$J$2:$V$14,3,0)*Tabla4[[#This Row],[TOTAL COBERTURA]])+Tabla4[[#This Row],[VALOR FASE PREPARATORIA DE CIERRE]]</f>
        <v>15826595</v>
      </c>
      <c r="BB909" s="35">
        <f>SUM(Tabla4[[#This Row],[DESEMBOLSO 1]:[DESEMBOLSO 8]])</f>
        <v>115550229</v>
      </c>
      <c r="BC909" s="35"/>
      <c r="BD909" s="47" t="s">
        <v>97</v>
      </c>
      <c r="BE909" s="12" t="b">
        <f>EXACT(Tabla4[[#This Row],[VALOR ATENCIÓN (8 MESES)]],Tabla4[[#This Row],[VALOR TOTAL]])</f>
        <v>1</v>
      </c>
      <c r="BF909" s="23">
        <f>Tabla4[[#This Row],[VALOR ATENCIÓN (8 MESES)]]-Tabla4[[#This Row],[VALOR TOTAL]]</f>
        <v>0</v>
      </c>
      <c r="BG909" s="12" t="b">
        <f>EXACT(Tabla4[[#This Row],[TOTAL DESEMBOLSOS]],Tabla4[[#This Row],[VALOR ATENCIÓN (8 MESES)]])</f>
        <v>1</v>
      </c>
      <c r="BH909" s="29">
        <f>Tabla4[[#This Row],[TOTAL DESEMBOLSOS]]-Tabla4[[#This Row],[VALOR ATENCIÓN (8 MESES)]]</f>
        <v>0</v>
      </c>
      <c r="BI909" t="s">
        <v>98</v>
      </c>
    </row>
    <row r="910" spans="1:62">
      <c r="A910" s="13">
        <v>1979</v>
      </c>
      <c r="B910" s="13" t="s">
        <v>2003</v>
      </c>
      <c r="C910" s="12" t="s">
        <v>87</v>
      </c>
      <c r="D910" s="12" t="s">
        <v>482</v>
      </c>
      <c r="E910" s="12" t="s">
        <v>2004</v>
      </c>
      <c r="F910" s="12" t="s">
        <v>18</v>
      </c>
      <c r="G910" s="12" t="s">
        <v>90</v>
      </c>
      <c r="H910" s="12" t="s">
        <v>2017</v>
      </c>
      <c r="I910" s="12">
        <v>55911152795</v>
      </c>
      <c r="J910" s="12" t="s">
        <v>2018</v>
      </c>
      <c r="K910" s="12">
        <v>1</v>
      </c>
      <c r="L910" s="12">
        <v>50</v>
      </c>
      <c r="M910" s="12"/>
      <c r="N910" s="13">
        <v>1979</v>
      </c>
      <c r="O910" s="12" t="s">
        <v>93</v>
      </c>
      <c r="P910" s="12"/>
      <c r="Q910" s="12"/>
      <c r="R910" s="12" t="s">
        <v>94</v>
      </c>
      <c r="S910" s="12">
        <v>10</v>
      </c>
      <c r="T910" s="12" t="s">
        <v>486</v>
      </c>
      <c r="U910" s="12" t="s">
        <v>487</v>
      </c>
      <c r="V910" s="12">
        <f>VLOOKUP(Tabla4[[#This Row],[ZONA DEFINITIVO]],Hoja1!$A$1:$D$121,3,0)</f>
        <v>229135</v>
      </c>
      <c r="W910" s="12">
        <f>VLOOKUP(Tabla4[[#This Row],[ZONA DEFINITIVO]],Hoja1!$A$1:$D$121,2,0)</f>
        <v>15243</v>
      </c>
      <c r="X910" s="12">
        <f>VLOOKUP(Tabla4[[#This Row],[ZONA DEFINITIVO]],Hoja1!$A$1:$D$121,4,0)</f>
        <v>88625</v>
      </c>
      <c r="Y910" s="12" t="str">
        <f>+IF(Tabla4[[#This Row],[AGRUPACIONES]]=1,SUMIFS(Tabla4[UDS],Tabla4[ZONA DEFINITIVO],Tabla4[[#This Row],[ZONA DEFINITIVO]])," ")</f>
        <v xml:space="preserve"> </v>
      </c>
      <c r="Z910" s="12" t="str">
        <f>+IF(Tabla4[[#This Row],[AGRUPACIONES]]=1,SUMIFS(Tabla4[TOTAL COBERTURA],Tabla4[ZONA DEFINITIVO],Tabla4[[#This Row],[ZONA DEFINITIVO]])," ")</f>
        <v xml:space="preserve"> </v>
      </c>
      <c r="AA910" s="12"/>
      <c r="AB910" s="38">
        <v>109009650</v>
      </c>
      <c r="AC910" s="37">
        <v>0.02</v>
      </c>
      <c r="AD910" s="38">
        <f t="shared" si="14"/>
        <v>2180193</v>
      </c>
      <c r="AE910" s="12"/>
      <c r="AF910" s="12">
        <f>COUNTIF($A$20:A910,A910)</f>
        <v>7</v>
      </c>
      <c r="AG910" s="38">
        <v>109009650</v>
      </c>
      <c r="AH910" s="38">
        <f>Tabla4[[#This Row],[VALOR CONTRAPARTIDA]]+Tabla4[[#This Row],[TOTAL APORTES ICBF]]</f>
        <v>111189843</v>
      </c>
      <c r="AI910" s="35"/>
      <c r="AJ910" s="38"/>
      <c r="AK910" s="38"/>
      <c r="AL910" s="23"/>
      <c r="AM910" s="35">
        <f>VLOOKUP(Tabla4[[#This Row],[SERVICIO 2025]],$J$2:$V$14,5,0)*Tabla4[[#This Row],[TOTAL COBERTURA]]</f>
        <v>2468800</v>
      </c>
      <c r="AN910" s="35">
        <f>VLOOKUP(Tabla4[[#This Row],[SERVICIO 2025]],$J$2:$V$14,6,0)*Tabla4[[#This Row],[TOTAL COBERTURA]]</f>
        <v>2051450</v>
      </c>
      <c r="AO910" s="35">
        <f>VLOOKUP(Tabla4[[#This Row],[SERVICIO 2025]],$J$2:$V$14,8,0)*Tabla4[[#This Row],[TOTAL COBERTURA]]</f>
        <v>1455000</v>
      </c>
      <c r="AP910" s="35">
        <f>VLOOKUP(Tabla4[[#This Row],[SERVICIO 2025]],$J$2:$V$14,3,0)*Tabla4[[#This Row],[TOTAL COBERTURA]]*8</f>
        <v>103034400</v>
      </c>
      <c r="AQ910" s="35"/>
      <c r="AR910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10" s="35" t="str">
        <f>+IF(Tabla4[[#This Row],[AGRUPACIONES]]=1,SUMIFS(Tabla4[VALOR TOTAL],Tabla4[ZONA DEFINITIVO],Tabla4[[#This Row],[ZONA DEFINITIVO]])," ")</f>
        <v xml:space="preserve"> </v>
      </c>
      <c r="AT910" s="27">
        <f>(VLOOKUP(Tabla4[[#This Row],[SERVICIO 2025]],$J$2:$V$14,3,0)*Tabla4[[#This Row],[TOTAL COBERTURA]])+Tabla4[[#This Row],[VALOR FASE PREPARATORIA DE ALISTAMIENTO]]+Tabla4[[#This Row],[DOTACIÓN ÚNICA]]</f>
        <v>16803100</v>
      </c>
      <c r="AU910" s="35">
        <f>(VLOOKUP(Tabla4[[#This Row],[SERVICIO 2025]],$J$2:$V$14,3,0)*Tabla4[[#This Row],[TOTAL COBERTURA]])</f>
        <v>12879300</v>
      </c>
      <c r="AV910" s="35">
        <f>(VLOOKUP(Tabla4[[#This Row],[SERVICIO 2025]],$J$2:$V$14,3,0)*Tabla4[[#This Row],[TOTAL COBERTURA]])</f>
        <v>12879300</v>
      </c>
      <c r="AW910" s="35">
        <f>(VLOOKUP(Tabla4[[#This Row],[SERVICIO 2025]],$J$2:$V$14,3,0)*Tabla4[[#This Row],[TOTAL COBERTURA]])</f>
        <v>12879300</v>
      </c>
      <c r="AX910" s="35">
        <f>(VLOOKUP(Tabla4[[#This Row],[SERVICIO 2025]],$J$2:$V$14,3,0)*Tabla4[[#This Row],[TOTAL COBERTURA]])</f>
        <v>12879300</v>
      </c>
      <c r="AY910" s="35">
        <f>(VLOOKUP(Tabla4[[#This Row],[SERVICIO 2025]],$J$2:$V$14,3,0)*Tabla4[[#This Row],[TOTAL COBERTURA]])</f>
        <v>12879300</v>
      </c>
      <c r="AZ910" s="35">
        <f>(VLOOKUP(Tabla4[[#This Row],[SERVICIO 2025]],$J$2:$V$14,3,0)*Tabla4[[#This Row],[TOTAL COBERTURA]])</f>
        <v>12879300</v>
      </c>
      <c r="BA910" s="35">
        <f>(VLOOKUP(Tabla4[[#This Row],[SERVICIO 2025]],$J$2:$V$14,3,0)*Tabla4[[#This Row],[TOTAL COBERTURA]])+Tabla4[[#This Row],[VALOR FASE PREPARATORIA DE CIERRE]]</f>
        <v>14930750</v>
      </c>
      <c r="BB910" s="35">
        <f>SUM(Tabla4[[#This Row],[DESEMBOLSO 1]:[DESEMBOLSO 8]])</f>
        <v>109009650</v>
      </c>
      <c r="BC910" s="35"/>
      <c r="BD910" s="47" t="s">
        <v>97</v>
      </c>
      <c r="BE910" s="12" t="b">
        <f>EXACT(Tabla4[[#This Row],[VALOR ATENCIÓN (8 MESES)]],Tabla4[[#This Row],[VALOR TOTAL]])</f>
        <v>1</v>
      </c>
      <c r="BF910" s="23">
        <f>Tabla4[[#This Row],[VALOR ATENCIÓN (8 MESES)]]-Tabla4[[#This Row],[VALOR TOTAL]]</f>
        <v>0</v>
      </c>
      <c r="BG910" s="12" t="b">
        <f>EXACT(Tabla4[[#This Row],[TOTAL DESEMBOLSOS]],Tabla4[[#This Row],[VALOR ATENCIÓN (8 MESES)]])</f>
        <v>1</v>
      </c>
      <c r="BH910" s="29">
        <f>Tabla4[[#This Row],[TOTAL DESEMBOLSOS]]-Tabla4[[#This Row],[VALOR ATENCIÓN (8 MESES)]]</f>
        <v>0</v>
      </c>
      <c r="BI910" t="s">
        <v>98</v>
      </c>
    </row>
    <row r="911" spans="1:62">
      <c r="A911" s="13">
        <v>1979</v>
      </c>
      <c r="B911" s="13" t="s">
        <v>2003</v>
      </c>
      <c r="C911" s="12" t="s">
        <v>87</v>
      </c>
      <c r="D911" s="12" t="s">
        <v>482</v>
      </c>
      <c r="E911" s="12" t="s">
        <v>2004</v>
      </c>
      <c r="F911" s="12" t="s">
        <v>18</v>
      </c>
      <c r="G911" s="12" t="s">
        <v>90</v>
      </c>
      <c r="H911" s="12" t="s">
        <v>2019</v>
      </c>
      <c r="I911" s="12">
        <v>55911152796</v>
      </c>
      <c r="J911" s="12" t="s">
        <v>2020</v>
      </c>
      <c r="K911" s="12">
        <v>1</v>
      </c>
      <c r="L911" s="12">
        <v>35</v>
      </c>
      <c r="M911" s="12"/>
      <c r="N911" s="13">
        <v>1979</v>
      </c>
      <c r="O911" s="12" t="s">
        <v>93</v>
      </c>
      <c r="P911" s="12"/>
      <c r="Q911" s="12"/>
      <c r="R911" s="12" t="s">
        <v>94</v>
      </c>
      <c r="S911" s="12">
        <v>10</v>
      </c>
      <c r="T911" s="12" t="s">
        <v>486</v>
      </c>
      <c r="U911" s="12" t="s">
        <v>487</v>
      </c>
      <c r="V911" s="12">
        <f>VLOOKUP(Tabla4[[#This Row],[ZONA DEFINITIVO]],Hoja1!$A$1:$D$121,3,0)</f>
        <v>229135</v>
      </c>
      <c r="W911" s="12">
        <f>VLOOKUP(Tabla4[[#This Row],[ZONA DEFINITIVO]],Hoja1!$A$1:$D$121,2,0)</f>
        <v>15243</v>
      </c>
      <c r="X911" s="12">
        <f>VLOOKUP(Tabla4[[#This Row],[ZONA DEFINITIVO]],Hoja1!$A$1:$D$121,4,0)</f>
        <v>88625</v>
      </c>
      <c r="Y911" s="12" t="str">
        <f>+IF(Tabla4[[#This Row],[AGRUPACIONES]]=1,SUMIFS(Tabla4[UDS],Tabla4[ZONA DEFINITIVO],Tabla4[[#This Row],[ZONA DEFINITIVO]])," ")</f>
        <v xml:space="preserve"> </v>
      </c>
      <c r="Z911" s="12" t="str">
        <f>+IF(Tabla4[[#This Row],[AGRUPACIONES]]=1,SUMIFS(Tabla4[TOTAL COBERTURA],Tabla4[ZONA DEFINITIVO],Tabla4[[#This Row],[ZONA DEFINITIVO]])," ")</f>
        <v xml:space="preserve"> </v>
      </c>
      <c r="AA911" s="12"/>
      <c r="AB911" s="38">
        <v>76306755</v>
      </c>
      <c r="AC911" s="37">
        <v>0.02</v>
      </c>
      <c r="AD911" s="38">
        <f t="shared" si="14"/>
        <v>1526135.1</v>
      </c>
      <c r="AE911" s="12"/>
      <c r="AF911" s="12">
        <f>COUNTIF($A$20:A911,A911)</f>
        <v>8</v>
      </c>
      <c r="AG911" s="38">
        <v>76306755</v>
      </c>
      <c r="AH911" s="38">
        <f>Tabla4[[#This Row],[VALOR CONTRAPARTIDA]]+Tabla4[[#This Row],[TOTAL APORTES ICBF]]</f>
        <v>77832890.099999994</v>
      </c>
      <c r="AI911" s="35"/>
      <c r="AJ911" s="38"/>
      <c r="AK911" s="38"/>
      <c r="AL911" s="23"/>
      <c r="AM911" s="35">
        <f>VLOOKUP(Tabla4[[#This Row],[SERVICIO 2025]],$J$2:$V$14,5,0)*Tabla4[[#This Row],[TOTAL COBERTURA]]</f>
        <v>1728160</v>
      </c>
      <c r="AN911" s="35">
        <f>VLOOKUP(Tabla4[[#This Row],[SERVICIO 2025]],$J$2:$V$14,6,0)*Tabla4[[#This Row],[TOTAL COBERTURA]]</f>
        <v>1436015</v>
      </c>
      <c r="AO911" s="35">
        <f>VLOOKUP(Tabla4[[#This Row],[SERVICIO 2025]],$J$2:$V$14,8,0)*Tabla4[[#This Row],[TOTAL COBERTURA]]</f>
        <v>1018500</v>
      </c>
      <c r="AP911" s="35">
        <f>VLOOKUP(Tabla4[[#This Row],[SERVICIO 2025]],$J$2:$V$14,3,0)*Tabla4[[#This Row],[TOTAL COBERTURA]]*8</f>
        <v>72124080</v>
      </c>
      <c r="AQ911" s="35"/>
      <c r="AR911" s="35">
        <f>Tabla4[[#This Row],[VALOR FASE PREPARATORIA DE ALISTAMIENTO]]+Tabla4[[#This Row],[VALOR FASE PREPARATORIA DE CIERRE]]+Tabla4[[#This Row],[DOTACIÓN ÚNICA]]+Tabla4[[#This Row],[VALOR ATENCIÓN]]+Tabla4[[#This Row],[VALOR RACION PREPARADA]]</f>
        <v>76306755</v>
      </c>
      <c r="AS911" s="35" t="str">
        <f>+IF(Tabla4[[#This Row],[AGRUPACIONES]]=1,SUMIFS(Tabla4[VALOR TOTAL],Tabla4[ZONA DEFINITIVO],Tabla4[[#This Row],[ZONA DEFINITIVO]])," ")</f>
        <v xml:space="preserve"> </v>
      </c>
      <c r="AT911" s="27">
        <f>(VLOOKUP(Tabla4[[#This Row],[SERVICIO 2025]],$J$2:$V$14,3,0)*Tabla4[[#This Row],[TOTAL COBERTURA]])+Tabla4[[#This Row],[VALOR FASE PREPARATORIA DE ALISTAMIENTO]]+Tabla4[[#This Row],[DOTACIÓN ÚNICA]]</f>
        <v>11762170</v>
      </c>
      <c r="AU911" s="35">
        <f>(VLOOKUP(Tabla4[[#This Row],[SERVICIO 2025]],$J$2:$V$14,3,0)*Tabla4[[#This Row],[TOTAL COBERTURA]])</f>
        <v>9015510</v>
      </c>
      <c r="AV911" s="35">
        <f>(VLOOKUP(Tabla4[[#This Row],[SERVICIO 2025]],$J$2:$V$14,3,0)*Tabla4[[#This Row],[TOTAL COBERTURA]])</f>
        <v>9015510</v>
      </c>
      <c r="AW911" s="35">
        <f>(VLOOKUP(Tabla4[[#This Row],[SERVICIO 2025]],$J$2:$V$14,3,0)*Tabla4[[#This Row],[TOTAL COBERTURA]])</f>
        <v>9015510</v>
      </c>
      <c r="AX911" s="35">
        <f>(VLOOKUP(Tabla4[[#This Row],[SERVICIO 2025]],$J$2:$V$14,3,0)*Tabla4[[#This Row],[TOTAL COBERTURA]])</f>
        <v>9015510</v>
      </c>
      <c r="AY911" s="35">
        <f>(VLOOKUP(Tabla4[[#This Row],[SERVICIO 2025]],$J$2:$V$14,3,0)*Tabla4[[#This Row],[TOTAL COBERTURA]])</f>
        <v>9015510</v>
      </c>
      <c r="AZ911" s="35">
        <f>(VLOOKUP(Tabla4[[#This Row],[SERVICIO 2025]],$J$2:$V$14,3,0)*Tabla4[[#This Row],[TOTAL COBERTURA]])</f>
        <v>9015510</v>
      </c>
      <c r="BA911" s="35">
        <f>(VLOOKUP(Tabla4[[#This Row],[SERVICIO 2025]],$J$2:$V$14,3,0)*Tabla4[[#This Row],[TOTAL COBERTURA]])+Tabla4[[#This Row],[VALOR FASE PREPARATORIA DE CIERRE]]</f>
        <v>10451525</v>
      </c>
      <c r="BB911" s="35">
        <f>SUM(Tabla4[[#This Row],[DESEMBOLSO 1]:[DESEMBOLSO 8]])</f>
        <v>76306755</v>
      </c>
      <c r="BC911" s="35"/>
      <c r="BD911" s="47" t="s">
        <v>97</v>
      </c>
      <c r="BE911" s="12" t="b">
        <f>EXACT(Tabla4[[#This Row],[VALOR ATENCIÓN (8 MESES)]],Tabla4[[#This Row],[VALOR TOTAL]])</f>
        <v>1</v>
      </c>
      <c r="BF911" s="23">
        <f>Tabla4[[#This Row],[VALOR ATENCIÓN (8 MESES)]]-Tabla4[[#This Row],[VALOR TOTAL]]</f>
        <v>0</v>
      </c>
      <c r="BG911" s="12" t="b">
        <f>EXACT(Tabla4[[#This Row],[TOTAL DESEMBOLSOS]],Tabla4[[#This Row],[VALOR ATENCIÓN (8 MESES)]])</f>
        <v>1</v>
      </c>
      <c r="BH911" s="29">
        <f>Tabla4[[#This Row],[TOTAL DESEMBOLSOS]]-Tabla4[[#This Row],[VALOR ATENCIÓN (8 MESES)]]</f>
        <v>0</v>
      </c>
      <c r="BI911" t="s">
        <v>98</v>
      </c>
    </row>
    <row r="912" spans="1:62">
      <c r="A912" s="13">
        <v>1979</v>
      </c>
      <c r="B912" s="13" t="s">
        <v>2003</v>
      </c>
      <c r="C912" s="12" t="s">
        <v>87</v>
      </c>
      <c r="D912" s="12" t="s">
        <v>482</v>
      </c>
      <c r="E912" s="12" t="s">
        <v>2004</v>
      </c>
      <c r="F912" s="12" t="s">
        <v>19</v>
      </c>
      <c r="G912" s="12" t="s">
        <v>90</v>
      </c>
      <c r="H912" s="12" t="s">
        <v>2021</v>
      </c>
      <c r="I912" s="12">
        <v>55911152826</v>
      </c>
      <c r="J912" s="12" t="s">
        <v>2022</v>
      </c>
      <c r="K912" s="12">
        <v>1</v>
      </c>
      <c r="L912" s="12">
        <v>81</v>
      </c>
      <c r="M912" s="12"/>
      <c r="N912" s="13">
        <v>1979</v>
      </c>
      <c r="O912" s="12" t="s">
        <v>93</v>
      </c>
      <c r="P912" s="12"/>
      <c r="Q912" s="12"/>
      <c r="R912" s="12" t="s">
        <v>94</v>
      </c>
      <c r="S912" s="12">
        <v>10</v>
      </c>
      <c r="T912" s="12" t="s">
        <v>486</v>
      </c>
      <c r="U912" s="12" t="s">
        <v>487</v>
      </c>
      <c r="V912" s="12">
        <f>VLOOKUP(Tabla4[[#This Row],[ZONA DEFINITIVO]],Hoja1!$A$1:$D$121,3,0)</f>
        <v>229135</v>
      </c>
      <c r="W912" s="12">
        <f>VLOOKUP(Tabla4[[#This Row],[ZONA DEFINITIVO]],Hoja1!$A$1:$D$121,2,0)</f>
        <v>15243</v>
      </c>
      <c r="X912" s="12">
        <f>VLOOKUP(Tabla4[[#This Row],[ZONA DEFINITIVO]],Hoja1!$A$1:$D$121,4,0)</f>
        <v>88625</v>
      </c>
      <c r="Y912" s="12" t="str">
        <f>+IF(Tabla4[[#This Row],[AGRUPACIONES]]=1,SUMIFS(Tabla4[UDS],Tabla4[ZONA DEFINITIVO],Tabla4[[#This Row],[ZONA DEFINITIVO]])," ")</f>
        <v xml:space="preserve"> </v>
      </c>
      <c r="Z912" s="12" t="str">
        <f>+IF(Tabla4[[#This Row],[AGRUPACIONES]]=1,SUMIFS(Tabla4[TOTAL COBERTURA],Tabla4[ZONA DEFINITIVO],Tabla4[[#This Row],[ZONA DEFINITIVO]])," ")</f>
        <v xml:space="preserve"> </v>
      </c>
      <c r="AA912" s="12"/>
      <c r="AB912" s="38">
        <v>182343231</v>
      </c>
      <c r="AC912" s="37">
        <v>0.02</v>
      </c>
      <c r="AD912" s="38">
        <f t="shared" si="14"/>
        <v>3646864.62</v>
      </c>
      <c r="AE912" s="12"/>
      <c r="AF912" s="12">
        <f>COUNTIF($A$20:A912,A912)</f>
        <v>9</v>
      </c>
      <c r="AG912" s="38">
        <v>182343231</v>
      </c>
      <c r="AH912" s="38">
        <f>Tabla4[[#This Row],[VALOR CONTRAPARTIDA]]+Tabla4[[#This Row],[TOTAL APORTES ICBF]]</f>
        <v>185990095.62</v>
      </c>
      <c r="AI912" s="35"/>
      <c r="AJ912" s="38"/>
      <c r="AK912" s="38"/>
      <c r="AL912" s="23"/>
      <c r="AM912" s="35">
        <f>VLOOKUP(Tabla4[[#This Row],[SERVICIO 2025]],$J$2:$V$14,5,0)*Tabla4[[#This Row],[TOTAL COBERTURA]]</f>
        <v>4168503</v>
      </c>
      <c r="AN912" s="35">
        <f>VLOOKUP(Tabla4[[#This Row],[SERVICIO 2025]],$J$2:$V$14,6,0)*Tabla4[[#This Row],[TOTAL COBERTURA]]</f>
        <v>3492396</v>
      </c>
      <c r="AO912" s="35">
        <f>VLOOKUP(Tabla4[[#This Row],[SERVICIO 2025]],$J$2:$V$14,8,0)*Tabla4[[#This Row],[TOTAL COBERTURA]]</f>
        <v>2357100</v>
      </c>
      <c r="AP912" s="35">
        <f>VLOOKUP(Tabla4[[#This Row],[SERVICIO 2025]],$J$2:$V$14,3,0)*Tabla4[[#This Row],[TOTAL COBERTURA]]*8</f>
        <v>172325232</v>
      </c>
      <c r="AQ912" s="35"/>
      <c r="AR912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182343231</v>
      </c>
      <c r="AS912" s="35" t="str">
        <f>+IF(Tabla4[[#This Row],[AGRUPACIONES]]=1,SUMIFS(Tabla4[VALOR TOTAL],Tabla4[ZONA DEFINITIVO],Tabla4[[#This Row],[ZONA DEFINITIVO]])," ")</f>
        <v xml:space="preserve"> </v>
      </c>
      <c r="AT912" s="27">
        <f>(VLOOKUP(Tabla4[[#This Row],[SERVICIO 2025]],$J$2:$V$14,3,0)*Tabla4[[#This Row],[TOTAL COBERTURA]])+Tabla4[[#This Row],[VALOR FASE PREPARATORIA DE ALISTAMIENTO]]+Tabla4[[#This Row],[DOTACIÓN ÚNICA]]</f>
        <v>28066257</v>
      </c>
      <c r="AU912" s="35">
        <f>(VLOOKUP(Tabla4[[#This Row],[SERVICIO 2025]],$J$2:$V$14,3,0)*Tabla4[[#This Row],[TOTAL COBERTURA]])</f>
        <v>21540654</v>
      </c>
      <c r="AV912" s="35">
        <f>(VLOOKUP(Tabla4[[#This Row],[SERVICIO 2025]],$J$2:$V$14,3,0)*Tabla4[[#This Row],[TOTAL COBERTURA]])</f>
        <v>21540654</v>
      </c>
      <c r="AW912" s="35">
        <f>(VLOOKUP(Tabla4[[#This Row],[SERVICIO 2025]],$J$2:$V$14,3,0)*Tabla4[[#This Row],[TOTAL COBERTURA]])</f>
        <v>21540654</v>
      </c>
      <c r="AX912" s="35">
        <f>(VLOOKUP(Tabla4[[#This Row],[SERVICIO 2025]],$J$2:$V$14,3,0)*Tabla4[[#This Row],[TOTAL COBERTURA]])</f>
        <v>21540654</v>
      </c>
      <c r="AY912" s="35">
        <f>(VLOOKUP(Tabla4[[#This Row],[SERVICIO 2025]],$J$2:$V$14,3,0)*Tabla4[[#This Row],[TOTAL COBERTURA]])</f>
        <v>21540654</v>
      </c>
      <c r="AZ912" s="35">
        <f>(VLOOKUP(Tabla4[[#This Row],[SERVICIO 2025]],$J$2:$V$14,3,0)*Tabla4[[#This Row],[TOTAL COBERTURA]])</f>
        <v>21540654</v>
      </c>
      <c r="BA912" s="35">
        <f>(VLOOKUP(Tabla4[[#This Row],[SERVICIO 2025]],$J$2:$V$14,3,0)*Tabla4[[#This Row],[TOTAL COBERTURA]])+Tabla4[[#This Row],[VALOR FASE PREPARATORIA DE CIERRE]]</f>
        <v>25033050</v>
      </c>
      <c r="BB912" s="35">
        <f>SUM(Tabla4[[#This Row],[DESEMBOLSO 1]:[DESEMBOLSO 8]])</f>
        <v>182343231</v>
      </c>
      <c r="BC912" s="35"/>
      <c r="BD912" s="47" t="s">
        <v>97</v>
      </c>
      <c r="BE912" s="12" t="b">
        <f>EXACT(Tabla4[[#This Row],[VALOR ATENCIÓN (8 MESES)]],Tabla4[[#This Row],[VALOR TOTAL]])</f>
        <v>1</v>
      </c>
      <c r="BF912" s="23">
        <f>Tabla4[[#This Row],[VALOR ATENCIÓN (8 MESES)]]-Tabla4[[#This Row],[VALOR TOTAL]]</f>
        <v>0</v>
      </c>
      <c r="BG912" s="12" t="b">
        <f>EXACT(Tabla4[[#This Row],[TOTAL DESEMBOLSOS]],Tabla4[[#This Row],[VALOR ATENCIÓN (8 MESES)]])</f>
        <v>1</v>
      </c>
      <c r="BH912" s="29">
        <f>Tabla4[[#This Row],[TOTAL DESEMBOLSOS]]-Tabla4[[#This Row],[VALOR ATENCIÓN (8 MESES)]]</f>
        <v>0</v>
      </c>
      <c r="BI912" t="s">
        <v>98</v>
      </c>
    </row>
    <row r="913" spans="1:62">
      <c r="A913" s="13">
        <v>1979</v>
      </c>
      <c r="B913" s="13" t="s">
        <v>2003</v>
      </c>
      <c r="C913" s="12" t="s">
        <v>87</v>
      </c>
      <c r="D913" s="12" t="s">
        <v>482</v>
      </c>
      <c r="E913" s="12" t="s">
        <v>2004</v>
      </c>
      <c r="F913" s="12" t="s">
        <v>19</v>
      </c>
      <c r="G913" s="12" t="s">
        <v>90</v>
      </c>
      <c r="H913" s="12" t="s">
        <v>2023</v>
      </c>
      <c r="I913" s="12">
        <v>559100082100</v>
      </c>
      <c r="J913" s="12" t="s">
        <v>2023</v>
      </c>
      <c r="K913" s="12">
        <v>1</v>
      </c>
      <c r="L913" s="12">
        <v>38</v>
      </c>
      <c r="M913" s="12"/>
      <c r="N913" s="13">
        <v>1979</v>
      </c>
      <c r="O913" s="12" t="s">
        <v>93</v>
      </c>
      <c r="P913" s="12"/>
      <c r="Q913" s="12"/>
      <c r="R913" s="12" t="s">
        <v>94</v>
      </c>
      <c r="S913" s="12">
        <v>10</v>
      </c>
      <c r="T913" s="12" t="s">
        <v>486</v>
      </c>
      <c r="U913" s="12" t="s">
        <v>487</v>
      </c>
      <c r="V913" s="12">
        <f>VLOOKUP(Tabla4[[#This Row],[ZONA DEFINITIVO]],Hoja1!$A$1:$D$121,3,0)</f>
        <v>229135</v>
      </c>
      <c r="W913" s="12">
        <f>VLOOKUP(Tabla4[[#This Row],[ZONA DEFINITIVO]],Hoja1!$A$1:$D$121,2,0)</f>
        <v>15243</v>
      </c>
      <c r="X913" s="12">
        <f>VLOOKUP(Tabla4[[#This Row],[ZONA DEFINITIVO]],Hoja1!$A$1:$D$121,4,0)</f>
        <v>88625</v>
      </c>
      <c r="Y913" s="12" t="str">
        <f>+IF(Tabla4[[#This Row],[AGRUPACIONES]]=1,SUMIFS(Tabla4[UDS],Tabla4[ZONA DEFINITIVO],Tabla4[[#This Row],[ZONA DEFINITIVO]])," ")</f>
        <v xml:space="preserve"> </v>
      </c>
      <c r="Z913" s="12" t="str">
        <f>+IF(Tabla4[[#This Row],[AGRUPACIONES]]=1,SUMIFS(Tabla4[TOTAL COBERTURA],Tabla4[ZONA DEFINITIVO],Tabla4[[#This Row],[ZONA DEFINITIVO]])," ")</f>
        <v xml:space="preserve"> </v>
      </c>
      <c r="AA913" s="12"/>
      <c r="AB913" s="38">
        <v>85543738</v>
      </c>
      <c r="AC913" s="37">
        <v>0.02</v>
      </c>
      <c r="AD913" s="38">
        <f t="shared" si="14"/>
        <v>1710874.76</v>
      </c>
      <c r="AE913" s="12"/>
      <c r="AF913" s="12">
        <f>COUNTIF($A$20:A913,A913)</f>
        <v>10</v>
      </c>
      <c r="AG913" s="38">
        <v>85543738</v>
      </c>
      <c r="AH913" s="38">
        <f>Tabla4[[#This Row],[VALOR CONTRAPARTIDA]]+Tabla4[[#This Row],[TOTAL APORTES ICBF]]</f>
        <v>87254612.760000005</v>
      </c>
      <c r="AI913" s="35"/>
      <c r="AJ913" s="38"/>
      <c r="AK913" s="38"/>
      <c r="AL913" s="23"/>
      <c r="AM913" s="35">
        <f>VLOOKUP(Tabla4[[#This Row],[SERVICIO 2025]],$J$2:$V$14,5,0)*Tabla4[[#This Row],[TOTAL COBERTURA]]</f>
        <v>1955594</v>
      </c>
      <c r="AN913" s="35">
        <f>VLOOKUP(Tabla4[[#This Row],[SERVICIO 2025]],$J$2:$V$14,6,0)*Tabla4[[#This Row],[TOTAL COBERTURA]]</f>
        <v>1638408</v>
      </c>
      <c r="AO913" s="35">
        <f>VLOOKUP(Tabla4[[#This Row],[SERVICIO 2025]],$J$2:$V$14,8,0)*Tabla4[[#This Row],[TOTAL COBERTURA]]</f>
        <v>1105800</v>
      </c>
      <c r="AP913" s="35">
        <f>VLOOKUP(Tabla4[[#This Row],[SERVICIO 2025]],$J$2:$V$14,3,0)*Tabla4[[#This Row],[TOTAL COBERTURA]]*8</f>
        <v>80843936</v>
      </c>
      <c r="AQ913" s="35"/>
      <c r="AR913" s="35">
        <f>Tabla4[[#This Row],[VALOR FASE PREPARATORIA DE ALISTAMIENTO]]+Tabla4[[#This Row],[VALOR FASE PREPARATORIA DE CIERRE]]+Tabla4[[#This Row],[DOTACIÓN ÚNICA]]+Tabla4[[#This Row],[VALOR ATENCIÓN]]+Tabla4[[#This Row],[VALOR RACION PREPARADA]]</f>
        <v>85543738</v>
      </c>
      <c r="AS913" s="35" t="str">
        <f>+IF(Tabla4[[#This Row],[AGRUPACIONES]]=1,SUMIFS(Tabla4[VALOR TOTAL],Tabla4[ZONA DEFINITIVO],Tabla4[[#This Row],[ZONA DEFINITIVO]])," ")</f>
        <v xml:space="preserve"> </v>
      </c>
      <c r="AT913" s="27">
        <f>(VLOOKUP(Tabla4[[#This Row],[SERVICIO 2025]],$J$2:$V$14,3,0)*Tabla4[[#This Row],[TOTAL COBERTURA]])+Tabla4[[#This Row],[VALOR FASE PREPARATORIA DE ALISTAMIENTO]]+Tabla4[[#This Row],[DOTACIÓN ÚNICA]]</f>
        <v>13166886</v>
      </c>
      <c r="AU913" s="35">
        <f>(VLOOKUP(Tabla4[[#This Row],[SERVICIO 2025]],$J$2:$V$14,3,0)*Tabla4[[#This Row],[TOTAL COBERTURA]])</f>
        <v>10105492</v>
      </c>
      <c r="AV913" s="35">
        <f>(VLOOKUP(Tabla4[[#This Row],[SERVICIO 2025]],$J$2:$V$14,3,0)*Tabla4[[#This Row],[TOTAL COBERTURA]])</f>
        <v>10105492</v>
      </c>
      <c r="AW913" s="35">
        <f>(VLOOKUP(Tabla4[[#This Row],[SERVICIO 2025]],$J$2:$V$14,3,0)*Tabla4[[#This Row],[TOTAL COBERTURA]])</f>
        <v>10105492</v>
      </c>
      <c r="AX913" s="35">
        <f>(VLOOKUP(Tabla4[[#This Row],[SERVICIO 2025]],$J$2:$V$14,3,0)*Tabla4[[#This Row],[TOTAL COBERTURA]])</f>
        <v>10105492</v>
      </c>
      <c r="AY913" s="35">
        <f>(VLOOKUP(Tabla4[[#This Row],[SERVICIO 2025]],$J$2:$V$14,3,0)*Tabla4[[#This Row],[TOTAL COBERTURA]])</f>
        <v>10105492</v>
      </c>
      <c r="AZ913" s="35">
        <f>(VLOOKUP(Tabla4[[#This Row],[SERVICIO 2025]],$J$2:$V$14,3,0)*Tabla4[[#This Row],[TOTAL COBERTURA]])</f>
        <v>10105492</v>
      </c>
      <c r="BA913" s="35">
        <f>(VLOOKUP(Tabla4[[#This Row],[SERVICIO 2025]],$J$2:$V$14,3,0)*Tabla4[[#This Row],[TOTAL COBERTURA]])+Tabla4[[#This Row],[VALOR FASE PREPARATORIA DE CIERRE]]</f>
        <v>11743900</v>
      </c>
      <c r="BB913" s="35">
        <f>SUM(Tabla4[[#This Row],[DESEMBOLSO 1]:[DESEMBOLSO 8]])</f>
        <v>85543738</v>
      </c>
      <c r="BC913" s="35"/>
      <c r="BD913" s="47" t="s">
        <v>97</v>
      </c>
      <c r="BE913" s="12" t="b">
        <f>EXACT(Tabla4[[#This Row],[VALOR ATENCIÓN (8 MESES)]],Tabla4[[#This Row],[VALOR TOTAL]])</f>
        <v>1</v>
      </c>
      <c r="BF913" s="23">
        <f>Tabla4[[#This Row],[VALOR ATENCIÓN (8 MESES)]]-Tabla4[[#This Row],[VALOR TOTAL]]</f>
        <v>0</v>
      </c>
      <c r="BG913" s="12" t="b">
        <f>EXACT(Tabla4[[#This Row],[TOTAL DESEMBOLSOS]],Tabla4[[#This Row],[VALOR ATENCIÓN (8 MESES)]])</f>
        <v>1</v>
      </c>
      <c r="BH913" s="29">
        <f>Tabla4[[#This Row],[TOTAL DESEMBOLSOS]]-Tabla4[[#This Row],[VALOR ATENCIÓN (8 MESES)]]</f>
        <v>0</v>
      </c>
      <c r="BI913" t="s">
        <v>98</v>
      </c>
    </row>
    <row r="914" spans="1:62">
      <c r="A914" s="13">
        <v>1979</v>
      </c>
      <c r="B914" s="13" t="s">
        <v>2003</v>
      </c>
      <c r="C914" s="12" t="s">
        <v>87</v>
      </c>
      <c r="D914" s="12" t="s">
        <v>482</v>
      </c>
      <c r="E914" s="12" t="s">
        <v>2004</v>
      </c>
      <c r="F914" s="12" t="s">
        <v>13</v>
      </c>
      <c r="G914" s="12" t="s">
        <v>90</v>
      </c>
      <c r="H914" s="12" t="s">
        <v>2024</v>
      </c>
      <c r="I914" s="12">
        <v>559100104907</v>
      </c>
      <c r="J914" s="12" t="s">
        <v>1134</v>
      </c>
      <c r="K914" s="12">
        <v>1</v>
      </c>
      <c r="L914" s="12">
        <v>97</v>
      </c>
      <c r="M914" s="12"/>
      <c r="N914" s="13">
        <v>1979</v>
      </c>
      <c r="O914" s="12" t="s">
        <v>93</v>
      </c>
      <c r="P914" s="12"/>
      <c r="Q914" s="12"/>
      <c r="R914" s="12" t="s">
        <v>94</v>
      </c>
      <c r="S914" s="12">
        <v>10</v>
      </c>
      <c r="T914" s="12" t="s">
        <v>486</v>
      </c>
      <c r="U914" s="12" t="s">
        <v>487</v>
      </c>
      <c r="V914" s="12">
        <f>VLOOKUP(Tabla4[[#This Row],[ZONA DEFINITIVO]],Hoja1!$A$1:$D$121,3,0)</f>
        <v>229135</v>
      </c>
      <c r="W914" s="12">
        <f>VLOOKUP(Tabla4[[#This Row],[ZONA DEFINITIVO]],Hoja1!$A$1:$D$121,2,0)</f>
        <v>15243</v>
      </c>
      <c r="X914" s="12">
        <f>VLOOKUP(Tabla4[[#This Row],[ZONA DEFINITIVO]],Hoja1!$A$1:$D$121,4,0)</f>
        <v>88625</v>
      </c>
      <c r="Y914" s="12" t="str">
        <f>+IF(Tabla4[[#This Row],[AGRUPACIONES]]=1,SUMIFS(Tabla4[UDS],Tabla4[ZONA DEFINITIVO],Tabla4[[#This Row],[ZONA DEFINITIVO]])," ")</f>
        <v xml:space="preserve"> </v>
      </c>
      <c r="Z914" s="12" t="str">
        <f>+IF(Tabla4[[#This Row],[AGRUPACIONES]]=1,SUMIFS(Tabla4[TOTAL COBERTURA],Tabla4[ZONA DEFINITIVO],Tabla4[[#This Row],[ZONA DEFINITIVO]])," ")</f>
        <v xml:space="preserve"> </v>
      </c>
      <c r="AA914" s="12"/>
      <c r="AB914" s="38">
        <v>286800482</v>
      </c>
      <c r="AC914" s="37">
        <v>0.02</v>
      </c>
      <c r="AD914" s="38">
        <f t="shared" si="14"/>
        <v>5736009.6399999997</v>
      </c>
      <c r="AE914" s="12"/>
      <c r="AF914" s="12">
        <f>COUNTIF($A$20:A914,A914)</f>
        <v>11</v>
      </c>
      <c r="AG914" s="38">
        <v>286800482</v>
      </c>
      <c r="AH914" s="38">
        <f>Tabla4[[#This Row],[VALOR CONTRAPARTIDA]]+Tabla4[[#This Row],[TOTAL APORTES ICBF]]</f>
        <v>292536491.63999999</v>
      </c>
      <c r="AI914" s="35"/>
      <c r="AJ914" s="38"/>
      <c r="AK914" s="38"/>
      <c r="AL914" s="23"/>
      <c r="AM914" s="35">
        <f>VLOOKUP(Tabla4[[#This Row],[SERVICIO 2025]],$J$2:$V$14,5,0)*Tabla4[[#This Row],[TOTAL COBERTURA]]</f>
        <v>8549871</v>
      </c>
      <c r="AN914" s="35">
        <f>VLOOKUP(Tabla4[[#This Row],[SERVICIO 2025]],$J$2:$V$14,6,0)*Tabla4[[#This Row],[TOTAL COBERTURA]]</f>
        <v>7279171</v>
      </c>
      <c r="AO914" s="35">
        <f>VLOOKUP(Tabla4[[#This Row],[SERVICIO 2025]],$J$2:$V$14,8,0)*Tabla4[[#This Row],[TOTAL COBERTURA]]</f>
        <v>0</v>
      </c>
      <c r="AP914" s="35">
        <f>VLOOKUP(Tabla4[[#This Row],[SERVICIO 2025]],$J$2:$V$14,3,0)*Tabla4[[#This Row],[TOTAL COBERTURA]]*8</f>
        <v>270971440</v>
      </c>
      <c r="AQ914" s="35"/>
      <c r="AR914" s="35">
        <f>Tabla4[[#This Row],[VALOR FASE PREPARATORIA DE ALISTAMIENTO]]+Tabla4[[#This Row],[VALOR FASE PREPARATORIA DE CIERRE]]+Tabla4[[#This Row],[DOTACIÓN ÚNICA]]+Tabla4[[#This Row],[VALOR ATENCIÓN]]+Tabla4[[#This Row],[VALOR RACION PREPARADA]]</f>
        <v>286800482</v>
      </c>
      <c r="AS914" s="35" t="str">
        <f>+IF(Tabla4[[#This Row],[AGRUPACIONES]]=1,SUMIFS(Tabla4[VALOR TOTAL],Tabla4[ZONA DEFINITIVO],Tabla4[[#This Row],[ZONA DEFINITIVO]])," ")</f>
        <v xml:space="preserve"> </v>
      </c>
      <c r="AT914" s="27">
        <f>(VLOOKUP(Tabla4[[#This Row],[SERVICIO 2025]],$J$2:$V$14,3,0)*Tabla4[[#This Row],[TOTAL COBERTURA]])+Tabla4[[#This Row],[VALOR FASE PREPARATORIA DE ALISTAMIENTO]]+Tabla4[[#This Row],[DOTACIÓN ÚNICA]]</f>
        <v>42421301</v>
      </c>
      <c r="AU914" s="35">
        <f>(VLOOKUP(Tabla4[[#This Row],[SERVICIO 2025]],$J$2:$V$14,3,0)*Tabla4[[#This Row],[TOTAL COBERTURA]])</f>
        <v>33871430</v>
      </c>
      <c r="AV914" s="35">
        <f>(VLOOKUP(Tabla4[[#This Row],[SERVICIO 2025]],$J$2:$V$14,3,0)*Tabla4[[#This Row],[TOTAL COBERTURA]])</f>
        <v>33871430</v>
      </c>
      <c r="AW914" s="35">
        <f>(VLOOKUP(Tabla4[[#This Row],[SERVICIO 2025]],$J$2:$V$14,3,0)*Tabla4[[#This Row],[TOTAL COBERTURA]])</f>
        <v>33871430</v>
      </c>
      <c r="AX914" s="35">
        <f>(VLOOKUP(Tabla4[[#This Row],[SERVICIO 2025]],$J$2:$V$14,3,0)*Tabla4[[#This Row],[TOTAL COBERTURA]])</f>
        <v>33871430</v>
      </c>
      <c r="AY914" s="35">
        <f>(VLOOKUP(Tabla4[[#This Row],[SERVICIO 2025]],$J$2:$V$14,3,0)*Tabla4[[#This Row],[TOTAL COBERTURA]])</f>
        <v>33871430</v>
      </c>
      <c r="AZ914" s="35">
        <f>(VLOOKUP(Tabla4[[#This Row],[SERVICIO 2025]],$J$2:$V$14,3,0)*Tabla4[[#This Row],[TOTAL COBERTURA]])</f>
        <v>33871430</v>
      </c>
      <c r="BA914" s="35">
        <f>(VLOOKUP(Tabla4[[#This Row],[SERVICIO 2025]],$J$2:$V$14,3,0)*Tabla4[[#This Row],[TOTAL COBERTURA]])+Tabla4[[#This Row],[VALOR FASE PREPARATORIA DE CIERRE]]</f>
        <v>41150601</v>
      </c>
      <c r="BB914" s="35">
        <f>SUM(Tabla4[[#This Row],[DESEMBOLSO 1]:[DESEMBOLSO 8]])</f>
        <v>286800482</v>
      </c>
      <c r="BC914" s="35"/>
      <c r="BD914" s="47" t="s">
        <v>97</v>
      </c>
      <c r="BE914" s="12" t="b">
        <f>EXACT(Tabla4[[#This Row],[VALOR ATENCIÓN (8 MESES)]],Tabla4[[#This Row],[VALOR TOTAL]])</f>
        <v>1</v>
      </c>
      <c r="BF914" s="23">
        <f>Tabla4[[#This Row],[VALOR ATENCIÓN (8 MESES)]]-Tabla4[[#This Row],[VALOR TOTAL]]</f>
        <v>0</v>
      </c>
      <c r="BG914" s="12" t="b">
        <f>EXACT(Tabla4[[#This Row],[TOTAL DESEMBOLSOS]],Tabla4[[#This Row],[VALOR ATENCIÓN (8 MESES)]])</f>
        <v>1</v>
      </c>
      <c r="BH914" s="29">
        <f>Tabla4[[#This Row],[TOTAL DESEMBOLSOS]]-Tabla4[[#This Row],[VALOR ATENCIÓN (8 MESES)]]</f>
        <v>0</v>
      </c>
      <c r="BI914" t="s">
        <v>98</v>
      </c>
    </row>
    <row r="915" spans="1:62">
      <c r="A915" s="13">
        <v>1979</v>
      </c>
      <c r="B915" s="13" t="s">
        <v>2003</v>
      </c>
      <c r="C915" s="12" t="s">
        <v>87</v>
      </c>
      <c r="D915" s="12" t="s">
        <v>482</v>
      </c>
      <c r="E915" s="12" t="s">
        <v>2004</v>
      </c>
      <c r="F915" s="12" t="s">
        <v>18</v>
      </c>
      <c r="G915" s="12" t="s">
        <v>90</v>
      </c>
      <c r="H915" s="12" t="s">
        <v>2025</v>
      </c>
      <c r="I915" s="12">
        <v>559100104908</v>
      </c>
      <c r="J915" s="12" t="s">
        <v>2026</v>
      </c>
      <c r="K915" s="12">
        <v>1</v>
      </c>
      <c r="L915" s="12">
        <v>20</v>
      </c>
      <c r="M915" s="12"/>
      <c r="N915" s="13">
        <v>1979</v>
      </c>
      <c r="O915" s="12" t="s">
        <v>93</v>
      </c>
      <c r="P915" s="12"/>
      <c r="Q915" s="12"/>
      <c r="R915" s="12" t="s">
        <v>94</v>
      </c>
      <c r="S915" s="12">
        <v>10</v>
      </c>
      <c r="T915" s="12" t="s">
        <v>486</v>
      </c>
      <c r="U915" s="12" t="s">
        <v>487</v>
      </c>
      <c r="V915" s="12">
        <f>VLOOKUP(Tabla4[[#This Row],[ZONA DEFINITIVO]],Hoja1!$A$1:$D$121,3,0)</f>
        <v>229135</v>
      </c>
      <c r="W915" s="12">
        <f>VLOOKUP(Tabla4[[#This Row],[ZONA DEFINITIVO]],Hoja1!$A$1:$D$121,2,0)</f>
        <v>15243</v>
      </c>
      <c r="X915" s="12">
        <f>VLOOKUP(Tabla4[[#This Row],[ZONA DEFINITIVO]],Hoja1!$A$1:$D$121,4,0)</f>
        <v>88625</v>
      </c>
      <c r="Y915" s="12" t="str">
        <f>+IF(Tabla4[[#This Row],[AGRUPACIONES]]=1,SUMIFS(Tabla4[UDS],Tabla4[ZONA DEFINITIVO],Tabla4[[#This Row],[ZONA DEFINITIVO]])," ")</f>
        <v xml:space="preserve"> </v>
      </c>
      <c r="Z915" s="12" t="str">
        <f>+IF(Tabla4[[#This Row],[AGRUPACIONES]]=1,SUMIFS(Tabla4[TOTAL COBERTURA],Tabla4[ZONA DEFINITIVO],Tabla4[[#This Row],[ZONA DEFINITIVO]])," ")</f>
        <v xml:space="preserve"> </v>
      </c>
      <c r="AA915" s="12"/>
      <c r="AB915" s="38">
        <v>43603860</v>
      </c>
      <c r="AC915" s="37">
        <v>0.02</v>
      </c>
      <c r="AD915" s="38">
        <f t="shared" si="14"/>
        <v>872077.20000000007</v>
      </c>
      <c r="AE915" s="12"/>
      <c r="AF915" s="12">
        <f>COUNTIF($A$20:A915,A915)</f>
        <v>12</v>
      </c>
      <c r="AG915" s="38">
        <v>43603860</v>
      </c>
      <c r="AH915" s="38">
        <f>Tabla4[[#This Row],[VALOR CONTRAPARTIDA]]+Tabla4[[#This Row],[TOTAL APORTES ICBF]]</f>
        <v>44475937.200000003</v>
      </c>
      <c r="AI915" s="35"/>
      <c r="AJ915" s="38"/>
      <c r="AK915" s="38"/>
      <c r="AL915" s="23"/>
      <c r="AM915" s="35">
        <f>VLOOKUP(Tabla4[[#This Row],[SERVICIO 2025]],$J$2:$V$14,5,0)*Tabla4[[#This Row],[TOTAL COBERTURA]]</f>
        <v>987520</v>
      </c>
      <c r="AN915" s="35">
        <f>VLOOKUP(Tabla4[[#This Row],[SERVICIO 2025]],$J$2:$V$14,6,0)*Tabla4[[#This Row],[TOTAL COBERTURA]]</f>
        <v>820580</v>
      </c>
      <c r="AO915" s="35">
        <f>VLOOKUP(Tabla4[[#This Row],[SERVICIO 2025]],$J$2:$V$14,8,0)*Tabla4[[#This Row],[TOTAL COBERTURA]]</f>
        <v>582000</v>
      </c>
      <c r="AP915" s="35">
        <f>VLOOKUP(Tabla4[[#This Row],[SERVICIO 2025]],$J$2:$V$14,3,0)*Tabla4[[#This Row],[TOTAL COBERTURA]]*8</f>
        <v>41213760</v>
      </c>
      <c r="AQ915" s="35"/>
      <c r="AR915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15" s="35" t="str">
        <f>+IF(Tabla4[[#This Row],[AGRUPACIONES]]=1,SUMIFS(Tabla4[VALOR TOTAL],Tabla4[ZONA DEFINITIVO],Tabla4[[#This Row],[ZONA DEFINITIVO]])," ")</f>
        <v xml:space="preserve"> </v>
      </c>
      <c r="AT915" s="27">
        <f>(VLOOKUP(Tabla4[[#This Row],[SERVICIO 2025]],$J$2:$V$14,3,0)*Tabla4[[#This Row],[TOTAL COBERTURA]])+Tabla4[[#This Row],[VALOR FASE PREPARATORIA DE ALISTAMIENTO]]+Tabla4[[#This Row],[DOTACIÓN ÚNICA]]</f>
        <v>6721240</v>
      </c>
      <c r="AU915" s="35">
        <f>(VLOOKUP(Tabla4[[#This Row],[SERVICIO 2025]],$J$2:$V$14,3,0)*Tabla4[[#This Row],[TOTAL COBERTURA]])</f>
        <v>5151720</v>
      </c>
      <c r="AV915" s="35">
        <f>(VLOOKUP(Tabla4[[#This Row],[SERVICIO 2025]],$J$2:$V$14,3,0)*Tabla4[[#This Row],[TOTAL COBERTURA]])</f>
        <v>5151720</v>
      </c>
      <c r="AW915" s="35">
        <f>(VLOOKUP(Tabla4[[#This Row],[SERVICIO 2025]],$J$2:$V$14,3,0)*Tabla4[[#This Row],[TOTAL COBERTURA]])</f>
        <v>5151720</v>
      </c>
      <c r="AX915" s="35">
        <f>(VLOOKUP(Tabla4[[#This Row],[SERVICIO 2025]],$J$2:$V$14,3,0)*Tabla4[[#This Row],[TOTAL COBERTURA]])</f>
        <v>5151720</v>
      </c>
      <c r="AY915" s="35">
        <f>(VLOOKUP(Tabla4[[#This Row],[SERVICIO 2025]],$J$2:$V$14,3,0)*Tabla4[[#This Row],[TOTAL COBERTURA]])</f>
        <v>5151720</v>
      </c>
      <c r="AZ915" s="35">
        <f>(VLOOKUP(Tabla4[[#This Row],[SERVICIO 2025]],$J$2:$V$14,3,0)*Tabla4[[#This Row],[TOTAL COBERTURA]])</f>
        <v>5151720</v>
      </c>
      <c r="BA915" s="35">
        <f>(VLOOKUP(Tabla4[[#This Row],[SERVICIO 2025]],$J$2:$V$14,3,0)*Tabla4[[#This Row],[TOTAL COBERTURA]])+Tabla4[[#This Row],[VALOR FASE PREPARATORIA DE CIERRE]]</f>
        <v>5972300</v>
      </c>
      <c r="BB915" s="35">
        <f>SUM(Tabla4[[#This Row],[DESEMBOLSO 1]:[DESEMBOLSO 8]])</f>
        <v>43603860</v>
      </c>
      <c r="BC915" s="35"/>
      <c r="BD915" s="47" t="s">
        <v>97</v>
      </c>
      <c r="BE915" s="12" t="b">
        <f>EXACT(Tabla4[[#This Row],[VALOR ATENCIÓN (8 MESES)]],Tabla4[[#This Row],[VALOR TOTAL]])</f>
        <v>1</v>
      </c>
      <c r="BF915" s="23">
        <f>Tabla4[[#This Row],[VALOR ATENCIÓN (8 MESES)]]-Tabla4[[#This Row],[VALOR TOTAL]]</f>
        <v>0</v>
      </c>
      <c r="BG915" s="12" t="b">
        <f>EXACT(Tabla4[[#This Row],[TOTAL DESEMBOLSOS]],Tabla4[[#This Row],[VALOR ATENCIÓN (8 MESES)]])</f>
        <v>1</v>
      </c>
      <c r="BH915" s="29">
        <f>Tabla4[[#This Row],[TOTAL DESEMBOLSOS]]-Tabla4[[#This Row],[VALOR ATENCIÓN (8 MESES)]]</f>
        <v>0</v>
      </c>
      <c r="BI915" t="s">
        <v>98</v>
      </c>
    </row>
    <row r="916" spans="1:62">
      <c r="A916" s="13">
        <v>1980</v>
      </c>
      <c r="B916" s="13" t="s">
        <v>2027</v>
      </c>
      <c r="C916" s="12" t="s">
        <v>87</v>
      </c>
      <c r="D916" s="12" t="s">
        <v>673</v>
      </c>
      <c r="E916" s="12" t="s">
        <v>2028</v>
      </c>
      <c r="F916" s="12" t="s">
        <v>13</v>
      </c>
      <c r="G916" s="12" t="s">
        <v>90</v>
      </c>
      <c r="H916" s="12" t="s">
        <v>2029</v>
      </c>
      <c r="I916" s="12">
        <v>56041151913</v>
      </c>
      <c r="J916" s="12" t="s">
        <v>2030</v>
      </c>
      <c r="K916" s="12">
        <v>1</v>
      </c>
      <c r="L916" s="12">
        <v>25</v>
      </c>
      <c r="M916" s="12"/>
      <c r="N916" s="13">
        <v>1980</v>
      </c>
      <c r="O916" s="12" t="s">
        <v>93</v>
      </c>
      <c r="P916" s="12"/>
      <c r="Q916" s="12"/>
      <c r="R916" s="12" t="s">
        <v>94</v>
      </c>
      <c r="S916" s="12">
        <v>10</v>
      </c>
      <c r="T916" s="12" t="s">
        <v>2031</v>
      </c>
      <c r="U916" s="12" t="s">
        <v>2032</v>
      </c>
      <c r="V916" s="12">
        <f>VLOOKUP(Tabla4[[#This Row],[ZONA DEFINITIVO]],Hoja1!$A$1:$D$121,3,0)</f>
        <v>229137</v>
      </c>
      <c r="W916" s="12">
        <f>VLOOKUP(Tabla4[[#This Row],[ZONA DEFINITIVO]],Hoja1!$A$1:$D$121,2,0)</f>
        <v>15212</v>
      </c>
      <c r="X916" s="12">
        <f>VLOOKUP(Tabla4[[#This Row],[ZONA DEFINITIVO]],Hoja1!$A$1:$D$121,4,0)</f>
        <v>86125</v>
      </c>
      <c r="Y916" s="12">
        <f>+IF(Tabla4[[#This Row],[AGRUPACIONES]]=1,SUMIFS(Tabla4[UDS],Tabla4[ZONA DEFINITIVO],Tabla4[[#This Row],[ZONA DEFINITIVO]])," ")</f>
        <v>3</v>
      </c>
      <c r="Z916" s="12">
        <f>+IF(Tabla4[[#This Row],[AGRUPACIONES]]=1,SUMIFS(Tabla4[TOTAL COBERTURA],Tabla4[ZONA DEFINITIVO],Tabla4[[#This Row],[ZONA DEFINITIVO]])," ")</f>
        <v>303</v>
      </c>
      <c r="AA916" s="12"/>
      <c r="AB916" s="38">
        <v>73917650</v>
      </c>
      <c r="AC916" s="37">
        <v>0.02</v>
      </c>
      <c r="AD916" s="38">
        <f t="shared" ref="AD916:AD979" si="15">AB916*AC916</f>
        <v>1478353</v>
      </c>
      <c r="AE916" s="12"/>
      <c r="AF916" s="12">
        <f>COUNTIF($A$20:A916,A916)</f>
        <v>1</v>
      </c>
      <c r="AG916" s="38">
        <v>73917650</v>
      </c>
      <c r="AH916" s="38">
        <f>Tabla4[[#This Row],[VALOR CONTRAPARTIDA]]+Tabla4[[#This Row],[TOTAL APORTES ICBF]]</f>
        <v>75396003</v>
      </c>
      <c r="AI916" s="35">
        <f>ROUND(+IF(Tabla4[[#This Row],[AGRUPACIONES]]=1,SUMIFS(Tabla4[TOTAL APORTES ICBF],Tabla4[ZONA DEFINITIVO],Tabla4[[#This Row],[ZONA DEFINITIVO]])," "),0)</f>
        <v>865543053</v>
      </c>
      <c r="AJ916" s="38">
        <f>ROUND(+IF(Tabla4[[#This Row],[AGRUPACIONES]]=1,SUMIFS(Tabla4[VALOR CONTRAPARTIDA],Tabla4[ZONA DEFINITIVO],Tabla4[[#This Row],[ZONA DEFINITIVO]])," "),0)</f>
        <v>17310861</v>
      </c>
      <c r="AK916" s="38">
        <f>Tabla4[[#This Row],[TOTAL APORTES ICBF AGRUPADO]]+Tabla4[[#This Row],[TOTAL CONTRAPARTIDA AGRUPADO]]</f>
        <v>882853914</v>
      </c>
      <c r="AL916" s="23">
        <f>Tabla4[[#This Row],[TOTAL APORTES ICBF AGRUPADO]]/$AL$18</f>
        <v>608.03867439409908</v>
      </c>
      <c r="AM916" s="35">
        <f>VLOOKUP(Tabla4[[#This Row],[SERVICIO 2025]],$J$2:$V$14,5,0)*Tabla4[[#This Row],[TOTAL COBERTURA]]</f>
        <v>2203575</v>
      </c>
      <c r="AN916" s="35">
        <f>VLOOKUP(Tabla4[[#This Row],[SERVICIO 2025]],$J$2:$V$14,6,0)*Tabla4[[#This Row],[TOTAL COBERTURA]]</f>
        <v>1876075</v>
      </c>
      <c r="AO916" s="35">
        <f>VLOOKUP(Tabla4[[#This Row],[SERVICIO 2025]],$J$2:$V$14,8,0)*Tabla4[[#This Row],[TOTAL COBERTURA]]</f>
        <v>0</v>
      </c>
      <c r="AP916" s="35">
        <f>VLOOKUP(Tabla4[[#This Row],[SERVICIO 2025]],$J$2:$V$14,3,0)*Tabla4[[#This Row],[TOTAL COBERTURA]]*8</f>
        <v>69838000</v>
      </c>
      <c r="AQ916" s="35"/>
      <c r="AR916" s="35">
        <f>Tabla4[[#This Row],[VALOR FASE PREPARATORIA DE ALISTAMIENTO]]+Tabla4[[#This Row],[VALOR FASE PREPARATORIA DE CIERRE]]+Tabla4[[#This Row],[DOTACIÓN ÚNICA]]+Tabla4[[#This Row],[VALOR ATENCIÓN]]+Tabla4[[#This Row],[VALOR RACION PREPARADA]]</f>
        <v>73917650</v>
      </c>
      <c r="AS916" s="35">
        <f>+IF(Tabla4[[#This Row],[AGRUPACIONES]]=1,SUMIFS(Tabla4[VALOR TOTAL],Tabla4[ZONA DEFINITIVO],Tabla4[[#This Row],[ZONA DEFINITIVO]])," ")</f>
        <v>865543053</v>
      </c>
      <c r="AT916" s="27">
        <f>(VLOOKUP(Tabla4[[#This Row],[SERVICIO 2025]],$J$2:$V$14,3,0)*Tabla4[[#This Row],[TOTAL COBERTURA]])+Tabla4[[#This Row],[VALOR FASE PREPARATORIA DE ALISTAMIENTO]]+Tabla4[[#This Row],[DOTACIÓN ÚNICA]]</f>
        <v>10933325</v>
      </c>
      <c r="AU916" s="35">
        <f>(VLOOKUP(Tabla4[[#This Row],[SERVICIO 2025]],$J$2:$V$14,3,0)*Tabla4[[#This Row],[TOTAL COBERTURA]])</f>
        <v>8729750</v>
      </c>
      <c r="AV916" s="35">
        <f>(VLOOKUP(Tabla4[[#This Row],[SERVICIO 2025]],$J$2:$V$14,3,0)*Tabla4[[#This Row],[TOTAL COBERTURA]])</f>
        <v>8729750</v>
      </c>
      <c r="AW916" s="35">
        <f>(VLOOKUP(Tabla4[[#This Row],[SERVICIO 2025]],$J$2:$V$14,3,0)*Tabla4[[#This Row],[TOTAL COBERTURA]])</f>
        <v>8729750</v>
      </c>
      <c r="AX916" s="35">
        <f>(VLOOKUP(Tabla4[[#This Row],[SERVICIO 2025]],$J$2:$V$14,3,0)*Tabla4[[#This Row],[TOTAL COBERTURA]])</f>
        <v>8729750</v>
      </c>
      <c r="AY916" s="35">
        <f>(VLOOKUP(Tabla4[[#This Row],[SERVICIO 2025]],$J$2:$V$14,3,0)*Tabla4[[#This Row],[TOTAL COBERTURA]])</f>
        <v>8729750</v>
      </c>
      <c r="AZ916" s="35">
        <f>(VLOOKUP(Tabla4[[#This Row],[SERVICIO 2025]],$J$2:$V$14,3,0)*Tabla4[[#This Row],[TOTAL COBERTURA]])</f>
        <v>8729750</v>
      </c>
      <c r="BA916" s="35">
        <f>(VLOOKUP(Tabla4[[#This Row],[SERVICIO 2025]],$J$2:$V$14,3,0)*Tabla4[[#This Row],[TOTAL COBERTURA]])+Tabla4[[#This Row],[VALOR FASE PREPARATORIA DE CIERRE]]</f>
        <v>10605825</v>
      </c>
      <c r="BB916" s="35">
        <f>SUM(Tabla4[[#This Row],[DESEMBOLSO 1]:[DESEMBOLSO 8]])</f>
        <v>73917650</v>
      </c>
      <c r="BC916" s="35">
        <f>VLOOKUP(Tabla4[[#This Row],[SERVICIO 2025]],$J$2:$V$14,10,0)*Tabla4[[#This Row],[TOTAL COBERTURA]]*$W$3</f>
        <v>30803600</v>
      </c>
      <c r="BD916" s="47" t="s">
        <v>211</v>
      </c>
      <c r="BE916" s="12" t="b">
        <f>EXACT(Tabla4[[#This Row],[VALOR ATENCIÓN (8 MESES)]],Tabla4[[#This Row],[VALOR TOTAL]])</f>
        <v>1</v>
      </c>
      <c r="BF916" s="23">
        <f>Tabla4[[#This Row],[VALOR ATENCIÓN (8 MESES)]]-Tabla4[[#This Row],[VALOR TOTAL]]</f>
        <v>0</v>
      </c>
      <c r="BG916" s="12" t="b">
        <f>EXACT(Tabla4[[#This Row],[TOTAL DESEMBOLSOS]],Tabla4[[#This Row],[VALOR ATENCIÓN (8 MESES)]])</f>
        <v>1</v>
      </c>
      <c r="BH916" s="29">
        <f>Tabla4[[#This Row],[TOTAL DESEMBOLSOS]]-Tabla4[[#This Row],[VALOR ATENCIÓN (8 MESES)]]</f>
        <v>0</v>
      </c>
      <c r="BI916" t="s">
        <v>98</v>
      </c>
      <c r="BJ916">
        <v>1980</v>
      </c>
    </row>
    <row r="917" spans="1:62">
      <c r="A917" s="13">
        <v>1980</v>
      </c>
      <c r="B917" s="13" t="s">
        <v>2027</v>
      </c>
      <c r="C917" s="12" t="s">
        <v>87</v>
      </c>
      <c r="D917" s="12" t="s">
        <v>673</v>
      </c>
      <c r="E917" s="12" t="s">
        <v>2028</v>
      </c>
      <c r="F917" s="12" t="s">
        <v>13</v>
      </c>
      <c r="G917" s="12" t="s">
        <v>90</v>
      </c>
      <c r="H917" s="12" t="s">
        <v>2033</v>
      </c>
      <c r="I917" s="12">
        <v>560400053712</v>
      </c>
      <c r="J917" s="12" t="s">
        <v>553</v>
      </c>
      <c r="K917" s="12">
        <v>1</v>
      </c>
      <c r="L917" s="12">
        <v>235</v>
      </c>
      <c r="M917" s="12"/>
      <c r="N917" s="13">
        <v>1980</v>
      </c>
      <c r="O917" s="12" t="s">
        <v>93</v>
      </c>
      <c r="P917" s="12"/>
      <c r="Q917" s="12"/>
      <c r="R917" s="12" t="s">
        <v>94</v>
      </c>
      <c r="S917" s="12">
        <v>10</v>
      </c>
      <c r="T917" s="12" t="s">
        <v>2031</v>
      </c>
      <c r="U917" s="12" t="s">
        <v>2032</v>
      </c>
      <c r="V917" s="12">
        <f>VLOOKUP(Tabla4[[#This Row],[ZONA DEFINITIVO]],Hoja1!$A$1:$D$121,3,0)</f>
        <v>229137</v>
      </c>
      <c r="W917" s="12">
        <f>VLOOKUP(Tabla4[[#This Row],[ZONA DEFINITIVO]],Hoja1!$A$1:$D$121,2,0)</f>
        <v>15212</v>
      </c>
      <c r="X917" s="12">
        <f>VLOOKUP(Tabla4[[#This Row],[ZONA DEFINITIVO]],Hoja1!$A$1:$D$121,4,0)</f>
        <v>86125</v>
      </c>
      <c r="Y917" s="12" t="str">
        <f>+IF(Tabla4[[#This Row],[AGRUPACIONES]]=1,SUMIFS(Tabla4[UDS],Tabla4[ZONA DEFINITIVO],Tabla4[[#This Row],[ZONA DEFINITIVO]])," ")</f>
        <v xml:space="preserve"> </v>
      </c>
      <c r="Z917" s="12" t="str">
        <f>+IF(Tabla4[[#This Row],[AGRUPACIONES]]=1,SUMIFS(Tabla4[TOTAL COBERTURA],Tabla4[ZONA DEFINITIVO],Tabla4[[#This Row],[ZONA DEFINITIVO]])," ")</f>
        <v xml:space="preserve"> </v>
      </c>
      <c r="AA917" s="12"/>
      <c r="AB917" s="38">
        <v>694825910</v>
      </c>
      <c r="AC917" s="37">
        <v>0.02</v>
      </c>
      <c r="AD917" s="38">
        <f t="shared" si="15"/>
        <v>13896518.200000001</v>
      </c>
      <c r="AE917" s="12"/>
      <c r="AF917" s="12">
        <f>COUNTIF($A$20:A917,A917)</f>
        <v>2</v>
      </c>
      <c r="AG917" s="38">
        <v>694825910</v>
      </c>
      <c r="AH917" s="38">
        <f>Tabla4[[#This Row],[VALOR CONTRAPARTIDA]]+Tabla4[[#This Row],[TOTAL APORTES ICBF]]</f>
        <v>708722428.20000005</v>
      </c>
      <c r="AI917" s="35"/>
      <c r="AJ917" s="38"/>
      <c r="AK917" s="38"/>
      <c r="AL917" s="23"/>
      <c r="AM917" s="35">
        <f>VLOOKUP(Tabla4[[#This Row],[SERVICIO 2025]],$J$2:$V$14,5,0)*Tabla4[[#This Row],[TOTAL COBERTURA]]</f>
        <v>20713605</v>
      </c>
      <c r="AN917" s="35">
        <f>VLOOKUP(Tabla4[[#This Row],[SERVICIO 2025]],$J$2:$V$14,6,0)*Tabla4[[#This Row],[TOTAL COBERTURA]]</f>
        <v>17635105</v>
      </c>
      <c r="AO917" s="35">
        <f>VLOOKUP(Tabla4[[#This Row],[SERVICIO 2025]],$J$2:$V$14,8,0)*Tabla4[[#This Row],[TOTAL COBERTURA]]</f>
        <v>0</v>
      </c>
      <c r="AP917" s="35">
        <f>VLOOKUP(Tabla4[[#This Row],[SERVICIO 2025]],$J$2:$V$14,3,0)*Tabla4[[#This Row],[TOTAL COBERTURA]]*8</f>
        <v>656477200</v>
      </c>
      <c r="AQ917" s="35"/>
      <c r="AR917" s="35">
        <f>Tabla4[[#This Row],[VALOR FASE PREPARATORIA DE ALISTAMIENTO]]+Tabla4[[#This Row],[VALOR FASE PREPARATORIA DE CIERRE]]+Tabla4[[#This Row],[DOTACIÓN ÚNICA]]+Tabla4[[#This Row],[VALOR ATENCIÓN]]+Tabla4[[#This Row],[VALOR RACION PREPARADA]]</f>
        <v>694825910</v>
      </c>
      <c r="AS917" s="35" t="str">
        <f>+IF(Tabla4[[#This Row],[AGRUPACIONES]]=1,SUMIFS(Tabla4[VALOR TOTAL],Tabla4[ZONA DEFINITIVO],Tabla4[[#This Row],[ZONA DEFINITIVO]])," ")</f>
        <v xml:space="preserve"> </v>
      </c>
      <c r="AT917" s="27">
        <f>(VLOOKUP(Tabla4[[#This Row],[SERVICIO 2025]],$J$2:$V$14,3,0)*Tabla4[[#This Row],[TOTAL COBERTURA]])+Tabla4[[#This Row],[VALOR FASE PREPARATORIA DE ALISTAMIENTO]]+Tabla4[[#This Row],[DOTACIÓN ÚNICA]]</f>
        <v>102773255</v>
      </c>
      <c r="AU917" s="35">
        <f>(VLOOKUP(Tabla4[[#This Row],[SERVICIO 2025]],$J$2:$V$14,3,0)*Tabla4[[#This Row],[TOTAL COBERTURA]])</f>
        <v>82059650</v>
      </c>
      <c r="AV917" s="35">
        <f>(VLOOKUP(Tabla4[[#This Row],[SERVICIO 2025]],$J$2:$V$14,3,0)*Tabla4[[#This Row],[TOTAL COBERTURA]])</f>
        <v>82059650</v>
      </c>
      <c r="AW917" s="35">
        <f>(VLOOKUP(Tabla4[[#This Row],[SERVICIO 2025]],$J$2:$V$14,3,0)*Tabla4[[#This Row],[TOTAL COBERTURA]])</f>
        <v>82059650</v>
      </c>
      <c r="AX917" s="35">
        <f>(VLOOKUP(Tabla4[[#This Row],[SERVICIO 2025]],$J$2:$V$14,3,0)*Tabla4[[#This Row],[TOTAL COBERTURA]])</f>
        <v>82059650</v>
      </c>
      <c r="AY917" s="35">
        <f>(VLOOKUP(Tabla4[[#This Row],[SERVICIO 2025]],$J$2:$V$14,3,0)*Tabla4[[#This Row],[TOTAL COBERTURA]])</f>
        <v>82059650</v>
      </c>
      <c r="AZ917" s="35">
        <f>(VLOOKUP(Tabla4[[#This Row],[SERVICIO 2025]],$J$2:$V$14,3,0)*Tabla4[[#This Row],[TOTAL COBERTURA]])</f>
        <v>82059650</v>
      </c>
      <c r="BA917" s="35">
        <f>(VLOOKUP(Tabla4[[#This Row],[SERVICIO 2025]],$J$2:$V$14,3,0)*Tabla4[[#This Row],[TOTAL COBERTURA]])+Tabla4[[#This Row],[VALOR FASE PREPARATORIA DE CIERRE]]</f>
        <v>99694755</v>
      </c>
      <c r="BB917" s="35">
        <f>SUM(Tabla4[[#This Row],[DESEMBOLSO 1]:[DESEMBOLSO 8]])</f>
        <v>694825910</v>
      </c>
      <c r="BC917" s="35">
        <f>VLOOKUP(Tabla4[[#This Row],[SERVICIO 2025]],$J$2:$V$14,10,0)*Tabla4[[#This Row],[TOTAL COBERTURA]]*$W$3</f>
        <v>289553840</v>
      </c>
      <c r="BD917" s="47" t="s">
        <v>211</v>
      </c>
      <c r="BE917" s="12" t="b">
        <f>EXACT(Tabla4[[#This Row],[VALOR ATENCIÓN (8 MESES)]],Tabla4[[#This Row],[VALOR TOTAL]])</f>
        <v>1</v>
      </c>
      <c r="BF917" s="23">
        <f>Tabla4[[#This Row],[VALOR ATENCIÓN (8 MESES)]]-Tabla4[[#This Row],[VALOR TOTAL]]</f>
        <v>0</v>
      </c>
      <c r="BG917" s="12" t="b">
        <f>EXACT(Tabla4[[#This Row],[TOTAL DESEMBOLSOS]],Tabla4[[#This Row],[VALOR ATENCIÓN (8 MESES)]])</f>
        <v>1</v>
      </c>
      <c r="BH917" s="29">
        <f>Tabla4[[#This Row],[TOTAL DESEMBOLSOS]]-Tabla4[[#This Row],[VALOR ATENCIÓN (8 MESES)]]</f>
        <v>0</v>
      </c>
      <c r="BI917" t="s">
        <v>98</v>
      </c>
      <c r="BJ917">
        <v>1980</v>
      </c>
    </row>
    <row r="918" spans="1:62">
      <c r="A918" s="13">
        <v>1980</v>
      </c>
      <c r="B918" s="13" t="s">
        <v>2027</v>
      </c>
      <c r="C918" s="12" t="s">
        <v>87</v>
      </c>
      <c r="D918" s="12" t="s">
        <v>673</v>
      </c>
      <c r="E918" s="12" t="s">
        <v>2028</v>
      </c>
      <c r="F918" s="12" t="s">
        <v>19</v>
      </c>
      <c r="G918" s="12" t="s">
        <v>90</v>
      </c>
      <c r="H918" s="12" t="s">
        <v>2034</v>
      </c>
      <c r="I918" s="12">
        <v>560400101750</v>
      </c>
      <c r="J918" s="12" t="s">
        <v>2035</v>
      </c>
      <c r="K918" s="12">
        <v>1</v>
      </c>
      <c r="L918" s="12">
        <v>43</v>
      </c>
      <c r="M918" s="12"/>
      <c r="N918" s="13">
        <v>1980</v>
      </c>
      <c r="O918" s="12" t="s">
        <v>93</v>
      </c>
      <c r="P918" s="12"/>
      <c r="Q918" s="12"/>
      <c r="R918" s="12" t="s">
        <v>94</v>
      </c>
      <c r="S918" s="12">
        <v>10</v>
      </c>
      <c r="T918" s="12" t="s">
        <v>2031</v>
      </c>
      <c r="U918" s="12" t="s">
        <v>2032</v>
      </c>
      <c r="V918" s="12">
        <f>VLOOKUP(Tabla4[[#This Row],[ZONA DEFINITIVO]],Hoja1!$A$1:$D$121,3,0)</f>
        <v>229137</v>
      </c>
      <c r="W918" s="12">
        <f>VLOOKUP(Tabla4[[#This Row],[ZONA DEFINITIVO]],Hoja1!$A$1:$D$121,2,0)</f>
        <v>15212</v>
      </c>
      <c r="X918" s="12">
        <f>VLOOKUP(Tabla4[[#This Row],[ZONA DEFINITIVO]],Hoja1!$A$1:$D$121,4,0)</f>
        <v>86125</v>
      </c>
      <c r="Y918" s="12" t="str">
        <f>+IF(Tabla4[[#This Row],[AGRUPACIONES]]=1,SUMIFS(Tabla4[UDS],Tabla4[ZONA DEFINITIVO],Tabla4[[#This Row],[ZONA DEFINITIVO]])," ")</f>
        <v xml:space="preserve"> </v>
      </c>
      <c r="Z918" s="12" t="str">
        <f>+IF(Tabla4[[#This Row],[AGRUPACIONES]]=1,SUMIFS(Tabla4[TOTAL COBERTURA],Tabla4[ZONA DEFINITIVO],Tabla4[[#This Row],[ZONA DEFINITIVO]])," ")</f>
        <v xml:space="preserve"> </v>
      </c>
      <c r="AA918" s="12"/>
      <c r="AB918" s="38">
        <v>96799493</v>
      </c>
      <c r="AC918" s="37">
        <v>0.02</v>
      </c>
      <c r="AD918" s="38">
        <f t="shared" si="15"/>
        <v>1935989.86</v>
      </c>
      <c r="AE918" s="12"/>
      <c r="AF918" s="12">
        <f>COUNTIF($A$20:A918,A918)</f>
        <v>3</v>
      </c>
      <c r="AG918" s="38">
        <v>96799493</v>
      </c>
      <c r="AH918" s="38">
        <f>Tabla4[[#This Row],[VALOR CONTRAPARTIDA]]+Tabla4[[#This Row],[TOTAL APORTES ICBF]]</f>
        <v>98735482.859999999</v>
      </c>
      <c r="AI918" s="35"/>
      <c r="AJ918" s="38"/>
      <c r="AK918" s="38"/>
      <c r="AL918" s="23"/>
      <c r="AM918" s="35">
        <f>VLOOKUP(Tabla4[[#This Row],[SERVICIO 2025]],$J$2:$V$14,5,0)*Tabla4[[#This Row],[TOTAL COBERTURA]]</f>
        <v>2212909</v>
      </c>
      <c r="AN918" s="35">
        <f>VLOOKUP(Tabla4[[#This Row],[SERVICIO 2025]],$J$2:$V$14,6,0)*Tabla4[[#This Row],[TOTAL COBERTURA]]</f>
        <v>1853988</v>
      </c>
      <c r="AO918" s="35">
        <f>VLOOKUP(Tabla4[[#This Row],[SERVICIO 2025]],$J$2:$V$14,8,0)*Tabla4[[#This Row],[TOTAL COBERTURA]]</f>
        <v>1251300</v>
      </c>
      <c r="AP918" s="35">
        <f>VLOOKUP(Tabla4[[#This Row],[SERVICIO 2025]],$J$2:$V$14,3,0)*Tabla4[[#This Row],[TOTAL COBERTURA]]*8</f>
        <v>91481296</v>
      </c>
      <c r="AQ918" s="35"/>
      <c r="AR918" s="35">
        <f>Tabla4[[#This Row],[VALOR FASE PREPARATORIA DE ALISTAMIENTO]]+Tabla4[[#This Row],[VALOR FASE PREPARATORIA DE CIERRE]]+Tabla4[[#This Row],[DOTACIÓN ÚNICA]]+Tabla4[[#This Row],[VALOR ATENCIÓN]]+Tabla4[[#This Row],[VALOR RACION PREPARADA]]</f>
        <v>96799493</v>
      </c>
      <c r="AS918" s="35" t="str">
        <f>+IF(Tabla4[[#This Row],[AGRUPACIONES]]=1,SUMIFS(Tabla4[VALOR TOTAL],Tabla4[ZONA DEFINITIVO],Tabla4[[#This Row],[ZONA DEFINITIVO]])," ")</f>
        <v xml:space="preserve"> </v>
      </c>
      <c r="AT918" s="27">
        <f>(VLOOKUP(Tabla4[[#This Row],[SERVICIO 2025]],$J$2:$V$14,3,0)*Tabla4[[#This Row],[TOTAL COBERTURA]])+Tabla4[[#This Row],[VALOR FASE PREPARATORIA DE ALISTAMIENTO]]+Tabla4[[#This Row],[DOTACIÓN ÚNICA]]</f>
        <v>14899371</v>
      </c>
      <c r="AU918" s="35">
        <f>(VLOOKUP(Tabla4[[#This Row],[SERVICIO 2025]],$J$2:$V$14,3,0)*Tabla4[[#This Row],[TOTAL COBERTURA]])</f>
        <v>11435162</v>
      </c>
      <c r="AV918" s="35">
        <f>(VLOOKUP(Tabla4[[#This Row],[SERVICIO 2025]],$J$2:$V$14,3,0)*Tabla4[[#This Row],[TOTAL COBERTURA]])</f>
        <v>11435162</v>
      </c>
      <c r="AW918" s="35">
        <f>(VLOOKUP(Tabla4[[#This Row],[SERVICIO 2025]],$J$2:$V$14,3,0)*Tabla4[[#This Row],[TOTAL COBERTURA]])</f>
        <v>11435162</v>
      </c>
      <c r="AX918" s="35">
        <f>(VLOOKUP(Tabla4[[#This Row],[SERVICIO 2025]],$J$2:$V$14,3,0)*Tabla4[[#This Row],[TOTAL COBERTURA]])</f>
        <v>11435162</v>
      </c>
      <c r="AY918" s="35">
        <f>(VLOOKUP(Tabla4[[#This Row],[SERVICIO 2025]],$J$2:$V$14,3,0)*Tabla4[[#This Row],[TOTAL COBERTURA]])</f>
        <v>11435162</v>
      </c>
      <c r="AZ918" s="35">
        <f>(VLOOKUP(Tabla4[[#This Row],[SERVICIO 2025]],$J$2:$V$14,3,0)*Tabla4[[#This Row],[TOTAL COBERTURA]])</f>
        <v>11435162</v>
      </c>
      <c r="BA918" s="35">
        <f>(VLOOKUP(Tabla4[[#This Row],[SERVICIO 2025]],$J$2:$V$14,3,0)*Tabla4[[#This Row],[TOTAL COBERTURA]])+Tabla4[[#This Row],[VALOR FASE PREPARATORIA DE CIERRE]]</f>
        <v>13289150</v>
      </c>
      <c r="BB918" s="35">
        <f>SUM(Tabla4[[#This Row],[DESEMBOLSO 1]:[DESEMBOLSO 8]])</f>
        <v>96799493</v>
      </c>
      <c r="BC918" s="35">
        <f>VLOOKUP(Tabla4[[#This Row],[SERVICIO 2025]],$J$2:$V$14,10,0)*Tabla4[[#This Row],[TOTAL COBERTURA]]*$W$3</f>
        <v>62051752</v>
      </c>
      <c r="BD918" s="47" t="s">
        <v>211</v>
      </c>
      <c r="BE918" s="12" t="b">
        <f>EXACT(Tabla4[[#This Row],[VALOR ATENCIÓN (8 MESES)]],Tabla4[[#This Row],[VALOR TOTAL]])</f>
        <v>1</v>
      </c>
      <c r="BF918" s="23">
        <f>Tabla4[[#This Row],[VALOR ATENCIÓN (8 MESES)]]-Tabla4[[#This Row],[VALOR TOTAL]]</f>
        <v>0</v>
      </c>
      <c r="BG918" s="12" t="b">
        <f>EXACT(Tabla4[[#This Row],[TOTAL DESEMBOLSOS]],Tabla4[[#This Row],[VALOR ATENCIÓN (8 MESES)]])</f>
        <v>1</v>
      </c>
      <c r="BH918" s="29">
        <f>Tabla4[[#This Row],[TOTAL DESEMBOLSOS]]-Tabla4[[#This Row],[VALOR ATENCIÓN (8 MESES)]]</f>
        <v>0</v>
      </c>
      <c r="BI918" t="s">
        <v>98</v>
      </c>
      <c r="BJ918">
        <v>1980</v>
      </c>
    </row>
    <row r="919" spans="1:62">
      <c r="A919" s="13">
        <v>1981</v>
      </c>
      <c r="B919" s="13" t="s">
        <v>2036</v>
      </c>
      <c r="C919" s="12" t="s">
        <v>87</v>
      </c>
      <c r="D919" s="12" t="s">
        <v>673</v>
      </c>
      <c r="E919" s="12" t="s">
        <v>2028</v>
      </c>
      <c r="F919" s="12" t="s">
        <v>18</v>
      </c>
      <c r="G919" s="12" t="s">
        <v>90</v>
      </c>
      <c r="H919" s="12" t="s">
        <v>2037</v>
      </c>
      <c r="I919" s="12">
        <v>56041118905</v>
      </c>
      <c r="J919" s="12" t="s">
        <v>2038</v>
      </c>
      <c r="K919" s="12">
        <v>1</v>
      </c>
      <c r="L919" s="12">
        <v>50</v>
      </c>
      <c r="M919" s="12"/>
      <c r="N919" s="13">
        <v>1981</v>
      </c>
      <c r="O919" s="12" t="s">
        <v>93</v>
      </c>
      <c r="P919" s="12"/>
      <c r="Q919" s="12"/>
      <c r="R919" s="12" t="s">
        <v>94</v>
      </c>
      <c r="S919" s="12">
        <v>10</v>
      </c>
      <c r="T919" s="12" t="s">
        <v>2039</v>
      </c>
      <c r="U919" s="12" t="s">
        <v>2040</v>
      </c>
      <c r="V919" s="12">
        <f>VLOOKUP(Tabla4[[#This Row],[ZONA DEFINITIVO]],Hoja1!$A$1:$D$121,3,0)</f>
        <v>229138</v>
      </c>
      <c r="W919" s="12">
        <f>VLOOKUP(Tabla4[[#This Row],[ZONA DEFINITIVO]],Hoja1!$A$1:$D$121,2,0)</f>
        <v>15242</v>
      </c>
      <c r="X919" s="12">
        <f>VLOOKUP(Tabla4[[#This Row],[ZONA DEFINITIVO]],Hoja1!$A$1:$D$121,4,0)</f>
        <v>88525</v>
      </c>
      <c r="Y919" s="12">
        <f>+IF(Tabla4[[#This Row],[AGRUPACIONES]]=1,SUMIFS(Tabla4[UDS],Tabla4[ZONA DEFINITIVO],Tabla4[[#This Row],[ZONA DEFINITIVO]])," ")</f>
        <v>32</v>
      </c>
      <c r="Z919" s="12">
        <f>+IF(Tabla4[[#This Row],[AGRUPACIONES]]=1,SUMIFS(Tabla4[TOTAL COBERTURA],Tabla4[ZONA DEFINITIVO],Tabla4[[#This Row],[ZONA DEFINITIVO]])," ")</f>
        <v>853</v>
      </c>
      <c r="AA919" s="12"/>
      <c r="AB919" s="38">
        <v>109009650</v>
      </c>
      <c r="AC919" s="37">
        <v>0.02</v>
      </c>
      <c r="AD919" s="38">
        <f t="shared" si="15"/>
        <v>2180193</v>
      </c>
      <c r="AE919" s="12"/>
      <c r="AF919" s="12">
        <f>COUNTIF($A$20:A919,A919)</f>
        <v>1</v>
      </c>
      <c r="AG919" s="38">
        <v>109009650</v>
      </c>
      <c r="AH919" s="38">
        <f>Tabla4[[#This Row],[VALOR CONTRAPARTIDA]]+Tabla4[[#This Row],[TOTAL APORTES ICBF]]</f>
        <v>111189843</v>
      </c>
      <c r="AI919" s="35">
        <f>ROUND(+IF(Tabla4[[#This Row],[AGRUPACIONES]]=1,SUMIFS(Tabla4[TOTAL APORTES ICBF],Tabla4[ZONA DEFINITIVO],Tabla4[[#This Row],[ZONA DEFINITIVO]])," "),0)</f>
        <v>1859704629</v>
      </c>
      <c r="AJ919" s="38">
        <f>ROUND(+IF(Tabla4[[#This Row],[AGRUPACIONES]]=1,SUMIFS(Tabla4[VALOR CONTRAPARTIDA],Tabla4[ZONA DEFINITIVO],Tabla4[[#This Row],[ZONA DEFINITIVO]])," "),0)</f>
        <v>37194093</v>
      </c>
      <c r="AK919" s="38">
        <f>Tabla4[[#This Row],[TOTAL APORTES ICBF AGRUPADO]]+Tabla4[[#This Row],[TOTAL CONTRAPARTIDA AGRUPADO]]</f>
        <v>1896898722</v>
      </c>
      <c r="AL919" s="23">
        <f>Tabla4[[#This Row],[TOTAL APORTES ICBF AGRUPADO]]/$AL$18</f>
        <v>1306.4310706006322</v>
      </c>
      <c r="AM919" s="35">
        <f>VLOOKUP(Tabla4[[#This Row],[SERVICIO 2025]],$J$2:$V$14,5,0)*Tabla4[[#This Row],[TOTAL COBERTURA]]</f>
        <v>2468800</v>
      </c>
      <c r="AN919" s="35">
        <f>VLOOKUP(Tabla4[[#This Row],[SERVICIO 2025]],$J$2:$V$14,6,0)*Tabla4[[#This Row],[TOTAL COBERTURA]]</f>
        <v>2051450</v>
      </c>
      <c r="AO919" s="35">
        <f>VLOOKUP(Tabla4[[#This Row],[SERVICIO 2025]],$J$2:$V$14,8,0)*Tabla4[[#This Row],[TOTAL COBERTURA]]</f>
        <v>1455000</v>
      </c>
      <c r="AP919" s="35">
        <f>VLOOKUP(Tabla4[[#This Row],[SERVICIO 2025]],$J$2:$V$14,3,0)*Tabla4[[#This Row],[TOTAL COBERTURA]]*8</f>
        <v>103034400</v>
      </c>
      <c r="AQ919" s="35"/>
      <c r="AR919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19" s="35">
        <f>+IF(Tabla4[[#This Row],[AGRUPACIONES]]=1,SUMIFS(Tabla4[VALOR TOTAL],Tabla4[ZONA DEFINITIVO],Tabla4[[#This Row],[ZONA DEFINITIVO]])," ")</f>
        <v>1859704629</v>
      </c>
      <c r="AT919" s="27">
        <f>(VLOOKUP(Tabla4[[#This Row],[SERVICIO 2025]],$J$2:$V$14,3,0)*Tabla4[[#This Row],[TOTAL COBERTURA]])+Tabla4[[#This Row],[VALOR FASE PREPARATORIA DE ALISTAMIENTO]]+Tabla4[[#This Row],[DOTACIÓN ÚNICA]]</f>
        <v>16803100</v>
      </c>
      <c r="AU919" s="35">
        <f>(VLOOKUP(Tabla4[[#This Row],[SERVICIO 2025]],$J$2:$V$14,3,0)*Tabla4[[#This Row],[TOTAL COBERTURA]])</f>
        <v>12879300</v>
      </c>
      <c r="AV919" s="35">
        <f>(VLOOKUP(Tabla4[[#This Row],[SERVICIO 2025]],$J$2:$V$14,3,0)*Tabla4[[#This Row],[TOTAL COBERTURA]])</f>
        <v>12879300</v>
      </c>
      <c r="AW919" s="35">
        <f>(VLOOKUP(Tabla4[[#This Row],[SERVICIO 2025]],$J$2:$V$14,3,0)*Tabla4[[#This Row],[TOTAL COBERTURA]])</f>
        <v>12879300</v>
      </c>
      <c r="AX919" s="35">
        <f>(VLOOKUP(Tabla4[[#This Row],[SERVICIO 2025]],$J$2:$V$14,3,0)*Tabla4[[#This Row],[TOTAL COBERTURA]])</f>
        <v>12879300</v>
      </c>
      <c r="AY919" s="35">
        <f>(VLOOKUP(Tabla4[[#This Row],[SERVICIO 2025]],$J$2:$V$14,3,0)*Tabla4[[#This Row],[TOTAL COBERTURA]])</f>
        <v>12879300</v>
      </c>
      <c r="AZ919" s="35">
        <f>(VLOOKUP(Tabla4[[#This Row],[SERVICIO 2025]],$J$2:$V$14,3,0)*Tabla4[[#This Row],[TOTAL COBERTURA]])</f>
        <v>12879300</v>
      </c>
      <c r="BA919" s="35">
        <f>(VLOOKUP(Tabla4[[#This Row],[SERVICIO 2025]],$J$2:$V$14,3,0)*Tabla4[[#This Row],[TOTAL COBERTURA]])+Tabla4[[#This Row],[VALOR FASE PREPARATORIA DE CIERRE]]</f>
        <v>14930750</v>
      </c>
      <c r="BB919" s="35">
        <f>SUM(Tabla4[[#This Row],[DESEMBOLSO 1]:[DESEMBOLSO 8]])</f>
        <v>109009650</v>
      </c>
      <c r="BC919" s="35">
        <f>VLOOKUP(Tabla4[[#This Row],[SERVICIO 2025]],$J$2:$V$14,10,0)*Tabla4[[#This Row],[TOTAL COBERTURA]]*$W$3</f>
        <v>72153200</v>
      </c>
      <c r="BD919" s="47" t="s">
        <v>211</v>
      </c>
      <c r="BE919" s="12" t="b">
        <f>EXACT(Tabla4[[#This Row],[VALOR ATENCIÓN (8 MESES)]],Tabla4[[#This Row],[VALOR TOTAL]])</f>
        <v>1</v>
      </c>
      <c r="BF919" s="23">
        <f>Tabla4[[#This Row],[VALOR ATENCIÓN (8 MESES)]]-Tabla4[[#This Row],[VALOR TOTAL]]</f>
        <v>0</v>
      </c>
      <c r="BG919" s="12" t="b">
        <f>EXACT(Tabla4[[#This Row],[TOTAL DESEMBOLSOS]],Tabla4[[#This Row],[VALOR ATENCIÓN (8 MESES)]])</f>
        <v>1</v>
      </c>
      <c r="BH919" s="29">
        <f>Tabla4[[#This Row],[TOTAL DESEMBOLSOS]]-Tabla4[[#This Row],[VALOR ATENCIÓN (8 MESES)]]</f>
        <v>0</v>
      </c>
      <c r="BI919" t="s">
        <v>98</v>
      </c>
      <c r="BJ919">
        <v>1981</v>
      </c>
    </row>
    <row r="920" spans="1:62">
      <c r="A920" s="13">
        <v>1981</v>
      </c>
      <c r="B920" s="13" t="s">
        <v>2036</v>
      </c>
      <c r="C920" s="12" t="s">
        <v>87</v>
      </c>
      <c r="D920" s="12" t="s">
        <v>673</v>
      </c>
      <c r="E920" s="12" t="s">
        <v>2028</v>
      </c>
      <c r="F920" s="12" t="s">
        <v>18</v>
      </c>
      <c r="G920" s="12" t="s">
        <v>90</v>
      </c>
      <c r="H920" s="12" t="s">
        <v>2041</v>
      </c>
      <c r="I920" s="12">
        <v>56041118906</v>
      </c>
      <c r="J920" s="12" t="s">
        <v>2042</v>
      </c>
      <c r="K920" s="12">
        <v>1</v>
      </c>
      <c r="L920" s="12">
        <v>50</v>
      </c>
      <c r="M920" s="12"/>
      <c r="N920" s="13">
        <v>1981</v>
      </c>
      <c r="O920" s="12" t="s">
        <v>93</v>
      </c>
      <c r="P920" s="12"/>
      <c r="Q920" s="12"/>
      <c r="R920" s="12" t="s">
        <v>94</v>
      </c>
      <c r="S920" s="12">
        <v>10</v>
      </c>
      <c r="T920" s="12" t="s">
        <v>2039</v>
      </c>
      <c r="U920" s="12" t="s">
        <v>2040</v>
      </c>
      <c r="V920" s="12">
        <f>VLOOKUP(Tabla4[[#This Row],[ZONA DEFINITIVO]],Hoja1!$A$1:$D$121,3,0)</f>
        <v>229138</v>
      </c>
      <c r="W920" s="12">
        <f>VLOOKUP(Tabla4[[#This Row],[ZONA DEFINITIVO]],Hoja1!$A$1:$D$121,2,0)</f>
        <v>15242</v>
      </c>
      <c r="X920" s="12">
        <f>VLOOKUP(Tabla4[[#This Row],[ZONA DEFINITIVO]],Hoja1!$A$1:$D$121,4,0)</f>
        <v>88525</v>
      </c>
      <c r="Y920" s="12" t="str">
        <f>+IF(Tabla4[[#This Row],[AGRUPACIONES]]=1,SUMIFS(Tabla4[UDS],Tabla4[ZONA DEFINITIVO],Tabla4[[#This Row],[ZONA DEFINITIVO]])," ")</f>
        <v xml:space="preserve"> </v>
      </c>
      <c r="Z920" s="12" t="str">
        <f>+IF(Tabla4[[#This Row],[AGRUPACIONES]]=1,SUMIFS(Tabla4[TOTAL COBERTURA],Tabla4[ZONA DEFINITIVO],Tabla4[[#This Row],[ZONA DEFINITIVO]])," ")</f>
        <v xml:space="preserve"> </v>
      </c>
      <c r="AA920" s="12"/>
      <c r="AB920" s="38">
        <v>109009650</v>
      </c>
      <c r="AC920" s="37">
        <v>0.02</v>
      </c>
      <c r="AD920" s="38">
        <f t="shared" si="15"/>
        <v>2180193</v>
      </c>
      <c r="AE920" s="12"/>
      <c r="AF920" s="12">
        <f>COUNTIF($A$20:A920,A920)</f>
        <v>2</v>
      </c>
      <c r="AG920" s="38">
        <v>109009650</v>
      </c>
      <c r="AH920" s="38">
        <f>Tabla4[[#This Row],[VALOR CONTRAPARTIDA]]+Tabla4[[#This Row],[TOTAL APORTES ICBF]]</f>
        <v>111189843</v>
      </c>
      <c r="AI920" s="35"/>
      <c r="AJ920" s="38"/>
      <c r="AK920" s="38"/>
      <c r="AL920" s="23"/>
      <c r="AM920" s="35">
        <f>VLOOKUP(Tabla4[[#This Row],[SERVICIO 2025]],$J$2:$V$14,5,0)*Tabla4[[#This Row],[TOTAL COBERTURA]]</f>
        <v>2468800</v>
      </c>
      <c r="AN920" s="35">
        <f>VLOOKUP(Tabla4[[#This Row],[SERVICIO 2025]],$J$2:$V$14,6,0)*Tabla4[[#This Row],[TOTAL COBERTURA]]</f>
        <v>2051450</v>
      </c>
      <c r="AO920" s="35">
        <f>VLOOKUP(Tabla4[[#This Row],[SERVICIO 2025]],$J$2:$V$14,8,0)*Tabla4[[#This Row],[TOTAL COBERTURA]]</f>
        <v>1455000</v>
      </c>
      <c r="AP920" s="35">
        <f>VLOOKUP(Tabla4[[#This Row],[SERVICIO 2025]],$J$2:$V$14,3,0)*Tabla4[[#This Row],[TOTAL COBERTURA]]*8</f>
        <v>103034400</v>
      </c>
      <c r="AQ920" s="35"/>
      <c r="AR920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20" s="35" t="str">
        <f>+IF(Tabla4[[#This Row],[AGRUPACIONES]]=1,SUMIFS(Tabla4[VALOR TOTAL],Tabla4[ZONA DEFINITIVO],Tabla4[[#This Row],[ZONA DEFINITIVO]])," ")</f>
        <v xml:space="preserve"> </v>
      </c>
      <c r="AT920" s="27">
        <f>(VLOOKUP(Tabla4[[#This Row],[SERVICIO 2025]],$J$2:$V$14,3,0)*Tabla4[[#This Row],[TOTAL COBERTURA]])+Tabla4[[#This Row],[VALOR FASE PREPARATORIA DE ALISTAMIENTO]]+Tabla4[[#This Row],[DOTACIÓN ÚNICA]]</f>
        <v>16803100</v>
      </c>
      <c r="AU920" s="35">
        <f>(VLOOKUP(Tabla4[[#This Row],[SERVICIO 2025]],$J$2:$V$14,3,0)*Tabla4[[#This Row],[TOTAL COBERTURA]])</f>
        <v>12879300</v>
      </c>
      <c r="AV920" s="35">
        <f>(VLOOKUP(Tabla4[[#This Row],[SERVICIO 2025]],$J$2:$V$14,3,0)*Tabla4[[#This Row],[TOTAL COBERTURA]])</f>
        <v>12879300</v>
      </c>
      <c r="AW920" s="35">
        <f>(VLOOKUP(Tabla4[[#This Row],[SERVICIO 2025]],$J$2:$V$14,3,0)*Tabla4[[#This Row],[TOTAL COBERTURA]])</f>
        <v>12879300</v>
      </c>
      <c r="AX920" s="35">
        <f>(VLOOKUP(Tabla4[[#This Row],[SERVICIO 2025]],$J$2:$V$14,3,0)*Tabla4[[#This Row],[TOTAL COBERTURA]])</f>
        <v>12879300</v>
      </c>
      <c r="AY920" s="35">
        <f>(VLOOKUP(Tabla4[[#This Row],[SERVICIO 2025]],$J$2:$V$14,3,0)*Tabla4[[#This Row],[TOTAL COBERTURA]])</f>
        <v>12879300</v>
      </c>
      <c r="AZ920" s="35">
        <f>(VLOOKUP(Tabla4[[#This Row],[SERVICIO 2025]],$J$2:$V$14,3,0)*Tabla4[[#This Row],[TOTAL COBERTURA]])</f>
        <v>12879300</v>
      </c>
      <c r="BA920" s="35">
        <f>(VLOOKUP(Tabla4[[#This Row],[SERVICIO 2025]],$J$2:$V$14,3,0)*Tabla4[[#This Row],[TOTAL COBERTURA]])+Tabla4[[#This Row],[VALOR FASE PREPARATORIA DE CIERRE]]</f>
        <v>14930750</v>
      </c>
      <c r="BB920" s="35">
        <f>SUM(Tabla4[[#This Row],[DESEMBOLSO 1]:[DESEMBOLSO 8]])</f>
        <v>109009650</v>
      </c>
      <c r="BC920" s="35">
        <f>VLOOKUP(Tabla4[[#This Row],[SERVICIO 2025]],$J$2:$V$14,10,0)*Tabla4[[#This Row],[TOTAL COBERTURA]]*$W$3</f>
        <v>72153200</v>
      </c>
      <c r="BD920" s="47" t="s">
        <v>211</v>
      </c>
      <c r="BE920" s="12" t="b">
        <f>EXACT(Tabla4[[#This Row],[VALOR ATENCIÓN (8 MESES)]],Tabla4[[#This Row],[VALOR TOTAL]])</f>
        <v>1</v>
      </c>
      <c r="BF920" s="23">
        <f>Tabla4[[#This Row],[VALOR ATENCIÓN (8 MESES)]]-Tabla4[[#This Row],[VALOR TOTAL]]</f>
        <v>0</v>
      </c>
      <c r="BG920" s="12" t="b">
        <f>EXACT(Tabla4[[#This Row],[TOTAL DESEMBOLSOS]],Tabla4[[#This Row],[VALOR ATENCIÓN (8 MESES)]])</f>
        <v>1</v>
      </c>
      <c r="BH920" s="29">
        <f>Tabla4[[#This Row],[TOTAL DESEMBOLSOS]]-Tabla4[[#This Row],[VALOR ATENCIÓN (8 MESES)]]</f>
        <v>0</v>
      </c>
      <c r="BI920" t="s">
        <v>98</v>
      </c>
      <c r="BJ920">
        <v>1981</v>
      </c>
    </row>
    <row r="921" spans="1:62">
      <c r="A921" s="13">
        <v>1981</v>
      </c>
      <c r="B921" s="13" t="s">
        <v>2036</v>
      </c>
      <c r="C921" s="12" t="s">
        <v>87</v>
      </c>
      <c r="D921" s="12" t="s">
        <v>673</v>
      </c>
      <c r="E921" s="12" t="s">
        <v>2028</v>
      </c>
      <c r="F921" s="12" t="s">
        <v>18</v>
      </c>
      <c r="G921" s="12" t="s">
        <v>90</v>
      </c>
      <c r="H921" s="12" t="s">
        <v>2043</v>
      </c>
      <c r="I921" s="12">
        <v>56041118959</v>
      </c>
      <c r="J921" s="12" t="s">
        <v>2044</v>
      </c>
      <c r="K921" s="12">
        <v>1</v>
      </c>
      <c r="L921" s="12">
        <v>24</v>
      </c>
      <c r="M921" s="12"/>
      <c r="N921" s="13">
        <v>1981</v>
      </c>
      <c r="O921" s="12" t="s">
        <v>93</v>
      </c>
      <c r="P921" s="12"/>
      <c r="Q921" s="12"/>
      <c r="R921" s="12" t="s">
        <v>94</v>
      </c>
      <c r="S921" s="12">
        <v>10</v>
      </c>
      <c r="T921" s="12" t="s">
        <v>2039</v>
      </c>
      <c r="U921" s="12" t="s">
        <v>2040</v>
      </c>
      <c r="V921" s="12">
        <f>VLOOKUP(Tabla4[[#This Row],[ZONA DEFINITIVO]],Hoja1!$A$1:$D$121,3,0)</f>
        <v>229138</v>
      </c>
      <c r="W921" s="12">
        <f>VLOOKUP(Tabla4[[#This Row],[ZONA DEFINITIVO]],Hoja1!$A$1:$D$121,2,0)</f>
        <v>15242</v>
      </c>
      <c r="X921" s="12">
        <f>VLOOKUP(Tabla4[[#This Row],[ZONA DEFINITIVO]],Hoja1!$A$1:$D$121,4,0)</f>
        <v>88525</v>
      </c>
      <c r="Y921" s="12" t="str">
        <f>+IF(Tabla4[[#This Row],[AGRUPACIONES]]=1,SUMIFS(Tabla4[UDS],Tabla4[ZONA DEFINITIVO],Tabla4[[#This Row],[ZONA DEFINITIVO]])," ")</f>
        <v xml:space="preserve"> </v>
      </c>
      <c r="Z921" s="12" t="str">
        <f>+IF(Tabla4[[#This Row],[AGRUPACIONES]]=1,SUMIFS(Tabla4[TOTAL COBERTURA],Tabla4[ZONA DEFINITIVO],Tabla4[[#This Row],[ZONA DEFINITIVO]])," ")</f>
        <v xml:space="preserve"> </v>
      </c>
      <c r="AA921" s="12"/>
      <c r="AB921" s="38">
        <v>52324632</v>
      </c>
      <c r="AC921" s="37">
        <v>0.02</v>
      </c>
      <c r="AD921" s="38">
        <f t="shared" si="15"/>
        <v>1046492.64</v>
      </c>
      <c r="AE921" s="12"/>
      <c r="AF921" s="12">
        <f>COUNTIF($A$20:A921,A921)</f>
        <v>3</v>
      </c>
      <c r="AG921" s="38">
        <v>52324632</v>
      </c>
      <c r="AH921" s="38">
        <f>Tabla4[[#This Row],[VALOR CONTRAPARTIDA]]+Tabla4[[#This Row],[TOTAL APORTES ICBF]]</f>
        <v>53371124.640000001</v>
      </c>
      <c r="AI921" s="35"/>
      <c r="AJ921" s="38"/>
      <c r="AK921" s="38"/>
      <c r="AL921" s="23"/>
      <c r="AM921" s="35">
        <f>VLOOKUP(Tabla4[[#This Row],[SERVICIO 2025]],$J$2:$V$14,5,0)*Tabla4[[#This Row],[TOTAL COBERTURA]]</f>
        <v>1185024</v>
      </c>
      <c r="AN921" s="35">
        <f>VLOOKUP(Tabla4[[#This Row],[SERVICIO 2025]],$J$2:$V$14,6,0)*Tabla4[[#This Row],[TOTAL COBERTURA]]</f>
        <v>984696</v>
      </c>
      <c r="AO921" s="35">
        <f>VLOOKUP(Tabla4[[#This Row],[SERVICIO 2025]],$J$2:$V$14,8,0)*Tabla4[[#This Row],[TOTAL COBERTURA]]</f>
        <v>698400</v>
      </c>
      <c r="AP921" s="35">
        <f>VLOOKUP(Tabla4[[#This Row],[SERVICIO 2025]],$J$2:$V$14,3,0)*Tabla4[[#This Row],[TOTAL COBERTURA]]*8</f>
        <v>49456512</v>
      </c>
      <c r="AQ921" s="35"/>
      <c r="AR921" s="35">
        <f>Tabla4[[#This Row],[VALOR FASE PREPARATORIA DE ALISTAMIENTO]]+Tabla4[[#This Row],[VALOR FASE PREPARATORIA DE CIERRE]]+Tabla4[[#This Row],[DOTACIÓN ÚNICA]]+Tabla4[[#This Row],[VALOR ATENCIÓN]]+Tabla4[[#This Row],[VALOR RACION PREPARADA]]</f>
        <v>52324632</v>
      </c>
      <c r="AS921" s="35" t="str">
        <f>+IF(Tabla4[[#This Row],[AGRUPACIONES]]=1,SUMIFS(Tabla4[VALOR TOTAL],Tabla4[ZONA DEFINITIVO],Tabla4[[#This Row],[ZONA DEFINITIVO]])," ")</f>
        <v xml:space="preserve"> </v>
      </c>
      <c r="AT921" s="27">
        <f>(VLOOKUP(Tabla4[[#This Row],[SERVICIO 2025]],$J$2:$V$14,3,0)*Tabla4[[#This Row],[TOTAL COBERTURA]])+Tabla4[[#This Row],[VALOR FASE PREPARATORIA DE ALISTAMIENTO]]+Tabla4[[#This Row],[DOTACIÓN ÚNICA]]</f>
        <v>8065488</v>
      </c>
      <c r="AU921" s="35">
        <f>(VLOOKUP(Tabla4[[#This Row],[SERVICIO 2025]],$J$2:$V$14,3,0)*Tabla4[[#This Row],[TOTAL COBERTURA]])</f>
        <v>6182064</v>
      </c>
      <c r="AV921" s="35">
        <f>(VLOOKUP(Tabla4[[#This Row],[SERVICIO 2025]],$J$2:$V$14,3,0)*Tabla4[[#This Row],[TOTAL COBERTURA]])</f>
        <v>6182064</v>
      </c>
      <c r="AW921" s="35">
        <f>(VLOOKUP(Tabla4[[#This Row],[SERVICIO 2025]],$J$2:$V$14,3,0)*Tabla4[[#This Row],[TOTAL COBERTURA]])</f>
        <v>6182064</v>
      </c>
      <c r="AX921" s="35">
        <f>(VLOOKUP(Tabla4[[#This Row],[SERVICIO 2025]],$J$2:$V$14,3,0)*Tabla4[[#This Row],[TOTAL COBERTURA]])</f>
        <v>6182064</v>
      </c>
      <c r="AY921" s="35">
        <f>(VLOOKUP(Tabla4[[#This Row],[SERVICIO 2025]],$J$2:$V$14,3,0)*Tabla4[[#This Row],[TOTAL COBERTURA]])</f>
        <v>6182064</v>
      </c>
      <c r="AZ921" s="35">
        <f>(VLOOKUP(Tabla4[[#This Row],[SERVICIO 2025]],$J$2:$V$14,3,0)*Tabla4[[#This Row],[TOTAL COBERTURA]])</f>
        <v>6182064</v>
      </c>
      <c r="BA921" s="35">
        <f>(VLOOKUP(Tabla4[[#This Row],[SERVICIO 2025]],$J$2:$V$14,3,0)*Tabla4[[#This Row],[TOTAL COBERTURA]])+Tabla4[[#This Row],[VALOR FASE PREPARATORIA DE CIERRE]]</f>
        <v>7166760</v>
      </c>
      <c r="BB921" s="35">
        <f>SUM(Tabla4[[#This Row],[DESEMBOLSO 1]:[DESEMBOLSO 8]])</f>
        <v>52324632</v>
      </c>
      <c r="BC921" s="35">
        <f>VLOOKUP(Tabla4[[#This Row],[SERVICIO 2025]],$J$2:$V$14,10,0)*Tabla4[[#This Row],[TOTAL COBERTURA]]*$W$3</f>
        <v>34633536</v>
      </c>
      <c r="BD921" s="47" t="s">
        <v>211</v>
      </c>
      <c r="BE921" s="12" t="b">
        <f>EXACT(Tabla4[[#This Row],[VALOR ATENCIÓN (8 MESES)]],Tabla4[[#This Row],[VALOR TOTAL]])</f>
        <v>1</v>
      </c>
      <c r="BF921" s="23">
        <f>Tabla4[[#This Row],[VALOR ATENCIÓN (8 MESES)]]-Tabla4[[#This Row],[VALOR TOTAL]]</f>
        <v>0</v>
      </c>
      <c r="BG921" s="12" t="b">
        <f>EXACT(Tabla4[[#This Row],[TOTAL DESEMBOLSOS]],Tabla4[[#This Row],[VALOR ATENCIÓN (8 MESES)]])</f>
        <v>1</v>
      </c>
      <c r="BH921" s="29">
        <f>Tabla4[[#This Row],[TOTAL DESEMBOLSOS]]-Tabla4[[#This Row],[VALOR ATENCIÓN (8 MESES)]]</f>
        <v>0</v>
      </c>
      <c r="BI921" t="s">
        <v>98</v>
      </c>
      <c r="BJ921">
        <v>1981</v>
      </c>
    </row>
    <row r="922" spans="1:62">
      <c r="A922" s="13">
        <v>1981</v>
      </c>
      <c r="B922" s="13" t="s">
        <v>2036</v>
      </c>
      <c r="C922" s="12" t="s">
        <v>87</v>
      </c>
      <c r="D922" s="12" t="s">
        <v>673</v>
      </c>
      <c r="E922" s="12" t="s">
        <v>2028</v>
      </c>
      <c r="F922" s="12" t="s">
        <v>18</v>
      </c>
      <c r="G922" s="12" t="s">
        <v>90</v>
      </c>
      <c r="H922" s="12" t="s">
        <v>1934</v>
      </c>
      <c r="I922" s="12">
        <v>56041118960</v>
      </c>
      <c r="J922" s="12" t="s">
        <v>2045</v>
      </c>
      <c r="K922" s="12">
        <v>1</v>
      </c>
      <c r="L922" s="12">
        <v>15</v>
      </c>
      <c r="M922" s="12"/>
      <c r="N922" s="13">
        <v>1981</v>
      </c>
      <c r="O922" s="12" t="s">
        <v>93</v>
      </c>
      <c r="P922" s="12"/>
      <c r="Q922" s="12"/>
      <c r="R922" s="12" t="s">
        <v>94</v>
      </c>
      <c r="S922" s="12">
        <v>10</v>
      </c>
      <c r="T922" s="12" t="s">
        <v>2039</v>
      </c>
      <c r="U922" s="12" t="s">
        <v>2040</v>
      </c>
      <c r="V922" s="12">
        <f>VLOOKUP(Tabla4[[#This Row],[ZONA DEFINITIVO]],Hoja1!$A$1:$D$121,3,0)</f>
        <v>229138</v>
      </c>
      <c r="W922" s="12">
        <f>VLOOKUP(Tabla4[[#This Row],[ZONA DEFINITIVO]],Hoja1!$A$1:$D$121,2,0)</f>
        <v>15242</v>
      </c>
      <c r="X922" s="12">
        <f>VLOOKUP(Tabla4[[#This Row],[ZONA DEFINITIVO]],Hoja1!$A$1:$D$121,4,0)</f>
        <v>88525</v>
      </c>
      <c r="Y922" s="12" t="str">
        <f>+IF(Tabla4[[#This Row],[AGRUPACIONES]]=1,SUMIFS(Tabla4[UDS],Tabla4[ZONA DEFINITIVO],Tabla4[[#This Row],[ZONA DEFINITIVO]])," ")</f>
        <v xml:space="preserve"> </v>
      </c>
      <c r="Z922" s="12" t="str">
        <f>+IF(Tabla4[[#This Row],[AGRUPACIONES]]=1,SUMIFS(Tabla4[TOTAL COBERTURA],Tabla4[ZONA DEFINITIVO],Tabla4[[#This Row],[ZONA DEFINITIVO]])," ")</f>
        <v xml:space="preserve"> </v>
      </c>
      <c r="AA922" s="12"/>
      <c r="AB922" s="38">
        <v>32702895</v>
      </c>
      <c r="AC922" s="37">
        <v>0.02</v>
      </c>
      <c r="AD922" s="38">
        <f t="shared" si="15"/>
        <v>654057.9</v>
      </c>
      <c r="AE922" s="12"/>
      <c r="AF922" s="12">
        <f>COUNTIF($A$20:A922,A922)</f>
        <v>4</v>
      </c>
      <c r="AG922" s="38">
        <v>32702895</v>
      </c>
      <c r="AH922" s="38">
        <f>Tabla4[[#This Row],[VALOR CONTRAPARTIDA]]+Tabla4[[#This Row],[TOTAL APORTES ICBF]]</f>
        <v>33356952.899999999</v>
      </c>
      <c r="AI922" s="35"/>
      <c r="AJ922" s="38"/>
      <c r="AK922" s="38"/>
      <c r="AL922" s="23"/>
      <c r="AM922" s="35">
        <f>VLOOKUP(Tabla4[[#This Row],[SERVICIO 2025]],$J$2:$V$14,5,0)*Tabla4[[#This Row],[TOTAL COBERTURA]]</f>
        <v>740640</v>
      </c>
      <c r="AN922" s="35">
        <f>VLOOKUP(Tabla4[[#This Row],[SERVICIO 2025]],$J$2:$V$14,6,0)*Tabla4[[#This Row],[TOTAL COBERTURA]]</f>
        <v>615435</v>
      </c>
      <c r="AO922" s="35">
        <f>VLOOKUP(Tabla4[[#This Row],[SERVICIO 2025]],$J$2:$V$14,8,0)*Tabla4[[#This Row],[TOTAL COBERTURA]]</f>
        <v>436500</v>
      </c>
      <c r="AP922" s="35">
        <f>VLOOKUP(Tabla4[[#This Row],[SERVICIO 2025]],$J$2:$V$14,3,0)*Tabla4[[#This Row],[TOTAL COBERTURA]]*8</f>
        <v>30910320</v>
      </c>
      <c r="AQ922" s="35"/>
      <c r="AR922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922" s="35" t="str">
        <f>+IF(Tabla4[[#This Row],[AGRUPACIONES]]=1,SUMIFS(Tabla4[VALOR TOTAL],Tabla4[ZONA DEFINITIVO],Tabla4[[#This Row],[ZONA DEFINITIVO]])," ")</f>
        <v xml:space="preserve"> </v>
      </c>
      <c r="AT922" s="27">
        <f>(VLOOKUP(Tabla4[[#This Row],[SERVICIO 2025]],$J$2:$V$14,3,0)*Tabla4[[#This Row],[TOTAL COBERTURA]])+Tabla4[[#This Row],[VALOR FASE PREPARATORIA DE ALISTAMIENTO]]+Tabla4[[#This Row],[DOTACIÓN ÚNICA]]</f>
        <v>5040930</v>
      </c>
      <c r="AU922" s="35">
        <f>(VLOOKUP(Tabla4[[#This Row],[SERVICIO 2025]],$J$2:$V$14,3,0)*Tabla4[[#This Row],[TOTAL COBERTURA]])</f>
        <v>3863790</v>
      </c>
      <c r="AV922" s="35">
        <f>(VLOOKUP(Tabla4[[#This Row],[SERVICIO 2025]],$J$2:$V$14,3,0)*Tabla4[[#This Row],[TOTAL COBERTURA]])</f>
        <v>3863790</v>
      </c>
      <c r="AW922" s="35">
        <f>(VLOOKUP(Tabla4[[#This Row],[SERVICIO 2025]],$J$2:$V$14,3,0)*Tabla4[[#This Row],[TOTAL COBERTURA]])</f>
        <v>3863790</v>
      </c>
      <c r="AX922" s="35">
        <f>(VLOOKUP(Tabla4[[#This Row],[SERVICIO 2025]],$J$2:$V$14,3,0)*Tabla4[[#This Row],[TOTAL COBERTURA]])</f>
        <v>3863790</v>
      </c>
      <c r="AY922" s="35">
        <f>(VLOOKUP(Tabla4[[#This Row],[SERVICIO 2025]],$J$2:$V$14,3,0)*Tabla4[[#This Row],[TOTAL COBERTURA]])</f>
        <v>3863790</v>
      </c>
      <c r="AZ922" s="35">
        <f>(VLOOKUP(Tabla4[[#This Row],[SERVICIO 2025]],$J$2:$V$14,3,0)*Tabla4[[#This Row],[TOTAL COBERTURA]])</f>
        <v>3863790</v>
      </c>
      <c r="BA922" s="35">
        <f>(VLOOKUP(Tabla4[[#This Row],[SERVICIO 2025]],$J$2:$V$14,3,0)*Tabla4[[#This Row],[TOTAL COBERTURA]])+Tabla4[[#This Row],[VALOR FASE PREPARATORIA DE CIERRE]]</f>
        <v>4479225</v>
      </c>
      <c r="BB922" s="35">
        <f>SUM(Tabla4[[#This Row],[DESEMBOLSO 1]:[DESEMBOLSO 8]])</f>
        <v>32702895</v>
      </c>
      <c r="BC922" s="35">
        <f>VLOOKUP(Tabla4[[#This Row],[SERVICIO 2025]],$J$2:$V$14,10,0)*Tabla4[[#This Row],[TOTAL COBERTURA]]*$W$3</f>
        <v>21645960</v>
      </c>
      <c r="BD922" s="47" t="s">
        <v>211</v>
      </c>
      <c r="BE922" s="12" t="b">
        <f>EXACT(Tabla4[[#This Row],[VALOR ATENCIÓN (8 MESES)]],Tabla4[[#This Row],[VALOR TOTAL]])</f>
        <v>1</v>
      </c>
      <c r="BF922" s="23">
        <f>Tabla4[[#This Row],[VALOR ATENCIÓN (8 MESES)]]-Tabla4[[#This Row],[VALOR TOTAL]]</f>
        <v>0</v>
      </c>
      <c r="BG922" s="12" t="b">
        <f>EXACT(Tabla4[[#This Row],[TOTAL DESEMBOLSOS]],Tabla4[[#This Row],[VALOR ATENCIÓN (8 MESES)]])</f>
        <v>1</v>
      </c>
      <c r="BH922" s="29">
        <f>Tabla4[[#This Row],[TOTAL DESEMBOLSOS]]-Tabla4[[#This Row],[VALOR ATENCIÓN (8 MESES)]]</f>
        <v>0</v>
      </c>
      <c r="BI922" t="s">
        <v>98</v>
      </c>
      <c r="BJ922">
        <v>1981</v>
      </c>
    </row>
    <row r="923" spans="1:62">
      <c r="A923" s="13">
        <v>1981</v>
      </c>
      <c r="B923" s="13" t="s">
        <v>2036</v>
      </c>
      <c r="C923" s="12" t="s">
        <v>87</v>
      </c>
      <c r="D923" s="12" t="s">
        <v>673</v>
      </c>
      <c r="E923" s="12" t="s">
        <v>2028</v>
      </c>
      <c r="F923" s="12" t="s">
        <v>18</v>
      </c>
      <c r="G923" s="12" t="s">
        <v>90</v>
      </c>
      <c r="H923" s="12" t="s">
        <v>2046</v>
      </c>
      <c r="I923" s="12">
        <v>56041118963</v>
      </c>
      <c r="J923" s="12" t="s">
        <v>2047</v>
      </c>
      <c r="K923" s="12">
        <v>1</v>
      </c>
      <c r="L923" s="12">
        <v>32</v>
      </c>
      <c r="M923" s="12"/>
      <c r="N923" s="13">
        <v>1981</v>
      </c>
      <c r="O923" s="12" t="s">
        <v>93</v>
      </c>
      <c r="P923" s="12"/>
      <c r="Q923" s="12"/>
      <c r="R923" s="12" t="s">
        <v>94</v>
      </c>
      <c r="S923" s="12">
        <v>10</v>
      </c>
      <c r="T923" s="12" t="s">
        <v>2039</v>
      </c>
      <c r="U923" s="12" t="s">
        <v>2040</v>
      </c>
      <c r="V923" s="12">
        <f>VLOOKUP(Tabla4[[#This Row],[ZONA DEFINITIVO]],Hoja1!$A$1:$D$121,3,0)</f>
        <v>229138</v>
      </c>
      <c r="W923" s="12">
        <f>VLOOKUP(Tabla4[[#This Row],[ZONA DEFINITIVO]],Hoja1!$A$1:$D$121,2,0)</f>
        <v>15242</v>
      </c>
      <c r="X923" s="12">
        <f>VLOOKUP(Tabla4[[#This Row],[ZONA DEFINITIVO]],Hoja1!$A$1:$D$121,4,0)</f>
        <v>88525</v>
      </c>
      <c r="Y923" s="12" t="str">
        <f>+IF(Tabla4[[#This Row],[AGRUPACIONES]]=1,SUMIFS(Tabla4[UDS],Tabla4[ZONA DEFINITIVO],Tabla4[[#This Row],[ZONA DEFINITIVO]])," ")</f>
        <v xml:space="preserve"> </v>
      </c>
      <c r="Z923" s="12" t="str">
        <f>+IF(Tabla4[[#This Row],[AGRUPACIONES]]=1,SUMIFS(Tabla4[TOTAL COBERTURA],Tabla4[ZONA DEFINITIVO],Tabla4[[#This Row],[ZONA DEFINITIVO]])," ")</f>
        <v xml:space="preserve"> </v>
      </c>
      <c r="AA923" s="12"/>
      <c r="AB923" s="38">
        <v>69766176</v>
      </c>
      <c r="AC923" s="37">
        <v>0.02</v>
      </c>
      <c r="AD923" s="38">
        <f t="shared" si="15"/>
        <v>1395323.52</v>
      </c>
      <c r="AE923" s="12"/>
      <c r="AF923" s="12">
        <f>COUNTIF($A$20:A923,A923)</f>
        <v>5</v>
      </c>
      <c r="AG923" s="38">
        <v>69766176</v>
      </c>
      <c r="AH923" s="38">
        <f>Tabla4[[#This Row],[VALOR CONTRAPARTIDA]]+Tabla4[[#This Row],[TOTAL APORTES ICBF]]</f>
        <v>71161499.519999996</v>
      </c>
      <c r="AI923" s="35"/>
      <c r="AJ923" s="38"/>
      <c r="AK923" s="38"/>
      <c r="AL923" s="23"/>
      <c r="AM923" s="35">
        <f>VLOOKUP(Tabla4[[#This Row],[SERVICIO 2025]],$J$2:$V$14,5,0)*Tabla4[[#This Row],[TOTAL COBERTURA]]</f>
        <v>1580032</v>
      </c>
      <c r="AN923" s="35">
        <f>VLOOKUP(Tabla4[[#This Row],[SERVICIO 2025]],$J$2:$V$14,6,0)*Tabla4[[#This Row],[TOTAL COBERTURA]]</f>
        <v>1312928</v>
      </c>
      <c r="AO923" s="35">
        <f>VLOOKUP(Tabla4[[#This Row],[SERVICIO 2025]],$J$2:$V$14,8,0)*Tabla4[[#This Row],[TOTAL COBERTURA]]</f>
        <v>931200</v>
      </c>
      <c r="AP923" s="35">
        <f>VLOOKUP(Tabla4[[#This Row],[SERVICIO 2025]],$J$2:$V$14,3,0)*Tabla4[[#This Row],[TOTAL COBERTURA]]*8</f>
        <v>65942016</v>
      </c>
      <c r="AQ923" s="35"/>
      <c r="AR923" s="35">
        <f>Tabla4[[#This Row],[VALOR FASE PREPARATORIA DE ALISTAMIENTO]]+Tabla4[[#This Row],[VALOR FASE PREPARATORIA DE CIERRE]]+Tabla4[[#This Row],[DOTACIÓN ÚNICA]]+Tabla4[[#This Row],[VALOR ATENCIÓN]]+Tabla4[[#This Row],[VALOR RACION PREPARADA]]</f>
        <v>69766176</v>
      </c>
      <c r="AS923" s="35" t="str">
        <f>+IF(Tabla4[[#This Row],[AGRUPACIONES]]=1,SUMIFS(Tabla4[VALOR TOTAL],Tabla4[ZONA DEFINITIVO],Tabla4[[#This Row],[ZONA DEFINITIVO]])," ")</f>
        <v xml:space="preserve"> </v>
      </c>
      <c r="AT923" s="27">
        <f>(VLOOKUP(Tabla4[[#This Row],[SERVICIO 2025]],$J$2:$V$14,3,0)*Tabla4[[#This Row],[TOTAL COBERTURA]])+Tabla4[[#This Row],[VALOR FASE PREPARATORIA DE ALISTAMIENTO]]+Tabla4[[#This Row],[DOTACIÓN ÚNICA]]</f>
        <v>10753984</v>
      </c>
      <c r="AU923" s="35">
        <f>(VLOOKUP(Tabla4[[#This Row],[SERVICIO 2025]],$J$2:$V$14,3,0)*Tabla4[[#This Row],[TOTAL COBERTURA]])</f>
        <v>8242752</v>
      </c>
      <c r="AV923" s="35">
        <f>(VLOOKUP(Tabla4[[#This Row],[SERVICIO 2025]],$J$2:$V$14,3,0)*Tabla4[[#This Row],[TOTAL COBERTURA]])</f>
        <v>8242752</v>
      </c>
      <c r="AW923" s="35">
        <f>(VLOOKUP(Tabla4[[#This Row],[SERVICIO 2025]],$J$2:$V$14,3,0)*Tabla4[[#This Row],[TOTAL COBERTURA]])</f>
        <v>8242752</v>
      </c>
      <c r="AX923" s="35">
        <f>(VLOOKUP(Tabla4[[#This Row],[SERVICIO 2025]],$J$2:$V$14,3,0)*Tabla4[[#This Row],[TOTAL COBERTURA]])</f>
        <v>8242752</v>
      </c>
      <c r="AY923" s="35">
        <f>(VLOOKUP(Tabla4[[#This Row],[SERVICIO 2025]],$J$2:$V$14,3,0)*Tabla4[[#This Row],[TOTAL COBERTURA]])</f>
        <v>8242752</v>
      </c>
      <c r="AZ923" s="35">
        <f>(VLOOKUP(Tabla4[[#This Row],[SERVICIO 2025]],$J$2:$V$14,3,0)*Tabla4[[#This Row],[TOTAL COBERTURA]])</f>
        <v>8242752</v>
      </c>
      <c r="BA923" s="35">
        <f>(VLOOKUP(Tabla4[[#This Row],[SERVICIO 2025]],$J$2:$V$14,3,0)*Tabla4[[#This Row],[TOTAL COBERTURA]])+Tabla4[[#This Row],[VALOR FASE PREPARATORIA DE CIERRE]]</f>
        <v>9555680</v>
      </c>
      <c r="BB923" s="35">
        <f>SUM(Tabla4[[#This Row],[DESEMBOLSO 1]:[DESEMBOLSO 8]])</f>
        <v>69766176</v>
      </c>
      <c r="BC923" s="35">
        <f>VLOOKUP(Tabla4[[#This Row],[SERVICIO 2025]],$J$2:$V$14,10,0)*Tabla4[[#This Row],[TOTAL COBERTURA]]*$W$3</f>
        <v>46178048</v>
      </c>
      <c r="BD923" s="47" t="s">
        <v>211</v>
      </c>
      <c r="BE923" s="12" t="b">
        <f>EXACT(Tabla4[[#This Row],[VALOR ATENCIÓN (8 MESES)]],Tabla4[[#This Row],[VALOR TOTAL]])</f>
        <v>1</v>
      </c>
      <c r="BF923" s="23">
        <f>Tabla4[[#This Row],[VALOR ATENCIÓN (8 MESES)]]-Tabla4[[#This Row],[VALOR TOTAL]]</f>
        <v>0</v>
      </c>
      <c r="BG923" s="12" t="b">
        <f>EXACT(Tabla4[[#This Row],[TOTAL DESEMBOLSOS]],Tabla4[[#This Row],[VALOR ATENCIÓN (8 MESES)]])</f>
        <v>1</v>
      </c>
      <c r="BH923" s="29">
        <f>Tabla4[[#This Row],[TOTAL DESEMBOLSOS]]-Tabla4[[#This Row],[VALOR ATENCIÓN (8 MESES)]]</f>
        <v>0</v>
      </c>
      <c r="BI923" t="s">
        <v>98</v>
      </c>
      <c r="BJ923">
        <v>1981</v>
      </c>
    </row>
    <row r="924" spans="1:62">
      <c r="A924" s="13">
        <v>1981</v>
      </c>
      <c r="B924" s="13" t="s">
        <v>2036</v>
      </c>
      <c r="C924" s="12" t="s">
        <v>87</v>
      </c>
      <c r="D924" s="12" t="s">
        <v>673</v>
      </c>
      <c r="E924" s="12" t="s">
        <v>2028</v>
      </c>
      <c r="F924" s="12" t="s">
        <v>18</v>
      </c>
      <c r="G924" s="12" t="s">
        <v>90</v>
      </c>
      <c r="H924" s="12" t="s">
        <v>2048</v>
      </c>
      <c r="I924" s="12">
        <v>56041134707</v>
      </c>
      <c r="J924" s="12" t="s">
        <v>2049</v>
      </c>
      <c r="K924" s="12">
        <v>1</v>
      </c>
      <c r="L924" s="12">
        <v>16</v>
      </c>
      <c r="M924" s="12"/>
      <c r="N924" s="13">
        <v>1981</v>
      </c>
      <c r="O924" s="12" t="s">
        <v>93</v>
      </c>
      <c r="P924" s="12"/>
      <c r="Q924" s="12"/>
      <c r="R924" s="12" t="s">
        <v>94</v>
      </c>
      <c r="S924" s="12">
        <v>10</v>
      </c>
      <c r="T924" s="12" t="s">
        <v>2039</v>
      </c>
      <c r="U924" s="12" t="s">
        <v>2040</v>
      </c>
      <c r="V924" s="12">
        <f>VLOOKUP(Tabla4[[#This Row],[ZONA DEFINITIVO]],Hoja1!$A$1:$D$121,3,0)</f>
        <v>229138</v>
      </c>
      <c r="W924" s="12">
        <f>VLOOKUP(Tabla4[[#This Row],[ZONA DEFINITIVO]],Hoja1!$A$1:$D$121,2,0)</f>
        <v>15242</v>
      </c>
      <c r="X924" s="12">
        <f>VLOOKUP(Tabla4[[#This Row],[ZONA DEFINITIVO]],Hoja1!$A$1:$D$121,4,0)</f>
        <v>88525</v>
      </c>
      <c r="Y924" s="12" t="str">
        <f>+IF(Tabla4[[#This Row],[AGRUPACIONES]]=1,SUMIFS(Tabla4[UDS],Tabla4[ZONA DEFINITIVO],Tabla4[[#This Row],[ZONA DEFINITIVO]])," ")</f>
        <v xml:space="preserve"> </v>
      </c>
      <c r="Z924" s="12" t="str">
        <f>+IF(Tabla4[[#This Row],[AGRUPACIONES]]=1,SUMIFS(Tabla4[TOTAL COBERTURA],Tabla4[ZONA DEFINITIVO],Tabla4[[#This Row],[ZONA DEFINITIVO]])," ")</f>
        <v xml:space="preserve"> </v>
      </c>
      <c r="AA924" s="12"/>
      <c r="AB924" s="38">
        <v>34883088</v>
      </c>
      <c r="AC924" s="37">
        <v>0.02</v>
      </c>
      <c r="AD924" s="38">
        <f t="shared" si="15"/>
        <v>697661.76</v>
      </c>
      <c r="AE924" s="12"/>
      <c r="AF924" s="12">
        <f>COUNTIF($A$20:A924,A924)</f>
        <v>6</v>
      </c>
      <c r="AG924" s="38">
        <v>34883088</v>
      </c>
      <c r="AH924" s="38">
        <f>Tabla4[[#This Row],[VALOR CONTRAPARTIDA]]+Tabla4[[#This Row],[TOTAL APORTES ICBF]]</f>
        <v>35580749.759999998</v>
      </c>
      <c r="AI924" s="35"/>
      <c r="AJ924" s="38"/>
      <c r="AK924" s="38"/>
      <c r="AL924" s="23"/>
      <c r="AM924" s="35">
        <f>VLOOKUP(Tabla4[[#This Row],[SERVICIO 2025]],$J$2:$V$14,5,0)*Tabla4[[#This Row],[TOTAL COBERTURA]]</f>
        <v>790016</v>
      </c>
      <c r="AN924" s="35">
        <f>VLOOKUP(Tabla4[[#This Row],[SERVICIO 2025]],$J$2:$V$14,6,0)*Tabla4[[#This Row],[TOTAL COBERTURA]]</f>
        <v>656464</v>
      </c>
      <c r="AO924" s="35">
        <f>VLOOKUP(Tabla4[[#This Row],[SERVICIO 2025]],$J$2:$V$14,8,0)*Tabla4[[#This Row],[TOTAL COBERTURA]]</f>
        <v>465600</v>
      </c>
      <c r="AP924" s="35">
        <f>VLOOKUP(Tabla4[[#This Row],[SERVICIO 2025]],$J$2:$V$14,3,0)*Tabla4[[#This Row],[TOTAL COBERTURA]]*8</f>
        <v>32971008</v>
      </c>
      <c r="AQ924" s="35"/>
      <c r="AR924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924" s="35" t="str">
        <f>+IF(Tabla4[[#This Row],[AGRUPACIONES]]=1,SUMIFS(Tabla4[VALOR TOTAL],Tabla4[ZONA DEFINITIVO],Tabla4[[#This Row],[ZONA DEFINITIVO]])," ")</f>
        <v xml:space="preserve"> </v>
      </c>
      <c r="AT924" s="27">
        <f>(VLOOKUP(Tabla4[[#This Row],[SERVICIO 2025]],$J$2:$V$14,3,0)*Tabla4[[#This Row],[TOTAL COBERTURA]])+Tabla4[[#This Row],[VALOR FASE PREPARATORIA DE ALISTAMIENTO]]+Tabla4[[#This Row],[DOTACIÓN ÚNICA]]</f>
        <v>5376992</v>
      </c>
      <c r="AU924" s="35">
        <f>(VLOOKUP(Tabla4[[#This Row],[SERVICIO 2025]],$J$2:$V$14,3,0)*Tabla4[[#This Row],[TOTAL COBERTURA]])</f>
        <v>4121376</v>
      </c>
      <c r="AV924" s="35">
        <f>(VLOOKUP(Tabla4[[#This Row],[SERVICIO 2025]],$J$2:$V$14,3,0)*Tabla4[[#This Row],[TOTAL COBERTURA]])</f>
        <v>4121376</v>
      </c>
      <c r="AW924" s="35">
        <f>(VLOOKUP(Tabla4[[#This Row],[SERVICIO 2025]],$J$2:$V$14,3,0)*Tabla4[[#This Row],[TOTAL COBERTURA]])</f>
        <v>4121376</v>
      </c>
      <c r="AX924" s="35">
        <f>(VLOOKUP(Tabla4[[#This Row],[SERVICIO 2025]],$J$2:$V$14,3,0)*Tabla4[[#This Row],[TOTAL COBERTURA]])</f>
        <v>4121376</v>
      </c>
      <c r="AY924" s="35">
        <f>(VLOOKUP(Tabla4[[#This Row],[SERVICIO 2025]],$J$2:$V$14,3,0)*Tabla4[[#This Row],[TOTAL COBERTURA]])</f>
        <v>4121376</v>
      </c>
      <c r="AZ924" s="35">
        <f>(VLOOKUP(Tabla4[[#This Row],[SERVICIO 2025]],$J$2:$V$14,3,0)*Tabla4[[#This Row],[TOTAL COBERTURA]])</f>
        <v>4121376</v>
      </c>
      <c r="BA924" s="35">
        <f>(VLOOKUP(Tabla4[[#This Row],[SERVICIO 2025]],$J$2:$V$14,3,0)*Tabla4[[#This Row],[TOTAL COBERTURA]])+Tabla4[[#This Row],[VALOR FASE PREPARATORIA DE CIERRE]]</f>
        <v>4777840</v>
      </c>
      <c r="BB924" s="35">
        <f>SUM(Tabla4[[#This Row],[DESEMBOLSO 1]:[DESEMBOLSO 8]])</f>
        <v>34883088</v>
      </c>
      <c r="BC924" s="35">
        <f>VLOOKUP(Tabla4[[#This Row],[SERVICIO 2025]],$J$2:$V$14,10,0)*Tabla4[[#This Row],[TOTAL COBERTURA]]*$W$3</f>
        <v>23089024</v>
      </c>
      <c r="BD924" s="47" t="s">
        <v>211</v>
      </c>
      <c r="BE924" s="12" t="b">
        <f>EXACT(Tabla4[[#This Row],[VALOR ATENCIÓN (8 MESES)]],Tabla4[[#This Row],[VALOR TOTAL]])</f>
        <v>1</v>
      </c>
      <c r="BF924" s="23">
        <f>Tabla4[[#This Row],[VALOR ATENCIÓN (8 MESES)]]-Tabla4[[#This Row],[VALOR TOTAL]]</f>
        <v>0</v>
      </c>
      <c r="BG924" s="12" t="b">
        <f>EXACT(Tabla4[[#This Row],[TOTAL DESEMBOLSOS]],Tabla4[[#This Row],[VALOR ATENCIÓN (8 MESES)]])</f>
        <v>1</v>
      </c>
      <c r="BH924" s="29">
        <f>Tabla4[[#This Row],[TOTAL DESEMBOLSOS]]-Tabla4[[#This Row],[VALOR ATENCIÓN (8 MESES)]]</f>
        <v>0</v>
      </c>
      <c r="BI924" t="s">
        <v>98</v>
      </c>
      <c r="BJ924">
        <v>1981</v>
      </c>
    </row>
    <row r="925" spans="1:62">
      <c r="A925" s="13">
        <v>1981</v>
      </c>
      <c r="B925" s="13" t="s">
        <v>2036</v>
      </c>
      <c r="C925" s="12" t="s">
        <v>87</v>
      </c>
      <c r="D925" s="12" t="s">
        <v>673</v>
      </c>
      <c r="E925" s="12" t="s">
        <v>2028</v>
      </c>
      <c r="F925" s="12" t="s">
        <v>18</v>
      </c>
      <c r="G925" s="12" t="s">
        <v>90</v>
      </c>
      <c r="H925" s="12" t="s">
        <v>2050</v>
      </c>
      <c r="I925" s="12">
        <v>56041134714</v>
      </c>
      <c r="J925" s="12" t="s">
        <v>2051</v>
      </c>
      <c r="K925" s="12">
        <v>1</v>
      </c>
      <c r="L925" s="12">
        <v>19</v>
      </c>
      <c r="M925" s="12"/>
      <c r="N925" s="13">
        <v>1981</v>
      </c>
      <c r="O925" s="12" t="s">
        <v>93</v>
      </c>
      <c r="P925" s="12"/>
      <c r="Q925" s="12"/>
      <c r="R925" s="12" t="s">
        <v>94</v>
      </c>
      <c r="S925" s="12">
        <v>10</v>
      </c>
      <c r="T925" s="12" t="s">
        <v>2039</v>
      </c>
      <c r="U925" s="12" t="s">
        <v>2040</v>
      </c>
      <c r="V925" s="12">
        <f>VLOOKUP(Tabla4[[#This Row],[ZONA DEFINITIVO]],Hoja1!$A$1:$D$121,3,0)</f>
        <v>229138</v>
      </c>
      <c r="W925" s="12">
        <f>VLOOKUP(Tabla4[[#This Row],[ZONA DEFINITIVO]],Hoja1!$A$1:$D$121,2,0)</f>
        <v>15242</v>
      </c>
      <c r="X925" s="12">
        <f>VLOOKUP(Tabla4[[#This Row],[ZONA DEFINITIVO]],Hoja1!$A$1:$D$121,4,0)</f>
        <v>88525</v>
      </c>
      <c r="Y925" s="12" t="str">
        <f>+IF(Tabla4[[#This Row],[AGRUPACIONES]]=1,SUMIFS(Tabla4[UDS],Tabla4[ZONA DEFINITIVO],Tabla4[[#This Row],[ZONA DEFINITIVO]])," ")</f>
        <v xml:space="preserve"> </v>
      </c>
      <c r="Z925" s="12" t="str">
        <f>+IF(Tabla4[[#This Row],[AGRUPACIONES]]=1,SUMIFS(Tabla4[TOTAL COBERTURA],Tabla4[ZONA DEFINITIVO],Tabla4[[#This Row],[ZONA DEFINITIVO]])," ")</f>
        <v xml:space="preserve"> </v>
      </c>
      <c r="AA925" s="12"/>
      <c r="AB925" s="38">
        <v>41423667</v>
      </c>
      <c r="AC925" s="37">
        <v>0.02</v>
      </c>
      <c r="AD925" s="38">
        <f t="shared" si="15"/>
        <v>828473.34</v>
      </c>
      <c r="AE925" s="12"/>
      <c r="AF925" s="12">
        <f>COUNTIF($A$20:A925,A925)</f>
        <v>7</v>
      </c>
      <c r="AG925" s="38">
        <v>41423667</v>
      </c>
      <c r="AH925" s="38">
        <f>Tabla4[[#This Row],[VALOR CONTRAPARTIDA]]+Tabla4[[#This Row],[TOTAL APORTES ICBF]]</f>
        <v>42252140.340000004</v>
      </c>
      <c r="AI925" s="35"/>
      <c r="AJ925" s="38"/>
      <c r="AK925" s="38"/>
      <c r="AL925" s="23"/>
      <c r="AM925" s="35">
        <f>VLOOKUP(Tabla4[[#This Row],[SERVICIO 2025]],$J$2:$V$14,5,0)*Tabla4[[#This Row],[TOTAL COBERTURA]]</f>
        <v>938144</v>
      </c>
      <c r="AN925" s="35">
        <f>VLOOKUP(Tabla4[[#This Row],[SERVICIO 2025]],$J$2:$V$14,6,0)*Tabla4[[#This Row],[TOTAL COBERTURA]]</f>
        <v>779551</v>
      </c>
      <c r="AO925" s="35">
        <f>VLOOKUP(Tabla4[[#This Row],[SERVICIO 2025]],$J$2:$V$14,8,0)*Tabla4[[#This Row],[TOTAL COBERTURA]]</f>
        <v>552900</v>
      </c>
      <c r="AP925" s="35">
        <f>VLOOKUP(Tabla4[[#This Row],[SERVICIO 2025]],$J$2:$V$14,3,0)*Tabla4[[#This Row],[TOTAL COBERTURA]]*8</f>
        <v>39153072</v>
      </c>
      <c r="AQ925" s="35"/>
      <c r="AR925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925" s="35" t="str">
        <f>+IF(Tabla4[[#This Row],[AGRUPACIONES]]=1,SUMIFS(Tabla4[VALOR TOTAL],Tabla4[ZONA DEFINITIVO],Tabla4[[#This Row],[ZONA DEFINITIVO]])," ")</f>
        <v xml:space="preserve"> </v>
      </c>
      <c r="AT925" s="27">
        <f>(VLOOKUP(Tabla4[[#This Row],[SERVICIO 2025]],$J$2:$V$14,3,0)*Tabla4[[#This Row],[TOTAL COBERTURA]])+Tabla4[[#This Row],[VALOR FASE PREPARATORIA DE ALISTAMIENTO]]+Tabla4[[#This Row],[DOTACIÓN ÚNICA]]</f>
        <v>6385178</v>
      </c>
      <c r="AU925" s="35">
        <f>(VLOOKUP(Tabla4[[#This Row],[SERVICIO 2025]],$J$2:$V$14,3,0)*Tabla4[[#This Row],[TOTAL COBERTURA]])</f>
        <v>4894134</v>
      </c>
      <c r="AV925" s="35">
        <f>(VLOOKUP(Tabla4[[#This Row],[SERVICIO 2025]],$J$2:$V$14,3,0)*Tabla4[[#This Row],[TOTAL COBERTURA]])</f>
        <v>4894134</v>
      </c>
      <c r="AW925" s="35">
        <f>(VLOOKUP(Tabla4[[#This Row],[SERVICIO 2025]],$J$2:$V$14,3,0)*Tabla4[[#This Row],[TOTAL COBERTURA]])</f>
        <v>4894134</v>
      </c>
      <c r="AX925" s="35">
        <f>(VLOOKUP(Tabla4[[#This Row],[SERVICIO 2025]],$J$2:$V$14,3,0)*Tabla4[[#This Row],[TOTAL COBERTURA]])</f>
        <v>4894134</v>
      </c>
      <c r="AY925" s="35">
        <f>(VLOOKUP(Tabla4[[#This Row],[SERVICIO 2025]],$J$2:$V$14,3,0)*Tabla4[[#This Row],[TOTAL COBERTURA]])</f>
        <v>4894134</v>
      </c>
      <c r="AZ925" s="35">
        <f>(VLOOKUP(Tabla4[[#This Row],[SERVICIO 2025]],$J$2:$V$14,3,0)*Tabla4[[#This Row],[TOTAL COBERTURA]])</f>
        <v>4894134</v>
      </c>
      <c r="BA925" s="35">
        <f>(VLOOKUP(Tabla4[[#This Row],[SERVICIO 2025]],$J$2:$V$14,3,0)*Tabla4[[#This Row],[TOTAL COBERTURA]])+Tabla4[[#This Row],[VALOR FASE PREPARATORIA DE CIERRE]]</f>
        <v>5673685</v>
      </c>
      <c r="BB925" s="35">
        <f>SUM(Tabla4[[#This Row],[DESEMBOLSO 1]:[DESEMBOLSO 8]])</f>
        <v>41423667</v>
      </c>
      <c r="BC925" s="35">
        <f>VLOOKUP(Tabla4[[#This Row],[SERVICIO 2025]],$J$2:$V$14,10,0)*Tabla4[[#This Row],[TOTAL COBERTURA]]*$W$3</f>
        <v>27418216</v>
      </c>
      <c r="BD925" s="47" t="s">
        <v>211</v>
      </c>
      <c r="BE925" s="12" t="b">
        <f>EXACT(Tabla4[[#This Row],[VALOR ATENCIÓN (8 MESES)]],Tabla4[[#This Row],[VALOR TOTAL]])</f>
        <v>1</v>
      </c>
      <c r="BF925" s="23">
        <f>Tabla4[[#This Row],[VALOR ATENCIÓN (8 MESES)]]-Tabla4[[#This Row],[VALOR TOTAL]]</f>
        <v>0</v>
      </c>
      <c r="BG925" s="12" t="b">
        <f>EXACT(Tabla4[[#This Row],[TOTAL DESEMBOLSOS]],Tabla4[[#This Row],[VALOR ATENCIÓN (8 MESES)]])</f>
        <v>1</v>
      </c>
      <c r="BH925" s="29">
        <f>Tabla4[[#This Row],[TOTAL DESEMBOLSOS]]-Tabla4[[#This Row],[VALOR ATENCIÓN (8 MESES)]]</f>
        <v>0</v>
      </c>
      <c r="BI925" t="s">
        <v>98</v>
      </c>
      <c r="BJ925">
        <v>1981</v>
      </c>
    </row>
    <row r="926" spans="1:62">
      <c r="A926" s="13">
        <v>1981</v>
      </c>
      <c r="B926" s="13" t="s">
        <v>2036</v>
      </c>
      <c r="C926" s="12" t="s">
        <v>87</v>
      </c>
      <c r="D926" s="12" t="s">
        <v>673</v>
      </c>
      <c r="E926" s="12" t="s">
        <v>2028</v>
      </c>
      <c r="F926" s="12" t="s">
        <v>18</v>
      </c>
      <c r="G926" s="12" t="s">
        <v>90</v>
      </c>
      <c r="H926" s="12" t="s">
        <v>2052</v>
      </c>
      <c r="I926" s="12">
        <v>56041134716</v>
      </c>
      <c r="J926" s="12" t="s">
        <v>2053</v>
      </c>
      <c r="K926" s="12">
        <v>1</v>
      </c>
      <c r="L926" s="12">
        <v>50</v>
      </c>
      <c r="M926" s="12"/>
      <c r="N926" s="13">
        <v>1981</v>
      </c>
      <c r="O926" s="12" t="s">
        <v>93</v>
      </c>
      <c r="P926" s="12"/>
      <c r="Q926" s="12"/>
      <c r="R926" s="12" t="s">
        <v>94</v>
      </c>
      <c r="S926" s="12">
        <v>10</v>
      </c>
      <c r="T926" s="12" t="s">
        <v>2039</v>
      </c>
      <c r="U926" s="12" t="s">
        <v>2040</v>
      </c>
      <c r="V926" s="12">
        <f>VLOOKUP(Tabla4[[#This Row],[ZONA DEFINITIVO]],Hoja1!$A$1:$D$121,3,0)</f>
        <v>229138</v>
      </c>
      <c r="W926" s="12">
        <f>VLOOKUP(Tabla4[[#This Row],[ZONA DEFINITIVO]],Hoja1!$A$1:$D$121,2,0)</f>
        <v>15242</v>
      </c>
      <c r="X926" s="12">
        <f>VLOOKUP(Tabla4[[#This Row],[ZONA DEFINITIVO]],Hoja1!$A$1:$D$121,4,0)</f>
        <v>88525</v>
      </c>
      <c r="Y926" s="12" t="str">
        <f>+IF(Tabla4[[#This Row],[AGRUPACIONES]]=1,SUMIFS(Tabla4[UDS],Tabla4[ZONA DEFINITIVO],Tabla4[[#This Row],[ZONA DEFINITIVO]])," ")</f>
        <v xml:space="preserve"> </v>
      </c>
      <c r="Z926" s="12" t="str">
        <f>+IF(Tabla4[[#This Row],[AGRUPACIONES]]=1,SUMIFS(Tabla4[TOTAL COBERTURA],Tabla4[ZONA DEFINITIVO],Tabla4[[#This Row],[ZONA DEFINITIVO]])," ")</f>
        <v xml:space="preserve"> </v>
      </c>
      <c r="AA926" s="12"/>
      <c r="AB926" s="38">
        <v>109009650</v>
      </c>
      <c r="AC926" s="37">
        <v>0.02</v>
      </c>
      <c r="AD926" s="38">
        <f t="shared" si="15"/>
        <v>2180193</v>
      </c>
      <c r="AE926" s="12"/>
      <c r="AF926" s="12">
        <f>COUNTIF($A$20:A926,A926)</f>
        <v>8</v>
      </c>
      <c r="AG926" s="38">
        <v>109009650</v>
      </c>
      <c r="AH926" s="38">
        <f>Tabla4[[#This Row],[VALOR CONTRAPARTIDA]]+Tabla4[[#This Row],[TOTAL APORTES ICBF]]</f>
        <v>111189843</v>
      </c>
      <c r="AI926" s="35"/>
      <c r="AJ926" s="38"/>
      <c r="AK926" s="38"/>
      <c r="AL926" s="23"/>
      <c r="AM926" s="35">
        <f>VLOOKUP(Tabla4[[#This Row],[SERVICIO 2025]],$J$2:$V$14,5,0)*Tabla4[[#This Row],[TOTAL COBERTURA]]</f>
        <v>2468800</v>
      </c>
      <c r="AN926" s="35">
        <f>VLOOKUP(Tabla4[[#This Row],[SERVICIO 2025]],$J$2:$V$14,6,0)*Tabla4[[#This Row],[TOTAL COBERTURA]]</f>
        <v>2051450</v>
      </c>
      <c r="AO926" s="35">
        <f>VLOOKUP(Tabla4[[#This Row],[SERVICIO 2025]],$J$2:$V$14,8,0)*Tabla4[[#This Row],[TOTAL COBERTURA]]</f>
        <v>1455000</v>
      </c>
      <c r="AP926" s="35">
        <f>VLOOKUP(Tabla4[[#This Row],[SERVICIO 2025]],$J$2:$V$14,3,0)*Tabla4[[#This Row],[TOTAL COBERTURA]]*8</f>
        <v>103034400</v>
      </c>
      <c r="AQ926" s="35"/>
      <c r="AR926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26" s="35" t="str">
        <f>+IF(Tabla4[[#This Row],[AGRUPACIONES]]=1,SUMIFS(Tabla4[VALOR TOTAL],Tabla4[ZONA DEFINITIVO],Tabla4[[#This Row],[ZONA DEFINITIVO]])," ")</f>
        <v xml:space="preserve"> </v>
      </c>
      <c r="AT926" s="27">
        <f>(VLOOKUP(Tabla4[[#This Row],[SERVICIO 2025]],$J$2:$V$14,3,0)*Tabla4[[#This Row],[TOTAL COBERTURA]])+Tabla4[[#This Row],[VALOR FASE PREPARATORIA DE ALISTAMIENTO]]+Tabla4[[#This Row],[DOTACIÓN ÚNICA]]</f>
        <v>16803100</v>
      </c>
      <c r="AU926" s="35">
        <f>(VLOOKUP(Tabla4[[#This Row],[SERVICIO 2025]],$J$2:$V$14,3,0)*Tabla4[[#This Row],[TOTAL COBERTURA]])</f>
        <v>12879300</v>
      </c>
      <c r="AV926" s="35">
        <f>(VLOOKUP(Tabla4[[#This Row],[SERVICIO 2025]],$J$2:$V$14,3,0)*Tabla4[[#This Row],[TOTAL COBERTURA]])</f>
        <v>12879300</v>
      </c>
      <c r="AW926" s="35">
        <f>(VLOOKUP(Tabla4[[#This Row],[SERVICIO 2025]],$J$2:$V$14,3,0)*Tabla4[[#This Row],[TOTAL COBERTURA]])</f>
        <v>12879300</v>
      </c>
      <c r="AX926" s="35">
        <f>(VLOOKUP(Tabla4[[#This Row],[SERVICIO 2025]],$J$2:$V$14,3,0)*Tabla4[[#This Row],[TOTAL COBERTURA]])</f>
        <v>12879300</v>
      </c>
      <c r="AY926" s="35">
        <f>(VLOOKUP(Tabla4[[#This Row],[SERVICIO 2025]],$J$2:$V$14,3,0)*Tabla4[[#This Row],[TOTAL COBERTURA]])</f>
        <v>12879300</v>
      </c>
      <c r="AZ926" s="35">
        <f>(VLOOKUP(Tabla4[[#This Row],[SERVICIO 2025]],$J$2:$V$14,3,0)*Tabla4[[#This Row],[TOTAL COBERTURA]])</f>
        <v>12879300</v>
      </c>
      <c r="BA926" s="35">
        <f>(VLOOKUP(Tabla4[[#This Row],[SERVICIO 2025]],$J$2:$V$14,3,0)*Tabla4[[#This Row],[TOTAL COBERTURA]])+Tabla4[[#This Row],[VALOR FASE PREPARATORIA DE CIERRE]]</f>
        <v>14930750</v>
      </c>
      <c r="BB926" s="35">
        <f>SUM(Tabla4[[#This Row],[DESEMBOLSO 1]:[DESEMBOLSO 8]])</f>
        <v>109009650</v>
      </c>
      <c r="BC926" s="35">
        <f>VLOOKUP(Tabla4[[#This Row],[SERVICIO 2025]],$J$2:$V$14,10,0)*Tabla4[[#This Row],[TOTAL COBERTURA]]*$W$3</f>
        <v>72153200</v>
      </c>
      <c r="BD926" s="47" t="s">
        <v>211</v>
      </c>
      <c r="BE926" s="12" t="b">
        <f>EXACT(Tabla4[[#This Row],[VALOR ATENCIÓN (8 MESES)]],Tabla4[[#This Row],[VALOR TOTAL]])</f>
        <v>1</v>
      </c>
      <c r="BF926" s="23">
        <f>Tabla4[[#This Row],[VALOR ATENCIÓN (8 MESES)]]-Tabla4[[#This Row],[VALOR TOTAL]]</f>
        <v>0</v>
      </c>
      <c r="BG926" s="12" t="b">
        <f>EXACT(Tabla4[[#This Row],[TOTAL DESEMBOLSOS]],Tabla4[[#This Row],[VALOR ATENCIÓN (8 MESES)]])</f>
        <v>1</v>
      </c>
      <c r="BH926" s="29">
        <f>Tabla4[[#This Row],[TOTAL DESEMBOLSOS]]-Tabla4[[#This Row],[VALOR ATENCIÓN (8 MESES)]]</f>
        <v>0</v>
      </c>
      <c r="BI926" t="s">
        <v>98</v>
      </c>
      <c r="BJ926">
        <v>1981</v>
      </c>
    </row>
    <row r="927" spans="1:62">
      <c r="A927" s="13">
        <v>1981</v>
      </c>
      <c r="B927" s="13" t="s">
        <v>2036</v>
      </c>
      <c r="C927" s="12" t="s">
        <v>87</v>
      </c>
      <c r="D927" s="12" t="s">
        <v>673</v>
      </c>
      <c r="E927" s="12" t="s">
        <v>2028</v>
      </c>
      <c r="F927" s="12" t="s">
        <v>18</v>
      </c>
      <c r="G927" s="12" t="s">
        <v>90</v>
      </c>
      <c r="H927" s="12" t="s">
        <v>2029</v>
      </c>
      <c r="I927" s="12">
        <v>56041134720</v>
      </c>
      <c r="J927" s="12" t="s">
        <v>2054</v>
      </c>
      <c r="K927" s="12">
        <v>1</v>
      </c>
      <c r="L927" s="12">
        <v>35</v>
      </c>
      <c r="M927" s="12"/>
      <c r="N927" s="13">
        <v>1981</v>
      </c>
      <c r="O927" s="12" t="s">
        <v>93</v>
      </c>
      <c r="P927" s="12"/>
      <c r="Q927" s="12"/>
      <c r="R927" s="12" t="s">
        <v>94</v>
      </c>
      <c r="S927" s="12">
        <v>10</v>
      </c>
      <c r="T927" s="12" t="s">
        <v>2039</v>
      </c>
      <c r="U927" s="12" t="s">
        <v>2040</v>
      </c>
      <c r="V927" s="12">
        <f>VLOOKUP(Tabla4[[#This Row],[ZONA DEFINITIVO]],Hoja1!$A$1:$D$121,3,0)</f>
        <v>229138</v>
      </c>
      <c r="W927" s="12">
        <f>VLOOKUP(Tabla4[[#This Row],[ZONA DEFINITIVO]],Hoja1!$A$1:$D$121,2,0)</f>
        <v>15242</v>
      </c>
      <c r="X927" s="12">
        <f>VLOOKUP(Tabla4[[#This Row],[ZONA DEFINITIVO]],Hoja1!$A$1:$D$121,4,0)</f>
        <v>88525</v>
      </c>
      <c r="Y927" s="12" t="str">
        <f>+IF(Tabla4[[#This Row],[AGRUPACIONES]]=1,SUMIFS(Tabla4[UDS],Tabla4[ZONA DEFINITIVO],Tabla4[[#This Row],[ZONA DEFINITIVO]])," ")</f>
        <v xml:space="preserve"> </v>
      </c>
      <c r="Z927" s="12" t="str">
        <f>+IF(Tabla4[[#This Row],[AGRUPACIONES]]=1,SUMIFS(Tabla4[TOTAL COBERTURA],Tabla4[ZONA DEFINITIVO],Tabla4[[#This Row],[ZONA DEFINITIVO]])," ")</f>
        <v xml:space="preserve"> </v>
      </c>
      <c r="AA927" s="12"/>
      <c r="AB927" s="38">
        <v>76306755</v>
      </c>
      <c r="AC927" s="37">
        <v>0.02</v>
      </c>
      <c r="AD927" s="38">
        <f t="shared" si="15"/>
        <v>1526135.1</v>
      </c>
      <c r="AE927" s="12"/>
      <c r="AF927" s="12">
        <f>COUNTIF($A$20:A927,A927)</f>
        <v>9</v>
      </c>
      <c r="AG927" s="38">
        <v>76306755</v>
      </c>
      <c r="AH927" s="38">
        <f>Tabla4[[#This Row],[VALOR CONTRAPARTIDA]]+Tabla4[[#This Row],[TOTAL APORTES ICBF]]</f>
        <v>77832890.099999994</v>
      </c>
      <c r="AI927" s="35"/>
      <c r="AJ927" s="38"/>
      <c r="AK927" s="38"/>
      <c r="AL927" s="23"/>
      <c r="AM927" s="35">
        <f>VLOOKUP(Tabla4[[#This Row],[SERVICIO 2025]],$J$2:$V$14,5,0)*Tabla4[[#This Row],[TOTAL COBERTURA]]</f>
        <v>1728160</v>
      </c>
      <c r="AN927" s="35">
        <f>VLOOKUP(Tabla4[[#This Row],[SERVICIO 2025]],$J$2:$V$14,6,0)*Tabla4[[#This Row],[TOTAL COBERTURA]]</f>
        <v>1436015</v>
      </c>
      <c r="AO927" s="35">
        <f>VLOOKUP(Tabla4[[#This Row],[SERVICIO 2025]],$J$2:$V$14,8,0)*Tabla4[[#This Row],[TOTAL COBERTURA]]</f>
        <v>1018500</v>
      </c>
      <c r="AP927" s="35">
        <f>VLOOKUP(Tabla4[[#This Row],[SERVICIO 2025]],$J$2:$V$14,3,0)*Tabla4[[#This Row],[TOTAL COBERTURA]]*8</f>
        <v>72124080</v>
      </c>
      <c r="AQ927" s="35"/>
      <c r="AR927" s="35">
        <f>Tabla4[[#This Row],[VALOR FASE PREPARATORIA DE ALISTAMIENTO]]+Tabla4[[#This Row],[VALOR FASE PREPARATORIA DE CIERRE]]+Tabla4[[#This Row],[DOTACIÓN ÚNICA]]+Tabla4[[#This Row],[VALOR ATENCIÓN]]+Tabla4[[#This Row],[VALOR RACION PREPARADA]]</f>
        <v>76306755</v>
      </c>
      <c r="AS927" s="35" t="str">
        <f>+IF(Tabla4[[#This Row],[AGRUPACIONES]]=1,SUMIFS(Tabla4[VALOR TOTAL],Tabla4[ZONA DEFINITIVO],Tabla4[[#This Row],[ZONA DEFINITIVO]])," ")</f>
        <v xml:space="preserve"> </v>
      </c>
      <c r="AT927" s="27">
        <f>(VLOOKUP(Tabla4[[#This Row],[SERVICIO 2025]],$J$2:$V$14,3,0)*Tabla4[[#This Row],[TOTAL COBERTURA]])+Tabla4[[#This Row],[VALOR FASE PREPARATORIA DE ALISTAMIENTO]]+Tabla4[[#This Row],[DOTACIÓN ÚNICA]]</f>
        <v>11762170</v>
      </c>
      <c r="AU927" s="35">
        <f>(VLOOKUP(Tabla4[[#This Row],[SERVICIO 2025]],$J$2:$V$14,3,0)*Tabla4[[#This Row],[TOTAL COBERTURA]])</f>
        <v>9015510</v>
      </c>
      <c r="AV927" s="35">
        <f>(VLOOKUP(Tabla4[[#This Row],[SERVICIO 2025]],$J$2:$V$14,3,0)*Tabla4[[#This Row],[TOTAL COBERTURA]])</f>
        <v>9015510</v>
      </c>
      <c r="AW927" s="35">
        <f>(VLOOKUP(Tabla4[[#This Row],[SERVICIO 2025]],$J$2:$V$14,3,0)*Tabla4[[#This Row],[TOTAL COBERTURA]])</f>
        <v>9015510</v>
      </c>
      <c r="AX927" s="35">
        <f>(VLOOKUP(Tabla4[[#This Row],[SERVICIO 2025]],$J$2:$V$14,3,0)*Tabla4[[#This Row],[TOTAL COBERTURA]])</f>
        <v>9015510</v>
      </c>
      <c r="AY927" s="35">
        <f>(VLOOKUP(Tabla4[[#This Row],[SERVICIO 2025]],$J$2:$V$14,3,0)*Tabla4[[#This Row],[TOTAL COBERTURA]])</f>
        <v>9015510</v>
      </c>
      <c r="AZ927" s="35">
        <f>(VLOOKUP(Tabla4[[#This Row],[SERVICIO 2025]],$J$2:$V$14,3,0)*Tabla4[[#This Row],[TOTAL COBERTURA]])</f>
        <v>9015510</v>
      </c>
      <c r="BA927" s="35">
        <f>(VLOOKUP(Tabla4[[#This Row],[SERVICIO 2025]],$J$2:$V$14,3,0)*Tabla4[[#This Row],[TOTAL COBERTURA]])+Tabla4[[#This Row],[VALOR FASE PREPARATORIA DE CIERRE]]</f>
        <v>10451525</v>
      </c>
      <c r="BB927" s="35">
        <f>SUM(Tabla4[[#This Row],[DESEMBOLSO 1]:[DESEMBOLSO 8]])</f>
        <v>76306755</v>
      </c>
      <c r="BC927" s="35">
        <f>VLOOKUP(Tabla4[[#This Row],[SERVICIO 2025]],$J$2:$V$14,10,0)*Tabla4[[#This Row],[TOTAL COBERTURA]]*$W$3</f>
        <v>50507240</v>
      </c>
      <c r="BD927" s="47" t="s">
        <v>211</v>
      </c>
      <c r="BE927" s="12" t="b">
        <f>EXACT(Tabla4[[#This Row],[VALOR ATENCIÓN (8 MESES)]],Tabla4[[#This Row],[VALOR TOTAL]])</f>
        <v>1</v>
      </c>
      <c r="BF927" s="23">
        <f>Tabla4[[#This Row],[VALOR ATENCIÓN (8 MESES)]]-Tabla4[[#This Row],[VALOR TOTAL]]</f>
        <v>0</v>
      </c>
      <c r="BG927" s="12" t="b">
        <f>EXACT(Tabla4[[#This Row],[TOTAL DESEMBOLSOS]],Tabla4[[#This Row],[VALOR ATENCIÓN (8 MESES)]])</f>
        <v>1</v>
      </c>
      <c r="BH927" s="29">
        <f>Tabla4[[#This Row],[TOTAL DESEMBOLSOS]]-Tabla4[[#This Row],[VALOR ATENCIÓN (8 MESES)]]</f>
        <v>0</v>
      </c>
      <c r="BI927" t="s">
        <v>98</v>
      </c>
      <c r="BJ927">
        <v>1981</v>
      </c>
    </row>
    <row r="928" spans="1:62">
      <c r="A928" s="13">
        <v>1981</v>
      </c>
      <c r="B928" s="13" t="s">
        <v>2036</v>
      </c>
      <c r="C928" s="12" t="s">
        <v>87</v>
      </c>
      <c r="D928" s="12" t="s">
        <v>673</v>
      </c>
      <c r="E928" s="12" t="s">
        <v>2028</v>
      </c>
      <c r="F928" s="12" t="s">
        <v>18</v>
      </c>
      <c r="G928" s="12" t="s">
        <v>90</v>
      </c>
      <c r="H928" s="12" t="s">
        <v>2055</v>
      </c>
      <c r="I928" s="12">
        <v>56041134724</v>
      </c>
      <c r="J928" s="12" t="s">
        <v>2056</v>
      </c>
      <c r="K928" s="12">
        <v>1</v>
      </c>
      <c r="L928" s="12">
        <v>50</v>
      </c>
      <c r="M928" s="12"/>
      <c r="N928" s="13">
        <v>1981</v>
      </c>
      <c r="O928" s="12" t="s">
        <v>93</v>
      </c>
      <c r="P928" s="12"/>
      <c r="Q928" s="12"/>
      <c r="R928" s="12" t="s">
        <v>94</v>
      </c>
      <c r="S928" s="12">
        <v>10</v>
      </c>
      <c r="T928" s="12" t="s">
        <v>2039</v>
      </c>
      <c r="U928" s="12" t="s">
        <v>2040</v>
      </c>
      <c r="V928" s="12">
        <f>VLOOKUP(Tabla4[[#This Row],[ZONA DEFINITIVO]],Hoja1!$A$1:$D$121,3,0)</f>
        <v>229138</v>
      </c>
      <c r="W928" s="12">
        <f>VLOOKUP(Tabla4[[#This Row],[ZONA DEFINITIVO]],Hoja1!$A$1:$D$121,2,0)</f>
        <v>15242</v>
      </c>
      <c r="X928" s="12">
        <f>VLOOKUP(Tabla4[[#This Row],[ZONA DEFINITIVO]],Hoja1!$A$1:$D$121,4,0)</f>
        <v>88525</v>
      </c>
      <c r="Y928" s="12" t="str">
        <f>+IF(Tabla4[[#This Row],[AGRUPACIONES]]=1,SUMIFS(Tabla4[UDS],Tabla4[ZONA DEFINITIVO],Tabla4[[#This Row],[ZONA DEFINITIVO]])," ")</f>
        <v xml:space="preserve"> </v>
      </c>
      <c r="Z928" s="12" t="str">
        <f>+IF(Tabla4[[#This Row],[AGRUPACIONES]]=1,SUMIFS(Tabla4[TOTAL COBERTURA],Tabla4[ZONA DEFINITIVO],Tabla4[[#This Row],[ZONA DEFINITIVO]])," ")</f>
        <v xml:space="preserve"> </v>
      </c>
      <c r="AA928" s="12"/>
      <c r="AB928" s="38">
        <v>109009650</v>
      </c>
      <c r="AC928" s="37">
        <v>0.02</v>
      </c>
      <c r="AD928" s="38">
        <f t="shared" si="15"/>
        <v>2180193</v>
      </c>
      <c r="AE928" s="12"/>
      <c r="AF928" s="12">
        <f>COUNTIF($A$20:A928,A928)</f>
        <v>10</v>
      </c>
      <c r="AG928" s="38">
        <v>109009650</v>
      </c>
      <c r="AH928" s="38">
        <f>Tabla4[[#This Row],[VALOR CONTRAPARTIDA]]+Tabla4[[#This Row],[TOTAL APORTES ICBF]]</f>
        <v>111189843</v>
      </c>
      <c r="AI928" s="35"/>
      <c r="AJ928" s="38"/>
      <c r="AK928" s="38"/>
      <c r="AL928" s="23"/>
      <c r="AM928" s="35">
        <f>VLOOKUP(Tabla4[[#This Row],[SERVICIO 2025]],$J$2:$V$14,5,0)*Tabla4[[#This Row],[TOTAL COBERTURA]]</f>
        <v>2468800</v>
      </c>
      <c r="AN928" s="35">
        <f>VLOOKUP(Tabla4[[#This Row],[SERVICIO 2025]],$J$2:$V$14,6,0)*Tabla4[[#This Row],[TOTAL COBERTURA]]</f>
        <v>2051450</v>
      </c>
      <c r="AO928" s="35">
        <f>VLOOKUP(Tabla4[[#This Row],[SERVICIO 2025]],$J$2:$V$14,8,0)*Tabla4[[#This Row],[TOTAL COBERTURA]]</f>
        <v>1455000</v>
      </c>
      <c r="AP928" s="35">
        <f>VLOOKUP(Tabla4[[#This Row],[SERVICIO 2025]],$J$2:$V$14,3,0)*Tabla4[[#This Row],[TOTAL COBERTURA]]*8</f>
        <v>103034400</v>
      </c>
      <c r="AQ928" s="35"/>
      <c r="AR928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28" s="35" t="str">
        <f>+IF(Tabla4[[#This Row],[AGRUPACIONES]]=1,SUMIFS(Tabla4[VALOR TOTAL],Tabla4[ZONA DEFINITIVO],Tabla4[[#This Row],[ZONA DEFINITIVO]])," ")</f>
        <v xml:space="preserve"> </v>
      </c>
      <c r="AT928" s="27">
        <f>(VLOOKUP(Tabla4[[#This Row],[SERVICIO 2025]],$J$2:$V$14,3,0)*Tabla4[[#This Row],[TOTAL COBERTURA]])+Tabla4[[#This Row],[VALOR FASE PREPARATORIA DE ALISTAMIENTO]]+Tabla4[[#This Row],[DOTACIÓN ÚNICA]]</f>
        <v>16803100</v>
      </c>
      <c r="AU928" s="35">
        <f>(VLOOKUP(Tabla4[[#This Row],[SERVICIO 2025]],$J$2:$V$14,3,0)*Tabla4[[#This Row],[TOTAL COBERTURA]])</f>
        <v>12879300</v>
      </c>
      <c r="AV928" s="35">
        <f>(VLOOKUP(Tabla4[[#This Row],[SERVICIO 2025]],$J$2:$V$14,3,0)*Tabla4[[#This Row],[TOTAL COBERTURA]])</f>
        <v>12879300</v>
      </c>
      <c r="AW928" s="35">
        <f>(VLOOKUP(Tabla4[[#This Row],[SERVICIO 2025]],$J$2:$V$14,3,0)*Tabla4[[#This Row],[TOTAL COBERTURA]])</f>
        <v>12879300</v>
      </c>
      <c r="AX928" s="35">
        <f>(VLOOKUP(Tabla4[[#This Row],[SERVICIO 2025]],$J$2:$V$14,3,0)*Tabla4[[#This Row],[TOTAL COBERTURA]])</f>
        <v>12879300</v>
      </c>
      <c r="AY928" s="35">
        <f>(VLOOKUP(Tabla4[[#This Row],[SERVICIO 2025]],$J$2:$V$14,3,0)*Tabla4[[#This Row],[TOTAL COBERTURA]])</f>
        <v>12879300</v>
      </c>
      <c r="AZ928" s="35">
        <f>(VLOOKUP(Tabla4[[#This Row],[SERVICIO 2025]],$J$2:$V$14,3,0)*Tabla4[[#This Row],[TOTAL COBERTURA]])</f>
        <v>12879300</v>
      </c>
      <c r="BA928" s="35">
        <f>(VLOOKUP(Tabla4[[#This Row],[SERVICIO 2025]],$J$2:$V$14,3,0)*Tabla4[[#This Row],[TOTAL COBERTURA]])+Tabla4[[#This Row],[VALOR FASE PREPARATORIA DE CIERRE]]</f>
        <v>14930750</v>
      </c>
      <c r="BB928" s="35">
        <f>SUM(Tabla4[[#This Row],[DESEMBOLSO 1]:[DESEMBOLSO 8]])</f>
        <v>109009650</v>
      </c>
      <c r="BC928" s="35">
        <f>VLOOKUP(Tabla4[[#This Row],[SERVICIO 2025]],$J$2:$V$14,10,0)*Tabla4[[#This Row],[TOTAL COBERTURA]]*$W$3</f>
        <v>72153200</v>
      </c>
      <c r="BD928" s="47" t="s">
        <v>211</v>
      </c>
      <c r="BE928" s="12" t="b">
        <f>EXACT(Tabla4[[#This Row],[VALOR ATENCIÓN (8 MESES)]],Tabla4[[#This Row],[VALOR TOTAL]])</f>
        <v>1</v>
      </c>
      <c r="BF928" s="23">
        <f>Tabla4[[#This Row],[VALOR ATENCIÓN (8 MESES)]]-Tabla4[[#This Row],[VALOR TOTAL]]</f>
        <v>0</v>
      </c>
      <c r="BG928" s="12" t="b">
        <f>EXACT(Tabla4[[#This Row],[TOTAL DESEMBOLSOS]],Tabla4[[#This Row],[VALOR ATENCIÓN (8 MESES)]])</f>
        <v>1</v>
      </c>
      <c r="BH928" s="29">
        <f>Tabla4[[#This Row],[TOTAL DESEMBOLSOS]]-Tabla4[[#This Row],[VALOR ATENCIÓN (8 MESES)]]</f>
        <v>0</v>
      </c>
      <c r="BI928" t="s">
        <v>98</v>
      </c>
      <c r="BJ928">
        <v>1981</v>
      </c>
    </row>
    <row r="929" spans="1:62">
      <c r="A929" s="13">
        <v>1981</v>
      </c>
      <c r="B929" s="13" t="s">
        <v>2036</v>
      </c>
      <c r="C929" s="12" t="s">
        <v>87</v>
      </c>
      <c r="D929" s="12" t="s">
        <v>673</v>
      </c>
      <c r="E929" s="12" t="s">
        <v>2028</v>
      </c>
      <c r="F929" s="12" t="s">
        <v>18</v>
      </c>
      <c r="G929" s="12" t="s">
        <v>90</v>
      </c>
      <c r="H929" s="12" t="s">
        <v>2057</v>
      </c>
      <c r="I929" s="12">
        <v>56041134733</v>
      </c>
      <c r="J929" s="12" t="s">
        <v>2058</v>
      </c>
      <c r="K929" s="12">
        <v>1</v>
      </c>
      <c r="L929" s="12">
        <v>26</v>
      </c>
      <c r="M929" s="12"/>
      <c r="N929" s="13">
        <v>1981</v>
      </c>
      <c r="O929" s="12" t="s">
        <v>93</v>
      </c>
      <c r="P929" s="12"/>
      <c r="Q929" s="12"/>
      <c r="R929" s="12" t="s">
        <v>94</v>
      </c>
      <c r="S929" s="12">
        <v>10</v>
      </c>
      <c r="T929" s="12" t="s">
        <v>2039</v>
      </c>
      <c r="U929" s="12" t="s">
        <v>2040</v>
      </c>
      <c r="V929" s="12">
        <f>VLOOKUP(Tabla4[[#This Row],[ZONA DEFINITIVO]],Hoja1!$A$1:$D$121,3,0)</f>
        <v>229138</v>
      </c>
      <c r="W929" s="12">
        <f>VLOOKUP(Tabla4[[#This Row],[ZONA DEFINITIVO]],Hoja1!$A$1:$D$121,2,0)</f>
        <v>15242</v>
      </c>
      <c r="X929" s="12">
        <f>VLOOKUP(Tabla4[[#This Row],[ZONA DEFINITIVO]],Hoja1!$A$1:$D$121,4,0)</f>
        <v>88525</v>
      </c>
      <c r="Y929" s="12" t="str">
        <f>+IF(Tabla4[[#This Row],[AGRUPACIONES]]=1,SUMIFS(Tabla4[UDS],Tabla4[ZONA DEFINITIVO],Tabla4[[#This Row],[ZONA DEFINITIVO]])," ")</f>
        <v xml:space="preserve"> </v>
      </c>
      <c r="Z929" s="12" t="str">
        <f>+IF(Tabla4[[#This Row],[AGRUPACIONES]]=1,SUMIFS(Tabla4[TOTAL COBERTURA],Tabla4[ZONA DEFINITIVO],Tabla4[[#This Row],[ZONA DEFINITIVO]])," ")</f>
        <v xml:space="preserve"> </v>
      </c>
      <c r="AA929" s="12"/>
      <c r="AB929" s="38">
        <v>56685018</v>
      </c>
      <c r="AC929" s="37">
        <v>0.02</v>
      </c>
      <c r="AD929" s="38">
        <f t="shared" si="15"/>
        <v>1133700.3600000001</v>
      </c>
      <c r="AE929" s="12"/>
      <c r="AF929" s="12">
        <f>COUNTIF($A$20:A929,A929)</f>
        <v>11</v>
      </c>
      <c r="AG929" s="38">
        <v>56685018</v>
      </c>
      <c r="AH929" s="38">
        <f>Tabla4[[#This Row],[VALOR CONTRAPARTIDA]]+Tabla4[[#This Row],[TOTAL APORTES ICBF]]</f>
        <v>57818718.359999999</v>
      </c>
      <c r="AI929" s="35"/>
      <c r="AJ929" s="38"/>
      <c r="AK929" s="38"/>
      <c r="AL929" s="23"/>
      <c r="AM929" s="35">
        <f>VLOOKUP(Tabla4[[#This Row],[SERVICIO 2025]],$J$2:$V$14,5,0)*Tabla4[[#This Row],[TOTAL COBERTURA]]</f>
        <v>1283776</v>
      </c>
      <c r="AN929" s="35">
        <f>VLOOKUP(Tabla4[[#This Row],[SERVICIO 2025]],$J$2:$V$14,6,0)*Tabla4[[#This Row],[TOTAL COBERTURA]]</f>
        <v>1066754</v>
      </c>
      <c r="AO929" s="35">
        <f>VLOOKUP(Tabla4[[#This Row],[SERVICIO 2025]],$J$2:$V$14,8,0)*Tabla4[[#This Row],[TOTAL COBERTURA]]</f>
        <v>756600</v>
      </c>
      <c r="AP929" s="35">
        <f>VLOOKUP(Tabla4[[#This Row],[SERVICIO 2025]],$J$2:$V$14,3,0)*Tabla4[[#This Row],[TOTAL COBERTURA]]*8</f>
        <v>53577888</v>
      </c>
      <c r="AQ929" s="35"/>
      <c r="AR929" s="35">
        <f>Tabla4[[#This Row],[VALOR FASE PREPARATORIA DE ALISTAMIENTO]]+Tabla4[[#This Row],[VALOR FASE PREPARATORIA DE CIERRE]]+Tabla4[[#This Row],[DOTACIÓN ÚNICA]]+Tabla4[[#This Row],[VALOR ATENCIÓN]]+Tabla4[[#This Row],[VALOR RACION PREPARADA]]</f>
        <v>56685018</v>
      </c>
      <c r="AS929" s="35" t="str">
        <f>+IF(Tabla4[[#This Row],[AGRUPACIONES]]=1,SUMIFS(Tabla4[VALOR TOTAL],Tabla4[ZONA DEFINITIVO],Tabla4[[#This Row],[ZONA DEFINITIVO]])," ")</f>
        <v xml:space="preserve"> </v>
      </c>
      <c r="AT929" s="27">
        <f>(VLOOKUP(Tabla4[[#This Row],[SERVICIO 2025]],$J$2:$V$14,3,0)*Tabla4[[#This Row],[TOTAL COBERTURA]])+Tabla4[[#This Row],[VALOR FASE PREPARATORIA DE ALISTAMIENTO]]+Tabla4[[#This Row],[DOTACIÓN ÚNICA]]</f>
        <v>8737612</v>
      </c>
      <c r="AU929" s="35">
        <f>(VLOOKUP(Tabla4[[#This Row],[SERVICIO 2025]],$J$2:$V$14,3,0)*Tabla4[[#This Row],[TOTAL COBERTURA]])</f>
        <v>6697236</v>
      </c>
      <c r="AV929" s="35">
        <f>(VLOOKUP(Tabla4[[#This Row],[SERVICIO 2025]],$J$2:$V$14,3,0)*Tabla4[[#This Row],[TOTAL COBERTURA]])</f>
        <v>6697236</v>
      </c>
      <c r="AW929" s="35">
        <f>(VLOOKUP(Tabla4[[#This Row],[SERVICIO 2025]],$J$2:$V$14,3,0)*Tabla4[[#This Row],[TOTAL COBERTURA]])</f>
        <v>6697236</v>
      </c>
      <c r="AX929" s="35">
        <f>(VLOOKUP(Tabla4[[#This Row],[SERVICIO 2025]],$J$2:$V$14,3,0)*Tabla4[[#This Row],[TOTAL COBERTURA]])</f>
        <v>6697236</v>
      </c>
      <c r="AY929" s="35">
        <f>(VLOOKUP(Tabla4[[#This Row],[SERVICIO 2025]],$J$2:$V$14,3,0)*Tabla4[[#This Row],[TOTAL COBERTURA]])</f>
        <v>6697236</v>
      </c>
      <c r="AZ929" s="35">
        <f>(VLOOKUP(Tabla4[[#This Row],[SERVICIO 2025]],$J$2:$V$14,3,0)*Tabla4[[#This Row],[TOTAL COBERTURA]])</f>
        <v>6697236</v>
      </c>
      <c r="BA929" s="35">
        <f>(VLOOKUP(Tabla4[[#This Row],[SERVICIO 2025]],$J$2:$V$14,3,0)*Tabla4[[#This Row],[TOTAL COBERTURA]])+Tabla4[[#This Row],[VALOR FASE PREPARATORIA DE CIERRE]]</f>
        <v>7763990</v>
      </c>
      <c r="BB929" s="35">
        <f>SUM(Tabla4[[#This Row],[DESEMBOLSO 1]:[DESEMBOLSO 8]])</f>
        <v>56685018</v>
      </c>
      <c r="BC929" s="35">
        <f>VLOOKUP(Tabla4[[#This Row],[SERVICIO 2025]],$J$2:$V$14,10,0)*Tabla4[[#This Row],[TOTAL COBERTURA]]*$W$3</f>
        <v>37519664</v>
      </c>
      <c r="BD929" s="47" t="s">
        <v>211</v>
      </c>
      <c r="BE929" s="12" t="b">
        <f>EXACT(Tabla4[[#This Row],[VALOR ATENCIÓN (8 MESES)]],Tabla4[[#This Row],[VALOR TOTAL]])</f>
        <v>1</v>
      </c>
      <c r="BF929" s="23">
        <f>Tabla4[[#This Row],[VALOR ATENCIÓN (8 MESES)]]-Tabla4[[#This Row],[VALOR TOTAL]]</f>
        <v>0</v>
      </c>
      <c r="BG929" s="12" t="b">
        <f>EXACT(Tabla4[[#This Row],[TOTAL DESEMBOLSOS]],Tabla4[[#This Row],[VALOR ATENCIÓN (8 MESES)]])</f>
        <v>1</v>
      </c>
      <c r="BH929" s="29">
        <f>Tabla4[[#This Row],[TOTAL DESEMBOLSOS]]-Tabla4[[#This Row],[VALOR ATENCIÓN (8 MESES)]]</f>
        <v>0</v>
      </c>
      <c r="BI929" t="s">
        <v>98</v>
      </c>
      <c r="BJ929">
        <v>1981</v>
      </c>
    </row>
    <row r="930" spans="1:62">
      <c r="A930" s="13">
        <v>1981</v>
      </c>
      <c r="B930" s="13" t="s">
        <v>2036</v>
      </c>
      <c r="C930" s="12" t="s">
        <v>87</v>
      </c>
      <c r="D930" s="12" t="s">
        <v>673</v>
      </c>
      <c r="E930" s="12" t="s">
        <v>2028</v>
      </c>
      <c r="F930" s="12" t="s">
        <v>18</v>
      </c>
      <c r="G930" s="12" t="s">
        <v>90</v>
      </c>
      <c r="H930" s="12" t="s">
        <v>2059</v>
      </c>
      <c r="I930" s="12">
        <v>56041134750</v>
      </c>
      <c r="J930" s="12" t="s">
        <v>2060</v>
      </c>
      <c r="K930" s="12">
        <v>1</v>
      </c>
      <c r="L930" s="12">
        <v>26</v>
      </c>
      <c r="M930" s="12"/>
      <c r="N930" s="13">
        <v>1981</v>
      </c>
      <c r="O930" s="12" t="s">
        <v>93</v>
      </c>
      <c r="P930" s="12"/>
      <c r="Q930" s="12"/>
      <c r="R930" s="12" t="s">
        <v>94</v>
      </c>
      <c r="S930" s="12">
        <v>10</v>
      </c>
      <c r="T930" s="12" t="s">
        <v>2039</v>
      </c>
      <c r="U930" s="12" t="s">
        <v>2040</v>
      </c>
      <c r="V930" s="12">
        <f>VLOOKUP(Tabla4[[#This Row],[ZONA DEFINITIVO]],Hoja1!$A$1:$D$121,3,0)</f>
        <v>229138</v>
      </c>
      <c r="W930" s="12">
        <f>VLOOKUP(Tabla4[[#This Row],[ZONA DEFINITIVO]],Hoja1!$A$1:$D$121,2,0)</f>
        <v>15242</v>
      </c>
      <c r="X930" s="12">
        <f>VLOOKUP(Tabla4[[#This Row],[ZONA DEFINITIVO]],Hoja1!$A$1:$D$121,4,0)</f>
        <v>88525</v>
      </c>
      <c r="Y930" s="12" t="str">
        <f>+IF(Tabla4[[#This Row],[AGRUPACIONES]]=1,SUMIFS(Tabla4[UDS],Tabla4[ZONA DEFINITIVO],Tabla4[[#This Row],[ZONA DEFINITIVO]])," ")</f>
        <v xml:space="preserve"> </v>
      </c>
      <c r="Z930" s="12" t="str">
        <f>+IF(Tabla4[[#This Row],[AGRUPACIONES]]=1,SUMIFS(Tabla4[TOTAL COBERTURA],Tabla4[ZONA DEFINITIVO],Tabla4[[#This Row],[ZONA DEFINITIVO]])," ")</f>
        <v xml:space="preserve"> </v>
      </c>
      <c r="AA930" s="12"/>
      <c r="AB930" s="38">
        <v>56685018</v>
      </c>
      <c r="AC930" s="37">
        <v>0.02</v>
      </c>
      <c r="AD930" s="38">
        <f t="shared" si="15"/>
        <v>1133700.3600000001</v>
      </c>
      <c r="AE930" s="12"/>
      <c r="AF930" s="12">
        <f>COUNTIF($A$20:A930,A930)</f>
        <v>12</v>
      </c>
      <c r="AG930" s="38">
        <v>56685018</v>
      </c>
      <c r="AH930" s="38">
        <f>Tabla4[[#This Row],[VALOR CONTRAPARTIDA]]+Tabla4[[#This Row],[TOTAL APORTES ICBF]]</f>
        <v>57818718.359999999</v>
      </c>
      <c r="AI930" s="35"/>
      <c r="AJ930" s="38"/>
      <c r="AK930" s="38"/>
      <c r="AL930" s="23"/>
      <c r="AM930" s="35">
        <f>VLOOKUP(Tabla4[[#This Row],[SERVICIO 2025]],$J$2:$V$14,5,0)*Tabla4[[#This Row],[TOTAL COBERTURA]]</f>
        <v>1283776</v>
      </c>
      <c r="AN930" s="35">
        <f>VLOOKUP(Tabla4[[#This Row],[SERVICIO 2025]],$J$2:$V$14,6,0)*Tabla4[[#This Row],[TOTAL COBERTURA]]</f>
        <v>1066754</v>
      </c>
      <c r="AO930" s="35">
        <f>VLOOKUP(Tabla4[[#This Row],[SERVICIO 2025]],$J$2:$V$14,8,0)*Tabla4[[#This Row],[TOTAL COBERTURA]]</f>
        <v>756600</v>
      </c>
      <c r="AP930" s="35">
        <f>VLOOKUP(Tabla4[[#This Row],[SERVICIO 2025]],$J$2:$V$14,3,0)*Tabla4[[#This Row],[TOTAL COBERTURA]]*8</f>
        <v>53577888</v>
      </c>
      <c r="AQ930" s="35"/>
      <c r="AR930" s="35">
        <f>Tabla4[[#This Row],[VALOR FASE PREPARATORIA DE ALISTAMIENTO]]+Tabla4[[#This Row],[VALOR FASE PREPARATORIA DE CIERRE]]+Tabla4[[#This Row],[DOTACIÓN ÚNICA]]+Tabla4[[#This Row],[VALOR ATENCIÓN]]+Tabla4[[#This Row],[VALOR RACION PREPARADA]]</f>
        <v>56685018</v>
      </c>
      <c r="AS930" s="35" t="str">
        <f>+IF(Tabla4[[#This Row],[AGRUPACIONES]]=1,SUMIFS(Tabla4[VALOR TOTAL],Tabla4[ZONA DEFINITIVO],Tabla4[[#This Row],[ZONA DEFINITIVO]])," ")</f>
        <v xml:space="preserve"> </v>
      </c>
      <c r="AT930" s="27">
        <f>(VLOOKUP(Tabla4[[#This Row],[SERVICIO 2025]],$J$2:$V$14,3,0)*Tabla4[[#This Row],[TOTAL COBERTURA]])+Tabla4[[#This Row],[VALOR FASE PREPARATORIA DE ALISTAMIENTO]]+Tabla4[[#This Row],[DOTACIÓN ÚNICA]]</f>
        <v>8737612</v>
      </c>
      <c r="AU930" s="35">
        <f>(VLOOKUP(Tabla4[[#This Row],[SERVICIO 2025]],$J$2:$V$14,3,0)*Tabla4[[#This Row],[TOTAL COBERTURA]])</f>
        <v>6697236</v>
      </c>
      <c r="AV930" s="35">
        <f>(VLOOKUP(Tabla4[[#This Row],[SERVICIO 2025]],$J$2:$V$14,3,0)*Tabla4[[#This Row],[TOTAL COBERTURA]])</f>
        <v>6697236</v>
      </c>
      <c r="AW930" s="35">
        <f>(VLOOKUP(Tabla4[[#This Row],[SERVICIO 2025]],$J$2:$V$14,3,0)*Tabla4[[#This Row],[TOTAL COBERTURA]])</f>
        <v>6697236</v>
      </c>
      <c r="AX930" s="35">
        <f>(VLOOKUP(Tabla4[[#This Row],[SERVICIO 2025]],$J$2:$V$14,3,0)*Tabla4[[#This Row],[TOTAL COBERTURA]])</f>
        <v>6697236</v>
      </c>
      <c r="AY930" s="35">
        <f>(VLOOKUP(Tabla4[[#This Row],[SERVICIO 2025]],$J$2:$V$14,3,0)*Tabla4[[#This Row],[TOTAL COBERTURA]])</f>
        <v>6697236</v>
      </c>
      <c r="AZ930" s="35">
        <f>(VLOOKUP(Tabla4[[#This Row],[SERVICIO 2025]],$J$2:$V$14,3,0)*Tabla4[[#This Row],[TOTAL COBERTURA]])</f>
        <v>6697236</v>
      </c>
      <c r="BA930" s="35">
        <f>(VLOOKUP(Tabla4[[#This Row],[SERVICIO 2025]],$J$2:$V$14,3,0)*Tabla4[[#This Row],[TOTAL COBERTURA]])+Tabla4[[#This Row],[VALOR FASE PREPARATORIA DE CIERRE]]</f>
        <v>7763990</v>
      </c>
      <c r="BB930" s="35">
        <f>SUM(Tabla4[[#This Row],[DESEMBOLSO 1]:[DESEMBOLSO 8]])</f>
        <v>56685018</v>
      </c>
      <c r="BC930" s="35">
        <f>VLOOKUP(Tabla4[[#This Row],[SERVICIO 2025]],$J$2:$V$14,10,0)*Tabla4[[#This Row],[TOTAL COBERTURA]]*$W$3</f>
        <v>37519664</v>
      </c>
      <c r="BD930" s="47" t="s">
        <v>211</v>
      </c>
      <c r="BE930" s="12" t="b">
        <f>EXACT(Tabla4[[#This Row],[VALOR ATENCIÓN (8 MESES)]],Tabla4[[#This Row],[VALOR TOTAL]])</f>
        <v>1</v>
      </c>
      <c r="BF930" s="23">
        <f>Tabla4[[#This Row],[VALOR ATENCIÓN (8 MESES)]]-Tabla4[[#This Row],[VALOR TOTAL]]</f>
        <v>0</v>
      </c>
      <c r="BG930" s="12" t="b">
        <f>EXACT(Tabla4[[#This Row],[TOTAL DESEMBOLSOS]],Tabla4[[#This Row],[VALOR ATENCIÓN (8 MESES)]])</f>
        <v>1</v>
      </c>
      <c r="BH930" s="29">
        <f>Tabla4[[#This Row],[TOTAL DESEMBOLSOS]]-Tabla4[[#This Row],[VALOR ATENCIÓN (8 MESES)]]</f>
        <v>0</v>
      </c>
      <c r="BI930" t="s">
        <v>98</v>
      </c>
      <c r="BJ930">
        <v>1981</v>
      </c>
    </row>
    <row r="931" spans="1:62">
      <c r="A931" s="13">
        <v>1981</v>
      </c>
      <c r="B931" s="13" t="s">
        <v>2036</v>
      </c>
      <c r="C931" s="12" t="s">
        <v>87</v>
      </c>
      <c r="D931" s="12" t="s">
        <v>673</v>
      </c>
      <c r="E931" s="12" t="s">
        <v>2028</v>
      </c>
      <c r="F931" s="12" t="s">
        <v>18</v>
      </c>
      <c r="G931" s="12" t="s">
        <v>90</v>
      </c>
      <c r="H931" s="12" t="s">
        <v>2061</v>
      </c>
      <c r="I931" s="12">
        <v>56041134760</v>
      </c>
      <c r="J931" s="12" t="s">
        <v>2062</v>
      </c>
      <c r="K931" s="12">
        <v>1</v>
      </c>
      <c r="L931" s="12">
        <v>10</v>
      </c>
      <c r="M931" s="12"/>
      <c r="N931" s="13">
        <v>1981</v>
      </c>
      <c r="O931" s="12" t="s">
        <v>93</v>
      </c>
      <c r="P931" s="12"/>
      <c r="Q931" s="12"/>
      <c r="R931" s="12" t="s">
        <v>94</v>
      </c>
      <c r="S931" s="12">
        <v>10</v>
      </c>
      <c r="T931" s="12" t="s">
        <v>2039</v>
      </c>
      <c r="U931" s="12" t="s">
        <v>2040</v>
      </c>
      <c r="V931" s="12">
        <f>VLOOKUP(Tabla4[[#This Row],[ZONA DEFINITIVO]],Hoja1!$A$1:$D$121,3,0)</f>
        <v>229138</v>
      </c>
      <c r="W931" s="12">
        <f>VLOOKUP(Tabla4[[#This Row],[ZONA DEFINITIVO]],Hoja1!$A$1:$D$121,2,0)</f>
        <v>15242</v>
      </c>
      <c r="X931" s="12">
        <f>VLOOKUP(Tabla4[[#This Row],[ZONA DEFINITIVO]],Hoja1!$A$1:$D$121,4,0)</f>
        <v>88525</v>
      </c>
      <c r="Y931" s="12" t="str">
        <f>+IF(Tabla4[[#This Row],[AGRUPACIONES]]=1,SUMIFS(Tabla4[UDS],Tabla4[ZONA DEFINITIVO],Tabla4[[#This Row],[ZONA DEFINITIVO]])," ")</f>
        <v xml:space="preserve"> </v>
      </c>
      <c r="Z931" s="12" t="str">
        <f>+IF(Tabla4[[#This Row],[AGRUPACIONES]]=1,SUMIFS(Tabla4[TOTAL COBERTURA],Tabla4[ZONA DEFINITIVO],Tabla4[[#This Row],[ZONA DEFINITIVO]])," ")</f>
        <v xml:space="preserve"> </v>
      </c>
      <c r="AA931" s="12"/>
      <c r="AB931" s="38">
        <v>21801930</v>
      </c>
      <c r="AC931" s="37">
        <v>0.02</v>
      </c>
      <c r="AD931" s="38">
        <f t="shared" si="15"/>
        <v>436038.60000000003</v>
      </c>
      <c r="AE931" s="12"/>
      <c r="AF931" s="12">
        <f>COUNTIF($A$20:A931,A931)</f>
        <v>13</v>
      </c>
      <c r="AG931" s="38">
        <v>21801930</v>
      </c>
      <c r="AH931" s="38">
        <f>Tabla4[[#This Row],[VALOR CONTRAPARTIDA]]+Tabla4[[#This Row],[TOTAL APORTES ICBF]]</f>
        <v>22237968.600000001</v>
      </c>
      <c r="AI931" s="35"/>
      <c r="AJ931" s="38"/>
      <c r="AK931" s="38"/>
      <c r="AL931" s="23"/>
      <c r="AM931" s="35">
        <f>VLOOKUP(Tabla4[[#This Row],[SERVICIO 2025]],$J$2:$V$14,5,0)*Tabla4[[#This Row],[TOTAL COBERTURA]]</f>
        <v>493760</v>
      </c>
      <c r="AN931" s="35">
        <f>VLOOKUP(Tabla4[[#This Row],[SERVICIO 2025]],$J$2:$V$14,6,0)*Tabla4[[#This Row],[TOTAL COBERTURA]]</f>
        <v>410290</v>
      </c>
      <c r="AO931" s="35">
        <f>VLOOKUP(Tabla4[[#This Row],[SERVICIO 2025]],$J$2:$V$14,8,0)*Tabla4[[#This Row],[TOTAL COBERTURA]]</f>
        <v>291000</v>
      </c>
      <c r="AP931" s="35">
        <f>VLOOKUP(Tabla4[[#This Row],[SERVICIO 2025]],$J$2:$V$14,3,0)*Tabla4[[#This Row],[TOTAL COBERTURA]]*8</f>
        <v>20606880</v>
      </c>
      <c r="AQ931" s="35"/>
      <c r="AR931" s="35">
        <f>Tabla4[[#This Row],[VALOR FASE PREPARATORIA DE ALISTAMIENTO]]+Tabla4[[#This Row],[VALOR FASE PREPARATORIA DE CIERRE]]+Tabla4[[#This Row],[DOTACIÓN ÚNICA]]+Tabla4[[#This Row],[VALOR ATENCIÓN]]+Tabla4[[#This Row],[VALOR RACION PREPARADA]]</f>
        <v>21801930</v>
      </c>
      <c r="AS931" s="35" t="str">
        <f>+IF(Tabla4[[#This Row],[AGRUPACIONES]]=1,SUMIFS(Tabla4[VALOR TOTAL],Tabla4[ZONA DEFINITIVO],Tabla4[[#This Row],[ZONA DEFINITIVO]])," ")</f>
        <v xml:space="preserve"> </v>
      </c>
      <c r="AT931" s="27">
        <f>(VLOOKUP(Tabla4[[#This Row],[SERVICIO 2025]],$J$2:$V$14,3,0)*Tabla4[[#This Row],[TOTAL COBERTURA]])+Tabla4[[#This Row],[VALOR FASE PREPARATORIA DE ALISTAMIENTO]]+Tabla4[[#This Row],[DOTACIÓN ÚNICA]]</f>
        <v>3360620</v>
      </c>
      <c r="AU931" s="35">
        <f>(VLOOKUP(Tabla4[[#This Row],[SERVICIO 2025]],$J$2:$V$14,3,0)*Tabla4[[#This Row],[TOTAL COBERTURA]])</f>
        <v>2575860</v>
      </c>
      <c r="AV931" s="35">
        <f>(VLOOKUP(Tabla4[[#This Row],[SERVICIO 2025]],$J$2:$V$14,3,0)*Tabla4[[#This Row],[TOTAL COBERTURA]])</f>
        <v>2575860</v>
      </c>
      <c r="AW931" s="35">
        <f>(VLOOKUP(Tabla4[[#This Row],[SERVICIO 2025]],$J$2:$V$14,3,0)*Tabla4[[#This Row],[TOTAL COBERTURA]])</f>
        <v>2575860</v>
      </c>
      <c r="AX931" s="35">
        <f>(VLOOKUP(Tabla4[[#This Row],[SERVICIO 2025]],$J$2:$V$14,3,0)*Tabla4[[#This Row],[TOTAL COBERTURA]])</f>
        <v>2575860</v>
      </c>
      <c r="AY931" s="35">
        <f>(VLOOKUP(Tabla4[[#This Row],[SERVICIO 2025]],$J$2:$V$14,3,0)*Tabla4[[#This Row],[TOTAL COBERTURA]])</f>
        <v>2575860</v>
      </c>
      <c r="AZ931" s="35">
        <f>(VLOOKUP(Tabla4[[#This Row],[SERVICIO 2025]],$J$2:$V$14,3,0)*Tabla4[[#This Row],[TOTAL COBERTURA]])</f>
        <v>2575860</v>
      </c>
      <c r="BA931" s="35">
        <f>(VLOOKUP(Tabla4[[#This Row],[SERVICIO 2025]],$J$2:$V$14,3,0)*Tabla4[[#This Row],[TOTAL COBERTURA]])+Tabla4[[#This Row],[VALOR FASE PREPARATORIA DE CIERRE]]</f>
        <v>2986150</v>
      </c>
      <c r="BB931" s="35">
        <f>SUM(Tabla4[[#This Row],[DESEMBOLSO 1]:[DESEMBOLSO 8]])</f>
        <v>21801930</v>
      </c>
      <c r="BC931" s="35">
        <f>VLOOKUP(Tabla4[[#This Row],[SERVICIO 2025]],$J$2:$V$14,10,0)*Tabla4[[#This Row],[TOTAL COBERTURA]]*$W$3</f>
        <v>14430640</v>
      </c>
      <c r="BD931" s="47" t="s">
        <v>211</v>
      </c>
      <c r="BE931" s="12" t="b">
        <f>EXACT(Tabla4[[#This Row],[VALOR ATENCIÓN (8 MESES)]],Tabla4[[#This Row],[VALOR TOTAL]])</f>
        <v>1</v>
      </c>
      <c r="BF931" s="23">
        <f>Tabla4[[#This Row],[VALOR ATENCIÓN (8 MESES)]]-Tabla4[[#This Row],[VALOR TOTAL]]</f>
        <v>0</v>
      </c>
      <c r="BG931" s="12" t="b">
        <f>EXACT(Tabla4[[#This Row],[TOTAL DESEMBOLSOS]],Tabla4[[#This Row],[VALOR ATENCIÓN (8 MESES)]])</f>
        <v>1</v>
      </c>
      <c r="BH931" s="29">
        <f>Tabla4[[#This Row],[TOTAL DESEMBOLSOS]]-Tabla4[[#This Row],[VALOR ATENCIÓN (8 MESES)]]</f>
        <v>0</v>
      </c>
      <c r="BI931" t="s">
        <v>98</v>
      </c>
      <c r="BJ931">
        <v>1981</v>
      </c>
    </row>
    <row r="932" spans="1:62">
      <c r="A932" s="13">
        <v>1981</v>
      </c>
      <c r="B932" s="13" t="s">
        <v>2036</v>
      </c>
      <c r="C932" s="12" t="s">
        <v>87</v>
      </c>
      <c r="D932" s="12" t="s">
        <v>673</v>
      </c>
      <c r="E932" s="12" t="s">
        <v>2028</v>
      </c>
      <c r="F932" s="12" t="s">
        <v>18</v>
      </c>
      <c r="G932" s="12" t="s">
        <v>90</v>
      </c>
      <c r="H932" s="12" t="s">
        <v>2063</v>
      </c>
      <c r="I932" s="12">
        <v>56041134768</v>
      </c>
      <c r="J932" s="12" t="s">
        <v>2064</v>
      </c>
      <c r="K932" s="12">
        <v>1</v>
      </c>
      <c r="L932" s="12">
        <v>40</v>
      </c>
      <c r="M932" s="12"/>
      <c r="N932" s="13">
        <v>1981</v>
      </c>
      <c r="O932" s="12" t="s">
        <v>93</v>
      </c>
      <c r="P932" s="12"/>
      <c r="Q932" s="12"/>
      <c r="R932" s="12" t="s">
        <v>94</v>
      </c>
      <c r="S932" s="12">
        <v>10</v>
      </c>
      <c r="T932" s="12" t="s">
        <v>2039</v>
      </c>
      <c r="U932" s="12" t="s">
        <v>2040</v>
      </c>
      <c r="V932" s="12">
        <f>VLOOKUP(Tabla4[[#This Row],[ZONA DEFINITIVO]],Hoja1!$A$1:$D$121,3,0)</f>
        <v>229138</v>
      </c>
      <c r="W932" s="12">
        <f>VLOOKUP(Tabla4[[#This Row],[ZONA DEFINITIVO]],Hoja1!$A$1:$D$121,2,0)</f>
        <v>15242</v>
      </c>
      <c r="X932" s="12">
        <f>VLOOKUP(Tabla4[[#This Row],[ZONA DEFINITIVO]],Hoja1!$A$1:$D$121,4,0)</f>
        <v>88525</v>
      </c>
      <c r="Y932" s="12" t="str">
        <f>+IF(Tabla4[[#This Row],[AGRUPACIONES]]=1,SUMIFS(Tabla4[UDS],Tabla4[ZONA DEFINITIVO],Tabla4[[#This Row],[ZONA DEFINITIVO]])," ")</f>
        <v xml:space="preserve"> </v>
      </c>
      <c r="Z932" s="12" t="str">
        <f>+IF(Tabla4[[#This Row],[AGRUPACIONES]]=1,SUMIFS(Tabla4[TOTAL COBERTURA],Tabla4[ZONA DEFINITIVO],Tabla4[[#This Row],[ZONA DEFINITIVO]])," ")</f>
        <v xml:space="preserve"> </v>
      </c>
      <c r="AA932" s="12"/>
      <c r="AB932" s="38">
        <v>87207720</v>
      </c>
      <c r="AC932" s="37">
        <v>0.02</v>
      </c>
      <c r="AD932" s="38">
        <f t="shared" si="15"/>
        <v>1744154.4000000001</v>
      </c>
      <c r="AE932" s="12"/>
      <c r="AF932" s="12">
        <f>COUNTIF($A$20:A932,A932)</f>
        <v>14</v>
      </c>
      <c r="AG932" s="38">
        <v>87207720</v>
      </c>
      <c r="AH932" s="38">
        <f>Tabla4[[#This Row],[VALOR CONTRAPARTIDA]]+Tabla4[[#This Row],[TOTAL APORTES ICBF]]</f>
        <v>88951874.400000006</v>
      </c>
      <c r="AI932" s="35"/>
      <c r="AJ932" s="38"/>
      <c r="AK932" s="38"/>
      <c r="AL932" s="23"/>
      <c r="AM932" s="35">
        <f>VLOOKUP(Tabla4[[#This Row],[SERVICIO 2025]],$J$2:$V$14,5,0)*Tabla4[[#This Row],[TOTAL COBERTURA]]</f>
        <v>1975040</v>
      </c>
      <c r="AN932" s="35">
        <f>VLOOKUP(Tabla4[[#This Row],[SERVICIO 2025]],$J$2:$V$14,6,0)*Tabla4[[#This Row],[TOTAL COBERTURA]]</f>
        <v>1641160</v>
      </c>
      <c r="AO932" s="35">
        <f>VLOOKUP(Tabla4[[#This Row],[SERVICIO 2025]],$J$2:$V$14,8,0)*Tabla4[[#This Row],[TOTAL COBERTURA]]</f>
        <v>1164000</v>
      </c>
      <c r="AP932" s="35">
        <f>VLOOKUP(Tabla4[[#This Row],[SERVICIO 2025]],$J$2:$V$14,3,0)*Tabla4[[#This Row],[TOTAL COBERTURA]]*8</f>
        <v>82427520</v>
      </c>
      <c r="AQ932" s="35"/>
      <c r="AR932" s="35">
        <f>Tabla4[[#This Row],[VALOR FASE PREPARATORIA DE ALISTAMIENTO]]+Tabla4[[#This Row],[VALOR FASE PREPARATORIA DE CIERRE]]+Tabla4[[#This Row],[DOTACIÓN ÚNICA]]+Tabla4[[#This Row],[VALOR ATENCIÓN]]+Tabla4[[#This Row],[VALOR RACION PREPARADA]]</f>
        <v>87207720</v>
      </c>
      <c r="AS932" s="35" t="str">
        <f>+IF(Tabla4[[#This Row],[AGRUPACIONES]]=1,SUMIFS(Tabla4[VALOR TOTAL],Tabla4[ZONA DEFINITIVO],Tabla4[[#This Row],[ZONA DEFINITIVO]])," ")</f>
        <v xml:space="preserve"> </v>
      </c>
      <c r="AT932" s="27">
        <f>(VLOOKUP(Tabla4[[#This Row],[SERVICIO 2025]],$J$2:$V$14,3,0)*Tabla4[[#This Row],[TOTAL COBERTURA]])+Tabla4[[#This Row],[VALOR FASE PREPARATORIA DE ALISTAMIENTO]]+Tabla4[[#This Row],[DOTACIÓN ÚNICA]]</f>
        <v>13442480</v>
      </c>
      <c r="AU932" s="35">
        <f>(VLOOKUP(Tabla4[[#This Row],[SERVICIO 2025]],$J$2:$V$14,3,0)*Tabla4[[#This Row],[TOTAL COBERTURA]])</f>
        <v>10303440</v>
      </c>
      <c r="AV932" s="35">
        <f>(VLOOKUP(Tabla4[[#This Row],[SERVICIO 2025]],$J$2:$V$14,3,0)*Tabla4[[#This Row],[TOTAL COBERTURA]])</f>
        <v>10303440</v>
      </c>
      <c r="AW932" s="35">
        <f>(VLOOKUP(Tabla4[[#This Row],[SERVICIO 2025]],$J$2:$V$14,3,0)*Tabla4[[#This Row],[TOTAL COBERTURA]])</f>
        <v>10303440</v>
      </c>
      <c r="AX932" s="35">
        <f>(VLOOKUP(Tabla4[[#This Row],[SERVICIO 2025]],$J$2:$V$14,3,0)*Tabla4[[#This Row],[TOTAL COBERTURA]])</f>
        <v>10303440</v>
      </c>
      <c r="AY932" s="35">
        <f>(VLOOKUP(Tabla4[[#This Row],[SERVICIO 2025]],$J$2:$V$14,3,0)*Tabla4[[#This Row],[TOTAL COBERTURA]])</f>
        <v>10303440</v>
      </c>
      <c r="AZ932" s="35">
        <f>(VLOOKUP(Tabla4[[#This Row],[SERVICIO 2025]],$J$2:$V$14,3,0)*Tabla4[[#This Row],[TOTAL COBERTURA]])</f>
        <v>10303440</v>
      </c>
      <c r="BA932" s="35">
        <f>(VLOOKUP(Tabla4[[#This Row],[SERVICIO 2025]],$J$2:$V$14,3,0)*Tabla4[[#This Row],[TOTAL COBERTURA]])+Tabla4[[#This Row],[VALOR FASE PREPARATORIA DE CIERRE]]</f>
        <v>11944600</v>
      </c>
      <c r="BB932" s="35">
        <f>SUM(Tabla4[[#This Row],[DESEMBOLSO 1]:[DESEMBOLSO 8]])</f>
        <v>87207720</v>
      </c>
      <c r="BC932" s="35">
        <f>VLOOKUP(Tabla4[[#This Row],[SERVICIO 2025]],$J$2:$V$14,10,0)*Tabla4[[#This Row],[TOTAL COBERTURA]]*$W$3</f>
        <v>57722560</v>
      </c>
      <c r="BD932" s="47" t="s">
        <v>211</v>
      </c>
      <c r="BE932" s="12" t="b">
        <f>EXACT(Tabla4[[#This Row],[VALOR ATENCIÓN (8 MESES)]],Tabla4[[#This Row],[VALOR TOTAL]])</f>
        <v>1</v>
      </c>
      <c r="BF932" s="23">
        <f>Tabla4[[#This Row],[VALOR ATENCIÓN (8 MESES)]]-Tabla4[[#This Row],[VALOR TOTAL]]</f>
        <v>0</v>
      </c>
      <c r="BG932" s="12" t="b">
        <f>EXACT(Tabla4[[#This Row],[TOTAL DESEMBOLSOS]],Tabla4[[#This Row],[VALOR ATENCIÓN (8 MESES)]])</f>
        <v>1</v>
      </c>
      <c r="BH932" s="29">
        <f>Tabla4[[#This Row],[TOTAL DESEMBOLSOS]]-Tabla4[[#This Row],[VALOR ATENCIÓN (8 MESES)]]</f>
        <v>0</v>
      </c>
      <c r="BI932" t="s">
        <v>98</v>
      </c>
      <c r="BJ932">
        <v>1981</v>
      </c>
    </row>
    <row r="933" spans="1:62">
      <c r="A933" s="13">
        <v>1981</v>
      </c>
      <c r="B933" s="13" t="s">
        <v>2036</v>
      </c>
      <c r="C933" s="12" t="s">
        <v>87</v>
      </c>
      <c r="D933" s="12" t="s">
        <v>673</v>
      </c>
      <c r="E933" s="12" t="s">
        <v>2028</v>
      </c>
      <c r="F933" s="12" t="s">
        <v>18</v>
      </c>
      <c r="G933" s="12" t="s">
        <v>90</v>
      </c>
      <c r="H933" s="12" t="s">
        <v>2065</v>
      </c>
      <c r="I933" s="12">
        <v>56041136596</v>
      </c>
      <c r="J933" s="12" t="s">
        <v>2066</v>
      </c>
      <c r="K933" s="12">
        <v>1</v>
      </c>
      <c r="L933" s="12">
        <v>50</v>
      </c>
      <c r="M933" s="12"/>
      <c r="N933" s="13">
        <v>1981</v>
      </c>
      <c r="O933" s="12" t="s">
        <v>93</v>
      </c>
      <c r="P933" s="12"/>
      <c r="Q933" s="12"/>
      <c r="R933" s="12" t="s">
        <v>94</v>
      </c>
      <c r="S933" s="12">
        <v>10</v>
      </c>
      <c r="T933" s="12" t="s">
        <v>2039</v>
      </c>
      <c r="U933" s="12" t="s">
        <v>2040</v>
      </c>
      <c r="V933" s="12">
        <f>VLOOKUP(Tabla4[[#This Row],[ZONA DEFINITIVO]],Hoja1!$A$1:$D$121,3,0)</f>
        <v>229138</v>
      </c>
      <c r="W933" s="12">
        <f>VLOOKUP(Tabla4[[#This Row],[ZONA DEFINITIVO]],Hoja1!$A$1:$D$121,2,0)</f>
        <v>15242</v>
      </c>
      <c r="X933" s="12">
        <f>VLOOKUP(Tabla4[[#This Row],[ZONA DEFINITIVO]],Hoja1!$A$1:$D$121,4,0)</f>
        <v>88525</v>
      </c>
      <c r="Y933" s="12" t="str">
        <f>+IF(Tabla4[[#This Row],[AGRUPACIONES]]=1,SUMIFS(Tabla4[UDS],Tabla4[ZONA DEFINITIVO],Tabla4[[#This Row],[ZONA DEFINITIVO]])," ")</f>
        <v xml:space="preserve"> </v>
      </c>
      <c r="Z933" s="12" t="str">
        <f>+IF(Tabla4[[#This Row],[AGRUPACIONES]]=1,SUMIFS(Tabla4[TOTAL COBERTURA],Tabla4[ZONA DEFINITIVO],Tabla4[[#This Row],[ZONA DEFINITIVO]])," ")</f>
        <v xml:space="preserve"> </v>
      </c>
      <c r="AA933" s="12"/>
      <c r="AB933" s="38">
        <v>109009650</v>
      </c>
      <c r="AC933" s="37">
        <v>0.02</v>
      </c>
      <c r="AD933" s="38">
        <f t="shared" si="15"/>
        <v>2180193</v>
      </c>
      <c r="AE933" s="12"/>
      <c r="AF933" s="12">
        <f>COUNTIF($A$20:A933,A933)</f>
        <v>15</v>
      </c>
      <c r="AG933" s="38">
        <v>109009650</v>
      </c>
      <c r="AH933" s="38">
        <f>Tabla4[[#This Row],[VALOR CONTRAPARTIDA]]+Tabla4[[#This Row],[TOTAL APORTES ICBF]]</f>
        <v>111189843</v>
      </c>
      <c r="AI933" s="35"/>
      <c r="AJ933" s="38"/>
      <c r="AK933" s="38"/>
      <c r="AL933" s="23"/>
      <c r="AM933" s="35">
        <f>VLOOKUP(Tabla4[[#This Row],[SERVICIO 2025]],$J$2:$V$14,5,0)*Tabla4[[#This Row],[TOTAL COBERTURA]]</f>
        <v>2468800</v>
      </c>
      <c r="AN933" s="35">
        <f>VLOOKUP(Tabla4[[#This Row],[SERVICIO 2025]],$J$2:$V$14,6,0)*Tabla4[[#This Row],[TOTAL COBERTURA]]</f>
        <v>2051450</v>
      </c>
      <c r="AO933" s="35">
        <f>VLOOKUP(Tabla4[[#This Row],[SERVICIO 2025]],$J$2:$V$14,8,0)*Tabla4[[#This Row],[TOTAL COBERTURA]]</f>
        <v>1455000</v>
      </c>
      <c r="AP933" s="35">
        <f>VLOOKUP(Tabla4[[#This Row],[SERVICIO 2025]],$J$2:$V$14,3,0)*Tabla4[[#This Row],[TOTAL COBERTURA]]*8</f>
        <v>103034400</v>
      </c>
      <c r="AQ933" s="35"/>
      <c r="AR933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33" s="35" t="str">
        <f>+IF(Tabla4[[#This Row],[AGRUPACIONES]]=1,SUMIFS(Tabla4[VALOR TOTAL],Tabla4[ZONA DEFINITIVO],Tabla4[[#This Row],[ZONA DEFINITIVO]])," ")</f>
        <v xml:space="preserve"> </v>
      </c>
      <c r="AT933" s="27">
        <f>(VLOOKUP(Tabla4[[#This Row],[SERVICIO 2025]],$J$2:$V$14,3,0)*Tabla4[[#This Row],[TOTAL COBERTURA]])+Tabla4[[#This Row],[VALOR FASE PREPARATORIA DE ALISTAMIENTO]]+Tabla4[[#This Row],[DOTACIÓN ÚNICA]]</f>
        <v>16803100</v>
      </c>
      <c r="AU933" s="35">
        <f>(VLOOKUP(Tabla4[[#This Row],[SERVICIO 2025]],$J$2:$V$14,3,0)*Tabla4[[#This Row],[TOTAL COBERTURA]])</f>
        <v>12879300</v>
      </c>
      <c r="AV933" s="35">
        <f>(VLOOKUP(Tabla4[[#This Row],[SERVICIO 2025]],$J$2:$V$14,3,0)*Tabla4[[#This Row],[TOTAL COBERTURA]])</f>
        <v>12879300</v>
      </c>
      <c r="AW933" s="35">
        <f>(VLOOKUP(Tabla4[[#This Row],[SERVICIO 2025]],$J$2:$V$14,3,0)*Tabla4[[#This Row],[TOTAL COBERTURA]])</f>
        <v>12879300</v>
      </c>
      <c r="AX933" s="35">
        <f>(VLOOKUP(Tabla4[[#This Row],[SERVICIO 2025]],$J$2:$V$14,3,0)*Tabla4[[#This Row],[TOTAL COBERTURA]])</f>
        <v>12879300</v>
      </c>
      <c r="AY933" s="35">
        <f>(VLOOKUP(Tabla4[[#This Row],[SERVICIO 2025]],$J$2:$V$14,3,0)*Tabla4[[#This Row],[TOTAL COBERTURA]])</f>
        <v>12879300</v>
      </c>
      <c r="AZ933" s="35">
        <f>(VLOOKUP(Tabla4[[#This Row],[SERVICIO 2025]],$J$2:$V$14,3,0)*Tabla4[[#This Row],[TOTAL COBERTURA]])</f>
        <v>12879300</v>
      </c>
      <c r="BA933" s="35">
        <f>(VLOOKUP(Tabla4[[#This Row],[SERVICIO 2025]],$J$2:$V$14,3,0)*Tabla4[[#This Row],[TOTAL COBERTURA]])+Tabla4[[#This Row],[VALOR FASE PREPARATORIA DE CIERRE]]</f>
        <v>14930750</v>
      </c>
      <c r="BB933" s="35">
        <f>SUM(Tabla4[[#This Row],[DESEMBOLSO 1]:[DESEMBOLSO 8]])</f>
        <v>109009650</v>
      </c>
      <c r="BC933" s="35">
        <f>VLOOKUP(Tabla4[[#This Row],[SERVICIO 2025]],$J$2:$V$14,10,0)*Tabla4[[#This Row],[TOTAL COBERTURA]]*$W$3</f>
        <v>72153200</v>
      </c>
      <c r="BD933" s="47" t="s">
        <v>211</v>
      </c>
      <c r="BE933" s="12" t="b">
        <f>EXACT(Tabla4[[#This Row],[VALOR ATENCIÓN (8 MESES)]],Tabla4[[#This Row],[VALOR TOTAL]])</f>
        <v>1</v>
      </c>
      <c r="BF933" s="23">
        <f>Tabla4[[#This Row],[VALOR ATENCIÓN (8 MESES)]]-Tabla4[[#This Row],[VALOR TOTAL]]</f>
        <v>0</v>
      </c>
      <c r="BG933" s="12" t="b">
        <f>EXACT(Tabla4[[#This Row],[TOTAL DESEMBOLSOS]],Tabla4[[#This Row],[VALOR ATENCIÓN (8 MESES)]])</f>
        <v>1</v>
      </c>
      <c r="BH933" s="29">
        <f>Tabla4[[#This Row],[TOTAL DESEMBOLSOS]]-Tabla4[[#This Row],[VALOR ATENCIÓN (8 MESES)]]</f>
        <v>0</v>
      </c>
      <c r="BI933" t="s">
        <v>98</v>
      </c>
      <c r="BJ933">
        <v>1981</v>
      </c>
    </row>
    <row r="934" spans="1:62">
      <c r="A934" s="13">
        <v>1981</v>
      </c>
      <c r="B934" s="13" t="s">
        <v>2036</v>
      </c>
      <c r="C934" s="12" t="s">
        <v>87</v>
      </c>
      <c r="D934" s="12" t="s">
        <v>673</v>
      </c>
      <c r="E934" s="12" t="s">
        <v>2028</v>
      </c>
      <c r="F934" s="12" t="s">
        <v>18</v>
      </c>
      <c r="G934" s="12" t="s">
        <v>90</v>
      </c>
      <c r="H934" s="12" t="s">
        <v>2067</v>
      </c>
      <c r="I934" s="12">
        <v>56041140733</v>
      </c>
      <c r="J934" s="12" t="s">
        <v>2068</v>
      </c>
      <c r="K934" s="12">
        <v>1</v>
      </c>
      <c r="L934" s="12">
        <v>24</v>
      </c>
      <c r="M934" s="12"/>
      <c r="N934" s="13">
        <v>1981</v>
      </c>
      <c r="O934" s="12" t="s">
        <v>93</v>
      </c>
      <c r="P934" s="12"/>
      <c r="Q934" s="12"/>
      <c r="R934" s="12" t="s">
        <v>94</v>
      </c>
      <c r="S934" s="12">
        <v>10</v>
      </c>
      <c r="T934" s="12" t="s">
        <v>2039</v>
      </c>
      <c r="U934" s="12" t="s">
        <v>2040</v>
      </c>
      <c r="V934" s="12">
        <f>VLOOKUP(Tabla4[[#This Row],[ZONA DEFINITIVO]],Hoja1!$A$1:$D$121,3,0)</f>
        <v>229138</v>
      </c>
      <c r="W934" s="12">
        <f>VLOOKUP(Tabla4[[#This Row],[ZONA DEFINITIVO]],Hoja1!$A$1:$D$121,2,0)</f>
        <v>15242</v>
      </c>
      <c r="X934" s="12">
        <f>VLOOKUP(Tabla4[[#This Row],[ZONA DEFINITIVO]],Hoja1!$A$1:$D$121,4,0)</f>
        <v>88525</v>
      </c>
      <c r="Y934" s="12" t="str">
        <f>+IF(Tabla4[[#This Row],[AGRUPACIONES]]=1,SUMIFS(Tabla4[UDS],Tabla4[ZONA DEFINITIVO],Tabla4[[#This Row],[ZONA DEFINITIVO]])," ")</f>
        <v xml:space="preserve"> </v>
      </c>
      <c r="Z934" s="12" t="str">
        <f>+IF(Tabla4[[#This Row],[AGRUPACIONES]]=1,SUMIFS(Tabla4[TOTAL COBERTURA],Tabla4[ZONA DEFINITIVO],Tabla4[[#This Row],[ZONA DEFINITIVO]])," ")</f>
        <v xml:space="preserve"> </v>
      </c>
      <c r="AA934" s="12"/>
      <c r="AB934" s="38">
        <v>52324632</v>
      </c>
      <c r="AC934" s="37">
        <v>0.02</v>
      </c>
      <c r="AD934" s="38">
        <f t="shared" si="15"/>
        <v>1046492.64</v>
      </c>
      <c r="AE934" s="12"/>
      <c r="AF934" s="12">
        <f>COUNTIF($A$20:A934,A934)</f>
        <v>16</v>
      </c>
      <c r="AG934" s="38">
        <v>52324632</v>
      </c>
      <c r="AH934" s="38">
        <f>Tabla4[[#This Row],[VALOR CONTRAPARTIDA]]+Tabla4[[#This Row],[TOTAL APORTES ICBF]]</f>
        <v>53371124.640000001</v>
      </c>
      <c r="AI934" s="35"/>
      <c r="AJ934" s="38"/>
      <c r="AK934" s="38"/>
      <c r="AL934" s="23"/>
      <c r="AM934" s="35">
        <f>VLOOKUP(Tabla4[[#This Row],[SERVICIO 2025]],$J$2:$V$14,5,0)*Tabla4[[#This Row],[TOTAL COBERTURA]]</f>
        <v>1185024</v>
      </c>
      <c r="AN934" s="35">
        <f>VLOOKUP(Tabla4[[#This Row],[SERVICIO 2025]],$J$2:$V$14,6,0)*Tabla4[[#This Row],[TOTAL COBERTURA]]</f>
        <v>984696</v>
      </c>
      <c r="AO934" s="35">
        <f>VLOOKUP(Tabla4[[#This Row],[SERVICIO 2025]],$J$2:$V$14,8,0)*Tabla4[[#This Row],[TOTAL COBERTURA]]</f>
        <v>698400</v>
      </c>
      <c r="AP934" s="35">
        <f>VLOOKUP(Tabla4[[#This Row],[SERVICIO 2025]],$J$2:$V$14,3,0)*Tabla4[[#This Row],[TOTAL COBERTURA]]*8</f>
        <v>49456512</v>
      </c>
      <c r="AQ934" s="35"/>
      <c r="AR934" s="35">
        <f>Tabla4[[#This Row],[VALOR FASE PREPARATORIA DE ALISTAMIENTO]]+Tabla4[[#This Row],[VALOR FASE PREPARATORIA DE CIERRE]]+Tabla4[[#This Row],[DOTACIÓN ÚNICA]]+Tabla4[[#This Row],[VALOR ATENCIÓN]]+Tabla4[[#This Row],[VALOR RACION PREPARADA]]</f>
        <v>52324632</v>
      </c>
      <c r="AS934" s="35" t="str">
        <f>+IF(Tabla4[[#This Row],[AGRUPACIONES]]=1,SUMIFS(Tabla4[VALOR TOTAL],Tabla4[ZONA DEFINITIVO],Tabla4[[#This Row],[ZONA DEFINITIVO]])," ")</f>
        <v xml:space="preserve"> </v>
      </c>
      <c r="AT934" s="27">
        <f>(VLOOKUP(Tabla4[[#This Row],[SERVICIO 2025]],$J$2:$V$14,3,0)*Tabla4[[#This Row],[TOTAL COBERTURA]])+Tabla4[[#This Row],[VALOR FASE PREPARATORIA DE ALISTAMIENTO]]+Tabla4[[#This Row],[DOTACIÓN ÚNICA]]</f>
        <v>8065488</v>
      </c>
      <c r="AU934" s="35">
        <f>(VLOOKUP(Tabla4[[#This Row],[SERVICIO 2025]],$J$2:$V$14,3,0)*Tabla4[[#This Row],[TOTAL COBERTURA]])</f>
        <v>6182064</v>
      </c>
      <c r="AV934" s="35">
        <f>(VLOOKUP(Tabla4[[#This Row],[SERVICIO 2025]],$J$2:$V$14,3,0)*Tabla4[[#This Row],[TOTAL COBERTURA]])</f>
        <v>6182064</v>
      </c>
      <c r="AW934" s="35">
        <f>(VLOOKUP(Tabla4[[#This Row],[SERVICIO 2025]],$J$2:$V$14,3,0)*Tabla4[[#This Row],[TOTAL COBERTURA]])</f>
        <v>6182064</v>
      </c>
      <c r="AX934" s="35">
        <f>(VLOOKUP(Tabla4[[#This Row],[SERVICIO 2025]],$J$2:$V$14,3,0)*Tabla4[[#This Row],[TOTAL COBERTURA]])</f>
        <v>6182064</v>
      </c>
      <c r="AY934" s="35">
        <f>(VLOOKUP(Tabla4[[#This Row],[SERVICIO 2025]],$J$2:$V$14,3,0)*Tabla4[[#This Row],[TOTAL COBERTURA]])</f>
        <v>6182064</v>
      </c>
      <c r="AZ934" s="35">
        <f>(VLOOKUP(Tabla4[[#This Row],[SERVICIO 2025]],$J$2:$V$14,3,0)*Tabla4[[#This Row],[TOTAL COBERTURA]])</f>
        <v>6182064</v>
      </c>
      <c r="BA934" s="35">
        <f>(VLOOKUP(Tabla4[[#This Row],[SERVICIO 2025]],$J$2:$V$14,3,0)*Tabla4[[#This Row],[TOTAL COBERTURA]])+Tabla4[[#This Row],[VALOR FASE PREPARATORIA DE CIERRE]]</f>
        <v>7166760</v>
      </c>
      <c r="BB934" s="35">
        <f>SUM(Tabla4[[#This Row],[DESEMBOLSO 1]:[DESEMBOLSO 8]])</f>
        <v>52324632</v>
      </c>
      <c r="BC934" s="35">
        <f>VLOOKUP(Tabla4[[#This Row],[SERVICIO 2025]],$J$2:$V$14,10,0)*Tabla4[[#This Row],[TOTAL COBERTURA]]*$W$3</f>
        <v>34633536</v>
      </c>
      <c r="BD934" s="47" t="s">
        <v>211</v>
      </c>
      <c r="BE934" s="12" t="b">
        <f>EXACT(Tabla4[[#This Row],[VALOR ATENCIÓN (8 MESES)]],Tabla4[[#This Row],[VALOR TOTAL]])</f>
        <v>1</v>
      </c>
      <c r="BF934" s="23">
        <f>Tabla4[[#This Row],[VALOR ATENCIÓN (8 MESES)]]-Tabla4[[#This Row],[VALOR TOTAL]]</f>
        <v>0</v>
      </c>
      <c r="BG934" s="12" t="b">
        <f>EXACT(Tabla4[[#This Row],[TOTAL DESEMBOLSOS]],Tabla4[[#This Row],[VALOR ATENCIÓN (8 MESES)]])</f>
        <v>1</v>
      </c>
      <c r="BH934" s="29">
        <f>Tabla4[[#This Row],[TOTAL DESEMBOLSOS]]-Tabla4[[#This Row],[VALOR ATENCIÓN (8 MESES)]]</f>
        <v>0</v>
      </c>
      <c r="BI934" t="s">
        <v>98</v>
      </c>
      <c r="BJ934">
        <v>1981</v>
      </c>
    </row>
    <row r="935" spans="1:62">
      <c r="A935" s="13">
        <v>1981</v>
      </c>
      <c r="B935" s="13" t="s">
        <v>2036</v>
      </c>
      <c r="C935" s="12" t="s">
        <v>87</v>
      </c>
      <c r="D935" s="12" t="s">
        <v>673</v>
      </c>
      <c r="E935" s="12" t="s">
        <v>2028</v>
      </c>
      <c r="F935" s="12" t="s">
        <v>18</v>
      </c>
      <c r="G935" s="12" t="s">
        <v>90</v>
      </c>
      <c r="H935" s="12" t="s">
        <v>2069</v>
      </c>
      <c r="I935" s="12">
        <v>56041148675</v>
      </c>
      <c r="J935" s="12" t="s">
        <v>2070</v>
      </c>
      <c r="K935" s="12">
        <v>1</v>
      </c>
      <c r="L935" s="12">
        <v>13</v>
      </c>
      <c r="M935" s="12"/>
      <c r="N935" s="13">
        <v>1981</v>
      </c>
      <c r="O935" s="12" t="s">
        <v>93</v>
      </c>
      <c r="P935" s="12"/>
      <c r="Q935" s="12"/>
      <c r="R935" s="12" t="s">
        <v>94</v>
      </c>
      <c r="S935" s="12">
        <v>10</v>
      </c>
      <c r="T935" s="12" t="s">
        <v>2039</v>
      </c>
      <c r="U935" s="12" t="s">
        <v>2040</v>
      </c>
      <c r="V935" s="12">
        <f>VLOOKUP(Tabla4[[#This Row],[ZONA DEFINITIVO]],Hoja1!$A$1:$D$121,3,0)</f>
        <v>229138</v>
      </c>
      <c r="W935" s="12">
        <f>VLOOKUP(Tabla4[[#This Row],[ZONA DEFINITIVO]],Hoja1!$A$1:$D$121,2,0)</f>
        <v>15242</v>
      </c>
      <c r="X935" s="12">
        <f>VLOOKUP(Tabla4[[#This Row],[ZONA DEFINITIVO]],Hoja1!$A$1:$D$121,4,0)</f>
        <v>88525</v>
      </c>
      <c r="Y935" s="12" t="str">
        <f>+IF(Tabla4[[#This Row],[AGRUPACIONES]]=1,SUMIFS(Tabla4[UDS],Tabla4[ZONA DEFINITIVO],Tabla4[[#This Row],[ZONA DEFINITIVO]])," ")</f>
        <v xml:space="preserve"> </v>
      </c>
      <c r="Z935" s="12" t="str">
        <f>+IF(Tabla4[[#This Row],[AGRUPACIONES]]=1,SUMIFS(Tabla4[TOTAL COBERTURA],Tabla4[ZONA DEFINITIVO],Tabla4[[#This Row],[ZONA DEFINITIVO]])," ")</f>
        <v xml:space="preserve"> </v>
      </c>
      <c r="AA935" s="12"/>
      <c r="AB935" s="38">
        <v>28342509</v>
      </c>
      <c r="AC935" s="37">
        <v>0.02</v>
      </c>
      <c r="AD935" s="38">
        <f t="shared" si="15"/>
        <v>566850.18000000005</v>
      </c>
      <c r="AE935" s="12"/>
      <c r="AF935" s="12">
        <f>COUNTIF($A$20:A935,A935)</f>
        <v>17</v>
      </c>
      <c r="AG935" s="38">
        <v>28342509</v>
      </c>
      <c r="AH935" s="38">
        <f>Tabla4[[#This Row],[VALOR CONTRAPARTIDA]]+Tabla4[[#This Row],[TOTAL APORTES ICBF]]</f>
        <v>28909359.18</v>
      </c>
      <c r="AI935" s="35"/>
      <c r="AJ935" s="38"/>
      <c r="AK935" s="38"/>
      <c r="AL935" s="23"/>
      <c r="AM935" s="35">
        <f>VLOOKUP(Tabla4[[#This Row],[SERVICIO 2025]],$J$2:$V$14,5,0)*Tabla4[[#This Row],[TOTAL COBERTURA]]</f>
        <v>641888</v>
      </c>
      <c r="AN935" s="35">
        <f>VLOOKUP(Tabla4[[#This Row],[SERVICIO 2025]],$J$2:$V$14,6,0)*Tabla4[[#This Row],[TOTAL COBERTURA]]</f>
        <v>533377</v>
      </c>
      <c r="AO935" s="35">
        <f>VLOOKUP(Tabla4[[#This Row],[SERVICIO 2025]],$J$2:$V$14,8,0)*Tabla4[[#This Row],[TOTAL COBERTURA]]</f>
        <v>378300</v>
      </c>
      <c r="AP935" s="35">
        <f>VLOOKUP(Tabla4[[#This Row],[SERVICIO 2025]],$J$2:$V$14,3,0)*Tabla4[[#This Row],[TOTAL COBERTURA]]*8</f>
        <v>26788944</v>
      </c>
      <c r="AQ935" s="35"/>
      <c r="AR935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935" s="35" t="str">
        <f>+IF(Tabla4[[#This Row],[AGRUPACIONES]]=1,SUMIFS(Tabla4[VALOR TOTAL],Tabla4[ZONA DEFINITIVO],Tabla4[[#This Row],[ZONA DEFINITIVO]])," ")</f>
        <v xml:space="preserve"> </v>
      </c>
      <c r="AT935" s="27">
        <f>(VLOOKUP(Tabla4[[#This Row],[SERVICIO 2025]],$J$2:$V$14,3,0)*Tabla4[[#This Row],[TOTAL COBERTURA]])+Tabla4[[#This Row],[VALOR FASE PREPARATORIA DE ALISTAMIENTO]]+Tabla4[[#This Row],[DOTACIÓN ÚNICA]]</f>
        <v>4368806</v>
      </c>
      <c r="AU935" s="35">
        <f>(VLOOKUP(Tabla4[[#This Row],[SERVICIO 2025]],$J$2:$V$14,3,0)*Tabla4[[#This Row],[TOTAL COBERTURA]])</f>
        <v>3348618</v>
      </c>
      <c r="AV935" s="35">
        <f>(VLOOKUP(Tabla4[[#This Row],[SERVICIO 2025]],$J$2:$V$14,3,0)*Tabla4[[#This Row],[TOTAL COBERTURA]])</f>
        <v>3348618</v>
      </c>
      <c r="AW935" s="35">
        <f>(VLOOKUP(Tabla4[[#This Row],[SERVICIO 2025]],$J$2:$V$14,3,0)*Tabla4[[#This Row],[TOTAL COBERTURA]])</f>
        <v>3348618</v>
      </c>
      <c r="AX935" s="35">
        <f>(VLOOKUP(Tabla4[[#This Row],[SERVICIO 2025]],$J$2:$V$14,3,0)*Tabla4[[#This Row],[TOTAL COBERTURA]])</f>
        <v>3348618</v>
      </c>
      <c r="AY935" s="35">
        <f>(VLOOKUP(Tabla4[[#This Row],[SERVICIO 2025]],$J$2:$V$14,3,0)*Tabla4[[#This Row],[TOTAL COBERTURA]])</f>
        <v>3348618</v>
      </c>
      <c r="AZ935" s="35">
        <f>(VLOOKUP(Tabla4[[#This Row],[SERVICIO 2025]],$J$2:$V$14,3,0)*Tabla4[[#This Row],[TOTAL COBERTURA]])</f>
        <v>3348618</v>
      </c>
      <c r="BA935" s="35">
        <f>(VLOOKUP(Tabla4[[#This Row],[SERVICIO 2025]],$J$2:$V$14,3,0)*Tabla4[[#This Row],[TOTAL COBERTURA]])+Tabla4[[#This Row],[VALOR FASE PREPARATORIA DE CIERRE]]</f>
        <v>3881995</v>
      </c>
      <c r="BB935" s="35">
        <f>SUM(Tabla4[[#This Row],[DESEMBOLSO 1]:[DESEMBOLSO 8]])</f>
        <v>28342509</v>
      </c>
      <c r="BC935" s="35">
        <f>VLOOKUP(Tabla4[[#This Row],[SERVICIO 2025]],$J$2:$V$14,10,0)*Tabla4[[#This Row],[TOTAL COBERTURA]]*$W$3</f>
        <v>18759832</v>
      </c>
      <c r="BD935" s="47" t="s">
        <v>211</v>
      </c>
      <c r="BE935" s="12" t="b">
        <f>EXACT(Tabla4[[#This Row],[VALOR ATENCIÓN (8 MESES)]],Tabla4[[#This Row],[VALOR TOTAL]])</f>
        <v>1</v>
      </c>
      <c r="BF935" s="23">
        <f>Tabla4[[#This Row],[VALOR ATENCIÓN (8 MESES)]]-Tabla4[[#This Row],[VALOR TOTAL]]</f>
        <v>0</v>
      </c>
      <c r="BG935" s="12" t="b">
        <f>EXACT(Tabla4[[#This Row],[TOTAL DESEMBOLSOS]],Tabla4[[#This Row],[VALOR ATENCIÓN (8 MESES)]])</f>
        <v>1</v>
      </c>
      <c r="BH935" s="29">
        <f>Tabla4[[#This Row],[TOTAL DESEMBOLSOS]]-Tabla4[[#This Row],[VALOR ATENCIÓN (8 MESES)]]</f>
        <v>0</v>
      </c>
      <c r="BI935" t="s">
        <v>98</v>
      </c>
      <c r="BJ935">
        <v>1981</v>
      </c>
    </row>
    <row r="936" spans="1:62">
      <c r="A936" s="13">
        <v>1981</v>
      </c>
      <c r="B936" s="13" t="s">
        <v>2036</v>
      </c>
      <c r="C936" s="12" t="s">
        <v>87</v>
      </c>
      <c r="D936" s="12" t="s">
        <v>673</v>
      </c>
      <c r="E936" s="12" t="s">
        <v>2028</v>
      </c>
      <c r="F936" s="12" t="s">
        <v>18</v>
      </c>
      <c r="G936" s="12" t="s">
        <v>90</v>
      </c>
      <c r="H936" s="12" t="s">
        <v>2071</v>
      </c>
      <c r="I936" s="12">
        <v>56041150581</v>
      </c>
      <c r="J936" s="12" t="s">
        <v>2072</v>
      </c>
      <c r="K936" s="12">
        <v>1</v>
      </c>
      <c r="L936" s="12">
        <v>20</v>
      </c>
      <c r="M936" s="12"/>
      <c r="N936" s="13">
        <v>1981</v>
      </c>
      <c r="O936" s="12" t="s">
        <v>93</v>
      </c>
      <c r="P936" s="12"/>
      <c r="Q936" s="12"/>
      <c r="R936" s="12" t="s">
        <v>94</v>
      </c>
      <c r="S936" s="12">
        <v>10</v>
      </c>
      <c r="T936" s="12" t="s">
        <v>2039</v>
      </c>
      <c r="U936" s="12" t="s">
        <v>2040</v>
      </c>
      <c r="V936" s="12">
        <f>VLOOKUP(Tabla4[[#This Row],[ZONA DEFINITIVO]],Hoja1!$A$1:$D$121,3,0)</f>
        <v>229138</v>
      </c>
      <c r="W936" s="12">
        <f>VLOOKUP(Tabla4[[#This Row],[ZONA DEFINITIVO]],Hoja1!$A$1:$D$121,2,0)</f>
        <v>15242</v>
      </c>
      <c r="X936" s="12">
        <f>VLOOKUP(Tabla4[[#This Row],[ZONA DEFINITIVO]],Hoja1!$A$1:$D$121,4,0)</f>
        <v>88525</v>
      </c>
      <c r="Y936" s="12" t="str">
        <f>+IF(Tabla4[[#This Row],[AGRUPACIONES]]=1,SUMIFS(Tabla4[UDS],Tabla4[ZONA DEFINITIVO],Tabla4[[#This Row],[ZONA DEFINITIVO]])," ")</f>
        <v xml:space="preserve"> </v>
      </c>
      <c r="Z936" s="12" t="str">
        <f>+IF(Tabla4[[#This Row],[AGRUPACIONES]]=1,SUMIFS(Tabla4[TOTAL COBERTURA],Tabla4[ZONA DEFINITIVO],Tabla4[[#This Row],[ZONA DEFINITIVO]])," ")</f>
        <v xml:space="preserve"> </v>
      </c>
      <c r="AA936" s="12"/>
      <c r="AB936" s="38">
        <v>43603860</v>
      </c>
      <c r="AC936" s="37">
        <v>0.02</v>
      </c>
      <c r="AD936" s="38">
        <f t="shared" si="15"/>
        <v>872077.20000000007</v>
      </c>
      <c r="AE936" s="12"/>
      <c r="AF936" s="12">
        <f>COUNTIF($A$20:A936,A936)</f>
        <v>18</v>
      </c>
      <c r="AG936" s="38">
        <v>43603860</v>
      </c>
      <c r="AH936" s="38">
        <f>Tabla4[[#This Row],[VALOR CONTRAPARTIDA]]+Tabla4[[#This Row],[TOTAL APORTES ICBF]]</f>
        <v>44475937.200000003</v>
      </c>
      <c r="AI936" s="35"/>
      <c r="AJ936" s="38"/>
      <c r="AK936" s="38"/>
      <c r="AL936" s="23"/>
      <c r="AM936" s="35">
        <f>VLOOKUP(Tabla4[[#This Row],[SERVICIO 2025]],$J$2:$V$14,5,0)*Tabla4[[#This Row],[TOTAL COBERTURA]]</f>
        <v>987520</v>
      </c>
      <c r="AN936" s="35">
        <f>VLOOKUP(Tabla4[[#This Row],[SERVICIO 2025]],$J$2:$V$14,6,0)*Tabla4[[#This Row],[TOTAL COBERTURA]]</f>
        <v>820580</v>
      </c>
      <c r="AO936" s="35">
        <f>VLOOKUP(Tabla4[[#This Row],[SERVICIO 2025]],$J$2:$V$14,8,0)*Tabla4[[#This Row],[TOTAL COBERTURA]]</f>
        <v>582000</v>
      </c>
      <c r="AP936" s="35">
        <f>VLOOKUP(Tabla4[[#This Row],[SERVICIO 2025]],$J$2:$V$14,3,0)*Tabla4[[#This Row],[TOTAL COBERTURA]]*8</f>
        <v>41213760</v>
      </c>
      <c r="AQ936" s="35"/>
      <c r="AR936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36" s="35" t="str">
        <f>+IF(Tabla4[[#This Row],[AGRUPACIONES]]=1,SUMIFS(Tabla4[VALOR TOTAL],Tabla4[ZONA DEFINITIVO],Tabla4[[#This Row],[ZONA DEFINITIVO]])," ")</f>
        <v xml:space="preserve"> </v>
      </c>
      <c r="AT936" s="27">
        <f>(VLOOKUP(Tabla4[[#This Row],[SERVICIO 2025]],$J$2:$V$14,3,0)*Tabla4[[#This Row],[TOTAL COBERTURA]])+Tabla4[[#This Row],[VALOR FASE PREPARATORIA DE ALISTAMIENTO]]+Tabla4[[#This Row],[DOTACIÓN ÚNICA]]</f>
        <v>6721240</v>
      </c>
      <c r="AU936" s="35">
        <f>(VLOOKUP(Tabla4[[#This Row],[SERVICIO 2025]],$J$2:$V$14,3,0)*Tabla4[[#This Row],[TOTAL COBERTURA]])</f>
        <v>5151720</v>
      </c>
      <c r="AV936" s="35">
        <f>(VLOOKUP(Tabla4[[#This Row],[SERVICIO 2025]],$J$2:$V$14,3,0)*Tabla4[[#This Row],[TOTAL COBERTURA]])</f>
        <v>5151720</v>
      </c>
      <c r="AW936" s="35">
        <f>(VLOOKUP(Tabla4[[#This Row],[SERVICIO 2025]],$J$2:$V$14,3,0)*Tabla4[[#This Row],[TOTAL COBERTURA]])</f>
        <v>5151720</v>
      </c>
      <c r="AX936" s="35">
        <f>(VLOOKUP(Tabla4[[#This Row],[SERVICIO 2025]],$J$2:$V$14,3,0)*Tabla4[[#This Row],[TOTAL COBERTURA]])</f>
        <v>5151720</v>
      </c>
      <c r="AY936" s="35">
        <f>(VLOOKUP(Tabla4[[#This Row],[SERVICIO 2025]],$J$2:$V$14,3,0)*Tabla4[[#This Row],[TOTAL COBERTURA]])</f>
        <v>5151720</v>
      </c>
      <c r="AZ936" s="35">
        <f>(VLOOKUP(Tabla4[[#This Row],[SERVICIO 2025]],$J$2:$V$14,3,0)*Tabla4[[#This Row],[TOTAL COBERTURA]])</f>
        <v>5151720</v>
      </c>
      <c r="BA936" s="35">
        <f>(VLOOKUP(Tabla4[[#This Row],[SERVICIO 2025]],$J$2:$V$14,3,0)*Tabla4[[#This Row],[TOTAL COBERTURA]])+Tabla4[[#This Row],[VALOR FASE PREPARATORIA DE CIERRE]]</f>
        <v>5972300</v>
      </c>
      <c r="BB936" s="35">
        <f>SUM(Tabla4[[#This Row],[DESEMBOLSO 1]:[DESEMBOLSO 8]])</f>
        <v>43603860</v>
      </c>
      <c r="BC936" s="35">
        <f>VLOOKUP(Tabla4[[#This Row],[SERVICIO 2025]],$J$2:$V$14,10,0)*Tabla4[[#This Row],[TOTAL COBERTURA]]*$W$3</f>
        <v>28861280</v>
      </c>
      <c r="BD936" s="47" t="s">
        <v>211</v>
      </c>
      <c r="BE936" s="12" t="b">
        <f>EXACT(Tabla4[[#This Row],[VALOR ATENCIÓN (8 MESES)]],Tabla4[[#This Row],[VALOR TOTAL]])</f>
        <v>1</v>
      </c>
      <c r="BF936" s="23">
        <f>Tabla4[[#This Row],[VALOR ATENCIÓN (8 MESES)]]-Tabla4[[#This Row],[VALOR TOTAL]]</f>
        <v>0</v>
      </c>
      <c r="BG936" s="12" t="b">
        <f>EXACT(Tabla4[[#This Row],[TOTAL DESEMBOLSOS]],Tabla4[[#This Row],[VALOR ATENCIÓN (8 MESES)]])</f>
        <v>1</v>
      </c>
      <c r="BH936" s="29">
        <f>Tabla4[[#This Row],[TOTAL DESEMBOLSOS]]-Tabla4[[#This Row],[VALOR ATENCIÓN (8 MESES)]]</f>
        <v>0</v>
      </c>
      <c r="BI936" t="s">
        <v>98</v>
      </c>
      <c r="BJ936">
        <v>1981</v>
      </c>
    </row>
    <row r="937" spans="1:62">
      <c r="A937" s="13">
        <v>1981</v>
      </c>
      <c r="B937" s="13" t="s">
        <v>2036</v>
      </c>
      <c r="C937" s="12" t="s">
        <v>87</v>
      </c>
      <c r="D937" s="12" t="s">
        <v>673</v>
      </c>
      <c r="E937" s="12" t="s">
        <v>2028</v>
      </c>
      <c r="F937" s="12" t="s">
        <v>18</v>
      </c>
      <c r="G937" s="12" t="s">
        <v>90</v>
      </c>
      <c r="H937" s="12" t="s">
        <v>2073</v>
      </c>
      <c r="I937" s="12">
        <v>56041150582</v>
      </c>
      <c r="J937" s="12" t="s">
        <v>2074</v>
      </c>
      <c r="K937" s="12">
        <v>1</v>
      </c>
      <c r="L937" s="12">
        <v>20</v>
      </c>
      <c r="M937" s="12"/>
      <c r="N937" s="13">
        <v>1981</v>
      </c>
      <c r="O937" s="12" t="s">
        <v>93</v>
      </c>
      <c r="P937" s="12"/>
      <c r="Q937" s="12"/>
      <c r="R937" s="12" t="s">
        <v>94</v>
      </c>
      <c r="S937" s="12">
        <v>10</v>
      </c>
      <c r="T937" s="12" t="s">
        <v>2039</v>
      </c>
      <c r="U937" s="12" t="s">
        <v>2040</v>
      </c>
      <c r="V937" s="12">
        <f>VLOOKUP(Tabla4[[#This Row],[ZONA DEFINITIVO]],Hoja1!$A$1:$D$121,3,0)</f>
        <v>229138</v>
      </c>
      <c r="W937" s="12">
        <f>VLOOKUP(Tabla4[[#This Row],[ZONA DEFINITIVO]],Hoja1!$A$1:$D$121,2,0)</f>
        <v>15242</v>
      </c>
      <c r="X937" s="12">
        <f>VLOOKUP(Tabla4[[#This Row],[ZONA DEFINITIVO]],Hoja1!$A$1:$D$121,4,0)</f>
        <v>88525</v>
      </c>
      <c r="Y937" s="12" t="str">
        <f>+IF(Tabla4[[#This Row],[AGRUPACIONES]]=1,SUMIFS(Tabla4[UDS],Tabla4[ZONA DEFINITIVO],Tabla4[[#This Row],[ZONA DEFINITIVO]])," ")</f>
        <v xml:space="preserve"> </v>
      </c>
      <c r="Z937" s="12" t="str">
        <f>+IF(Tabla4[[#This Row],[AGRUPACIONES]]=1,SUMIFS(Tabla4[TOTAL COBERTURA],Tabla4[ZONA DEFINITIVO],Tabla4[[#This Row],[ZONA DEFINITIVO]])," ")</f>
        <v xml:space="preserve"> </v>
      </c>
      <c r="AA937" s="12"/>
      <c r="AB937" s="38">
        <v>43603860</v>
      </c>
      <c r="AC937" s="37">
        <v>0.02</v>
      </c>
      <c r="AD937" s="38">
        <f t="shared" si="15"/>
        <v>872077.20000000007</v>
      </c>
      <c r="AE937" s="12"/>
      <c r="AF937" s="12">
        <f>COUNTIF($A$20:A937,A937)</f>
        <v>19</v>
      </c>
      <c r="AG937" s="38">
        <v>43603860</v>
      </c>
      <c r="AH937" s="38">
        <f>Tabla4[[#This Row],[VALOR CONTRAPARTIDA]]+Tabla4[[#This Row],[TOTAL APORTES ICBF]]</f>
        <v>44475937.200000003</v>
      </c>
      <c r="AI937" s="35"/>
      <c r="AJ937" s="38"/>
      <c r="AK937" s="38"/>
      <c r="AL937" s="23"/>
      <c r="AM937" s="35">
        <f>VLOOKUP(Tabla4[[#This Row],[SERVICIO 2025]],$J$2:$V$14,5,0)*Tabla4[[#This Row],[TOTAL COBERTURA]]</f>
        <v>987520</v>
      </c>
      <c r="AN937" s="35">
        <f>VLOOKUP(Tabla4[[#This Row],[SERVICIO 2025]],$J$2:$V$14,6,0)*Tabla4[[#This Row],[TOTAL COBERTURA]]</f>
        <v>820580</v>
      </c>
      <c r="AO937" s="35">
        <f>VLOOKUP(Tabla4[[#This Row],[SERVICIO 2025]],$J$2:$V$14,8,0)*Tabla4[[#This Row],[TOTAL COBERTURA]]</f>
        <v>582000</v>
      </c>
      <c r="AP937" s="35">
        <f>VLOOKUP(Tabla4[[#This Row],[SERVICIO 2025]],$J$2:$V$14,3,0)*Tabla4[[#This Row],[TOTAL COBERTURA]]*8</f>
        <v>41213760</v>
      </c>
      <c r="AQ937" s="35"/>
      <c r="AR937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37" s="35" t="str">
        <f>+IF(Tabla4[[#This Row],[AGRUPACIONES]]=1,SUMIFS(Tabla4[VALOR TOTAL],Tabla4[ZONA DEFINITIVO],Tabla4[[#This Row],[ZONA DEFINITIVO]])," ")</f>
        <v xml:space="preserve"> </v>
      </c>
      <c r="AT937" s="27">
        <f>(VLOOKUP(Tabla4[[#This Row],[SERVICIO 2025]],$J$2:$V$14,3,0)*Tabla4[[#This Row],[TOTAL COBERTURA]])+Tabla4[[#This Row],[VALOR FASE PREPARATORIA DE ALISTAMIENTO]]+Tabla4[[#This Row],[DOTACIÓN ÚNICA]]</f>
        <v>6721240</v>
      </c>
      <c r="AU937" s="35">
        <f>(VLOOKUP(Tabla4[[#This Row],[SERVICIO 2025]],$J$2:$V$14,3,0)*Tabla4[[#This Row],[TOTAL COBERTURA]])</f>
        <v>5151720</v>
      </c>
      <c r="AV937" s="35">
        <f>(VLOOKUP(Tabla4[[#This Row],[SERVICIO 2025]],$J$2:$V$14,3,0)*Tabla4[[#This Row],[TOTAL COBERTURA]])</f>
        <v>5151720</v>
      </c>
      <c r="AW937" s="35">
        <f>(VLOOKUP(Tabla4[[#This Row],[SERVICIO 2025]],$J$2:$V$14,3,0)*Tabla4[[#This Row],[TOTAL COBERTURA]])</f>
        <v>5151720</v>
      </c>
      <c r="AX937" s="35">
        <f>(VLOOKUP(Tabla4[[#This Row],[SERVICIO 2025]],$J$2:$V$14,3,0)*Tabla4[[#This Row],[TOTAL COBERTURA]])</f>
        <v>5151720</v>
      </c>
      <c r="AY937" s="35">
        <f>(VLOOKUP(Tabla4[[#This Row],[SERVICIO 2025]],$J$2:$V$14,3,0)*Tabla4[[#This Row],[TOTAL COBERTURA]])</f>
        <v>5151720</v>
      </c>
      <c r="AZ937" s="35">
        <f>(VLOOKUP(Tabla4[[#This Row],[SERVICIO 2025]],$J$2:$V$14,3,0)*Tabla4[[#This Row],[TOTAL COBERTURA]])</f>
        <v>5151720</v>
      </c>
      <c r="BA937" s="35">
        <f>(VLOOKUP(Tabla4[[#This Row],[SERVICIO 2025]],$J$2:$V$14,3,0)*Tabla4[[#This Row],[TOTAL COBERTURA]])+Tabla4[[#This Row],[VALOR FASE PREPARATORIA DE CIERRE]]</f>
        <v>5972300</v>
      </c>
      <c r="BB937" s="35">
        <f>SUM(Tabla4[[#This Row],[DESEMBOLSO 1]:[DESEMBOLSO 8]])</f>
        <v>43603860</v>
      </c>
      <c r="BC937" s="35">
        <f>VLOOKUP(Tabla4[[#This Row],[SERVICIO 2025]],$J$2:$V$14,10,0)*Tabla4[[#This Row],[TOTAL COBERTURA]]*$W$3</f>
        <v>28861280</v>
      </c>
      <c r="BD937" s="47" t="s">
        <v>211</v>
      </c>
      <c r="BE937" s="12" t="b">
        <f>EXACT(Tabla4[[#This Row],[VALOR ATENCIÓN (8 MESES)]],Tabla4[[#This Row],[VALOR TOTAL]])</f>
        <v>1</v>
      </c>
      <c r="BF937" s="23">
        <f>Tabla4[[#This Row],[VALOR ATENCIÓN (8 MESES)]]-Tabla4[[#This Row],[VALOR TOTAL]]</f>
        <v>0</v>
      </c>
      <c r="BG937" s="12" t="b">
        <f>EXACT(Tabla4[[#This Row],[TOTAL DESEMBOLSOS]],Tabla4[[#This Row],[VALOR ATENCIÓN (8 MESES)]])</f>
        <v>1</v>
      </c>
      <c r="BH937" s="29">
        <f>Tabla4[[#This Row],[TOTAL DESEMBOLSOS]]-Tabla4[[#This Row],[VALOR ATENCIÓN (8 MESES)]]</f>
        <v>0</v>
      </c>
      <c r="BI937" t="s">
        <v>98</v>
      </c>
      <c r="BJ937">
        <v>1981</v>
      </c>
    </row>
    <row r="938" spans="1:62">
      <c r="A938" s="13">
        <v>1981</v>
      </c>
      <c r="B938" s="13" t="s">
        <v>2036</v>
      </c>
      <c r="C938" s="12" t="s">
        <v>87</v>
      </c>
      <c r="D938" s="12" t="s">
        <v>673</v>
      </c>
      <c r="E938" s="12" t="s">
        <v>2028</v>
      </c>
      <c r="F938" s="12" t="s">
        <v>18</v>
      </c>
      <c r="G938" s="12" t="s">
        <v>90</v>
      </c>
      <c r="H938" s="12" t="s">
        <v>2075</v>
      </c>
      <c r="I938" s="12">
        <v>56041150583</v>
      </c>
      <c r="J938" s="12" t="s">
        <v>2076</v>
      </c>
      <c r="K938" s="12">
        <v>1</v>
      </c>
      <c r="L938" s="12">
        <v>20</v>
      </c>
      <c r="M938" s="12"/>
      <c r="N938" s="13">
        <v>1981</v>
      </c>
      <c r="O938" s="12" t="s">
        <v>93</v>
      </c>
      <c r="P938" s="12"/>
      <c r="Q938" s="12"/>
      <c r="R938" s="12" t="s">
        <v>94</v>
      </c>
      <c r="S938" s="12">
        <v>10</v>
      </c>
      <c r="T938" s="12" t="s">
        <v>2039</v>
      </c>
      <c r="U938" s="12" t="s">
        <v>2040</v>
      </c>
      <c r="V938" s="12">
        <f>VLOOKUP(Tabla4[[#This Row],[ZONA DEFINITIVO]],Hoja1!$A$1:$D$121,3,0)</f>
        <v>229138</v>
      </c>
      <c r="W938" s="12">
        <f>VLOOKUP(Tabla4[[#This Row],[ZONA DEFINITIVO]],Hoja1!$A$1:$D$121,2,0)</f>
        <v>15242</v>
      </c>
      <c r="X938" s="12">
        <f>VLOOKUP(Tabla4[[#This Row],[ZONA DEFINITIVO]],Hoja1!$A$1:$D$121,4,0)</f>
        <v>88525</v>
      </c>
      <c r="Y938" s="12" t="str">
        <f>+IF(Tabla4[[#This Row],[AGRUPACIONES]]=1,SUMIFS(Tabla4[UDS],Tabla4[ZONA DEFINITIVO],Tabla4[[#This Row],[ZONA DEFINITIVO]])," ")</f>
        <v xml:space="preserve"> </v>
      </c>
      <c r="Z938" s="12" t="str">
        <f>+IF(Tabla4[[#This Row],[AGRUPACIONES]]=1,SUMIFS(Tabla4[TOTAL COBERTURA],Tabla4[ZONA DEFINITIVO],Tabla4[[#This Row],[ZONA DEFINITIVO]])," ")</f>
        <v xml:space="preserve"> </v>
      </c>
      <c r="AA938" s="12"/>
      <c r="AB938" s="38">
        <v>43603860</v>
      </c>
      <c r="AC938" s="37">
        <v>0.02</v>
      </c>
      <c r="AD938" s="38">
        <f t="shared" si="15"/>
        <v>872077.20000000007</v>
      </c>
      <c r="AE938" s="12"/>
      <c r="AF938" s="12">
        <f>COUNTIF($A$20:A938,A938)</f>
        <v>20</v>
      </c>
      <c r="AG938" s="38">
        <v>43603860</v>
      </c>
      <c r="AH938" s="38">
        <f>Tabla4[[#This Row],[VALOR CONTRAPARTIDA]]+Tabla4[[#This Row],[TOTAL APORTES ICBF]]</f>
        <v>44475937.200000003</v>
      </c>
      <c r="AI938" s="35"/>
      <c r="AJ938" s="38"/>
      <c r="AK938" s="38"/>
      <c r="AL938" s="23"/>
      <c r="AM938" s="35">
        <f>VLOOKUP(Tabla4[[#This Row],[SERVICIO 2025]],$J$2:$V$14,5,0)*Tabla4[[#This Row],[TOTAL COBERTURA]]</f>
        <v>987520</v>
      </c>
      <c r="AN938" s="35">
        <f>VLOOKUP(Tabla4[[#This Row],[SERVICIO 2025]],$J$2:$V$14,6,0)*Tabla4[[#This Row],[TOTAL COBERTURA]]</f>
        <v>820580</v>
      </c>
      <c r="AO938" s="35">
        <f>VLOOKUP(Tabla4[[#This Row],[SERVICIO 2025]],$J$2:$V$14,8,0)*Tabla4[[#This Row],[TOTAL COBERTURA]]</f>
        <v>582000</v>
      </c>
      <c r="AP938" s="35">
        <f>VLOOKUP(Tabla4[[#This Row],[SERVICIO 2025]],$J$2:$V$14,3,0)*Tabla4[[#This Row],[TOTAL COBERTURA]]*8</f>
        <v>41213760</v>
      </c>
      <c r="AQ938" s="35"/>
      <c r="AR938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38" s="35" t="str">
        <f>+IF(Tabla4[[#This Row],[AGRUPACIONES]]=1,SUMIFS(Tabla4[VALOR TOTAL],Tabla4[ZONA DEFINITIVO],Tabla4[[#This Row],[ZONA DEFINITIVO]])," ")</f>
        <v xml:space="preserve"> </v>
      </c>
      <c r="AT938" s="27">
        <f>(VLOOKUP(Tabla4[[#This Row],[SERVICIO 2025]],$J$2:$V$14,3,0)*Tabla4[[#This Row],[TOTAL COBERTURA]])+Tabla4[[#This Row],[VALOR FASE PREPARATORIA DE ALISTAMIENTO]]+Tabla4[[#This Row],[DOTACIÓN ÚNICA]]</f>
        <v>6721240</v>
      </c>
      <c r="AU938" s="35">
        <f>(VLOOKUP(Tabla4[[#This Row],[SERVICIO 2025]],$J$2:$V$14,3,0)*Tabla4[[#This Row],[TOTAL COBERTURA]])</f>
        <v>5151720</v>
      </c>
      <c r="AV938" s="35">
        <f>(VLOOKUP(Tabla4[[#This Row],[SERVICIO 2025]],$J$2:$V$14,3,0)*Tabla4[[#This Row],[TOTAL COBERTURA]])</f>
        <v>5151720</v>
      </c>
      <c r="AW938" s="35">
        <f>(VLOOKUP(Tabla4[[#This Row],[SERVICIO 2025]],$J$2:$V$14,3,0)*Tabla4[[#This Row],[TOTAL COBERTURA]])</f>
        <v>5151720</v>
      </c>
      <c r="AX938" s="35">
        <f>(VLOOKUP(Tabla4[[#This Row],[SERVICIO 2025]],$J$2:$V$14,3,0)*Tabla4[[#This Row],[TOTAL COBERTURA]])</f>
        <v>5151720</v>
      </c>
      <c r="AY938" s="35">
        <f>(VLOOKUP(Tabla4[[#This Row],[SERVICIO 2025]],$J$2:$V$14,3,0)*Tabla4[[#This Row],[TOTAL COBERTURA]])</f>
        <v>5151720</v>
      </c>
      <c r="AZ938" s="35">
        <f>(VLOOKUP(Tabla4[[#This Row],[SERVICIO 2025]],$J$2:$V$14,3,0)*Tabla4[[#This Row],[TOTAL COBERTURA]])</f>
        <v>5151720</v>
      </c>
      <c r="BA938" s="35">
        <f>(VLOOKUP(Tabla4[[#This Row],[SERVICIO 2025]],$J$2:$V$14,3,0)*Tabla4[[#This Row],[TOTAL COBERTURA]])+Tabla4[[#This Row],[VALOR FASE PREPARATORIA DE CIERRE]]</f>
        <v>5972300</v>
      </c>
      <c r="BB938" s="35">
        <f>SUM(Tabla4[[#This Row],[DESEMBOLSO 1]:[DESEMBOLSO 8]])</f>
        <v>43603860</v>
      </c>
      <c r="BC938" s="35">
        <f>VLOOKUP(Tabla4[[#This Row],[SERVICIO 2025]],$J$2:$V$14,10,0)*Tabla4[[#This Row],[TOTAL COBERTURA]]*$W$3</f>
        <v>28861280</v>
      </c>
      <c r="BD938" s="47" t="s">
        <v>211</v>
      </c>
      <c r="BE938" s="12" t="b">
        <f>EXACT(Tabla4[[#This Row],[VALOR ATENCIÓN (8 MESES)]],Tabla4[[#This Row],[VALOR TOTAL]])</f>
        <v>1</v>
      </c>
      <c r="BF938" s="23">
        <f>Tabla4[[#This Row],[VALOR ATENCIÓN (8 MESES)]]-Tabla4[[#This Row],[VALOR TOTAL]]</f>
        <v>0</v>
      </c>
      <c r="BG938" s="12" t="b">
        <f>EXACT(Tabla4[[#This Row],[TOTAL DESEMBOLSOS]],Tabla4[[#This Row],[VALOR ATENCIÓN (8 MESES)]])</f>
        <v>1</v>
      </c>
      <c r="BH938" s="29">
        <f>Tabla4[[#This Row],[TOTAL DESEMBOLSOS]]-Tabla4[[#This Row],[VALOR ATENCIÓN (8 MESES)]]</f>
        <v>0</v>
      </c>
      <c r="BI938" t="s">
        <v>98</v>
      </c>
      <c r="BJ938">
        <v>1981</v>
      </c>
    </row>
    <row r="939" spans="1:62">
      <c r="A939" s="13">
        <v>1981</v>
      </c>
      <c r="B939" s="13" t="s">
        <v>2036</v>
      </c>
      <c r="C939" s="12" t="s">
        <v>87</v>
      </c>
      <c r="D939" s="12" t="s">
        <v>673</v>
      </c>
      <c r="E939" s="12" t="s">
        <v>2028</v>
      </c>
      <c r="F939" s="12" t="s">
        <v>18</v>
      </c>
      <c r="G939" s="12" t="s">
        <v>90</v>
      </c>
      <c r="H939" s="12" t="s">
        <v>2077</v>
      </c>
      <c r="I939" s="12">
        <v>56041150585</v>
      </c>
      <c r="J939" s="12" t="s">
        <v>2078</v>
      </c>
      <c r="K939" s="12">
        <v>1</v>
      </c>
      <c r="L939" s="12">
        <v>20</v>
      </c>
      <c r="M939" s="12"/>
      <c r="N939" s="13">
        <v>1981</v>
      </c>
      <c r="O939" s="12" t="s">
        <v>93</v>
      </c>
      <c r="P939" s="12"/>
      <c r="Q939" s="12"/>
      <c r="R939" s="12" t="s">
        <v>94</v>
      </c>
      <c r="S939" s="12">
        <v>10</v>
      </c>
      <c r="T939" s="12" t="s">
        <v>2039</v>
      </c>
      <c r="U939" s="12" t="s">
        <v>2040</v>
      </c>
      <c r="V939" s="12">
        <f>VLOOKUP(Tabla4[[#This Row],[ZONA DEFINITIVO]],Hoja1!$A$1:$D$121,3,0)</f>
        <v>229138</v>
      </c>
      <c r="W939" s="12">
        <f>VLOOKUP(Tabla4[[#This Row],[ZONA DEFINITIVO]],Hoja1!$A$1:$D$121,2,0)</f>
        <v>15242</v>
      </c>
      <c r="X939" s="12">
        <f>VLOOKUP(Tabla4[[#This Row],[ZONA DEFINITIVO]],Hoja1!$A$1:$D$121,4,0)</f>
        <v>88525</v>
      </c>
      <c r="Y939" s="12" t="str">
        <f>+IF(Tabla4[[#This Row],[AGRUPACIONES]]=1,SUMIFS(Tabla4[UDS],Tabla4[ZONA DEFINITIVO],Tabla4[[#This Row],[ZONA DEFINITIVO]])," ")</f>
        <v xml:space="preserve"> </v>
      </c>
      <c r="Z939" s="12" t="str">
        <f>+IF(Tabla4[[#This Row],[AGRUPACIONES]]=1,SUMIFS(Tabla4[TOTAL COBERTURA],Tabla4[ZONA DEFINITIVO],Tabla4[[#This Row],[ZONA DEFINITIVO]])," ")</f>
        <v xml:space="preserve"> </v>
      </c>
      <c r="AA939" s="12"/>
      <c r="AB939" s="38">
        <v>43603860</v>
      </c>
      <c r="AC939" s="37">
        <v>0.02</v>
      </c>
      <c r="AD939" s="38">
        <f t="shared" si="15"/>
        <v>872077.20000000007</v>
      </c>
      <c r="AE939" s="12"/>
      <c r="AF939" s="12">
        <f>COUNTIF($A$20:A939,A939)</f>
        <v>21</v>
      </c>
      <c r="AG939" s="38">
        <v>43603860</v>
      </c>
      <c r="AH939" s="38">
        <f>Tabla4[[#This Row],[VALOR CONTRAPARTIDA]]+Tabla4[[#This Row],[TOTAL APORTES ICBF]]</f>
        <v>44475937.200000003</v>
      </c>
      <c r="AI939" s="35"/>
      <c r="AJ939" s="38"/>
      <c r="AK939" s="38"/>
      <c r="AL939" s="23"/>
      <c r="AM939" s="35">
        <f>VLOOKUP(Tabla4[[#This Row],[SERVICIO 2025]],$J$2:$V$14,5,0)*Tabla4[[#This Row],[TOTAL COBERTURA]]</f>
        <v>987520</v>
      </c>
      <c r="AN939" s="35">
        <f>VLOOKUP(Tabla4[[#This Row],[SERVICIO 2025]],$J$2:$V$14,6,0)*Tabla4[[#This Row],[TOTAL COBERTURA]]</f>
        <v>820580</v>
      </c>
      <c r="AO939" s="35">
        <f>VLOOKUP(Tabla4[[#This Row],[SERVICIO 2025]],$J$2:$V$14,8,0)*Tabla4[[#This Row],[TOTAL COBERTURA]]</f>
        <v>582000</v>
      </c>
      <c r="AP939" s="35">
        <f>VLOOKUP(Tabla4[[#This Row],[SERVICIO 2025]],$J$2:$V$14,3,0)*Tabla4[[#This Row],[TOTAL COBERTURA]]*8</f>
        <v>41213760</v>
      </c>
      <c r="AQ939" s="35"/>
      <c r="AR939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39" s="35" t="str">
        <f>+IF(Tabla4[[#This Row],[AGRUPACIONES]]=1,SUMIFS(Tabla4[VALOR TOTAL],Tabla4[ZONA DEFINITIVO],Tabla4[[#This Row],[ZONA DEFINITIVO]])," ")</f>
        <v xml:space="preserve"> </v>
      </c>
      <c r="AT939" s="27">
        <f>(VLOOKUP(Tabla4[[#This Row],[SERVICIO 2025]],$J$2:$V$14,3,0)*Tabla4[[#This Row],[TOTAL COBERTURA]])+Tabla4[[#This Row],[VALOR FASE PREPARATORIA DE ALISTAMIENTO]]+Tabla4[[#This Row],[DOTACIÓN ÚNICA]]</f>
        <v>6721240</v>
      </c>
      <c r="AU939" s="35">
        <f>(VLOOKUP(Tabla4[[#This Row],[SERVICIO 2025]],$J$2:$V$14,3,0)*Tabla4[[#This Row],[TOTAL COBERTURA]])</f>
        <v>5151720</v>
      </c>
      <c r="AV939" s="35">
        <f>(VLOOKUP(Tabla4[[#This Row],[SERVICIO 2025]],$J$2:$V$14,3,0)*Tabla4[[#This Row],[TOTAL COBERTURA]])</f>
        <v>5151720</v>
      </c>
      <c r="AW939" s="35">
        <f>(VLOOKUP(Tabla4[[#This Row],[SERVICIO 2025]],$J$2:$V$14,3,0)*Tabla4[[#This Row],[TOTAL COBERTURA]])</f>
        <v>5151720</v>
      </c>
      <c r="AX939" s="35">
        <f>(VLOOKUP(Tabla4[[#This Row],[SERVICIO 2025]],$J$2:$V$14,3,0)*Tabla4[[#This Row],[TOTAL COBERTURA]])</f>
        <v>5151720</v>
      </c>
      <c r="AY939" s="35">
        <f>(VLOOKUP(Tabla4[[#This Row],[SERVICIO 2025]],$J$2:$V$14,3,0)*Tabla4[[#This Row],[TOTAL COBERTURA]])</f>
        <v>5151720</v>
      </c>
      <c r="AZ939" s="35">
        <f>(VLOOKUP(Tabla4[[#This Row],[SERVICIO 2025]],$J$2:$V$14,3,0)*Tabla4[[#This Row],[TOTAL COBERTURA]])</f>
        <v>5151720</v>
      </c>
      <c r="BA939" s="35">
        <f>(VLOOKUP(Tabla4[[#This Row],[SERVICIO 2025]],$J$2:$V$14,3,0)*Tabla4[[#This Row],[TOTAL COBERTURA]])+Tabla4[[#This Row],[VALOR FASE PREPARATORIA DE CIERRE]]</f>
        <v>5972300</v>
      </c>
      <c r="BB939" s="35">
        <f>SUM(Tabla4[[#This Row],[DESEMBOLSO 1]:[DESEMBOLSO 8]])</f>
        <v>43603860</v>
      </c>
      <c r="BC939" s="35">
        <f>VLOOKUP(Tabla4[[#This Row],[SERVICIO 2025]],$J$2:$V$14,10,0)*Tabla4[[#This Row],[TOTAL COBERTURA]]*$W$3</f>
        <v>28861280</v>
      </c>
      <c r="BD939" s="47" t="s">
        <v>211</v>
      </c>
      <c r="BE939" s="12" t="b">
        <f>EXACT(Tabla4[[#This Row],[VALOR ATENCIÓN (8 MESES)]],Tabla4[[#This Row],[VALOR TOTAL]])</f>
        <v>1</v>
      </c>
      <c r="BF939" s="23">
        <f>Tabla4[[#This Row],[VALOR ATENCIÓN (8 MESES)]]-Tabla4[[#This Row],[VALOR TOTAL]]</f>
        <v>0</v>
      </c>
      <c r="BG939" s="12" t="b">
        <f>EXACT(Tabla4[[#This Row],[TOTAL DESEMBOLSOS]],Tabla4[[#This Row],[VALOR ATENCIÓN (8 MESES)]])</f>
        <v>1</v>
      </c>
      <c r="BH939" s="29">
        <f>Tabla4[[#This Row],[TOTAL DESEMBOLSOS]]-Tabla4[[#This Row],[VALOR ATENCIÓN (8 MESES)]]</f>
        <v>0</v>
      </c>
      <c r="BI939" t="s">
        <v>98</v>
      </c>
      <c r="BJ939">
        <v>1981</v>
      </c>
    </row>
    <row r="940" spans="1:62">
      <c r="A940" s="13">
        <v>1981</v>
      </c>
      <c r="B940" s="13" t="s">
        <v>2036</v>
      </c>
      <c r="C940" s="12" t="s">
        <v>87</v>
      </c>
      <c r="D940" s="12" t="s">
        <v>673</v>
      </c>
      <c r="E940" s="12" t="s">
        <v>2028</v>
      </c>
      <c r="F940" s="12" t="s">
        <v>18</v>
      </c>
      <c r="G940" s="12" t="s">
        <v>90</v>
      </c>
      <c r="H940" s="12" t="s">
        <v>2079</v>
      </c>
      <c r="I940" s="12">
        <v>56041150586</v>
      </c>
      <c r="J940" s="12" t="s">
        <v>2080</v>
      </c>
      <c r="K940" s="12">
        <v>1</v>
      </c>
      <c r="L940" s="12">
        <v>20</v>
      </c>
      <c r="M940" s="12"/>
      <c r="N940" s="13">
        <v>1981</v>
      </c>
      <c r="O940" s="12" t="s">
        <v>93</v>
      </c>
      <c r="P940" s="12"/>
      <c r="Q940" s="12"/>
      <c r="R940" s="12" t="s">
        <v>94</v>
      </c>
      <c r="S940" s="12">
        <v>10</v>
      </c>
      <c r="T940" s="12" t="s">
        <v>2039</v>
      </c>
      <c r="U940" s="12" t="s">
        <v>2040</v>
      </c>
      <c r="V940" s="12">
        <f>VLOOKUP(Tabla4[[#This Row],[ZONA DEFINITIVO]],Hoja1!$A$1:$D$121,3,0)</f>
        <v>229138</v>
      </c>
      <c r="W940" s="12">
        <f>VLOOKUP(Tabla4[[#This Row],[ZONA DEFINITIVO]],Hoja1!$A$1:$D$121,2,0)</f>
        <v>15242</v>
      </c>
      <c r="X940" s="12">
        <f>VLOOKUP(Tabla4[[#This Row],[ZONA DEFINITIVO]],Hoja1!$A$1:$D$121,4,0)</f>
        <v>88525</v>
      </c>
      <c r="Y940" s="12" t="str">
        <f>+IF(Tabla4[[#This Row],[AGRUPACIONES]]=1,SUMIFS(Tabla4[UDS],Tabla4[ZONA DEFINITIVO],Tabla4[[#This Row],[ZONA DEFINITIVO]])," ")</f>
        <v xml:space="preserve"> </v>
      </c>
      <c r="Z940" s="12" t="str">
        <f>+IF(Tabla4[[#This Row],[AGRUPACIONES]]=1,SUMIFS(Tabla4[TOTAL COBERTURA],Tabla4[ZONA DEFINITIVO],Tabla4[[#This Row],[ZONA DEFINITIVO]])," ")</f>
        <v xml:space="preserve"> </v>
      </c>
      <c r="AA940" s="12"/>
      <c r="AB940" s="38">
        <v>43603860</v>
      </c>
      <c r="AC940" s="37">
        <v>0.02</v>
      </c>
      <c r="AD940" s="38">
        <f t="shared" si="15"/>
        <v>872077.20000000007</v>
      </c>
      <c r="AE940" s="12"/>
      <c r="AF940" s="12">
        <f>COUNTIF($A$20:A940,A940)</f>
        <v>22</v>
      </c>
      <c r="AG940" s="38">
        <v>43603860</v>
      </c>
      <c r="AH940" s="38">
        <f>Tabla4[[#This Row],[VALOR CONTRAPARTIDA]]+Tabla4[[#This Row],[TOTAL APORTES ICBF]]</f>
        <v>44475937.200000003</v>
      </c>
      <c r="AI940" s="35"/>
      <c r="AJ940" s="38"/>
      <c r="AK940" s="38"/>
      <c r="AL940" s="23"/>
      <c r="AM940" s="35">
        <f>VLOOKUP(Tabla4[[#This Row],[SERVICIO 2025]],$J$2:$V$14,5,0)*Tabla4[[#This Row],[TOTAL COBERTURA]]</f>
        <v>987520</v>
      </c>
      <c r="AN940" s="35">
        <f>VLOOKUP(Tabla4[[#This Row],[SERVICIO 2025]],$J$2:$V$14,6,0)*Tabla4[[#This Row],[TOTAL COBERTURA]]</f>
        <v>820580</v>
      </c>
      <c r="AO940" s="35">
        <f>VLOOKUP(Tabla4[[#This Row],[SERVICIO 2025]],$J$2:$V$14,8,0)*Tabla4[[#This Row],[TOTAL COBERTURA]]</f>
        <v>582000</v>
      </c>
      <c r="AP940" s="35">
        <f>VLOOKUP(Tabla4[[#This Row],[SERVICIO 2025]],$J$2:$V$14,3,0)*Tabla4[[#This Row],[TOTAL COBERTURA]]*8</f>
        <v>41213760</v>
      </c>
      <c r="AQ940" s="35"/>
      <c r="AR940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40" s="35" t="str">
        <f>+IF(Tabla4[[#This Row],[AGRUPACIONES]]=1,SUMIFS(Tabla4[VALOR TOTAL],Tabla4[ZONA DEFINITIVO],Tabla4[[#This Row],[ZONA DEFINITIVO]])," ")</f>
        <v xml:space="preserve"> </v>
      </c>
      <c r="AT940" s="27">
        <f>(VLOOKUP(Tabla4[[#This Row],[SERVICIO 2025]],$J$2:$V$14,3,0)*Tabla4[[#This Row],[TOTAL COBERTURA]])+Tabla4[[#This Row],[VALOR FASE PREPARATORIA DE ALISTAMIENTO]]+Tabla4[[#This Row],[DOTACIÓN ÚNICA]]</f>
        <v>6721240</v>
      </c>
      <c r="AU940" s="35">
        <f>(VLOOKUP(Tabla4[[#This Row],[SERVICIO 2025]],$J$2:$V$14,3,0)*Tabla4[[#This Row],[TOTAL COBERTURA]])</f>
        <v>5151720</v>
      </c>
      <c r="AV940" s="35">
        <f>(VLOOKUP(Tabla4[[#This Row],[SERVICIO 2025]],$J$2:$V$14,3,0)*Tabla4[[#This Row],[TOTAL COBERTURA]])</f>
        <v>5151720</v>
      </c>
      <c r="AW940" s="35">
        <f>(VLOOKUP(Tabla4[[#This Row],[SERVICIO 2025]],$J$2:$V$14,3,0)*Tabla4[[#This Row],[TOTAL COBERTURA]])</f>
        <v>5151720</v>
      </c>
      <c r="AX940" s="35">
        <f>(VLOOKUP(Tabla4[[#This Row],[SERVICIO 2025]],$J$2:$V$14,3,0)*Tabla4[[#This Row],[TOTAL COBERTURA]])</f>
        <v>5151720</v>
      </c>
      <c r="AY940" s="35">
        <f>(VLOOKUP(Tabla4[[#This Row],[SERVICIO 2025]],$J$2:$V$14,3,0)*Tabla4[[#This Row],[TOTAL COBERTURA]])</f>
        <v>5151720</v>
      </c>
      <c r="AZ940" s="35">
        <f>(VLOOKUP(Tabla4[[#This Row],[SERVICIO 2025]],$J$2:$V$14,3,0)*Tabla4[[#This Row],[TOTAL COBERTURA]])</f>
        <v>5151720</v>
      </c>
      <c r="BA940" s="35">
        <f>(VLOOKUP(Tabla4[[#This Row],[SERVICIO 2025]],$J$2:$V$14,3,0)*Tabla4[[#This Row],[TOTAL COBERTURA]])+Tabla4[[#This Row],[VALOR FASE PREPARATORIA DE CIERRE]]</f>
        <v>5972300</v>
      </c>
      <c r="BB940" s="35">
        <f>SUM(Tabla4[[#This Row],[DESEMBOLSO 1]:[DESEMBOLSO 8]])</f>
        <v>43603860</v>
      </c>
      <c r="BC940" s="35">
        <f>VLOOKUP(Tabla4[[#This Row],[SERVICIO 2025]],$J$2:$V$14,10,0)*Tabla4[[#This Row],[TOTAL COBERTURA]]*$W$3</f>
        <v>28861280</v>
      </c>
      <c r="BD940" s="47" t="s">
        <v>211</v>
      </c>
      <c r="BE940" s="12" t="b">
        <f>EXACT(Tabla4[[#This Row],[VALOR ATENCIÓN (8 MESES)]],Tabla4[[#This Row],[VALOR TOTAL]])</f>
        <v>1</v>
      </c>
      <c r="BF940" s="23">
        <f>Tabla4[[#This Row],[VALOR ATENCIÓN (8 MESES)]]-Tabla4[[#This Row],[VALOR TOTAL]]</f>
        <v>0</v>
      </c>
      <c r="BG940" s="12" t="b">
        <f>EXACT(Tabla4[[#This Row],[TOTAL DESEMBOLSOS]],Tabla4[[#This Row],[VALOR ATENCIÓN (8 MESES)]])</f>
        <v>1</v>
      </c>
      <c r="BH940" s="29">
        <f>Tabla4[[#This Row],[TOTAL DESEMBOLSOS]]-Tabla4[[#This Row],[VALOR ATENCIÓN (8 MESES)]]</f>
        <v>0</v>
      </c>
      <c r="BI940" t="s">
        <v>98</v>
      </c>
      <c r="BJ940">
        <v>1981</v>
      </c>
    </row>
    <row r="941" spans="1:62">
      <c r="A941" s="13">
        <v>1981</v>
      </c>
      <c r="B941" s="13" t="s">
        <v>2036</v>
      </c>
      <c r="C941" s="12" t="s">
        <v>87</v>
      </c>
      <c r="D941" s="12" t="s">
        <v>673</v>
      </c>
      <c r="E941" s="12" t="s">
        <v>2028</v>
      </c>
      <c r="F941" s="12" t="s">
        <v>18</v>
      </c>
      <c r="G941" s="12" t="s">
        <v>90</v>
      </c>
      <c r="H941" s="12" t="s">
        <v>2081</v>
      </c>
      <c r="I941" s="12">
        <v>56041150587</v>
      </c>
      <c r="J941" s="12" t="s">
        <v>2082</v>
      </c>
      <c r="K941" s="12">
        <v>1</v>
      </c>
      <c r="L941" s="12">
        <v>20</v>
      </c>
      <c r="M941" s="12"/>
      <c r="N941" s="13">
        <v>1981</v>
      </c>
      <c r="O941" s="12" t="s">
        <v>93</v>
      </c>
      <c r="P941" s="12"/>
      <c r="Q941" s="12"/>
      <c r="R941" s="12" t="s">
        <v>94</v>
      </c>
      <c r="S941" s="12">
        <v>10</v>
      </c>
      <c r="T941" s="12" t="s">
        <v>2039</v>
      </c>
      <c r="U941" s="12" t="s">
        <v>2040</v>
      </c>
      <c r="V941" s="12">
        <f>VLOOKUP(Tabla4[[#This Row],[ZONA DEFINITIVO]],Hoja1!$A$1:$D$121,3,0)</f>
        <v>229138</v>
      </c>
      <c r="W941" s="12">
        <f>VLOOKUP(Tabla4[[#This Row],[ZONA DEFINITIVO]],Hoja1!$A$1:$D$121,2,0)</f>
        <v>15242</v>
      </c>
      <c r="X941" s="12">
        <f>VLOOKUP(Tabla4[[#This Row],[ZONA DEFINITIVO]],Hoja1!$A$1:$D$121,4,0)</f>
        <v>88525</v>
      </c>
      <c r="Y941" s="12" t="str">
        <f>+IF(Tabla4[[#This Row],[AGRUPACIONES]]=1,SUMIFS(Tabla4[UDS],Tabla4[ZONA DEFINITIVO],Tabla4[[#This Row],[ZONA DEFINITIVO]])," ")</f>
        <v xml:space="preserve"> </v>
      </c>
      <c r="Z941" s="12" t="str">
        <f>+IF(Tabla4[[#This Row],[AGRUPACIONES]]=1,SUMIFS(Tabla4[TOTAL COBERTURA],Tabla4[ZONA DEFINITIVO],Tabla4[[#This Row],[ZONA DEFINITIVO]])," ")</f>
        <v xml:space="preserve"> </v>
      </c>
      <c r="AA941" s="12"/>
      <c r="AB941" s="38">
        <v>43603860</v>
      </c>
      <c r="AC941" s="37">
        <v>0.02</v>
      </c>
      <c r="AD941" s="38">
        <f t="shared" si="15"/>
        <v>872077.20000000007</v>
      </c>
      <c r="AE941" s="12"/>
      <c r="AF941" s="12">
        <f>COUNTIF($A$20:A941,A941)</f>
        <v>23</v>
      </c>
      <c r="AG941" s="38">
        <v>43603860</v>
      </c>
      <c r="AH941" s="38">
        <f>Tabla4[[#This Row],[VALOR CONTRAPARTIDA]]+Tabla4[[#This Row],[TOTAL APORTES ICBF]]</f>
        <v>44475937.200000003</v>
      </c>
      <c r="AI941" s="35"/>
      <c r="AJ941" s="38"/>
      <c r="AK941" s="38"/>
      <c r="AL941" s="23"/>
      <c r="AM941" s="35">
        <f>VLOOKUP(Tabla4[[#This Row],[SERVICIO 2025]],$J$2:$V$14,5,0)*Tabla4[[#This Row],[TOTAL COBERTURA]]</f>
        <v>987520</v>
      </c>
      <c r="AN941" s="35">
        <f>VLOOKUP(Tabla4[[#This Row],[SERVICIO 2025]],$J$2:$V$14,6,0)*Tabla4[[#This Row],[TOTAL COBERTURA]]</f>
        <v>820580</v>
      </c>
      <c r="AO941" s="35">
        <f>VLOOKUP(Tabla4[[#This Row],[SERVICIO 2025]],$J$2:$V$14,8,0)*Tabla4[[#This Row],[TOTAL COBERTURA]]</f>
        <v>582000</v>
      </c>
      <c r="AP941" s="35">
        <f>VLOOKUP(Tabla4[[#This Row],[SERVICIO 2025]],$J$2:$V$14,3,0)*Tabla4[[#This Row],[TOTAL COBERTURA]]*8</f>
        <v>41213760</v>
      </c>
      <c r="AQ941" s="35"/>
      <c r="AR941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41" s="35" t="str">
        <f>+IF(Tabla4[[#This Row],[AGRUPACIONES]]=1,SUMIFS(Tabla4[VALOR TOTAL],Tabla4[ZONA DEFINITIVO],Tabla4[[#This Row],[ZONA DEFINITIVO]])," ")</f>
        <v xml:space="preserve"> </v>
      </c>
      <c r="AT941" s="27">
        <f>(VLOOKUP(Tabla4[[#This Row],[SERVICIO 2025]],$J$2:$V$14,3,0)*Tabla4[[#This Row],[TOTAL COBERTURA]])+Tabla4[[#This Row],[VALOR FASE PREPARATORIA DE ALISTAMIENTO]]+Tabla4[[#This Row],[DOTACIÓN ÚNICA]]</f>
        <v>6721240</v>
      </c>
      <c r="AU941" s="35">
        <f>(VLOOKUP(Tabla4[[#This Row],[SERVICIO 2025]],$J$2:$V$14,3,0)*Tabla4[[#This Row],[TOTAL COBERTURA]])</f>
        <v>5151720</v>
      </c>
      <c r="AV941" s="35">
        <f>(VLOOKUP(Tabla4[[#This Row],[SERVICIO 2025]],$J$2:$V$14,3,0)*Tabla4[[#This Row],[TOTAL COBERTURA]])</f>
        <v>5151720</v>
      </c>
      <c r="AW941" s="35">
        <f>(VLOOKUP(Tabla4[[#This Row],[SERVICIO 2025]],$J$2:$V$14,3,0)*Tabla4[[#This Row],[TOTAL COBERTURA]])</f>
        <v>5151720</v>
      </c>
      <c r="AX941" s="35">
        <f>(VLOOKUP(Tabla4[[#This Row],[SERVICIO 2025]],$J$2:$V$14,3,0)*Tabla4[[#This Row],[TOTAL COBERTURA]])</f>
        <v>5151720</v>
      </c>
      <c r="AY941" s="35">
        <f>(VLOOKUP(Tabla4[[#This Row],[SERVICIO 2025]],$J$2:$V$14,3,0)*Tabla4[[#This Row],[TOTAL COBERTURA]])</f>
        <v>5151720</v>
      </c>
      <c r="AZ941" s="35">
        <f>(VLOOKUP(Tabla4[[#This Row],[SERVICIO 2025]],$J$2:$V$14,3,0)*Tabla4[[#This Row],[TOTAL COBERTURA]])</f>
        <v>5151720</v>
      </c>
      <c r="BA941" s="35">
        <f>(VLOOKUP(Tabla4[[#This Row],[SERVICIO 2025]],$J$2:$V$14,3,0)*Tabla4[[#This Row],[TOTAL COBERTURA]])+Tabla4[[#This Row],[VALOR FASE PREPARATORIA DE CIERRE]]</f>
        <v>5972300</v>
      </c>
      <c r="BB941" s="35">
        <f>SUM(Tabla4[[#This Row],[DESEMBOLSO 1]:[DESEMBOLSO 8]])</f>
        <v>43603860</v>
      </c>
      <c r="BC941" s="35">
        <f>VLOOKUP(Tabla4[[#This Row],[SERVICIO 2025]],$J$2:$V$14,10,0)*Tabla4[[#This Row],[TOTAL COBERTURA]]*$W$3</f>
        <v>28861280</v>
      </c>
      <c r="BD941" s="47" t="s">
        <v>211</v>
      </c>
      <c r="BE941" s="12" t="b">
        <f>EXACT(Tabla4[[#This Row],[VALOR ATENCIÓN (8 MESES)]],Tabla4[[#This Row],[VALOR TOTAL]])</f>
        <v>1</v>
      </c>
      <c r="BF941" s="23">
        <f>Tabla4[[#This Row],[VALOR ATENCIÓN (8 MESES)]]-Tabla4[[#This Row],[VALOR TOTAL]]</f>
        <v>0</v>
      </c>
      <c r="BG941" s="12" t="b">
        <f>EXACT(Tabla4[[#This Row],[TOTAL DESEMBOLSOS]],Tabla4[[#This Row],[VALOR ATENCIÓN (8 MESES)]])</f>
        <v>1</v>
      </c>
      <c r="BH941" s="29">
        <f>Tabla4[[#This Row],[TOTAL DESEMBOLSOS]]-Tabla4[[#This Row],[VALOR ATENCIÓN (8 MESES)]]</f>
        <v>0</v>
      </c>
      <c r="BI941" t="s">
        <v>98</v>
      </c>
      <c r="BJ941">
        <v>1981</v>
      </c>
    </row>
    <row r="942" spans="1:62">
      <c r="A942" s="13">
        <v>1981</v>
      </c>
      <c r="B942" s="13" t="s">
        <v>2036</v>
      </c>
      <c r="C942" s="12" t="s">
        <v>87</v>
      </c>
      <c r="D942" s="12" t="s">
        <v>673</v>
      </c>
      <c r="E942" s="12" t="s">
        <v>2028</v>
      </c>
      <c r="F942" s="12" t="s">
        <v>18</v>
      </c>
      <c r="G942" s="12" t="s">
        <v>90</v>
      </c>
      <c r="H942" s="12" t="s">
        <v>2083</v>
      </c>
      <c r="I942" s="12">
        <v>56041150588</v>
      </c>
      <c r="J942" s="12" t="s">
        <v>2084</v>
      </c>
      <c r="K942" s="12">
        <v>1</v>
      </c>
      <c r="L942" s="12">
        <v>20</v>
      </c>
      <c r="M942" s="12"/>
      <c r="N942" s="13">
        <v>1981</v>
      </c>
      <c r="O942" s="12" t="s">
        <v>93</v>
      </c>
      <c r="P942" s="12"/>
      <c r="Q942" s="12"/>
      <c r="R942" s="12" t="s">
        <v>94</v>
      </c>
      <c r="S942" s="12">
        <v>10</v>
      </c>
      <c r="T942" s="12" t="s">
        <v>2039</v>
      </c>
      <c r="U942" s="12" t="s">
        <v>2040</v>
      </c>
      <c r="V942" s="12">
        <f>VLOOKUP(Tabla4[[#This Row],[ZONA DEFINITIVO]],Hoja1!$A$1:$D$121,3,0)</f>
        <v>229138</v>
      </c>
      <c r="W942" s="12">
        <f>VLOOKUP(Tabla4[[#This Row],[ZONA DEFINITIVO]],Hoja1!$A$1:$D$121,2,0)</f>
        <v>15242</v>
      </c>
      <c r="X942" s="12">
        <f>VLOOKUP(Tabla4[[#This Row],[ZONA DEFINITIVO]],Hoja1!$A$1:$D$121,4,0)</f>
        <v>88525</v>
      </c>
      <c r="Y942" s="12" t="str">
        <f>+IF(Tabla4[[#This Row],[AGRUPACIONES]]=1,SUMIFS(Tabla4[UDS],Tabla4[ZONA DEFINITIVO],Tabla4[[#This Row],[ZONA DEFINITIVO]])," ")</f>
        <v xml:space="preserve"> </v>
      </c>
      <c r="Z942" s="12" t="str">
        <f>+IF(Tabla4[[#This Row],[AGRUPACIONES]]=1,SUMIFS(Tabla4[TOTAL COBERTURA],Tabla4[ZONA DEFINITIVO],Tabla4[[#This Row],[ZONA DEFINITIVO]])," ")</f>
        <v xml:space="preserve"> </v>
      </c>
      <c r="AA942" s="12"/>
      <c r="AB942" s="38">
        <v>43603860</v>
      </c>
      <c r="AC942" s="37">
        <v>0.02</v>
      </c>
      <c r="AD942" s="38">
        <f t="shared" si="15"/>
        <v>872077.20000000007</v>
      </c>
      <c r="AE942" s="12"/>
      <c r="AF942" s="12">
        <f>COUNTIF($A$20:A942,A942)</f>
        <v>24</v>
      </c>
      <c r="AG942" s="38">
        <v>43603860</v>
      </c>
      <c r="AH942" s="38">
        <f>Tabla4[[#This Row],[VALOR CONTRAPARTIDA]]+Tabla4[[#This Row],[TOTAL APORTES ICBF]]</f>
        <v>44475937.200000003</v>
      </c>
      <c r="AI942" s="35"/>
      <c r="AJ942" s="38"/>
      <c r="AK942" s="38"/>
      <c r="AL942" s="23"/>
      <c r="AM942" s="35">
        <f>VLOOKUP(Tabla4[[#This Row],[SERVICIO 2025]],$J$2:$V$14,5,0)*Tabla4[[#This Row],[TOTAL COBERTURA]]</f>
        <v>987520</v>
      </c>
      <c r="AN942" s="35">
        <f>VLOOKUP(Tabla4[[#This Row],[SERVICIO 2025]],$J$2:$V$14,6,0)*Tabla4[[#This Row],[TOTAL COBERTURA]]</f>
        <v>820580</v>
      </c>
      <c r="AO942" s="35">
        <f>VLOOKUP(Tabla4[[#This Row],[SERVICIO 2025]],$J$2:$V$14,8,0)*Tabla4[[#This Row],[TOTAL COBERTURA]]</f>
        <v>582000</v>
      </c>
      <c r="AP942" s="35">
        <f>VLOOKUP(Tabla4[[#This Row],[SERVICIO 2025]],$J$2:$V$14,3,0)*Tabla4[[#This Row],[TOTAL COBERTURA]]*8</f>
        <v>41213760</v>
      </c>
      <c r="AQ942" s="35"/>
      <c r="AR942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42" s="35" t="str">
        <f>+IF(Tabla4[[#This Row],[AGRUPACIONES]]=1,SUMIFS(Tabla4[VALOR TOTAL],Tabla4[ZONA DEFINITIVO],Tabla4[[#This Row],[ZONA DEFINITIVO]])," ")</f>
        <v xml:space="preserve"> </v>
      </c>
      <c r="AT942" s="27">
        <f>(VLOOKUP(Tabla4[[#This Row],[SERVICIO 2025]],$J$2:$V$14,3,0)*Tabla4[[#This Row],[TOTAL COBERTURA]])+Tabla4[[#This Row],[VALOR FASE PREPARATORIA DE ALISTAMIENTO]]+Tabla4[[#This Row],[DOTACIÓN ÚNICA]]</f>
        <v>6721240</v>
      </c>
      <c r="AU942" s="35">
        <f>(VLOOKUP(Tabla4[[#This Row],[SERVICIO 2025]],$J$2:$V$14,3,0)*Tabla4[[#This Row],[TOTAL COBERTURA]])</f>
        <v>5151720</v>
      </c>
      <c r="AV942" s="35">
        <f>(VLOOKUP(Tabla4[[#This Row],[SERVICIO 2025]],$J$2:$V$14,3,0)*Tabla4[[#This Row],[TOTAL COBERTURA]])</f>
        <v>5151720</v>
      </c>
      <c r="AW942" s="35">
        <f>(VLOOKUP(Tabla4[[#This Row],[SERVICIO 2025]],$J$2:$V$14,3,0)*Tabla4[[#This Row],[TOTAL COBERTURA]])</f>
        <v>5151720</v>
      </c>
      <c r="AX942" s="35">
        <f>(VLOOKUP(Tabla4[[#This Row],[SERVICIO 2025]],$J$2:$V$14,3,0)*Tabla4[[#This Row],[TOTAL COBERTURA]])</f>
        <v>5151720</v>
      </c>
      <c r="AY942" s="35">
        <f>(VLOOKUP(Tabla4[[#This Row],[SERVICIO 2025]],$J$2:$V$14,3,0)*Tabla4[[#This Row],[TOTAL COBERTURA]])</f>
        <v>5151720</v>
      </c>
      <c r="AZ942" s="35">
        <f>(VLOOKUP(Tabla4[[#This Row],[SERVICIO 2025]],$J$2:$V$14,3,0)*Tabla4[[#This Row],[TOTAL COBERTURA]])</f>
        <v>5151720</v>
      </c>
      <c r="BA942" s="35">
        <f>(VLOOKUP(Tabla4[[#This Row],[SERVICIO 2025]],$J$2:$V$14,3,0)*Tabla4[[#This Row],[TOTAL COBERTURA]])+Tabla4[[#This Row],[VALOR FASE PREPARATORIA DE CIERRE]]</f>
        <v>5972300</v>
      </c>
      <c r="BB942" s="35">
        <f>SUM(Tabla4[[#This Row],[DESEMBOLSO 1]:[DESEMBOLSO 8]])</f>
        <v>43603860</v>
      </c>
      <c r="BC942" s="35">
        <f>VLOOKUP(Tabla4[[#This Row],[SERVICIO 2025]],$J$2:$V$14,10,0)*Tabla4[[#This Row],[TOTAL COBERTURA]]*$W$3</f>
        <v>28861280</v>
      </c>
      <c r="BD942" s="47" t="s">
        <v>211</v>
      </c>
      <c r="BE942" s="12" t="b">
        <f>EXACT(Tabla4[[#This Row],[VALOR ATENCIÓN (8 MESES)]],Tabla4[[#This Row],[VALOR TOTAL]])</f>
        <v>1</v>
      </c>
      <c r="BF942" s="23">
        <f>Tabla4[[#This Row],[VALOR ATENCIÓN (8 MESES)]]-Tabla4[[#This Row],[VALOR TOTAL]]</f>
        <v>0</v>
      </c>
      <c r="BG942" s="12" t="b">
        <f>EXACT(Tabla4[[#This Row],[TOTAL DESEMBOLSOS]],Tabla4[[#This Row],[VALOR ATENCIÓN (8 MESES)]])</f>
        <v>1</v>
      </c>
      <c r="BH942" s="29">
        <f>Tabla4[[#This Row],[TOTAL DESEMBOLSOS]]-Tabla4[[#This Row],[VALOR ATENCIÓN (8 MESES)]]</f>
        <v>0</v>
      </c>
      <c r="BI942" t="s">
        <v>98</v>
      </c>
      <c r="BJ942">
        <v>1981</v>
      </c>
    </row>
    <row r="943" spans="1:62">
      <c r="A943" s="13">
        <v>1981</v>
      </c>
      <c r="B943" s="13" t="s">
        <v>2036</v>
      </c>
      <c r="C943" s="12" t="s">
        <v>87</v>
      </c>
      <c r="D943" s="12" t="s">
        <v>673</v>
      </c>
      <c r="E943" s="12" t="s">
        <v>2028</v>
      </c>
      <c r="F943" s="12" t="s">
        <v>18</v>
      </c>
      <c r="G943" s="12" t="s">
        <v>90</v>
      </c>
      <c r="H943" s="12" t="s">
        <v>2085</v>
      </c>
      <c r="I943" s="12">
        <v>56041152197</v>
      </c>
      <c r="J943" s="12" t="s">
        <v>2086</v>
      </c>
      <c r="K943" s="12">
        <v>1</v>
      </c>
      <c r="L943" s="12">
        <v>18</v>
      </c>
      <c r="M943" s="12"/>
      <c r="N943" s="13">
        <v>1981</v>
      </c>
      <c r="O943" s="12" t="s">
        <v>93</v>
      </c>
      <c r="P943" s="12"/>
      <c r="Q943" s="12"/>
      <c r="R943" s="12" t="s">
        <v>94</v>
      </c>
      <c r="S943" s="12">
        <v>10</v>
      </c>
      <c r="T943" s="12" t="s">
        <v>2039</v>
      </c>
      <c r="U943" s="12" t="s">
        <v>2040</v>
      </c>
      <c r="V943" s="12">
        <f>VLOOKUP(Tabla4[[#This Row],[ZONA DEFINITIVO]],Hoja1!$A$1:$D$121,3,0)</f>
        <v>229138</v>
      </c>
      <c r="W943" s="12">
        <f>VLOOKUP(Tabla4[[#This Row],[ZONA DEFINITIVO]],Hoja1!$A$1:$D$121,2,0)</f>
        <v>15242</v>
      </c>
      <c r="X943" s="12">
        <f>VLOOKUP(Tabla4[[#This Row],[ZONA DEFINITIVO]],Hoja1!$A$1:$D$121,4,0)</f>
        <v>88525</v>
      </c>
      <c r="Y943" s="12" t="str">
        <f>+IF(Tabla4[[#This Row],[AGRUPACIONES]]=1,SUMIFS(Tabla4[UDS],Tabla4[ZONA DEFINITIVO],Tabla4[[#This Row],[ZONA DEFINITIVO]])," ")</f>
        <v xml:space="preserve"> </v>
      </c>
      <c r="Z943" s="12" t="str">
        <f>+IF(Tabla4[[#This Row],[AGRUPACIONES]]=1,SUMIFS(Tabla4[TOTAL COBERTURA],Tabla4[ZONA DEFINITIVO],Tabla4[[#This Row],[ZONA DEFINITIVO]])," ")</f>
        <v xml:space="preserve"> </v>
      </c>
      <c r="AA943" s="12"/>
      <c r="AB943" s="38">
        <v>39243474</v>
      </c>
      <c r="AC943" s="37">
        <v>0.02</v>
      </c>
      <c r="AD943" s="38">
        <f t="shared" si="15"/>
        <v>784869.48</v>
      </c>
      <c r="AE943" s="12"/>
      <c r="AF943" s="12">
        <f>COUNTIF($A$20:A943,A943)</f>
        <v>25</v>
      </c>
      <c r="AG943" s="38">
        <v>39243474</v>
      </c>
      <c r="AH943" s="38">
        <f>Tabla4[[#This Row],[VALOR CONTRAPARTIDA]]+Tabla4[[#This Row],[TOTAL APORTES ICBF]]</f>
        <v>40028343.479999997</v>
      </c>
      <c r="AI943" s="35"/>
      <c r="AJ943" s="38"/>
      <c r="AK943" s="38"/>
      <c r="AL943" s="23"/>
      <c r="AM943" s="35">
        <f>VLOOKUP(Tabla4[[#This Row],[SERVICIO 2025]],$J$2:$V$14,5,0)*Tabla4[[#This Row],[TOTAL COBERTURA]]</f>
        <v>888768</v>
      </c>
      <c r="AN943" s="35">
        <f>VLOOKUP(Tabla4[[#This Row],[SERVICIO 2025]],$J$2:$V$14,6,0)*Tabla4[[#This Row],[TOTAL COBERTURA]]</f>
        <v>738522</v>
      </c>
      <c r="AO943" s="35">
        <f>VLOOKUP(Tabla4[[#This Row],[SERVICIO 2025]],$J$2:$V$14,8,0)*Tabla4[[#This Row],[TOTAL COBERTURA]]</f>
        <v>523800</v>
      </c>
      <c r="AP943" s="35">
        <f>VLOOKUP(Tabla4[[#This Row],[SERVICIO 2025]],$J$2:$V$14,3,0)*Tabla4[[#This Row],[TOTAL COBERTURA]]*8</f>
        <v>37092384</v>
      </c>
      <c r="AQ943" s="35"/>
      <c r="AR943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943" s="35" t="str">
        <f>+IF(Tabla4[[#This Row],[AGRUPACIONES]]=1,SUMIFS(Tabla4[VALOR TOTAL],Tabla4[ZONA DEFINITIVO],Tabla4[[#This Row],[ZONA DEFINITIVO]])," ")</f>
        <v xml:space="preserve"> </v>
      </c>
      <c r="AT943" s="27">
        <f>(VLOOKUP(Tabla4[[#This Row],[SERVICIO 2025]],$J$2:$V$14,3,0)*Tabla4[[#This Row],[TOTAL COBERTURA]])+Tabla4[[#This Row],[VALOR FASE PREPARATORIA DE ALISTAMIENTO]]+Tabla4[[#This Row],[DOTACIÓN ÚNICA]]</f>
        <v>6049116</v>
      </c>
      <c r="AU943" s="35">
        <f>(VLOOKUP(Tabla4[[#This Row],[SERVICIO 2025]],$J$2:$V$14,3,0)*Tabla4[[#This Row],[TOTAL COBERTURA]])</f>
        <v>4636548</v>
      </c>
      <c r="AV943" s="35">
        <f>(VLOOKUP(Tabla4[[#This Row],[SERVICIO 2025]],$J$2:$V$14,3,0)*Tabla4[[#This Row],[TOTAL COBERTURA]])</f>
        <v>4636548</v>
      </c>
      <c r="AW943" s="35">
        <f>(VLOOKUP(Tabla4[[#This Row],[SERVICIO 2025]],$J$2:$V$14,3,0)*Tabla4[[#This Row],[TOTAL COBERTURA]])</f>
        <v>4636548</v>
      </c>
      <c r="AX943" s="35">
        <f>(VLOOKUP(Tabla4[[#This Row],[SERVICIO 2025]],$J$2:$V$14,3,0)*Tabla4[[#This Row],[TOTAL COBERTURA]])</f>
        <v>4636548</v>
      </c>
      <c r="AY943" s="35">
        <f>(VLOOKUP(Tabla4[[#This Row],[SERVICIO 2025]],$J$2:$V$14,3,0)*Tabla4[[#This Row],[TOTAL COBERTURA]])</f>
        <v>4636548</v>
      </c>
      <c r="AZ943" s="35">
        <f>(VLOOKUP(Tabla4[[#This Row],[SERVICIO 2025]],$J$2:$V$14,3,0)*Tabla4[[#This Row],[TOTAL COBERTURA]])</f>
        <v>4636548</v>
      </c>
      <c r="BA943" s="35">
        <f>(VLOOKUP(Tabla4[[#This Row],[SERVICIO 2025]],$J$2:$V$14,3,0)*Tabla4[[#This Row],[TOTAL COBERTURA]])+Tabla4[[#This Row],[VALOR FASE PREPARATORIA DE CIERRE]]</f>
        <v>5375070</v>
      </c>
      <c r="BB943" s="35">
        <f>SUM(Tabla4[[#This Row],[DESEMBOLSO 1]:[DESEMBOLSO 8]])</f>
        <v>39243474</v>
      </c>
      <c r="BC943" s="35">
        <f>VLOOKUP(Tabla4[[#This Row],[SERVICIO 2025]],$J$2:$V$14,10,0)*Tabla4[[#This Row],[TOTAL COBERTURA]]*$W$3</f>
        <v>25975152</v>
      </c>
      <c r="BD943" s="47" t="s">
        <v>211</v>
      </c>
      <c r="BE943" s="12" t="b">
        <f>EXACT(Tabla4[[#This Row],[VALOR ATENCIÓN (8 MESES)]],Tabla4[[#This Row],[VALOR TOTAL]])</f>
        <v>1</v>
      </c>
      <c r="BF943" s="23">
        <f>Tabla4[[#This Row],[VALOR ATENCIÓN (8 MESES)]]-Tabla4[[#This Row],[VALOR TOTAL]]</f>
        <v>0</v>
      </c>
      <c r="BG943" s="12" t="b">
        <f>EXACT(Tabla4[[#This Row],[TOTAL DESEMBOLSOS]],Tabla4[[#This Row],[VALOR ATENCIÓN (8 MESES)]])</f>
        <v>1</v>
      </c>
      <c r="BH943" s="29">
        <f>Tabla4[[#This Row],[TOTAL DESEMBOLSOS]]-Tabla4[[#This Row],[VALOR ATENCIÓN (8 MESES)]]</f>
        <v>0</v>
      </c>
      <c r="BI943" t="s">
        <v>98</v>
      </c>
      <c r="BJ943">
        <v>1981</v>
      </c>
    </row>
    <row r="944" spans="1:62">
      <c r="A944" s="13">
        <v>1981</v>
      </c>
      <c r="B944" s="13" t="s">
        <v>2036</v>
      </c>
      <c r="C944" s="12" t="s">
        <v>87</v>
      </c>
      <c r="D944" s="12" t="s">
        <v>673</v>
      </c>
      <c r="E944" s="12" t="s">
        <v>2028</v>
      </c>
      <c r="F944" s="12" t="s">
        <v>18</v>
      </c>
      <c r="G944" s="12" t="s">
        <v>90</v>
      </c>
      <c r="H944" s="12" t="s">
        <v>2087</v>
      </c>
      <c r="I944" s="12">
        <v>56041152805</v>
      </c>
      <c r="J944" s="12" t="s">
        <v>2088</v>
      </c>
      <c r="K944" s="12">
        <v>1</v>
      </c>
      <c r="L944" s="12">
        <v>50</v>
      </c>
      <c r="M944" s="12"/>
      <c r="N944" s="13">
        <v>1981</v>
      </c>
      <c r="O944" s="12" t="s">
        <v>93</v>
      </c>
      <c r="P944" s="12"/>
      <c r="Q944" s="12"/>
      <c r="R944" s="12" t="s">
        <v>94</v>
      </c>
      <c r="S944" s="12">
        <v>10</v>
      </c>
      <c r="T944" s="12" t="s">
        <v>2039</v>
      </c>
      <c r="U944" s="12" t="s">
        <v>2040</v>
      </c>
      <c r="V944" s="12">
        <f>VLOOKUP(Tabla4[[#This Row],[ZONA DEFINITIVO]],Hoja1!$A$1:$D$121,3,0)</f>
        <v>229138</v>
      </c>
      <c r="W944" s="12">
        <f>VLOOKUP(Tabla4[[#This Row],[ZONA DEFINITIVO]],Hoja1!$A$1:$D$121,2,0)</f>
        <v>15242</v>
      </c>
      <c r="X944" s="12">
        <f>VLOOKUP(Tabla4[[#This Row],[ZONA DEFINITIVO]],Hoja1!$A$1:$D$121,4,0)</f>
        <v>88525</v>
      </c>
      <c r="Y944" s="12" t="str">
        <f>+IF(Tabla4[[#This Row],[AGRUPACIONES]]=1,SUMIFS(Tabla4[UDS],Tabla4[ZONA DEFINITIVO],Tabla4[[#This Row],[ZONA DEFINITIVO]])," ")</f>
        <v xml:space="preserve"> </v>
      </c>
      <c r="Z944" s="12" t="str">
        <f>+IF(Tabla4[[#This Row],[AGRUPACIONES]]=1,SUMIFS(Tabla4[TOTAL COBERTURA],Tabla4[ZONA DEFINITIVO],Tabla4[[#This Row],[ZONA DEFINITIVO]])," ")</f>
        <v xml:space="preserve"> </v>
      </c>
      <c r="AA944" s="12"/>
      <c r="AB944" s="38">
        <v>109009650</v>
      </c>
      <c r="AC944" s="37">
        <v>0.02</v>
      </c>
      <c r="AD944" s="38">
        <f t="shared" si="15"/>
        <v>2180193</v>
      </c>
      <c r="AE944" s="12"/>
      <c r="AF944" s="12">
        <f>COUNTIF($A$20:A944,A944)</f>
        <v>26</v>
      </c>
      <c r="AG944" s="38">
        <v>109009650</v>
      </c>
      <c r="AH944" s="38">
        <f>Tabla4[[#This Row],[VALOR CONTRAPARTIDA]]+Tabla4[[#This Row],[TOTAL APORTES ICBF]]</f>
        <v>111189843</v>
      </c>
      <c r="AI944" s="35"/>
      <c r="AJ944" s="38"/>
      <c r="AK944" s="38"/>
      <c r="AL944" s="23"/>
      <c r="AM944" s="35">
        <f>VLOOKUP(Tabla4[[#This Row],[SERVICIO 2025]],$J$2:$V$14,5,0)*Tabla4[[#This Row],[TOTAL COBERTURA]]</f>
        <v>2468800</v>
      </c>
      <c r="AN944" s="35">
        <f>VLOOKUP(Tabla4[[#This Row],[SERVICIO 2025]],$J$2:$V$14,6,0)*Tabla4[[#This Row],[TOTAL COBERTURA]]</f>
        <v>2051450</v>
      </c>
      <c r="AO944" s="35">
        <f>VLOOKUP(Tabla4[[#This Row],[SERVICIO 2025]],$J$2:$V$14,8,0)*Tabla4[[#This Row],[TOTAL COBERTURA]]</f>
        <v>1455000</v>
      </c>
      <c r="AP944" s="35">
        <f>VLOOKUP(Tabla4[[#This Row],[SERVICIO 2025]],$J$2:$V$14,3,0)*Tabla4[[#This Row],[TOTAL COBERTURA]]*8</f>
        <v>103034400</v>
      </c>
      <c r="AQ944" s="35"/>
      <c r="AR944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44" s="35" t="str">
        <f>+IF(Tabla4[[#This Row],[AGRUPACIONES]]=1,SUMIFS(Tabla4[VALOR TOTAL],Tabla4[ZONA DEFINITIVO],Tabla4[[#This Row],[ZONA DEFINITIVO]])," ")</f>
        <v xml:space="preserve"> </v>
      </c>
      <c r="AT944" s="27">
        <f>(VLOOKUP(Tabla4[[#This Row],[SERVICIO 2025]],$J$2:$V$14,3,0)*Tabla4[[#This Row],[TOTAL COBERTURA]])+Tabla4[[#This Row],[VALOR FASE PREPARATORIA DE ALISTAMIENTO]]+Tabla4[[#This Row],[DOTACIÓN ÚNICA]]</f>
        <v>16803100</v>
      </c>
      <c r="AU944" s="35">
        <f>(VLOOKUP(Tabla4[[#This Row],[SERVICIO 2025]],$J$2:$V$14,3,0)*Tabla4[[#This Row],[TOTAL COBERTURA]])</f>
        <v>12879300</v>
      </c>
      <c r="AV944" s="35">
        <f>(VLOOKUP(Tabla4[[#This Row],[SERVICIO 2025]],$J$2:$V$14,3,0)*Tabla4[[#This Row],[TOTAL COBERTURA]])</f>
        <v>12879300</v>
      </c>
      <c r="AW944" s="35">
        <f>(VLOOKUP(Tabla4[[#This Row],[SERVICIO 2025]],$J$2:$V$14,3,0)*Tabla4[[#This Row],[TOTAL COBERTURA]])</f>
        <v>12879300</v>
      </c>
      <c r="AX944" s="35">
        <f>(VLOOKUP(Tabla4[[#This Row],[SERVICIO 2025]],$J$2:$V$14,3,0)*Tabla4[[#This Row],[TOTAL COBERTURA]])</f>
        <v>12879300</v>
      </c>
      <c r="AY944" s="35">
        <f>(VLOOKUP(Tabla4[[#This Row],[SERVICIO 2025]],$J$2:$V$14,3,0)*Tabla4[[#This Row],[TOTAL COBERTURA]])</f>
        <v>12879300</v>
      </c>
      <c r="AZ944" s="35">
        <f>(VLOOKUP(Tabla4[[#This Row],[SERVICIO 2025]],$J$2:$V$14,3,0)*Tabla4[[#This Row],[TOTAL COBERTURA]])</f>
        <v>12879300</v>
      </c>
      <c r="BA944" s="35">
        <f>(VLOOKUP(Tabla4[[#This Row],[SERVICIO 2025]],$J$2:$V$14,3,0)*Tabla4[[#This Row],[TOTAL COBERTURA]])+Tabla4[[#This Row],[VALOR FASE PREPARATORIA DE CIERRE]]</f>
        <v>14930750</v>
      </c>
      <c r="BB944" s="35">
        <f>SUM(Tabla4[[#This Row],[DESEMBOLSO 1]:[DESEMBOLSO 8]])</f>
        <v>109009650</v>
      </c>
      <c r="BC944" s="35">
        <f>VLOOKUP(Tabla4[[#This Row],[SERVICIO 2025]],$J$2:$V$14,10,0)*Tabla4[[#This Row],[TOTAL COBERTURA]]*$W$3</f>
        <v>72153200</v>
      </c>
      <c r="BD944" s="47" t="s">
        <v>211</v>
      </c>
      <c r="BE944" s="12" t="b">
        <f>EXACT(Tabla4[[#This Row],[VALOR ATENCIÓN (8 MESES)]],Tabla4[[#This Row],[VALOR TOTAL]])</f>
        <v>1</v>
      </c>
      <c r="BF944" s="23">
        <f>Tabla4[[#This Row],[VALOR ATENCIÓN (8 MESES)]]-Tabla4[[#This Row],[VALOR TOTAL]]</f>
        <v>0</v>
      </c>
      <c r="BG944" s="12" t="b">
        <f>EXACT(Tabla4[[#This Row],[TOTAL DESEMBOLSOS]],Tabla4[[#This Row],[VALOR ATENCIÓN (8 MESES)]])</f>
        <v>1</v>
      </c>
      <c r="BH944" s="29">
        <f>Tabla4[[#This Row],[TOTAL DESEMBOLSOS]]-Tabla4[[#This Row],[VALOR ATENCIÓN (8 MESES)]]</f>
        <v>0</v>
      </c>
      <c r="BI944" t="s">
        <v>98</v>
      </c>
      <c r="BJ944">
        <v>1981</v>
      </c>
    </row>
    <row r="945" spans="1:62">
      <c r="A945" s="13">
        <v>1981</v>
      </c>
      <c r="B945" s="13" t="s">
        <v>2036</v>
      </c>
      <c r="C945" s="12" t="s">
        <v>87</v>
      </c>
      <c r="D945" s="12" t="s">
        <v>673</v>
      </c>
      <c r="E945" s="12" t="s">
        <v>2028</v>
      </c>
      <c r="F945" s="12" t="s">
        <v>18</v>
      </c>
      <c r="G945" s="12" t="s">
        <v>90</v>
      </c>
      <c r="H945" s="12" t="s">
        <v>2033</v>
      </c>
      <c r="I945" s="12">
        <v>56041153113</v>
      </c>
      <c r="J945" s="12" t="s">
        <v>2089</v>
      </c>
      <c r="K945" s="12">
        <v>1</v>
      </c>
      <c r="L945" s="12">
        <v>20</v>
      </c>
      <c r="M945" s="12"/>
      <c r="N945" s="13">
        <v>1981</v>
      </c>
      <c r="O945" s="12" t="s">
        <v>93</v>
      </c>
      <c r="P945" s="12"/>
      <c r="Q945" s="12"/>
      <c r="R945" s="12" t="s">
        <v>94</v>
      </c>
      <c r="S945" s="12">
        <v>10</v>
      </c>
      <c r="T945" s="12" t="s">
        <v>2039</v>
      </c>
      <c r="U945" s="12" t="s">
        <v>2040</v>
      </c>
      <c r="V945" s="12">
        <f>VLOOKUP(Tabla4[[#This Row],[ZONA DEFINITIVO]],Hoja1!$A$1:$D$121,3,0)</f>
        <v>229138</v>
      </c>
      <c r="W945" s="12">
        <f>VLOOKUP(Tabla4[[#This Row],[ZONA DEFINITIVO]],Hoja1!$A$1:$D$121,2,0)</f>
        <v>15242</v>
      </c>
      <c r="X945" s="12">
        <f>VLOOKUP(Tabla4[[#This Row],[ZONA DEFINITIVO]],Hoja1!$A$1:$D$121,4,0)</f>
        <v>88525</v>
      </c>
      <c r="Y945" s="12" t="str">
        <f>+IF(Tabla4[[#This Row],[AGRUPACIONES]]=1,SUMIFS(Tabla4[UDS],Tabla4[ZONA DEFINITIVO],Tabla4[[#This Row],[ZONA DEFINITIVO]])," ")</f>
        <v xml:space="preserve"> </v>
      </c>
      <c r="Z945" s="12" t="str">
        <f>+IF(Tabla4[[#This Row],[AGRUPACIONES]]=1,SUMIFS(Tabla4[TOTAL COBERTURA],Tabla4[ZONA DEFINITIVO],Tabla4[[#This Row],[ZONA DEFINITIVO]])," ")</f>
        <v xml:space="preserve"> </v>
      </c>
      <c r="AA945" s="12"/>
      <c r="AB945" s="38">
        <v>43603860</v>
      </c>
      <c r="AC945" s="37">
        <v>0.02</v>
      </c>
      <c r="AD945" s="38">
        <f t="shared" si="15"/>
        <v>872077.20000000007</v>
      </c>
      <c r="AE945" s="12"/>
      <c r="AF945" s="12">
        <f>COUNTIF($A$20:A945,A945)</f>
        <v>27</v>
      </c>
      <c r="AG945" s="38">
        <v>43603860</v>
      </c>
      <c r="AH945" s="38">
        <f>Tabla4[[#This Row],[VALOR CONTRAPARTIDA]]+Tabla4[[#This Row],[TOTAL APORTES ICBF]]</f>
        <v>44475937.200000003</v>
      </c>
      <c r="AI945" s="35"/>
      <c r="AJ945" s="38"/>
      <c r="AK945" s="38"/>
      <c r="AL945" s="23"/>
      <c r="AM945" s="35">
        <f>VLOOKUP(Tabla4[[#This Row],[SERVICIO 2025]],$J$2:$V$14,5,0)*Tabla4[[#This Row],[TOTAL COBERTURA]]</f>
        <v>987520</v>
      </c>
      <c r="AN945" s="35">
        <f>VLOOKUP(Tabla4[[#This Row],[SERVICIO 2025]],$J$2:$V$14,6,0)*Tabla4[[#This Row],[TOTAL COBERTURA]]</f>
        <v>820580</v>
      </c>
      <c r="AO945" s="35">
        <f>VLOOKUP(Tabla4[[#This Row],[SERVICIO 2025]],$J$2:$V$14,8,0)*Tabla4[[#This Row],[TOTAL COBERTURA]]</f>
        <v>582000</v>
      </c>
      <c r="AP945" s="35">
        <f>VLOOKUP(Tabla4[[#This Row],[SERVICIO 2025]],$J$2:$V$14,3,0)*Tabla4[[#This Row],[TOTAL COBERTURA]]*8</f>
        <v>41213760</v>
      </c>
      <c r="AQ945" s="35"/>
      <c r="AR945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45" s="35" t="str">
        <f>+IF(Tabla4[[#This Row],[AGRUPACIONES]]=1,SUMIFS(Tabla4[VALOR TOTAL],Tabla4[ZONA DEFINITIVO],Tabla4[[#This Row],[ZONA DEFINITIVO]])," ")</f>
        <v xml:space="preserve"> </v>
      </c>
      <c r="AT945" s="27">
        <f>(VLOOKUP(Tabla4[[#This Row],[SERVICIO 2025]],$J$2:$V$14,3,0)*Tabla4[[#This Row],[TOTAL COBERTURA]])+Tabla4[[#This Row],[VALOR FASE PREPARATORIA DE ALISTAMIENTO]]+Tabla4[[#This Row],[DOTACIÓN ÚNICA]]</f>
        <v>6721240</v>
      </c>
      <c r="AU945" s="35">
        <f>(VLOOKUP(Tabla4[[#This Row],[SERVICIO 2025]],$J$2:$V$14,3,0)*Tabla4[[#This Row],[TOTAL COBERTURA]])</f>
        <v>5151720</v>
      </c>
      <c r="AV945" s="35">
        <f>(VLOOKUP(Tabla4[[#This Row],[SERVICIO 2025]],$J$2:$V$14,3,0)*Tabla4[[#This Row],[TOTAL COBERTURA]])</f>
        <v>5151720</v>
      </c>
      <c r="AW945" s="35">
        <f>(VLOOKUP(Tabla4[[#This Row],[SERVICIO 2025]],$J$2:$V$14,3,0)*Tabla4[[#This Row],[TOTAL COBERTURA]])</f>
        <v>5151720</v>
      </c>
      <c r="AX945" s="35">
        <f>(VLOOKUP(Tabla4[[#This Row],[SERVICIO 2025]],$J$2:$V$14,3,0)*Tabla4[[#This Row],[TOTAL COBERTURA]])</f>
        <v>5151720</v>
      </c>
      <c r="AY945" s="35">
        <f>(VLOOKUP(Tabla4[[#This Row],[SERVICIO 2025]],$J$2:$V$14,3,0)*Tabla4[[#This Row],[TOTAL COBERTURA]])</f>
        <v>5151720</v>
      </c>
      <c r="AZ945" s="35">
        <f>(VLOOKUP(Tabla4[[#This Row],[SERVICIO 2025]],$J$2:$V$14,3,0)*Tabla4[[#This Row],[TOTAL COBERTURA]])</f>
        <v>5151720</v>
      </c>
      <c r="BA945" s="35">
        <f>(VLOOKUP(Tabla4[[#This Row],[SERVICIO 2025]],$J$2:$V$14,3,0)*Tabla4[[#This Row],[TOTAL COBERTURA]])+Tabla4[[#This Row],[VALOR FASE PREPARATORIA DE CIERRE]]</f>
        <v>5972300</v>
      </c>
      <c r="BB945" s="35">
        <f>SUM(Tabla4[[#This Row],[DESEMBOLSO 1]:[DESEMBOLSO 8]])</f>
        <v>43603860</v>
      </c>
      <c r="BC945" s="35">
        <f>VLOOKUP(Tabla4[[#This Row],[SERVICIO 2025]],$J$2:$V$14,10,0)*Tabla4[[#This Row],[TOTAL COBERTURA]]*$W$3</f>
        <v>28861280</v>
      </c>
      <c r="BD945" s="47" t="s">
        <v>211</v>
      </c>
      <c r="BE945" s="12" t="b">
        <f>EXACT(Tabla4[[#This Row],[VALOR ATENCIÓN (8 MESES)]],Tabla4[[#This Row],[VALOR TOTAL]])</f>
        <v>1</v>
      </c>
      <c r="BF945" s="23">
        <f>Tabla4[[#This Row],[VALOR ATENCIÓN (8 MESES)]]-Tabla4[[#This Row],[VALOR TOTAL]]</f>
        <v>0</v>
      </c>
      <c r="BG945" s="12" t="b">
        <f>EXACT(Tabla4[[#This Row],[TOTAL DESEMBOLSOS]],Tabla4[[#This Row],[VALOR ATENCIÓN (8 MESES)]])</f>
        <v>1</v>
      </c>
      <c r="BH945" s="29">
        <f>Tabla4[[#This Row],[TOTAL DESEMBOLSOS]]-Tabla4[[#This Row],[VALOR ATENCIÓN (8 MESES)]]</f>
        <v>0</v>
      </c>
      <c r="BI945" t="s">
        <v>98</v>
      </c>
      <c r="BJ945">
        <v>1981</v>
      </c>
    </row>
    <row r="946" spans="1:62">
      <c r="A946" s="13">
        <v>1981</v>
      </c>
      <c r="B946" s="13" t="s">
        <v>2036</v>
      </c>
      <c r="C946" s="12" t="s">
        <v>87</v>
      </c>
      <c r="D946" s="12" t="s">
        <v>673</v>
      </c>
      <c r="E946" s="12" t="s">
        <v>2028</v>
      </c>
      <c r="F946" s="12" t="s">
        <v>18</v>
      </c>
      <c r="G946" s="12" t="s">
        <v>90</v>
      </c>
      <c r="H946" s="12" t="s">
        <v>2090</v>
      </c>
      <c r="I946" s="12">
        <v>56041153149</v>
      </c>
      <c r="J946" s="12" t="s">
        <v>2091</v>
      </c>
      <c r="K946" s="12">
        <v>1</v>
      </c>
      <c r="L946" s="12">
        <v>37</v>
      </c>
      <c r="M946" s="12"/>
      <c r="N946" s="13">
        <v>1981</v>
      </c>
      <c r="O946" s="12" t="s">
        <v>93</v>
      </c>
      <c r="P946" s="12"/>
      <c r="Q946" s="12"/>
      <c r="R946" s="12" t="s">
        <v>94</v>
      </c>
      <c r="S946" s="12">
        <v>10</v>
      </c>
      <c r="T946" s="12" t="s">
        <v>2039</v>
      </c>
      <c r="U946" s="12" t="s">
        <v>2040</v>
      </c>
      <c r="V946" s="12">
        <f>VLOOKUP(Tabla4[[#This Row],[ZONA DEFINITIVO]],Hoja1!$A$1:$D$121,3,0)</f>
        <v>229138</v>
      </c>
      <c r="W946" s="12">
        <f>VLOOKUP(Tabla4[[#This Row],[ZONA DEFINITIVO]],Hoja1!$A$1:$D$121,2,0)</f>
        <v>15242</v>
      </c>
      <c r="X946" s="12">
        <f>VLOOKUP(Tabla4[[#This Row],[ZONA DEFINITIVO]],Hoja1!$A$1:$D$121,4,0)</f>
        <v>88525</v>
      </c>
      <c r="Y946" s="12" t="str">
        <f>+IF(Tabla4[[#This Row],[AGRUPACIONES]]=1,SUMIFS(Tabla4[UDS],Tabla4[ZONA DEFINITIVO],Tabla4[[#This Row],[ZONA DEFINITIVO]])," ")</f>
        <v xml:space="preserve"> </v>
      </c>
      <c r="Z946" s="12" t="str">
        <f>+IF(Tabla4[[#This Row],[AGRUPACIONES]]=1,SUMIFS(Tabla4[TOTAL COBERTURA],Tabla4[ZONA DEFINITIVO],Tabla4[[#This Row],[ZONA DEFINITIVO]])," ")</f>
        <v xml:space="preserve"> </v>
      </c>
      <c r="AA946" s="12"/>
      <c r="AB946" s="38">
        <v>80667141</v>
      </c>
      <c r="AC946" s="37">
        <v>0.02</v>
      </c>
      <c r="AD946" s="38">
        <f t="shared" si="15"/>
        <v>1613342.82</v>
      </c>
      <c r="AE946" s="12"/>
      <c r="AF946" s="12">
        <f>COUNTIF($A$20:A946,A946)</f>
        <v>28</v>
      </c>
      <c r="AG946" s="38">
        <v>80667141</v>
      </c>
      <c r="AH946" s="38">
        <f>Tabla4[[#This Row],[VALOR CONTRAPARTIDA]]+Tabla4[[#This Row],[TOTAL APORTES ICBF]]</f>
        <v>82280483.819999993</v>
      </c>
      <c r="AI946" s="35"/>
      <c r="AJ946" s="38"/>
      <c r="AK946" s="38"/>
      <c r="AL946" s="23"/>
      <c r="AM946" s="35">
        <f>VLOOKUP(Tabla4[[#This Row],[SERVICIO 2025]],$J$2:$V$14,5,0)*Tabla4[[#This Row],[TOTAL COBERTURA]]</f>
        <v>1826912</v>
      </c>
      <c r="AN946" s="35">
        <f>VLOOKUP(Tabla4[[#This Row],[SERVICIO 2025]],$J$2:$V$14,6,0)*Tabla4[[#This Row],[TOTAL COBERTURA]]</f>
        <v>1518073</v>
      </c>
      <c r="AO946" s="35">
        <f>VLOOKUP(Tabla4[[#This Row],[SERVICIO 2025]],$J$2:$V$14,8,0)*Tabla4[[#This Row],[TOTAL COBERTURA]]</f>
        <v>1076700</v>
      </c>
      <c r="AP946" s="35">
        <f>VLOOKUP(Tabla4[[#This Row],[SERVICIO 2025]],$J$2:$V$14,3,0)*Tabla4[[#This Row],[TOTAL COBERTURA]]*8</f>
        <v>76245456</v>
      </c>
      <c r="AQ946" s="35"/>
      <c r="AR946" s="35">
        <f>Tabla4[[#This Row],[VALOR FASE PREPARATORIA DE ALISTAMIENTO]]+Tabla4[[#This Row],[VALOR FASE PREPARATORIA DE CIERRE]]+Tabla4[[#This Row],[DOTACIÓN ÚNICA]]+Tabla4[[#This Row],[VALOR ATENCIÓN]]+Tabla4[[#This Row],[VALOR RACION PREPARADA]]</f>
        <v>80667141</v>
      </c>
      <c r="AS946" s="35" t="str">
        <f>+IF(Tabla4[[#This Row],[AGRUPACIONES]]=1,SUMIFS(Tabla4[VALOR TOTAL],Tabla4[ZONA DEFINITIVO],Tabla4[[#This Row],[ZONA DEFINITIVO]])," ")</f>
        <v xml:space="preserve"> </v>
      </c>
      <c r="AT946" s="27">
        <f>(VLOOKUP(Tabla4[[#This Row],[SERVICIO 2025]],$J$2:$V$14,3,0)*Tabla4[[#This Row],[TOTAL COBERTURA]])+Tabla4[[#This Row],[VALOR FASE PREPARATORIA DE ALISTAMIENTO]]+Tabla4[[#This Row],[DOTACIÓN ÚNICA]]</f>
        <v>12434294</v>
      </c>
      <c r="AU946" s="35">
        <f>(VLOOKUP(Tabla4[[#This Row],[SERVICIO 2025]],$J$2:$V$14,3,0)*Tabla4[[#This Row],[TOTAL COBERTURA]])</f>
        <v>9530682</v>
      </c>
      <c r="AV946" s="35">
        <f>(VLOOKUP(Tabla4[[#This Row],[SERVICIO 2025]],$J$2:$V$14,3,0)*Tabla4[[#This Row],[TOTAL COBERTURA]])</f>
        <v>9530682</v>
      </c>
      <c r="AW946" s="35">
        <f>(VLOOKUP(Tabla4[[#This Row],[SERVICIO 2025]],$J$2:$V$14,3,0)*Tabla4[[#This Row],[TOTAL COBERTURA]])</f>
        <v>9530682</v>
      </c>
      <c r="AX946" s="35">
        <f>(VLOOKUP(Tabla4[[#This Row],[SERVICIO 2025]],$J$2:$V$14,3,0)*Tabla4[[#This Row],[TOTAL COBERTURA]])</f>
        <v>9530682</v>
      </c>
      <c r="AY946" s="35">
        <f>(VLOOKUP(Tabla4[[#This Row],[SERVICIO 2025]],$J$2:$V$14,3,0)*Tabla4[[#This Row],[TOTAL COBERTURA]])</f>
        <v>9530682</v>
      </c>
      <c r="AZ946" s="35">
        <f>(VLOOKUP(Tabla4[[#This Row],[SERVICIO 2025]],$J$2:$V$14,3,0)*Tabla4[[#This Row],[TOTAL COBERTURA]])</f>
        <v>9530682</v>
      </c>
      <c r="BA946" s="35">
        <f>(VLOOKUP(Tabla4[[#This Row],[SERVICIO 2025]],$J$2:$V$14,3,0)*Tabla4[[#This Row],[TOTAL COBERTURA]])+Tabla4[[#This Row],[VALOR FASE PREPARATORIA DE CIERRE]]</f>
        <v>11048755</v>
      </c>
      <c r="BB946" s="35">
        <f>SUM(Tabla4[[#This Row],[DESEMBOLSO 1]:[DESEMBOLSO 8]])</f>
        <v>80667141</v>
      </c>
      <c r="BC946" s="35">
        <f>VLOOKUP(Tabla4[[#This Row],[SERVICIO 2025]],$J$2:$V$14,10,0)*Tabla4[[#This Row],[TOTAL COBERTURA]]*$W$3</f>
        <v>53393368</v>
      </c>
      <c r="BD946" s="47" t="s">
        <v>211</v>
      </c>
      <c r="BE946" s="12" t="b">
        <f>EXACT(Tabla4[[#This Row],[VALOR ATENCIÓN (8 MESES)]],Tabla4[[#This Row],[VALOR TOTAL]])</f>
        <v>1</v>
      </c>
      <c r="BF946" s="23">
        <f>Tabla4[[#This Row],[VALOR ATENCIÓN (8 MESES)]]-Tabla4[[#This Row],[VALOR TOTAL]]</f>
        <v>0</v>
      </c>
      <c r="BG946" s="12" t="b">
        <f>EXACT(Tabla4[[#This Row],[TOTAL DESEMBOLSOS]],Tabla4[[#This Row],[VALOR ATENCIÓN (8 MESES)]])</f>
        <v>1</v>
      </c>
      <c r="BH946" s="29">
        <f>Tabla4[[#This Row],[TOTAL DESEMBOLSOS]]-Tabla4[[#This Row],[VALOR ATENCIÓN (8 MESES)]]</f>
        <v>0</v>
      </c>
      <c r="BI946" t="s">
        <v>98</v>
      </c>
      <c r="BJ946">
        <v>1981</v>
      </c>
    </row>
    <row r="947" spans="1:62">
      <c r="A947" s="13">
        <v>1981</v>
      </c>
      <c r="B947" s="13" t="s">
        <v>2036</v>
      </c>
      <c r="C947" s="12" t="s">
        <v>87</v>
      </c>
      <c r="D947" s="12" t="s">
        <v>673</v>
      </c>
      <c r="E947" s="12" t="s">
        <v>2028</v>
      </c>
      <c r="F947" s="12" t="s">
        <v>18</v>
      </c>
      <c r="G947" s="12" t="s">
        <v>90</v>
      </c>
      <c r="H947" s="12" t="s">
        <v>2092</v>
      </c>
      <c r="I947" s="12">
        <v>56041153181</v>
      </c>
      <c r="J947" s="12" t="s">
        <v>2093</v>
      </c>
      <c r="K947" s="12">
        <v>1</v>
      </c>
      <c r="L947" s="12">
        <v>14</v>
      </c>
      <c r="M947" s="12"/>
      <c r="N947" s="13">
        <v>1981</v>
      </c>
      <c r="O947" s="12" t="s">
        <v>93</v>
      </c>
      <c r="P947" s="12"/>
      <c r="Q947" s="12"/>
      <c r="R947" s="12" t="s">
        <v>94</v>
      </c>
      <c r="S947" s="12">
        <v>10</v>
      </c>
      <c r="T947" s="12" t="s">
        <v>2039</v>
      </c>
      <c r="U947" s="12" t="s">
        <v>2040</v>
      </c>
      <c r="V947" s="12">
        <f>VLOOKUP(Tabla4[[#This Row],[ZONA DEFINITIVO]],Hoja1!$A$1:$D$121,3,0)</f>
        <v>229138</v>
      </c>
      <c r="W947" s="12">
        <f>VLOOKUP(Tabla4[[#This Row],[ZONA DEFINITIVO]],Hoja1!$A$1:$D$121,2,0)</f>
        <v>15242</v>
      </c>
      <c r="X947" s="12">
        <f>VLOOKUP(Tabla4[[#This Row],[ZONA DEFINITIVO]],Hoja1!$A$1:$D$121,4,0)</f>
        <v>88525</v>
      </c>
      <c r="Y947" s="12" t="str">
        <f>+IF(Tabla4[[#This Row],[AGRUPACIONES]]=1,SUMIFS(Tabla4[UDS],Tabla4[ZONA DEFINITIVO],Tabla4[[#This Row],[ZONA DEFINITIVO]])," ")</f>
        <v xml:space="preserve"> </v>
      </c>
      <c r="Z947" s="12" t="str">
        <f>+IF(Tabla4[[#This Row],[AGRUPACIONES]]=1,SUMIFS(Tabla4[TOTAL COBERTURA],Tabla4[ZONA DEFINITIVO],Tabla4[[#This Row],[ZONA DEFINITIVO]])," ")</f>
        <v xml:space="preserve"> </v>
      </c>
      <c r="AA947" s="12"/>
      <c r="AB947" s="38">
        <v>30522702</v>
      </c>
      <c r="AC947" s="37">
        <v>0.02</v>
      </c>
      <c r="AD947" s="38">
        <f t="shared" si="15"/>
        <v>610454.04</v>
      </c>
      <c r="AE947" s="12"/>
      <c r="AF947" s="12">
        <f>COUNTIF($A$20:A947,A947)</f>
        <v>29</v>
      </c>
      <c r="AG947" s="38">
        <v>30522702</v>
      </c>
      <c r="AH947" s="38">
        <f>Tabla4[[#This Row],[VALOR CONTRAPARTIDA]]+Tabla4[[#This Row],[TOTAL APORTES ICBF]]</f>
        <v>31133156.039999999</v>
      </c>
      <c r="AI947" s="35"/>
      <c r="AJ947" s="38"/>
      <c r="AK947" s="38"/>
      <c r="AL947" s="23"/>
      <c r="AM947" s="35">
        <f>VLOOKUP(Tabla4[[#This Row],[SERVICIO 2025]],$J$2:$V$14,5,0)*Tabla4[[#This Row],[TOTAL COBERTURA]]</f>
        <v>691264</v>
      </c>
      <c r="AN947" s="35">
        <f>VLOOKUP(Tabla4[[#This Row],[SERVICIO 2025]],$J$2:$V$14,6,0)*Tabla4[[#This Row],[TOTAL COBERTURA]]</f>
        <v>574406</v>
      </c>
      <c r="AO947" s="35">
        <f>VLOOKUP(Tabla4[[#This Row],[SERVICIO 2025]],$J$2:$V$14,8,0)*Tabla4[[#This Row],[TOTAL COBERTURA]]</f>
        <v>407400</v>
      </c>
      <c r="AP947" s="35">
        <f>VLOOKUP(Tabla4[[#This Row],[SERVICIO 2025]],$J$2:$V$14,3,0)*Tabla4[[#This Row],[TOTAL COBERTURA]]*8</f>
        <v>28849632</v>
      </c>
      <c r="AQ947" s="35"/>
      <c r="AR947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947" s="35" t="str">
        <f>+IF(Tabla4[[#This Row],[AGRUPACIONES]]=1,SUMIFS(Tabla4[VALOR TOTAL],Tabla4[ZONA DEFINITIVO],Tabla4[[#This Row],[ZONA DEFINITIVO]])," ")</f>
        <v xml:space="preserve"> </v>
      </c>
      <c r="AT947" s="27">
        <f>(VLOOKUP(Tabla4[[#This Row],[SERVICIO 2025]],$J$2:$V$14,3,0)*Tabla4[[#This Row],[TOTAL COBERTURA]])+Tabla4[[#This Row],[VALOR FASE PREPARATORIA DE ALISTAMIENTO]]+Tabla4[[#This Row],[DOTACIÓN ÚNICA]]</f>
        <v>4704868</v>
      </c>
      <c r="AU947" s="35">
        <f>(VLOOKUP(Tabla4[[#This Row],[SERVICIO 2025]],$J$2:$V$14,3,0)*Tabla4[[#This Row],[TOTAL COBERTURA]])</f>
        <v>3606204</v>
      </c>
      <c r="AV947" s="35">
        <f>(VLOOKUP(Tabla4[[#This Row],[SERVICIO 2025]],$J$2:$V$14,3,0)*Tabla4[[#This Row],[TOTAL COBERTURA]])</f>
        <v>3606204</v>
      </c>
      <c r="AW947" s="35">
        <f>(VLOOKUP(Tabla4[[#This Row],[SERVICIO 2025]],$J$2:$V$14,3,0)*Tabla4[[#This Row],[TOTAL COBERTURA]])</f>
        <v>3606204</v>
      </c>
      <c r="AX947" s="35">
        <f>(VLOOKUP(Tabla4[[#This Row],[SERVICIO 2025]],$J$2:$V$14,3,0)*Tabla4[[#This Row],[TOTAL COBERTURA]])</f>
        <v>3606204</v>
      </c>
      <c r="AY947" s="35">
        <f>(VLOOKUP(Tabla4[[#This Row],[SERVICIO 2025]],$J$2:$V$14,3,0)*Tabla4[[#This Row],[TOTAL COBERTURA]])</f>
        <v>3606204</v>
      </c>
      <c r="AZ947" s="35">
        <f>(VLOOKUP(Tabla4[[#This Row],[SERVICIO 2025]],$J$2:$V$14,3,0)*Tabla4[[#This Row],[TOTAL COBERTURA]])</f>
        <v>3606204</v>
      </c>
      <c r="BA947" s="35">
        <f>(VLOOKUP(Tabla4[[#This Row],[SERVICIO 2025]],$J$2:$V$14,3,0)*Tabla4[[#This Row],[TOTAL COBERTURA]])+Tabla4[[#This Row],[VALOR FASE PREPARATORIA DE CIERRE]]</f>
        <v>4180610</v>
      </c>
      <c r="BB947" s="35">
        <f>SUM(Tabla4[[#This Row],[DESEMBOLSO 1]:[DESEMBOLSO 8]])</f>
        <v>30522702</v>
      </c>
      <c r="BC947" s="35">
        <f>VLOOKUP(Tabla4[[#This Row],[SERVICIO 2025]],$J$2:$V$14,10,0)*Tabla4[[#This Row],[TOTAL COBERTURA]]*$W$3</f>
        <v>20202896</v>
      </c>
      <c r="BD947" s="47" t="s">
        <v>211</v>
      </c>
      <c r="BE947" s="12" t="b">
        <f>EXACT(Tabla4[[#This Row],[VALOR ATENCIÓN (8 MESES)]],Tabla4[[#This Row],[VALOR TOTAL]])</f>
        <v>1</v>
      </c>
      <c r="BF947" s="23">
        <f>Tabla4[[#This Row],[VALOR ATENCIÓN (8 MESES)]]-Tabla4[[#This Row],[VALOR TOTAL]]</f>
        <v>0</v>
      </c>
      <c r="BG947" s="12" t="b">
        <f>EXACT(Tabla4[[#This Row],[TOTAL DESEMBOLSOS]],Tabla4[[#This Row],[VALOR ATENCIÓN (8 MESES)]])</f>
        <v>1</v>
      </c>
      <c r="BH947" s="29">
        <f>Tabla4[[#This Row],[TOTAL DESEMBOLSOS]]-Tabla4[[#This Row],[VALOR ATENCIÓN (8 MESES)]]</f>
        <v>0</v>
      </c>
      <c r="BI947" t="s">
        <v>98</v>
      </c>
      <c r="BJ947">
        <v>1981</v>
      </c>
    </row>
    <row r="948" spans="1:62">
      <c r="A948" s="13">
        <v>1981</v>
      </c>
      <c r="B948" s="13" t="s">
        <v>2036</v>
      </c>
      <c r="C948" s="12" t="s">
        <v>87</v>
      </c>
      <c r="D948" s="12" t="s">
        <v>673</v>
      </c>
      <c r="E948" s="12" t="s">
        <v>2028</v>
      </c>
      <c r="F948" s="12" t="s">
        <v>18</v>
      </c>
      <c r="G948" s="12" t="s">
        <v>90</v>
      </c>
      <c r="H948" s="12" t="s">
        <v>2094</v>
      </c>
      <c r="I948" s="12">
        <v>56041153231</v>
      </c>
      <c r="J948" s="12" t="s">
        <v>2095</v>
      </c>
      <c r="K948" s="12">
        <v>1</v>
      </c>
      <c r="L948" s="12">
        <v>1</v>
      </c>
      <c r="M948" s="12"/>
      <c r="N948" s="13">
        <v>1981</v>
      </c>
      <c r="O948" s="12" t="s">
        <v>93</v>
      </c>
      <c r="P948" s="12"/>
      <c r="Q948" s="12"/>
      <c r="R948" s="12" t="s">
        <v>94</v>
      </c>
      <c r="S948" s="12">
        <v>10</v>
      </c>
      <c r="T948" s="12" t="s">
        <v>2039</v>
      </c>
      <c r="U948" s="12" t="s">
        <v>2040</v>
      </c>
      <c r="V948" s="12">
        <f>VLOOKUP(Tabla4[[#This Row],[ZONA DEFINITIVO]],Hoja1!$A$1:$D$121,3,0)</f>
        <v>229138</v>
      </c>
      <c r="W948" s="12">
        <f>VLOOKUP(Tabla4[[#This Row],[ZONA DEFINITIVO]],Hoja1!$A$1:$D$121,2,0)</f>
        <v>15242</v>
      </c>
      <c r="X948" s="12">
        <f>VLOOKUP(Tabla4[[#This Row],[ZONA DEFINITIVO]],Hoja1!$A$1:$D$121,4,0)</f>
        <v>88525</v>
      </c>
      <c r="Y948" s="12" t="str">
        <f>+IF(Tabla4[[#This Row],[AGRUPACIONES]]=1,SUMIFS(Tabla4[UDS],Tabla4[ZONA DEFINITIVO],Tabla4[[#This Row],[ZONA DEFINITIVO]])," ")</f>
        <v xml:space="preserve"> </v>
      </c>
      <c r="Z948" s="12" t="str">
        <f>+IF(Tabla4[[#This Row],[AGRUPACIONES]]=1,SUMIFS(Tabla4[TOTAL COBERTURA],Tabla4[ZONA DEFINITIVO],Tabla4[[#This Row],[ZONA DEFINITIVO]])," ")</f>
        <v xml:space="preserve"> </v>
      </c>
      <c r="AA948" s="12"/>
      <c r="AB948" s="38">
        <v>2180193</v>
      </c>
      <c r="AC948" s="37">
        <v>0.02</v>
      </c>
      <c r="AD948" s="38">
        <f t="shared" si="15"/>
        <v>43603.86</v>
      </c>
      <c r="AE948" s="12"/>
      <c r="AF948" s="12">
        <f>COUNTIF($A$20:A948,A948)</f>
        <v>30</v>
      </c>
      <c r="AG948" s="38">
        <v>2180193</v>
      </c>
      <c r="AH948" s="38">
        <f>Tabla4[[#This Row],[VALOR CONTRAPARTIDA]]+Tabla4[[#This Row],[TOTAL APORTES ICBF]]</f>
        <v>2223796.86</v>
      </c>
      <c r="AI948" s="35"/>
      <c r="AJ948" s="38"/>
      <c r="AK948" s="38"/>
      <c r="AL948" s="23"/>
      <c r="AM948" s="35">
        <f>VLOOKUP(Tabla4[[#This Row],[SERVICIO 2025]],$J$2:$V$14,5,0)*Tabla4[[#This Row],[TOTAL COBERTURA]]</f>
        <v>49376</v>
      </c>
      <c r="AN948" s="35">
        <f>VLOOKUP(Tabla4[[#This Row],[SERVICIO 2025]],$J$2:$V$14,6,0)*Tabla4[[#This Row],[TOTAL COBERTURA]]</f>
        <v>41029</v>
      </c>
      <c r="AO948" s="35">
        <f>VLOOKUP(Tabla4[[#This Row],[SERVICIO 2025]],$J$2:$V$14,8,0)*Tabla4[[#This Row],[TOTAL COBERTURA]]</f>
        <v>29100</v>
      </c>
      <c r="AP948" s="35">
        <f>VLOOKUP(Tabla4[[#This Row],[SERVICIO 2025]],$J$2:$V$14,3,0)*Tabla4[[#This Row],[TOTAL COBERTURA]]*8</f>
        <v>2060688</v>
      </c>
      <c r="AQ948" s="35"/>
      <c r="AR948" s="35">
        <f>Tabla4[[#This Row],[VALOR FASE PREPARATORIA DE ALISTAMIENTO]]+Tabla4[[#This Row],[VALOR FASE PREPARATORIA DE CIERRE]]+Tabla4[[#This Row],[DOTACIÓN ÚNICA]]+Tabla4[[#This Row],[VALOR ATENCIÓN]]+Tabla4[[#This Row],[VALOR RACION PREPARADA]]</f>
        <v>2180193</v>
      </c>
      <c r="AS948" s="35" t="str">
        <f>+IF(Tabla4[[#This Row],[AGRUPACIONES]]=1,SUMIFS(Tabla4[VALOR TOTAL],Tabla4[ZONA DEFINITIVO],Tabla4[[#This Row],[ZONA DEFINITIVO]])," ")</f>
        <v xml:space="preserve"> </v>
      </c>
      <c r="AT948" s="27">
        <f>(VLOOKUP(Tabla4[[#This Row],[SERVICIO 2025]],$J$2:$V$14,3,0)*Tabla4[[#This Row],[TOTAL COBERTURA]])+Tabla4[[#This Row],[VALOR FASE PREPARATORIA DE ALISTAMIENTO]]+Tabla4[[#This Row],[DOTACIÓN ÚNICA]]</f>
        <v>336062</v>
      </c>
      <c r="AU948" s="35">
        <f>(VLOOKUP(Tabla4[[#This Row],[SERVICIO 2025]],$J$2:$V$14,3,0)*Tabla4[[#This Row],[TOTAL COBERTURA]])</f>
        <v>257586</v>
      </c>
      <c r="AV948" s="35">
        <f>(VLOOKUP(Tabla4[[#This Row],[SERVICIO 2025]],$J$2:$V$14,3,0)*Tabla4[[#This Row],[TOTAL COBERTURA]])</f>
        <v>257586</v>
      </c>
      <c r="AW948" s="35">
        <f>(VLOOKUP(Tabla4[[#This Row],[SERVICIO 2025]],$J$2:$V$14,3,0)*Tabla4[[#This Row],[TOTAL COBERTURA]])</f>
        <v>257586</v>
      </c>
      <c r="AX948" s="35">
        <f>(VLOOKUP(Tabla4[[#This Row],[SERVICIO 2025]],$J$2:$V$14,3,0)*Tabla4[[#This Row],[TOTAL COBERTURA]])</f>
        <v>257586</v>
      </c>
      <c r="AY948" s="35">
        <f>(VLOOKUP(Tabla4[[#This Row],[SERVICIO 2025]],$J$2:$V$14,3,0)*Tabla4[[#This Row],[TOTAL COBERTURA]])</f>
        <v>257586</v>
      </c>
      <c r="AZ948" s="35">
        <f>(VLOOKUP(Tabla4[[#This Row],[SERVICIO 2025]],$J$2:$V$14,3,0)*Tabla4[[#This Row],[TOTAL COBERTURA]])</f>
        <v>257586</v>
      </c>
      <c r="BA948" s="35">
        <f>(VLOOKUP(Tabla4[[#This Row],[SERVICIO 2025]],$J$2:$V$14,3,0)*Tabla4[[#This Row],[TOTAL COBERTURA]])+Tabla4[[#This Row],[VALOR FASE PREPARATORIA DE CIERRE]]</f>
        <v>298615</v>
      </c>
      <c r="BB948" s="35">
        <f>SUM(Tabla4[[#This Row],[DESEMBOLSO 1]:[DESEMBOLSO 8]])</f>
        <v>2180193</v>
      </c>
      <c r="BC948" s="35">
        <f>VLOOKUP(Tabla4[[#This Row],[SERVICIO 2025]],$J$2:$V$14,10,0)*Tabla4[[#This Row],[TOTAL COBERTURA]]*$W$3</f>
        <v>1443064</v>
      </c>
      <c r="BD948" s="47" t="s">
        <v>211</v>
      </c>
      <c r="BE948" s="12" t="b">
        <f>EXACT(Tabla4[[#This Row],[VALOR ATENCIÓN (8 MESES)]],Tabla4[[#This Row],[VALOR TOTAL]])</f>
        <v>1</v>
      </c>
      <c r="BF948" s="23">
        <f>Tabla4[[#This Row],[VALOR ATENCIÓN (8 MESES)]]-Tabla4[[#This Row],[VALOR TOTAL]]</f>
        <v>0</v>
      </c>
      <c r="BG948" s="12" t="b">
        <f>EXACT(Tabla4[[#This Row],[TOTAL DESEMBOLSOS]],Tabla4[[#This Row],[VALOR ATENCIÓN (8 MESES)]])</f>
        <v>1</v>
      </c>
      <c r="BH948" s="29">
        <f>Tabla4[[#This Row],[TOTAL DESEMBOLSOS]]-Tabla4[[#This Row],[VALOR ATENCIÓN (8 MESES)]]</f>
        <v>0</v>
      </c>
      <c r="BI948" t="s">
        <v>98</v>
      </c>
      <c r="BJ948">
        <v>1981</v>
      </c>
    </row>
    <row r="949" spans="1:62">
      <c r="A949" s="13">
        <v>1981</v>
      </c>
      <c r="B949" s="13" t="s">
        <v>2036</v>
      </c>
      <c r="C949" s="12" t="s">
        <v>87</v>
      </c>
      <c r="D949" s="12" t="s">
        <v>673</v>
      </c>
      <c r="E949" s="12" t="s">
        <v>2028</v>
      </c>
      <c r="F949" s="12" t="s">
        <v>18</v>
      </c>
      <c r="G949" s="12" t="s">
        <v>90</v>
      </c>
      <c r="H949" s="12" t="s">
        <v>2096</v>
      </c>
      <c r="I949" s="12">
        <v>560400054640</v>
      </c>
      <c r="J949" s="12" t="s">
        <v>2097</v>
      </c>
      <c r="K949" s="12">
        <v>1</v>
      </c>
      <c r="L949" s="12">
        <v>22</v>
      </c>
      <c r="M949" s="12"/>
      <c r="N949" s="13">
        <v>1981</v>
      </c>
      <c r="O949" s="12" t="s">
        <v>93</v>
      </c>
      <c r="P949" s="12"/>
      <c r="Q949" s="12"/>
      <c r="R949" s="12" t="s">
        <v>94</v>
      </c>
      <c r="S949" s="12">
        <v>10</v>
      </c>
      <c r="T949" s="12" t="s">
        <v>2039</v>
      </c>
      <c r="U949" s="12" t="s">
        <v>2040</v>
      </c>
      <c r="V949" s="12">
        <f>VLOOKUP(Tabla4[[#This Row],[ZONA DEFINITIVO]],Hoja1!$A$1:$D$121,3,0)</f>
        <v>229138</v>
      </c>
      <c r="W949" s="12">
        <f>VLOOKUP(Tabla4[[#This Row],[ZONA DEFINITIVO]],Hoja1!$A$1:$D$121,2,0)</f>
        <v>15242</v>
      </c>
      <c r="X949" s="12">
        <f>VLOOKUP(Tabla4[[#This Row],[ZONA DEFINITIVO]],Hoja1!$A$1:$D$121,4,0)</f>
        <v>88525</v>
      </c>
      <c r="Y949" s="12" t="str">
        <f>+IF(Tabla4[[#This Row],[AGRUPACIONES]]=1,SUMIFS(Tabla4[UDS],Tabla4[ZONA DEFINITIVO],Tabla4[[#This Row],[ZONA DEFINITIVO]])," ")</f>
        <v xml:space="preserve"> </v>
      </c>
      <c r="Z949" s="12" t="str">
        <f>+IF(Tabla4[[#This Row],[AGRUPACIONES]]=1,SUMIFS(Tabla4[TOTAL COBERTURA],Tabla4[ZONA DEFINITIVO],Tabla4[[#This Row],[ZONA DEFINITIVO]])," ")</f>
        <v xml:space="preserve"> </v>
      </c>
      <c r="AA949" s="12"/>
      <c r="AB949" s="38">
        <v>47964246</v>
      </c>
      <c r="AC949" s="37">
        <v>0.02</v>
      </c>
      <c r="AD949" s="38">
        <f t="shared" si="15"/>
        <v>959284.92</v>
      </c>
      <c r="AE949" s="12"/>
      <c r="AF949" s="12">
        <f>COUNTIF($A$20:A949,A949)</f>
        <v>31</v>
      </c>
      <c r="AG949" s="38">
        <v>47964246</v>
      </c>
      <c r="AH949" s="38">
        <f>Tabla4[[#This Row],[VALOR CONTRAPARTIDA]]+Tabla4[[#This Row],[TOTAL APORTES ICBF]]</f>
        <v>48923530.920000002</v>
      </c>
      <c r="AI949" s="35"/>
      <c r="AJ949" s="38"/>
      <c r="AK949" s="38"/>
      <c r="AL949" s="23"/>
      <c r="AM949" s="35">
        <f>VLOOKUP(Tabla4[[#This Row],[SERVICIO 2025]],$J$2:$V$14,5,0)*Tabla4[[#This Row],[TOTAL COBERTURA]]</f>
        <v>1086272</v>
      </c>
      <c r="AN949" s="35">
        <f>VLOOKUP(Tabla4[[#This Row],[SERVICIO 2025]],$J$2:$V$14,6,0)*Tabla4[[#This Row],[TOTAL COBERTURA]]</f>
        <v>902638</v>
      </c>
      <c r="AO949" s="35">
        <f>VLOOKUP(Tabla4[[#This Row],[SERVICIO 2025]],$J$2:$V$14,8,0)*Tabla4[[#This Row],[TOTAL COBERTURA]]</f>
        <v>640200</v>
      </c>
      <c r="AP949" s="35">
        <f>VLOOKUP(Tabla4[[#This Row],[SERVICIO 2025]],$J$2:$V$14,3,0)*Tabla4[[#This Row],[TOTAL COBERTURA]]*8</f>
        <v>45335136</v>
      </c>
      <c r="AQ949" s="35"/>
      <c r="AR949" s="35">
        <f>Tabla4[[#This Row],[VALOR FASE PREPARATORIA DE ALISTAMIENTO]]+Tabla4[[#This Row],[VALOR FASE PREPARATORIA DE CIERRE]]+Tabla4[[#This Row],[DOTACIÓN ÚNICA]]+Tabla4[[#This Row],[VALOR ATENCIÓN]]+Tabla4[[#This Row],[VALOR RACION PREPARADA]]</f>
        <v>47964246</v>
      </c>
      <c r="AS949" s="35" t="str">
        <f>+IF(Tabla4[[#This Row],[AGRUPACIONES]]=1,SUMIFS(Tabla4[VALOR TOTAL],Tabla4[ZONA DEFINITIVO],Tabla4[[#This Row],[ZONA DEFINITIVO]])," ")</f>
        <v xml:space="preserve"> </v>
      </c>
      <c r="AT949" s="27">
        <f>(VLOOKUP(Tabla4[[#This Row],[SERVICIO 2025]],$J$2:$V$14,3,0)*Tabla4[[#This Row],[TOTAL COBERTURA]])+Tabla4[[#This Row],[VALOR FASE PREPARATORIA DE ALISTAMIENTO]]+Tabla4[[#This Row],[DOTACIÓN ÚNICA]]</f>
        <v>7393364</v>
      </c>
      <c r="AU949" s="35">
        <f>(VLOOKUP(Tabla4[[#This Row],[SERVICIO 2025]],$J$2:$V$14,3,0)*Tabla4[[#This Row],[TOTAL COBERTURA]])</f>
        <v>5666892</v>
      </c>
      <c r="AV949" s="35">
        <f>(VLOOKUP(Tabla4[[#This Row],[SERVICIO 2025]],$J$2:$V$14,3,0)*Tabla4[[#This Row],[TOTAL COBERTURA]])</f>
        <v>5666892</v>
      </c>
      <c r="AW949" s="35">
        <f>(VLOOKUP(Tabla4[[#This Row],[SERVICIO 2025]],$J$2:$V$14,3,0)*Tabla4[[#This Row],[TOTAL COBERTURA]])</f>
        <v>5666892</v>
      </c>
      <c r="AX949" s="35">
        <f>(VLOOKUP(Tabla4[[#This Row],[SERVICIO 2025]],$J$2:$V$14,3,0)*Tabla4[[#This Row],[TOTAL COBERTURA]])</f>
        <v>5666892</v>
      </c>
      <c r="AY949" s="35">
        <f>(VLOOKUP(Tabla4[[#This Row],[SERVICIO 2025]],$J$2:$V$14,3,0)*Tabla4[[#This Row],[TOTAL COBERTURA]])</f>
        <v>5666892</v>
      </c>
      <c r="AZ949" s="35">
        <f>(VLOOKUP(Tabla4[[#This Row],[SERVICIO 2025]],$J$2:$V$14,3,0)*Tabla4[[#This Row],[TOTAL COBERTURA]])</f>
        <v>5666892</v>
      </c>
      <c r="BA949" s="35">
        <f>(VLOOKUP(Tabla4[[#This Row],[SERVICIO 2025]],$J$2:$V$14,3,0)*Tabla4[[#This Row],[TOTAL COBERTURA]])+Tabla4[[#This Row],[VALOR FASE PREPARATORIA DE CIERRE]]</f>
        <v>6569530</v>
      </c>
      <c r="BB949" s="35">
        <f>SUM(Tabla4[[#This Row],[DESEMBOLSO 1]:[DESEMBOLSO 8]])</f>
        <v>47964246</v>
      </c>
      <c r="BC949" s="35">
        <f>VLOOKUP(Tabla4[[#This Row],[SERVICIO 2025]],$J$2:$V$14,10,0)*Tabla4[[#This Row],[TOTAL COBERTURA]]*$W$3</f>
        <v>31747408</v>
      </c>
      <c r="BD949" s="47" t="s">
        <v>211</v>
      </c>
      <c r="BE949" s="12" t="b">
        <f>EXACT(Tabla4[[#This Row],[VALOR ATENCIÓN (8 MESES)]],Tabla4[[#This Row],[VALOR TOTAL]])</f>
        <v>1</v>
      </c>
      <c r="BF949" s="23">
        <f>Tabla4[[#This Row],[VALOR ATENCIÓN (8 MESES)]]-Tabla4[[#This Row],[VALOR TOTAL]]</f>
        <v>0</v>
      </c>
      <c r="BG949" s="12" t="b">
        <f>EXACT(Tabla4[[#This Row],[TOTAL DESEMBOLSOS]],Tabla4[[#This Row],[VALOR ATENCIÓN (8 MESES)]])</f>
        <v>1</v>
      </c>
      <c r="BH949" s="29">
        <f>Tabla4[[#This Row],[TOTAL DESEMBOLSOS]]-Tabla4[[#This Row],[VALOR ATENCIÓN (8 MESES)]]</f>
        <v>0</v>
      </c>
      <c r="BI949" t="s">
        <v>98</v>
      </c>
      <c r="BJ949">
        <v>1981</v>
      </c>
    </row>
    <row r="950" spans="1:62">
      <c r="A950" s="13">
        <v>1981</v>
      </c>
      <c r="B950" s="13" t="s">
        <v>2036</v>
      </c>
      <c r="C950" s="12" t="s">
        <v>87</v>
      </c>
      <c r="D950" s="12" t="s">
        <v>673</v>
      </c>
      <c r="E950" s="12" t="s">
        <v>2028</v>
      </c>
      <c r="F950" s="12" t="s">
        <v>18</v>
      </c>
      <c r="G950" s="12" t="s">
        <v>90</v>
      </c>
      <c r="H950" s="12" t="s">
        <v>2098</v>
      </c>
      <c r="I950" s="12">
        <v>560400113558</v>
      </c>
      <c r="J950" s="12" t="s">
        <v>2099</v>
      </c>
      <c r="K950" s="12">
        <v>1</v>
      </c>
      <c r="L950" s="12">
        <v>21</v>
      </c>
      <c r="M950" s="12"/>
      <c r="N950" s="13">
        <v>1981</v>
      </c>
      <c r="O950" s="12" t="s">
        <v>93</v>
      </c>
      <c r="P950" s="12"/>
      <c r="Q950" s="12"/>
      <c r="R950" s="12" t="s">
        <v>94</v>
      </c>
      <c r="S950" s="12">
        <v>10</v>
      </c>
      <c r="T950" s="12" t="s">
        <v>2039</v>
      </c>
      <c r="U950" s="12" t="s">
        <v>2040</v>
      </c>
      <c r="V950" s="12">
        <f>VLOOKUP(Tabla4[[#This Row],[ZONA DEFINITIVO]],Hoja1!$A$1:$D$121,3,0)</f>
        <v>229138</v>
      </c>
      <c r="W950" s="12">
        <f>VLOOKUP(Tabla4[[#This Row],[ZONA DEFINITIVO]],Hoja1!$A$1:$D$121,2,0)</f>
        <v>15242</v>
      </c>
      <c r="X950" s="12">
        <f>VLOOKUP(Tabla4[[#This Row],[ZONA DEFINITIVO]],Hoja1!$A$1:$D$121,4,0)</f>
        <v>88525</v>
      </c>
      <c r="Y950" s="12" t="str">
        <f>+IF(Tabla4[[#This Row],[AGRUPACIONES]]=1,SUMIFS(Tabla4[UDS],Tabla4[ZONA DEFINITIVO],Tabla4[[#This Row],[ZONA DEFINITIVO]])," ")</f>
        <v xml:space="preserve"> </v>
      </c>
      <c r="Z950" s="12" t="str">
        <f>+IF(Tabla4[[#This Row],[AGRUPACIONES]]=1,SUMIFS(Tabla4[TOTAL COBERTURA],Tabla4[ZONA DEFINITIVO],Tabla4[[#This Row],[ZONA DEFINITIVO]])," ")</f>
        <v xml:space="preserve"> </v>
      </c>
      <c r="AA950" s="12"/>
      <c r="AB950" s="38">
        <v>45784053</v>
      </c>
      <c r="AC950" s="37">
        <v>0.02</v>
      </c>
      <c r="AD950" s="38">
        <f t="shared" si="15"/>
        <v>915681.06</v>
      </c>
      <c r="AE950" s="12"/>
      <c r="AF950" s="12">
        <f>COUNTIF($A$20:A950,A950)</f>
        <v>32</v>
      </c>
      <c r="AG950" s="38">
        <v>45784053</v>
      </c>
      <c r="AH950" s="38">
        <f>Tabla4[[#This Row],[VALOR CONTRAPARTIDA]]+Tabla4[[#This Row],[TOTAL APORTES ICBF]]</f>
        <v>46699734.060000002</v>
      </c>
      <c r="AI950" s="35"/>
      <c r="AJ950" s="38"/>
      <c r="AK950" s="38"/>
      <c r="AL950" s="23"/>
      <c r="AM950" s="35">
        <f>VLOOKUP(Tabla4[[#This Row],[SERVICIO 2025]],$J$2:$V$14,5,0)*Tabla4[[#This Row],[TOTAL COBERTURA]]</f>
        <v>1036896</v>
      </c>
      <c r="AN950" s="35">
        <f>VLOOKUP(Tabla4[[#This Row],[SERVICIO 2025]],$J$2:$V$14,6,0)*Tabla4[[#This Row],[TOTAL COBERTURA]]</f>
        <v>861609</v>
      </c>
      <c r="AO950" s="35">
        <f>VLOOKUP(Tabla4[[#This Row],[SERVICIO 2025]],$J$2:$V$14,8,0)*Tabla4[[#This Row],[TOTAL COBERTURA]]</f>
        <v>611100</v>
      </c>
      <c r="AP950" s="35">
        <f>VLOOKUP(Tabla4[[#This Row],[SERVICIO 2025]],$J$2:$V$14,3,0)*Tabla4[[#This Row],[TOTAL COBERTURA]]*8</f>
        <v>43274448</v>
      </c>
      <c r="AQ950" s="35"/>
      <c r="AR950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950" s="35" t="str">
        <f>+IF(Tabla4[[#This Row],[AGRUPACIONES]]=1,SUMIFS(Tabla4[VALOR TOTAL],Tabla4[ZONA DEFINITIVO],Tabla4[[#This Row],[ZONA DEFINITIVO]])," ")</f>
        <v xml:space="preserve"> </v>
      </c>
      <c r="AT950" s="27">
        <f>(VLOOKUP(Tabla4[[#This Row],[SERVICIO 2025]],$J$2:$V$14,3,0)*Tabla4[[#This Row],[TOTAL COBERTURA]])+Tabla4[[#This Row],[VALOR FASE PREPARATORIA DE ALISTAMIENTO]]+Tabla4[[#This Row],[DOTACIÓN ÚNICA]]</f>
        <v>7057302</v>
      </c>
      <c r="AU950" s="35">
        <f>(VLOOKUP(Tabla4[[#This Row],[SERVICIO 2025]],$J$2:$V$14,3,0)*Tabla4[[#This Row],[TOTAL COBERTURA]])</f>
        <v>5409306</v>
      </c>
      <c r="AV950" s="35">
        <f>(VLOOKUP(Tabla4[[#This Row],[SERVICIO 2025]],$J$2:$V$14,3,0)*Tabla4[[#This Row],[TOTAL COBERTURA]])</f>
        <v>5409306</v>
      </c>
      <c r="AW950" s="35">
        <f>(VLOOKUP(Tabla4[[#This Row],[SERVICIO 2025]],$J$2:$V$14,3,0)*Tabla4[[#This Row],[TOTAL COBERTURA]])</f>
        <v>5409306</v>
      </c>
      <c r="AX950" s="35">
        <f>(VLOOKUP(Tabla4[[#This Row],[SERVICIO 2025]],$J$2:$V$14,3,0)*Tabla4[[#This Row],[TOTAL COBERTURA]])</f>
        <v>5409306</v>
      </c>
      <c r="AY950" s="35">
        <f>(VLOOKUP(Tabla4[[#This Row],[SERVICIO 2025]],$J$2:$V$14,3,0)*Tabla4[[#This Row],[TOTAL COBERTURA]])</f>
        <v>5409306</v>
      </c>
      <c r="AZ950" s="35">
        <f>(VLOOKUP(Tabla4[[#This Row],[SERVICIO 2025]],$J$2:$V$14,3,0)*Tabla4[[#This Row],[TOTAL COBERTURA]])</f>
        <v>5409306</v>
      </c>
      <c r="BA950" s="35">
        <f>(VLOOKUP(Tabla4[[#This Row],[SERVICIO 2025]],$J$2:$V$14,3,0)*Tabla4[[#This Row],[TOTAL COBERTURA]])+Tabla4[[#This Row],[VALOR FASE PREPARATORIA DE CIERRE]]</f>
        <v>6270915</v>
      </c>
      <c r="BB950" s="35">
        <f>SUM(Tabla4[[#This Row],[DESEMBOLSO 1]:[DESEMBOLSO 8]])</f>
        <v>45784053</v>
      </c>
      <c r="BC950" s="35">
        <f>VLOOKUP(Tabla4[[#This Row],[SERVICIO 2025]],$J$2:$V$14,10,0)*Tabla4[[#This Row],[TOTAL COBERTURA]]*$W$3</f>
        <v>30304344</v>
      </c>
      <c r="BD950" s="47" t="s">
        <v>211</v>
      </c>
      <c r="BE950" s="12" t="b">
        <f>EXACT(Tabla4[[#This Row],[VALOR ATENCIÓN (8 MESES)]],Tabla4[[#This Row],[VALOR TOTAL]])</f>
        <v>1</v>
      </c>
      <c r="BF950" s="23">
        <f>Tabla4[[#This Row],[VALOR ATENCIÓN (8 MESES)]]-Tabla4[[#This Row],[VALOR TOTAL]]</f>
        <v>0</v>
      </c>
      <c r="BG950" s="12" t="b">
        <f>EXACT(Tabla4[[#This Row],[TOTAL DESEMBOLSOS]],Tabla4[[#This Row],[VALOR ATENCIÓN (8 MESES)]])</f>
        <v>1</v>
      </c>
      <c r="BH950" s="29">
        <f>Tabla4[[#This Row],[TOTAL DESEMBOLSOS]]-Tabla4[[#This Row],[VALOR ATENCIÓN (8 MESES)]]</f>
        <v>0</v>
      </c>
      <c r="BI950" t="s">
        <v>98</v>
      </c>
      <c r="BJ950">
        <v>1981</v>
      </c>
    </row>
    <row r="951" spans="1:62">
      <c r="A951" s="13">
        <v>1982</v>
      </c>
      <c r="B951" s="13" t="s">
        <v>2100</v>
      </c>
      <c r="C951" s="12" t="s">
        <v>87</v>
      </c>
      <c r="D951" s="12" t="s">
        <v>527</v>
      </c>
      <c r="E951" s="12" t="s">
        <v>2101</v>
      </c>
      <c r="F951" s="12" t="s">
        <v>21</v>
      </c>
      <c r="G951" s="12" t="s">
        <v>90</v>
      </c>
      <c r="H951" s="12" t="s">
        <v>2102</v>
      </c>
      <c r="I951" s="12">
        <v>56071137530</v>
      </c>
      <c r="J951" s="12" t="s">
        <v>2103</v>
      </c>
      <c r="K951" s="12">
        <v>1</v>
      </c>
      <c r="L951" s="12">
        <v>43</v>
      </c>
      <c r="M951" s="12"/>
      <c r="N951" s="13">
        <v>1982</v>
      </c>
      <c r="O951" s="12" t="s">
        <v>93</v>
      </c>
      <c r="P951" s="12"/>
      <c r="Q951" s="12"/>
      <c r="R951" s="12" t="s">
        <v>94</v>
      </c>
      <c r="S951" s="12">
        <v>10</v>
      </c>
      <c r="T951" s="12" t="s">
        <v>95</v>
      </c>
      <c r="U951" s="12" t="s">
        <v>96</v>
      </c>
      <c r="V951" s="12">
        <f>VLOOKUP(Tabla4[[#This Row],[ZONA DEFINITIVO]],Hoja1!$A$1:$D$121,3,0)</f>
        <v>229140</v>
      </c>
      <c r="W951" s="12">
        <f>VLOOKUP(Tabla4[[#This Row],[ZONA DEFINITIVO]],Hoja1!$A$1:$D$121,2,0)</f>
        <v>15245</v>
      </c>
      <c r="X951" s="12">
        <f>VLOOKUP(Tabla4[[#This Row],[ZONA DEFINITIVO]],Hoja1!$A$1:$D$121,4,0)</f>
        <v>88825</v>
      </c>
      <c r="Y951" s="12">
        <f>+IF(Tabla4[[#This Row],[AGRUPACIONES]]=1,SUMIFS(Tabla4[UDS],Tabla4[ZONA DEFINITIVO],Tabla4[[#This Row],[ZONA DEFINITIVO]])," ")</f>
        <v>3</v>
      </c>
      <c r="Z951" s="12">
        <f>+IF(Tabla4[[#This Row],[AGRUPACIONES]]=1,SUMIFS(Tabla4[TOTAL COBERTURA],Tabla4[ZONA DEFINITIVO],Tabla4[[#This Row],[ZONA DEFINITIVO]])," ")</f>
        <v>319</v>
      </c>
      <c r="AA951" s="12"/>
      <c r="AB951" s="38">
        <v>65330115</v>
      </c>
      <c r="AC951" s="37">
        <v>0.02</v>
      </c>
      <c r="AD951" s="38">
        <f t="shared" si="15"/>
        <v>1306602.3</v>
      </c>
      <c r="AE951" s="12"/>
      <c r="AF951" s="12">
        <f>COUNTIF($A$20:A951,A951)</f>
        <v>1</v>
      </c>
      <c r="AG951" s="38">
        <v>65330115</v>
      </c>
      <c r="AH951" s="38">
        <f>Tabla4[[#This Row],[VALOR CONTRAPARTIDA]]+Tabla4[[#This Row],[TOTAL APORTES ICBF]]</f>
        <v>66636717.299999997</v>
      </c>
      <c r="AI951" s="35">
        <f>ROUND(+IF(Tabla4[[#This Row],[AGRUPACIONES]]=1,SUMIFS(Tabla4[TOTAL APORTES ICBF],Tabla4[ZONA DEFINITIVO],Tabla4[[#This Row],[ZONA DEFINITIVO]])," "),0)</f>
        <v>1098653645</v>
      </c>
      <c r="AJ951" s="38">
        <f>ROUND(+IF(Tabla4[[#This Row],[AGRUPACIONES]]=1,SUMIFS(Tabla4[VALOR CONTRAPARTIDA],Tabla4[ZONA DEFINITIVO],Tabla4[[#This Row],[ZONA DEFINITIVO]])," "),0)</f>
        <v>21973073</v>
      </c>
      <c r="AK951" s="38">
        <f>Tabla4[[#This Row],[TOTAL APORTES ICBF AGRUPADO]]+Tabla4[[#This Row],[TOTAL CONTRAPARTIDA AGRUPADO]]</f>
        <v>1120626718</v>
      </c>
      <c r="AL951" s="23">
        <f>Tabla4[[#This Row],[TOTAL APORTES ICBF AGRUPADO]]/$AL$18</f>
        <v>771.79743238496667</v>
      </c>
      <c r="AM951" s="35">
        <f>VLOOKUP(Tabla4[[#This Row],[SERVICIO 2025]],$J$2:$V$14,5,0)*Tabla4[[#This Row],[TOTAL COBERTURA]]</f>
        <v>2009992</v>
      </c>
      <c r="AN951" s="35">
        <f>VLOOKUP(Tabla4[[#This Row],[SERVICIO 2025]],$J$2:$V$14,6,0)*Tabla4[[#This Row],[TOTAL COBERTURA]]</f>
        <v>1627163</v>
      </c>
      <c r="AO951" s="35">
        <f>VLOOKUP(Tabla4[[#This Row],[SERVICIO 2025]],$J$2:$V$14,8,0)*Tabla4[[#This Row],[TOTAL COBERTURA]]</f>
        <v>0</v>
      </c>
      <c r="AP951" s="35">
        <f>VLOOKUP(Tabla4[[#This Row],[SERVICIO 2025]],$J$2:$V$14,3,0)*Tabla4[[#This Row],[TOTAL COBERTURA]]*8</f>
        <v>61692960</v>
      </c>
      <c r="AQ951" s="35"/>
      <c r="AR951" s="35">
        <f>Tabla4[[#This Row],[VALOR FASE PREPARATORIA DE ALISTAMIENTO]]+Tabla4[[#This Row],[VALOR FASE PREPARATORIA DE CIERRE]]+Tabla4[[#This Row],[DOTACIÓN ÚNICA]]+Tabla4[[#This Row],[VALOR ATENCIÓN]]+Tabla4[[#This Row],[VALOR RACION PREPARADA]]</f>
        <v>65330115</v>
      </c>
      <c r="AS951" s="35">
        <f>+IF(Tabla4[[#This Row],[AGRUPACIONES]]=1,SUMIFS(Tabla4[VALOR TOTAL],Tabla4[ZONA DEFINITIVO],Tabla4[[#This Row],[ZONA DEFINITIVO]])," ")</f>
        <v>1098653645</v>
      </c>
      <c r="AT951" s="27">
        <f>(VLOOKUP(Tabla4[[#This Row],[SERVICIO 2025]],$J$2:$V$14,3,0)*Tabla4[[#This Row],[TOTAL COBERTURA]])+Tabla4[[#This Row],[VALOR FASE PREPARATORIA DE ALISTAMIENTO]]+Tabla4[[#This Row],[DOTACIÓN ÚNICA]]</f>
        <v>9721612</v>
      </c>
      <c r="AU951" s="35">
        <f>(VLOOKUP(Tabla4[[#This Row],[SERVICIO 2025]],$J$2:$V$14,3,0)*Tabla4[[#This Row],[TOTAL COBERTURA]])</f>
        <v>7711620</v>
      </c>
      <c r="AV951" s="35">
        <f>(VLOOKUP(Tabla4[[#This Row],[SERVICIO 2025]],$J$2:$V$14,3,0)*Tabla4[[#This Row],[TOTAL COBERTURA]])</f>
        <v>7711620</v>
      </c>
      <c r="AW951" s="35">
        <f>(VLOOKUP(Tabla4[[#This Row],[SERVICIO 2025]],$J$2:$V$14,3,0)*Tabla4[[#This Row],[TOTAL COBERTURA]])</f>
        <v>7711620</v>
      </c>
      <c r="AX951" s="35">
        <f>(VLOOKUP(Tabla4[[#This Row],[SERVICIO 2025]],$J$2:$V$14,3,0)*Tabla4[[#This Row],[TOTAL COBERTURA]])</f>
        <v>7711620</v>
      </c>
      <c r="AY951" s="35">
        <f>(VLOOKUP(Tabla4[[#This Row],[SERVICIO 2025]],$J$2:$V$14,3,0)*Tabla4[[#This Row],[TOTAL COBERTURA]])</f>
        <v>7711620</v>
      </c>
      <c r="AZ951" s="35">
        <f>(VLOOKUP(Tabla4[[#This Row],[SERVICIO 2025]],$J$2:$V$14,3,0)*Tabla4[[#This Row],[TOTAL COBERTURA]])</f>
        <v>7711620</v>
      </c>
      <c r="BA951" s="35">
        <f>(VLOOKUP(Tabla4[[#This Row],[SERVICIO 2025]],$J$2:$V$14,3,0)*Tabla4[[#This Row],[TOTAL COBERTURA]])+Tabla4[[#This Row],[VALOR FASE PREPARATORIA DE CIERRE]]</f>
        <v>9338783</v>
      </c>
      <c r="BB951" s="35">
        <f>SUM(Tabla4[[#This Row],[DESEMBOLSO 1]:[DESEMBOLSO 8]])</f>
        <v>65330115</v>
      </c>
      <c r="BC951" s="35">
        <f>VLOOKUP(Tabla4[[#This Row],[SERVICIO 2025]],$J$2:$V$14,10,0)*Tabla4[[#This Row],[TOTAL COBERTURA]]*$W$3</f>
        <v>64782424</v>
      </c>
      <c r="BD951" s="47" t="s">
        <v>211</v>
      </c>
      <c r="BE951" s="12" t="b">
        <f>EXACT(Tabla4[[#This Row],[VALOR ATENCIÓN (8 MESES)]],Tabla4[[#This Row],[VALOR TOTAL]])</f>
        <v>1</v>
      </c>
      <c r="BF951" s="23">
        <f>Tabla4[[#This Row],[VALOR ATENCIÓN (8 MESES)]]-Tabla4[[#This Row],[VALOR TOTAL]]</f>
        <v>0</v>
      </c>
      <c r="BG951" s="12" t="b">
        <f>EXACT(Tabla4[[#This Row],[TOTAL DESEMBOLSOS]],Tabla4[[#This Row],[VALOR ATENCIÓN (8 MESES)]])</f>
        <v>1</v>
      </c>
      <c r="BH951" s="29">
        <f>Tabla4[[#This Row],[TOTAL DESEMBOLSOS]]-Tabla4[[#This Row],[VALOR ATENCIÓN (8 MESES)]]</f>
        <v>0</v>
      </c>
      <c r="BI951" t="s">
        <v>98</v>
      </c>
      <c r="BJ951">
        <v>1982</v>
      </c>
    </row>
    <row r="952" spans="1:62">
      <c r="A952" s="13">
        <v>1982</v>
      </c>
      <c r="B952" s="13" t="s">
        <v>2100</v>
      </c>
      <c r="C952" s="12" t="s">
        <v>87</v>
      </c>
      <c r="D952" s="12" t="s">
        <v>527</v>
      </c>
      <c r="E952" s="12" t="s">
        <v>2101</v>
      </c>
      <c r="F952" s="12" t="s">
        <v>21</v>
      </c>
      <c r="G952" s="12" t="s">
        <v>90</v>
      </c>
      <c r="H952" s="12" t="s">
        <v>2104</v>
      </c>
      <c r="I952" s="12">
        <v>56071137534</v>
      </c>
      <c r="J952" s="12" t="s">
        <v>541</v>
      </c>
      <c r="K952" s="12">
        <v>1</v>
      </c>
      <c r="L952" s="12">
        <v>46</v>
      </c>
      <c r="M952" s="12"/>
      <c r="N952" s="13">
        <v>1982</v>
      </c>
      <c r="O952" s="12" t="s">
        <v>93</v>
      </c>
      <c r="P952" s="12"/>
      <c r="Q952" s="12"/>
      <c r="R952" s="12" t="s">
        <v>94</v>
      </c>
      <c r="S952" s="12">
        <v>10</v>
      </c>
      <c r="T952" s="12" t="s">
        <v>95</v>
      </c>
      <c r="U952" s="12" t="s">
        <v>96</v>
      </c>
      <c r="V952" s="12">
        <f>VLOOKUP(Tabla4[[#This Row],[ZONA DEFINITIVO]],Hoja1!$A$1:$D$121,3,0)</f>
        <v>229140</v>
      </c>
      <c r="W952" s="12">
        <f>VLOOKUP(Tabla4[[#This Row],[ZONA DEFINITIVO]],Hoja1!$A$1:$D$121,2,0)</f>
        <v>15245</v>
      </c>
      <c r="X952" s="12">
        <f>VLOOKUP(Tabla4[[#This Row],[ZONA DEFINITIVO]],Hoja1!$A$1:$D$121,4,0)</f>
        <v>88825</v>
      </c>
      <c r="Y952" s="12" t="str">
        <f>+IF(Tabla4[[#This Row],[AGRUPACIONES]]=1,SUMIFS(Tabla4[UDS],Tabla4[ZONA DEFINITIVO],Tabla4[[#This Row],[ZONA DEFINITIVO]])," ")</f>
        <v xml:space="preserve"> </v>
      </c>
      <c r="Z952" s="12" t="str">
        <f>+IF(Tabla4[[#This Row],[AGRUPACIONES]]=1,SUMIFS(Tabla4[TOTAL COBERTURA],Tabla4[ZONA DEFINITIVO],Tabla4[[#This Row],[ZONA DEFINITIVO]])," ")</f>
        <v xml:space="preserve"> </v>
      </c>
      <c r="AA952" s="12"/>
      <c r="AB952" s="38">
        <v>69888030</v>
      </c>
      <c r="AC952" s="37">
        <v>0.02</v>
      </c>
      <c r="AD952" s="38">
        <f t="shared" si="15"/>
        <v>1397760.6</v>
      </c>
      <c r="AE952" s="12"/>
      <c r="AF952" s="12">
        <f>COUNTIF($A$20:A952,A952)</f>
        <v>2</v>
      </c>
      <c r="AG952" s="38">
        <v>69888030</v>
      </c>
      <c r="AH952" s="38">
        <f>Tabla4[[#This Row],[VALOR CONTRAPARTIDA]]+Tabla4[[#This Row],[TOTAL APORTES ICBF]]</f>
        <v>71285790.599999994</v>
      </c>
      <c r="AI952" s="35"/>
      <c r="AJ952" s="38"/>
      <c r="AK952" s="38"/>
      <c r="AL952" s="23"/>
      <c r="AM952" s="35">
        <f>VLOOKUP(Tabla4[[#This Row],[SERVICIO 2025]],$J$2:$V$14,5,0)*Tabla4[[#This Row],[TOTAL COBERTURA]]</f>
        <v>2150224</v>
      </c>
      <c r="AN952" s="35">
        <f>VLOOKUP(Tabla4[[#This Row],[SERVICIO 2025]],$J$2:$V$14,6,0)*Tabla4[[#This Row],[TOTAL COBERTURA]]</f>
        <v>1740686</v>
      </c>
      <c r="AO952" s="35">
        <f>VLOOKUP(Tabla4[[#This Row],[SERVICIO 2025]],$J$2:$V$14,8,0)*Tabla4[[#This Row],[TOTAL COBERTURA]]</f>
        <v>0</v>
      </c>
      <c r="AP952" s="35">
        <f>VLOOKUP(Tabla4[[#This Row],[SERVICIO 2025]],$J$2:$V$14,3,0)*Tabla4[[#This Row],[TOTAL COBERTURA]]*8</f>
        <v>65997120</v>
      </c>
      <c r="AQ952" s="35"/>
      <c r="AR952" s="35">
        <f>Tabla4[[#This Row],[VALOR FASE PREPARATORIA DE ALISTAMIENTO]]+Tabla4[[#This Row],[VALOR FASE PREPARATORIA DE CIERRE]]+Tabla4[[#This Row],[DOTACIÓN ÚNICA]]+Tabla4[[#This Row],[VALOR ATENCIÓN]]+Tabla4[[#This Row],[VALOR RACION PREPARADA]]</f>
        <v>69888030</v>
      </c>
      <c r="AS952" s="35" t="str">
        <f>+IF(Tabla4[[#This Row],[AGRUPACIONES]]=1,SUMIFS(Tabla4[VALOR TOTAL],Tabla4[ZONA DEFINITIVO],Tabla4[[#This Row],[ZONA DEFINITIVO]])," ")</f>
        <v xml:space="preserve"> </v>
      </c>
      <c r="AT952" s="27">
        <f>(VLOOKUP(Tabla4[[#This Row],[SERVICIO 2025]],$J$2:$V$14,3,0)*Tabla4[[#This Row],[TOTAL COBERTURA]])+Tabla4[[#This Row],[VALOR FASE PREPARATORIA DE ALISTAMIENTO]]+Tabla4[[#This Row],[DOTACIÓN ÚNICA]]</f>
        <v>10399864</v>
      </c>
      <c r="AU952" s="35">
        <f>(VLOOKUP(Tabla4[[#This Row],[SERVICIO 2025]],$J$2:$V$14,3,0)*Tabla4[[#This Row],[TOTAL COBERTURA]])</f>
        <v>8249640</v>
      </c>
      <c r="AV952" s="35">
        <f>(VLOOKUP(Tabla4[[#This Row],[SERVICIO 2025]],$J$2:$V$14,3,0)*Tabla4[[#This Row],[TOTAL COBERTURA]])</f>
        <v>8249640</v>
      </c>
      <c r="AW952" s="35">
        <f>(VLOOKUP(Tabla4[[#This Row],[SERVICIO 2025]],$J$2:$V$14,3,0)*Tabla4[[#This Row],[TOTAL COBERTURA]])</f>
        <v>8249640</v>
      </c>
      <c r="AX952" s="35">
        <f>(VLOOKUP(Tabla4[[#This Row],[SERVICIO 2025]],$J$2:$V$14,3,0)*Tabla4[[#This Row],[TOTAL COBERTURA]])</f>
        <v>8249640</v>
      </c>
      <c r="AY952" s="35">
        <f>(VLOOKUP(Tabla4[[#This Row],[SERVICIO 2025]],$J$2:$V$14,3,0)*Tabla4[[#This Row],[TOTAL COBERTURA]])</f>
        <v>8249640</v>
      </c>
      <c r="AZ952" s="35">
        <f>(VLOOKUP(Tabla4[[#This Row],[SERVICIO 2025]],$J$2:$V$14,3,0)*Tabla4[[#This Row],[TOTAL COBERTURA]])</f>
        <v>8249640</v>
      </c>
      <c r="BA952" s="35">
        <f>(VLOOKUP(Tabla4[[#This Row],[SERVICIO 2025]],$J$2:$V$14,3,0)*Tabla4[[#This Row],[TOTAL COBERTURA]])+Tabla4[[#This Row],[VALOR FASE PREPARATORIA DE CIERRE]]</f>
        <v>9990326</v>
      </c>
      <c r="BB952" s="35">
        <f>SUM(Tabla4[[#This Row],[DESEMBOLSO 1]:[DESEMBOLSO 8]])</f>
        <v>69888030</v>
      </c>
      <c r="BC952" s="35">
        <f>VLOOKUP(Tabla4[[#This Row],[SERVICIO 2025]],$J$2:$V$14,10,0)*Tabla4[[#This Row],[TOTAL COBERTURA]]*$W$3</f>
        <v>69302128</v>
      </c>
      <c r="BD952" s="47" t="s">
        <v>211</v>
      </c>
      <c r="BE952" s="12" t="b">
        <f>EXACT(Tabla4[[#This Row],[VALOR ATENCIÓN (8 MESES)]],Tabla4[[#This Row],[VALOR TOTAL]])</f>
        <v>1</v>
      </c>
      <c r="BF952" s="23">
        <f>Tabla4[[#This Row],[VALOR ATENCIÓN (8 MESES)]]-Tabla4[[#This Row],[VALOR TOTAL]]</f>
        <v>0</v>
      </c>
      <c r="BG952" s="12" t="b">
        <f>EXACT(Tabla4[[#This Row],[TOTAL DESEMBOLSOS]],Tabla4[[#This Row],[VALOR ATENCIÓN (8 MESES)]])</f>
        <v>1</v>
      </c>
      <c r="BH952" s="29">
        <f>Tabla4[[#This Row],[TOTAL DESEMBOLSOS]]-Tabla4[[#This Row],[VALOR ATENCIÓN (8 MESES)]]</f>
        <v>0</v>
      </c>
      <c r="BI952" t="s">
        <v>98</v>
      </c>
      <c r="BJ952">
        <v>1982</v>
      </c>
    </row>
    <row r="953" spans="1:62">
      <c r="A953" s="13">
        <v>1982</v>
      </c>
      <c r="B953" s="13" t="s">
        <v>2100</v>
      </c>
      <c r="C953" s="12" t="s">
        <v>87</v>
      </c>
      <c r="D953" s="12" t="s">
        <v>527</v>
      </c>
      <c r="E953" s="12" t="s">
        <v>2101</v>
      </c>
      <c r="F953" s="12" t="s">
        <v>14</v>
      </c>
      <c r="G953" s="12" t="s">
        <v>90</v>
      </c>
      <c r="H953" s="12" t="s">
        <v>2105</v>
      </c>
      <c r="I953" s="12">
        <v>560700113001</v>
      </c>
      <c r="J953" s="12" t="s">
        <v>2106</v>
      </c>
      <c r="K953" s="12">
        <v>1</v>
      </c>
      <c r="L953" s="12">
        <v>230</v>
      </c>
      <c r="M953" s="12"/>
      <c r="N953" s="13">
        <v>1982</v>
      </c>
      <c r="O953" s="12" t="s">
        <v>93</v>
      </c>
      <c r="P953" s="12"/>
      <c r="Q953" s="12"/>
      <c r="R953" s="12" t="s">
        <v>94</v>
      </c>
      <c r="S953" s="12">
        <v>10</v>
      </c>
      <c r="T953" s="12" t="s">
        <v>95</v>
      </c>
      <c r="U953" s="12" t="s">
        <v>96</v>
      </c>
      <c r="V953" s="12">
        <f>VLOOKUP(Tabla4[[#This Row],[ZONA DEFINITIVO]],Hoja1!$A$1:$D$121,3,0)</f>
        <v>229140</v>
      </c>
      <c r="W953" s="12">
        <f>VLOOKUP(Tabla4[[#This Row],[ZONA DEFINITIVO]],Hoja1!$A$1:$D$121,2,0)</f>
        <v>15245</v>
      </c>
      <c r="X953" s="12">
        <f>VLOOKUP(Tabla4[[#This Row],[ZONA DEFINITIVO]],Hoja1!$A$1:$D$121,4,0)</f>
        <v>88825</v>
      </c>
      <c r="Y953" s="12" t="str">
        <f>+IF(Tabla4[[#This Row],[AGRUPACIONES]]=1,SUMIFS(Tabla4[UDS],Tabla4[ZONA DEFINITIVO],Tabla4[[#This Row],[ZONA DEFINITIVO]])," ")</f>
        <v xml:space="preserve"> </v>
      </c>
      <c r="Z953" s="12" t="str">
        <f>+IF(Tabla4[[#This Row],[AGRUPACIONES]]=1,SUMIFS(Tabla4[TOTAL COBERTURA],Tabla4[ZONA DEFINITIVO],Tabla4[[#This Row],[ZONA DEFINITIVO]])," ")</f>
        <v xml:space="preserve"> </v>
      </c>
      <c r="AA953" s="12"/>
      <c r="AB953" s="38">
        <v>963435500</v>
      </c>
      <c r="AC953" s="37">
        <v>0.02</v>
      </c>
      <c r="AD953" s="38">
        <f t="shared" si="15"/>
        <v>19268710</v>
      </c>
      <c r="AE953" s="12"/>
      <c r="AF953" s="12">
        <f>COUNTIF($A$20:A953,A953)</f>
        <v>3</v>
      </c>
      <c r="AG953" s="38">
        <v>963435500</v>
      </c>
      <c r="AH953" s="38">
        <f>Tabla4[[#This Row],[VALOR CONTRAPARTIDA]]+Tabla4[[#This Row],[TOTAL APORTES ICBF]]</f>
        <v>982704210</v>
      </c>
      <c r="AI953" s="35"/>
      <c r="AJ953" s="38"/>
      <c r="AK953" s="38"/>
      <c r="AL953" s="23"/>
      <c r="AM953" s="35">
        <f>VLOOKUP(Tabla4[[#This Row],[SERVICIO 2025]],$J$2:$V$14,5,0)*Tabla4[[#This Row],[TOTAL COBERTURA]]</f>
        <v>20272890</v>
      </c>
      <c r="AN953" s="35">
        <f>VLOOKUP(Tabla4[[#This Row],[SERVICIO 2025]],$J$2:$V$14,6,0)*Tabla4[[#This Row],[TOTAL COBERTURA]]</f>
        <v>17259890</v>
      </c>
      <c r="AO953" s="35">
        <f>VLOOKUP(Tabla4[[#This Row],[SERVICIO 2025]],$J$2:$V$14,8,0)*Tabla4[[#This Row],[TOTAL COBERTURA]]</f>
        <v>0</v>
      </c>
      <c r="AP953" s="35">
        <f>VLOOKUP(Tabla4[[#This Row],[SERVICIO 2025]],$J$2:$V$14,3,0)*Tabla4[[#This Row],[TOTAL COBERTURA]]*8</f>
        <v>925902720</v>
      </c>
      <c r="AQ953" s="35"/>
      <c r="AR953" s="35">
        <f>Tabla4[[#This Row],[VALOR FASE PREPARATORIA DE ALISTAMIENTO]]+Tabla4[[#This Row],[VALOR FASE PREPARATORIA DE CIERRE]]+Tabla4[[#This Row],[DOTACIÓN ÚNICA]]+Tabla4[[#This Row],[VALOR ATENCIÓN]]+Tabla4[[#This Row],[VALOR RACION PREPARADA]]</f>
        <v>963435500</v>
      </c>
      <c r="AS953" s="35" t="str">
        <f>+IF(Tabla4[[#This Row],[AGRUPACIONES]]=1,SUMIFS(Tabla4[VALOR TOTAL],Tabla4[ZONA DEFINITIVO],Tabla4[[#This Row],[ZONA DEFINITIVO]])," ")</f>
        <v xml:space="preserve"> </v>
      </c>
      <c r="AT953" s="27">
        <f>(VLOOKUP(Tabla4[[#This Row],[SERVICIO 2025]],$J$2:$V$14,3,0)*Tabla4[[#This Row],[TOTAL COBERTURA]])+Tabla4[[#This Row],[VALOR FASE PREPARATORIA DE ALISTAMIENTO]]+Tabla4[[#This Row],[DOTACIÓN ÚNICA]]</f>
        <v>136010730</v>
      </c>
      <c r="AU953" s="35">
        <f>(VLOOKUP(Tabla4[[#This Row],[SERVICIO 2025]],$J$2:$V$14,3,0)*Tabla4[[#This Row],[TOTAL COBERTURA]])</f>
        <v>115737840</v>
      </c>
      <c r="AV953" s="35">
        <f>(VLOOKUP(Tabla4[[#This Row],[SERVICIO 2025]],$J$2:$V$14,3,0)*Tabla4[[#This Row],[TOTAL COBERTURA]])</f>
        <v>115737840</v>
      </c>
      <c r="AW953" s="35">
        <f>(VLOOKUP(Tabla4[[#This Row],[SERVICIO 2025]],$J$2:$V$14,3,0)*Tabla4[[#This Row],[TOTAL COBERTURA]])</f>
        <v>115737840</v>
      </c>
      <c r="AX953" s="35">
        <f>(VLOOKUP(Tabla4[[#This Row],[SERVICIO 2025]],$J$2:$V$14,3,0)*Tabla4[[#This Row],[TOTAL COBERTURA]])</f>
        <v>115737840</v>
      </c>
      <c r="AY953" s="35">
        <f>(VLOOKUP(Tabla4[[#This Row],[SERVICIO 2025]],$J$2:$V$14,3,0)*Tabla4[[#This Row],[TOTAL COBERTURA]])</f>
        <v>115737840</v>
      </c>
      <c r="AZ953" s="35">
        <f>(VLOOKUP(Tabla4[[#This Row],[SERVICIO 2025]],$J$2:$V$14,3,0)*Tabla4[[#This Row],[TOTAL COBERTURA]])</f>
        <v>115737840</v>
      </c>
      <c r="BA953" s="35">
        <f>(VLOOKUP(Tabla4[[#This Row],[SERVICIO 2025]],$J$2:$V$14,3,0)*Tabla4[[#This Row],[TOTAL COBERTURA]])+Tabla4[[#This Row],[VALOR FASE PREPARATORIA DE CIERRE]]</f>
        <v>132997730</v>
      </c>
      <c r="BB953" s="35">
        <f>SUM(Tabla4[[#This Row],[DESEMBOLSO 1]:[DESEMBOLSO 8]])</f>
        <v>963435500</v>
      </c>
      <c r="BC953" s="35">
        <f>VLOOKUP(Tabla4[[#This Row],[SERVICIO 2025]],$J$2:$V$14,10,0)*Tabla4[[#This Row],[TOTAL COBERTURA]]*$W$3</f>
        <v>0</v>
      </c>
      <c r="BD953" s="47" t="s">
        <v>145</v>
      </c>
      <c r="BE953" s="12" t="b">
        <f>EXACT(Tabla4[[#This Row],[VALOR ATENCIÓN (8 MESES)]],Tabla4[[#This Row],[VALOR TOTAL]])</f>
        <v>1</v>
      </c>
      <c r="BF953" s="23">
        <f>Tabla4[[#This Row],[VALOR ATENCIÓN (8 MESES)]]-Tabla4[[#This Row],[VALOR TOTAL]]</f>
        <v>0</v>
      </c>
      <c r="BG953" s="12" t="b">
        <f>EXACT(Tabla4[[#This Row],[TOTAL DESEMBOLSOS]],Tabla4[[#This Row],[VALOR ATENCIÓN (8 MESES)]])</f>
        <v>1</v>
      </c>
      <c r="BH953" s="29">
        <f>Tabla4[[#This Row],[TOTAL DESEMBOLSOS]]-Tabla4[[#This Row],[VALOR ATENCIÓN (8 MESES)]]</f>
        <v>0</v>
      </c>
      <c r="BI953" t="s">
        <v>98</v>
      </c>
      <c r="BJ953">
        <v>1982</v>
      </c>
    </row>
    <row r="954" spans="1:62">
      <c r="A954" s="13">
        <v>1984</v>
      </c>
      <c r="B954" s="13" t="s">
        <v>2107</v>
      </c>
      <c r="C954" s="12" t="s">
        <v>87</v>
      </c>
      <c r="D954" s="12" t="s">
        <v>527</v>
      </c>
      <c r="E954" s="12" t="s">
        <v>1493</v>
      </c>
      <c r="F954" s="12" t="s">
        <v>21</v>
      </c>
      <c r="G954" s="12" t="s">
        <v>90</v>
      </c>
      <c r="H954" s="12" t="s">
        <v>2108</v>
      </c>
      <c r="I954" s="12">
        <v>56151113313</v>
      </c>
      <c r="J954" s="12" t="s">
        <v>2109</v>
      </c>
      <c r="K954" s="12">
        <v>1</v>
      </c>
      <c r="L954" s="12">
        <v>47</v>
      </c>
      <c r="M954" s="12"/>
      <c r="N954" s="13">
        <v>1984</v>
      </c>
      <c r="O954" s="12" t="s">
        <v>93</v>
      </c>
      <c r="P954" s="12"/>
      <c r="Q954" s="12"/>
      <c r="R954" s="12" t="s">
        <v>94</v>
      </c>
      <c r="S954" s="12">
        <v>10</v>
      </c>
      <c r="T954" s="12" t="s">
        <v>1732</v>
      </c>
      <c r="U954" s="12" t="s">
        <v>2110</v>
      </c>
      <c r="V954" s="12">
        <f>VLOOKUP(Tabla4[[#This Row],[ZONA DEFINITIVO]],Hoja1!$A$1:$D$121,3,0)</f>
        <v>229141</v>
      </c>
      <c r="W954" s="12">
        <f>VLOOKUP(Tabla4[[#This Row],[ZONA DEFINITIVO]],Hoja1!$A$1:$D$121,2,0)</f>
        <v>15213</v>
      </c>
      <c r="X954" s="12">
        <f>VLOOKUP(Tabla4[[#This Row],[ZONA DEFINITIVO]],Hoja1!$A$1:$D$121,4,0)</f>
        <v>86225</v>
      </c>
      <c r="Y954" s="12">
        <f>+IF(Tabla4[[#This Row],[AGRUPACIONES]]=1,SUMIFS(Tabla4[UDS],Tabla4[ZONA DEFINITIVO],Tabla4[[#This Row],[ZONA DEFINITIVO]])," ")</f>
        <v>10</v>
      </c>
      <c r="Z954" s="12">
        <f>+IF(Tabla4[[#This Row],[AGRUPACIONES]]=1,SUMIFS(Tabla4[TOTAL COBERTURA],Tabla4[ZONA DEFINITIVO],Tabla4[[#This Row],[ZONA DEFINITIVO]])," ")</f>
        <v>473</v>
      </c>
      <c r="AA954" s="12"/>
      <c r="AB954" s="38">
        <v>71407335</v>
      </c>
      <c r="AC954" s="37">
        <v>0.02</v>
      </c>
      <c r="AD954" s="38">
        <f t="shared" si="15"/>
        <v>1428146.7</v>
      </c>
      <c r="AE954" s="12"/>
      <c r="AF954" s="12">
        <f>COUNTIF($A$20:A954,A954)</f>
        <v>1</v>
      </c>
      <c r="AG954" s="38">
        <v>71407335</v>
      </c>
      <c r="AH954" s="38">
        <f>Tabla4[[#This Row],[VALOR CONTRAPARTIDA]]+Tabla4[[#This Row],[TOTAL APORTES ICBF]]</f>
        <v>72835481.700000003</v>
      </c>
      <c r="AI954" s="35">
        <f>ROUND(+IF(Tabla4[[#This Row],[AGRUPACIONES]]=1,SUMIFS(Tabla4[TOTAL APORTES ICBF],Tabla4[ZONA DEFINITIVO],Tabla4[[#This Row],[ZONA DEFINITIVO]])," "),0)</f>
        <v>718631265</v>
      </c>
      <c r="AJ954" s="38">
        <f>ROUND(+IF(Tabla4[[#This Row],[AGRUPACIONES]]=1,SUMIFS(Tabla4[VALOR CONTRAPARTIDA],Tabla4[ZONA DEFINITIVO],Tabla4[[#This Row],[ZONA DEFINITIVO]])," "),0)</f>
        <v>14372625</v>
      </c>
      <c r="AK954" s="38">
        <f>Tabla4[[#This Row],[TOTAL APORTES ICBF AGRUPADO]]+Tabla4[[#This Row],[TOTAL CONTRAPARTIDA AGRUPADO]]</f>
        <v>733003890</v>
      </c>
      <c r="AL954" s="23">
        <f>Tabla4[[#This Row],[TOTAL APORTES ICBF AGRUPADO]]/$AL$18</f>
        <v>504.83404636459431</v>
      </c>
      <c r="AM954" s="35">
        <f>VLOOKUP(Tabla4[[#This Row],[SERVICIO 2025]],$J$2:$V$14,5,0)*Tabla4[[#This Row],[TOTAL COBERTURA]]</f>
        <v>2196968</v>
      </c>
      <c r="AN954" s="35">
        <f>VLOOKUP(Tabla4[[#This Row],[SERVICIO 2025]],$J$2:$V$14,6,0)*Tabla4[[#This Row],[TOTAL COBERTURA]]</f>
        <v>1778527</v>
      </c>
      <c r="AO954" s="35">
        <f>VLOOKUP(Tabla4[[#This Row],[SERVICIO 2025]],$J$2:$V$14,8,0)*Tabla4[[#This Row],[TOTAL COBERTURA]]</f>
        <v>0</v>
      </c>
      <c r="AP954" s="35">
        <f>VLOOKUP(Tabla4[[#This Row],[SERVICIO 2025]],$J$2:$V$14,3,0)*Tabla4[[#This Row],[TOTAL COBERTURA]]*8</f>
        <v>67431840</v>
      </c>
      <c r="AQ954" s="35"/>
      <c r="AR954" s="35">
        <f>Tabla4[[#This Row],[VALOR FASE PREPARATORIA DE ALISTAMIENTO]]+Tabla4[[#This Row],[VALOR FASE PREPARATORIA DE CIERRE]]+Tabla4[[#This Row],[DOTACIÓN ÚNICA]]+Tabla4[[#This Row],[VALOR ATENCIÓN]]+Tabla4[[#This Row],[VALOR RACION PREPARADA]]</f>
        <v>71407335</v>
      </c>
      <c r="AS954" s="35">
        <f>+IF(Tabla4[[#This Row],[AGRUPACIONES]]=1,SUMIFS(Tabla4[VALOR TOTAL],Tabla4[ZONA DEFINITIVO],Tabla4[[#This Row],[ZONA DEFINITIVO]])," ")</f>
        <v>718631265</v>
      </c>
      <c r="AT954" s="27">
        <f>(VLOOKUP(Tabla4[[#This Row],[SERVICIO 2025]],$J$2:$V$14,3,0)*Tabla4[[#This Row],[TOTAL COBERTURA]])+Tabla4[[#This Row],[VALOR FASE PREPARATORIA DE ALISTAMIENTO]]+Tabla4[[#This Row],[DOTACIÓN ÚNICA]]</f>
        <v>10625948</v>
      </c>
      <c r="AU954" s="35">
        <f>(VLOOKUP(Tabla4[[#This Row],[SERVICIO 2025]],$J$2:$V$14,3,0)*Tabla4[[#This Row],[TOTAL COBERTURA]])</f>
        <v>8428980</v>
      </c>
      <c r="AV954" s="35">
        <f>(VLOOKUP(Tabla4[[#This Row],[SERVICIO 2025]],$J$2:$V$14,3,0)*Tabla4[[#This Row],[TOTAL COBERTURA]])</f>
        <v>8428980</v>
      </c>
      <c r="AW954" s="35">
        <f>(VLOOKUP(Tabla4[[#This Row],[SERVICIO 2025]],$J$2:$V$14,3,0)*Tabla4[[#This Row],[TOTAL COBERTURA]])</f>
        <v>8428980</v>
      </c>
      <c r="AX954" s="35">
        <f>(VLOOKUP(Tabla4[[#This Row],[SERVICIO 2025]],$J$2:$V$14,3,0)*Tabla4[[#This Row],[TOTAL COBERTURA]])</f>
        <v>8428980</v>
      </c>
      <c r="AY954" s="35">
        <f>(VLOOKUP(Tabla4[[#This Row],[SERVICIO 2025]],$J$2:$V$14,3,0)*Tabla4[[#This Row],[TOTAL COBERTURA]])</f>
        <v>8428980</v>
      </c>
      <c r="AZ954" s="35">
        <f>(VLOOKUP(Tabla4[[#This Row],[SERVICIO 2025]],$J$2:$V$14,3,0)*Tabla4[[#This Row],[TOTAL COBERTURA]])</f>
        <v>8428980</v>
      </c>
      <c r="BA954" s="35">
        <f>(VLOOKUP(Tabla4[[#This Row],[SERVICIO 2025]],$J$2:$V$14,3,0)*Tabla4[[#This Row],[TOTAL COBERTURA]])+Tabla4[[#This Row],[VALOR FASE PREPARATORIA DE CIERRE]]</f>
        <v>10207507</v>
      </c>
      <c r="BB954" s="35">
        <f>SUM(Tabla4[[#This Row],[DESEMBOLSO 1]:[DESEMBOLSO 8]])</f>
        <v>71407335</v>
      </c>
      <c r="BC954" s="35"/>
      <c r="BD954" s="47" t="s">
        <v>97</v>
      </c>
      <c r="BE954" s="12" t="b">
        <f>EXACT(Tabla4[[#This Row],[VALOR ATENCIÓN (8 MESES)]],Tabla4[[#This Row],[VALOR TOTAL]])</f>
        <v>1</v>
      </c>
      <c r="BF954" s="23">
        <f>Tabla4[[#This Row],[VALOR ATENCIÓN (8 MESES)]]-Tabla4[[#This Row],[VALOR TOTAL]]</f>
        <v>0</v>
      </c>
      <c r="BG954" s="12" t="b">
        <f>EXACT(Tabla4[[#This Row],[TOTAL DESEMBOLSOS]],Tabla4[[#This Row],[VALOR ATENCIÓN (8 MESES)]])</f>
        <v>1</v>
      </c>
      <c r="BH954" s="29">
        <f>Tabla4[[#This Row],[TOTAL DESEMBOLSOS]]-Tabla4[[#This Row],[VALOR ATENCIÓN (8 MESES)]]</f>
        <v>0</v>
      </c>
      <c r="BI954" t="s">
        <v>98</v>
      </c>
    </row>
    <row r="955" spans="1:62">
      <c r="A955" s="13">
        <v>1984</v>
      </c>
      <c r="B955" s="13" t="s">
        <v>2107</v>
      </c>
      <c r="C955" s="12" t="s">
        <v>87</v>
      </c>
      <c r="D955" s="12" t="s">
        <v>527</v>
      </c>
      <c r="E955" s="12" t="s">
        <v>1493</v>
      </c>
      <c r="F955" s="12" t="s">
        <v>21</v>
      </c>
      <c r="G955" s="12" t="s">
        <v>90</v>
      </c>
      <c r="H955" s="12" t="s">
        <v>2111</v>
      </c>
      <c r="I955" s="12">
        <v>56151113322</v>
      </c>
      <c r="J955" s="12" t="s">
        <v>2112</v>
      </c>
      <c r="K955" s="12">
        <v>1</v>
      </c>
      <c r="L955" s="12">
        <v>50</v>
      </c>
      <c r="M955" s="12"/>
      <c r="N955" s="13">
        <v>1984</v>
      </c>
      <c r="O955" s="12" t="s">
        <v>93</v>
      </c>
      <c r="P955" s="12"/>
      <c r="Q955" s="12"/>
      <c r="R955" s="12" t="s">
        <v>94</v>
      </c>
      <c r="S955" s="12">
        <v>10</v>
      </c>
      <c r="T955" s="12" t="s">
        <v>1732</v>
      </c>
      <c r="U955" s="12" t="s">
        <v>2110</v>
      </c>
      <c r="V955" s="12">
        <f>VLOOKUP(Tabla4[[#This Row],[ZONA DEFINITIVO]],Hoja1!$A$1:$D$121,3,0)</f>
        <v>229141</v>
      </c>
      <c r="W955" s="12">
        <f>VLOOKUP(Tabla4[[#This Row],[ZONA DEFINITIVO]],Hoja1!$A$1:$D$121,2,0)</f>
        <v>15213</v>
      </c>
      <c r="X955" s="12">
        <f>VLOOKUP(Tabla4[[#This Row],[ZONA DEFINITIVO]],Hoja1!$A$1:$D$121,4,0)</f>
        <v>86225</v>
      </c>
      <c r="Y955" s="12" t="str">
        <f>+IF(Tabla4[[#This Row],[AGRUPACIONES]]=1,SUMIFS(Tabla4[UDS],Tabla4[ZONA DEFINITIVO],Tabla4[[#This Row],[ZONA DEFINITIVO]])," ")</f>
        <v xml:space="preserve"> </v>
      </c>
      <c r="Z955" s="12" t="str">
        <f>+IF(Tabla4[[#This Row],[AGRUPACIONES]]=1,SUMIFS(Tabla4[TOTAL COBERTURA],Tabla4[ZONA DEFINITIVO],Tabla4[[#This Row],[ZONA DEFINITIVO]])," ")</f>
        <v xml:space="preserve"> </v>
      </c>
      <c r="AA955" s="12"/>
      <c r="AB955" s="38">
        <v>75965250</v>
      </c>
      <c r="AC955" s="37">
        <v>0.02</v>
      </c>
      <c r="AD955" s="38">
        <f t="shared" si="15"/>
        <v>1519305</v>
      </c>
      <c r="AE955" s="12"/>
      <c r="AF955" s="12">
        <f>COUNTIF($A$20:A955,A955)</f>
        <v>2</v>
      </c>
      <c r="AG955" s="38">
        <v>75965250</v>
      </c>
      <c r="AH955" s="38">
        <f>Tabla4[[#This Row],[VALOR CONTRAPARTIDA]]+Tabla4[[#This Row],[TOTAL APORTES ICBF]]</f>
        <v>77484555</v>
      </c>
      <c r="AI955" s="35"/>
      <c r="AJ955" s="38"/>
      <c r="AK955" s="38"/>
      <c r="AL955" s="23"/>
      <c r="AM955" s="35">
        <f>VLOOKUP(Tabla4[[#This Row],[SERVICIO 2025]],$J$2:$V$14,5,0)*Tabla4[[#This Row],[TOTAL COBERTURA]]</f>
        <v>2337200</v>
      </c>
      <c r="AN955" s="35">
        <f>VLOOKUP(Tabla4[[#This Row],[SERVICIO 2025]],$J$2:$V$14,6,0)*Tabla4[[#This Row],[TOTAL COBERTURA]]</f>
        <v>1892050</v>
      </c>
      <c r="AO955" s="35">
        <f>VLOOKUP(Tabla4[[#This Row],[SERVICIO 2025]],$J$2:$V$14,8,0)*Tabla4[[#This Row],[TOTAL COBERTURA]]</f>
        <v>0</v>
      </c>
      <c r="AP955" s="35">
        <f>VLOOKUP(Tabla4[[#This Row],[SERVICIO 2025]],$J$2:$V$14,3,0)*Tabla4[[#This Row],[TOTAL COBERTURA]]*8</f>
        <v>71736000</v>
      </c>
      <c r="AQ955" s="35"/>
      <c r="AR955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955" s="35" t="str">
        <f>+IF(Tabla4[[#This Row],[AGRUPACIONES]]=1,SUMIFS(Tabla4[VALOR TOTAL],Tabla4[ZONA DEFINITIVO],Tabla4[[#This Row],[ZONA DEFINITIVO]])," ")</f>
        <v xml:space="preserve"> </v>
      </c>
      <c r="AT955" s="27">
        <f>(VLOOKUP(Tabla4[[#This Row],[SERVICIO 2025]],$J$2:$V$14,3,0)*Tabla4[[#This Row],[TOTAL COBERTURA]])+Tabla4[[#This Row],[VALOR FASE PREPARATORIA DE ALISTAMIENTO]]+Tabla4[[#This Row],[DOTACIÓN ÚNICA]]</f>
        <v>11304200</v>
      </c>
      <c r="AU955" s="35">
        <f>(VLOOKUP(Tabla4[[#This Row],[SERVICIO 2025]],$J$2:$V$14,3,0)*Tabla4[[#This Row],[TOTAL COBERTURA]])</f>
        <v>8967000</v>
      </c>
      <c r="AV955" s="35">
        <f>(VLOOKUP(Tabla4[[#This Row],[SERVICIO 2025]],$J$2:$V$14,3,0)*Tabla4[[#This Row],[TOTAL COBERTURA]])</f>
        <v>8967000</v>
      </c>
      <c r="AW955" s="35">
        <f>(VLOOKUP(Tabla4[[#This Row],[SERVICIO 2025]],$J$2:$V$14,3,0)*Tabla4[[#This Row],[TOTAL COBERTURA]])</f>
        <v>8967000</v>
      </c>
      <c r="AX955" s="35">
        <f>(VLOOKUP(Tabla4[[#This Row],[SERVICIO 2025]],$J$2:$V$14,3,0)*Tabla4[[#This Row],[TOTAL COBERTURA]])</f>
        <v>8967000</v>
      </c>
      <c r="AY955" s="35">
        <f>(VLOOKUP(Tabla4[[#This Row],[SERVICIO 2025]],$J$2:$V$14,3,0)*Tabla4[[#This Row],[TOTAL COBERTURA]])</f>
        <v>8967000</v>
      </c>
      <c r="AZ955" s="35">
        <f>(VLOOKUP(Tabla4[[#This Row],[SERVICIO 2025]],$J$2:$V$14,3,0)*Tabla4[[#This Row],[TOTAL COBERTURA]])</f>
        <v>8967000</v>
      </c>
      <c r="BA955" s="35">
        <f>(VLOOKUP(Tabla4[[#This Row],[SERVICIO 2025]],$J$2:$V$14,3,0)*Tabla4[[#This Row],[TOTAL COBERTURA]])+Tabla4[[#This Row],[VALOR FASE PREPARATORIA DE CIERRE]]</f>
        <v>10859050</v>
      </c>
      <c r="BB955" s="35">
        <f>SUM(Tabla4[[#This Row],[DESEMBOLSO 1]:[DESEMBOLSO 8]])</f>
        <v>75965250</v>
      </c>
      <c r="BC955" s="35"/>
      <c r="BD955" s="47" t="s">
        <v>97</v>
      </c>
      <c r="BE955" s="12" t="b">
        <f>EXACT(Tabla4[[#This Row],[VALOR ATENCIÓN (8 MESES)]],Tabla4[[#This Row],[VALOR TOTAL]])</f>
        <v>1</v>
      </c>
      <c r="BF955" s="23">
        <f>Tabla4[[#This Row],[VALOR ATENCIÓN (8 MESES)]]-Tabla4[[#This Row],[VALOR TOTAL]]</f>
        <v>0</v>
      </c>
      <c r="BG955" s="12" t="b">
        <f>EXACT(Tabla4[[#This Row],[TOTAL DESEMBOLSOS]],Tabla4[[#This Row],[VALOR ATENCIÓN (8 MESES)]])</f>
        <v>1</v>
      </c>
      <c r="BH955" s="29">
        <f>Tabla4[[#This Row],[TOTAL DESEMBOLSOS]]-Tabla4[[#This Row],[VALOR ATENCIÓN (8 MESES)]]</f>
        <v>0</v>
      </c>
      <c r="BI955" t="s">
        <v>98</v>
      </c>
    </row>
    <row r="956" spans="1:62">
      <c r="A956" s="13">
        <v>1984</v>
      </c>
      <c r="B956" s="13" t="s">
        <v>2107</v>
      </c>
      <c r="C956" s="12" t="s">
        <v>87</v>
      </c>
      <c r="D956" s="12" t="s">
        <v>527</v>
      </c>
      <c r="E956" s="12" t="s">
        <v>1493</v>
      </c>
      <c r="F956" s="12" t="s">
        <v>21</v>
      </c>
      <c r="G956" s="12" t="s">
        <v>90</v>
      </c>
      <c r="H956" s="12" t="s">
        <v>2113</v>
      </c>
      <c r="I956" s="12">
        <v>56151119901</v>
      </c>
      <c r="J956" s="12" t="s">
        <v>2114</v>
      </c>
      <c r="K956" s="12">
        <v>1</v>
      </c>
      <c r="L956" s="12">
        <v>47</v>
      </c>
      <c r="M956" s="12"/>
      <c r="N956" s="13">
        <v>1984</v>
      </c>
      <c r="O956" s="12" t="s">
        <v>93</v>
      </c>
      <c r="P956" s="12"/>
      <c r="Q956" s="12"/>
      <c r="R956" s="12" t="s">
        <v>94</v>
      </c>
      <c r="S956" s="12">
        <v>10</v>
      </c>
      <c r="T956" s="12" t="s">
        <v>1732</v>
      </c>
      <c r="U956" s="12" t="s">
        <v>2110</v>
      </c>
      <c r="V956" s="12">
        <f>VLOOKUP(Tabla4[[#This Row],[ZONA DEFINITIVO]],Hoja1!$A$1:$D$121,3,0)</f>
        <v>229141</v>
      </c>
      <c r="W956" s="12">
        <f>VLOOKUP(Tabla4[[#This Row],[ZONA DEFINITIVO]],Hoja1!$A$1:$D$121,2,0)</f>
        <v>15213</v>
      </c>
      <c r="X956" s="12">
        <f>VLOOKUP(Tabla4[[#This Row],[ZONA DEFINITIVO]],Hoja1!$A$1:$D$121,4,0)</f>
        <v>86225</v>
      </c>
      <c r="Y956" s="12" t="str">
        <f>+IF(Tabla4[[#This Row],[AGRUPACIONES]]=1,SUMIFS(Tabla4[UDS],Tabla4[ZONA DEFINITIVO],Tabla4[[#This Row],[ZONA DEFINITIVO]])," ")</f>
        <v xml:space="preserve"> </v>
      </c>
      <c r="Z956" s="12" t="str">
        <f>+IF(Tabla4[[#This Row],[AGRUPACIONES]]=1,SUMIFS(Tabla4[TOTAL COBERTURA],Tabla4[ZONA DEFINITIVO],Tabla4[[#This Row],[ZONA DEFINITIVO]])," ")</f>
        <v xml:space="preserve"> </v>
      </c>
      <c r="AA956" s="12"/>
      <c r="AB956" s="38">
        <v>71407335</v>
      </c>
      <c r="AC956" s="37">
        <v>0.02</v>
      </c>
      <c r="AD956" s="38">
        <f t="shared" si="15"/>
        <v>1428146.7</v>
      </c>
      <c r="AE956" s="12"/>
      <c r="AF956" s="12">
        <f>COUNTIF($A$20:A956,A956)</f>
        <v>3</v>
      </c>
      <c r="AG956" s="38">
        <v>71407335</v>
      </c>
      <c r="AH956" s="38">
        <f>Tabla4[[#This Row],[VALOR CONTRAPARTIDA]]+Tabla4[[#This Row],[TOTAL APORTES ICBF]]</f>
        <v>72835481.700000003</v>
      </c>
      <c r="AI956" s="35"/>
      <c r="AJ956" s="38"/>
      <c r="AK956" s="38"/>
      <c r="AL956" s="23"/>
      <c r="AM956" s="35">
        <f>VLOOKUP(Tabla4[[#This Row],[SERVICIO 2025]],$J$2:$V$14,5,0)*Tabla4[[#This Row],[TOTAL COBERTURA]]</f>
        <v>2196968</v>
      </c>
      <c r="AN956" s="35">
        <f>VLOOKUP(Tabla4[[#This Row],[SERVICIO 2025]],$J$2:$V$14,6,0)*Tabla4[[#This Row],[TOTAL COBERTURA]]</f>
        <v>1778527</v>
      </c>
      <c r="AO956" s="35">
        <f>VLOOKUP(Tabla4[[#This Row],[SERVICIO 2025]],$J$2:$V$14,8,0)*Tabla4[[#This Row],[TOTAL COBERTURA]]</f>
        <v>0</v>
      </c>
      <c r="AP956" s="35">
        <f>VLOOKUP(Tabla4[[#This Row],[SERVICIO 2025]],$J$2:$V$14,3,0)*Tabla4[[#This Row],[TOTAL COBERTURA]]*8</f>
        <v>67431840</v>
      </c>
      <c r="AQ956" s="35"/>
      <c r="AR956" s="35">
        <f>Tabla4[[#This Row],[VALOR FASE PREPARATORIA DE ALISTAMIENTO]]+Tabla4[[#This Row],[VALOR FASE PREPARATORIA DE CIERRE]]+Tabla4[[#This Row],[DOTACIÓN ÚNICA]]+Tabla4[[#This Row],[VALOR ATENCIÓN]]+Tabla4[[#This Row],[VALOR RACION PREPARADA]]</f>
        <v>71407335</v>
      </c>
      <c r="AS956" s="35" t="str">
        <f>+IF(Tabla4[[#This Row],[AGRUPACIONES]]=1,SUMIFS(Tabla4[VALOR TOTAL],Tabla4[ZONA DEFINITIVO],Tabla4[[#This Row],[ZONA DEFINITIVO]])," ")</f>
        <v xml:space="preserve"> </v>
      </c>
      <c r="AT956" s="27">
        <f>(VLOOKUP(Tabla4[[#This Row],[SERVICIO 2025]],$J$2:$V$14,3,0)*Tabla4[[#This Row],[TOTAL COBERTURA]])+Tabla4[[#This Row],[VALOR FASE PREPARATORIA DE ALISTAMIENTO]]+Tabla4[[#This Row],[DOTACIÓN ÚNICA]]</f>
        <v>10625948</v>
      </c>
      <c r="AU956" s="35">
        <f>(VLOOKUP(Tabla4[[#This Row],[SERVICIO 2025]],$J$2:$V$14,3,0)*Tabla4[[#This Row],[TOTAL COBERTURA]])</f>
        <v>8428980</v>
      </c>
      <c r="AV956" s="35">
        <f>(VLOOKUP(Tabla4[[#This Row],[SERVICIO 2025]],$J$2:$V$14,3,0)*Tabla4[[#This Row],[TOTAL COBERTURA]])</f>
        <v>8428980</v>
      </c>
      <c r="AW956" s="35">
        <f>(VLOOKUP(Tabla4[[#This Row],[SERVICIO 2025]],$J$2:$V$14,3,0)*Tabla4[[#This Row],[TOTAL COBERTURA]])</f>
        <v>8428980</v>
      </c>
      <c r="AX956" s="35">
        <f>(VLOOKUP(Tabla4[[#This Row],[SERVICIO 2025]],$J$2:$V$14,3,0)*Tabla4[[#This Row],[TOTAL COBERTURA]])</f>
        <v>8428980</v>
      </c>
      <c r="AY956" s="35">
        <f>(VLOOKUP(Tabla4[[#This Row],[SERVICIO 2025]],$J$2:$V$14,3,0)*Tabla4[[#This Row],[TOTAL COBERTURA]])</f>
        <v>8428980</v>
      </c>
      <c r="AZ956" s="35">
        <f>(VLOOKUP(Tabla4[[#This Row],[SERVICIO 2025]],$J$2:$V$14,3,0)*Tabla4[[#This Row],[TOTAL COBERTURA]])</f>
        <v>8428980</v>
      </c>
      <c r="BA956" s="35">
        <f>(VLOOKUP(Tabla4[[#This Row],[SERVICIO 2025]],$J$2:$V$14,3,0)*Tabla4[[#This Row],[TOTAL COBERTURA]])+Tabla4[[#This Row],[VALOR FASE PREPARATORIA DE CIERRE]]</f>
        <v>10207507</v>
      </c>
      <c r="BB956" s="35">
        <f>SUM(Tabla4[[#This Row],[DESEMBOLSO 1]:[DESEMBOLSO 8]])</f>
        <v>71407335</v>
      </c>
      <c r="BC956" s="35"/>
      <c r="BD956" s="47" t="s">
        <v>97</v>
      </c>
      <c r="BE956" s="12" t="b">
        <f>EXACT(Tabla4[[#This Row],[VALOR ATENCIÓN (8 MESES)]],Tabla4[[#This Row],[VALOR TOTAL]])</f>
        <v>1</v>
      </c>
      <c r="BF956" s="23">
        <f>Tabla4[[#This Row],[VALOR ATENCIÓN (8 MESES)]]-Tabla4[[#This Row],[VALOR TOTAL]]</f>
        <v>0</v>
      </c>
      <c r="BG956" s="12" t="b">
        <f>EXACT(Tabla4[[#This Row],[TOTAL DESEMBOLSOS]],Tabla4[[#This Row],[VALOR ATENCIÓN (8 MESES)]])</f>
        <v>1</v>
      </c>
      <c r="BH956" s="29">
        <f>Tabla4[[#This Row],[TOTAL DESEMBOLSOS]]-Tabla4[[#This Row],[VALOR ATENCIÓN (8 MESES)]]</f>
        <v>0</v>
      </c>
      <c r="BI956" t="s">
        <v>98</v>
      </c>
    </row>
    <row r="957" spans="1:62">
      <c r="A957" s="13">
        <v>1984</v>
      </c>
      <c r="B957" s="13" t="s">
        <v>2107</v>
      </c>
      <c r="C957" s="12" t="s">
        <v>87</v>
      </c>
      <c r="D957" s="12" t="s">
        <v>527</v>
      </c>
      <c r="E957" s="12" t="s">
        <v>1493</v>
      </c>
      <c r="F957" s="12" t="s">
        <v>21</v>
      </c>
      <c r="G957" s="12" t="s">
        <v>90</v>
      </c>
      <c r="H957" s="12" t="s">
        <v>2115</v>
      </c>
      <c r="I957" s="12">
        <v>56151131874</v>
      </c>
      <c r="J957" s="12" t="s">
        <v>2116</v>
      </c>
      <c r="K957" s="12">
        <v>1</v>
      </c>
      <c r="L957" s="12">
        <v>49</v>
      </c>
      <c r="M957" s="12"/>
      <c r="N957" s="13">
        <v>1984</v>
      </c>
      <c r="O957" s="12" t="s">
        <v>93</v>
      </c>
      <c r="P957" s="12"/>
      <c r="Q957" s="12"/>
      <c r="R957" s="12" t="s">
        <v>94</v>
      </c>
      <c r="S957" s="12">
        <v>10</v>
      </c>
      <c r="T957" s="12" t="s">
        <v>1732</v>
      </c>
      <c r="U957" s="12" t="s">
        <v>2110</v>
      </c>
      <c r="V957" s="12">
        <f>VLOOKUP(Tabla4[[#This Row],[ZONA DEFINITIVO]],Hoja1!$A$1:$D$121,3,0)</f>
        <v>229141</v>
      </c>
      <c r="W957" s="12">
        <f>VLOOKUP(Tabla4[[#This Row],[ZONA DEFINITIVO]],Hoja1!$A$1:$D$121,2,0)</f>
        <v>15213</v>
      </c>
      <c r="X957" s="12">
        <f>VLOOKUP(Tabla4[[#This Row],[ZONA DEFINITIVO]],Hoja1!$A$1:$D$121,4,0)</f>
        <v>86225</v>
      </c>
      <c r="Y957" s="12" t="str">
        <f>+IF(Tabla4[[#This Row],[AGRUPACIONES]]=1,SUMIFS(Tabla4[UDS],Tabla4[ZONA DEFINITIVO],Tabla4[[#This Row],[ZONA DEFINITIVO]])," ")</f>
        <v xml:space="preserve"> </v>
      </c>
      <c r="Z957" s="12" t="str">
        <f>+IF(Tabla4[[#This Row],[AGRUPACIONES]]=1,SUMIFS(Tabla4[TOTAL COBERTURA],Tabla4[ZONA DEFINITIVO],Tabla4[[#This Row],[ZONA DEFINITIVO]])," ")</f>
        <v xml:space="preserve"> </v>
      </c>
      <c r="AA957" s="12"/>
      <c r="AB957" s="38">
        <v>74445945</v>
      </c>
      <c r="AC957" s="37">
        <v>0.02</v>
      </c>
      <c r="AD957" s="38">
        <f t="shared" si="15"/>
        <v>1488918.9000000001</v>
      </c>
      <c r="AE957" s="12"/>
      <c r="AF957" s="12">
        <f>COUNTIF($A$20:A957,A957)</f>
        <v>4</v>
      </c>
      <c r="AG957" s="38">
        <v>74445945</v>
      </c>
      <c r="AH957" s="38">
        <f>Tabla4[[#This Row],[VALOR CONTRAPARTIDA]]+Tabla4[[#This Row],[TOTAL APORTES ICBF]]</f>
        <v>75934863.900000006</v>
      </c>
      <c r="AI957" s="35"/>
      <c r="AJ957" s="38"/>
      <c r="AK957" s="38"/>
      <c r="AL957" s="23"/>
      <c r="AM957" s="35">
        <f>VLOOKUP(Tabla4[[#This Row],[SERVICIO 2025]],$J$2:$V$14,5,0)*Tabla4[[#This Row],[TOTAL COBERTURA]]</f>
        <v>2290456</v>
      </c>
      <c r="AN957" s="35">
        <f>VLOOKUP(Tabla4[[#This Row],[SERVICIO 2025]],$J$2:$V$14,6,0)*Tabla4[[#This Row],[TOTAL COBERTURA]]</f>
        <v>1854209</v>
      </c>
      <c r="AO957" s="35">
        <f>VLOOKUP(Tabla4[[#This Row],[SERVICIO 2025]],$J$2:$V$14,8,0)*Tabla4[[#This Row],[TOTAL COBERTURA]]</f>
        <v>0</v>
      </c>
      <c r="AP957" s="35">
        <f>VLOOKUP(Tabla4[[#This Row],[SERVICIO 2025]],$J$2:$V$14,3,0)*Tabla4[[#This Row],[TOTAL COBERTURA]]*8</f>
        <v>70301280</v>
      </c>
      <c r="AQ957" s="35"/>
      <c r="AR957" s="35">
        <f>Tabla4[[#This Row],[VALOR FASE PREPARATORIA DE ALISTAMIENTO]]+Tabla4[[#This Row],[VALOR FASE PREPARATORIA DE CIERRE]]+Tabla4[[#This Row],[DOTACIÓN ÚNICA]]+Tabla4[[#This Row],[VALOR ATENCIÓN]]+Tabla4[[#This Row],[VALOR RACION PREPARADA]]</f>
        <v>74445945</v>
      </c>
      <c r="AS957" s="35" t="str">
        <f>+IF(Tabla4[[#This Row],[AGRUPACIONES]]=1,SUMIFS(Tabla4[VALOR TOTAL],Tabla4[ZONA DEFINITIVO],Tabla4[[#This Row],[ZONA DEFINITIVO]])," ")</f>
        <v xml:space="preserve"> </v>
      </c>
      <c r="AT957" s="27">
        <f>(VLOOKUP(Tabla4[[#This Row],[SERVICIO 2025]],$J$2:$V$14,3,0)*Tabla4[[#This Row],[TOTAL COBERTURA]])+Tabla4[[#This Row],[VALOR FASE PREPARATORIA DE ALISTAMIENTO]]+Tabla4[[#This Row],[DOTACIÓN ÚNICA]]</f>
        <v>11078116</v>
      </c>
      <c r="AU957" s="35">
        <f>(VLOOKUP(Tabla4[[#This Row],[SERVICIO 2025]],$J$2:$V$14,3,0)*Tabla4[[#This Row],[TOTAL COBERTURA]])</f>
        <v>8787660</v>
      </c>
      <c r="AV957" s="35">
        <f>(VLOOKUP(Tabla4[[#This Row],[SERVICIO 2025]],$J$2:$V$14,3,0)*Tabla4[[#This Row],[TOTAL COBERTURA]])</f>
        <v>8787660</v>
      </c>
      <c r="AW957" s="35">
        <f>(VLOOKUP(Tabla4[[#This Row],[SERVICIO 2025]],$J$2:$V$14,3,0)*Tabla4[[#This Row],[TOTAL COBERTURA]])</f>
        <v>8787660</v>
      </c>
      <c r="AX957" s="35">
        <f>(VLOOKUP(Tabla4[[#This Row],[SERVICIO 2025]],$J$2:$V$14,3,0)*Tabla4[[#This Row],[TOTAL COBERTURA]])</f>
        <v>8787660</v>
      </c>
      <c r="AY957" s="35">
        <f>(VLOOKUP(Tabla4[[#This Row],[SERVICIO 2025]],$J$2:$V$14,3,0)*Tabla4[[#This Row],[TOTAL COBERTURA]])</f>
        <v>8787660</v>
      </c>
      <c r="AZ957" s="35">
        <f>(VLOOKUP(Tabla4[[#This Row],[SERVICIO 2025]],$J$2:$V$14,3,0)*Tabla4[[#This Row],[TOTAL COBERTURA]])</f>
        <v>8787660</v>
      </c>
      <c r="BA957" s="35">
        <f>(VLOOKUP(Tabla4[[#This Row],[SERVICIO 2025]],$J$2:$V$14,3,0)*Tabla4[[#This Row],[TOTAL COBERTURA]])+Tabla4[[#This Row],[VALOR FASE PREPARATORIA DE CIERRE]]</f>
        <v>10641869</v>
      </c>
      <c r="BB957" s="35">
        <f>SUM(Tabla4[[#This Row],[DESEMBOLSO 1]:[DESEMBOLSO 8]])</f>
        <v>74445945</v>
      </c>
      <c r="BC957" s="35"/>
      <c r="BD957" s="47" t="s">
        <v>97</v>
      </c>
      <c r="BE957" s="12" t="b">
        <f>EXACT(Tabla4[[#This Row],[VALOR ATENCIÓN (8 MESES)]],Tabla4[[#This Row],[VALOR TOTAL]])</f>
        <v>1</v>
      </c>
      <c r="BF957" s="23">
        <f>Tabla4[[#This Row],[VALOR ATENCIÓN (8 MESES)]]-Tabla4[[#This Row],[VALOR TOTAL]]</f>
        <v>0</v>
      </c>
      <c r="BG957" s="12" t="b">
        <f>EXACT(Tabla4[[#This Row],[TOTAL DESEMBOLSOS]],Tabla4[[#This Row],[VALOR ATENCIÓN (8 MESES)]])</f>
        <v>1</v>
      </c>
      <c r="BH957" s="29">
        <f>Tabla4[[#This Row],[TOTAL DESEMBOLSOS]]-Tabla4[[#This Row],[VALOR ATENCIÓN (8 MESES)]]</f>
        <v>0</v>
      </c>
      <c r="BI957" t="s">
        <v>98</v>
      </c>
    </row>
    <row r="958" spans="1:62">
      <c r="A958" s="13">
        <v>1984</v>
      </c>
      <c r="B958" s="13" t="s">
        <v>2107</v>
      </c>
      <c r="C958" s="12" t="s">
        <v>87</v>
      </c>
      <c r="D958" s="12" t="s">
        <v>527</v>
      </c>
      <c r="E958" s="12" t="s">
        <v>1493</v>
      </c>
      <c r="F958" s="12" t="s">
        <v>21</v>
      </c>
      <c r="G958" s="12" t="s">
        <v>90</v>
      </c>
      <c r="H958" s="12" t="s">
        <v>2117</v>
      </c>
      <c r="I958" s="12">
        <v>56151133551</v>
      </c>
      <c r="J958" s="12" t="s">
        <v>2118</v>
      </c>
      <c r="K958" s="12">
        <v>1</v>
      </c>
      <c r="L958" s="12">
        <v>50</v>
      </c>
      <c r="M958" s="12"/>
      <c r="N958" s="13">
        <v>1984</v>
      </c>
      <c r="O958" s="12" t="s">
        <v>93</v>
      </c>
      <c r="P958" s="12"/>
      <c r="Q958" s="12"/>
      <c r="R958" s="12" t="s">
        <v>94</v>
      </c>
      <c r="S958" s="12">
        <v>10</v>
      </c>
      <c r="T958" s="12" t="s">
        <v>1732</v>
      </c>
      <c r="U958" s="12" t="s">
        <v>2110</v>
      </c>
      <c r="V958" s="12">
        <f>VLOOKUP(Tabla4[[#This Row],[ZONA DEFINITIVO]],Hoja1!$A$1:$D$121,3,0)</f>
        <v>229141</v>
      </c>
      <c r="W958" s="12">
        <f>VLOOKUP(Tabla4[[#This Row],[ZONA DEFINITIVO]],Hoja1!$A$1:$D$121,2,0)</f>
        <v>15213</v>
      </c>
      <c r="X958" s="12">
        <f>VLOOKUP(Tabla4[[#This Row],[ZONA DEFINITIVO]],Hoja1!$A$1:$D$121,4,0)</f>
        <v>86225</v>
      </c>
      <c r="Y958" s="12" t="str">
        <f>+IF(Tabla4[[#This Row],[AGRUPACIONES]]=1,SUMIFS(Tabla4[UDS],Tabla4[ZONA DEFINITIVO],Tabla4[[#This Row],[ZONA DEFINITIVO]])," ")</f>
        <v xml:space="preserve"> </v>
      </c>
      <c r="Z958" s="12" t="str">
        <f>+IF(Tabla4[[#This Row],[AGRUPACIONES]]=1,SUMIFS(Tabla4[TOTAL COBERTURA],Tabla4[ZONA DEFINITIVO],Tabla4[[#This Row],[ZONA DEFINITIVO]])," ")</f>
        <v xml:space="preserve"> </v>
      </c>
      <c r="AA958" s="12"/>
      <c r="AB958" s="38">
        <v>75965250</v>
      </c>
      <c r="AC958" s="37">
        <v>0.02</v>
      </c>
      <c r="AD958" s="38">
        <f t="shared" si="15"/>
        <v>1519305</v>
      </c>
      <c r="AE958" s="12"/>
      <c r="AF958" s="12">
        <f>COUNTIF($A$20:A958,A958)</f>
        <v>5</v>
      </c>
      <c r="AG958" s="38">
        <v>75965250</v>
      </c>
      <c r="AH958" s="38">
        <f>Tabla4[[#This Row],[VALOR CONTRAPARTIDA]]+Tabla4[[#This Row],[TOTAL APORTES ICBF]]</f>
        <v>77484555</v>
      </c>
      <c r="AI958" s="35"/>
      <c r="AJ958" s="38"/>
      <c r="AK958" s="38"/>
      <c r="AL958" s="23"/>
      <c r="AM958" s="35">
        <f>VLOOKUP(Tabla4[[#This Row],[SERVICIO 2025]],$J$2:$V$14,5,0)*Tabla4[[#This Row],[TOTAL COBERTURA]]</f>
        <v>2337200</v>
      </c>
      <c r="AN958" s="35">
        <f>VLOOKUP(Tabla4[[#This Row],[SERVICIO 2025]],$J$2:$V$14,6,0)*Tabla4[[#This Row],[TOTAL COBERTURA]]</f>
        <v>1892050</v>
      </c>
      <c r="AO958" s="35">
        <f>VLOOKUP(Tabla4[[#This Row],[SERVICIO 2025]],$J$2:$V$14,8,0)*Tabla4[[#This Row],[TOTAL COBERTURA]]</f>
        <v>0</v>
      </c>
      <c r="AP958" s="35">
        <f>VLOOKUP(Tabla4[[#This Row],[SERVICIO 2025]],$J$2:$V$14,3,0)*Tabla4[[#This Row],[TOTAL COBERTURA]]*8</f>
        <v>71736000</v>
      </c>
      <c r="AQ958" s="35"/>
      <c r="AR958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958" s="35" t="str">
        <f>+IF(Tabla4[[#This Row],[AGRUPACIONES]]=1,SUMIFS(Tabla4[VALOR TOTAL],Tabla4[ZONA DEFINITIVO],Tabla4[[#This Row],[ZONA DEFINITIVO]])," ")</f>
        <v xml:space="preserve"> </v>
      </c>
      <c r="AT958" s="27">
        <f>(VLOOKUP(Tabla4[[#This Row],[SERVICIO 2025]],$J$2:$V$14,3,0)*Tabla4[[#This Row],[TOTAL COBERTURA]])+Tabla4[[#This Row],[VALOR FASE PREPARATORIA DE ALISTAMIENTO]]+Tabla4[[#This Row],[DOTACIÓN ÚNICA]]</f>
        <v>11304200</v>
      </c>
      <c r="AU958" s="35">
        <f>(VLOOKUP(Tabla4[[#This Row],[SERVICIO 2025]],$J$2:$V$14,3,0)*Tabla4[[#This Row],[TOTAL COBERTURA]])</f>
        <v>8967000</v>
      </c>
      <c r="AV958" s="35">
        <f>(VLOOKUP(Tabla4[[#This Row],[SERVICIO 2025]],$J$2:$V$14,3,0)*Tabla4[[#This Row],[TOTAL COBERTURA]])</f>
        <v>8967000</v>
      </c>
      <c r="AW958" s="35">
        <f>(VLOOKUP(Tabla4[[#This Row],[SERVICIO 2025]],$J$2:$V$14,3,0)*Tabla4[[#This Row],[TOTAL COBERTURA]])</f>
        <v>8967000</v>
      </c>
      <c r="AX958" s="35">
        <f>(VLOOKUP(Tabla4[[#This Row],[SERVICIO 2025]],$J$2:$V$14,3,0)*Tabla4[[#This Row],[TOTAL COBERTURA]])</f>
        <v>8967000</v>
      </c>
      <c r="AY958" s="35">
        <f>(VLOOKUP(Tabla4[[#This Row],[SERVICIO 2025]],$J$2:$V$14,3,0)*Tabla4[[#This Row],[TOTAL COBERTURA]])</f>
        <v>8967000</v>
      </c>
      <c r="AZ958" s="35">
        <f>(VLOOKUP(Tabla4[[#This Row],[SERVICIO 2025]],$J$2:$V$14,3,0)*Tabla4[[#This Row],[TOTAL COBERTURA]])</f>
        <v>8967000</v>
      </c>
      <c r="BA958" s="35">
        <f>(VLOOKUP(Tabla4[[#This Row],[SERVICIO 2025]],$J$2:$V$14,3,0)*Tabla4[[#This Row],[TOTAL COBERTURA]])+Tabla4[[#This Row],[VALOR FASE PREPARATORIA DE CIERRE]]</f>
        <v>10859050</v>
      </c>
      <c r="BB958" s="35">
        <f>SUM(Tabla4[[#This Row],[DESEMBOLSO 1]:[DESEMBOLSO 8]])</f>
        <v>75965250</v>
      </c>
      <c r="BC958" s="35"/>
      <c r="BD958" s="47" t="s">
        <v>97</v>
      </c>
      <c r="BE958" s="12" t="b">
        <f>EXACT(Tabla4[[#This Row],[VALOR ATENCIÓN (8 MESES)]],Tabla4[[#This Row],[VALOR TOTAL]])</f>
        <v>1</v>
      </c>
      <c r="BF958" s="23">
        <f>Tabla4[[#This Row],[VALOR ATENCIÓN (8 MESES)]]-Tabla4[[#This Row],[VALOR TOTAL]]</f>
        <v>0</v>
      </c>
      <c r="BG958" s="12" t="b">
        <f>EXACT(Tabla4[[#This Row],[TOTAL DESEMBOLSOS]],Tabla4[[#This Row],[VALOR ATENCIÓN (8 MESES)]])</f>
        <v>1</v>
      </c>
      <c r="BH958" s="29">
        <f>Tabla4[[#This Row],[TOTAL DESEMBOLSOS]]-Tabla4[[#This Row],[VALOR ATENCIÓN (8 MESES)]]</f>
        <v>0</v>
      </c>
      <c r="BI958" t="s">
        <v>98</v>
      </c>
    </row>
    <row r="959" spans="1:62">
      <c r="A959" s="13">
        <v>1984</v>
      </c>
      <c r="B959" s="13" t="s">
        <v>2107</v>
      </c>
      <c r="C959" s="12" t="s">
        <v>87</v>
      </c>
      <c r="D959" s="12" t="s">
        <v>527</v>
      </c>
      <c r="E959" s="12" t="s">
        <v>1493</v>
      </c>
      <c r="F959" s="12" t="s">
        <v>21</v>
      </c>
      <c r="G959" s="12" t="s">
        <v>90</v>
      </c>
      <c r="H959" s="12" t="s">
        <v>2119</v>
      </c>
      <c r="I959" s="12">
        <v>56151135999</v>
      </c>
      <c r="J959" s="12" t="s">
        <v>2120</v>
      </c>
      <c r="K959" s="12">
        <v>1</v>
      </c>
      <c r="L959" s="12">
        <v>43</v>
      </c>
      <c r="M959" s="12"/>
      <c r="N959" s="13">
        <v>1984</v>
      </c>
      <c r="O959" s="12" t="s">
        <v>93</v>
      </c>
      <c r="P959" s="12"/>
      <c r="Q959" s="12"/>
      <c r="R959" s="12" t="s">
        <v>94</v>
      </c>
      <c r="S959" s="12">
        <v>10</v>
      </c>
      <c r="T959" s="12" t="s">
        <v>1732</v>
      </c>
      <c r="U959" s="12" t="s">
        <v>2110</v>
      </c>
      <c r="V959" s="12">
        <f>VLOOKUP(Tabla4[[#This Row],[ZONA DEFINITIVO]],Hoja1!$A$1:$D$121,3,0)</f>
        <v>229141</v>
      </c>
      <c r="W959" s="12">
        <f>VLOOKUP(Tabla4[[#This Row],[ZONA DEFINITIVO]],Hoja1!$A$1:$D$121,2,0)</f>
        <v>15213</v>
      </c>
      <c r="X959" s="12">
        <f>VLOOKUP(Tabla4[[#This Row],[ZONA DEFINITIVO]],Hoja1!$A$1:$D$121,4,0)</f>
        <v>86225</v>
      </c>
      <c r="Y959" s="12" t="str">
        <f>+IF(Tabla4[[#This Row],[AGRUPACIONES]]=1,SUMIFS(Tabla4[UDS],Tabla4[ZONA DEFINITIVO],Tabla4[[#This Row],[ZONA DEFINITIVO]])," ")</f>
        <v xml:space="preserve"> </v>
      </c>
      <c r="Z959" s="12" t="str">
        <f>+IF(Tabla4[[#This Row],[AGRUPACIONES]]=1,SUMIFS(Tabla4[TOTAL COBERTURA],Tabla4[ZONA DEFINITIVO],Tabla4[[#This Row],[ZONA DEFINITIVO]])," ")</f>
        <v xml:space="preserve"> </v>
      </c>
      <c r="AA959" s="12"/>
      <c r="AB959" s="38">
        <v>65330115</v>
      </c>
      <c r="AC959" s="37">
        <v>0.02</v>
      </c>
      <c r="AD959" s="38">
        <f t="shared" si="15"/>
        <v>1306602.3</v>
      </c>
      <c r="AE959" s="12"/>
      <c r="AF959" s="12">
        <f>COUNTIF($A$20:A959,A959)</f>
        <v>6</v>
      </c>
      <c r="AG959" s="38">
        <v>65330115</v>
      </c>
      <c r="AH959" s="38">
        <f>Tabla4[[#This Row],[VALOR CONTRAPARTIDA]]+Tabla4[[#This Row],[TOTAL APORTES ICBF]]</f>
        <v>66636717.299999997</v>
      </c>
      <c r="AI959" s="35"/>
      <c r="AJ959" s="38"/>
      <c r="AK959" s="38"/>
      <c r="AL959" s="23"/>
      <c r="AM959" s="35">
        <f>VLOOKUP(Tabla4[[#This Row],[SERVICIO 2025]],$J$2:$V$14,5,0)*Tabla4[[#This Row],[TOTAL COBERTURA]]</f>
        <v>2009992</v>
      </c>
      <c r="AN959" s="35">
        <f>VLOOKUP(Tabla4[[#This Row],[SERVICIO 2025]],$J$2:$V$14,6,0)*Tabla4[[#This Row],[TOTAL COBERTURA]]</f>
        <v>1627163</v>
      </c>
      <c r="AO959" s="35">
        <f>VLOOKUP(Tabla4[[#This Row],[SERVICIO 2025]],$J$2:$V$14,8,0)*Tabla4[[#This Row],[TOTAL COBERTURA]]</f>
        <v>0</v>
      </c>
      <c r="AP959" s="35">
        <f>VLOOKUP(Tabla4[[#This Row],[SERVICIO 2025]],$J$2:$V$14,3,0)*Tabla4[[#This Row],[TOTAL COBERTURA]]*8</f>
        <v>61692960</v>
      </c>
      <c r="AQ959" s="35"/>
      <c r="AR959" s="35">
        <f>Tabla4[[#This Row],[VALOR FASE PREPARATORIA DE ALISTAMIENTO]]+Tabla4[[#This Row],[VALOR FASE PREPARATORIA DE CIERRE]]+Tabla4[[#This Row],[DOTACIÓN ÚNICA]]+Tabla4[[#This Row],[VALOR ATENCIÓN]]+Tabla4[[#This Row],[VALOR RACION PREPARADA]]</f>
        <v>65330115</v>
      </c>
      <c r="AS959" s="35" t="str">
        <f>+IF(Tabla4[[#This Row],[AGRUPACIONES]]=1,SUMIFS(Tabla4[VALOR TOTAL],Tabla4[ZONA DEFINITIVO],Tabla4[[#This Row],[ZONA DEFINITIVO]])," ")</f>
        <v xml:space="preserve"> </v>
      </c>
      <c r="AT959" s="27">
        <f>(VLOOKUP(Tabla4[[#This Row],[SERVICIO 2025]],$J$2:$V$14,3,0)*Tabla4[[#This Row],[TOTAL COBERTURA]])+Tabla4[[#This Row],[VALOR FASE PREPARATORIA DE ALISTAMIENTO]]+Tabla4[[#This Row],[DOTACIÓN ÚNICA]]</f>
        <v>9721612</v>
      </c>
      <c r="AU959" s="35">
        <f>(VLOOKUP(Tabla4[[#This Row],[SERVICIO 2025]],$J$2:$V$14,3,0)*Tabla4[[#This Row],[TOTAL COBERTURA]])</f>
        <v>7711620</v>
      </c>
      <c r="AV959" s="35">
        <f>(VLOOKUP(Tabla4[[#This Row],[SERVICIO 2025]],$J$2:$V$14,3,0)*Tabla4[[#This Row],[TOTAL COBERTURA]])</f>
        <v>7711620</v>
      </c>
      <c r="AW959" s="35">
        <f>(VLOOKUP(Tabla4[[#This Row],[SERVICIO 2025]],$J$2:$V$14,3,0)*Tabla4[[#This Row],[TOTAL COBERTURA]])</f>
        <v>7711620</v>
      </c>
      <c r="AX959" s="35">
        <f>(VLOOKUP(Tabla4[[#This Row],[SERVICIO 2025]],$J$2:$V$14,3,0)*Tabla4[[#This Row],[TOTAL COBERTURA]])</f>
        <v>7711620</v>
      </c>
      <c r="AY959" s="35">
        <f>(VLOOKUP(Tabla4[[#This Row],[SERVICIO 2025]],$J$2:$V$14,3,0)*Tabla4[[#This Row],[TOTAL COBERTURA]])</f>
        <v>7711620</v>
      </c>
      <c r="AZ959" s="35">
        <f>(VLOOKUP(Tabla4[[#This Row],[SERVICIO 2025]],$J$2:$V$14,3,0)*Tabla4[[#This Row],[TOTAL COBERTURA]])</f>
        <v>7711620</v>
      </c>
      <c r="BA959" s="35">
        <f>(VLOOKUP(Tabla4[[#This Row],[SERVICIO 2025]],$J$2:$V$14,3,0)*Tabla4[[#This Row],[TOTAL COBERTURA]])+Tabla4[[#This Row],[VALOR FASE PREPARATORIA DE CIERRE]]</f>
        <v>9338783</v>
      </c>
      <c r="BB959" s="35">
        <f>SUM(Tabla4[[#This Row],[DESEMBOLSO 1]:[DESEMBOLSO 8]])</f>
        <v>65330115</v>
      </c>
      <c r="BC959" s="35"/>
      <c r="BD959" s="47" t="s">
        <v>97</v>
      </c>
      <c r="BE959" s="12" t="b">
        <f>EXACT(Tabla4[[#This Row],[VALOR ATENCIÓN (8 MESES)]],Tabla4[[#This Row],[VALOR TOTAL]])</f>
        <v>1</v>
      </c>
      <c r="BF959" s="23">
        <f>Tabla4[[#This Row],[VALOR ATENCIÓN (8 MESES)]]-Tabla4[[#This Row],[VALOR TOTAL]]</f>
        <v>0</v>
      </c>
      <c r="BG959" s="12" t="b">
        <f>EXACT(Tabla4[[#This Row],[TOTAL DESEMBOLSOS]],Tabla4[[#This Row],[VALOR ATENCIÓN (8 MESES)]])</f>
        <v>1</v>
      </c>
      <c r="BH959" s="29">
        <f>Tabla4[[#This Row],[TOTAL DESEMBOLSOS]]-Tabla4[[#This Row],[VALOR ATENCIÓN (8 MESES)]]</f>
        <v>0</v>
      </c>
      <c r="BI959" t="s">
        <v>98</v>
      </c>
    </row>
    <row r="960" spans="1:62">
      <c r="A960" s="13">
        <v>1984</v>
      </c>
      <c r="B960" s="13" t="s">
        <v>2107</v>
      </c>
      <c r="C960" s="12" t="s">
        <v>87</v>
      </c>
      <c r="D960" s="12" t="s">
        <v>527</v>
      </c>
      <c r="E960" s="12" t="s">
        <v>1493</v>
      </c>
      <c r="F960" s="12" t="s">
        <v>21</v>
      </c>
      <c r="G960" s="12" t="s">
        <v>90</v>
      </c>
      <c r="H960" s="12" t="s">
        <v>2121</v>
      </c>
      <c r="I960" s="12">
        <v>56151136096</v>
      </c>
      <c r="J960" s="12" t="s">
        <v>2122</v>
      </c>
      <c r="K960" s="12">
        <v>1</v>
      </c>
      <c r="L960" s="12">
        <v>50</v>
      </c>
      <c r="M960" s="12"/>
      <c r="N960" s="13">
        <v>1984</v>
      </c>
      <c r="O960" s="12" t="s">
        <v>93</v>
      </c>
      <c r="P960" s="12"/>
      <c r="Q960" s="12"/>
      <c r="R960" s="12" t="s">
        <v>94</v>
      </c>
      <c r="S960" s="12">
        <v>10</v>
      </c>
      <c r="T960" s="12" t="s">
        <v>1732</v>
      </c>
      <c r="U960" s="12" t="s">
        <v>2110</v>
      </c>
      <c r="V960" s="12">
        <f>VLOOKUP(Tabla4[[#This Row],[ZONA DEFINITIVO]],Hoja1!$A$1:$D$121,3,0)</f>
        <v>229141</v>
      </c>
      <c r="W960" s="12">
        <f>VLOOKUP(Tabla4[[#This Row],[ZONA DEFINITIVO]],Hoja1!$A$1:$D$121,2,0)</f>
        <v>15213</v>
      </c>
      <c r="X960" s="12">
        <f>VLOOKUP(Tabla4[[#This Row],[ZONA DEFINITIVO]],Hoja1!$A$1:$D$121,4,0)</f>
        <v>86225</v>
      </c>
      <c r="Y960" s="12" t="str">
        <f>+IF(Tabla4[[#This Row],[AGRUPACIONES]]=1,SUMIFS(Tabla4[UDS],Tabla4[ZONA DEFINITIVO],Tabla4[[#This Row],[ZONA DEFINITIVO]])," ")</f>
        <v xml:space="preserve"> </v>
      </c>
      <c r="Z960" s="12" t="str">
        <f>+IF(Tabla4[[#This Row],[AGRUPACIONES]]=1,SUMIFS(Tabla4[TOTAL COBERTURA],Tabla4[ZONA DEFINITIVO],Tabla4[[#This Row],[ZONA DEFINITIVO]])," ")</f>
        <v xml:space="preserve"> </v>
      </c>
      <c r="AA960" s="12"/>
      <c r="AB960" s="38">
        <v>75965250</v>
      </c>
      <c r="AC960" s="37">
        <v>0.02</v>
      </c>
      <c r="AD960" s="38">
        <f t="shared" si="15"/>
        <v>1519305</v>
      </c>
      <c r="AE960" s="12"/>
      <c r="AF960" s="12">
        <f>COUNTIF($A$20:A960,A960)</f>
        <v>7</v>
      </c>
      <c r="AG960" s="38">
        <v>75965250</v>
      </c>
      <c r="AH960" s="38">
        <f>Tabla4[[#This Row],[VALOR CONTRAPARTIDA]]+Tabla4[[#This Row],[TOTAL APORTES ICBF]]</f>
        <v>77484555</v>
      </c>
      <c r="AI960" s="35"/>
      <c r="AJ960" s="38"/>
      <c r="AK960" s="38"/>
      <c r="AL960" s="23"/>
      <c r="AM960" s="35">
        <f>VLOOKUP(Tabla4[[#This Row],[SERVICIO 2025]],$J$2:$V$14,5,0)*Tabla4[[#This Row],[TOTAL COBERTURA]]</f>
        <v>2337200</v>
      </c>
      <c r="AN960" s="35">
        <f>VLOOKUP(Tabla4[[#This Row],[SERVICIO 2025]],$J$2:$V$14,6,0)*Tabla4[[#This Row],[TOTAL COBERTURA]]</f>
        <v>1892050</v>
      </c>
      <c r="AO960" s="35">
        <f>VLOOKUP(Tabla4[[#This Row],[SERVICIO 2025]],$J$2:$V$14,8,0)*Tabla4[[#This Row],[TOTAL COBERTURA]]</f>
        <v>0</v>
      </c>
      <c r="AP960" s="35">
        <f>VLOOKUP(Tabla4[[#This Row],[SERVICIO 2025]],$J$2:$V$14,3,0)*Tabla4[[#This Row],[TOTAL COBERTURA]]*8</f>
        <v>71736000</v>
      </c>
      <c r="AQ960" s="35"/>
      <c r="AR960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960" s="35" t="str">
        <f>+IF(Tabla4[[#This Row],[AGRUPACIONES]]=1,SUMIFS(Tabla4[VALOR TOTAL],Tabla4[ZONA DEFINITIVO],Tabla4[[#This Row],[ZONA DEFINITIVO]])," ")</f>
        <v xml:space="preserve"> </v>
      </c>
      <c r="AT960" s="27">
        <f>(VLOOKUP(Tabla4[[#This Row],[SERVICIO 2025]],$J$2:$V$14,3,0)*Tabla4[[#This Row],[TOTAL COBERTURA]])+Tabla4[[#This Row],[VALOR FASE PREPARATORIA DE ALISTAMIENTO]]+Tabla4[[#This Row],[DOTACIÓN ÚNICA]]</f>
        <v>11304200</v>
      </c>
      <c r="AU960" s="35">
        <f>(VLOOKUP(Tabla4[[#This Row],[SERVICIO 2025]],$J$2:$V$14,3,0)*Tabla4[[#This Row],[TOTAL COBERTURA]])</f>
        <v>8967000</v>
      </c>
      <c r="AV960" s="35">
        <f>(VLOOKUP(Tabla4[[#This Row],[SERVICIO 2025]],$J$2:$V$14,3,0)*Tabla4[[#This Row],[TOTAL COBERTURA]])</f>
        <v>8967000</v>
      </c>
      <c r="AW960" s="35">
        <f>(VLOOKUP(Tabla4[[#This Row],[SERVICIO 2025]],$J$2:$V$14,3,0)*Tabla4[[#This Row],[TOTAL COBERTURA]])</f>
        <v>8967000</v>
      </c>
      <c r="AX960" s="35">
        <f>(VLOOKUP(Tabla4[[#This Row],[SERVICIO 2025]],$J$2:$V$14,3,0)*Tabla4[[#This Row],[TOTAL COBERTURA]])</f>
        <v>8967000</v>
      </c>
      <c r="AY960" s="35">
        <f>(VLOOKUP(Tabla4[[#This Row],[SERVICIO 2025]],$J$2:$V$14,3,0)*Tabla4[[#This Row],[TOTAL COBERTURA]])</f>
        <v>8967000</v>
      </c>
      <c r="AZ960" s="35">
        <f>(VLOOKUP(Tabla4[[#This Row],[SERVICIO 2025]],$J$2:$V$14,3,0)*Tabla4[[#This Row],[TOTAL COBERTURA]])</f>
        <v>8967000</v>
      </c>
      <c r="BA960" s="35">
        <f>(VLOOKUP(Tabla4[[#This Row],[SERVICIO 2025]],$J$2:$V$14,3,0)*Tabla4[[#This Row],[TOTAL COBERTURA]])+Tabla4[[#This Row],[VALOR FASE PREPARATORIA DE CIERRE]]</f>
        <v>10859050</v>
      </c>
      <c r="BB960" s="35">
        <f>SUM(Tabla4[[#This Row],[DESEMBOLSO 1]:[DESEMBOLSO 8]])</f>
        <v>75965250</v>
      </c>
      <c r="BC960" s="35"/>
      <c r="BD960" s="47" t="s">
        <v>97</v>
      </c>
      <c r="BE960" s="12" t="b">
        <f>EXACT(Tabla4[[#This Row],[VALOR ATENCIÓN (8 MESES)]],Tabla4[[#This Row],[VALOR TOTAL]])</f>
        <v>1</v>
      </c>
      <c r="BF960" s="23">
        <f>Tabla4[[#This Row],[VALOR ATENCIÓN (8 MESES)]]-Tabla4[[#This Row],[VALOR TOTAL]]</f>
        <v>0</v>
      </c>
      <c r="BG960" s="12" t="b">
        <f>EXACT(Tabla4[[#This Row],[TOTAL DESEMBOLSOS]],Tabla4[[#This Row],[VALOR ATENCIÓN (8 MESES)]])</f>
        <v>1</v>
      </c>
      <c r="BH960" s="29">
        <f>Tabla4[[#This Row],[TOTAL DESEMBOLSOS]]-Tabla4[[#This Row],[VALOR ATENCIÓN (8 MESES)]]</f>
        <v>0</v>
      </c>
      <c r="BI960" t="s">
        <v>98</v>
      </c>
    </row>
    <row r="961" spans="1:61">
      <c r="A961" s="13">
        <v>1984</v>
      </c>
      <c r="B961" s="13" t="s">
        <v>2107</v>
      </c>
      <c r="C961" s="12" t="s">
        <v>87</v>
      </c>
      <c r="D961" s="12" t="s">
        <v>527</v>
      </c>
      <c r="E961" s="12" t="s">
        <v>1493</v>
      </c>
      <c r="F961" s="12" t="s">
        <v>21</v>
      </c>
      <c r="G961" s="12" t="s">
        <v>90</v>
      </c>
      <c r="H961" s="12" t="s">
        <v>2123</v>
      </c>
      <c r="I961" s="12">
        <v>56151144121</v>
      </c>
      <c r="J961" s="12" t="s">
        <v>2124</v>
      </c>
      <c r="K961" s="12">
        <v>1</v>
      </c>
      <c r="L961" s="12">
        <v>48</v>
      </c>
      <c r="M961" s="12"/>
      <c r="N961" s="13">
        <v>1984</v>
      </c>
      <c r="O961" s="12" t="s">
        <v>93</v>
      </c>
      <c r="P961" s="12"/>
      <c r="Q961" s="12"/>
      <c r="R961" s="12" t="s">
        <v>94</v>
      </c>
      <c r="S961" s="12">
        <v>10</v>
      </c>
      <c r="T961" s="12" t="s">
        <v>1732</v>
      </c>
      <c r="U961" s="12" t="s">
        <v>2110</v>
      </c>
      <c r="V961" s="12">
        <f>VLOOKUP(Tabla4[[#This Row],[ZONA DEFINITIVO]],Hoja1!$A$1:$D$121,3,0)</f>
        <v>229141</v>
      </c>
      <c r="W961" s="12">
        <f>VLOOKUP(Tabla4[[#This Row],[ZONA DEFINITIVO]],Hoja1!$A$1:$D$121,2,0)</f>
        <v>15213</v>
      </c>
      <c r="X961" s="12">
        <f>VLOOKUP(Tabla4[[#This Row],[ZONA DEFINITIVO]],Hoja1!$A$1:$D$121,4,0)</f>
        <v>86225</v>
      </c>
      <c r="Y961" s="12" t="str">
        <f>+IF(Tabla4[[#This Row],[AGRUPACIONES]]=1,SUMIFS(Tabla4[UDS],Tabla4[ZONA DEFINITIVO],Tabla4[[#This Row],[ZONA DEFINITIVO]])," ")</f>
        <v xml:space="preserve"> </v>
      </c>
      <c r="Z961" s="12" t="str">
        <f>+IF(Tabla4[[#This Row],[AGRUPACIONES]]=1,SUMIFS(Tabla4[TOTAL COBERTURA],Tabla4[ZONA DEFINITIVO],Tabla4[[#This Row],[ZONA DEFINITIVO]])," ")</f>
        <v xml:space="preserve"> </v>
      </c>
      <c r="AA961" s="12"/>
      <c r="AB961" s="38">
        <v>72926640</v>
      </c>
      <c r="AC961" s="37">
        <v>0.02</v>
      </c>
      <c r="AD961" s="38">
        <f t="shared" si="15"/>
        <v>1458532.8</v>
      </c>
      <c r="AE961" s="12"/>
      <c r="AF961" s="12">
        <f>COUNTIF($A$20:A961,A961)</f>
        <v>8</v>
      </c>
      <c r="AG961" s="38">
        <v>72926640</v>
      </c>
      <c r="AH961" s="38">
        <f>Tabla4[[#This Row],[VALOR CONTRAPARTIDA]]+Tabla4[[#This Row],[TOTAL APORTES ICBF]]</f>
        <v>74385172.799999997</v>
      </c>
      <c r="AI961" s="35"/>
      <c r="AJ961" s="38"/>
      <c r="AK961" s="38"/>
      <c r="AL961" s="23"/>
      <c r="AM961" s="35">
        <f>VLOOKUP(Tabla4[[#This Row],[SERVICIO 2025]],$J$2:$V$14,5,0)*Tabla4[[#This Row],[TOTAL COBERTURA]]</f>
        <v>2243712</v>
      </c>
      <c r="AN961" s="35">
        <f>VLOOKUP(Tabla4[[#This Row],[SERVICIO 2025]],$J$2:$V$14,6,0)*Tabla4[[#This Row],[TOTAL COBERTURA]]</f>
        <v>1816368</v>
      </c>
      <c r="AO961" s="35">
        <f>VLOOKUP(Tabla4[[#This Row],[SERVICIO 2025]],$J$2:$V$14,8,0)*Tabla4[[#This Row],[TOTAL COBERTURA]]</f>
        <v>0</v>
      </c>
      <c r="AP961" s="35">
        <f>VLOOKUP(Tabla4[[#This Row],[SERVICIO 2025]],$J$2:$V$14,3,0)*Tabla4[[#This Row],[TOTAL COBERTURA]]*8</f>
        <v>68866560</v>
      </c>
      <c r="AQ961" s="35"/>
      <c r="AR961" s="35">
        <f>Tabla4[[#This Row],[VALOR FASE PREPARATORIA DE ALISTAMIENTO]]+Tabla4[[#This Row],[VALOR FASE PREPARATORIA DE CIERRE]]+Tabla4[[#This Row],[DOTACIÓN ÚNICA]]+Tabla4[[#This Row],[VALOR ATENCIÓN]]+Tabla4[[#This Row],[VALOR RACION PREPARADA]]</f>
        <v>72926640</v>
      </c>
      <c r="AS961" s="35" t="str">
        <f>+IF(Tabla4[[#This Row],[AGRUPACIONES]]=1,SUMIFS(Tabla4[VALOR TOTAL],Tabla4[ZONA DEFINITIVO],Tabla4[[#This Row],[ZONA DEFINITIVO]])," ")</f>
        <v xml:space="preserve"> </v>
      </c>
      <c r="AT961" s="27">
        <f>(VLOOKUP(Tabla4[[#This Row],[SERVICIO 2025]],$J$2:$V$14,3,0)*Tabla4[[#This Row],[TOTAL COBERTURA]])+Tabla4[[#This Row],[VALOR FASE PREPARATORIA DE ALISTAMIENTO]]+Tabla4[[#This Row],[DOTACIÓN ÚNICA]]</f>
        <v>10852032</v>
      </c>
      <c r="AU961" s="35">
        <f>(VLOOKUP(Tabla4[[#This Row],[SERVICIO 2025]],$J$2:$V$14,3,0)*Tabla4[[#This Row],[TOTAL COBERTURA]])</f>
        <v>8608320</v>
      </c>
      <c r="AV961" s="35">
        <f>(VLOOKUP(Tabla4[[#This Row],[SERVICIO 2025]],$J$2:$V$14,3,0)*Tabla4[[#This Row],[TOTAL COBERTURA]])</f>
        <v>8608320</v>
      </c>
      <c r="AW961" s="35">
        <f>(VLOOKUP(Tabla4[[#This Row],[SERVICIO 2025]],$J$2:$V$14,3,0)*Tabla4[[#This Row],[TOTAL COBERTURA]])</f>
        <v>8608320</v>
      </c>
      <c r="AX961" s="35">
        <f>(VLOOKUP(Tabla4[[#This Row],[SERVICIO 2025]],$J$2:$V$14,3,0)*Tabla4[[#This Row],[TOTAL COBERTURA]])</f>
        <v>8608320</v>
      </c>
      <c r="AY961" s="35">
        <f>(VLOOKUP(Tabla4[[#This Row],[SERVICIO 2025]],$J$2:$V$14,3,0)*Tabla4[[#This Row],[TOTAL COBERTURA]])</f>
        <v>8608320</v>
      </c>
      <c r="AZ961" s="35">
        <f>(VLOOKUP(Tabla4[[#This Row],[SERVICIO 2025]],$J$2:$V$14,3,0)*Tabla4[[#This Row],[TOTAL COBERTURA]])</f>
        <v>8608320</v>
      </c>
      <c r="BA961" s="35">
        <f>(VLOOKUP(Tabla4[[#This Row],[SERVICIO 2025]],$J$2:$V$14,3,0)*Tabla4[[#This Row],[TOTAL COBERTURA]])+Tabla4[[#This Row],[VALOR FASE PREPARATORIA DE CIERRE]]</f>
        <v>10424688</v>
      </c>
      <c r="BB961" s="35">
        <f>SUM(Tabla4[[#This Row],[DESEMBOLSO 1]:[DESEMBOLSO 8]])</f>
        <v>72926640</v>
      </c>
      <c r="BC961" s="35"/>
      <c r="BD961" s="47" t="s">
        <v>97</v>
      </c>
      <c r="BE961" s="12" t="b">
        <f>EXACT(Tabla4[[#This Row],[VALOR ATENCIÓN (8 MESES)]],Tabla4[[#This Row],[VALOR TOTAL]])</f>
        <v>1</v>
      </c>
      <c r="BF961" s="23">
        <f>Tabla4[[#This Row],[VALOR ATENCIÓN (8 MESES)]]-Tabla4[[#This Row],[VALOR TOTAL]]</f>
        <v>0</v>
      </c>
      <c r="BG961" s="12" t="b">
        <f>EXACT(Tabla4[[#This Row],[TOTAL DESEMBOLSOS]],Tabla4[[#This Row],[VALOR ATENCIÓN (8 MESES)]])</f>
        <v>1</v>
      </c>
      <c r="BH961" s="29">
        <f>Tabla4[[#This Row],[TOTAL DESEMBOLSOS]]-Tabla4[[#This Row],[VALOR ATENCIÓN (8 MESES)]]</f>
        <v>0</v>
      </c>
      <c r="BI961" t="s">
        <v>98</v>
      </c>
    </row>
    <row r="962" spans="1:61">
      <c r="A962" s="13">
        <v>1984</v>
      </c>
      <c r="B962" s="13" t="s">
        <v>2107</v>
      </c>
      <c r="C962" s="12" t="s">
        <v>87</v>
      </c>
      <c r="D962" s="12" t="s">
        <v>527</v>
      </c>
      <c r="E962" s="12" t="s">
        <v>1493</v>
      </c>
      <c r="F962" s="12" t="s">
        <v>21</v>
      </c>
      <c r="G962" s="12" t="s">
        <v>90</v>
      </c>
      <c r="H962" s="12" t="s">
        <v>2125</v>
      </c>
      <c r="I962" s="12">
        <v>561500080378</v>
      </c>
      <c r="J962" s="12" t="s">
        <v>2126</v>
      </c>
      <c r="K962" s="12">
        <v>1</v>
      </c>
      <c r="L962" s="12">
        <v>39</v>
      </c>
      <c r="M962" s="12"/>
      <c r="N962" s="13">
        <v>1984</v>
      </c>
      <c r="O962" s="12" t="s">
        <v>93</v>
      </c>
      <c r="P962" s="12"/>
      <c r="Q962" s="12"/>
      <c r="R962" s="12" t="s">
        <v>94</v>
      </c>
      <c r="S962" s="12">
        <v>10</v>
      </c>
      <c r="T962" s="12" t="s">
        <v>1732</v>
      </c>
      <c r="U962" s="12" t="s">
        <v>2110</v>
      </c>
      <c r="V962" s="12">
        <f>VLOOKUP(Tabla4[[#This Row],[ZONA DEFINITIVO]],Hoja1!$A$1:$D$121,3,0)</f>
        <v>229141</v>
      </c>
      <c r="W962" s="12">
        <f>VLOOKUP(Tabla4[[#This Row],[ZONA DEFINITIVO]],Hoja1!$A$1:$D$121,2,0)</f>
        <v>15213</v>
      </c>
      <c r="X962" s="12">
        <f>VLOOKUP(Tabla4[[#This Row],[ZONA DEFINITIVO]],Hoja1!$A$1:$D$121,4,0)</f>
        <v>86225</v>
      </c>
      <c r="Y962" s="12" t="str">
        <f>+IF(Tabla4[[#This Row],[AGRUPACIONES]]=1,SUMIFS(Tabla4[UDS],Tabla4[ZONA DEFINITIVO],Tabla4[[#This Row],[ZONA DEFINITIVO]])," ")</f>
        <v xml:space="preserve"> </v>
      </c>
      <c r="Z962" s="12" t="str">
        <f>+IF(Tabla4[[#This Row],[AGRUPACIONES]]=1,SUMIFS(Tabla4[TOTAL COBERTURA],Tabla4[ZONA DEFINITIVO],Tabla4[[#This Row],[ZONA DEFINITIVO]])," ")</f>
        <v xml:space="preserve"> </v>
      </c>
      <c r="AA962" s="12"/>
      <c r="AB962" s="38">
        <v>59252895</v>
      </c>
      <c r="AC962" s="37">
        <v>0.02</v>
      </c>
      <c r="AD962" s="38">
        <f t="shared" si="15"/>
        <v>1185057.9000000001</v>
      </c>
      <c r="AE962" s="12"/>
      <c r="AF962" s="12">
        <f>COUNTIF($A$20:A962,A962)</f>
        <v>9</v>
      </c>
      <c r="AG962" s="38">
        <v>59252895</v>
      </c>
      <c r="AH962" s="38">
        <f>Tabla4[[#This Row],[VALOR CONTRAPARTIDA]]+Tabla4[[#This Row],[TOTAL APORTES ICBF]]</f>
        <v>60437952.899999999</v>
      </c>
      <c r="AI962" s="35"/>
      <c r="AJ962" s="38"/>
      <c r="AK962" s="38"/>
      <c r="AL962" s="23"/>
      <c r="AM962" s="35">
        <f>VLOOKUP(Tabla4[[#This Row],[SERVICIO 2025]],$J$2:$V$14,5,0)*Tabla4[[#This Row],[TOTAL COBERTURA]]</f>
        <v>1823016</v>
      </c>
      <c r="AN962" s="35">
        <f>VLOOKUP(Tabla4[[#This Row],[SERVICIO 2025]],$J$2:$V$14,6,0)*Tabla4[[#This Row],[TOTAL COBERTURA]]</f>
        <v>1475799</v>
      </c>
      <c r="AO962" s="35">
        <f>VLOOKUP(Tabla4[[#This Row],[SERVICIO 2025]],$J$2:$V$14,8,0)*Tabla4[[#This Row],[TOTAL COBERTURA]]</f>
        <v>0</v>
      </c>
      <c r="AP962" s="35">
        <f>VLOOKUP(Tabla4[[#This Row],[SERVICIO 2025]],$J$2:$V$14,3,0)*Tabla4[[#This Row],[TOTAL COBERTURA]]*8</f>
        <v>55954080</v>
      </c>
      <c r="AQ962" s="35"/>
      <c r="AR962" s="35">
        <f>Tabla4[[#This Row],[VALOR FASE PREPARATORIA DE ALISTAMIENTO]]+Tabla4[[#This Row],[VALOR FASE PREPARATORIA DE CIERRE]]+Tabla4[[#This Row],[DOTACIÓN ÚNICA]]+Tabla4[[#This Row],[VALOR ATENCIÓN]]+Tabla4[[#This Row],[VALOR RACION PREPARADA]]</f>
        <v>59252895</v>
      </c>
      <c r="AS962" s="35" t="str">
        <f>+IF(Tabla4[[#This Row],[AGRUPACIONES]]=1,SUMIFS(Tabla4[VALOR TOTAL],Tabla4[ZONA DEFINITIVO],Tabla4[[#This Row],[ZONA DEFINITIVO]])," ")</f>
        <v xml:space="preserve"> </v>
      </c>
      <c r="AT962" s="27">
        <f>(VLOOKUP(Tabla4[[#This Row],[SERVICIO 2025]],$J$2:$V$14,3,0)*Tabla4[[#This Row],[TOTAL COBERTURA]])+Tabla4[[#This Row],[VALOR FASE PREPARATORIA DE ALISTAMIENTO]]+Tabla4[[#This Row],[DOTACIÓN ÚNICA]]</f>
        <v>8817276</v>
      </c>
      <c r="AU962" s="35">
        <f>(VLOOKUP(Tabla4[[#This Row],[SERVICIO 2025]],$J$2:$V$14,3,0)*Tabla4[[#This Row],[TOTAL COBERTURA]])</f>
        <v>6994260</v>
      </c>
      <c r="AV962" s="35">
        <f>(VLOOKUP(Tabla4[[#This Row],[SERVICIO 2025]],$J$2:$V$14,3,0)*Tabla4[[#This Row],[TOTAL COBERTURA]])</f>
        <v>6994260</v>
      </c>
      <c r="AW962" s="35">
        <f>(VLOOKUP(Tabla4[[#This Row],[SERVICIO 2025]],$J$2:$V$14,3,0)*Tabla4[[#This Row],[TOTAL COBERTURA]])</f>
        <v>6994260</v>
      </c>
      <c r="AX962" s="35">
        <f>(VLOOKUP(Tabla4[[#This Row],[SERVICIO 2025]],$J$2:$V$14,3,0)*Tabla4[[#This Row],[TOTAL COBERTURA]])</f>
        <v>6994260</v>
      </c>
      <c r="AY962" s="35">
        <f>(VLOOKUP(Tabla4[[#This Row],[SERVICIO 2025]],$J$2:$V$14,3,0)*Tabla4[[#This Row],[TOTAL COBERTURA]])</f>
        <v>6994260</v>
      </c>
      <c r="AZ962" s="35">
        <f>(VLOOKUP(Tabla4[[#This Row],[SERVICIO 2025]],$J$2:$V$14,3,0)*Tabla4[[#This Row],[TOTAL COBERTURA]])</f>
        <v>6994260</v>
      </c>
      <c r="BA962" s="35">
        <f>(VLOOKUP(Tabla4[[#This Row],[SERVICIO 2025]],$J$2:$V$14,3,0)*Tabla4[[#This Row],[TOTAL COBERTURA]])+Tabla4[[#This Row],[VALOR FASE PREPARATORIA DE CIERRE]]</f>
        <v>8470059</v>
      </c>
      <c r="BB962" s="35">
        <f>SUM(Tabla4[[#This Row],[DESEMBOLSO 1]:[DESEMBOLSO 8]])</f>
        <v>59252895</v>
      </c>
      <c r="BC962" s="35"/>
      <c r="BD962" s="47" t="s">
        <v>97</v>
      </c>
      <c r="BE962" s="12" t="b">
        <f>EXACT(Tabla4[[#This Row],[VALOR ATENCIÓN (8 MESES)]],Tabla4[[#This Row],[VALOR TOTAL]])</f>
        <v>1</v>
      </c>
      <c r="BF962" s="23">
        <f>Tabla4[[#This Row],[VALOR ATENCIÓN (8 MESES)]]-Tabla4[[#This Row],[VALOR TOTAL]]</f>
        <v>0</v>
      </c>
      <c r="BG962" s="12" t="b">
        <f>EXACT(Tabla4[[#This Row],[TOTAL DESEMBOLSOS]],Tabla4[[#This Row],[VALOR ATENCIÓN (8 MESES)]])</f>
        <v>1</v>
      </c>
      <c r="BH962" s="29">
        <f>Tabla4[[#This Row],[TOTAL DESEMBOLSOS]]-Tabla4[[#This Row],[VALOR ATENCIÓN (8 MESES)]]</f>
        <v>0</v>
      </c>
      <c r="BI962" t="s">
        <v>98</v>
      </c>
    </row>
    <row r="963" spans="1:61">
      <c r="A963" s="13">
        <v>1984</v>
      </c>
      <c r="B963" s="13" t="s">
        <v>2107</v>
      </c>
      <c r="C963" s="12" t="s">
        <v>87</v>
      </c>
      <c r="D963" s="12" t="s">
        <v>527</v>
      </c>
      <c r="E963" s="12" t="s">
        <v>1493</v>
      </c>
      <c r="F963" s="12" t="s">
        <v>21</v>
      </c>
      <c r="G963" s="12" t="s">
        <v>90</v>
      </c>
      <c r="H963" s="12" t="s">
        <v>2127</v>
      </c>
      <c r="I963" s="12">
        <v>561500115589</v>
      </c>
      <c r="J963" s="12" t="s">
        <v>2128</v>
      </c>
      <c r="K963" s="12">
        <v>1</v>
      </c>
      <c r="L963" s="12">
        <v>50</v>
      </c>
      <c r="M963" s="12"/>
      <c r="N963" s="13">
        <v>1984</v>
      </c>
      <c r="O963" s="12" t="s">
        <v>93</v>
      </c>
      <c r="P963" s="12"/>
      <c r="Q963" s="12"/>
      <c r="R963" s="12" t="s">
        <v>94</v>
      </c>
      <c r="S963" s="12">
        <v>10</v>
      </c>
      <c r="T963" s="12" t="s">
        <v>1732</v>
      </c>
      <c r="U963" s="12" t="s">
        <v>2110</v>
      </c>
      <c r="V963" s="12">
        <f>VLOOKUP(Tabla4[[#This Row],[ZONA DEFINITIVO]],Hoja1!$A$1:$D$121,3,0)</f>
        <v>229141</v>
      </c>
      <c r="W963" s="12">
        <f>VLOOKUP(Tabla4[[#This Row],[ZONA DEFINITIVO]],Hoja1!$A$1:$D$121,2,0)</f>
        <v>15213</v>
      </c>
      <c r="X963" s="12">
        <f>VLOOKUP(Tabla4[[#This Row],[ZONA DEFINITIVO]],Hoja1!$A$1:$D$121,4,0)</f>
        <v>86225</v>
      </c>
      <c r="Y963" s="12" t="str">
        <f>+IF(Tabla4[[#This Row],[AGRUPACIONES]]=1,SUMIFS(Tabla4[UDS],Tabla4[ZONA DEFINITIVO],Tabla4[[#This Row],[ZONA DEFINITIVO]])," ")</f>
        <v xml:space="preserve"> </v>
      </c>
      <c r="Z963" s="12" t="str">
        <f>+IF(Tabla4[[#This Row],[AGRUPACIONES]]=1,SUMIFS(Tabla4[TOTAL COBERTURA],Tabla4[ZONA DEFINITIVO],Tabla4[[#This Row],[ZONA DEFINITIVO]])," ")</f>
        <v xml:space="preserve"> </v>
      </c>
      <c r="AA963" s="12"/>
      <c r="AB963" s="38">
        <v>75965250</v>
      </c>
      <c r="AC963" s="37">
        <v>0.02</v>
      </c>
      <c r="AD963" s="38">
        <f t="shared" si="15"/>
        <v>1519305</v>
      </c>
      <c r="AE963" s="12"/>
      <c r="AF963" s="12">
        <f>COUNTIF($A$20:A963,A963)</f>
        <v>10</v>
      </c>
      <c r="AG963" s="38">
        <v>75965250</v>
      </c>
      <c r="AH963" s="38">
        <f>Tabla4[[#This Row],[VALOR CONTRAPARTIDA]]+Tabla4[[#This Row],[TOTAL APORTES ICBF]]</f>
        <v>77484555</v>
      </c>
      <c r="AI963" s="35"/>
      <c r="AJ963" s="38"/>
      <c r="AK963" s="38"/>
      <c r="AL963" s="23"/>
      <c r="AM963" s="35">
        <f>VLOOKUP(Tabla4[[#This Row],[SERVICIO 2025]],$J$2:$V$14,5,0)*Tabla4[[#This Row],[TOTAL COBERTURA]]</f>
        <v>2337200</v>
      </c>
      <c r="AN963" s="35">
        <f>VLOOKUP(Tabla4[[#This Row],[SERVICIO 2025]],$J$2:$V$14,6,0)*Tabla4[[#This Row],[TOTAL COBERTURA]]</f>
        <v>1892050</v>
      </c>
      <c r="AO963" s="35">
        <f>VLOOKUP(Tabla4[[#This Row],[SERVICIO 2025]],$J$2:$V$14,8,0)*Tabla4[[#This Row],[TOTAL COBERTURA]]</f>
        <v>0</v>
      </c>
      <c r="AP963" s="35">
        <f>VLOOKUP(Tabla4[[#This Row],[SERVICIO 2025]],$J$2:$V$14,3,0)*Tabla4[[#This Row],[TOTAL COBERTURA]]*8</f>
        <v>71736000</v>
      </c>
      <c r="AQ963" s="35"/>
      <c r="AR963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963" s="35" t="str">
        <f>+IF(Tabla4[[#This Row],[AGRUPACIONES]]=1,SUMIFS(Tabla4[VALOR TOTAL],Tabla4[ZONA DEFINITIVO],Tabla4[[#This Row],[ZONA DEFINITIVO]])," ")</f>
        <v xml:space="preserve"> </v>
      </c>
      <c r="AT963" s="27">
        <f>(VLOOKUP(Tabla4[[#This Row],[SERVICIO 2025]],$J$2:$V$14,3,0)*Tabla4[[#This Row],[TOTAL COBERTURA]])+Tabla4[[#This Row],[VALOR FASE PREPARATORIA DE ALISTAMIENTO]]+Tabla4[[#This Row],[DOTACIÓN ÚNICA]]</f>
        <v>11304200</v>
      </c>
      <c r="AU963" s="35">
        <f>(VLOOKUP(Tabla4[[#This Row],[SERVICIO 2025]],$J$2:$V$14,3,0)*Tabla4[[#This Row],[TOTAL COBERTURA]])</f>
        <v>8967000</v>
      </c>
      <c r="AV963" s="35">
        <f>(VLOOKUP(Tabla4[[#This Row],[SERVICIO 2025]],$J$2:$V$14,3,0)*Tabla4[[#This Row],[TOTAL COBERTURA]])</f>
        <v>8967000</v>
      </c>
      <c r="AW963" s="35">
        <f>(VLOOKUP(Tabla4[[#This Row],[SERVICIO 2025]],$J$2:$V$14,3,0)*Tabla4[[#This Row],[TOTAL COBERTURA]])</f>
        <v>8967000</v>
      </c>
      <c r="AX963" s="35">
        <f>(VLOOKUP(Tabla4[[#This Row],[SERVICIO 2025]],$J$2:$V$14,3,0)*Tabla4[[#This Row],[TOTAL COBERTURA]])</f>
        <v>8967000</v>
      </c>
      <c r="AY963" s="35">
        <f>(VLOOKUP(Tabla4[[#This Row],[SERVICIO 2025]],$J$2:$V$14,3,0)*Tabla4[[#This Row],[TOTAL COBERTURA]])</f>
        <v>8967000</v>
      </c>
      <c r="AZ963" s="35">
        <f>(VLOOKUP(Tabla4[[#This Row],[SERVICIO 2025]],$J$2:$V$14,3,0)*Tabla4[[#This Row],[TOTAL COBERTURA]])</f>
        <v>8967000</v>
      </c>
      <c r="BA963" s="35">
        <f>(VLOOKUP(Tabla4[[#This Row],[SERVICIO 2025]],$J$2:$V$14,3,0)*Tabla4[[#This Row],[TOTAL COBERTURA]])+Tabla4[[#This Row],[VALOR FASE PREPARATORIA DE CIERRE]]</f>
        <v>10859050</v>
      </c>
      <c r="BB963" s="35">
        <f>SUM(Tabla4[[#This Row],[DESEMBOLSO 1]:[DESEMBOLSO 8]])</f>
        <v>75965250</v>
      </c>
      <c r="BC963" s="35"/>
      <c r="BD963" s="47" t="s">
        <v>97</v>
      </c>
      <c r="BE963" s="12" t="b">
        <f>EXACT(Tabla4[[#This Row],[VALOR ATENCIÓN (8 MESES)]],Tabla4[[#This Row],[VALOR TOTAL]])</f>
        <v>1</v>
      </c>
      <c r="BF963" s="23">
        <f>Tabla4[[#This Row],[VALOR ATENCIÓN (8 MESES)]]-Tabla4[[#This Row],[VALOR TOTAL]]</f>
        <v>0</v>
      </c>
      <c r="BG963" s="12" t="b">
        <f>EXACT(Tabla4[[#This Row],[TOTAL DESEMBOLSOS]],Tabla4[[#This Row],[VALOR ATENCIÓN (8 MESES)]])</f>
        <v>1</v>
      </c>
      <c r="BH963" s="29">
        <f>Tabla4[[#This Row],[TOTAL DESEMBOLSOS]]-Tabla4[[#This Row],[VALOR ATENCIÓN (8 MESES)]]</f>
        <v>0</v>
      </c>
      <c r="BI963" t="s">
        <v>98</v>
      </c>
    </row>
    <row r="964" spans="1:61">
      <c r="A964" s="13">
        <v>1985</v>
      </c>
      <c r="B964" s="13" t="s">
        <v>2129</v>
      </c>
      <c r="C964" s="12" t="s">
        <v>87</v>
      </c>
      <c r="D964" s="12" t="s">
        <v>527</v>
      </c>
      <c r="E964" s="12" t="s">
        <v>1493</v>
      </c>
      <c r="F964" s="12" t="s">
        <v>22</v>
      </c>
      <c r="G964" s="12" t="s">
        <v>90</v>
      </c>
      <c r="H964" s="12" t="s">
        <v>2130</v>
      </c>
      <c r="I964" s="12">
        <v>561500089442</v>
      </c>
      <c r="J964" s="12" t="s">
        <v>2131</v>
      </c>
      <c r="K964" s="12">
        <v>1</v>
      </c>
      <c r="L964" s="12">
        <v>115</v>
      </c>
      <c r="M964" s="12"/>
      <c r="N964" s="13">
        <v>1985</v>
      </c>
      <c r="O964" s="12" t="s">
        <v>93</v>
      </c>
      <c r="P964" s="12"/>
      <c r="Q964" s="12"/>
      <c r="R964" s="12" t="s">
        <v>94</v>
      </c>
      <c r="S964" s="12">
        <v>10</v>
      </c>
      <c r="T964" s="12" t="s">
        <v>2132</v>
      </c>
      <c r="U964" s="12" t="s">
        <v>2133</v>
      </c>
      <c r="V964" s="12">
        <f>VLOOKUP(Tabla4[[#This Row],[ZONA DEFINITIVO]],Hoja1!$A$1:$D$121,3,0)</f>
        <v>229142</v>
      </c>
      <c r="W964" s="12">
        <f>VLOOKUP(Tabla4[[#This Row],[ZONA DEFINITIVO]],Hoja1!$A$1:$D$121,2,0)</f>
        <v>15244</v>
      </c>
      <c r="X964" s="12">
        <f>VLOOKUP(Tabla4[[#This Row],[ZONA DEFINITIVO]],Hoja1!$A$1:$D$121,4,0)</f>
        <v>88725</v>
      </c>
      <c r="Y964" s="12">
        <f>+IF(Tabla4[[#This Row],[AGRUPACIONES]]=1,SUMIFS(Tabla4[UDS],Tabla4[ZONA DEFINITIVO],Tabla4[[#This Row],[ZONA DEFINITIVO]])," ")</f>
        <v>1</v>
      </c>
      <c r="Z964" s="12">
        <f>+IF(Tabla4[[#This Row],[AGRUPACIONES]]=1,SUMIFS(Tabla4[TOTAL COBERTURA],Tabla4[ZONA DEFINITIVO],Tabla4[[#This Row],[ZONA DEFINITIVO]])," ")</f>
        <v>115</v>
      </c>
      <c r="AA964" s="12"/>
      <c r="AB964" s="38">
        <v>481717750</v>
      </c>
      <c r="AC964" s="37">
        <v>0.02</v>
      </c>
      <c r="AD964" s="38">
        <f t="shared" si="15"/>
        <v>9634355</v>
      </c>
      <c r="AE964" s="12"/>
      <c r="AF964" s="12">
        <f>COUNTIF($A$20:A964,A964)</f>
        <v>1</v>
      </c>
      <c r="AG964" s="38">
        <v>481717750</v>
      </c>
      <c r="AH964" s="38">
        <f>Tabla4[[#This Row],[VALOR CONTRAPARTIDA]]+Tabla4[[#This Row],[TOTAL APORTES ICBF]]</f>
        <v>491352105</v>
      </c>
      <c r="AI964" s="35">
        <f>ROUND(+IF(Tabla4[[#This Row],[AGRUPACIONES]]=1,SUMIFS(Tabla4[TOTAL APORTES ICBF],Tabla4[ZONA DEFINITIVO],Tabla4[[#This Row],[ZONA DEFINITIVO]])," "),0)</f>
        <v>481717750</v>
      </c>
      <c r="AJ964" s="38">
        <f>ROUND(+IF(Tabla4[[#This Row],[AGRUPACIONES]]=1,SUMIFS(Tabla4[VALOR CONTRAPARTIDA],Tabla4[ZONA DEFINITIVO],Tabla4[[#This Row],[ZONA DEFINITIVO]])," "),0)</f>
        <v>9634355</v>
      </c>
      <c r="AK964" s="38">
        <f>Tabla4[[#This Row],[TOTAL APORTES ICBF AGRUPADO]]+Tabla4[[#This Row],[TOTAL CONTRAPARTIDA AGRUPADO]]</f>
        <v>491352105</v>
      </c>
      <c r="AL964" s="23">
        <f>Tabla4[[#This Row],[TOTAL APORTES ICBF AGRUPADO]]/$AL$18</f>
        <v>338.40375834211449</v>
      </c>
      <c r="AM964" s="35">
        <f>VLOOKUP(Tabla4[[#This Row],[SERVICIO 2025]],$J$2:$V$14,5,0)*Tabla4[[#This Row],[TOTAL COBERTURA]]</f>
        <v>10136445</v>
      </c>
      <c r="AN964" s="35">
        <f>VLOOKUP(Tabla4[[#This Row],[SERVICIO 2025]],$J$2:$V$14,6,0)*Tabla4[[#This Row],[TOTAL COBERTURA]]</f>
        <v>8629945</v>
      </c>
      <c r="AO964" s="35">
        <f>VLOOKUP(Tabla4[[#This Row],[SERVICIO 2025]],$J$2:$V$14,8,0)*Tabla4[[#This Row],[TOTAL COBERTURA]]</f>
        <v>0</v>
      </c>
      <c r="AP964" s="35">
        <f>VLOOKUP(Tabla4[[#This Row],[SERVICIO 2025]],$J$2:$V$14,3,0)*Tabla4[[#This Row],[TOTAL COBERTURA]]*8</f>
        <v>462951360</v>
      </c>
      <c r="AQ964" s="35"/>
      <c r="AR964" s="35">
        <f>Tabla4[[#This Row],[VALOR FASE PREPARATORIA DE ALISTAMIENTO]]+Tabla4[[#This Row],[VALOR FASE PREPARATORIA DE CIERRE]]+Tabla4[[#This Row],[DOTACIÓN ÚNICA]]+Tabla4[[#This Row],[VALOR ATENCIÓN]]+Tabla4[[#This Row],[VALOR RACION PREPARADA]]</f>
        <v>481717750</v>
      </c>
      <c r="AS964" s="35">
        <f>+IF(Tabla4[[#This Row],[AGRUPACIONES]]=1,SUMIFS(Tabla4[VALOR TOTAL],Tabla4[ZONA DEFINITIVO],Tabla4[[#This Row],[ZONA DEFINITIVO]])," ")</f>
        <v>481717750</v>
      </c>
      <c r="AT964" s="27">
        <f>(VLOOKUP(Tabla4[[#This Row],[SERVICIO 2025]],$J$2:$V$14,3,0)*Tabla4[[#This Row],[TOTAL COBERTURA]])+Tabla4[[#This Row],[VALOR FASE PREPARATORIA DE ALISTAMIENTO]]+Tabla4[[#This Row],[DOTACIÓN ÚNICA]]</f>
        <v>68005365</v>
      </c>
      <c r="AU964" s="35">
        <f>(VLOOKUP(Tabla4[[#This Row],[SERVICIO 2025]],$J$2:$V$14,3,0)*Tabla4[[#This Row],[TOTAL COBERTURA]])</f>
        <v>57868920</v>
      </c>
      <c r="AV964" s="35">
        <f>(VLOOKUP(Tabla4[[#This Row],[SERVICIO 2025]],$J$2:$V$14,3,0)*Tabla4[[#This Row],[TOTAL COBERTURA]])</f>
        <v>57868920</v>
      </c>
      <c r="AW964" s="35">
        <f>(VLOOKUP(Tabla4[[#This Row],[SERVICIO 2025]],$J$2:$V$14,3,0)*Tabla4[[#This Row],[TOTAL COBERTURA]])</f>
        <v>57868920</v>
      </c>
      <c r="AX964" s="35">
        <f>(VLOOKUP(Tabla4[[#This Row],[SERVICIO 2025]],$J$2:$V$14,3,0)*Tabla4[[#This Row],[TOTAL COBERTURA]])</f>
        <v>57868920</v>
      </c>
      <c r="AY964" s="35">
        <f>(VLOOKUP(Tabla4[[#This Row],[SERVICIO 2025]],$J$2:$V$14,3,0)*Tabla4[[#This Row],[TOTAL COBERTURA]])</f>
        <v>57868920</v>
      </c>
      <c r="AZ964" s="35">
        <f>(VLOOKUP(Tabla4[[#This Row],[SERVICIO 2025]],$J$2:$V$14,3,0)*Tabla4[[#This Row],[TOTAL COBERTURA]])</f>
        <v>57868920</v>
      </c>
      <c r="BA964" s="35">
        <f>(VLOOKUP(Tabla4[[#This Row],[SERVICIO 2025]],$J$2:$V$14,3,0)*Tabla4[[#This Row],[TOTAL COBERTURA]])+Tabla4[[#This Row],[VALOR FASE PREPARATORIA DE CIERRE]]</f>
        <v>66498865</v>
      </c>
      <c r="BB964" s="35">
        <f>SUM(Tabla4[[#This Row],[DESEMBOLSO 1]:[DESEMBOLSO 8]])</f>
        <v>481717750</v>
      </c>
      <c r="BC964" s="35">
        <f>VLOOKUP(Tabla4[[#This Row],[SERVICIO 2025]],$J$2:$V$14,10,0)*Tabla4[[#This Row],[TOTAL COBERTURA]]*$W$3</f>
        <v>0</v>
      </c>
      <c r="BD964" s="47" t="s">
        <v>145</v>
      </c>
      <c r="BE964" s="12" t="b">
        <f>EXACT(Tabla4[[#This Row],[VALOR ATENCIÓN (8 MESES)]],Tabla4[[#This Row],[VALOR TOTAL]])</f>
        <v>1</v>
      </c>
      <c r="BF964" s="23">
        <f>Tabla4[[#This Row],[VALOR ATENCIÓN (8 MESES)]]-Tabla4[[#This Row],[VALOR TOTAL]]</f>
        <v>0</v>
      </c>
      <c r="BG964" s="12" t="b">
        <f>EXACT(Tabla4[[#This Row],[TOTAL DESEMBOLSOS]],Tabla4[[#This Row],[VALOR ATENCIÓN (8 MESES)]])</f>
        <v>1</v>
      </c>
      <c r="BH964" s="29">
        <f>Tabla4[[#This Row],[TOTAL DESEMBOLSOS]]-Tabla4[[#This Row],[VALOR ATENCIÓN (8 MESES)]]</f>
        <v>0</v>
      </c>
      <c r="BI964" t="s">
        <v>98</v>
      </c>
    </row>
    <row r="965" spans="1:61">
      <c r="A965" s="13">
        <v>1987</v>
      </c>
      <c r="B965" s="13" t="s">
        <v>2134</v>
      </c>
      <c r="C965" s="12" t="s">
        <v>87</v>
      </c>
      <c r="D965" s="12" t="s">
        <v>651</v>
      </c>
      <c r="E965" s="12" t="s">
        <v>2135</v>
      </c>
      <c r="F965" s="12" t="s">
        <v>14</v>
      </c>
      <c r="G965" s="12" t="s">
        <v>90</v>
      </c>
      <c r="H965" s="12" t="s">
        <v>2136</v>
      </c>
      <c r="I965" s="12">
        <v>56311151783</v>
      </c>
      <c r="J965" s="12" t="s">
        <v>2137</v>
      </c>
      <c r="K965" s="12">
        <v>1</v>
      </c>
      <c r="L965" s="12">
        <v>187</v>
      </c>
      <c r="M965" s="12"/>
      <c r="N965" s="13">
        <v>1987</v>
      </c>
      <c r="O965" s="12" t="s">
        <v>93</v>
      </c>
      <c r="P965" s="12"/>
      <c r="Q965" s="12"/>
      <c r="R965" s="12" t="s">
        <v>94</v>
      </c>
      <c r="S965" s="12">
        <v>10</v>
      </c>
      <c r="T965" s="12" t="s">
        <v>2138</v>
      </c>
      <c r="U965" s="12" t="s">
        <v>2139</v>
      </c>
      <c r="V965" s="12">
        <f>VLOOKUP(Tabla4[[#This Row],[ZONA DEFINITIVO]],Hoja1!$A$1:$D$121,3,0)</f>
        <v>229143</v>
      </c>
      <c r="W965" s="12">
        <f>VLOOKUP(Tabla4[[#This Row],[ZONA DEFINITIVO]],Hoja1!$A$1:$D$121,2,0)</f>
        <v>15248</v>
      </c>
      <c r="X965" s="12">
        <f>VLOOKUP(Tabla4[[#This Row],[ZONA DEFINITIVO]],Hoja1!$A$1:$D$121,4,0)</f>
        <v>89125</v>
      </c>
      <c r="Y965" s="12">
        <f>+IF(Tabla4[[#This Row],[AGRUPACIONES]]=1,SUMIFS(Tabla4[UDS],Tabla4[ZONA DEFINITIVO],Tabla4[[#This Row],[ZONA DEFINITIVO]])," ")</f>
        <v>2</v>
      </c>
      <c r="Z965" s="12">
        <f>+IF(Tabla4[[#This Row],[AGRUPACIONES]]=1,SUMIFS(Tabla4[TOTAL COBERTURA],Tabla4[ZONA DEFINITIVO],Tabla4[[#This Row],[ZONA DEFINITIVO]])," ")</f>
        <v>313</v>
      </c>
      <c r="AA965" s="12"/>
      <c r="AB965" s="38">
        <v>783314950</v>
      </c>
      <c r="AC965" s="37">
        <v>0.02</v>
      </c>
      <c r="AD965" s="38">
        <f t="shared" si="15"/>
        <v>15666299</v>
      </c>
      <c r="AE965" s="12"/>
      <c r="AF965" s="12">
        <f>COUNTIF($A$20:A965,A965)</f>
        <v>1</v>
      </c>
      <c r="AG965" s="38">
        <v>783314950</v>
      </c>
      <c r="AH965" s="38">
        <f>Tabla4[[#This Row],[VALOR CONTRAPARTIDA]]+Tabla4[[#This Row],[TOTAL APORTES ICBF]]</f>
        <v>798981249</v>
      </c>
      <c r="AI965" s="35">
        <f>ROUND(+IF(Tabla4[[#This Row],[AGRUPACIONES]]=1,SUMIFS(Tabla4[TOTAL APORTES ICBF],Tabla4[ZONA DEFINITIVO],Tabla4[[#This Row],[ZONA DEFINITIVO]])," "),0)</f>
        <v>1328819602</v>
      </c>
      <c r="AJ965" s="38">
        <f>ROUND(+IF(Tabla4[[#This Row],[AGRUPACIONES]]=1,SUMIFS(Tabla4[VALOR CONTRAPARTIDA],Tabla4[ZONA DEFINITIVO],Tabla4[[#This Row],[ZONA DEFINITIVO]])," "),0)</f>
        <v>26576392</v>
      </c>
      <c r="AK965" s="38">
        <f>Tabla4[[#This Row],[TOTAL APORTES ICBF AGRUPADO]]+Tabla4[[#This Row],[TOTAL CONTRAPARTIDA AGRUPADO]]</f>
        <v>1355395994</v>
      </c>
      <c r="AL965" s="23">
        <f>Tabla4[[#This Row],[TOTAL APORTES ICBF AGRUPADO]]/$AL$18</f>
        <v>933.4876023884791</v>
      </c>
      <c r="AM965" s="35">
        <f>VLOOKUP(Tabla4[[#This Row],[SERVICIO 2025]],$J$2:$V$14,5,0)*Tabla4[[#This Row],[TOTAL COBERTURA]]</f>
        <v>16482741</v>
      </c>
      <c r="AN965" s="35">
        <f>VLOOKUP(Tabla4[[#This Row],[SERVICIO 2025]],$J$2:$V$14,6,0)*Tabla4[[#This Row],[TOTAL COBERTURA]]</f>
        <v>14033041</v>
      </c>
      <c r="AO965" s="35">
        <f>VLOOKUP(Tabla4[[#This Row],[SERVICIO 2025]],$J$2:$V$14,8,0)*Tabla4[[#This Row],[TOTAL COBERTURA]]</f>
        <v>0</v>
      </c>
      <c r="AP965" s="35">
        <f>VLOOKUP(Tabla4[[#This Row],[SERVICIO 2025]],$J$2:$V$14,3,0)*Tabla4[[#This Row],[TOTAL COBERTURA]]*8</f>
        <v>752799168</v>
      </c>
      <c r="AQ965" s="35"/>
      <c r="AR965" s="35">
        <f>Tabla4[[#This Row],[VALOR FASE PREPARATORIA DE ALISTAMIENTO]]+Tabla4[[#This Row],[VALOR FASE PREPARATORIA DE CIERRE]]+Tabla4[[#This Row],[DOTACIÓN ÚNICA]]+Tabla4[[#This Row],[VALOR ATENCIÓN]]+Tabla4[[#This Row],[VALOR RACION PREPARADA]]</f>
        <v>783314950</v>
      </c>
      <c r="AS965" s="35">
        <f>+IF(Tabla4[[#This Row],[AGRUPACIONES]]=1,SUMIFS(Tabla4[VALOR TOTAL],Tabla4[ZONA DEFINITIVO],Tabla4[[#This Row],[ZONA DEFINITIVO]])," ")</f>
        <v>1328819602</v>
      </c>
      <c r="AT965" s="27">
        <f>(VLOOKUP(Tabla4[[#This Row],[SERVICIO 2025]],$J$2:$V$14,3,0)*Tabla4[[#This Row],[TOTAL COBERTURA]])+Tabla4[[#This Row],[VALOR FASE PREPARATORIA DE ALISTAMIENTO]]+Tabla4[[#This Row],[DOTACIÓN ÚNICA]]</f>
        <v>110582637</v>
      </c>
      <c r="AU965" s="35">
        <f>(VLOOKUP(Tabla4[[#This Row],[SERVICIO 2025]],$J$2:$V$14,3,0)*Tabla4[[#This Row],[TOTAL COBERTURA]])</f>
        <v>94099896</v>
      </c>
      <c r="AV965" s="35">
        <f>(VLOOKUP(Tabla4[[#This Row],[SERVICIO 2025]],$J$2:$V$14,3,0)*Tabla4[[#This Row],[TOTAL COBERTURA]])</f>
        <v>94099896</v>
      </c>
      <c r="AW965" s="35">
        <f>(VLOOKUP(Tabla4[[#This Row],[SERVICIO 2025]],$J$2:$V$14,3,0)*Tabla4[[#This Row],[TOTAL COBERTURA]])</f>
        <v>94099896</v>
      </c>
      <c r="AX965" s="35">
        <f>(VLOOKUP(Tabla4[[#This Row],[SERVICIO 2025]],$J$2:$V$14,3,0)*Tabla4[[#This Row],[TOTAL COBERTURA]])</f>
        <v>94099896</v>
      </c>
      <c r="AY965" s="35">
        <f>(VLOOKUP(Tabla4[[#This Row],[SERVICIO 2025]],$J$2:$V$14,3,0)*Tabla4[[#This Row],[TOTAL COBERTURA]])</f>
        <v>94099896</v>
      </c>
      <c r="AZ965" s="35">
        <f>(VLOOKUP(Tabla4[[#This Row],[SERVICIO 2025]],$J$2:$V$14,3,0)*Tabla4[[#This Row],[TOTAL COBERTURA]])</f>
        <v>94099896</v>
      </c>
      <c r="BA965" s="35">
        <f>(VLOOKUP(Tabla4[[#This Row],[SERVICIO 2025]],$J$2:$V$14,3,0)*Tabla4[[#This Row],[TOTAL COBERTURA]])+Tabla4[[#This Row],[VALOR FASE PREPARATORIA DE CIERRE]]</f>
        <v>108132937</v>
      </c>
      <c r="BB965" s="35">
        <f>SUM(Tabla4[[#This Row],[DESEMBOLSO 1]:[DESEMBOLSO 8]])</f>
        <v>783314950</v>
      </c>
      <c r="BC965" s="35">
        <f>VLOOKUP(Tabla4[[#This Row],[SERVICIO 2025]],$J$2:$V$14,10,0)*Tabla4[[#This Row],[TOTAL COBERTURA]]*$W$3</f>
        <v>0</v>
      </c>
      <c r="BD965" s="47" t="s">
        <v>145</v>
      </c>
      <c r="BE965" s="12" t="b">
        <f>EXACT(Tabla4[[#This Row],[VALOR ATENCIÓN (8 MESES)]],Tabla4[[#This Row],[VALOR TOTAL]])</f>
        <v>1</v>
      </c>
      <c r="BF965" s="23">
        <f>Tabla4[[#This Row],[VALOR ATENCIÓN (8 MESES)]]-Tabla4[[#This Row],[VALOR TOTAL]]</f>
        <v>0</v>
      </c>
      <c r="BG965" s="12" t="b">
        <f>EXACT(Tabla4[[#This Row],[TOTAL DESEMBOLSOS]],Tabla4[[#This Row],[VALOR ATENCIÓN (8 MESES)]])</f>
        <v>1</v>
      </c>
      <c r="BH965" s="29">
        <f>Tabla4[[#This Row],[TOTAL DESEMBOLSOS]]-Tabla4[[#This Row],[VALOR ATENCIÓN (8 MESES)]]</f>
        <v>0</v>
      </c>
      <c r="BI965" t="s">
        <v>98</v>
      </c>
    </row>
    <row r="966" spans="1:61">
      <c r="A966" s="13">
        <v>1987</v>
      </c>
      <c r="B966" s="13" t="s">
        <v>2134</v>
      </c>
      <c r="C966" s="12" t="s">
        <v>87</v>
      </c>
      <c r="D966" s="12" t="s">
        <v>651</v>
      </c>
      <c r="E966" s="12" t="s">
        <v>2135</v>
      </c>
      <c r="F966" s="12" t="s">
        <v>15</v>
      </c>
      <c r="G966" s="12" t="s">
        <v>90</v>
      </c>
      <c r="H966" s="12" t="s">
        <v>2140</v>
      </c>
      <c r="I966" s="12">
        <v>512500077624</v>
      </c>
      <c r="J966" s="12" t="s">
        <v>2141</v>
      </c>
      <c r="K966" s="12">
        <v>1</v>
      </c>
      <c r="L966" s="12">
        <v>126</v>
      </c>
      <c r="M966" s="12"/>
      <c r="N966" s="13">
        <v>1987</v>
      </c>
      <c r="O966" s="12" t="s">
        <v>93</v>
      </c>
      <c r="P966" s="12"/>
      <c r="Q966" s="12"/>
      <c r="R966" s="12" t="s">
        <v>94</v>
      </c>
      <c r="S966" s="12">
        <v>10</v>
      </c>
      <c r="T966" s="12" t="s">
        <v>2138</v>
      </c>
      <c r="U966" s="12" t="s">
        <v>2139</v>
      </c>
      <c r="V966" s="12">
        <f>VLOOKUP(Tabla4[[#This Row],[ZONA DEFINITIVO]],Hoja1!$A$1:$D$121,3,0)</f>
        <v>229143</v>
      </c>
      <c r="W966" s="12">
        <f>VLOOKUP(Tabla4[[#This Row],[ZONA DEFINITIVO]],Hoja1!$A$1:$D$121,2,0)</f>
        <v>15248</v>
      </c>
      <c r="X966" s="12">
        <f>VLOOKUP(Tabla4[[#This Row],[ZONA DEFINITIVO]],Hoja1!$A$1:$D$121,4,0)</f>
        <v>89125</v>
      </c>
      <c r="Y966" s="12" t="str">
        <f>+IF(Tabla4[[#This Row],[AGRUPACIONES]]=1,SUMIFS(Tabla4[UDS],Tabla4[ZONA DEFINITIVO],Tabla4[[#This Row],[ZONA DEFINITIVO]])," ")</f>
        <v xml:space="preserve"> </v>
      </c>
      <c r="Z966" s="12" t="str">
        <f>+IF(Tabla4[[#This Row],[AGRUPACIONES]]=1,SUMIFS(Tabla4[TOTAL COBERTURA],Tabla4[ZONA DEFINITIVO],Tabla4[[#This Row],[ZONA DEFINITIVO]])," ")</f>
        <v xml:space="preserve"> </v>
      </c>
      <c r="AA966" s="12"/>
      <c r="AB966" s="38">
        <v>545504652</v>
      </c>
      <c r="AC966" s="37">
        <v>0.02</v>
      </c>
      <c r="AD966" s="38">
        <f t="shared" si="15"/>
        <v>10910093.040000001</v>
      </c>
      <c r="AE966" s="12"/>
      <c r="AF966" s="12">
        <f>COUNTIF($A$20:A966,A966)</f>
        <v>2</v>
      </c>
      <c r="AG966" s="38">
        <v>545504652</v>
      </c>
      <c r="AH966" s="38">
        <f>Tabla4[[#This Row],[VALOR CONTRAPARTIDA]]+Tabla4[[#This Row],[TOTAL APORTES ICBF]]</f>
        <v>556414745.03999996</v>
      </c>
      <c r="AI966" s="35"/>
      <c r="AJ966" s="38"/>
      <c r="AK966" s="38"/>
      <c r="AL966" s="23"/>
      <c r="AM966" s="35">
        <f>VLOOKUP(Tabla4[[#This Row],[SERVICIO 2025]],$J$2:$V$14,5,0)*Tabla4[[#This Row],[TOTAL COBERTURA]]</f>
        <v>11106018</v>
      </c>
      <c r="AN966" s="35">
        <f>VLOOKUP(Tabla4[[#This Row],[SERVICIO 2025]],$J$2:$V$14,6,0)*Tabla4[[#This Row],[TOTAL COBERTURA]]</f>
        <v>9455418</v>
      </c>
      <c r="AO966" s="35">
        <f>VLOOKUP(Tabla4[[#This Row],[SERVICIO 2025]],$J$2:$V$14,8,0)*Tabla4[[#This Row],[TOTAL COBERTURA]]</f>
        <v>0</v>
      </c>
      <c r="AP966" s="35">
        <f>VLOOKUP(Tabla4[[#This Row],[SERVICIO 2025]],$J$2:$V$14,3,0)*Tabla4[[#This Row],[TOTAL COBERTURA]]*8</f>
        <v>524943216</v>
      </c>
      <c r="AQ966" s="35"/>
      <c r="AR966" s="35">
        <f>Tabla4[[#This Row],[VALOR FASE PREPARATORIA DE ALISTAMIENTO]]+Tabla4[[#This Row],[VALOR FASE PREPARATORIA DE CIERRE]]+Tabla4[[#This Row],[DOTACIÓN ÚNICA]]+Tabla4[[#This Row],[VALOR ATENCIÓN]]+Tabla4[[#This Row],[VALOR RACION PREPARADA]]</f>
        <v>545504652</v>
      </c>
      <c r="AS966" s="35" t="str">
        <f>+IF(Tabla4[[#This Row],[AGRUPACIONES]]=1,SUMIFS(Tabla4[VALOR TOTAL],Tabla4[ZONA DEFINITIVO],Tabla4[[#This Row],[ZONA DEFINITIVO]])," ")</f>
        <v xml:space="preserve"> </v>
      </c>
      <c r="AT966" s="27">
        <f>(VLOOKUP(Tabla4[[#This Row],[SERVICIO 2025]],$J$2:$V$14,3,0)*Tabla4[[#This Row],[TOTAL COBERTURA]])+Tabla4[[#This Row],[VALOR FASE PREPARATORIA DE ALISTAMIENTO]]+Tabla4[[#This Row],[DOTACIÓN ÚNICA]]</f>
        <v>76723920</v>
      </c>
      <c r="AU966" s="35">
        <f>(VLOOKUP(Tabla4[[#This Row],[SERVICIO 2025]],$J$2:$V$14,3,0)*Tabla4[[#This Row],[TOTAL COBERTURA]])</f>
        <v>65617902</v>
      </c>
      <c r="AV966" s="35">
        <f>(VLOOKUP(Tabla4[[#This Row],[SERVICIO 2025]],$J$2:$V$14,3,0)*Tabla4[[#This Row],[TOTAL COBERTURA]])</f>
        <v>65617902</v>
      </c>
      <c r="AW966" s="35">
        <f>(VLOOKUP(Tabla4[[#This Row],[SERVICIO 2025]],$J$2:$V$14,3,0)*Tabla4[[#This Row],[TOTAL COBERTURA]])</f>
        <v>65617902</v>
      </c>
      <c r="AX966" s="35">
        <f>(VLOOKUP(Tabla4[[#This Row],[SERVICIO 2025]],$J$2:$V$14,3,0)*Tabla4[[#This Row],[TOTAL COBERTURA]])</f>
        <v>65617902</v>
      </c>
      <c r="AY966" s="35">
        <f>(VLOOKUP(Tabla4[[#This Row],[SERVICIO 2025]],$J$2:$V$14,3,0)*Tabla4[[#This Row],[TOTAL COBERTURA]])</f>
        <v>65617902</v>
      </c>
      <c r="AZ966" s="35">
        <f>(VLOOKUP(Tabla4[[#This Row],[SERVICIO 2025]],$J$2:$V$14,3,0)*Tabla4[[#This Row],[TOTAL COBERTURA]])</f>
        <v>65617902</v>
      </c>
      <c r="BA966" s="35">
        <f>(VLOOKUP(Tabla4[[#This Row],[SERVICIO 2025]],$J$2:$V$14,3,0)*Tabla4[[#This Row],[TOTAL COBERTURA]])+Tabla4[[#This Row],[VALOR FASE PREPARATORIA DE CIERRE]]</f>
        <v>75073320</v>
      </c>
      <c r="BB966" s="35">
        <f>SUM(Tabla4[[#This Row],[DESEMBOLSO 1]:[DESEMBOLSO 8]])</f>
        <v>545504652</v>
      </c>
      <c r="BC966" s="35">
        <f>VLOOKUP(Tabla4[[#This Row],[SERVICIO 2025]],$J$2:$V$14,10,0)*Tabla4[[#This Row],[TOTAL COBERTURA]]*$W$3</f>
        <v>0</v>
      </c>
      <c r="BD966" s="47" t="s">
        <v>145</v>
      </c>
      <c r="BE966" s="12" t="b">
        <f>EXACT(Tabla4[[#This Row],[VALOR ATENCIÓN (8 MESES)]],Tabla4[[#This Row],[VALOR TOTAL]])</f>
        <v>1</v>
      </c>
      <c r="BF966" s="23">
        <f>Tabla4[[#This Row],[VALOR ATENCIÓN (8 MESES)]]-Tabla4[[#This Row],[VALOR TOTAL]]</f>
        <v>0</v>
      </c>
      <c r="BG966" s="12" t="b">
        <f>EXACT(Tabla4[[#This Row],[TOTAL DESEMBOLSOS]],Tabla4[[#This Row],[VALOR ATENCIÓN (8 MESES)]])</f>
        <v>1</v>
      </c>
      <c r="BH966" s="29">
        <f>Tabla4[[#This Row],[TOTAL DESEMBOLSOS]]-Tabla4[[#This Row],[VALOR ATENCIÓN (8 MESES)]]</f>
        <v>0</v>
      </c>
      <c r="BI966" t="s">
        <v>98</v>
      </c>
    </row>
    <row r="967" spans="1:61">
      <c r="A967" s="13">
        <v>1988</v>
      </c>
      <c r="B967" s="13" t="s">
        <v>2142</v>
      </c>
      <c r="C967" s="12" t="s">
        <v>87</v>
      </c>
      <c r="D967" s="12" t="s">
        <v>205</v>
      </c>
      <c r="E967" s="12" t="s">
        <v>2143</v>
      </c>
      <c r="F967" s="12" t="s">
        <v>18</v>
      </c>
      <c r="G967" s="12" t="s">
        <v>90</v>
      </c>
      <c r="H967" s="12" t="s">
        <v>2144</v>
      </c>
      <c r="I967" s="12">
        <v>56421116834</v>
      </c>
      <c r="J967" s="12" t="s">
        <v>2145</v>
      </c>
      <c r="K967" s="12">
        <v>1</v>
      </c>
      <c r="L967" s="12">
        <v>21</v>
      </c>
      <c r="M967" s="12"/>
      <c r="N967" s="13">
        <v>1988</v>
      </c>
      <c r="O967" s="12" t="s">
        <v>93</v>
      </c>
      <c r="P967" s="12"/>
      <c r="Q967" s="12"/>
      <c r="R967" s="12" t="s">
        <v>94</v>
      </c>
      <c r="S967" s="12">
        <v>10</v>
      </c>
      <c r="T967" s="12" t="s">
        <v>1363</v>
      </c>
      <c r="U967" s="12" t="s">
        <v>1364</v>
      </c>
      <c r="V967" s="12">
        <f>VLOOKUP(Tabla4[[#This Row],[ZONA DEFINITIVO]],Hoja1!$A$1:$D$121,3,0)</f>
        <v>229145</v>
      </c>
      <c r="W967" s="12">
        <f>VLOOKUP(Tabla4[[#This Row],[ZONA DEFINITIVO]],Hoja1!$A$1:$D$121,2,0)</f>
        <v>15217</v>
      </c>
      <c r="X967" s="12">
        <f>VLOOKUP(Tabla4[[#This Row],[ZONA DEFINITIVO]],Hoja1!$A$1:$D$121,4,0)</f>
        <v>86625</v>
      </c>
      <c r="Y967" s="12">
        <f>+IF(Tabla4[[#This Row],[AGRUPACIONES]]=1,SUMIFS(Tabla4[UDS],Tabla4[ZONA DEFINITIVO],Tabla4[[#This Row],[ZONA DEFINITIVO]])," ")</f>
        <v>15</v>
      </c>
      <c r="Z967" s="12">
        <f>+IF(Tabla4[[#This Row],[AGRUPACIONES]]=1,SUMIFS(Tabla4[TOTAL COBERTURA],Tabla4[ZONA DEFINITIVO],Tabla4[[#This Row],[ZONA DEFINITIVO]])," ")</f>
        <v>434</v>
      </c>
      <c r="AA967" s="12"/>
      <c r="AB967" s="38">
        <v>45784053</v>
      </c>
      <c r="AC967" s="37">
        <v>0.02</v>
      </c>
      <c r="AD967" s="38">
        <f t="shared" si="15"/>
        <v>915681.06</v>
      </c>
      <c r="AE967" s="12"/>
      <c r="AF967" s="12">
        <f>COUNTIF($A$20:A967,A967)</f>
        <v>1</v>
      </c>
      <c r="AG967" s="38">
        <v>45784053</v>
      </c>
      <c r="AH967" s="38">
        <f>Tabla4[[#This Row],[VALOR CONTRAPARTIDA]]+Tabla4[[#This Row],[TOTAL APORTES ICBF]]</f>
        <v>46699734.060000002</v>
      </c>
      <c r="AI967" s="35">
        <f>ROUND(+IF(Tabla4[[#This Row],[AGRUPACIONES]]=1,SUMIFS(Tabla4[TOTAL APORTES ICBF],Tabla4[ZONA DEFINITIVO],Tabla4[[#This Row],[ZONA DEFINITIVO]])," "),0)</f>
        <v>1226045707</v>
      </c>
      <c r="AJ967" s="38">
        <f>ROUND(+IF(Tabla4[[#This Row],[AGRUPACIONES]]=1,SUMIFS(Tabla4[VALOR CONTRAPARTIDA],Tabla4[ZONA DEFINITIVO],Tabla4[[#This Row],[ZONA DEFINITIVO]])," "),0)</f>
        <v>24520914</v>
      </c>
      <c r="AK967" s="38">
        <f>Tabla4[[#This Row],[TOTAL APORTES ICBF AGRUPADO]]+Tabla4[[#This Row],[TOTAL CONTRAPARTIDA AGRUPADO]]</f>
        <v>1250566621</v>
      </c>
      <c r="AL967" s="23">
        <f>Tabla4[[#This Row],[TOTAL APORTES ICBF AGRUPADO]]/$AL$18</f>
        <v>861.28957288373726</v>
      </c>
      <c r="AM967" s="35">
        <f>VLOOKUP(Tabla4[[#This Row],[SERVICIO 2025]],$J$2:$V$14,5,0)*Tabla4[[#This Row],[TOTAL COBERTURA]]</f>
        <v>1036896</v>
      </c>
      <c r="AN967" s="35">
        <f>VLOOKUP(Tabla4[[#This Row],[SERVICIO 2025]],$J$2:$V$14,6,0)*Tabla4[[#This Row],[TOTAL COBERTURA]]</f>
        <v>861609</v>
      </c>
      <c r="AO967" s="35">
        <f>VLOOKUP(Tabla4[[#This Row],[SERVICIO 2025]],$J$2:$V$14,8,0)*Tabla4[[#This Row],[TOTAL COBERTURA]]</f>
        <v>611100</v>
      </c>
      <c r="AP967" s="35">
        <f>VLOOKUP(Tabla4[[#This Row],[SERVICIO 2025]],$J$2:$V$14,3,0)*Tabla4[[#This Row],[TOTAL COBERTURA]]*8</f>
        <v>43274448</v>
      </c>
      <c r="AQ967" s="35"/>
      <c r="AR967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967" s="35">
        <f>+IF(Tabla4[[#This Row],[AGRUPACIONES]]=1,SUMIFS(Tabla4[VALOR TOTAL],Tabla4[ZONA DEFINITIVO],Tabla4[[#This Row],[ZONA DEFINITIVO]])," ")</f>
        <v>1226045707</v>
      </c>
      <c r="AT967" s="27">
        <f>(VLOOKUP(Tabla4[[#This Row],[SERVICIO 2025]],$J$2:$V$14,3,0)*Tabla4[[#This Row],[TOTAL COBERTURA]])+Tabla4[[#This Row],[VALOR FASE PREPARATORIA DE ALISTAMIENTO]]+Tabla4[[#This Row],[DOTACIÓN ÚNICA]]</f>
        <v>7057302</v>
      </c>
      <c r="AU967" s="35">
        <f>(VLOOKUP(Tabla4[[#This Row],[SERVICIO 2025]],$J$2:$V$14,3,0)*Tabla4[[#This Row],[TOTAL COBERTURA]])</f>
        <v>5409306</v>
      </c>
      <c r="AV967" s="35">
        <f>(VLOOKUP(Tabla4[[#This Row],[SERVICIO 2025]],$J$2:$V$14,3,0)*Tabla4[[#This Row],[TOTAL COBERTURA]])</f>
        <v>5409306</v>
      </c>
      <c r="AW967" s="35">
        <f>(VLOOKUP(Tabla4[[#This Row],[SERVICIO 2025]],$J$2:$V$14,3,0)*Tabla4[[#This Row],[TOTAL COBERTURA]])</f>
        <v>5409306</v>
      </c>
      <c r="AX967" s="35">
        <f>(VLOOKUP(Tabla4[[#This Row],[SERVICIO 2025]],$J$2:$V$14,3,0)*Tabla4[[#This Row],[TOTAL COBERTURA]])</f>
        <v>5409306</v>
      </c>
      <c r="AY967" s="35">
        <f>(VLOOKUP(Tabla4[[#This Row],[SERVICIO 2025]],$J$2:$V$14,3,0)*Tabla4[[#This Row],[TOTAL COBERTURA]])</f>
        <v>5409306</v>
      </c>
      <c r="AZ967" s="35">
        <f>(VLOOKUP(Tabla4[[#This Row],[SERVICIO 2025]],$J$2:$V$14,3,0)*Tabla4[[#This Row],[TOTAL COBERTURA]])</f>
        <v>5409306</v>
      </c>
      <c r="BA967" s="35">
        <f>(VLOOKUP(Tabla4[[#This Row],[SERVICIO 2025]],$J$2:$V$14,3,0)*Tabla4[[#This Row],[TOTAL COBERTURA]])+Tabla4[[#This Row],[VALOR FASE PREPARATORIA DE CIERRE]]</f>
        <v>6270915</v>
      </c>
      <c r="BB967" s="35">
        <f>SUM(Tabla4[[#This Row],[DESEMBOLSO 1]:[DESEMBOLSO 8]])</f>
        <v>45784053</v>
      </c>
      <c r="BC967" s="35"/>
      <c r="BD967" s="47" t="s">
        <v>97</v>
      </c>
      <c r="BE967" s="12" t="b">
        <f>EXACT(Tabla4[[#This Row],[VALOR ATENCIÓN (8 MESES)]],Tabla4[[#This Row],[VALOR TOTAL]])</f>
        <v>1</v>
      </c>
      <c r="BF967" s="23">
        <f>Tabla4[[#This Row],[VALOR ATENCIÓN (8 MESES)]]-Tabla4[[#This Row],[VALOR TOTAL]]</f>
        <v>0</v>
      </c>
      <c r="BG967" s="12" t="b">
        <f>EXACT(Tabla4[[#This Row],[TOTAL DESEMBOLSOS]],Tabla4[[#This Row],[VALOR ATENCIÓN (8 MESES)]])</f>
        <v>1</v>
      </c>
      <c r="BH967" s="29">
        <f>Tabla4[[#This Row],[TOTAL DESEMBOLSOS]]-Tabla4[[#This Row],[VALOR ATENCIÓN (8 MESES)]]</f>
        <v>0</v>
      </c>
      <c r="BI967" t="s">
        <v>98</v>
      </c>
    </row>
    <row r="968" spans="1:61">
      <c r="A968" s="13">
        <v>1988</v>
      </c>
      <c r="B968" s="13" t="s">
        <v>2142</v>
      </c>
      <c r="C968" s="12" t="s">
        <v>87</v>
      </c>
      <c r="D968" s="12" t="s">
        <v>205</v>
      </c>
      <c r="E968" s="12" t="s">
        <v>2143</v>
      </c>
      <c r="F968" s="12" t="s">
        <v>18</v>
      </c>
      <c r="G968" s="12" t="s">
        <v>90</v>
      </c>
      <c r="H968" s="12" t="s">
        <v>2146</v>
      </c>
      <c r="I968" s="12">
        <v>56421116840</v>
      </c>
      <c r="J968" s="12" t="s">
        <v>2147</v>
      </c>
      <c r="K968" s="12">
        <v>1</v>
      </c>
      <c r="L968" s="12">
        <v>12</v>
      </c>
      <c r="M968" s="12"/>
      <c r="N968" s="13">
        <v>1988</v>
      </c>
      <c r="O968" s="12" t="s">
        <v>93</v>
      </c>
      <c r="P968" s="12"/>
      <c r="Q968" s="12"/>
      <c r="R968" s="12" t="s">
        <v>94</v>
      </c>
      <c r="S968" s="12">
        <v>10</v>
      </c>
      <c r="T968" s="12" t="s">
        <v>1363</v>
      </c>
      <c r="U968" s="12" t="s">
        <v>1364</v>
      </c>
      <c r="V968" s="12">
        <f>VLOOKUP(Tabla4[[#This Row],[ZONA DEFINITIVO]],Hoja1!$A$1:$D$121,3,0)</f>
        <v>229145</v>
      </c>
      <c r="W968" s="12">
        <f>VLOOKUP(Tabla4[[#This Row],[ZONA DEFINITIVO]],Hoja1!$A$1:$D$121,2,0)</f>
        <v>15217</v>
      </c>
      <c r="X968" s="12">
        <f>VLOOKUP(Tabla4[[#This Row],[ZONA DEFINITIVO]],Hoja1!$A$1:$D$121,4,0)</f>
        <v>86625</v>
      </c>
      <c r="Y968" s="12" t="str">
        <f>+IF(Tabla4[[#This Row],[AGRUPACIONES]]=1,SUMIFS(Tabla4[UDS],Tabla4[ZONA DEFINITIVO],Tabla4[[#This Row],[ZONA DEFINITIVO]])," ")</f>
        <v xml:space="preserve"> </v>
      </c>
      <c r="Z968" s="12" t="str">
        <f>+IF(Tabla4[[#This Row],[AGRUPACIONES]]=1,SUMIFS(Tabla4[TOTAL COBERTURA],Tabla4[ZONA DEFINITIVO],Tabla4[[#This Row],[ZONA DEFINITIVO]])," ")</f>
        <v xml:space="preserve"> </v>
      </c>
      <c r="AA968" s="12"/>
      <c r="AB968" s="38">
        <v>26162316</v>
      </c>
      <c r="AC968" s="37">
        <v>0.02</v>
      </c>
      <c r="AD968" s="38">
        <f t="shared" si="15"/>
        <v>523246.32</v>
      </c>
      <c r="AE968" s="12"/>
      <c r="AF968" s="12">
        <f>COUNTIF($A$20:A968,A968)</f>
        <v>2</v>
      </c>
      <c r="AG968" s="38">
        <v>26162316</v>
      </c>
      <c r="AH968" s="38">
        <f>Tabla4[[#This Row],[VALOR CONTRAPARTIDA]]+Tabla4[[#This Row],[TOTAL APORTES ICBF]]</f>
        <v>26685562.32</v>
      </c>
      <c r="AI968" s="35"/>
      <c r="AJ968" s="38"/>
      <c r="AK968" s="38"/>
      <c r="AL968" s="23"/>
      <c r="AM968" s="35">
        <f>VLOOKUP(Tabla4[[#This Row],[SERVICIO 2025]],$J$2:$V$14,5,0)*Tabla4[[#This Row],[TOTAL COBERTURA]]</f>
        <v>592512</v>
      </c>
      <c r="AN968" s="35">
        <f>VLOOKUP(Tabla4[[#This Row],[SERVICIO 2025]],$J$2:$V$14,6,0)*Tabla4[[#This Row],[TOTAL COBERTURA]]</f>
        <v>492348</v>
      </c>
      <c r="AO968" s="35">
        <f>VLOOKUP(Tabla4[[#This Row],[SERVICIO 2025]],$J$2:$V$14,8,0)*Tabla4[[#This Row],[TOTAL COBERTURA]]</f>
        <v>349200</v>
      </c>
      <c r="AP968" s="35">
        <f>VLOOKUP(Tabla4[[#This Row],[SERVICIO 2025]],$J$2:$V$14,3,0)*Tabla4[[#This Row],[TOTAL COBERTURA]]*8</f>
        <v>24728256</v>
      </c>
      <c r="AQ968" s="35"/>
      <c r="AR968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968" s="35" t="str">
        <f>+IF(Tabla4[[#This Row],[AGRUPACIONES]]=1,SUMIFS(Tabla4[VALOR TOTAL],Tabla4[ZONA DEFINITIVO],Tabla4[[#This Row],[ZONA DEFINITIVO]])," ")</f>
        <v xml:space="preserve"> </v>
      </c>
      <c r="AT968" s="27">
        <f>(VLOOKUP(Tabla4[[#This Row],[SERVICIO 2025]],$J$2:$V$14,3,0)*Tabla4[[#This Row],[TOTAL COBERTURA]])+Tabla4[[#This Row],[VALOR FASE PREPARATORIA DE ALISTAMIENTO]]+Tabla4[[#This Row],[DOTACIÓN ÚNICA]]</f>
        <v>4032744</v>
      </c>
      <c r="AU968" s="35">
        <f>(VLOOKUP(Tabla4[[#This Row],[SERVICIO 2025]],$J$2:$V$14,3,0)*Tabla4[[#This Row],[TOTAL COBERTURA]])</f>
        <v>3091032</v>
      </c>
      <c r="AV968" s="35">
        <f>(VLOOKUP(Tabla4[[#This Row],[SERVICIO 2025]],$J$2:$V$14,3,0)*Tabla4[[#This Row],[TOTAL COBERTURA]])</f>
        <v>3091032</v>
      </c>
      <c r="AW968" s="35">
        <f>(VLOOKUP(Tabla4[[#This Row],[SERVICIO 2025]],$J$2:$V$14,3,0)*Tabla4[[#This Row],[TOTAL COBERTURA]])</f>
        <v>3091032</v>
      </c>
      <c r="AX968" s="35">
        <f>(VLOOKUP(Tabla4[[#This Row],[SERVICIO 2025]],$J$2:$V$14,3,0)*Tabla4[[#This Row],[TOTAL COBERTURA]])</f>
        <v>3091032</v>
      </c>
      <c r="AY968" s="35">
        <f>(VLOOKUP(Tabla4[[#This Row],[SERVICIO 2025]],$J$2:$V$14,3,0)*Tabla4[[#This Row],[TOTAL COBERTURA]])</f>
        <v>3091032</v>
      </c>
      <c r="AZ968" s="35">
        <f>(VLOOKUP(Tabla4[[#This Row],[SERVICIO 2025]],$J$2:$V$14,3,0)*Tabla4[[#This Row],[TOTAL COBERTURA]])</f>
        <v>3091032</v>
      </c>
      <c r="BA968" s="35">
        <f>(VLOOKUP(Tabla4[[#This Row],[SERVICIO 2025]],$J$2:$V$14,3,0)*Tabla4[[#This Row],[TOTAL COBERTURA]])+Tabla4[[#This Row],[VALOR FASE PREPARATORIA DE CIERRE]]</f>
        <v>3583380</v>
      </c>
      <c r="BB968" s="35">
        <f>SUM(Tabla4[[#This Row],[DESEMBOLSO 1]:[DESEMBOLSO 8]])</f>
        <v>26162316</v>
      </c>
      <c r="BC968" s="35"/>
      <c r="BD968" s="47" t="s">
        <v>97</v>
      </c>
      <c r="BE968" s="12" t="b">
        <f>EXACT(Tabla4[[#This Row],[VALOR ATENCIÓN (8 MESES)]],Tabla4[[#This Row],[VALOR TOTAL]])</f>
        <v>1</v>
      </c>
      <c r="BF968" s="23">
        <f>Tabla4[[#This Row],[VALOR ATENCIÓN (8 MESES)]]-Tabla4[[#This Row],[VALOR TOTAL]]</f>
        <v>0</v>
      </c>
      <c r="BG968" s="12" t="b">
        <f>EXACT(Tabla4[[#This Row],[TOTAL DESEMBOLSOS]],Tabla4[[#This Row],[VALOR ATENCIÓN (8 MESES)]])</f>
        <v>1</v>
      </c>
      <c r="BH968" s="29">
        <f>Tabla4[[#This Row],[TOTAL DESEMBOLSOS]]-Tabla4[[#This Row],[VALOR ATENCIÓN (8 MESES)]]</f>
        <v>0</v>
      </c>
      <c r="BI968" t="s">
        <v>98</v>
      </c>
    </row>
    <row r="969" spans="1:61">
      <c r="A969" s="13">
        <v>1988</v>
      </c>
      <c r="B969" s="13" t="s">
        <v>2142</v>
      </c>
      <c r="C969" s="12" t="s">
        <v>87</v>
      </c>
      <c r="D969" s="12" t="s">
        <v>205</v>
      </c>
      <c r="E969" s="12" t="s">
        <v>2143</v>
      </c>
      <c r="F969" s="12" t="s">
        <v>18</v>
      </c>
      <c r="G969" s="12" t="s">
        <v>90</v>
      </c>
      <c r="H969" s="12" t="s">
        <v>2148</v>
      </c>
      <c r="I969" s="12">
        <v>56421116844</v>
      </c>
      <c r="J969" s="12" t="s">
        <v>2149</v>
      </c>
      <c r="K969" s="12">
        <v>1</v>
      </c>
      <c r="L969" s="12">
        <v>12</v>
      </c>
      <c r="M969" s="12"/>
      <c r="N969" s="13">
        <v>1988</v>
      </c>
      <c r="O969" s="12" t="s">
        <v>93</v>
      </c>
      <c r="P969" s="12"/>
      <c r="Q969" s="12"/>
      <c r="R969" s="12" t="s">
        <v>94</v>
      </c>
      <c r="S969" s="12">
        <v>10</v>
      </c>
      <c r="T969" s="12" t="s">
        <v>1363</v>
      </c>
      <c r="U969" s="12" t="s">
        <v>1364</v>
      </c>
      <c r="V969" s="12">
        <f>VLOOKUP(Tabla4[[#This Row],[ZONA DEFINITIVO]],Hoja1!$A$1:$D$121,3,0)</f>
        <v>229145</v>
      </c>
      <c r="W969" s="12">
        <f>VLOOKUP(Tabla4[[#This Row],[ZONA DEFINITIVO]],Hoja1!$A$1:$D$121,2,0)</f>
        <v>15217</v>
      </c>
      <c r="X969" s="12">
        <f>VLOOKUP(Tabla4[[#This Row],[ZONA DEFINITIVO]],Hoja1!$A$1:$D$121,4,0)</f>
        <v>86625</v>
      </c>
      <c r="Y969" s="12" t="str">
        <f>+IF(Tabla4[[#This Row],[AGRUPACIONES]]=1,SUMIFS(Tabla4[UDS],Tabla4[ZONA DEFINITIVO],Tabla4[[#This Row],[ZONA DEFINITIVO]])," ")</f>
        <v xml:space="preserve"> </v>
      </c>
      <c r="Z969" s="12" t="str">
        <f>+IF(Tabla4[[#This Row],[AGRUPACIONES]]=1,SUMIFS(Tabla4[TOTAL COBERTURA],Tabla4[ZONA DEFINITIVO],Tabla4[[#This Row],[ZONA DEFINITIVO]])," ")</f>
        <v xml:space="preserve"> </v>
      </c>
      <c r="AA969" s="12"/>
      <c r="AB969" s="38">
        <v>26162316</v>
      </c>
      <c r="AC969" s="37">
        <v>0.02</v>
      </c>
      <c r="AD969" s="38">
        <f t="shared" si="15"/>
        <v>523246.32</v>
      </c>
      <c r="AE969" s="12"/>
      <c r="AF969" s="12">
        <f>COUNTIF($A$20:A969,A969)</f>
        <v>3</v>
      </c>
      <c r="AG969" s="38">
        <v>26162316</v>
      </c>
      <c r="AH969" s="38">
        <f>Tabla4[[#This Row],[VALOR CONTRAPARTIDA]]+Tabla4[[#This Row],[TOTAL APORTES ICBF]]</f>
        <v>26685562.32</v>
      </c>
      <c r="AI969" s="35"/>
      <c r="AJ969" s="38"/>
      <c r="AK969" s="38"/>
      <c r="AL969" s="23"/>
      <c r="AM969" s="35">
        <f>VLOOKUP(Tabla4[[#This Row],[SERVICIO 2025]],$J$2:$V$14,5,0)*Tabla4[[#This Row],[TOTAL COBERTURA]]</f>
        <v>592512</v>
      </c>
      <c r="AN969" s="35">
        <f>VLOOKUP(Tabla4[[#This Row],[SERVICIO 2025]],$J$2:$V$14,6,0)*Tabla4[[#This Row],[TOTAL COBERTURA]]</f>
        <v>492348</v>
      </c>
      <c r="AO969" s="35">
        <f>VLOOKUP(Tabla4[[#This Row],[SERVICIO 2025]],$J$2:$V$14,8,0)*Tabla4[[#This Row],[TOTAL COBERTURA]]</f>
        <v>349200</v>
      </c>
      <c r="AP969" s="35">
        <f>VLOOKUP(Tabla4[[#This Row],[SERVICIO 2025]],$J$2:$V$14,3,0)*Tabla4[[#This Row],[TOTAL COBERTURA]]*8</f>
        <v>24728256</v>
      </c>
      <c r="AQ969" s="35"/>
      <c r="AR969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969" s="35" t="str">
        <f>+IF(Tabla4[[#This Row],[AGRUPACIONES]]=1,SUMIFS(Tabla4[VALOR TOTAL],Tabla4[ZONA DEFINITIVO],Tabla4[[#This Row],[ZONA DEFINITIVO]])," ")</f>
        <v xml:space="preserve"> </v>
      </c>
      <c r="AT969" s="27">
        <f>(VLOOKUP(Tabla4[[#This Row],[SERVICIO 2025]],$J$2:$V$14,3,0)*Tabla4[[#This Row],[TOTAL COBERTURA]])+Tabla4[[#This Row],[VALOR FASE PREPARATORIA DE ALISTAMIENTO]]+Tabla4[[#This Row],[DOTACIÓN ÚNICA]]</f>
        <v>4032744</v>
      </c>
      <c r="AU969" s="35">
        <f>(VLOOKUP(Tabla4[[#This Row],[SERVICIO 2025]],$J$2:$V$14,3,0)*Tabla4[[#This Row],[TOTAL COBERTURA]])</f>
        <v>3091032</v>
      </c>
      <c r="AV969" s="35">
        <f>(VLOOKUP(Tabla4[[#This Row],[SERVICIO 2025]],$J$2:$V$14,3,0)*Tabla4[[#This Row],[TOTAL COBERTURA]])</f>
        <v>3091032</v>
      </c>
      <c r="AW969" s="35">
        <f>(VLOOKUP(Tabla4[[#This Row],[SERVICIO 2025]],$J$2:$V$14,3,0)*Tabla4[[#This Row],[TOTAL COBERTURA]])</f>
        <v>3091032</v>
      </c>
      <c r="AX969" s="35">
        <f>(VLOOKUP(Tabla4[[#This Row],[SERVICIO 2025]],$J$2:$V$14,3,0)*Tabla4[[#This Row],[TOTAL COBERTURA]])</f>
        <v>3091032</v>
      </c>
      <c r="AY969" s="35">
        <f>(VLOOKUP(Tabla4[[#This Row],[SERVICIO 2025]],$J$2:$V$14,3,0)*Tabla4[[#This Row],[TOTAL COBERTURA]])</f>
        <v>3091032</v>
      </c>
      <c r="AZ969" s="35">
        <f>(VLOOKUP(Tabla4[[#This Row],[SERVICIO 2025]],$J$2:$V$14,3,0)*Tabla4[[#This Row],[TOTAL COBERTURA]])</f>
        <v>3091032</v>
      </c>
      <c r="BA969" s="35">
        <f>(VLOOKUP(Tabla4[[#This Row],[SERVICIO 2025]],$J$2:$V$14,3,0)*Tabla4[[#This Row],[TOTAL COBERTURA]])+Tabla4[[#This Row],[VALOR FASE PREPARATORIA DE CIERRE]]</f>
        <v>3583380</v>
      </c>
      <c r="BB969" s="35">
        <f>SUM(Tabla4[[#This Row],[DESEMBOLSO 1]:[DESEMBOLSO 8]])</f>
        <v>26162316</v>
      </c>
      <c r="BC969" s="35"/>
      <c r="BD969" s="47" t="s">
        <v>97</v>
      </c>
      <c r="BE969" s="12" t="b">
        <f>EXACT(Tabla4[[#This Row],[VALOR ATENCIÓN (8 MESES)]],Tabla4[[#This Row],[VALOR TOTAL]])</f>
        <v>1</v>
      </c>
      <c r="BF969" s="23">
        <f>Tabla4[[#This Row],[VALOR ATENCIÓN (8 MESES)]]-Tabla4[[#This Row],[VALOR TOTAL]]</f>
        <v>0</v>
      </c>
      <c r="BG969" s="12" t="b">
        <f>EXACT(Tabla4[[#This Row],[TOTAL DESEMBOLSOS]],Tabla4[[#This Row],[VALOR ATENCIÓN (8 MESES)]])</f>
        <v>1</v>
      </c>
      <c r="BH969" s="29">
        <f>Tabla4[[#This Row],[TOTAL DESEMBOLSOS]]-Tabla4[[#This Row],[VALOR ATENCIÓN (8 MESES)]]</f>
        <v>0</v>
      </c>
      <c r="BI969" t="s">
        <v>98</v>
      </c>
    </row>
    <row r="970" spans="1:61">
      <c r="A970" s="13">
        <v>1988</v>
      </c>
      <c r="B970" s="13" t="s">
        <v>2142</v>
      </c>
      <c r="C970" s="12" t="s">
        <v>87</v>
      </c>
      <c r="D970" s="12" t="s">
        <v>205</v>
      </c>
      <c r="E970" s="12" t="s">
        <v>2143</v>
      </c>
      <c r="F970" s="12" t="s">
        <v>18</v>
      </c>
      <c r="G970" s="12" t="s">
        <v>90</v>
      </c>
      <c r="H970" s="12" t="s">
        <v>2150</v>
      </c>
      <c r="I970" s="12">
        <v>56421116845</v>
      </c>
      <c r="J970" s="12" t="s">
        <v>2151</v>
      </c>
      <c r="K970" s="12">
        <v>1</v>
      </c>
      <c r="L970" s="12">
        <v>23</v>
      </c>
      <c r="M970" s="12"/>
      <c r="N970" s="13">
        <v>1988</v>
      </c>
      <c r="O970" s="12" t="s">
        <v>93</v>
      </c>
      <c r="P970" s="12"/>
      <c r="Q970" s="12"/>
      <c r="R970" s="12" t="s">
        <v>94</v>
      </c>
      <c r="S970" s="12">
        <v>10</v>
      </c>
      <c r="T970" s="12" t="s">
        <v>1363</v>
      </c>
      <c r="U970" s="12" t="s">
        <v>1364</v>
      </c>
      <c r="V970" s="12">
        <f>VLOOKUP(Tabla4[[#This Row],[ZONA DEFINITIVO]],Hoja1!$A$1:$D$121,3,0)</f>
        <v>229145</v>
      </c>
      <c r="W970" s="12">
        <f>VLOOKUP(Tabla4[[#This Row],[ZONA DEFINITIVO]],Hoja1!$A$1:$D$121,2,0)</f>
        <v>15217</v>
      </c>
      <c r="X970" s="12">
        <f>VLOOKUP(Tabla4[[#This Row],[ZONA DEFINITIVO]],Hoja1!$A$1:$D$121,4,0)</f>
        <v>86625</v>
      </c>
      <c r="Y970" s="12" t="str">
        <f>+IF(Tabla4[[#This Row],[AGRUPACIONES]]=1,SUMIFS(Tabla4[UDS],Tabla4[ZONA DEFINITIVO],Tabla4[[#This Row],[ZONA DEFINITIVO]])," ")</f>
        <v xml:space="preserve"> </v>
      </c>
      <c r="Z970" s="12" t="str">
        <f>+IF(Tabla4[[#This Row],[AGRUPACIONES]]=1,SUMIFS(Tabla4[TOTAL COBERTURA],Tabla4[ZONA DEFINITIVO],Tabla4[[#This Row],[ZONA DEFINITIVO]])," ")</f>
        <v xml:space="preserve"> </v>
      </c>
      <c r="AA970" s="12"/>
      <c r="AB970" s="38">
        <v>50144439</v>
      </c>
      <c r="AC970" s="37">
        <v>0.02</v>
      </c>
      <c r="AD970" s="38">
        <f t="shared" si="15"/>
        <v>1002888.78</v>
      </c>
      <c r="AE970" s="12"/>
      <c r="AF970" s="12">
        <f>COUNTIF($A$20:A970,A970)</f>
        <v>4</v>
      </c>
      <c r="AG970" s="38">
        <v>50144439</v>
      </c>
      <c r="AH970" s="38">
        <f>Tabla4[[#This Row],[VALOR CONTRAPARTIDA]]+Tabla4[[#This Row],[TOTAL APORTES ICBF]]</f>
        <v>51147327.780000001</v>
      </c>
      <c r="AI970" s="35"/>
      <c r="AJ970" s="38"/>
      <c r="AK970" s="38"/>
      <c r="AL970" s="23"/>
      <c r="AM970" s="35">
        <f>VLOOKUP(Tabla4[[#This Row],[SERVICIO 2025]],$J$2:$V$14,5,0)*Tabla4[[#This Row],[TOTAL COBERTURA]]</f>
        <v>1135648</v>
      </c>
      <c r="AN970" s="35">
        <f>VLOOKUP(Tabla4[[#This Row],[SERVICIO 2025]],$J$2:$V$14,6,0)*Tabla4[[#This Row],[TOTAL COBERTURA]]</f>
        <v>943667</v>
      </c>
      <c r="AO970" s="35">
        <f>VLOOKUP(Tabla4[[#This Row],[SERVICIO 2025]],$J$2:$V$14,8,0)*Tabla4[[#This Row],[TOTAL COBERTURA]]</f>
        <v>669300</v>
      </c>
      <c r="AP970" s="35">
        <f>VLOOKUP(Tabla4[[#This Row],[SERVICIO 2025]],$J$2:$V$14,3,0)*Tabla4[[#This Row],[TOTAL COBERTURA]]*8</f>
        <v>47395824</v>
      </c>
      <c r="AQ970" s="35"/>
      <c r="AR970" s="35">
        <f>Tabla4[[#This Row],[VALOR FASE PREPARATORIA DE ALISTAMIENTO]]+Tabla4[[#This Row],[VALOR FASE PREPARATORIA DE CIERRE]]+Tabla4[[#This Row],[DOTACIÓN ÚNICA]]+Tabla4[[#This Row],[VALOR ATENCIÓN]]+Tabla4[[#This Row],[VALOR RACION PREPARADA]]</f>
        <v>50144439</v>
      </c>
      <c r="AS970" s="35" t="str">
        <f>+IF(Tabla4[[#This Row],[AGRUPACIONES]]=1,SUMIFS(Tabla4[VALOR TOTAL],Tabla4[ZONA DEFINITIVO],Tabla4[[#This Row],[ZONA DEFINITIVO]])," ")</f>
        <v xml:space="preserve"> </v>
      </c>
      <c r="AT970" s="27">
        <f>(VLOOKUP(Tabla4[[#This Row],[SERVICIO 2025]],$J$2:$V$14,3,0)*Tabla4[[#This Row],[TOTAL COBERTURA]])+Tabla4[[#This Row],[VALOR FASE PREPARATORIA DE ALISTAMIENTO]]+Tabla4[[#This Row],[DOTACIÓN ÚNICA]]</f>
        <v>7729426</v>
      </c>
      <c r="AU970" s="35">
        <f>(VLOOKUP(Tabla4[[#This Row],[SERVICIO 2025]],$J$2:$V$14,3,0)*Tabla4[[#This Row],[TOTAL COBERTURA]])</f>
        <v>5924478</v>
      </c>
      <c r="AV970" s="35">
        <f>(VLOOKUP(Tabla4[[#This Row],[SERVICIO 2025]],$J$2:$V$14,3,0)*Tabla4[[#This Row],[TOTAL COBERTURA]])</f>
        <v>5924478</v>
      </c>
      <c r="AW970" s="35">
        <f>(VLOOKUP(Tabla4[[#This Row],[SERVICIO 2025]],$J$2:$V$14,3,0)*Tabla4[[#This Row],[TOTAL COBERTURA]])</f>
        <v>5924478</v>
      </c>
      <c r="AX970" s="35">
        <f>(VLOOKUP(Tabla4[[#This Row],[SERVICIO 2025]],$J$2:$V$14,3,0)*Tabla4[[#This Row],[TOTAL COBERTURA]])</f>
        <v>5924478</v>
      </c>
      <c r="AY970" s="35">
        <f>(VLOOKUP(Tabla4[[#This Row],[SERVICIO 2025]],$J$2:$V$14,3,0)*Tabla4[[#This Row],[TOTAL COBERTURA]])</f>
        <v>5924478</v>
      </c>
      <c r="AZ970" s="35">
        <f>(VLOOKUP(Tabla4[[#This Row],[SERVICIO 2025]],$J$2:$V$14,3,0)*Tabla4[[#This Row],[TOTAL COBERTURA]])</f>
        <v>5924478</v>
      </c>
      <c r="BA970" s="35">
        <f>(VLOOKUP(Tabla4[[#This Row],[SERVICIO 2025]],$J$2:$V$14,3,0)*Tabla4[[#This Row],[TOTAL COBERTURA]])+Tabla4[[#This Row],[VALOR FASE PREPARATORIA DE CIERRE]]</f>
        <v>6868145</v>
      </c>
      <c r="BB970" s="35">
        <f>SUM(Tabla4[[#This Row],[DESEMBOLSO 1]:[DESEMBOLSO 8]])</f>
        <v>50144439</v>
      </c>
      <c r="BC970" s="35"/>
      <c r="BD970" s="47" t="s">
        <v>97</v>
      </c>
      <c r="BE970" s="12" t="b">
        <f>EXACT(Tabla4[[#This Row],[VALOR ATENCIÓN (8 MESES)]],Tabla4[[#This Row],[VALOR TOTAL]])</f>
        <v>1</v>
      </c>
      <c r="BF970" s="23">
        <f>Tabla4[[#This Row],[VALOR ATENCIÓN (8 MESES)]]-Tabla4[[#This Row],[VALOR TOTAL]]</f>
        <v>0</v>
      </c>
      <c r="BG970" s="12" t="b">
        <f>EXACT(Tabla4[[#This Row],[TOTAL DESEMBOLSOS]],Tabla4[[#This Row],[VALOR ATENCIÓN (8 MESES)]])</f>
        <v>1</v>
      </c>
      <c r="BH970" s="29">
        <f>Tabla4[[#This Row],[TOTAL DESEMBOLSOS]]-Tabla4[[#This Row],[VALOR ATENCIÓN (8 MESES)]]</f>
        <v>0</v>
      </c>
      <c r="BI970" t="s">
        <v>98</v>
      </c>
    </row>
    <row r="971" spans="1:61">
      <c r="A971" s="13">
        <v>1988</v>
      </c>
      <c r="B971" s="13" t="s">
        <v>2142</v>
      </c>
      <c r="C971" s="12" t="s">
        <v>87</v>
      </c>
      <c r="D971" s="12" t="s">
        <v>205</v>
      </c>
      <c r="E971" s="12" t="s">
        <v>2143</v>
      </c>
      <c r="F971" s="12" t="s">
        <v>18</v>
      </c>
      <c r="G971" s="12" t="s">
        <v>90</v>
      </c>
      <c r="H971" s="12" t="s">
        <v>2152</v>
      </c>
      <c r="I971" s="12">
        <v>56421136172</v>
      </c>
      <c r="J971" s="12" t="s">
        <v>2153</v>
      </c>
      <c r="K971" s="12">
        <v>1</v>
      </c>
      <c r="L971" s="12">
        <v>14</v>
      </c>
      <c r="M971" s="12"/>
      <c r="N971" s="13">
        <v>1988</v>
      </c>
      <c r="O971" s="12" t="s">
        <v>93</v>
      </c>
      <c r="P971" s="12"/>
      <c r="Q971" s="12"/>
      <c r="R971" s="12" t="s">
        <v>94</v>
      </c>
      <c r="S971" s="12">
        <v>10</v>
      </c>
      <c r="T971" s="12" t="s">
        <v>1363</v>
      </c>
      <c r="U971" s="12" t="s">
        <v>1364</v>
      </c>
      <c r="V971" s="12">
        <f>VLOOKUP(Tabla4[[#This Row],[ZONA DEFINITIVO]],Hoja1!$A$1:$D$121,3,0)</f>
        <v>229145</v>
      </c>
      <c r="W971" s="12">
        <f>VLOOKUP(Tabla4[[#This Row],[ZONA DEFINITIVO]],Hoja1!$A$1:$D$121,2,0)</f>
        <v>15217</v>
      </c>
      <c r="X971" s="12">
        <f>VLOOKUP(Tabla4[[#This Row],[ZONA DEFINITIVO]],Hoja1!$A$1:$D$121,4,0)</f>
        <v>86625</v>
      </c>
      <c r="Y971" s="12" t="str">
        <f>+IF(Tabla4[[#This Row],[AGRUPACIONES]]=1,SUMIFS(Tabla4[UDS],Tabla4[ZONA DEFINITIVO],Tabla4[[#This Row],[ZONA DEFINITIVO]])," ")</f>
        <v xml:space="preserve"> </v>
      </c>
      <c r="Z971" s="12" t="str">
        <f>+IF(Tabla4[[#This Row],[AGRUPACIONES]]=1,SUMIFS(Tabla4[TOTAL COBERTURA],Tabla4[ZONA DEFINITIVO],Tabla4[[#This Row],[ZONA DEFINITIVO]])," ")</f>
        <v xml:space="preserve"> </v>
      </c>
      <c r="AA971" s="12"/>
      <c r="AB971" s="38">
        <v>30522702</v>
      </c>
      <c r="AC971" s="37">
        <v>0.02</v>
      </c>
      <c r="AD971" s="38">
        <f t="shared" si="15"/>
        <v>610454.04</v>
      </c>
      <c r="AE971" s="12"/>
      <c r="AF971" s="12">
        <f>COUNTIF($A$20:A971,A971)</f>
        <v>5</v>
      </c>
      <c r="AG971" s="38">
        <v>30522702</v>
      </c>
      <c r="AH971" s="38">
        <f>Tabla4[[#This Row],[VALOR CONTRAPARTIDA]]+Tabla4[[#This Row],[TOTAL APORTES ICBF]]</f>
        <v>31133156.039999999</v>
      </c>
      <c r="AI971" s="35"/>
      <c r="AJ971" s="38"/>
      <c r="AK971" s="38"/>
      <c r="AL971" s="23"/>
      <c r="AM971" s="35">
        <f>VLOOKUP(Tabla4[[#This Row],[SERVICIO 2025]],$J$2:$V$14,5,0)*Tabla4[[#This Row],[TOTAL COBERTURA]]</f>
        <v>691264</v>
      </c>
      <c r="AN971" s="35">
        <f>VLOOKUP(Tabla4[[#This Row],[SERVICIO 2025]],$J$2:$V$14,6,0)*Tabla4[[#This Row],[TOTAL COBERTURA]]</f>
        <v>574406</v>
      </c>
      <c r="AO971" s="35">
        <f>VLOOKUP(Tabla4[[#This Row],[SERVICIO 2025]],$J$2:$V$14,8,0)*Tabla4[[#This Row],[TOTAL COBERTURA]]</f>
        <v>407400</v>
      </c>
      <c r="AP971" s="35">
        <f>VLOOKUP(Tabla4[[#This Row],[SERVICIO 2025]],$J$2:$V$14,3,0)*Tabla4[[#This Row],[TOTAL COBERTURA]]*8</f>
        <v>28849632</v>
      </c>
      <c r="AQ971" s="35"/>
      <c r="AR971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971" s="35" t="str">
        <f>+IF(Tabla4[[#This Row],[AGRUPACIONES]]=1,SUMIFS(Tabla4[VALOR TOTAL],Tabla4[ZONA DEFINITIVO],Tabla4[[#This Row],[ZONA DEFINITIVO]])," ")</f>
        <v xml:space="preserve"> </v>
      </c>
      <c r="AT971" s="27">
        <f>(VLOOKUP(Tabla4[[#This Row],[SERVICIO 2025]],$J$2:$V$14,3,0)*Tabla4[[#This Row],[TOTAL COBERTURA]])+Tabla4[[#This Row],[VALOR FASE PREPARATORIA DE ALISTAMIENTO]]+Tabla4[[#This Row],[DOTACIÓN ÚNICA]]</f>
        <v>4704868</v>
      </c>
      <c r="AU971" s="35">
        <f>(VLOOKUP(Tabla4[[#This Row],[SERVICIO 2025]],$J$2:$V$14,3,0)*Tabla4[[#This Row],[TOTAL COBERTURA]])</f>
        <v>3606204</v>
      </c>
      <c r="AV971" s="35">
        <f>(VLOOKUP(Tabla4[[#This Row],[SERVICIO 2025]],$J$2:$V$14,3,0)*Tabla4[[#This Row],[TOTAL COBERTURA]])</f>
        <v>3606204</v>
      </c>
      <c r="AW971" s="35">
        <f>(VLOOKUP(Tabla4[[#This Row],[SERVICIO 2025]],$J$2:$V$14,3,0)*Tabla4[[#This Row],[TOTAL COBERTURA]])</f>
        <v>3606204</v>
      </c>
      <c r="AX971" s="35">
        <f>(VLOOKUP(Tabla4[[#This Row],[SERVICIO 2025]],$J$2:$V$14,3,0)*Tabla4[[#This Row],[TOTAL COBERTURA]])</f>
        <v>3606204</v>
      </c>
      <c r="AY971" s="35">
        <f>(VLOOKUP(Tabla4[[#This Row],[SERVICIO 2025]],$J$2:$V$14,3,0)*Tabla4[[#This Row],[TOTAL COBERTURA]])</f>
        <v>3606204</v>
      </c>
      <c r="AZ971" s="35">
        <f>(VLOOKUP(Tabla4[[#This Row],[SERVICIO 2025]],$J$2:$V$14,3,0)*Tabla4[[#This Row],[TOTAL COBERTURA]])</f>
        <v>3606204</v>
      </c>
      <c r="BA971" s="35">
        <f>(VLOOKUP(Tabla4[[#This Row],[SERVICIO 2025]],$J$2:$V$14,3,0)*Tabla4[[#This Row],[TOTAL COBERTURA]])+Tabla4[[#This Row],[VALOR FASE PREPARATORIA DE CIERRE]]</f>
        <v>4180610</v>
      </c>
      <c r="BB971" s="35">
        <f>SUM(Tabla4[[#This Row],[DESEMBOLSO 1]:[DESEMBOLSO 8]])</f>
        <v>30522702</v>
      </c>
      <c r="BC971" s="35"/>
      <c r="BD971" s="47" t="s">
        <v>97</v>
      </c>
      <c r="BE971" s="12" t="b">
        <f>EXACT(Tabla4[[#This Row],[VALOR ATENCIÓN (8 MESES)]],Tabla4[[#This Row],[VALOR TOTAL]])</f>
        <v>1</v>
      </c>
      <c r="BF971" s="23">
        <f>Tabla4[[#This Row],[VALOR ATENCIÓN (8 MESES)]]-Tabla4[[#This Row],[VALOR TOTAL]]</f>
        <v>0</v>
      </c>
      <c r="BG971" s="12" t="b">
        <f>EXACT(Tabla4[[#This Row],[TOTAL DESEMBOLSOS]],Tabla4[[#This Row],[VALOR ATENCIÓN (8 MESES)]])</f>
        <v>1</v>
      </c>
      <c r="BH971" s="29">
        <f>Tabla4[[#This Row],[TOTAL DESEMBOLSOS]]-Tabla4[[#This Row],[VALOR ATENCIÓN (8 MESES)]]</f>
        <v>0</v>
      </c>
      <c r="BI971" t="s">
        <v>98</v>
      </c>
    </row>
    <row r="972" spans="1:61">
      <c r="A972" s="13">
        <v>1988</v>
      </c>
      <c r="B972" s="13" t="s">
        <v>2142</v>
      </c>
      <c r="C972" s="12" t="s">
        <v>87</v>
      </c>
      <c r="D972" s="12" t="s">
        <v>205</v>
      </c>
      <c r="E972" s="12" t="s">
        <v>2143</v>
      </c>
      <c r="F972" s="12" t="s">
        <v>18</v>
      </c>
      <c r="G972" s="12" t="s">
        <v>90</v>
      </c>
      <c r="H972" s="12" t="s">
        <v>2154</v>
      </c>
      <c r="I972" s="12">
        <v>56421136177</v>
      </c>
      <c r="J972" s="12" t="s">
        <v>2155</v>
      </c>
      <c r="K972" s="12">
        <v>1</v>
      </c>
      <c r="L972" s="12">
        <v>20</v>
      </c>
      <c r="M972" s="12"/>
      <c r="N972" s="13">
        <v>1988</v>
      </c>
      <c r="O972" s="12" t="s">
        <v>93</v>
      </c>
      <c r="P972" s="12"/>
      <c r="Q972" s="12"/>
      <c r="R972" s="12" t="s">
        <v>94</v>
      </c>
      <c r="S972" s="12">
        <v>10</v>
      </c>
      <c r="T972" s="12" t="s">
        <v>1363</v>
      </c>
      <c r="U972" s="12" t="s">
        <v>1364</v>
      </c>
      <c r="V972" s="12">
        <f>VLOOKUP(Tabla4[[#This Row],[ZONA DEFINITIVO]],Hoja1!$A$1:$D$121,3,0)</f>
        <v>229145</v>
      </c>
      <c r="W972" s="12">
        <f>VLOOKUP(Tabla4[[#This Row],[ZONA DEFINITIVO]],Hoja1!$A$1:$D$121,2,0)</f>
        <v>15217</v>
      </c>
      <c r="X972" s="12">
        <f>VLOOKUP(Tabla4[[#This Row],[ZONA DEFINITIVO]],Hoja1!$A$1:$D$121,4,0)</f>
        <v>86625</v>
      </c>
      <c r="Y972" s="12" t="str">
        <f>+IF(Tabla4[[#This Row],[AGRUPACIONES]]=1,SUMIFS(Tabla4[UDS],Tabla4[ZONA DEFINITIVO],Tabla4[[#This Row],[ZONA DEFINITIVO]])," ")</f>
        <v xml:space="preserve"> </v>
      </c>
      <c r="Z972" s="12" t="str">
        <f>+IF(Tabla4[[#This Row],[AGRUPACIONES]]=1,SUMIFS(Tabla4[TOTAL COBERTURA],Tabla4[ZONA DEFINITIVO],Tabla4[[#This Row],[ZONA DEFINITIVO]])," ")</f>
        <v xml:space="preserve"> </v>
      </c>
      <c r="AA972" s="12"/>
      <c r="AB972" s="38">
        <v>43603860</v>
      </c>
      <c r="AC972" s="37">
        <v>0.02</v>
      </c>
      <c r="AD972" s="38">
        <f t="shared" si="15"/>
        <v>872077.20000000007</v>
      </c>
      <c r="AE972" s="12"/>
      <c r="AF972" s="12">
        <f>COUNTIF($A$20:A972,A972)</f>
        <v>6</v>
      </c>
      <c r="AG972" s="38">
        <v>43603860</v>
      </c>
      <c r="AH972" s="38">
        <f>Tabla4[[#This Row],[VALOR CONTRAPARTIDA]]+Tabla4[[#This Row],[TOTAL APORTES ICBF]]</f>
        <v>44475937.200000003</v>
      </c>
      <c r="AI972" s="35"/>
      <c r="AJ972" s="38"/>
      <c r="AK972" s="38"/>
      <c r="AL972" s="23"/>
      <c r="AM972" s="35">
        <f>VLOOKUP(Tabla4[[#This Row],[SERVICIO 2025]],$J$2:$V$14,5,0)*Tabla4[[#This Row],[TOTAL COBERTURA]]</f>
        <v>987520</v>
      </c>
      <c r="AN972" s="35">
        <f>VLOOKUP(Tabla4[[#This Row],[SERVICIO 2025]],$J$2:$V$14,6,0)*Tabla4[[#This Row],[TOTAL COBERTURA]]</f>
        <v>820580</v>
      </c>
      <c r="AO972" s="35">
        <f>VLOOKUP(Tabla4[[#This Row],[SERVICIO 2025]],$J$2:$V$14,8,0)*Tabla4[[#This Row],[TOTAL COBERTURA]]</f>
        <v>582000</v>
      </c>
      <c r="AP972" s="35">
        <f>VLOOKUP(Tabla4[[#This Row],[SERVICIO 2025]],$J$2:$V$14,3,0)*Tabla4[[#This Row],[TOTAL COBERTURA]]*8</f>
        <v>41213760</v>
      </c>
      <c r="AQ972" s="35"/>
      <c r="AR972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972" s="35" t="str">
        <f>+IF(Tabla4[[#This Row],[AGRUPACIONES]]=1,SUMIFS(Tabla4[VALOR TOTAL],Tabla4[ZONA DEFINITIVO],Tabla4[[#This Row],[ZONA DEFINITIVO]])," ")</f>
        <v xml:space="preserve"> </v>
      </c>
      <c r="AT972" s="27">
        <f>(VLOOKUP(Tabla4[[#This Row],[SERVICIO 2025]],$J$2:$V$14,3,0)*Tabla4[[#This Row],[TOTAL COBERTURA]])+Tabla4[[#This Row],[VALOR FASE PREPARATORIA DE ALISTAMIENTO]]+Tabla4[[#This Row],[DOTACIÓN ÚNICA]]</f>
        <v>6721240</v>
      </c>
      <c r="AU972" s="35">
        <f>(VLOOKUP(Tabla4[[#This Row],[SERVICIO 2025]],$J$2:$V$14,3,0)*Tabla4[[#This Row],[TOTAL COBERTURA]])</f>
        <v>5151720</v>
      </c>
      <c r="AV972" s="35">
        <f>(VLOOKUP(Tabla4[[#This Row],[SERVICIO 2025]],$J$2:$V$14,3,0)*Tabla4[[#This Row],[TOTAL COBERTURA]])</f>
        <v>5151720</v>
      </c>
      <c r="AW972" s="35">
        <f>(VLOOKUP(Tabla4[[#This Row],[SERVICIO 2025]],$J$2:$V$14,3,0)*Tabla4[[#This Row],[TOTAL COBERTURA]])</f>
        <v>5151720</v>
      </c>
      <c r="AX972" s="35">
        <f>(VLOOKUP(Tabla4[[#This Row],[SERVICIO 2025]],$J$2:$V$14,3,0)*Tabla4[[#This Row],[TOTAL COBERTURA]])</f>
        <v>5151720</v>
      </c>
      <c r="AY972" s="35">
        <f>(VLOOKUP(Tabla4[[#This Row],[SERVICIO 2025]],$J$2:$V$14,3,0)*Tabla4[[#This Row],[TOTAL COBERTURA]])</f>
        <v>5151720</v>
      </c>
      <c r="AZ972" s="35">
        <f>(VLOOKUP(Tabla4[[#This Row],[SERVICIO 2025]],$J$2:$V$14,3,0)*Tabla4[[#This Row],[TOTAL COBERTURA]])</f>
        <v>5151720</v>
      </c>
      <c r="BA972" s="35">
        <f>(VLOOKUP(Tabla4[[#This Row],[SERVICIO 2025]],$J$2:$V$14,3,0)*Tabla4[[#This Row],[TOTAL COBERTURA]])+Tabla4[[#This Row],[VALOR FASE PREPARATORIA DE CIERRE]]</f>
        <v>5972300</v>
      </c>
      <c r="BB972" s="35">
        <f>SUM(Tabla4[[#This Row],[DESEMBOLSO 1]:[DESEMBOLSO 8]])</f>
        <v>43603860</v>
      </c>
      <c r="BC972" s="35"/>
      <c r="BD972" s="47" t="s">
        <v>97</v>
      </c>
      <c r="BE972" s="12" t="b">
        <f>EXACT(Tabla4[[#This Row],[VALOR ATENCIÓN (8 MESES)]],Tabla4[[#This Row],[VALOR TOTAL]])</f>
        <v>1</v>
      </c>
      <c r="BF972" s="23">
        <f>Tabla4[[#This Row],[VALOR ATENCIÓN (8 MESES)]]-Tabla4[[#This Row],[VALOR TOTAL]]</f>
        <v>0</v>
      </c>
      <c r="BG972" s="12" t="b">
        <f>EXACT(Tabla4[[#This Row],[TOTAL DESEMBOLSOS]],Tabla4[[#This Row],[VALOR ATENCIÓN (8 MESES)]])</f>
        <v>1</v>
      </c>
      <c r="BH972" s="29">
        <f>Tabla4[[#This Row],[TOTAL DESEMBOLSOS]]-Tabla4[[#This Row],[VALOR ATENCIÓN (8 MESES)]]</f>
        <v>0</v>
      </c>
      <c r="BI972" t="s">
        <v>98</v>
      </c>
    </row>
    <row r="973" spans="1:61">
      <c r="A973" s="13">
        <v>1988</v>
      </c>
      <c r="B973" s="13" t="s">
        <v>2142</v>
      </c>
      <c r="C973" s="12" t="s">
        <v>87</v>
      </c>
      <c r="D973" s="12" t="s">
        <v>205</v>
      </c>
      <c r="E973" s="12" t="s">
        <v>2143</v>
      </c>
      <c r="F973" s="12" t="s">
        <v>19</v>
      </c>
      <c r="G973" s="12" t="s">
        <v>90</v>
      </c>
      <c r="H973" s="12" t="s">
        <v>2156</v>
      </c>
      <c r="I973" s="12">
        <v>56421136182</v>
      </c>
      <c r="J973" s="12" t="s">
        <v>2157</v>
      </c>
      <c r="K973" s="12">
        <v>1</v>
      </c>
      <c r="L973" s="12">
        <v>9</v>
      </c>
      <c r="M973" s="12"/>
      <c r="N973" s="13">
        <v>1988</v>
      </c>
      <c r="O973" s="12" t="s">
        <v>93</v>
      </c>
      <c r="P973" s="12"/>
      <c r="Q973" s="12"/>
      <c r="R973" s="12" t="s">
        <v>94</v>
      </c>
      <c r="S973" s="12">
        <v>10</v>
      </c>
      <c r="T973" s="12" t="s">
        <v>1363</v>
      </c>
      <c r="U973" s="12" t="s">
        <v>1364</v>
      </c>
      <c r="V973" s="12">
        <f>VLOOKUP(Tabla4[[#This Row],[ZONA DEFINITIVO]],Hoja1!$A$1:$D$121,3,0)</f>
        <v>229145</v>
      </c>
      <c r="W973" s="12">
        <f>VLOOKUP(Tabla4[[#This Row],[ZONA DEFINITIVO]],Hoja1!$A$1:$D$121,2,0)</f>
        <v>15217</v>
      </c>
      <c r="X973" s="12">
        <f>VLOOKUP(Tabla4[[#This Row],[ZONA DEFINITIVO]],Hoja1!$A$1:$D$121,4,0)</f>
        <v>86625</v>
      </c>
      <c r="Y973" s="12" t="str">
        <f>+IF(Tabla4[[#This Row],[AGRUPACIONES]]=1,SUMIFS(Tabla4[UDS],Tabla4[ZONA DEFINITIVO],Tabla4[[#This Row],[ZONA DEFINITIVO]])," ")</f>
        <v xml:space="preserve"> </v>
      </c>
      <c r="Z973" s="12" t="str">
        <f>+IF(Tabla4[[#This Row],[AGRUPACIONES]]=1,SUMIFS(Tabla4[TOTAL COBERTURA],Tabla4[ZONA DEFINITIVO],Tabla4[[#This Row],[ZONA DEFINITIVO]])," ")</f>
        <v xml:space="preserve"> </v>
      </c>
      <c r="AA973" s="12"/>
      <c r="AB973" s="38">
        <v>20260359</v>
      </c>
      <c r="AC973" s="37">
        <v>0.02</v>
      </c>
      <c r="AD973" s="38">
        <f t="shared" si="15"/>
        <v>405207.18</v>
      </c>
      <c r="AE973" s="12"/>
      <c r="AF973" s="12">
        <f>COUNTIF($A$20:A973,A973)</f>
        <v>7</v>
      </c>
      <c r="AG973" s="38">
        <v>20260359</v>
      </c>
      <c r="AH973" s="38">
        <f>Tabla4[[#This Row],[VALOR CONTRAPARTIDA]]+Tabla4[[#This Row],[TOTAL APORTES ICBF]]</f>
        <v>20665566.18</v>
      </c>
      <c r="AI973" s="35"/>
      <c r="AJ973" s="38"/>
      <c r="AK973" s="38"/>
      <c r="AL973" s="23"/>
      <c r="AM973" s="35">
        <f>VLOOKUP(Tabla4[[#This Row],[SERVICIO 2025]],$J$2:$V$14,5,0)*Tabla4[[#This Row],[TOTAL COBERTURA]]</f>
        <v>463167</v>
      </c>
      <c r="AN973" s="35">
        <f>VLOOKUP(Tabla4[[#This Row],[SERVICIO 2025]],$J$2:$V$14,6,0)*Tabla4[[#This Row],[TOTAL COBERTURA]]</f>
        <v>388044</v>
      </c>
      <c r="AO973" s="35">
        <f>VLOOKUP(Tabla4[[#This Row],[SERVICIO 2025]],$J$2:$V$14,8,0)*Tabla4[[#This Row],[TOTAL COBERTURA]]</f>
        <v>261900</v>
      </c>
      <c r="AP973" s="35">
        <f>VLOOKUP(Tabla4[[#This Row],[SERVICIO 2025]],$J$2:$V$14,3,0)*Tabla4[[#This Row],[TOTAL COBERTURA]]*8</f>
        <v>19147248</v>
      </c>
      <c r="AQ973" s="35"/>
      <c r="AR973" s="35">
        <f>Tabla4[[#This Row],[VALOR FASE PREPARATORIA DE ALISTAMIENTO]]+Tabla4[[#This Row],[VALOR FASE PREPARATORIA DE CIERRE]]+Tabla4[[#This Row],[DOTACIÓN ÚNICA]]+Tabla4[[#This Row],[VALOR ATENCIÓN]]+Tabla4[[#This Row],[VALOR RACION PREPARADA]]</f>
        <v>20260359</v>
      </c>
      <c r="AS973" s="35" t="str">
        <f>+IF(Tabla4[[#This Row],[AGRUPACIONES]]=1,SUMIFS(Tabla4[VALOR TOTAL],Tabla4[ZONA DEFINITIVO],Tabla4[[#This Row],[ZONA DEFINITIVO]])," ")</f>
        <v xml:space="preserve"> </v>
      </c>
      <c r="AT973" s="27">
        <f>(VLOOKUP(Tabla4[[#This Row],[SERVICIO 2025]],$J$2:$V$14,3,0)*Tabla4[[#This Row],[TOTAL COBERTURA]])+Tabla4[[#This Row],[VALOR FASE PREPARATORIA DE ALISTAMIENTO]]+Tabla4[[#This Row],[DOTACIÓN ÚNICA]]</f>
        <v>3118473</v>
      </c>
      <c r="AU973" s="35">
        <f>(VLOOKUP(Tabla4[[#This Row],[SERVICIO 2025]],$J$2:$V$14,3,0)*Tabla4[[#This Row],[TOTAL COBERTURA]])</f>
        <v>2393406</v>
      </c>
      <c r="AV973" s="35">
        <f>(VLOOKUP(Tabla4[[#This Row],[SERVICIO 2025]],$J$2:$V$14,3,0)*Tabla4[[#This Row],[TOTAL COBERTURA]])</f>
        <v>2393406</v>
      </c>
      <c r="AW973" s="35">
        <f>(VLOOKUP(Tabla4[[#This Row],[SERVICIO 2025]],$J$2:$V$14,3,0)*Tabla4[[#This Row],[TOTAL COBERTURA]])</f>
        <v>2393406</v>
      </c>
      <c r="AX973" s="35">
        <f>(VLOOKUP(Tabla4[[#This Row],[SERVICIO 2025]],$J$2:$V$14,3,0)*Tabla4[[#This Row],[TOTAL COBERTURA]])</f>
        <v>2393406</v>
      </c>
      <c r="AY973" s="35">
        <f>(VLOOKUP(Tabla4[[#This Row],[SERVICIO 2025]],$J$2:$V$14,3,0)*Tabla4[[#This Row],[TOTAL COBERTURA]])</f>
        <v>2393406</v>
      </c>
      <c r="AZ973" s="35">
        <f>(VLOOKUP(Tabla4[[#This Row],[SERVICIO 2025]],$J$2:$V$14,3,0)*Tabla4[[#This Row],[TOTAL COBERTURA]])</f>
        <v>2393406</v>
      </c>
      <c r="BA973" s="35">
        <f>(VLOOKUP(Tabla4[[#This Row],[SERVICIO 2025]],$J$2:$V$14,3,0)*Tabla4[[#This Row],[TOTAL COBERTURA]])+Tabla4[[#This Row],[VALOR FASE PREPARATORIA DE CIERRE]]</f>
        <v>2781450</v>
      </c>
      <c r="BB973" s="35">
        <f>SUM(Tabla4[[#This Row],[DESEMBOLSO 1]:[DESEMBOLSO 8]])</f>
        <v>20260359</v>
      </c>
      <c r="BC973" s="35"/>
      <c r="BD973" s="47" t="s">
        <v>97</v>
      </c>
      <c r="BE973" s="12" t="b">
        <f>EXACT(Tabla4[[#This Row],[VALOR ATENCIÓN (8 MESES)]],Tabla4[[#This Row],[VALOR TOTAL]])</f>
        <v>1</v>
      </c>
      <c r="BF973" s="23">
        <f>Tabla4[[#This Row],[VALOR ATENCIÓN (8 MESES)]]-Tabla4[[#This Row],[VALOR TOTAL]]</f>
        <v>0</v>
      </c>
      <c r="BG973" s="12" t="b">
        <f>EXACT(Tabla4[[#This Row],[TOTAL DESEMBOLSOS]],Tabla4[[#This Row],[VALOR ATENCIÓN (8 MESES)]])</f>
        <v>1</v>
      </c>
      <c r="BH973" s="29">
        <f>Tabla4[[#This Row],[TOTAL DESEMBOLSOS]]-Tabla4[[#This Row],[VALOR ATENCIÓN (8 MESES)]]</f>
        <v>0</v>
      </c>
      <c r="BI973" t="s">
        <v>98</v>
      </c>
    </row>
    <row r="974" spans="1:61">
      <c r="A974" s="13">
        <v>1988</v>
      </c>
      <c r="B974" s="13" t="s">
        <v>2142</v>
      </c>
      <c r="C974" s="12" t="s">
        <v>87</v>
      </c>
      <c r="D974" s="12" t="s">
        <v>205</v>
      </c>
      <c r="E974" s="12" t="s">
        <v>2143</v>
      </c>
      <c r="F974" s="12" t="s">
        <v>18</v>
      </c>
      <c r="G974" s="12" t="s">
        <v>90</v>
      </c>
      <c r="H974" s="12" t="s">
        <v>2158</v>
      </c>
      <c r="I974" s="12">
        <v>56421136197</v>
      </c>
      <c r="J974" s="12" t="s">
        <v>2159</v>
      </c>
      <c r="K974" s="12">
        <v>1</v>
      </c>
      <c r="L974" s="12">
        <v>13</v>
      </c>
      <c r="M974" s="12"/>
      <c r="N974" s="13">
        <v>1988</v>
      </c>
      <c r="O974" s="12" t="s">
        <v>93</v>
      </c>
      <c r="P974" s="12"/>
      <c r="Q974" s="12"/>
      <c r="R974" s="12" t="s">
        <v>94</v>
      </c>
      <c r="S974" s="12">
        <v>10</v>
      </c>
      <c r="T974" s="12" t="s">
        <v>1363</v>
      </c>
      <c r="U974" s="12" t="s">
        <v>1364</v>
      </c>
      <c r="V974" s="12">
        <f>VLOOKUP(Tabla4[[#This Row],[ZONA DEFINITIVO]],Hoja1!$A$1:$D$121,3,0)</f>
        <v>229145</v>
      </c>
      <c r="W974" s="12">
        <f>VLOOKUP(Tabla4[[#This Row],[ZONA DEFINITIVO]],Hoja1!$A$1:$D$121,2,0)</f>
        <v>15217</v>
      </c>
      <c r="X974" s="12">
        <f>VLOOKUP(Tabla4[[#This Row],[ZONA DEFINITIVO]],Hoja1!$A$1:$D$121,4,0)</f>
        <v>86625</v>
      </c>
      <c r="Y974" s="12" t="str">
        <f>+IF(Tabla4[[#This Row],[AGRUPACIONES]]=1,SUMIFS(Tabla4[UDS],Tabla4[ZONA DEFINITIVO],Tabla4[[#This Row],[ZONA DEFINITIVO]])," ")</f>
        <v xml:space="preserve"> </v>
      </c>
      <c r="Z974" s="12" t="str">
        <f>+IF(Tabla4[[#This Row],[AGRUPACIONES]]=1,SUMIFS(Tabla4[TOTAL COBERTURA],Tabla4[ZONA DEFINITIVO],Tabla4[[#This Row],[ZONA DEFINITIVO]])," ")</f>
        <v xml:space="preserve"> </v>
      </c>
      <c r="AA974" s="12"/>
      <c r="AB974" s="38">
        <v>28342509</v>
      </c>
      <c r="AC974" s="37">
        <v>0.02</v>
      </c>
      <c r="AD974" s="38">
        <f t="shared" si="15"/>
        <v>566850.18000000005</v>
      </c>
      <c r="AE974" s="12"/>
      <c r="AF974" s="12">
        <f>COUNTIF($A$20:A974,A974)</f>
        <v>8</v>
      </c>
      <c r="AG974" s="38">
        <v>28342509</v>
      </c>
      <c r="AH974" s="38">
        <f>Tabla4[[#This Row],[VALOR CONTRAPARTIDA]]+Tabla4[[#This Row],[TOTAL APORTES ICBF]]</f>
        <v>28909359.18</v>
      </c>
      <c r="AI974" s="35"/>
      <c r="AJ974" s="38"/>
      <c r="AK974" s="38"/>
      <c r="AL974" s="23"/>
      <c r="AM974" s="35">
        <f>VLOOKUP(Tabla4[[#This Row],[SERVICIO 2025]],$J$2:$V$14,5,0)*Tabla4[[#This Row],[TOTAL COBERTURA]]</f>
        <v>641888</v>
      </c>
      <c r="AN974" s="35">
        <f>VLOOKUP(Tabla4[[#This Row],[SERVICIO 2025]],$J$2:$V$14,6,0)*Tabla4[[#This Row],[TOTAL COBERTURA]]</f>
        <v>533377</v>
      </c>
      <c r="AO974" s="35">
        <f>VLOOKUP(Tabla4[[#This Row],[SERVICIO 2025]],$J$2:$V$14,8,0)*Tabla4[[#This Row],[TOTAL COBERTURA]]</f>
        <v>378300</v>
      </c>
      <c r="AP974" s="35">
        <f>VLOOKUP(Tabla4[[#This Row],[SERVICIO 2025]],$J$2:$V$14,3,0)*Tabla4[[#This Row],[TOTAL COBERTURA]]*8</f>
        <v>26788944</v>
      </c>
      <c r="AQ974" s="35"/>
      <c r="AR974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974" s="35" t="str">
        <f>+IF(Tabla4[[#This Row],[AGRUPACIONES]]=1,SUMIFS(Tabla4[VALOR TOTAL],Tabla4[ZONA DEFINITIVO],Tabla4[[#This Row],[ZONA DEFINITIVO]])," ")</f>
        <v xml:space="preserve"> </v>
      </c>
      <c r="AT974" s="27">
        <f>(VLOOKUP(Tabla4[[#This Row],[SERVICIO 2025]],$J$2:$V$14,3,0)*Tabla4[[#This Row],[TOTAL COBERTURA]])+Tabla4[[#This Row],[VALOR FASE PREPARATORIA DE ALISTAMIENTO]]+Tabla4[[#This Row],[DOTACIÓN ÚNICA]]</f>
        <v>4368806</v>
      </c>
      <c r="AU974" s="35">
        <f>(VLOOKUP(Tabla4[[#This Row],[SERVICIO 2025]],$J$2:$V$14,3,0)*Tabla4[[#This Row],[TOTAL COBERTURA]])</f>
        <v>3348618</v>
      </c>
      <c r="AV974" s="35">
        <f>(VLOOKUP(Tabla4[[#This Row],[SERVICIO 2025]],$J$2:$V$14,3,0)*Tabla4[[#This Row],[TOTAL COBERTURA]])</f>
        <v>3348618</v>
      </c>
      <c r="AW974" s="35">
        <f>(VLOOKUP(Tabla4[[#This Row],[SERVICIO 2025]],$J$2:$V$14,3,0)*Tabla4[[#This Row],[TOTAL COBERTURA]])</f>
        <v>3348618</v>
      </c>
      <c r="AX974" s="35">
        <f>(VLOOKUP(Tabla4[[#This Row],[SERVICIO 2025]],$J$2:$V$14,3,0)*Tabla4[[#This Row],[TOTAL COBERTURA]])</f>
        <v>3348618</v>
      </c>
      <c r="AY974" s="35">
        <f>(VLOOKUP(Tabla4[[#This Row],[SERVICIO 2025]],$J$2:$V$14,3,0)*Tabla4[[#This Row],[TOTAL COBERTURA]])</f>
        <v>3348618</v>
      </c>
      <c r="AZ974" s="35">
        <f>(VLOOKUP(Tabla4[[#This Row],[SERVICIO 2025]],$J$2:$V$14,3,0)*Tabla4[[#This Row],[TOTAL COBERTURA]])</f>
        <v>3348618</v>
      </c>
      <c r="BA974" s="35">
        <f>(VLOOKUP(Tabla4[[#This Row],[SERVICIO 2025]],$J$2:$V$14,3,0)*Tabla4[[#This Row],[TOTAL COBERTURA]])+Tabla4[[#This Row],[VALOR FASE PREPARATORIA DE CIERRE]]</f>
        <v>3881995</v>
      </c>
      <c r="BB974" s="35">
        <f>SUM(Tabla4[[#This Row],[DESEMBOLSO 1]:[DESEMBOLSO 8]])</f>
        <v>28342509</v>
      </c>
      <c r="BC974" s="35"/>
      <c r="BD974" s="47" t="s">
        <v>97</v>
      </c>
      <c r="BE974" s="12" t="b">
        <f>EXACT(Tabla4[[#This Row],[VALOR ATENCIÓN (8 MESES)]],Tabla4[[#This Row],[VALOR TOTAL]])</f>
        <v>1</v>
      </c>
      <c r="BF974" s="23">
        <f>Tabla4[[#This Row],[VALOR ATENCIÓN (8 MESES)]]-Tabla4[[#This Row],[VALOR TOTAL]]</f>
        <v>0</v>
      </c>
      <c r="BG974" s="12" t="b">
        <f>EXACT(Tabla4[[#This Row],[TOTAL DESEMBOLSOS]],Tabla4[[#This Row],[VALOR ATENCIÓN (8 MESES)]])</f>
        <v>1</v>
      </c>
      <c r="BH974" s="29">
        <f>Tabla4[[#This Row],[TOTAL DESEMBOLSOS]]-Tabla4[[#This Row],[VALOR ATENCIÓN (8 MESES)]]</f>
        <v>0</v>
      </c>
      <c r="BI974" t="s">
        <v>98</v>
      </c>
    </row>
    <row r="975" spans="1:61">
      <c r="A975" s="13">
        <v>1988</v>
      </c>
      <c r="B975" s="13" t="s">
        <v>2142</v>
      </c>
      <c r="C975" s="12" t="s">
        <v>87</v>
      </c>
      <c r="D975" s="12" t="s">
        <v>205</v>
      </c>
      <c r="E975" s="12" t="s">
        <v>2143</v>
      </c>
      <c r="F975" s="12" t="s">
        <v>18</v>
      </c>
      <c r="G975" s="12" t="s">
        <v>90</v>
      </c>
      <c r="H975" s="12" t="s">
        <v>2160</v>
      </c>
      <c r="I975" s="12">
        <v>56421136246</v>
      </c>
      <c r="J975" s="12" t="s">
        <v>2161</v>
      </c>
      <c r="K975" s="12">
        <v>1</v>
      </c>
      <c r="L975" s="12">
        <v>38</v>
      </c>
      <c r="M975" s="12"/>
      <c r="N975" s="13">
        <v>1988</v>
      </c>
      <c r="O975" s="12" t="s">
        <v>93</v>
      </c>
      <c r="P975" s="12"/>
      <c r="Q975" s="12"/>
      <c r="R975" s="12" t="s">
        <v>94</v>
      </c>
      <c r="S975" s="12">
        <v>10</v>
      </c>
      <c r="T975" s="12" t="s">
        <v>1363</v>
      </c>
      <c r="U975" s="12" t="s">
        <v>1364</v>
      </c>
      <c r="V975" s="12">
        <f>VLOOKUP(Tabla4[[#This Row],[ZONA DEFINITIVO]],Hoja1!$A$1:$D$121,3,0)</f>
        <v>229145</v>
      </c>
      <c r="W975" s="12">
        <f>VLOOKUP(Tabla4[[#This Row],[ZONA DEFINITIVO]],Hoja1!$A$1:$D$121,2,0)</f>
        <v>15217</v>
      </c>
      <c r="X975" s="12">
        <f>VLOOKUP(Tabla4[[#This Row],[ZONA DEFINITIVO]],Hoja1!$A$1:$D$121,4,0)</f>
        <v>86625</v>
      </c>
      <c r="Y975" s="12" t="str">
        <f>+IF(Tabla4[[#This Row],[AGRUPACIONES]]=1,SUMIFS(Tabla4[UDS],Tabla4[ZONA DEFINITIVO],Tabla4[[#This Row],[ZONA DEFINITIVO]])," ")</f>
        <v xml:space="preserve"> </v>
      </c>
      <c r="Z975" s="12" t="str">
        <f>+IF(Tabla4[[#This Row],[AGRUPACIONES]]=1,SUMIFS(Tabla4[TOTAL COBERTURA],Tabla4[ZONA DEFINITIVO],Tabla4[[#This Row],[ZONA DEFINITIVO]])," ")</f>
        <v xml:space="preserve"> </v>
      </c>
      <c r="AA975" s="12"/>
      <c r="AB975" s="38">
        <v>82847334</v>
      </c>
      <c r="AC975" s="37">
        <v>0.02</v>
      </c>
      <c r="AD975" s="38">
        <f t="shared" si="15"/>
        <v>1656946.68</v>
      </c>
      <c r="AE975" s="12"/>
      <c r="AF975" s="12">
        <f>COUNTIF($A$20:A975,A975)</f>
        <v>9</v>
      </c>
      <c r="AG975" s="38">
        <v>82847334</v>
      </c>
      <c r="AH975" s="38">
        <f>Tabla4[[#This Row],[VALOR CONTRAPARTIDA]]+Tabla4[[#This Row],[TOTAL APORTES ICBF]]</f>
        <v>84504280.680000007</v>
      </c>
      <c r="AI975" s="35"/>
      <c r="AJ975" s="38"/>
      <c r="AK975" s="38"/>
      <c r="AL975" s="23"/>
      <c r="AM975" s="35">
        <f>VLOOKUP(Tabla4[[#This Row],[SERVICIO 2025]],$J$2:$V$14,5,0)*Tabla4[[#This Row],[TOTAL COBERTURA]]</f>
        <v>1876288</v>
      </c>
      <c r="AN975" s="35">
        <f>VLOOKUP(Tabla4[[#This Row],[SERVICIO 2025]],$J$2:$V$14,6,0)*Tabla4[[#This Row],[TOTAL COBERTURA]]</f>
        <v>1559102</v>
      </c>
      <c r="AO975" s="35">
        <f>VLOOKUP(Tabla4[[#This Row],[SERVICIO 2025]],$J$2:$V$14,8,0)*Tabla4[[#This Row],[TOTAL COBERTURA]]</f>
        <v>1105800</v>
      </c>
      <c r="AP975" s="35">
        <f>VLOOKUP(Tabla4[[#This Row],[SERVICIO 2025]],$J$2:$V$14,3,0)*Tabla4[[#This Row],[TOTAL COBERTURA]]*8</f>
        <v>78306144</v>
      </c>
      <c r="AQ975" s="35"/>
      <c r="AR975" s="35">
        <f>Tabla4[[#This Row],[VALOR FASE PREPARATORIA DE ALISTAMIENTO]]+Tabla4[[#This Row],[VALOR FASE PREPARATORIA DE CIERRE]]+Tabla4[[#This Row],[DOTACIÓN ÚNICA]]+Tabla4[[#This Row],[VALOR ATENCIÓN]]+Tabla4[[#This Row],[VALOR RACION PREPARADA]]</f>
        <v>82847334</v>
      </c>
      <c r="AS975" s="35" t="str">
        <f>+IF(Tabla4[[#This Row],[AGRUPACIONES]]=1,SUMIFS(Tabla4[VALOR TOTAL],Tabla4[ZONA DEFINITIVO],Tabla4[[#This Row],[ZONA DEFINITIVO]])," ")</f>
        <v xml:space="preserve"> </v>
      </c>
      <c r="AT975" s="27">
        <f>(VLOOKUP(Tabla4[[#This Row],[SERVICIO 2025]],$J$2:$V$14,3,0)*Tabla4[[#This Row],[TOTAL COBERTURA]])+Tabla4[[#This Row],[VALOR FASE PREPARATORIA DE ALISTAMIENTO]]+Tabla4[[#This Row],[DOTACIÓN ÚNICA]]</f>
        <v>12770356</v>
      </c>
      <c r="AU975" s="35">
        <f>(VLOOKUP(Tabla4[[#This Row],[SERVICIO 2025]],$J$2:$V$14,3,0)*Tabla4[[#This Row],[TOTAL COBERTURA]])</f>
        <v>9788268</v>
      </c>
      <c r="AV975" s="35">
        <f>(VLOOKUP(Tabla4[[#This Row],[SERVICIO 2025]],$J$2:$V$14,3,0)*Tabla4[[#This Row],[TOTAL COBERTURA]])</f>
        <v>9788268</v>
      </c>
      <c r="AW975" s="35">
        <f>(VLOOKUP(Tabla4[[#This Row],[SERVICIO 2025]],$J$2:$V$14,3,0)*Tabla4[[#This Row],[TOTAL COBERTURA]])</f>
        <v>9788268</v>
      </c>
      <c r="AX975" s="35">
        <f>(VLOOKUP(Tabla4[[#This Row],[SERVICIO 2025]],$J$2:$V$14,3,0)*Tabla4[[#This Row],[TOTAL COBERTURA]])</f>
        <v>9788268</v>
      </c>
      <c r="AY975" s="35">
        <f>(VLOOKUP(Tabla4[[#This Row],[SERVICIO 2025]],$J$2:$V$14,3,0)*Tabla4[[#This Row],[TOTAL COBERTURA]])</f>
        <v>9788268</v>
      </c>
      <c r="AZ975" s="35">
        <f>(VLOOKUP(Tabla4[[#This Row],[SERVICIO 2025]],$J$2:$V$14,3,0)*Tabla4[[#This Row],[TOTAL COBERTURA]])</f>
        <v>9788268</v>
      </c>
      <c r="BA975" s="35">
        <f>(VLOOKUP(Tabla4[[#This Row],[SERVICIO 2025]],$J$2:$V$14,3,0)*Tabla4[[#This Row],[TOTAL COBERTURA]])+Tabla4[[#This Row],[VALOR FASE PREPARATORIA DE CIERRE]]</f>
        <v>11347370</v>
      </c>
      <c r="BB975" s="35">
        <f>SUM(Tabla4[[#This Row],[DESEMBOLSO 1]:[DESEMBOLSO 8]])</f>
        <v>82847334</v>
      </c>
      <c r="BC975" s="35"/>
      <c r="BD975" s="47" t="s">
        <v>97</v>
      </c>
      <c r="BE975" s="12" t="b">
        <f>EXACT(Tabla4[[#This Row],[VALOR ATENCIÓN (8 MESES)]],Tabla4[[#This Row],[VALOR TOTAL]])</f>
        <v>1</v>
      </c>
      <c r="BF975" s="23">
        <f>Tabla4[[#This Row],[VALOR ATENCIÓN (8 MESES)]]-Tabla4[[#This Row],[VALOR TOTAL]]</f>
        <v>0</v>
      </c>
      <c r="BG975" s="12" t="b">
        <f>EXACT(Tabla4[[#This Row],[TOTAL DESEMBOLSOS]],Tabla4[[#This Row],[VALOR ATENCIÓN (8 MESES)]])</f>
        <v>1</v>
      </c>
      <c r="BH975" s="29">
        <f>Tabla4[[#This Row],[TOTAL DESEMBOLSOS]]-Tabla4[[#This Row],[VALOR ATENCIÓN (8 MESES)]]</f>
        <v>0</v>
      </c>
      <c r="BI975" t="s">
        <v>98</v>
      </c>
    </row>
    <row r="976" spans="1:61">
      <c r="A976" s="13">
        <v>1988</v>
      </c>
      <c r="B976" s="13" t="s">
        <v>2142</v>
      </c>
      <c r="C976" s="12" t="s">
        <v>87</v>
      </c>
      <c r="D976" s="12" t="s">
        <v>205</v>
      </c>
      <c r="E976" s="12" t="s">
        <v>2143</v>
      </c>
      <c r="F976" s="12" t="s">
        <v>18</v>
      </c>
      <c r="G976" s="12" t="s">
        <v>90</v>
      </c>
      <c r="H976" s="12" t="s">
        <v>2162</v>
      </c>
      <c r="I976" s="12">
        <v>56421152881</v>
      </c>
      <c r="J976" s="12" t="s">
        <v>2163</v>
      </c>
      <c r="K976" s="12">
        <v>1</v>
      </c>
      <c r="L976" s="12">
        <v>14</v>
      </c>
      <c r="M976" s="12"/>
      <c r="N976" s="13">
        <v>1988</v>
      </c>
      <c r="O976" s="12" t="s">
        <v>93</v>
      </c>
      <c r="P976" s="12"/>
      <c r="Q976" s="12"/>
      <c r="R976" s="12" t="s">
        <v>94</v>
      </c>
      <c r="S976" s="12">
        <v>10</v>
      </c>
      <c r="T976" s="12" t="s">
        <v>1363</v>
      </c>
      <c r="U976" s="12" t="s">
        <v>1364</v>
      </c>
      <c r="V976" s="12">
        <f>VLOOKUP(Tabla4[[#This Row],[ZONA DEFINITIVO]],Hoja1!$A$1:$D$121,3,0)</f>
        <v>229145</v>
      </c>
      <c r="W976" s="12">
        <f>VLOOKUP(Tabla4[[#This Row],[ZONA DEFINITIVO]],Hoja1!$A$1:$D$121,2,0)</f>
        <v>15217</v>
      </c>
      <c r="X976" s="12">
        <f>VLOOKUP(Tabla4[[#This Row],[ZONA DEFINITIVO]],Hoja1!$A$1:$D$121,4,0)</f>
        <v>86625</v>
      </c>
      <c r="Y976" s="12" t="str">
        <f>+IF(Tabla4[[#This Row],[AGRUPACIONES]]=1,SUMIFS(Tabla4[UDS],Tabla4[ZONA DEFINITIVO],Tabla4[[#This Row],[ZONA DEFINITIVO]])," ")</f>
        <v xml:space="preserve"> </v>
      </c>
      <c r="Z976" s="12" t="str">
        <f>+IF(Tabla4[[#This Row],[AGRUPACIONES]]=1,SUMIFS(Tabla4[TOTAL COBERTURA],Tabla4[ZONA DEFINITIVO],Tabla4[[#This Row],[ZONA DEFINITIVO]])," ")</f>
        <v xml:space="preserve"> </v>
      </c>
      <c r="AA976" s="12"/>
      <c r="AB976" s="38">
        <v>30522702</v>
      </c>
      <c r="AC976" s="37">
        <v>0.02</v>
      </c>
      <c r="AD976" s="38">
        <f t="shared" si="15"/>
        <v>610454.04</v>
      </c>
      <c r="AE976" s="12"/>
      <c r="AF976" s="12">
        <f>COUNTIF($A$20:A976,A976)</f>
        <v>10</v>
      </c>
      <c r="AG976" s="38">
        <v>30522702</v>
      </c>
      <c r="AH976" s="38">
        <f>Tabla4[[#This Row],[VALOR CONTRAPARTIDA]]+Tabla4[[#This Row],[TOTAL APORTES ICBF]]</f>
        <v>31133156.039999999</v>
      </c>
      <c r="AI976" s="35"/>
      <c r="AJ976" s="38"/>
      <c r="AK976" s="38"/>
      <c r="AL976" s="23"/>
      <c r="AM976" s="35">
        <f>VLOOKUP(Tabla4[[#This Row],[SERVICIO 2025]],$J$2:$V$14,5,0)*Tabla4[[#This Row],[TOTAL COBERTURA]]</f>
        <v>691264</v>
      </c>
      <c r="AN976" s="35">
        <f>VLOOKUP(Tabla4[[#This Row],[SERVICIO 2025]],$J$2:$V$14,6,0)*Tabla4[[#This Row],[TOTAL COBERTURA]]</f>
        <v>574406</v>
      </c>
      <c r="AO976" s="35">
        <f>VLOOKUP(Tabla4[[#This Row],[SERVICIO 2025]],$J$2:$V$14,8,0)*Tabla4[[#This Row],[TOTAL COBERTURA]]</f>
        <v>407400</v>
      </c>
      <c r="AP976" s="35">
        <f>VLOOKUP(Tabla4[[#This Row],[SERVICIO 2025]],$J$2:$V$14,3,0)*Tabla4[[#This Row],[TOTAL COBERTURA]]*8</f>
        <v>28849632</v>
      </c>
      <c r="AQ976" s="35"/>
      <c r="AR976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976" s="35" t="str">
        <f>+IF(Tabla4[[#This Row],[AGRUPACIONES]]=1,SUMIFS(Tabla4[VALOR TOTAL],Tabla4[ZONA DEFINITIVO],Tabla4[[#This Row],[ZONA DEFINITIVO]])," ")</f>
        <v xml:space="preserve"> </v>
      </c>
      <c r="AT976" s="27">
        <f>(VLOOKUP(Tabla4[[#This Row],[SERVICIO 2025]],$J$2:$V$14,3,0)*Tabla4[[#This Row],[TOTAL COBERTURA]])+Tabla4[[#This Row],[VALOR FASE PREPARATORIA DE ALISTAMIENTO]]+Tabla4[[#This Row],[DOTACIÓN ÚNICA]]</f>
        <v>4704868</v>
      </c>
      <c r="AU976" s="35">
        <f>(VLOOKUP(Tabla4[[#This Row],[SERVICIO 2025]],$J$2:$V$14,3,0)*Tabla4[[#This Row],[TOTAL COBERTURA]])</f>
        <v>3606204</v>
      </c>
      <c r="AV976" s="35">
        <f>(VLOOKUP(Tabla4[[#This Row],[SERVICIO 2025]],$J$2:$V$14,3,0)*Tabla4[[#This Row],[TOTAL COBERTURA]])</f>
        <v>3606204</v>
      </c>
      <c r="AW976" s="35">
        <f>(VLOOKUP(Tabla4[[#This Row],[SERVICIO 2025]],$J$2:$V$14,3,0)*Tabla4[[#This Row],[TOTAL COBERTURA]])</f>
        <v>3606204</v>
      </c>
      <c r="AX976" s="35">
        <f>(VLOOKUP(Tabla4[[#This Row],[SERVICIO 2025]],$J$2:$V$14,3,0)*Tabla4[[#This Row],[TOTAL COBERTURA]])</f>
        <v>3606204</v>
      </c>
      <c r="AY976" s="35">
        <f>(VLOOKUP(Tabla4[[#This Row],[SERVICIO 2025]],$J$2:$V$14,3,0)*Tabla4[[#This Row],[TOTAL COBERTURA]])</f>
        <v>3606204</v>
      </c>
      <c r="AZ976" s="35">
        <f>(VLOOKUP(Tabla4[[#This Row],[SERVICIO 2025]],$J$2:$V$14,3,0)*Tabla4[[#This Row],[TOTAL COBERTURA]])</f>
        <v>3606204</v>
      </c>
      <c r="BA976" s="35">
        <f>(VLOOKUP(Tabla4[[#This Row],[SERVICIO 2025]],$J$2:$V$14,3,0)*Tabla4[[#This Row],[TOTAL COBERTURA]])+Tabla4[[#This Row],[VALOR FASE PREPARATORIA DE CIERRE]]</f>
        <v>4180610</v>
      </c>
      <c r="BB976" s="35">
        <f>SUM(Tabla4[[#This Row],[DESEMBOLSO 1]:[DESEMBOLSO 8]])</f>
        <v>30522702</v>
      </c>
      <c r="BC976" s="35"/>
      <c r="BD976" s="47" t="s">
        <v>97</v>
      </c>
      <c r="BE976" s="12" t="b">
        <f>EXACT(Tabla4[[#This Row],[VALOR ATENCIÓN (8 MESES)]],Tabla4[[#This Row],[VALOR TOTAL]])</f>
        <v>1</v>
      </c>
      <c r="BF976" s="23">
        <f>Tabla4[[#This Row],[VALOR ATENCIÓN (8 MESES)]]-Tabla4[[#This Row],[VALOR TOTAL]]</f>
        <v>0</v>
      </c>
      <c r="BG976" s="12" t="b">
        <f>EXACT(Tabla4[[#This Row],[TOTAL DESEMBOLSOS]],Tabla4[[#This Row],[VALOR ATENCIÓN (8 MESES)]])</f>
        <v>1</v>
      </c>
      <c r="BH976" s="29">
        <f>Tabla4[[#This Row],[TOTAL DESEMBOLSOS]]-Tabla4[[#This Row],[VALOR ATENCIÓN (8 MESES)]]</f>
        <v>0</v>
      </c>
      <c r="BI976" t="s">
        <v>98</v>
      </c>
    </row>
    <row r="977" spans="1:62">
      <c r="A977" s="13">
        <v>1988</v>
      </c>
      <c r="B977" s="13" t="s">
        <v>2142</v>
      </c>
      <c r="C977" s="12" t="s">
        <v>87</v>
      </c>
      <c r="D977" s="12" t="s">
        <v>205</v>
      </c>
      <c r="E977" s="12" t="s">
        <v>2143</v>
      </c>
      <c r="F977" s="12" t="s">
        <v>18</v>
      </c>
      <c r="G977" s="12" t="s">
        <v>90</v>
      </c>
      <c r="H977" s="12" t="s">
        <v>2164</v>
      </c>
      <c r="I977" s="12">
        <v>56421152904</v>
      </c>
      <c r="J977" s="12" t="s">
        <v>2165</v>
      </c>
      <c r="K977" s="12">
        <v>1</v>
      </c>
      <c r="L977" s="12">
        <v>15</v>
      </c>
      <c r="M977" s="12"/>
      <c r="N977" s="13">
        <v>1988</v>
      </c>
      <c r="O977" s="12" t="s">
        <v>93</v>
      </c>
      <c r="P977" s="12"/>
      <c r="Q977" s="12"/>
      <c r="R977" s="12" t="s">
        <v>94</v>
      </c>
      <c r="S977" s="12">
        <v>10</v>
      </c>
      <c r="T977" s="12" t="s">
        <v>1363</v>
      </c>
      <c r="U977" s="12" t="s">
        <v>1364</v>
      </c>
      <c r="V977" s="12">
        <f>VLOOKUP(Tabla4[[#This Row],[ZONA DEFINITIVO]],Hoja1!$A$1:$D$121,3,0)</f>
        <v>229145</v>
      </c>
      <c r="W977" s="12">
        <f>VLOOKUP(Tabla4[[#This Row],[ZONA DEFINITIVO]],Hoja1!$A$1:$D$121,2,0)</f>
        <v>15217</v>
      </c>
      <c r="X977" s="12">
        <f>VLOOKUP(Tabla4[[#This Row],[ZONA DEFINITIVO]],Hoja1!$A$1:$D$121,4,0)</f>
        <v>86625</v>
      </c>
      <c r="Y977" s="12" t="str">
        <f>+IF(Tabla4[[#This Row],[AGRUPACIONES]]=1,SUMIFS(Tabla4[UDS],Tabla4[ZONA DEFINITIVO],Tabla4[[#This Row],[ZONA DEFINITIVO]])," ")</f>
        <v xml:space="preserve"> </v>
      </c>
      <c r="Z977" s="12" t="str">
        <f>+IF(Tabla4[[#This Row],[AGRUPACIONES]]=1,SUMIFS(Tabla4[TOTAL COBERTURA],Tabla4[ZONA DEFINITIVO],Tabla4[[#This Row],[ZONA DEFINITIVO]])," ")</f>
        <v xml:space="preserve"> </v>
      </c>
      <c r="AA977" s="12"/>
      <c r="AB977" s="38">
        <v>32702895</v>
      </c>
      <c r="AC977" s="37">
        <v>0.02</v>
      </c>
      <c r="AD977" s="38">
        <f t="shared" si="15"/>
        <v>654057.9</v>
      </c>
      <c r="AE977" s="12"/>
      <c r="AF977" s="12">
        <f>COUNTIF($A$20:A977,A977)</f>
        <v>11</v>
      </c>
      <c r="AG977" s="38">
        <v>32702895</v>
      </c>
      <c r="AH977" s="38">
        <f>Tabla4[[#This Row],[VALOR CONTRAPARTIDA]]+Tabla4[[#This Row],[TOTAL APORTES ICBF]]</f>
        <v>33356952.899999999</v>
      </c>
      <c r="AI977" s="35"/>
      <c r="AJ977" s="38"/>
      <c r="AK977" s="38"/>
      <c r="AL977" s="23"/>
      <c r="AM977" s="35">
        <f>VLOOKUP(Tabla4[[#This Row],[SERVICIO 2025]],$J$2:$V$14,5,0)*Tabla4[[#This Row],[TOTAL COBERTURA]]</f>
        <v>740640</v>
      </c>
      <c r="AN977" s="35">
        <f>VLOOKUP(Tabla4[[#This Row],[SERVICIO 2025]],$J$2:$V$14,6,0)*Tabla4[[#This Row],[TOTAL COBERTURA]]</f>
        <v>615435</v>
      </c>
      <c r="AO977" s="35">
        <f>VLOOKUP(Tabla4[[#This Row],[SERVICIO 2025]],$J$2:$V$14,8,0)*Tabla4[[#This Row],[TOTAL COBERTURA]]</f>
        <v>436500</v>
      </c>
      <c r="AP977" s="35">
        <f>VLOOKUP(Tabla4[[#This Row],[SERVICIO 2025]],$J$2:$V$14,3,0)*Tabla4[[#This Row],[TOTAL COBERTURA]]*8</f>
        <v>30910320</v>
      </c>
      <c r="AQ977" s="35"/>
      <c r="AR977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977" s="35" t="str">
        <f>+IF(Tabla4[[#This Row],[AGRUPACIONES]]=1,SUMIFS(Tabla4[VALOR TOTAL],Tabla4[ZONA DEFINITIVO],Tabla4[[#This Row],[ZONA DEFINITIVO]])," ")</f>
        <v xml:space="preserve"> </v>
      </c>
      <c r="AT977" s="27">
        <f>(VLOOKUP(Tabla4[[#This Row],[SERVICIO 2025]],$J$2:$V$14,3,0)*Tabla4[[#This Row],[TOTAL COBERTURA]])+Tabla4[[#This Row],[VALOR FASE PREPARATORIA DE ALISTAMIENTO]]+Tabla4[[#This Row],[DOTACIÓN ÚNICA]]</f>
        <v>5040930</v>
      </c>
      <c r="AU977" s="35">
        <f>(VLOOKUP(Tabla4[[#This Row],[SERVICIO 2025]],$J$2:$V$14,3,0)*Tabla4[[#This Row],[TOTAL COBERTURA]])</f>
        <v>3863790</v>
      </c>
      <c r="AV977" s="35">
        <f>(VLOOKUP(Tabla4[[#This Row],[SERVICIO 2025]],$J$2:$V$14,3,0)*Tabla4[[#This Row],[TOTAL COBERTURA]])</f>
        <v>3863790</v>
      </c>
      <c r="AW977" s="35">
        <f>(VLOOKUP(Tabla4[[#This Row],[SERVICIO 2025]],$J$2:$V$14,3,0)*Tabla4[[#This Row],[TOTAL COBERTURA]])</f>
        <v>3863790</v>
      </c>
      <c r="AX977" s="35">
        <f>(VLOOKUP(Tabla4[[#This Row],[SERVICIO 2025]],$J$2:$V$14,3,0)*Tabla4[[#This Row],[TOTAL COBERTURA]])</f>
        <v>3863790</v>
      </c>
      <c r="AY977" s="35">
        <f>(VLOOKUP(Tabla4[[#This Row],[SERVICIO 2025]],$J$2:$V$14,3,0)*Tabla4[[#This Row],[TOTAL COBERTURA]])</f>
        <v>3863790</v>
      </c>
      <c r="AZ977" s="35">
        <f>(VLOOKUP(Tabla4[[#This Row],[SERVICIO 2025]],$J$2:$V$14,3,0)*Tabla4[[#This Row],[TOTAL COBERTURA]])</f>
        <v>3863790</v>
      </c>
      <c r="BA977" s="35">
        <f>(VLOOKUP(Tabla4[[#This Row],[SERVICIO 2025]],$J$2:$V$14,3,0)*Tabla4[[#This Row],[TOTAL COBERTURA]])+Tabla4[[#This Row],[VALOR FASE PREPARATORIA DE CIERRE]]</f>
        <v>4479225</v>
      </c>
      <c r="BB977" s="35">
        <f>SUM(Tabla4[[#This Row],[DESEMBOLSO 1]:[DESEMBOLSO 8]])</f>
        <v>32702895</v>
      </c>
      <c r="BC977" s="35"/>
      <c r="BD977" s="47" t="s">
        <v>97</v>
      </c>
      <c r="BE977" s="12" t="b">
        <f>EXACT(Tabla4[[#This Row],[VALOR ATENCIÓN (8 MESES)]],Tabla4[[#This Row],[VALOR TOTAL]])</f>
        <v>1</v>
      </c>
      <c r="BF977" s="23">
        <f>Tabla4[[#This Row],[VALOR ATENCIÓN (8 MESES)]]-Tabla4[[#This Row],[VALOR TOTAL]]</f>
        <v>0</v>
      </c>
      <c r="BG977" s="12" t="b">
        <f>EXACT(Tabla4[[#This Row],[TOTAL DESEMBOLSOS]],Tabla4[[#This Row],[VALOR ATENCIÓN (8 MESES)]])</f>
        <v>1</v>
      </c>
      <c r="BH977" s="29">
        <f>Tabla4[[#This Row],[TOTAL DESEMBOLSOS]]-Tabla4[[#This Row],[VALOR ATENCIÓN (8 MESES)]]</f>
        <v>0</v>
      </c>
      <c r="BI977" t="s">
        <v>98</v>
      </c>
    </row>
    <row r="978" spans="1:62">
      <c r="A978" s="13">
        <v>1988</v>
      </c>
      <c r="B978" s="13" t="s">
        <v>2142</v>
      </c>
      <c r="C978" s="12" t="s">
        <v>87</v>
      </c>
      <c r="D978" s="12" t="s">
        <v>205</v>
      </c>
      <c r="E978" s="12" t="s">
        <v>2143</v>
      </c>
      <c r="F978" s="12" t="s">
        <v>18</v>
      </c>
      <c r="G978" s="12" t="s">
        <v>90</v>
      </c>
      <c r="H978" s="12" t="s">
        <v>2166</v>
      </c>
      <c r="I978" s="12">
        <v>56421152905</v>
      </c>
      <c r="J978" s="12" t="s">
        <v>2167</v>
      </c>
      <c r="K978" s="12">
        <v>1</v>
      </c>
      <c r="L978" s="12">
        <v>26</v>
      </c>
      <c r="M978" s="12"/>
      <c r="N978" s="13">
        <v>1988</v>
      </c>
      <c r="O978" s="12" t="s">
        <v>93</v>
      </c>
      <c r="P978" s="12"/>
      <c r="Q978" s="12"/>
      <c r="R978" s="12" t="s">
        <v>94</v>
      </c>
      <c r="S978" s="12">
        <v>10</v>
      </c>
      <c r="T978" s="12" t="s">
        <v>1363</v>
      </c>
      <c r="U978" s="12" t="s">
        <v>1364</v>
      </c>
      <c r="V978" s="12">
        <f>VLOOKUP(Tabla4[[#This Row],[ZONA DEFINITIVO]],Hoja1!$A$1:$D$121,3,0)</f>
        <v>229145</v>
      </c>
      <c r="W978" s="12">
        <f>VLOOKUP(Tabla4[[#This Row],[ZONA DEFINITIVO]],Hoja1!$A$1:$D$121,2,0)</f>
        <v>15217</v>
      </c>
      <c r="X978" s="12">
        <f>VLOOKUP(Tabla4[[#This Row],[ZONA DEFINITIVO]],Hoja1!$A$1:$D$121,4,0)</f>
        <v>86625</v>
      </c>
      <c r="Y978" s="12" t="str">
        <f>+IF(Tabla4[[#This Row],[AGRUPACIONES]]=1,SUMIFS(Tabla4[UDS],Tabla4[ZONA DEFINITIVO],Tabla4[[#This Row],[ZONA DEFINITIVO]])," ")</f>
        <v xml:space="preserve"> </v>
      </c>
      <c r="Z978" s="12" t="str">
        <f>+IF(Tabla4[[#This Row],[AGRUPACIONES]]=1,SUMIFS(Tabla4[TOTAL COBERTURA],Tabla4[ZONA DEFINITIVO],Tabla4[[#This Row],[ZONA DEFINITIVO]])," ")</f>
        <v xml:space="preserve"> </v>
      </c>
      <c r="AA978" s="12"/>
      <c r="AB978" s="38">
        <v>56685018</v>
      </c>
      <c r="AC978" s="37">
        <v>0.02</v>
      </c>
      <c r="AD978" s="38">
        <f t="shared" si="15"/>
        <v>1133700.3600000001</v>
      </c>
      <c r="AE978" s="12"/>
      <c r="AF978" s="12">
        <f>COUNTIF($A$20:A978,A978)</f>
        <v>12</v>
      </c>
      <c r="AG978" s="38">
        <v>56685018</v>
      </c>
      <c r="AH978" s="38">
        <f>Tabla4[[#This Row],[VALOR CONTRAPARTIDA]]+Tabla4[[#This Row],[TOTAL APORTES ICBF]]</f>
        <v>57818718.359999999</v>
      </c>
      <c r="AI978" s="35"/>
      <c r="AJ978" s="38"/>
      <c r="AK978" s="38"/>
      <c r="AL978" s="23"/>
      <c r="AM978" s="35">
        <f>VLOOKUP(Tabla4[[#This Row],[SERVICIO 2025]],$J$2:$V$14,5,0)*Tabla4[[#This Row],[TOTAL COBERTURA]]</f>
        <v>1283776</v>
      </c>
      <c r="AN978" s="35">
        <f>VLOOKUP(Tabla4[[#This Row],[SERVICIO 2025]],$J$2:$V$14,6,0)*Tabla4[[#This Row],[TOTAL COBERTURA]]</f>
        <v>1066754</v>
      </c>
      <c r="AO978" s="35">
        <f>VLOOKUP(Tabla4[[#This Row],[SERVICIO 2025]],$J$2:$V$14,8,0)*Tabla4[[#This Row],[TOTAL COBERTURA]]</f>
        <v>756600</v>
      </c>
      <c r="AP978" s="35">
        <f>VLOOKUP(Tabla4[[#This Row],[SERVICIO 2025]],$J$2:$V$14,3,0)*Tabla4[[#This Row],[TOTAL COBERTURA]]*8</f>
        <v>53577888</v>
      </c>
      <c r="AQ978" s="35"/>
      <c r="AR978" s="35">
        <f>Tabla4[[#This Row],[VALOR FASE PREPARATORIA DE ALISTAMIENTO]]+Tabla4[[#This Row],[VALOR FASE PREPARATORIA DE CIERRE]]+Tabla4[[#This Row],[DOTACIÓN ÚNICA]]+Tabla4[[#This Row],[VALOR ATENCIÓN]]+Tabla4[[#This Row],[VALOR RACION PREPARADA]]</f>
        <v>56685018</v>
      </c>
      <c r="AS978" s="35" t="str">
        <f>+IF(Tabla4[[#This Row],[AGRUPACIONES]]=1,SUMIFS(Tabla4[VALOR TOTAL],Tabla4[ZONA DEFINITIVO],Tabla4[[#This Row],[ZONA DEFINITIVO]])," ")</f>
        <v xml:space="preserve"> </v>
      </c>
      <c r="AT978" s="27">
        <f>(VLOOKUP(Tabla4[[#This Row],[SERVICIO 2025]],$J$2:$V$14,3,0)*Tabla4[[#This Row],[TOTAL COBERTURA]])+Tabla4[[#This Row],[VALOR FASE PREPARATORIA DE ALISTAMIENTO]]+Tabla4[[#This Row],[DOTACIÓN ÚNICA]]</f>
        <v>8737612</v>
      </c>
      <c r="AU978" s="35">
        <f>(VLOOKUP(Tabla4[[#This Row],[SERVICIO 2025]],$J$2:$V$14,3,0)*Tabla4[[#This Row],[TOTAL COBERTURA]])</f>
        <v>6697236</v>
      </c>
      <c r="AV978" s="35">
        <f>(VLOOKUP(Tabla4[[#This Row],[SERVICIO 2025]],$J$2:$V$14,3,0)*Tabla4[[#This Row],[TOTAL COBERTURA]])</f>
        <v>6697236</v>
      </c>
      <c r="AW978" s="35">
        <f>(VLOOKUP(Tabla4[[#This Row],[SERVICIO 2025]],$J$2:$V$14,3,0)*Tabla4[[#This Row],[TOTAL COBERTURA]])</f>
        <v>6697236</v>
      </c>
      <c r="AX978" s="35">
        <f>(VLOOKUP(Tabla4[[#This Row],[SERVICIO 2025]],$J$2:$V$14,3,0)*Tabla4[[#This Row],[TOTAL COBERTURA]])</f>
        <v>6697236</v>
      </c>
      <c r="AY978" s="35">
        <f>(VLOOKUP(Tabla4[[#This Row],[SERVICIO 2025]],$J$2:$V$14,3,0)*Tabla4[[#This Row],[TOTAL COBERTURA]])</f>
        <v>6697236</v>
      </c>
      <c r="AZ978" s="35">
        <f>(VLOOKUP(Tabla4[[#This Row],[SERVICIO 2025]],$J$2:$V$14,3,0)*Tabla4[[#This Row],[TOTAL COBERTURA]])</f>
        <v>6697236</v>
      </c>
      <c r="BA978" s="35">
        <f>(VLOOKUP(Tabla4[[#This Row],[SERVICIO 2025]],$J$2:$V$14,3,0)*Tabla4[[#This Row],[TOTAL COBERTURA]])+Tabla4[[#This Row],[VALOR FASE PREPARATORIA DE CIERRE]]</f>
        <v>7763990</v>
      </c>
      <c r="BB978" s="35">
        <f>SUM(Tabla4[[#This Row],[DESEMBOLSO 1]:[DESEMBOLSO 8]])</f>
        <v>56685018</v>
      </c>
      <c r="BC978" s="35"/>
      <c r="BD978" s="47" t="s">
        <v>97</v>
      </c>
      <c r="BE978" s="12" t="b">
        <f>EXACT(Tabla4[[#This Row],[VALOR ATENCIÓN (8 MESES)]],Tabla4[[#This Row],[VALOR TOTAL]])</f>
        <v>1</v>
      </c>
      <c r="BF978" s="23">
        <f>Tabla4[[#This Row],[VALOR ATENCIÓN (8 MESES)]]-Tabla4[[#This Row],[VALOR TOTAL]]</f>
        <v>0</v>
      </c>
      <c r="BG978" s="12" t="b">
        <f>EXACT(Tabla4[[#This Row],[TOTAL DESEMBOLSOS]],Tabla4[[#This Row],[VALOR ATENCIÓN (8 MESES)]])</f>
        <v>1</v>
      </c>
      <c r="BH978" s="29">
        <f>Tabla4[[#This Row],[TOTAL DESEMBOLSOS]]-Tabla4[[#This Row],[VALOR ATENCIÓN (8 MESES)]]</f>
        <v>0</v>
      </c>
      <c r="BI978" t="s">
        <v>98</v>
      </c>
    </row>
    <row r="979" spans="1:62">
      <c r="A979" s="13">
        <v>1988</v>
      </c>
      <c r="B979" s="13" t="s">
        <v>2142</v>
      </c>
      <c r="C979" s="12" t="s">
        <v>87</v>
      </c>
      <c r="D979" s="12" t="s">
        <v>205</v>
      </c>
      <c r="E979" s="12" t="s">
        <v>2143</v>
      </c>
      <c r="F979" s="12" t="s">
        <v>18</v>
      </c>
      <c r="G979" s="12" t="s">
        <v>90</v>
      </c>
      <c r="H979" s="12" t="s">
        <v>2168</v>
      </c>
      <c r="I979" s="12">
        <v>56421152906</v>
      </c>
      <c r="J979" s="12" t="s">
        <v>2169</v>
      </c>
      <c r="K979" s="12">
        <v>1</v>
      </c>
      <c r="L979" s="12">
        <v>28</v>
      </c>
      <c r="M979" s="12"/>
      <c r="N979" s="13">
        <v>1988</v>
      </c>
      <c r="O979" s="12" t="s">
        <v>93</v>
      </c>
      <c r="P979" s="12"/>
      <c r="Q979" s="12"/>
      <c r="R979" s="12" t="s">
        <v>94</v>
      </c>
      <c r="S979" s="12">
        <v>10</v>
      </c>
      <c r="T979" s="12" t="s">
        <v>1363</v>
      </c>
      <c r="U979" s="12" t="s">
        <v>1364</v>
      </c>
      <c r="V979" s="12">
        <f>VLOOKUP(Tabla4[[#This Row],[ZONA DEFINITIVO]],Hoja1!$A$1:$D$121,3,0)</f>
        <v>229145</v>
      </c>
      <c r="W979" s="12">
        <f>VLOOKUP(Tabla4[[#This Row],[ZONA DEFINITIVO]],Hoja1!$A$1:$D$121,2,0)</f>
        <v>15217</v>
      </c>
      <c r="X979" s="12">
        <f>VLOOKUP(Tabla4[[#This Row],[ZONA DEFINITIVO]],Hoja1!$A$1:$D$121,4,0)</f>
        <v>86625</v>
      </c>
      <c r="Y979" s="12" t="str">
        <f>+IF(Tabla4[[#This Row],[AGRUPACIONES]]=1,SUMIFS(Tabla4[UDS],Tabla4[ZONA DEFINITIVO],Tabla4[[#This Row],[ZONA DEFINITIVO]])," ")</f>
        <v xml:space="preserve"> </v>
      </c>
      <c r="Z979" s="12" t="str">
        <f>+IF(Tabla4[[#This Row],[AGRUPACIONES]]=1,SUMIFS(Tabla4[TOTAL COBERTURA],Tabla4[ZONA DEFINITIVO],Tabla4[[#This Row],[ZONA DEFINITIVO]])," ")</f>
        <v xml:space="preserve"> </v>
      </c>
      <c r="AA979" s="12"/>
      <c r="AB979" s="38">
        <v>61045404</v>
      </c>
      <c r="AC979" s="37">
        <v>0.02</v>
      </c>
      <c r="AD979" s="38">
        <f t="shared" si="15"/>
        <v>1220908.08</v>
      </c>
      <c r="AE979" s="12"/>
      <c r="AF979" s="12">
        <f>COUNTIF($A$20:A979,A979)</f>
        <v>13</v>
      </c>
      <c r="AG979" s="38">
        <v>61045404</v>
      </c>
      <c r="AH979" s="38">
        <f>Tabla4[[#This Row],[VALOR CONTRAPARTIDA]]+Tabla4[[#This Row],[TOTAL APORTES ICBF]]</f>
        <v>62266312.079999998</v>
      </c>
      <c r="AI979" s="35"/>
      <c r="AJ979" s="38"/>
      <c r="AK979" s="38"/>
      <c r="AL979" s="23"/>
      <c r="AM979" s="35">
        <f>VLOOKUP(Tabla4[[#This Row],[SERVICIO 2025]],$J$2:$V$14,5,0)*Tabla4[[#This Row],[TOTAL COBERTURA]]</f>
        <v>1382528</v>
      </c>
      <c r="AN979" s="35">
        <f>VLOOKUP(Tabla4[[#This Row],[SERVICIO 2025]],$J$2:$V$14,6,0)*Tabla4[[#This Row],[TOTAL COBERTURA]]</f>
        <v>1148812</v>
      </c>
      <c r="AO979" s="35">
        <f>VLOOKUP(Tabla4[[#This Row],[SERVICIO 2025]],$J$2:$V$14,8,0)*Tabla4[[#This Row],[TOTAL COBERTURA]]</f>
        <v>814800</v>
      </c>
      <c r="AP979" s="35">
        <f>VLOOKUP(Tabla4[[#This Row],[SERVICIO 2025]],$J$2:$V$14,3,0)*Tabla4[[#This Row],[TOTAL COBERTURA]]*8</f>
        <v>57699264</v>
      </c>
      <c r="AQ979" s="35"/>
      <c r="AR979" s="35">
        <f>Tabla4[[#This Row],[VALOR FASE PREPARATORIA DE ALISTAMIENTO]]+Tabla4[[#This Row],[VALOR FASE PREPARATORIA DE CIERRE]]+Tabla4[[#This Row],[DOTACIÓN ÚNICA]]+Tabla4[[#This Row],[VALOR ATENCIÓN]]+Tabla4[[#This Row],[VALOR RACION PREPARADA]]</f>
        <v>61045404</v>
      </c>
      <c r="AS979" s="35" t="str">
        <f>+IF(Tabla4[[#This Row],[AGRUPACIONES]]=1,SUMIFS(Tabla4[VALOR TOTAL],Tabla4[ZONA DEFINITIVO],Tabla4[[#This Row],[ZONA DEFINITIVO]])," ")</f>
        <v xml:space="preserve"> </v>
      </c>
      <c r="AT979" s="27">
        <f>(VLOOKUP(Tabla4[[#This Row],[SERVICIO 2025]],$J$2:$V$14,3,0)*Tabla4[[#This Row],[TOTAL COBERTURA]])+Tabla4[[#This Row],[VALOR FASE PREPARATORIA DE ALISTAMIENTO]]+Tabla4[[#This Row],[DOTACIÓN ÚNICA]]</f>
        <v>9409736</v>
      </c>
      <c r="AU979" s="35">
        <f>(VLOOKUP(Tabla4[[#This Row],[SERVICIO 2025]],$J$2:$V$14,3,0)*Tabla4[[#This Row],[TOTAL COBERTURA]])</f>
        <v>7212408</v>
      </c>
      <c r="AV979" s="35">
        <f>(VLOOKUP(Tabla4[[#This Row],[SERVICIO 2025]],$J$2:$V$14,3,0)*Tabla4[[#This Row],[TOTAL COBERTURA]])</f>
        <v>7212408</v>
      </c>
      <c r="AW979" s="35">
        <f>(VLOOKUP(Tabla4[[#This Row],[SERVICIO 2025]],$J$2:$V$14,3,0)*Tabla4[[#This Row],[TOTAL COBERTURA]])</f>
        <v>7212408</v>
      </c>
      <c r="AX979" s="35">
        <f>(VLOOKUP(Tabla4[[#This Row],[SERVICIO 2025]],$J$2:$V$14,3,0)*Tabla4[[#This Row],[TOTAL COBERTURA]])</f>
        <v>7212408</v>
      </c>
      <c r="AY979" s="35">
        <f>(VLOOKUP(Tabla4[[#This Row],[SERVICIO 2025]],$J$2:$V$14,3,0)*Tabla4[[#This Row],[TOTAL COBERTURA]])</f>
        <v>7212408</v>
      </c>
      <c r="AZ979" s="35">
        <f>(VLOOKUP(Tabla4[[#This Row],[SERVICIO 2025]],$J$2:$V$14,3,0)*Tabla4[[#This Row],[TOTAL COBERTURA]])</f>
        <v>7212408</v>
      </c>
      <c r="BA979" s="35">
        <f>(VLOOKUP(Tabla4[[#This Row],[SERVICIO 2025]],$J$2:$V$14,3,0)*Tabla4[[#This Row],[TOTAL COBERTURA]])+Tabla4[[#This Row],[VALOR FASE PREPARATORIA DE CIERRE]]</f>
        <v>8361220</v>
      </c>
      <c r="BB979" s="35">
        <f>SUM(Tabla4[[#This Row],[DESEMBOLSO 1]:[DESEMBOLSO 8]])</f>
        <v>61045404</v>
      </c>
      <c r="BC979" s="35"/>
      <c r="BD979" s="47" t="s">
        <v>97</v>
      </c>
      <c r="BE979" s="12" t="b">
        <f>EXACT(Tabla4[[#This Row],[VALOR ATENCIÓN (8 MESES)]],Tabla4[[#This Row],[VALOR TOTAL]])</f>
        <v>1</v>
      </c>
      <c r="BF979" s="23">
        <f>Tabla4[[#This Row],[VALOR ATENCIÓN (8 MESES)]]-Tabla4[[#This Row],[VALOR TOTAL]]</f>
        <v>0</v>
      </c>
      <c r="BG979" s="12" t="b">
        <f>EXACT(Tabla4[[#This Row],[TOTAL DESEMBOLSOS]],Tabla4[[#This Row],[VALOR ATENCIÓN (8 MESES)]])</f>
        <v>1</v>
      </c>
      <c r="BH979" s="29">
        <f>Tabla4[[#This Row],[TOTAL DESEMBOLSOS]]-Tabla4[[#This Row],[VALOR ATENCIÓN (8 MESES)]]</f>
        <v>0</v>
      </c>
      <c r="BI979" t="s">
        <v>98</v>
      </c>
    </row>
    <row r="980" spans="1:62">
      <c r="A980" s="13">
        <v>1988</v>
      </c>
      <c r="B980" s="13" t="s">
        <v>2142</v>
      </c>
      <c r="C980" s="12" t="s">
        <v>87</v>
      </c>
      <c r="D980" s="12" t="s">
        <v>205</v>
      </c>
      <c r="E980" s="12" t="s">
        <v>2143</v>
      </c>
      <c r="F980" s="12" t="s">
        <v>18</v>
      </c>
      <c r="G980" s="12" t="s">
        <v>90</v>
      </c>
      <c r="H980" s="12" t="s">
        <v>2170</v>
      </c>
      <c r="I980" s="12">
        <v>564200024420</v>
      </c>
      <c r="J980" s="12" t="s">
        <v>2171</v>
      </c>
      <c r="K980" s="12">
        <v>1</v>
      </c>
      <c r="L980" s="12">
        <v>50</v>
      </c>
      <c r="M980" s="12"/>
      <c r="N980" s="13">
        <v>1988</v>
      </c>
      <c r="O980" s="12" t="s">
        <v>93</v>
      </c>
      <c r="P980" s="12"/>
      <c r="Q980" s="12"/>
      <c r="R980" s="12" t="s">
        <v>94</v>
      </c>
      <c r="S980" s="12">
        <v>10</v>
      </c>
      <c r="T980" s="12" t="s">
        <v>1363</v>
      </c>
      <c r="U980" s="12" t="s">
        <v>1364</v>
      </c>
      <c r="V980" s="12">
        <f>VLOOKUP(Tabla4[[#This Row],[ZONA DEFINITIVO]],Hoja1!$A$1:$D$121,3,0)</f>
        <v>229145</v>
      </c>
      <c r="W980" s="12">
        <f>VLOOKUP(Tabla4[[#This Row],[ZONA DEFINITIVO]],Hoja1!$A$1:$D$121,2,0)</f>
        <v>15217</v>
      </c>
      <c r="X980" s="12">
        <f>VLOOKUP(Tabla4[[#This Row],[ZONA DEFINITIVO]],Hoja1!$A$1:$D$121,4,0)</f>
        <v>86625</v>
      </c>
      <c r="Y980" s="12" t="str">
        <f>+IF(Tabla4[[#This Row],[AGRUPACIONES]]=1,SUMIFS(Tabla4[UDS],Tabla4[ZONA DEFINITIVO],Tabla4[[#This Row],[ZONA DEFINITIVO]])," ")</f>
        <v xml:space="preserve"> </v>
      </c>
      <c r="Z980" s="12" t="str">
        <f>+IF(Tabla4[[#This Row],[AGRUPACIONES]]=1,SUMIFS(Tabla4[TOTAL COBERTURA],Tabla4[ZONA DEFINITIVO],Tabla4[[#This Row],[ZONA DEFINITIVO]])," ")</f>
        <v xml:space="preserve"> </v>
      </c>
      <c r="AA980" s="12"/>
      <c r="AB980" s="38">
        <v>109009650</v>
      </c>
      <c r="AC980" s="37">
        <v>0.02</v>
      </c>
      <c r="AD980" s="38">
        <f t="shared" ref="AD980:AD1043" si="16">AB980*AC980</f>
        <v>2180193</v>
      </c>
      <c r="AE980" s="12"/>
      <c r="AF980" s="12">
        <f>COUNTIF($A$20:A980,A980)</f>
        <v>14</v>
      </c>
      <c r="AG980" s="38">
        <v>109009650</v>
      </c>
      <c r="AH980" s="38">
        <f>Tabla4[[#This Row],[VALOR CONTRAPARTIDA]]+Tabla4[[#This Row],[TOTAL APORTES ICBF]]</f>
        <v>111189843</v>
      </c>
      <c r="AI980" s="35"/>
      <c r="AJ980" s="38"/>
      <c r="AK980" s="38"/>
      <c r="AL980" s="23"/>
      <c r="AM980" s="35">
        <f>VLOOKUP(Tabla4[[#This Row],[SERVICIO 2025]],$J$2:$V$14,5,0)*Tabla4[[#This Row],[TOTAL COBERTURA]]</f>
        <v>2468800</v>
      </c>
      <c r="AN980" s="35">
        <f>VLOOKUP(Tabla4[[#This Row],[SERVICIO 2025]],$J$2:$V$14,6,0)*Tabla4[[#This Row],[TOTAL COBERTURA]]</f>
        <v>2051450</v>
      </c>
      <c r="AO980" s="35">
        <f>VLOOKUP(Tabla4[[#This Row],[SERVICIO 2025]],$J$2:$V$14,8,0)*Tabla4[[#This Row],[TOTAL COBERTURA]]</f>
        <v>1455000</v>
      </c>
      <c r="AP980" s="35">
        <f>VLOOKUP(Tabla4[[#This Row],[SERVICIO 2025]],$J$2:$V$14,3,0)*Tabla4[[#This Row],[TOTAL COBERTURA]]*8</f>
        <v>103034400</v>
      </c>
      <c r="AQ980" s="35"/>
      <c r="AR980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80" s="35" t="str">
        <f>+IF(Tabla4[[#This Row],[AGRUPACIONES]]=1,SUMIFS(Tabla4[VALOR TOTAL],Tabla4[ZONA DEFINITIVO],Tabla4[[#This Row],[ZONA DEFINITIVO]])," ")</f>
        <v xml:space="preserve"> </v>
      </c>
      <c r="AT980" s="27">
        <f>(VLOOKUP(Tabla4[[#This Row],[SERVICIO 2025]],$J$2:$V$14,3,0)*Tabla4[[#This Row],[TOTAL COBERTURA]])+Tabla4[[#This Row],[VALOR FASE PREPARATORIA DE ALISTAMIENTO]]+Tabla4[[#This Row],[DOTACIÓN ÚNICA]]</f>
        <v>16803100</v>
      </c>
      <c r="AU980" s="35">
        <f>(VLOOKUP(Tabla4[[#This Row],[SERVICIO 2025]],$J$2:$V$14,3,0)*Tabla4[[#This Row],[TOTAL COBERTURA]])</f>
        <v>12879300</v>
      </c>
      <c r="AV980" s="35">
        <f>(VLOOKUP(Tabla4[[#This Row],[SERVICIO 2025]],$J$2:$V$14,3,0)*Tabla4[[#This Row],[TOTAL COBERTURA]])</f>
        <v>12879300</v>
      </c>
      <c r="AW980" s="35">
        <f>(VLOOKUP(Tabla4[[#This Row],[SERVICIO 2025]],$J$2:$V$14,3,0)*Tabla4[[#This Row],[TOTAL COBERTURA]])</f>
        <v>12879300</v>
      </c>
      <c r="AX980" s="35">
        <f>(VLOOKUP(Tabla4[[#This Row],[SERVICIO 2025]],$J$2:$V$14,3,0)*Tabla4[[#This Row],[TOTAL COBERTURA]])</f>
        <v>12879300</v>
      </c>
      <c r="AY980" s="35">
        <f>(VLOOKUP(Tabla4[[#This Row],[SERVICIO 2025]],$J$2:$V$14,3,0)*Tabla4[[#This Row],[TOTAL COBERTURA]])</f>
        <v>12879300</v>
      </c>
      <c r="AZ980" s="35">
        <f>(VLOOKUP(Tabla4[[#This Row],[SERVICIO 2025]],$J$2:$V$14,3,0)*Tabla4[[#This Row],[TOTAL COBERTURA]])</f>
        <v>12879300</v>
      </c>
      <c r="BA980" s="35">
        <f>(VLOOKUP(Tabla4[[#This Row],[SERVICIO 2025]],$J$2:$V$14,3,0)*Tabla4[[#This Row],[TOTAL COBERTURA]])+Tabla4[[#This Row],[VALOR FASE PREPARATORIA DE CIERRE]]</f>
        <v>14930750</v>
      </c>
      <c r="BB980" s="35">
        <f>SUM(Tabla4[[#This Row],[DESEMBOLSO 1]:[DESEMBOLSO 8]])</f>
        <v>109009650</v>
      </c>
      <c r="BC980" s="35"/>
      <c r="BD980" s="47" t="s">
        <v>97</v>
      </c>
      <c r="BE980" s="12" t="b">
        <f>EXACT(Tabla4[[#This Row],[VALOR ATENCIÓN (8 MESES)]],Tabla4[[#This Row],[VALOR TOTAL]])</f>
        <v>1</v>
      </c>
      <c r="BF980" s="23">
        <f>Tabla4[[#This Row],[VALOR ATENCIÓN (8 MESES)]]-Tabla4[[#This Row],[VALOR TOTAL]]</f>
        <v>0</v>
      </c>
      <c r="BG980" s="12" t="b">
        <f>EXACT(Tabla4[[#This Row],[TOTAL DESEMBOLSOS]],Tabla4[[#This Row],[VALOR ATENCIÓN (8 MESES)]])</f>
        <v>1</v>
      </c>
      <c r="BH980" s="29">
        <f>Tabla4[[#This Row],[TOTAL DESEMBOLSOS]]-Tabla4[[#This Row],[VALOR ATENCIÓN (8 MESES)]]</f>
        <v>0</v>
      </c>
      <c r="BI980" t="s">
        <v>98</v>
      </c>
    </row>
    <row r="981" spans="1:62">
      <c r="A981" s="13">
        <v>1988</v>
      </c>
      <c r="B981" s="13" t="s">
        <v>2142</v>
      </c>
      <c r="C981" s="12" t="s">
        <v>87</v>
      </c>
      <c r="D981" s="12" t="s">
        <v>205</v>
      </c>
      <c r="E981" s="12" t="s">
        <v>2143</v>
      </c>
      <c r="F981" s="12" t="s">
        <v>14</v>
      </c>
      <c r="G981" s="12" t="s">
        <v>90</v>
      </c>
      <c r="H981" s="12" t="s">
        <v>2172</v>
      </c>
      <c r="I981" s="12">
        <v>564200130574</v>
      </c>
      <c r="J981" s="12" t="s">
        <v>2173</v>
      </c>
      <c r="K981" s="12">
        <v>1</v>
      </c>
      <c r="L981" s="12">
        <v>139</v>
      </c>
      <c r="M981" s="12"/>
      <c r="N981" s="13">
        <v>1988</v>
      </c>
      <c r="O981" s="12" t="s">
        <v>93</v>
      </c>
      <c r="P981" s="12"/>
      <c r="Q981" s="12"/>
      <c r="R981" s="12" t="s">
        <v>94</v>
      </c>
      <c r="S981" s="12">
        <v>10</v>
      </c>
      <c r="T981" s="12" t="s">
        <v>1363</v>
      </c>
      <c r="U981" s="12" t="s">
        <v>1364</v>
      </c>
      <c r="V981" s="12">
        <f>VLOOKUP(Tabla4[[#This Row],[ZONA DEFINITIVO]],Hoja1!$A$1:$D$121,3,0)</f>
        <v>229145</v>
      </c>
      <c r="W981" s="12">
        <f>VLOOKUP(Tabla4[[#This Row],[ZONA DEFINITIVO]],Hoja1!$A$1:$D$121,2,0)</f>
        <v>15217</v>
      </c>
      <c r="X981" s="12">
        <f>VLOOKUP(Tabla4[[#This Row],[ZONA DEFINITIVO]],Hoja1!$A$1:$D$121,4,0)</f>
        <v>86625</v>
      </c>
      <c r="Y981" s="12" t="str">
        <f>+IF(Tabla4[[#This Row],[AGRUPACIONES]]=1,SUMIFS(Tabla4[UDS],Tabla4[ZONA DEFINITIVO],Tabla4[[#This Row],[ZONA DEFINITIVO]])," ")</f>
        <v xml:space="preserve"> </v>
      </c>
      <c r="Z981" s="12" t="str">
        <f>+IF(Tabla4[[#This Row],[AGRUPACIONES]]=1,SUMIFS(Tabla4[TOTAL COBERTURA],Tabla4[ZONA DEFINITIVO],Tabla4[[#This Row],[ZONA DEFINITIVO]])," ")</f>
        <v xml:space="preserve"> </v>
      </c>
      <c r="AA981" s="12"/>
      <c r="AB981" s="38">
        <v>582250150</v>
      </c>
      <c r="AC981" s="37">
        <v>0.02</v>
      </c>
      <c r="AD981" s="38">
        <f t="shared" si="16"/>
        <v>11645003</v>
      </c>
      <c r="AE981" s="12"/>
      <c r="AF981" s="12">
        <f>COUNTIF($A$20:A981,A981)</f>
        <v>15</v>
      </c>
      <c r="AG981" s="38">
        <v>582250150</v>
      </c>
      <c r="AH981" s="38">
        <f>Tabla4[[#This Row],[VALOR CONTRAPARTIDA]]+Tabla4[[#This Row],[TOTAL APORTES ICBF]]</f>
        <v>593895153</v>
      </c>
      <c r="AI981" s="35"/>
      <c r="AJ981" s="38"/>
      <c r="AK981" s="38"/>
      <c r="AL981" s="23"/>
      <c r="AM981" s="35">
        <f>VLOOKUP(Tabla4[[#This Row],[SERVICIO 2025]],$J$2:$V$14,5,0)*Tabla4[[#This Row],[TOTAL COBERTURA]]</f>
        <v>12251877</v>
      </c>
      <c r="AN981" s="35">
        <f>VLOOKUP(Tabla4[[#This Row],[SERVICIO 2025]],$J$2:$V$14,6,0)*Tabla4[[#This Row],[TOTAL COBERTURA]]</f>
        <v>10430977</v>
      </c>
      <c r="AO981" s="35">
        <f>VLOOKUP(Tabla4[[#This Row],[SERVICIO 2025]],$J$2:$V$14,8,0)*Tabla4[[#This Row],[TOTAL COBERTURA]]</f>
        <v>0</v>
      </c>
      <c r="AP981" s="35">
        <f>VLOOKUP(Tabla4[[#This Row],[SERVICIO 2025]],$J$2:$V$14,3,0)*Tabla4[[#This Row],[TOTAL COBERTURA]]*8</f>
        <v>559567296</v>
      </c>
      <c r="AQ981" s="35"/>
      <c r="AR981" s="35">
        <f>Tabla4[[#This Row],[VALOR FASE PREPARATORIA DE ALISTAMIENTO]]+Tabla4[[#This Row],[VALOR FASE PREPARATORIA DE CIERRE]]+Tabla4[[#This Row],[DOTACIÓN ÚNICA]]+Tabla4[[#This Row],[VALOR ATENCIÓN]]+Tabla4[[#This Row],[VALOR RACION PREPARADA]]</f>
        <v>582250150</v>
      </c>
      <c r="AS981" s="35" t="str">
        <f>+IF(Tabla4[[#This Row],[AGRUPACIONES]]=1,SUMIFS(Tabla4[VALOR TOTAL],Tabla4[ZONA DEFINITIVO],Tabla4[[#This Row],[ZONA DEFINITIVO]])," ")</f>
        <v xml:space="preserve"> </v>
      </c>
      <c r="AT981" s="27">
        <f>(VLOOKUP(Tabla4[[#This Row],[SERVICIO 2025]],$J$2:$V$14,3,0)*Tabla4[[#This Row],[TOTAL COBERTURA]])+Tabla4[[#This Row],[VALOR FASE PREPARATORIA DE ALISTAMIENTO]]+Tabla4[[#This Row],[DOTACIÓN ÚNICA]]</f>
        <v>82197789</v>
      </c>
      <c r="AU981" s="35">
        <f>(VLOOKUP(Tabla4[[#This Row],[SERVICIO 2025]],$J$2:$V$14,3,0)*Tabla4[[#This Row],[TOTAL COBERTURA]])</f>
        <v>69945912</v>
      </c>
      <c r="AV981" s="35">
        <f>(VLOOKUP(Tabla4[[#This Row],[SERVICIO 2025]],$J$2:$V$14,3,0)*Tabla4[[#This Row],[TOTAL COBERTURA]])</f>
        <v>69945912</v>
      </c>
      <c r="AW981" s="35">
        <f>(VLOOKUP(Tabla4[[#This Row],[SERVICIO 2025]],$J$2:$V$14,3,0)*Tabla4[[#This Row],[TOTAL COBERTURA]])</f>
        <v>69945912</v>
      </c>
      <c r="AX981" s="35">
        <f>(VLOOKUP(Tabla4[[#This Row],[SERVICIO 2025]],$J$2:$V$14,3,0)*Tabla4[[#This Row],[TOTAL COBERTURA]])</f>
        <v>69945912</v>
      </c>
      <c r="AY981" s="35">
        <f>(VLOOKUP(Tabla4[[#This Row],[SERVICIO 2025]],$J$2:$V$14,3,0)*Tabla4[[#This Row],[TOTAL COBERTURA]])</f>
        <v>69945912</v>
      </c>
      <c r="AZ981" s="35">
        <f>(VLOOKUP(Tabla4[[#This Row],[SERVICIO 2025]],$J$2:$V$14,3,0)*Tabla4[[#This Row],[TOTAL COBERTURA]])</f>
        <v>69945912</v>
      </c>
      <c r="BA981" s="35">
        <f>(VLOOKUP(Tabla4[[#This Row],[SERVICIO 2025]],$J$2:$V$14,3,0)*Tabla4[[#This Row],[TOTAL COBERTURA]])+Tabla4[[#This Row],[VALOR FASE PREPARATORIA DE CIERRE]]</f>
        <v>80376889</v>
      </c>
      <c r="BB981" s="35">
        <f>SUM(Tabla4[[#This Row],[DESEMBOLSO 1]:[DESEMBOLSO 8]])</f>
        <v>582250150</v>
      </c>
      <c r="BC981" s="35">
        <f>VLOOKUP(Tabla4[[#This Row],[SERVICIO 2025]],$J$2:$V$14,10,0)*Tabla4[[#This Row],[TOTAL COBERTURA]]*$W$3</f>
        <v>0</v>
      </c>
      <c r="BD981" s="47" t="s">
        <v>145</v>
      </c>
      <c r="BE981" s="12" t="b">
        <f>EXACT(Tabla4[[#This Row],[VALOR ATENCIÓN (8 MESES)]],Tabla4[[#This Row],[VALOR TOTAL]])</f>
        <v>1</v>
      </c>
      <c r="BF981" s="23">
        <f>Tabla4[[#This Row],[VALOR ATENCIÓN (8 MESES)]]-Tabla4[[#This Row],[VALOR TOTAL]]</f>
        <v>0</v>
      </c>
      <c r="BG981" s="12" t="b">
        <f>EXACT(Tabla4[[#This Row],[TOTAL DESEMBOLSOS]],Tabla4[[#This Row],[VALOR ATENCIÓN (8 MESES)]])</f>
        <v>1</v>
      </c>
      <c r="BH981" s="29">
        <f>Tabla4[[#This Row],[TOTAL DESEMBOLSOS]]-Tabla4[[#This Row],[VALOR ATENCIÓN (8 MESES)]]</f>
        <v>0</v>
      </c>
      <c r="BI981" t="s">
        <v>98</v>
      </c>
    </row>
    <row r="982" spans="1:62">
      <c r="A982" s="13">
        <v>1994</v>
      </c>
      <c r="B982" s="13" t="s">
        <v>2174</v>
      </c>
      <c r="C982" s="12" t="s">
        <v>87</v>
      </c>
      <c r="D982" s="12" t="s">
        <v>462</v>
      </c>
      <c r="E982" s="12" t="s">
        <v>2175</v>
      </c>
      <c r="F982" s="12" t="s">
        <v>18</v>
      </c>
      <c r="G982" s="12" t="s">
        <v>90</v>
      </c>
      <c r="H982" s="12" t="s">
        <v>2176</v>
      </c>
      <c r="I982" s="12">
        <v>56591118909</v>
      </c>
      <c r="J982" s="12" t="s">
        <v>2177</v>
      </c>
      <c r="K982" s="12">
        <v>1</v>
      </c>
      <c r="L982" s="12">
        <v>50</v>
      </c>
      <c r="M982" s="12"/>
      <c r="N982" s="13">
        <v>1994</v>
      </c>
      <c r="O982" s="12" t="s">
        <v>93</v>
      </c>
      <c r="P982" s="12"/>
      <c r="Q982" s="12"/>
      <c r="R982" s="12" t="s">
        <v>94</v>
      </c>
      <c r="S982" s="12">
        <v>10</v>
      </c>
      <c r="T982" s="12" t="s">
        <v>2178</v>
      </c>
      <c r="U982" s="12" t="s">
        <v>2179</v>
      </c>
      <c r="V982" s="12">
        <f>VLOOKUP(Tabla4[[#This Row],[ZONA DEFINITIVO]],Hoja1!$A$1:$D$121,3,0)</f>
        <v>229179</v>
      </c>
      <c r="W982" s="12">
        <f>VLOOKUP(Tabla4[[#This Row],[ZONA DEFINITIVO]],Hoja1!$A$1:$D$121,2,0)</f>
        <v>15356</v>
      </c>
      <c r="X982" s="12">
        <f>VLOOKUP(Tabla4[[#This Row],[ZONA DEFINITIVO]],Hoja1!$A$1:$D$121,4,0)</f>
        <v>87825</v>
      </c>
      <c r="Y982" s="12">
        <f>+IF(Tabla4[[#This Row],[AGRUPACIONES]]=1,SUMIFS(Tabla4[UDS],Tabla4[ZONA DEFINITIVO],Tabla4[[#This Row],[ZONA DEFINITIVO]])," ")</f>
        <v>11</v>
      </c>
      <c r="Z982" s="12">
        <f>+IF(Tabla4[[#This Row],[AGRUPACIONES]]=1,SUMIFS(Tabla4[TOTAL COBERTURA],Tabla4[ZONA DEFINITIVO],Tabla4[[#This Row],[ZONA DEFINITIVO]])," ")</f>
        <v>643</v>
      </c>
      <c r="AA982" s="12"/>
      <c r="AB982" s="38">
        <v>109009650</v>
      </c>
      <c r="AC982" s="37">
        <v>0.02</v>
      </c>
      <c r="AD982" s="38">
        <f t="shared" si="16"/>
        <v>2180193</v>
      </c>
      <c r="AE982" s="12"/>
      <c r="AF982" s="12">
        <f>COUNTIF($A$20:A982,A982)</f>
        <v>1</v>
      </c>
      <c r="AG982" s="38">
        <v>109009650</v>
      </c>
      <c r="AH982" s="38">
        <f>Tabla4[[#This Row],[VALOR CONTRAPARTIDA]]+Tabla4[[#This Row],[TOTAL APORTES ICBF]]</f>
        <v>111189843</v>
      </c>
      <c r="AI982" s="35">
        <f>ROUND(+IF(Tabla4[[#This Row],[AGRUPACIONES]]=1,SUMIFS(Tabla4[TOTAL APORTES ICBF],Tabla4[ZONA DEFINITIVO],Tabla4[[#This Row],[ZONA DEFINITIVO]])," "),0)</f>
        <v>1553284134</v>
      </c>
      <c r="AJ982" s="38">
        <f>ROUND(+IF(Tabla4[[#This Row],[AGRUPACIONES]]=1,SUMIFS(Tabla4[VALOR CONTRAPARTIDA],Tabla4[ZONA DEFINITIVO],Tabla4[[#This Row],[ZONA DEFINITIVO]])," "),0)</f>
        <v>31065683</v>
      </c>
      <c r="AK982" s="38">
        <f>Tabla4[[#This Row],[TOTAL APORTES ICBF AGRUPADO]]+Tabla4[[#This Row],[TOTAL CONTRAPARTIDA AGRUPADO]]</f>
        <v>1584349817</v>
      </c>
      <c r="AL982" s="23">
        <f>Tabla4[[#This Row],[TOTAL APORTES ICBF AGRUPADO]]/$AL$18</f>
        <v>1091.1725563751318</v>
      </c>
      <c r="AM982" s="35">
        <f>VLOOKUP(Tabla4[[#This Row],[SERVICIO 2025]],$J$2:$V$14,5,0)*Tabla4[[#This Row],[TOTAL COBERTURA]]</f>
        <v>2468800</v>
      </c>
      <c r="AN982" s="35">
        <f>VLOOKUP(Tabla4[[#This Row],[SERVICIO 2025]],$J$2:$V$14,6,0)*Tabla4[[#This Row],[TOTAL COBERTURA]]</f>
        <v>2051450</v>
      </c>
      <c r="AO982" s="35">
        <f>VLOOKUP(Tabla4[[#This Row],[SERVICIO 2025]],$J$2:$V$14,8,0)*Tabla4[[#This Row],[TOTAL COBERTURA]]</f>
        <v>1455000</v>
      </c>
      <c r="AP982" s="35">
        <f>VLOOKUP(Tabla4[[#This Row],[SERVICIO 2025]],$J$2:$V$14,3,0)*Tabla4[[#This Row],[TOTAL COBERTURA]]*8</f>
        <v>103034400</v>
      </c>
      <c r="AQ982" s="35"/>
      <c r="AR982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82" s="35">
        <f>+IF(Tabla4[[#This Row],[AGRUPACIONES]]=1,SUMIFS(Tabla4[VALOR TOTAL],Tabla4[ZONA DEFINITIVO],Tabla4[[#This Row],[ZONA DEFINITIVO]])," ")</f>
        <v>1553284134</v>
      </c>
      <c r="AT982" s="27">
        <f>(VLOOKUP(Tabla4[[#This Row],[SERVICIO 2025]],$J$2:$V$14,3,0)*Tabla4[[#This Row],[TOTAL COBERTURA]])+Tabla4[[#This Row],[VALOR FASE PREPARATORIA DE ALISTAMIENTO]]+Tabla4[[#This Row],[DOTACIÓN ÚNICA]]</f>
        <v>16803100</v>
      </c>
      <c r="AU982" s="35">
        <f>(VLOOKUP(Tabla4[[#This Row],[SERVICIO 2025]],$J$2:$V$14,3,0)*Tabla4[[#This Row],[TOTAL COBERTURA]])</f>
        <v>12879300</v>
      </c>
      <c r="AV982" s="35">
        <f>(VLOOKUP(Tabla4[[#This Row],[SERVICIO 2025]],$J$2:$V$14,3,0)*Tabla4[[#This Row],[TOTAL COBERTURA]])</f>
        <v>12879300</v>
      </c>
      <c r="AW982" s="35">
        <f>(VLOOKUP(Tabla4[[#This Row],[SERVICIO 2025]],$J$2:$V$14,3,0)*Tabla4[[#This Row],[TOTAL COBERTURA]])</f>
        <v>12879300</v>
      </c>
      <c r="AX982" s="35">
        <f>(VLOOKUP(Tabla4[[#This Row],[SERVICIO 2025]],$J$2:$V$14,3,0)*Tabla4[[#This Row],[TOTAL COBERTURA]])</f>
        <v>12879300</v>
      </c>
      <c r="AY982" s="35">
        <f>(VLOOKUP(Tabla4[[#This Row],[SERVICIO 2025]],$J$2:$V$14,3,0)*Tabla4[[#This Row],[TOTAL COBERTURA]])</f>
        <v>12879300</v>
      </c>
      <c r="AZ982" s="35">
        <f>(VLOOKUP(Tabla4[[#This Row],[SERVICIO 2025]],$J$2:$V$14,3,0)*Tabla4[[#This Row],[TOTAL COBERTURA]])</f>
        <v>12879300</v>
      </c>
      <c r="BA982" s="35">
        <f>(VLOOKUP(Tabla4[[#This Row],[SERVICIO 2025]],$J$2:$V$14,3,0)*Tabla4[[#This Row],[TOTAL COBERTURA]])+Tabla4[[#This Row],[VALOR FASE PREPARATORIA DE CIERRE]]</f>
        <v>14930750</v>
      </c>
      <c r="BB982" s="35">
        <f>SUM(Tabla4[[#This Row],[DESEMBOLSO 1]:[DESEMBOLSO 8]])</f>
        <v>109009650</v>
      </c>
      <c r="BC982" s="35">
        <f>VLOOKUP(Tabla4[[#This Row],[SERVICIO 2025]],$J$2:$V$14,10,0)*Tabla4[[#This Row],[TOTAL COBERTURA]]*$W$3</f>
        <v>72153200</v>
      </c>
      <c r="BD982" s="47" t="s">
        <v>211</v>
      </c>
      <c r="BE982" s="12" t="b">
        <f>EXACT(Tabla4[[#This Row],[VALOR ATENCIÓN (8 MESES)]],Tabla4[[#This Row],[VALOR TOTAL]])</f>
        <v>1</v>
      </c>
      <c r="BF982" s="23">
        <f>Tabla4[[#This Row],[VALOR ATENCIÓN (8 MESES)]]-Tabla4[[#This Row],[VALOR TOTAL]]</f>
        <v>0</v>
      </c>
      <c r="BG982" s="12" t="b">
        <f>EXACT(Tabla4[[#This Row],[TOTAL DESEMBOLSOS]],Tabla4[[#This Row],[VALOR ATENCIÓN (8 MESES)]])</f>
        <v>1</v>
      </c>
      <c r="BH982" s="29">
        <f>Tabla4[[#This Row],[TOTAL DESEMBOLSOS]]-Tabla4[[#This Row],[VALOR ATENCIÓN (8 MESES)]]</f>
        <v>0</v>
      </c>
      <c r="BI982" t="s">
        <v>98</v>
      </c>
      <c r="BJ982">
        <v>1994</v>
      </c>
    </row>
    <row r="983" spans="1:62">
      <c r="A983" s="13">
        <v>1994</v>
      </c>
      <c r="B983" s="13" t="s">
        <v>2174</v>
      </c>
      <c r="C983" s="12" t="s">
        <v>87</v>
      </c>
      <c r="D983" s="12" t="s">
        <v>462</v>
      </c>
      <c r="E983" s="12" t="s">
        <v>2175</v>
      </c>
      <c r="F983" s="12" t="s">
        <v>18</v>
      </c>
      <c r="G983" s="12" t="s">
        <v>90</v>
      </c>
      <c r="H983" s="12" t="s">
        <v>363</v>
      </c>
      <c r="I983" s="12">
        <v>56591118910</v>
      </c>
      <c r="J983" s="12" t="s">
        <v>2180</v>
      </c>
      <c r="K983" s="12">
        <v>1</v>
      </c>
      <c r="L983" s="12">
        <v>48</v>
      </c>
      <c r="M983" s="12"/>
      <c r="N983" s="13">
        <v>1994</v>
      </c>
      <c r="O983" s="12" t="s">
        <v>93</v>
      </c>
      <c r="P983" s="12"/>
      <c r="Q983" s="12"/>
      <c r="R983" s="12" t="s">
        <v>94</v>
      </c>
      <c r="S983" s="12">
        <v>10</v>
      </c>
      <c r="T983" s="12" t="s">
        <v>2178</v>
      </c>
      <c r="U983" s="12" t="s">
        <v>2179</v>
      </c>
      <c r="V983" s="12">
        <f>VLOOKUP(Tabla4[[#This Row],[ZONA DEFINITIVO]],Hoja1!$A$1:$D$121,3,0)</f>
        <v>229179</v>
      </c>
      <c r="W983" s="12">
        <f>VLOOKUP(Tabla4[[#This Row],[ZONA DEFINITIVO]],Hoja1!$A$1:$D$121,2,0)</f>
        <v>15356</v>
      </c>
      <c r="X983" s="12">
        <f>VLOOKUP(Tabla4[[#This Row],[ZONA DEFINITIVO]],Hoja1!$A$1:$D$121,4,0)</f>
        <v>87825</v>
      </c>
      <c r="Y983" s="12" t="str">
        <f>+IF(Tabla4[[#This Row],[AGRUPACIONES]]=1,SUMIFS(Tabla4[UDS],Tabla4[ZONA DEFINITIVO],Tabla4[[#This Row],[ZONA DEFINITIVO]])," ")</f>
        <v xml:space="preserve"> </v>
      </c>
      <c r="Z983" s="12" t="str">
        <f>+IF(Tabla4[[#This Row],[AGRUPACIONES]]=1,SUMIFS(Tabla4[TOTAL COBERTURA],Tabla4[ZONA DEFINITIVO],Tabla4[[#This Row],[ZONA DEFINITIVO]])," ")</f>
        <v xml:space="preserve"> </v>
      </c>
      <c r="AA983" s="12"/>
      <c r="AB983" s="38">
        <v>104649264</v>
      </c>
      <c r="AC983" s="37">
        <v>0.02</v>
      </c>
      <c r="AD983" s="38">
        <f t="shared" si="16"/>
        <v>2092985.28</v>
      </c>
      <c r="AE983" s="12"/>
      <c r="AF983" s="12">
        <f>COUNTIF($A$20:A983,A983)</f>
        <v>2</v>
      </c>
      <c r="AG983" s="38">
        <v>104649264</v>
      </c>
      <c r="AH983" s="38">
        <f>Tabla4[[#This Row],[VALOR CONTRAPARTIDA]]+Tabla4[[#This Row],[TOTAL APORTES ICBF]]</f>
        <v>106742249.28</v>
      </c>
      <c r="AI983" s="35"/>
      <c r="AJ983" s="38"/>
      <c r="AK983" s="38"/>
      <c r="AL983" s="23"/>
      <c r="AM983" s="35">
        <f>VLOOKUP(Tabla4[[#This Row],[SERVICIO 2025]],$J$2:$V$14,5,0)*Tabla4[[#This Row],[TOTAL COBERTURA]]</f>
        <v>2370048</v>
      </c>
      <c r="AN983" s="35">
        <f>VLOOKUP(Tabla4[[#This Row],[SERVICIO 2025]],$J$2:$V$14,6,0)*Tabla4[[#This Row],[TOTAL COBERTURA]]</f>
        <v>1969392</v>
      </c>
      <c r="AO983" s="35">
        <f>VLOOKUP(Tabla4[[#This Row],[SERVICIO 2025]],$J$2:$V$14,8,0)*Tabla4[[#This Row],[TOTAL COBERTURA]]</f>
        <v>1396800</v>
      </c>
      <c r="AP983" s="35">
        <f>VLOOKUP(Tabla4[[#This Row],[SERVICIO 2025]],$J$2:$V$14,3,0)*Tabla4[[#This Row],[TOTAL COBERTURA]]*8</f>
        <v>98913024</v>
      </c>
      <c r="AQ983" s="35"/>
      <c r="AR983" s="35">
        <f>Tabla4[[#This Row],[VALOR FASE PREPARATORIA DE ALISTAMIENTO]]+Tabla4[[#This Row],[VALOR FASE PREPARATORIA DE CIERRE]]+Tabla4[[#This Row],[DOTACIÓN ÚNICA]]+Tabla4[[#This Row],[VALOR ATENCIÓN]]+Tabla4[[#This Row],[VALOR RACION PREPARADA]]</f>
        <v>104649264</v>
      </c>
      <c r="AS983" s="35" t="str">
        <f>+IF(Tabla4[[#This Row],[AGRUPACIONES]]=1,SUMIFS(Tabla4[VALOR TOTAL],Tabla4[ZONA DEFINITIVO],Tabla4[[#This Row],[ZONA DEFINITIVO]])," ")</f>
        <v xml:space="preserve"> </v>
      </c>
      <c r="AT983" s="27">
        <f>(VLOOKUP(Tabla4[[#This Row],[SERVICIO 2025]],$J$2:$V$14,3,0)*Tabla4[[#This Row],[TOTAL COBERTURA]])+Tabla4[[#This Row],[VALOR FASE PREPARATORIA DE ALISTAMIENTO]]+Tabla4[[#This Row],[DOTACIÓN ÚNICA]]</f>
        <v>16130976</v>
      </c>
      <c r="AU983" s="35">
        <f>(VLOOKUP(Tabla4[[#This Row],[SERVICIO 2025]],$J$2:$V$14,3,0)*Tabla4[[#This Row],[TOTAL COBERTURA]])</f>
        <v>12364128</v>
      </c>
      <c r="AV983" s="35">
        <f>(VLOOKUP(Tabla4[[#This Row],[SERVICIO 2025]],$J$2:$V$14,3,0)*Tabla4[[#This Row],[TOTAL COBERTURA]])</f>
        <v>12364128</v>
      </c>
      <c r="AW983" s="35">
        <f>(VLOOKUP(Tabla4[[#This Row],[SERVICIO 2025]],$J$2:$V$14,3,0)*Tabla4[[#This Row],[TOTAL COBERTURA]])</f>
        <v>12364128</v>
      </c>
      <c r="AX983" s="35">
        <f>(VLOOKUP(Tabla4[[#This Row],[SERVICIO 2025]],$J$2:$V$14,3,0)*Tabla4[[#This Row],[TOTAL COBERTURA]])</f>
        <v>12364128</v>
      </c>
      <c r="AY983" s="35">
        <f>(VLOOKUP(Tabla4[[#This Row],[SERVICIO 2025]],$J$2:$V$14,3,0)*Tabla4[[#This Row],[TOTAL COBERTURA]])</f>
        <v>12364128</v>
      </c>
      <c r="AZ983" s="35">
        <f>(VLOOKUP(Tabla4[[#This Row],[SERVICIO 2025]],$J$2:$V$14,3,0)*Tabla4[[#This Row],[TOTAL COBERTURA]])</f>
        <v>12364128</v>
      </c>
      <c r="BA983" s="35">
        <f>(VLOOKUP(Tabla4[[#This Row],[SERVICIO 2025]],$J$2:$V$14,3,0)*Tabla4[[#This Row],[TOTAL COBERTURA]])+Tabla4[[#This Row],[VALOR FASE PREPARATORIA DE CIERRE]]</f>
        <v>14333520</v>
      </c>
      <c r="BB983" s="35">
        <f>SUM(Tabla4[[#This Row],[DESEMBOLSO 1]:[DESEMBOLSO 8]])</f>
        <v>104649264</v>
      </c>
      <c r="BC983" s="35">
        <f>VLOOKUP(Tabla4[[#This Row],[SERVICIO 2025]],$J$2:$V$14,10,0)*Tabla4[[#This Row],[TOTAL COBERTURA]]*$W$3</f>
        <v>69267072</v>
      </c>
      <c r="BD983" s="47" t="s">
        <v>211</v>
      </c>
      <c r="BE983" s="12" t="b">
        <f>EXACT(Tabla4[[#This Row],[VALOR ATENCIÓN (8 MESES)]],Tabla4[[#This Row],[VALOR TOTAL]])</f>
        <v>1</v>
      </c>
      <c r="BF983" s="23">
        <f>Tabla4[[#This Row],[VALOR ATENCIÓN (8 MESES)]]-Tabla4[[#This Row],[VALOR TOTAL]]</f>
        <v>0</v>
      </c>
      <c r="BG983" s="12" t="b">
        <f>EXACT(Tabla4[[#This Row],[TOTAL DESEMBOLSOS]],Tabla4[[#This Row],[VALOR ATENCIÓN (8 MESES)]])</f>
        <v>1</v>
      </c>
      <c r="BH983" s="29">
        <f>Tabla4[[#This Row],[TOTAL DESEMBOLSOS]]-Tabla4[[#This Row],[VALOR ATENCIÓN (8 MESES)]]</f>
        <v>0</v>
      </c>
      <c r="BI983" t="s">
        <v>98</v>
      </c>
      <c r="BJ983">
        <v>1994</v>
      </c>
    </row>
    <row r="984" spans="1:62">
      <c r="A984" s="13">
        <v>1994</v>
      </c>
      <c r="B984" s="13" t="s">
        <v>2174</v>
      </c>
      <c r="C984" s="12" t="s">
        <v>87</v>
      </c>
      <c r="D984" s="12" t="s">
        <v>462</v>
      </c>
      <c r="E984" s="12" t="s">
        <v>2175</v>
      </c>
      <c r="F984" s="12" t="s">
        <v>18</v>
      </c>
      <c r="G984" s="12" t="s">
        <v>90</v>
      </c>
      <c r="H984" s="12" t="s">
        <v>2181</v>
      </c>
      <c r="I984" s="12">
        <v>56591118911</v>
      </c>
      <c r="J984" s="12" t="s">
        <v>2182</v>
      </c>
      <c r="K984" s="12">
        <v>1</v>
      </c>
      <c r="L984" s="12">
        <v>50</v>
      </c>
      <c r="M984" s="12"/>
      <c r="N984" s="13">
        <v>1994</v>
      </c>
      <c r="O984" s="12" t="s">
        <v>93</v>
      </c>
      <c r="P984" s="12"/>
      <c r="Q984" s="12"/>
      <c r="R984" s="12" t="s">
        <v>94</v>
      </c>
      <c r="S984" s="12">
        <v>10</v>
      </c>
      <c r="T984" s="12" t="s">
        <v>2178</v>
      </c>
      <c r="U984" s="12" t="s">
        <v>2179</v>
      </c>
      <c r="V984" s="12">
        <f>VLOOKUP(Tabla4[[#This Row],[ZONA DEFINITIVO]],Hoja1!$A$1:$D$121,3,0)</f>
        <v>229179</v>
      </c>
      <c r="W984" s="12">
        <f>VLOOKUP(Tabla4[[#This Row],[ZONA DEFINITIVO]],Hoja1!$A$1:$D$121,2,0)</f>
        <v>15356</v>
      </c>
      <c r="X984" s="12">
        <f>VLOOKUP(Tabla4[[#This Row],[ZONA DEFINITIVO]],Hoja1!$A$1:$D$121,4,0)</f>
        <v>87825</v>
      </c>
      <c r="Y984" s="12" t="str">
        <f>+IF(Tabla4[[#This Row],[AGRUPACIONES]]=1,SUMIFS(Tabla4[UDS],Tabla4[ZONA DEFINITIVO],Tabla4[[#This Row],[ZONA DEFINITIVO]])," ")</f>
        <v xml:space="preserve"> </v>
      </c>
      <c r="Z984" s="12" t="str">
        <f>+IF(Tabla4[[#This Row],[AGRUPACIONES]]=1,SUMIFS(Tabla4[TOTAL COBERTURA],Tabla4[ZONA DEFINITIVO],Tabla4[[#This Row],[ZONA DEFINITIVO]])," ")</f>
        <v xml:space="preserve"> </v>
      </c>
      <c r="AA984" s="12"/>
      <c r="AB984" s="38">
        <v>109009650</v>
      </c>
      <c r="AC984" s="37">
        <v>0.02</v>
      </c>
      <c r="AD984" s="38">
        <f t="shared" si="16"/>
        <v>2180193</v>
      </c>
      <c r="AE984" s="12"/>
      <c r="AF984" s="12">
        <f>COUNTIF($A$20:A984,A984)</f>
        <v>3</v>
      </c>
      <c r="AG984" s="38">
        <v>109009650</v>
      </c>
      <c r="AH984" s="38">
        <f>Tabla4[[#This Row],[VALOR CONTRAPARTIDA]]+Tabla4[[#This Row],[TOTAL APORTES ICBF]]</f>
        <v>111189843</v>
      </c>
      <c r="AI984" s="35"/>
      <c r="AJ984" s="38"/>
      <c r="AK984" s="38"/>
      <c r="AL984" s="23"/>
      <c r="AM984" s="35">
        <f>VLOOKUP(Tabla4[[#This Row],[SERVICIO 2025]],$J$2:$V$14,5,0)*Tabla4[[#This Row],[TOTAL COBERTURA]]</f>
        <v>2468800</v>
      </c>
      <c r="AN984" s="35">
        <f>VLOOKUP(Tabla4[[#This Row],[SERVICIO 2025]],$J$2:$V$14,6,0)*Tabla4[[#This Row],[TOTAL COBERTURA]]</f>
        <v>2051450</v>
      </c>
      <c r="AO984" s="35">
        <f>VLOOKUP(Tabla4[[#This Row],[SERVICIO 2025]],$J$2:$V$14,8,0)*Tabla4[[#This Row],[TOTAL COBERTURA]]</f>
        <v>1455000</v>
      </c>
      <c r="AP984" s="35">
        <f>VLOOKUP(Tabla4[[#This Row],[SERVICIO 2025]],$J$2:$V$14,3,0)*Tabla4[[#This Row],[TOTAL COBERTURA]]*8</f>
        <v>103034400</v>
      </c>
      <c r="AQ984" s="35"/>
      <c r="AR984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84" s="35" t="str">
        <f>+IF(Tabla4[[#This Row],[AGRUPACIONES]]=1,SUMIFS(Tabla4[VALOR TOTAL],Tabla4[ZONA DEFINITIVO],Tabla4[[#This Row],[ZONA DEFINITIVO]])," ")</f>
        <v xml:space="preserve"> </v>
      </c>
      <c r="AT984" s="27">
        <f>(VLOOKUP(Tabla4[[#This Row],[SERVICIO 2025]],$J$2:$V$14,3,0)*Tabla4[[#This Row],[TOTAL COBERTURA]])+Tabla4[[#This Row],[VALOR FASE PREPARATORIA DE ALISTAMIENTO]]+Tabla4[[#This Row],[DOTACIÓN ÚNICA]]</f>
        <v>16803100</v>
      </c>
      <c r="AU984" s="35">
        <f>(VLOOKUP(Tabla4[[#This Row],[SERVICIO 2025]],$J$2:$V$14,3,0)*Tabla4[[#This Row],[TOTAL COBERTURA]])</f>
        <v>12879300</v>
      </c>
      <c r="AV984" s="35">
        <f>(VLOOKUP(Tabla4[[#This Row],[SERVICIO 2025]],$J$2:$V$14,3,0)*Tabla4[[#This Row],[TOTAL COBERTURA]])</f>
        <v>12879300</v>
      </c>
      <c r="AW984" s="35">
        <f>(VLOOKUP(Tabla4[[#This Row],[SERVICIO 2025]],$J$2:$V$14,3,0)*Tabla4[[#This Row],[TOTAL COBERTURA]])</f>
        <v>12879300</v>
      </c>
      <c r="AX984" s="35">
        <f>(VLOOKUP(Tabla4[[#This Row],[SERVICIO 2025]],$J$2:$V$14,3,0)*Tabla4[[#This Row],[TOTAL COBERTURA]])</f>
        <v>12879300</v>
      </c>
      <c r="AY984" s="35">
        <f>(VLOOKUP(Tabla4[[#This Row],[SERVICIO 2025]],$J$2:$V$14,3,0)*Tabla4[[#This Row],[TOTAL COBERTURA]])</f>
        <v>12879300</v>
      </c>
      <c r="AZ984" s="35">
        <f>(VLOOKUP(Tabla4[[#This Row],[SERVICIO 2025]],$J$2:$V$14,3,0)*Tabla4[[#This Row],[TOTAL COBERTURA]])</f>
        <v>12879300</v>
      </c>
      <c r="BA984" s="35">
        <f>(VLOOKUP(Tabla4[[#This Row],[SERVICIO 2025]],$J$2:$V$14,3,0)*Tabla4[[#This Row],[TOTAL COBERTURA]])+Tabla4[[#This Row],[VALOR FASE PREPARATORIA DE CIERRE]]</f>
        <v>14930750</v>
      </c>
      <c r="BB984" s="35">
        <f>SUM(Tabla4[[#This Row],[DESEMBOLSO 1]:[DESEMBOLSO 8]])</f>
        <v>109009650</v>
      </c>
      <c r="BC984" s="35">
        <f>VLOOKUP(Tabla4[[#This Row],[SERVICIO 2025]],$J$2:$V$14,10,0)*Tabla4[[#This Row],[TOTAL COBERTURA]]*$W$3</f>
        <v>72153200</v>
      </c>
      <c r="BD984" s="47" t="s">
        <v>211</v>
      </c>
      <c r="BE984" s="12" t="b">
        <f>EXACT(Tabla4[[#This Row],[VALOR ATENCIÓN (8 MESES)]],Tabla4[[#This Row],[VALOR TOTAL]])</f>
        <v>1</v>
      </c>
      <c r="BF984" s="23">
        <f>Tabla4[[#This Row],[VALOR ATENCIÓN (8 MESES)]]-Tabla4[[#This Row],[VALOR TOTAL]]</f>
        <v>0</v>
      </c>
      <c r="BG984" s="12" t="b">
        <f>EXACT(Tabla4[[#This Row],[TOTAL DESEMBOLSOS]],Tabla4[[#This Row],[VALOR ATENCIÓN (8 MESES)]])</f>
        <v>1</v>
      </c>
      <c r="BH984" s="29">
        <f>Tabla4[[#This Row],[TOTAL DESEMBOLSOS]]-Tabla4[[#This Row],[VALOR ATENCIÓN (8 MESES)]]</f>
        <v>0</v>
      </c>
      <c r="BI984" t="s">
        <v>98</v>
      </c>
      <c r="BJ984">
        <v>1994</v>
      </c>
    </row>
    <row r="985" spans="1:62">
      <c r="A985" s="13">
        <v>1994</v>
      </c>
      <c r="B985" s="13" t="s">
        <v>2174</v>
      </c>
      <c r="C985" s="12" t="s">
        <v>87</v>
      </c>
      <c r="D985" s="12" t="s">
        <v>462</v>
      </c>
      <c r="E985" s="12" t="s">
        <v>2175</v>
      </c>
      <c r="F985" s="12" t="s">
        <v>18</v>
      </c>
      <c r="G985" s="12" t="s">
        <v>90</v>
      </c>
      <c r="H985" s="12" t="s">
        <v>2183</v>
      </c>
      <c r="I985" s="12">
        <v>56591118912</v>
      </c>
      <c r="J985" s="12" t="s">
        <v>2184</v>
      </c>
      <c r="K985" s="12">
        <v>1</v>
      </c>
      <c r="L985" s="12">
        <v>50</v>
      </c>
      <c r="M985" s="12"/>
      <c r="N985" s="13">
        <v>1994</v>
      </c>
      <c r="O985" s="12" t="s">
        <v>93</v>
      </c>
      <c r="P985" s="12"/>
      <c r="Q985" s="12"/>
      <c r="R985" s="12" t="s">
        <v>94</v>
      </c>
      <c r="S985" s="12">
        <v>10</v>
      </c>
      <c r="T985" s="12" t="s">
        <v>2178</v>
      </c>
      <c r="U985" s="12" t="s">
        <v>2179</v>
      </c>
      <c r="V985" s="12">
        <f>VLOOKUP(Tabla4[[#This Row],[ZONA DEFINITIVO]],Hoja1!$A$1:$D$121,3,0)</f>
        <v>229179</v>
      </c>
      <c r="W985" s="12">
        <f>VLOOKUP(Tabla4[[#This Row],[ZONA DEFINITIVO]],Hoja1!$A$1:$D$121,2,0)</f>
        <v>15356</v>
      </c>
      <c r="X985" s="12">
        <f>VLOOKUP(Tabla4[[#This Row],[ZONA DEFINITIVO]],Hoja1!$A$1:$D$121,4,0)</f>
        <v>87825</v>
      </c>
      <c r="Y985" s="12" t="str">
        <f>+IF(Tabla4[[#This Row],[AGRUPACIONES]]=1,SUMIFS(Tabla4[UDS],Tabla4[ZONA DEFINITIVO],Tabla4[[#This Row],[ZONA DEFINITIVO]])," ")</f>
        <v xml:space="preserve"> </v>
      </c>
      <c r="Z985" s="12" t="str">
        <f>+IF(Tabla4[[#This Row],[AGRUPACIONES]]=1,SUMIFS(Tabla4[TOTAL COBERTURA],Tabla4[ZONA DEFINITIVO],Tabla4[[#This Row],[ZONA DEFINITIVO]])," ")</f>
        <v xml:space="preserve"> </v>
      </c>
      <c r="AA985" s="12"/>
      <c r="AB985" s="38">
        <v>109009650</v>
      </c>
      <c r="AC985" s="37">
        <v>0.02</v>
      </c>
      <c r="AD985" s="38">
        <f t="shared" si="16"/>
        <v>2180193</v>
      </c>
      <c r="AE985" s="12"/>
      <c r="AF985" s="12">
        <f>COUNTIF($A$20:A985,A985)</f>
        <v>4</v>
      </c>
      <c r="AG985" s="38">
        <v>109009650</v>
      </c>
      <c r="AH985" s="38">
        <f>Tabla4[[#This Row],[VALOR CONTRAPARTIDA]]+Tabla4[[#This Row],[TOTAL APORTES ICBF]]</f>
        <v>111189843</v>
      </c>
      <c r="AI985" s="35"/>
      <c r="AJ985" s="38"/>
      <c r="AK985" s="38"/>
      <c r="AL985" s="23"/>
      <c r="AM985" s="35">
        <f>VLOOKUP(Tabla4[[#This Row],[SERVICIO 2025]],$J$2:$V$14,5,0)*Tabla4[[#This Row],[TOTAL COBERTURA]]</f>
        <v>2468800</v>
      </c>
      <c r="AN985" s="35">
        <f>VLOOKUP(Tabla4[[#This Row],[SERVICIO 2025]],$J$2:$V$14,6,0)*Tabla4[[#This Row],[TOTAL COBERTURA]]</f>
        <v>2051450</v>
      </c>
      <c r="AO985" s="35">
        <f>VLOOKUP(Tabla4[[#This Row],[SERVICIO 2025]],$J$2:$V$14,8,0)*Tabla4[[#This Row],[TOTAL COBERTURA]]</f>
        <v>1455000</v>
      </c>
      <c r="AP985" s="35">
        <f>VLOOKUP(Tabla4[[#This Row],[SERVICIO 2025]],$J$2:$V$14,3,0)*Tabla4[[#This Row],[TOTAL COBERTURA]]*8</f>
        <v>103034400</v>
      </c>
      <c r="AQ985" s="35"/>
      <c r="AR985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85" s="35" t="str">
        <f>+IF(Tabla4[[#This Row],[AGRUPACIONES]]=1,SUMIFS(Tabla4[VALOR TOTAL],Tabla4[ZONA DEFINITIVO],Tabla4[[#This Row],[ZONA DEFINITIVO]])," ")</f>
        <v xml:space="preserve"> </v>
      </c>
      <c r="AT985" s="27">
        <f>(VLOOKUP(Tabla4[[#This Row],[SERVICIO 2025]],$J$2:$V$14,3,0)*Tabla4[[#This Row],[TOTAL COBERTURA]])+Tabla4[[#This Row],[VALOR FASE PREPARATORIA DE ALISTAMIENTO]]+Tabla4[[#This Row],[DOTACIÓN ÚNICA]]</f>
        <v>16803100</v>
      </c>
      <c r="AU985" s="35">
        <f>(VLOOKUP(Tabla4[[#This Row],[SERVICIO 2025]],$J$2:$V$14,3,0)*Tabla4[[#This Row],[TOTAL COBERTURA]])</f>
        <v>12879300</v>
      </c>
      <c r="AV985" s="35">
        <f>(VLOOKUP(Tabla4[[#This Row],[SERVICIO 2025]],$J$2:$V$14,3,0)*Tabla4[[#This Row],[TOTAL COBERTURA]])</f>
        <v>12879300</v>
      </c>
      <c r="AW985" s="35">
        <f>(VLOOKUP(Tabla4[[#This Row],[SERVICIO 2025]],$J$2:$V$14,3,0)*Tabla4[[#This Row],[TOTAL COBERTURA]])</f>
        <v>12879300</v>
      </c>
      <c r="AX985" s="35">
        <f>(VLOOKUP(Tabla4[[#This Row],[SERVICIO 2025]],$J$2:$V$14,3,0)*Tabla4[[#This Row],[TOTAL COBERTURA]])</f>
        <v>12879300</v>
      </c>
      <c r="AY985" s="35">
        <f>(VLOOKUP(Tabla4[[#This Row],[SERVICIO 2025]],$J$2:$V$14,3,0)*Tabla4[[#This Row],[TOTAL COBERTURA]])</f>
        <v>12879300</v>
      </c>
      <c r="AZ985" s="35">
        <f>(VLOOKUP(Tabla4[[#This Row],[SERVICIO 2025]],$J$2:$V$14,3,0)*Tabla4[[#This Row],[TOTAL COBERTURA]])</f>
        <v>12879300</v>
      </c>
      <c r="BA985" s="35">
        <f>(VLOOKUP(Tabla4[[#This Row],[SERVICIO 2025]],$J$2:$V$14,3,0)*Tabla4[[#This Row],[TOTAL COBERTURA]])+Tabla4[[#This Row],[VALOR FASE PREPARATORIA DE CIERRE]]</f>
        <v>14930750</v>
      </c>
      <c r="BB985" s="35">
        <f>SUM(Tabla4[[#This Row],[DESEMBOLSO 1]:[DESEMBOLSO 8]])</f>
        <v>109009650</v>
      </c>
      <c r="BC985" s="35">
        <f>VLOOKUP(Tabla4[[#This Row],[SERVICIO 2025]],$J$2:$V$14,10,0)*Tabla4[[#This Row],[TOTAL COBERTURA]]*$W$3</f>
        <v>72153200</v>
      </c>
      <c r="BD985" s="47" t="s">
        <v>211</v>
      </c>
      <c r="BE985" s="12" t="b">
        <f>EXACT(Tabla4[[#This Row],[VALOR ATENCIÓN (8 MESES)]],Tabla4[[#This Row],[VALOR TOTAL]])</f>
        <v>1</v>
      </c>
      <c r="BF985" s="23">
        <f>Tabla4[[#This Row],[VALOR ATENCIÓN (8 MESES)]]-Tabla4[[#This Row],[VALOR TOTAL]]</f>
        <v>0</v>
      </c>
      <c r="BG985" s="12" t="b">
        <f>EXACT(Tabla4[[#This Row],[TOTAL DESEMBOLSOS]],Tabla4[[#This Row],[VALOR ATENCIÓN (8 MESES)]])</f>
        <v>1</v>
      </c>
      <c r="BH985" s="29">
        <f>Tabla4[[#This Row],[TOTAL DESEMBOLSOS]]-Tabla4[[#This Row],[VALOR ATENCIÓN (8 MESES)]]</f>
        <v>0</v>
      </c>
      <c r="BI985" t="s">
        <v>98</v>
      </c>
      <c r="BJ985">
        <v>1994</v>
      </c>
    </row>
    <row r="986" spans="1:62">
      <c r="A986" s="13">
        <v>1994</v>
      </c>
      <c r="B986" s="13" t="s">
        <v>2174</v>
      </c>
      <c r="C986" s="12" t="s">
        <v>87</v>
      </c>
      <c r="D986" s="12" t="s">
        <v>462</v>
      </c>
      <c r="E986" s="12" t="s">
        <v>2175</v>
      </c>
      <c r="F986" s="12" t="s">
        <v>18</v>
      </c>
      <c r="G986" s="12" t="s">
        <v>90</v>
      </c>
      <c r="H986" s="12" t="s">
        <v>2185</v>
      </c>
      <c r="I986" s="12">
        <v>56591118913</v>
      </c>
      <c r="J986" s="12" t="s">
        <v>2186</v>
      </c>
      <c r="K986" s="12">
        <v>1</v>
      </c>
      <c r="L986" s="12">
        <v>50</v>
      </c>
      <c r="M986" s="12"/>
      <c r="N986" s="13">
        <v>1994</v>
      </c>
      <c r="O986" s="12" t="s">
        <v>93</v>
      </c>
      <c r="P986" s="12"/>
      <c r="Q986" s="12"/>
      <c r="R986" s="12" t="s">
        <v>94</v>
      </c>
      <c r="S986" s="12">
        <v>10</v>
      </c>
      <c r="T986" s="12" t="s">
        <v>2178</v>
      </c>
      <c r="U986" s="12" t="s">
        <v>2179</v>
      </c>
      <c r="V986" s="12">
        <f>VLOOKUP(Tabla4[[#This Row],[ZONA DEFINITIVO]],Hoja1!$A$1:$D$121,3,0)</f>
        <v>229179</v>
      </c>
      <c r="W986" s="12">
        <f>VLOOKUP(Tabla4[[#This Row],[ZONA DEFINITIVO]],Hoja1!$A$1:$D$121,2,0)</f>
        <v>15356</v>
      </c>
      <c r="X986" s="12">
        <f>VLOOKUP(Tabla4[[#This Row],[ZONA DEFINITIVO]],Hoja1!$A$1:$D$121,4,0)</f>
        <v>87825</v>
      </c>
      <c r="Y986" s="12" t="str">
        <f>+IF(Tabla4[[#This Row],[AGRUPACIONES]]=1,SUMIFS(Tabla4[UDS],Tabla4[ZONA DEFINITIVO],Tabla4[[#This Row],[ZONA DEFINITIVO]])," ")</f>
        <v xml:space="preserve"> </v>
      </c>
      <c r="Z986" s="12" t="str">
        <f>+IF(Tabla4[[#This Row],[AGRUPACIONES]]=1,SUMIFS(Tabla4[TOTAL COBERTURA],Tabla4[ZONA DEFINITIVO],Tabla4[[#This Row],[ZONA DEFINITIVO]])," ")</f>
        <v xml:space="preserve"> </v>
      </c>
      <c r="AA986" s="12"/>
      <c r="AB986" s="38">
        <v>109009650</v>
      </c>
      <c r="AC986" s="37">
        <v>0.02</v>
      </c>
      <c r="AD986" s="38">
        <f t="shared" si="16"/>
        <v>2180193</v>
      </c>
      <c r="AE986" s="12"/>
      <c r="AF986" s="12">
        <f>COUNTIF($A$20:A986,A986)</f>
        <v>5</v>
      </c>
      <c r="AG986" s="38">
        <v>109009650</v>
      </c>
      <c r="AH986" s="38">
        <f>Tabla4[[#This Row],[VALOR CONTRAPARTIDA]]+Tabla4[[#This Row],[TOTAL APORTES ICBF]]</f>
        <v>111189843</v>
      </c>
      <c r="AI986" s="35"/>
      <c r="AJ986" s="38"/>
      <c r="AK986" s="38"/>
      <c r="AL986" s="23"/>
      <c r="AM986" s="35">
        <f>VLOOKUP(Tabla4[[#This Row],[SERVICIO 2025]],$J$2:$V$14,5,0)*Tabla4[[#This Row],[TOTAL COBERTURA]]</f>
        <v>2468800</v>
      </c>
      <c r="AN986" s="35">
        <f>VLOOKUP(Tabla4[[#This Row],[SERVICIO 2025]],$J$2:$V$14,6,0)*Tabla4[[#This Row],[TOTAL COBERTURA]]</f>
        <v>2051450</v>
      </c>
      <c r="AO986" s="35">
        <f>VLOOKUP(Tabla4[[#This Row],[SERVICIO 2025]],$J$2:$V$14,8,0)*Tabla4[[#This Row],[TOTAL COBERTURA]]</f>
        <v>1455000</v>
      </c>
      <c r="AP986" s="35">
        <f>VLOOKUP(Tabla4[[#This Row],[SERVICIO 2025]],$J$2:$V$14,3,0)*Tabla4[[#This Row],[TOTAL COBERTURA]]*8</f>
        <v>103034400</v>
      </c>
      <c r="AQ986" s="35"/>
      <c r="AR986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86" s="35" t="str">
        <f>+IF(Tabla4[[#This Row],[AGRUPACIONES]]=1,SUMIFS(Tabla4[VALOR TOTAL],Tabla4[ZONA DEFINITIVO],Tabla4[[#This Row],[ZONA DEFINITIVO]])," ")</f>
        <v xml:space="preserve"> </v>
      </c>
      <c r="AT986" s="27">
        <f>(VLOOKUP(Tabla4[[#This Row],[SERVICIO 2025]],$J$2:$V$14,3,0)*Tabla4[[#This Row],[TOTAL COBERTURA]])+Tabla4[[#This Row],[VALOR FASE PREPARATORIA DE ALISTAMIENTO]]+Tabla4[[#This Row],[DOTACIÓN ÚNICA]]</f>
        <v>16803100</v>
      </c>
      <c r="AU986" s="35">
        <f>(VLOOKUP(Tabla4[[#This Row],[SERVICIO 2025]],$J$2:$V$14,3,0)*Tabla4[[#This Row],[TOTAL COBERTURA]])</f>
        <v>12879300</v>
      </c>
      <c r="AV986" s="35">
        <f>(VLOOKUP(Tabla4[[#This Row],[SERVICIO 2025]],$J$2:$V$14,3,0)*Tabla4[[#This Row],[TOTAL COBERTURA]])</f>
        <v>12879300</v>
      </c>
      <c r="AW986" s="35">
        <f>(VLOOKUP(Tabla4[[#This Row],[SERVICIO 2025]],$J$2:$V$14,3,0)*Tabla4[[#This Row],[TOTAL COBERTURA]])</f>
        <v>12879300</v>
      </c>
      <c r="AX986" s="35">
        <f>(VLOOKUP(Tabla4[[#This Row],[SERVICIO 2025]],$J$2:$V$14,3,0)*Tabla4[[#This Row],[TOTAL COBERTURA]])</f>
        <v>12879300</v>
      </c>
      <c r="AY986" s="35">
        <f>(VLOOKUP(Tabla4[[#This Row],[SERVICIO 2025]],$J$2:$V$14,3,0)*Tabla4[[#This Row],[TOTAL COBERTURA]])</f>
        <v>12879300</v>
      </c>
      <c r="AZ986" s="35">
        <f>(VLOOKUP(Tabla4[[#This Row],[SERVICIO 2025]],$J$2:$V$14,3,0)*Tabla4[[#This Row],[TOTAL COBERTURA]])</f>
        <v>12879300</v>
      </c>
      <c r="BA986" s="35">
        <f>(VLOOKUP(Tabla4[[#This Row],[SERVICIO 2025]],$J$2:$V$14,3,0)*Tabla4[[#This Row],[TOTAL COBERTURA]])+Tabla4[[#This Row],[VALOR FASE PREPARATORIA DE CIERRE]]</f>
        <v>14930750</v>
      </c>
      <c r="BB986" s="35">
        <f>SUM(Tabla4[[#This Row],[DESEMBOLSO 1]:[DESEMBOLSO 8]])</f>
        <v>109009650</v>
      </c>
      <c r="BC986" s="35">
        <f>VLOOKUP(Tabla4[[#This Row],[SERVICIO 2025]],$J$2:$V$14,10,0)*Tabla4[[#This Row],[TOTAL COBERTURA]]*$W$3</f>
        <v>72153200</v>
      </c>
      <c r="BD986" s="47" t="s">
        <v>211</v>
      </c>
      <c r="BE986" s="12" t="b">
        <f>EXACT(Tabla4[[#This Row],[VALOR ATENCIÓN (8 MESES)]],Tabla4[[#This Row],[VALOR TOTAL]])</f>
        <v>1</v>
      </c>
      <c r="BF986" s="23">
        <f>Tabla4[[#This Row],[VALOR ATENCIÓN (8 MESES)]]-Tabla4[[#This Row],[VALOR TOTAL]]</f>
        <v>0</v>
      </c>
      <c r="BG986" s="12" t="b">
        <f>EXACT(Tabla4[[#This Row],[TOTAL DESEMBOLSOS]],Tabla4[[#This Row],[VALOR ATENCIÓN (8 MESES)]])</f>
        <v>1</v>
      </c>
      <c r="BH986" s="29">
        <f>Tabla4[[#This Row],[TOTAL DESEMBOLSOS]]-Tabla4[[#This Row],[VALOR ATENCIÓN (8 MESES)]]</f>
        <v>0</v>
      </c>
      <c r="BI986" t="s">
        <v>98</v>
      </c>
      <c r="BJ986">
        <v>1994</v>
      </c>
    </row>
    <row r="987" spans="1:62">
      <c r="A987" s="13">
        <v>1994</v>
      </c>
      <c r="B987" s="13" t="s">
        <v>2174</v>
      </c>
      <c r="C987" s="12" t="s">
        <v>87</v>
      </c>
      <c r="D987" s="12" t="s">
        <v>462</v>
      </c>
      <c r="E987" s="12" t="s">
        <v>2175</v>
      </c>
      <c r="F987" s="12" t="s">
        <v>18</v>
      </c>
      <c r="G987" s="12" t="s">
        <v>90</v>
      </c>
      <c r="H987" s="12" t="s">
        <v>2187</v>
      </c>
      <c r="I987" s="12">
        <v>56591118914</v>
      </c>
      <c r="J987" s="12" t="s">
        <v>2188</v>
      </c>
      <c r="K987" s="12">
        <v>1</v>
      </c>
      <c r="L987" s="12">
        <v>50</v>
      </c>
      <c r="M987" s="12"/>
      <c r="N987" s="13">
        <v>1994</v>
      </c>
      <c r="O987" s="12" t="s">
        <v>93</v>
      </c>
      <c r="P987" s="12"/>
      <c r="Q987" s="12"/>
      <c r="R987" s="12" t="s">
        <v>94</v>
      </c>
      <c r="S987" s="12">
        <v>10</v>
      </c>
      <c r="T987" s="12" t="s">
        <v>2178</v>
      </c>
      <c r="U987" s="12" t="s">
        <v>2179</v>
      </c>
      <c r="V987" s="12">
        <f>VLOOKUP(Tabla4[[#This Row],[ZONA DEFINITIVO]],Hoja1!$A$1:$D$121,3,0)</f>
        <v>229179</v>
      </c>
      <c r="W987" s="12">
        <f>VLOOKUP(Tabla4[[#This Row],[ZONA DEFINITIVO]],Hoja1!$A$1:$D$121,2,0)</f>
        <v>15356</v>
      </c>
      <c r="X987" s="12">
        <f>VLOOKUP(Tabla4[[#This Row],[ZONA DEFINITIVO]],Hoja1!$A$1:$D$121,4,0)</f>
        <v>87825</v>
      </c>
      <c r="Y987" s="12" t="str">
        <f>+IF(Tabla4[[#This Row],[AGRUPACIONES]]=1,SUMIFS(Tabla4[UDS],Tabla4[ZONA DEFINITIVO],Tabla4[[#This Row],[ZONA DEFINITIVO]])," ")</f>
        <v xml:space="preserve"> </v>
      </c>
      <c r="Z987" s="12" t="str">
        <f>+IF(Tabla4[[#This Row],[AGRUPACIONES]]=1,SUMIFS(Tabla4[TOTAL COBERTURA],Tabla4[ZONA DEFINITIVO],Tabla4[[#This Row],[ZONA DEFINITIVO]])," ")</f>
        <v xml:space="preserve"> </v>
      </c>
      <c r="AA987" s="12"/>
      <c r="AB987" s="38">
        <v>109009650</v>
      </c>
      <c r="AC987" s="37">
        <v>0.02</v>
      </c>
      <c r="AD987" s="38">
        <f t="shared" si="16"/>
        <v>2180193</v>
      </c>
      <c r="AE987" s="12"/>
      <c r="AF987" s="12">
        <f>COUNTIF($A$20:A987,A987)</f>
        <v>6</v>
      </c>
      <c r="AG987" s="38">
        <v>109009650</v>
      </c>
      <c r="AH987" s="38">
        <f>Tabla4[[#This Row],[VALOR CONTRAPARTIDA]]+Tabla4[[#This Row],[TOTAL APORTES ICBF]]</f>
        <v>111189843</v>
      </c>
      <c r="AI987" s="35"/>
      <c r="AJ987" s="38"/>
      <c r="AK987" s="38"/>
      <c r="AL987" s="23"/>
      <c r="AM987" s="35">
        <f>VLOOKUP(Tabla4[[#This Row],[SERVICIO 2025]],$J$2:$V$14,5,0)*Tabla4[[#This Row],[TOTAL COBERTURA]]</f>
        <v>2468800</v>
      </c>
      <c r="AN987" s="35">
        <f>VLOOKUP(Tabla4[[#This Row],[SERVICIO 2025]],$J$2:$V$14,6,0)*Tabla4[[#This Row],[TOTAL COBERTURA]]</f>
        <v>2051450</v>
      </c>
      <c r="AO987" s="35">
        <f>VLOOKUP(Tabla4[[#This Row],[SERVICIO 2025]],$J$2:$V$14,8,0)*Tabla4[[#This Row],[TOTAL COBERTURA]]</f>
        <v>1455000</v>
      </c>
      <c r="AP987" s="35">
        <f>VLOOKUP(Tabla4[[#This Row],[SERVICIO 2025]],$J$2:$V$14,3,0)*Tabla4[[#This Row],[TOTAL COBERTURA]]*8</f>
        <v>103034400</v>
      </c>
      <c r="AQ987" s="35"/>
      <c r="AR987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87" s="35" t="str">
        <f>+IF(Tabla4[[#This Row],[AGRUPACIONES]]=1,SUMIFS(Tabla4[VALOR TOTAL],Tabla4[ZONA DEFINITIVO],Tabla4[[#This Row],[ZONA DEFINITIVO]])," ")</f>
        <v xml:space="preserve"> </v>
      </c>
      <c r="AT987" s="27">
        <f>(VLOOKUP(Tabla4[[#This Row],[SERVICIO 2025]],$J$2:$V$14,3,0)*Tabla4[[#This Row],[TOTAL COBERTURA]])+Tabla4[[#This Row],[VALOR FASE PREPARATORIA DE ALISTAMIENTO]]+Tabla4[[#This Row],[DOTACIÓN ÚNICA]]</f>
        <v>16803100</v>
      </c>
      <c r="AU987" s="35">
        <f>(VLOOKUP(Tabla4[[#This Row],[SERVICIO 2025]],$J$2:$V$14,3,0)*Tabla4[[#This Row],[TOTAL COBERTURA]])</f>
        <v>12879300</v>
      </c>
      <c r="AV987" s="35">
        <f>(VLOOKUP(Tabla4[[#This Row],[SERVICIO 2025]],$J$2:$V$14,3,0)*Tabla4[[#This Row],[TOTAL COBERTURA]])</f>
        <v>12879300</v>
      </c>
      <c r="AW987" s="35">
        <f>(VLOOKUP(Tabla4[[#This Row],[SERVICIO 2025]],$J$2:$V$14,3,0)*Tabla4[[#This Row],[TOTAL COBERTURA]])</f>
        <v>12879300</v>
      </c>
      <c r="AX987" s="35">
        <f>(VLOOKUP(Tabla4[[#This Row],[SERVICIO 2025]],$J$2:$V$14,3,0)*Tabla4[[#This Row],[TOTAL COBERTURA]])</f>
        <v>12879300</v>
      </c>
      <c r="AY987" s="35">
        <f>(VLOOKUP(Tabla4[[#This Row],[SERVICIO 2025]],$J$2:$V$14,3,0)*Tabla4[[#This Row],[TOTAL COBERTURA]])</f>
        <v>12879300</v>
      </c>
      <c r="AZ987" s="35">
        <f>(VLOOKUP(Tabla4[[#This Row],[SERVICIO 2025]],$J$2:$V$14,3,0)*Tabla4[[#This Row],[TOTAL COBERTURA]])</f>
        <v>12879300</v>
      </c>
      <c r="BA987" s="35">
        <f>(VLOOKUP(Tabla4[[#This Row],[SERVICIO 2025]],$J$2:$V$14,3,0)*Tabla4[[#This Row],[TOTAL COBERTURA]])+Tabla4[[#This Row],[VALOR FASE PREPARATORIA DE CIERRE]]</f>
        <v>14930750</v>
      </c>
      <c r="BB987" s="35">
        <f>SUM(Tabla4[[#This Row],[DESEMBOLSO 1]:[DESEMBOLSO 8]])</f>
        <v>109009650</v>
      </c>
      <c r="BC987" s="35">
        <f>VLOOKUP(Tabla4[[#This Row],[SERVICIO 2025]],$J$2:$V$14,10,0)*Tabla4[[#This Row],[TOTAL COBERTURA]]*$W$3</f>
        <v>72153200</v>
      </c>
      <c r="BD987" s="47" t="s">
        <v>211</v>
      </c>
      <c r="BE987" s="12" t="b">
        <f>EXACT(Tabla4[[#This Row],[VALOR ATENCIÓN (8 MESES)]],Tabla4[[#This Row],[VALOR TOTAL]])</f>
        <v>1</v>
      </c>
      <c r="BF987" s="23">
        <f>Tabla4[[#This Row],[VALOR ATENCIÓN (8 MESES)]]-Tabla4[[#This Row],[VALOR TOTAL]]</f>
        <v>0</v>
      </c>
      <c r="BG987" s="12" t="b">
        <f>EXACT(Tabla4[[#This Row],[TOTAL DESEMBOLSOS]],Tabla4[[#This Row],[VALOR ATENCIÓN (8 MESES)]])</f>
        <v>1</v>
      </c>
      <c r="BH987" s="29">
        <f>Tabla4[[#This Row],[TOTAL DESEMBOLSOS]]-Tabla4[[#This Row],[VALOR ATENCIÓN (8 MESES)]]</f>
        <v>0</v>
      </c>
      <c r="BI987" t="s">
        <v>98</v>
      </c>
      <c r="BJ987">
        <v>1994</v>
      </c>
    </row>
    <row r="988" spans="1:62">
      <c r="A988" s="13">
        <v>1994</v>
      </c>
      <c r="B988" s="13" t="s">
        <v>2174</v>
      </c>
      <c r="C988" s="12" t="s">
        <v>87</v>
      </c>
      <c r="D988" s="12" t="s">
        <v>462</v>
      </c>
      <c r="E988" s="12" t="s">
        <v>2175</v>
      </c>
      <c r="F988" s="12" t="s">
        <v>13</v>
      </c>
      <c r="G988" s="12" t="s">
        <v>90</v>
      </c>
      <c r="H988" s="12" t="s">
        <v>2189</v>
      </c>
      <c r="I988" s="12">
        <v>56591121812</v>
      </c>
      <c r="J988" s="12" t="s">
        <v>2190</v>
      </c>
      <c r="K988" s="12">
        <v>1</v>
      </c>
      <c r="L988" s="12">
        <v>132</v>
      </c>
      <c r="M988" s="12"/>
      <c r="N988" s="13">
        <v>1994</v>
      </c>
      <c r="O988" s="12" t="s">
        <v>93</v>
      </c>
      <c r="P988" s="12"/>
      <c r="Q988" s="12"/>
      <c r="R988" s="12" t="s">
        <v>94</v>
      </c>
      <c r="S988" s="12">
        <v>10</v>
      </c>
      <c r="T988" s="12" t="s">
        <v>2178</v>
      </c>
      <c r="U988" s="12" t="s">
        <v>2179</v>
      </c>
      <c r="V988" s="12">
        <f>VLOOKUP(Tabla4[[#This Row],[ZONA DEFINITIVO]],Hoja1!$A$1:$D$121,3,0)</f>
        <v>229179</v>
      </c>
      <c r="W988" s="12">
        <f>VLOOKUP(Tabla4[[#This Row],[ZONA DEFINITIVO]],Hoja1!$A$1:$D$121,2,0)</f>
        <v>15356</v>
      </c>
      <c r="X988" s="12">
        <f>VLOOKUP(Tabla4[[#This Row],[ZONA DEFINITIVO]],Hoja1!$A$1:$D$121,4,0)</f>
        <v>87825</v>
      </c>
      <c r="Y988" s="12" t="str">
        <f>+IF(Tabla4[[#This Row],[AGRUPACIONES]]=1,SUMIFS(Tabla4[UDS],Tabla4[ZONA DEFINITIVO],Tabla4[[#This Row],[ZONA DEFINITIVO]])," ")</f>
        <v xml:space="preserve"> </v>
      </c>
      <c r="Z988" s="12" t="str">
        <f>+IF(Tabla4[[#This Row],[AGRUPACIONES]]=1,SUMIFS(Tabla4[TOTAL COBERTURA],Tabla4[ZONA DEFINITIVO],Tabla4[[#This Row],[ZONA DEFINITIVO]])," ")</f>
        <v xml:space="preserve"> </v>
      </c>
      <c r="AA988" s="12"/>
      <c r="AB988" s="38">
        <v>390285192</v>
      </c>
      <c r="AC988" s="37">
        <v>0.02</v>
      </c>
      <c r="AD988" s="38">
        <f t="shared" si="16"/>
        <v>7805703.8399999999</v>
      </c>
      <c r="AE988" s="12"/>
      <c r="AF988" s="12">
        <f>COUNTIF($A$20:A988,A988)</f>
        <v>7</v>
      </c>
      <c r="AG988" s="38">
        <v>390285192</v>
      </c>
      <c r="AH988" s="38">
        <f>Tabla4[[#This Row],[VALOR CONTRAPARTIDA]]+Tabla4[[#This Row],[TOTAL APORTES ICBF]]</f>
        <v>398090895.83999997</v>
      </c>
      <c r="AI988" s="35"/>
      <c r="AJ988" s="38"/>
      <c r="AK988" s="38"/>
      <c r="AL988" s="23"/>
      <c r="AM988" s="35">
        <f>VLOOKUP(Tabla4[[#This Row],[SERVICIO 2025]],$J$2:$V$14,5,0)*Tabla4[[#This Row],[TOTAL COBERTURA]]</f>
        <v>11634876</v>
      </c>
      <c r="AN988" s="35">
        <f>VLOOKUP(Tabla4[[#This Row],[SERVICIO 2025]],$J$2:$V$14,6,0)*Tabla4[[#This Row],[TOTAL COBERTURA]]</f>
        <v>9905676</v>
      </c>
      <c r="AO988" s="35">
        <f>VLOOKUP(Tabla4[[#This Row],[SERVICIO 2025]],$J$2:$V$14,8,0)*Tabla4[[#This Row],[TOTAL COBERTURA]]</f>
        <v>0</v>
      </c>
      <c r="AP988" s="35">
        <f>VLOOKUP(Tabla4[[#This Row],[SERVICIO 2025]],$J$2:$V$14,3,0)*Tabla4[[#This Row],[TOTAL COBERTURA]]*8</f>
        <v>368744640</v>
      </c>
      <c r="AQ988" s="35"/>
      <c r="AR988" s="35">
        <f>Tabla4[[#This Row],[VALOR FASE PREPARATORIA DE ALISTAMIENTO]]+Tabla4[[#This Row],[VALOR FASE PREPARATORIA DE CIERRE]]+Tabla4[[#This Row],[DOTACIÓN ÚNICA]]+Tabla4[[#This Row],[VALOR ATENCIÓN]]+Tabla4[[#This Row],[VALOR RACION PREPARADA]]</f>
        <v>390285192</v>
      </c>
      <c r="AS988" s="35" t="str">
        <f>+IF(Tabla4[[#This Row],[AGRUPACIONES]]=1,SUMIFS(Tabla4[VALOR TOTAL],Tabla4[ZONA DEFINITIVO],Tabla4[[#This Row],[ZONA DEFINITIVO]])," ")</f>
        <v xml:space="preserve"> </v>
      </c>
      <c r="AT988" s="27">
        <f>(VLOOKUP(Tabla4[[#This Row],[SERVICIO 2025]],$J$2:$V$14,3,0)*Tabla4[[#This Row],[TOTAL COBERTURA]])+Tabla4[[#This Row],[VALOR FASE PREPARATORIA DE ALISTAMIENTO]]+Tabla4[[#This Row],[DOTACIÓN ÚNICA]]</f>
        <v>57727956</v>
      </c>
      <c r="AU988" s="35">
        <f>(VLOOKUP(Tabla4[[#This Row],[SERVICIO 2025]],$J$2:$V$14,3,0)*Tabla4[[#This Row],[TOTAL COBERTURA]])</f>
        <v>46093080</v>
      </c>
      <c r="AV988" s="35">
        <f>(VLOOKUP(Tabla4[[#This Row],[SERVICIO 2025]],$J$2:$V$14,3,0)*Tabla4[[#This Row],[TOTAL COBERTURA]])</f>
        <v>46093080</v>
      </c>
      <c r="AW988" s="35">
        <f>(VLOOKUP(Tabla4[[#This Row],[SERVICIO 2025]],$J$2:$V$14,3,0)*Tabla4[[#This Row],[TOTAL COBERTURA]])</f>
        <v>46093080</v>
      </c>
      <c r="AX988" s="35">
        <f>(VLOOKUP(Tabla4[[#This Row],[SERVICIO 2025]],$J$2:$V$14,3,0)*Tabla4[[#This Row],[TOTAL COBERTURA]])</f>
        <v>46093080</v>
      </c>
      <c r="AY988" s="35">
        <f>(VLOOKUP(Tabla4[[#This Row],[SERVICIO 2025]],$J$2:$V$14,3,0)*Tabla4[[#This Row],[TOTAL COBERTURA]])</f>
        <v>46093080</v>
      </c>
      <c r="AZ988" s="35">
        <f>(VLOOKUP(Tabla4[[#This Row],[SERVICIO 2025]],$J$2:$V$14,3,0)*Tabla4[[#This Row],[TOTAL COBERTURA]])</f>
        <v>46093080</v>
      </c>
      <c r="BA988" s="35">
        <f>(VLOOKUP(Tabla4[[#This Row],[SERVICIO 2025]],$J$2:$V$14,3,0)*Tabla4[[#This Row],[TOTAL COBERTURA]])+Tabla4[[#This Row],[VALOR FASE PREPARATORIA DE CIERRE]]</f>
        <v>55998756</v>
      </c>
      <c r="BB988" s="35">
        <f>SUM(Tabla4[[#This Row],[DESEMBOLSO 1]:[DESEMBOLSO 8]])</f>
        <v>390285192</v>
      </c>
      <c r="BC988" s="35">
        <f>VLOOKUP(Tabla4[[#This Row],[SERVICIO 2025]],$J$2:$V$14,10,0)*Tabla4[[#This Row],[TOTAL COBERTURA]]*$W$3</f>
        <v>162643008</v>
      </c>
      <c r="BD988" s="47" t="s">
        <v>211</v>
      </c>
      <c r="BE988" s="12" t="b">
        <f>EXACT(Tabla4[[#This Row],[VALOR ATENCIÓN (8 MESES)]],Tabla4[[#This Row],[VALOR TOTAL]])</f>
        <v>1</v>
      </c>
      <c r="BF988" s="23">
        <f>Tabla4[[#This Row],[VALOR ATENCIÓN (8 MESES)]]-Tabla4[[#This Row],[VALOR TOTAL]]</f>
        <v>0</v>
      </c>
      <c r="BG988" s="12" t="b">
        <f>EXACT(Tabla4[[#This Row],[TOTAL DESEMBOLSOS]],Tabla4[[#This Row],[VALOR ATENCIÓN (8 MESES)]])</f>
        <v>1</v>
      </c>
      <c r="BH988" s="29">
        <f>Tabla4[[#This Row],[TOTAL DESEMBOLSOS]]-Tabla4[[#This Row],[VALOR ATENCIÓN (8 MESES)]]</f>
        <v>0</v>
      </c>
      <c r="BI988" t="s">
        <v>98</v>
      </c>
      <c r="BJ988">
        <v>1994</v>
      </c>
    </row>
    <row r="989" spans="1:62">
      <c r="A989" s="13">
        <v>1994</v>
      </c>
      <c r="B989" s="13" t="s">
        <v>2174</v>
      </c>
      <c r="C989" s="12" t="s">
        <v>87</v>
      </c>
      <c r="D989" s="12" t="s">
        <v>462</v>
      </c>
      <c r="E989" s="12" t="s">
        <v>2175</v>
      </c>
      <c r="F989" s="12" t="s">
        <v>18</v>
      </c>
      <c r="G989" s="12" t="s">
        <v>90</v>
      </c>
      <c r="H989" s="12" t="s">
        <v>2191</v>
      </c>
      <c r="I989" s="12">
        <v>56591136772</v>
      </c>
      <c r="J989" s="12" t="s">
        <v>2192</v>
      </c>
      <c r="K989" s="12">
        <v>1</v>
      </c>
      <c r="L989" s="12">
        <v>50</v>
      </c>
      <c r="M989" s="12"/>
      <c r="N989" s="13">
        <v>1994</v>
      </c>
      <c r="O989" s="12" t="s">
        <v>93</v>
      </c>
      <c r="P989" s="12"/>
      <c r="Q989" s="12"/>
      <c r="R989" s="12" t="s">
        <v>94</v>
      </c>
      <c r="S989" s="12">
        <v>10</v>
      </c>
      <c r="T989" s="12" t="s">
        <v>2178</v>
      </c>
      <c r="U989" s="12" t="s">
        <v>2179</v>
      </c>
      <c r="V989" s="12">
        <f>VLOOKUP(Tabla4[[#This Row],[ZONA DEFINITIVO]],Hoja1!$A$1:$D$121,3,0)</f>
        <v>229179</v>
      </c>
      <c r="W989" s="12">
        <f>VLOOKUP(Tabla4[[#This Row],[ZONA DEFINITIVO]],Hoja1!$A$1:$D$121,2,0)</f>
        <v>15356</v>
      </c>
      <c r="X989" s="12">
        <f>VLOOKUP(Tabla4[[#This Row],[ZONA DEFINITIVO]],Hoja1!$A$1:$D$121,4,0)</f>
        <v>87825</v>
      </c>
      <c r="Y989" s="12" t="str">
        <f>+IF(Tabla4[[#This Row],[AGRUPACIONES]]=1,SUMIFS(Tabla4[UDS],Tabla4[ZONA DEFINITIVO],Tabla4[[#This Row],[ZONA DEFINITIVO]])," ")</f>
        <v xml:space="preserve"> </v>
      </c>
      <c r="Z989" s="12" t="str">
        <f>+IF(Tabla4[[#This Row],[AGRUPACIONES]]=1,SUMIFS(Tabla4[TOTAL COBERTURA],Tabla4[ZONA DEFINITIVO],Tabla4[[#This Row],[ZONA DEFINITIVO]])," ")</f>
        <v xml:space="preserve"> </v>
      </c>
      <c r="AA989" s="12"/>
      <c r="AB989" s="38">
        <v>109009650</v>
      </c>
      <c r="AC989" s="37">
        <v>0.02</v>
      </c>
      <c r="AD989" s="38">
        <f t="shared" si="16"/>
        <v>2180193</v>
      </c>
      <c r="AE989" s="12"/>
      <c r="AF989" s="12">
        <f>COUNTIF($A$20:A989,A989)</f>
        <v>8</v>
      </c>
      <c r="AG989" s="38">
        <v>109009650</v>
      </c>
      <c r="AH989" s="38">
        <f>Tabla4[[#This Row],[VALOR CONTRAPARTIDA]]+Tabla4[[#This Row],[TOTAL APORTES ICBF]]</f>
        <v>111189843</v>
      </c>
      <c r="AI989" s="35"/>
      <c r="AJ989" s="38"/>
      <c r="AK989" s="38"/>
      <c r="AL989" s="23"/>
      <c r="AM989" s="35">
        <f>VLOOKUP(Tabla4[[#This Row],[SERVICIO 2025]],$J$2:$V$14,5,0)*Tabla4[[#This Row],[TOTAL COBERTURA]]</f>
        <v>2468800</v>
      </c>
      <c r="AN989" s="35">
        <f>VLOOKUP(Tabla4[[#This Row],[SERVICIO 2025]],$J$2:$V$14,6,0)*Tabla4[[#This Row],[TOTAL COBERTURA]]</f>
        <v>2051450</v>
      </c>
      <c r="AO989" s="35">
        <f>VLOOKUP(Tabla4[[#This Row],[SERVICIO 2025]],$J$2:$V$14,8,0)*Tabla4[[#This Row],[TOTAL COBERTURA]]</f>
        <v>1455000</v>
      </c>
      <c r="AP989" s="35">
        <f>VLOOKUP(Tabla4[[#This Row],[SERVICIO 2025]],$J$2:$V$14,3,0)*Tabla4[[#This Row],[TOTAL COBERTURA]]*8</f>
        <v>103034400</v>
      </c>
      <c r="AQ989" s="35"/>
      <c r="AR989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89" s="35" t="str">
        <f>+IF(Tabla4[[#This Row],[AGRUPACIONES]]=1,SUMIFS(Tabla4[VALOR TOTAL],Tabla4[ZONA DEFINITIVO],Tabla4[[#This Row],[ZONA DEFINITIVO]])," ")</f>
        <v xml:space="preserve"> </v>
      </c>
      <c r="AT989" s="27">
        <f>(VLOOKUP(Tabla4[[#This Row],[SERVICIO 2025]],$J$2:$V$14,3,0)*Tabla4[[#This Row],[TOTAL COBERTURA]])+Tabla4[[#This Row],[VALOR FASE PREPARATORIA DE ALISTAMIENTO]]+Tabla4[[#This Row],[DOTACIÓN ÚNICA]]</f>
        <v>16803100</v>
      </c>
      <c r="AU989" s="35">
        <f>(VLOOKUP(Tabla4[[#This Row],[SERVICIO 2025]],$J$2:$V$14,3,0)*Tabla4[[#This Row],[TOTAL COBERTURA]])</f>
        <v>12879300</v>
      </c>
      <c r="AV989" s="35">
        <f>(VLOOKUP(Tabla4[[#This Row],[SERVICIO 2025]],$J$2:$V$14,3,0)*Tabla4[[#This Row],[TOTAL COBERTURA]])</f>
        <v>12879300</v>
      </c>
      <c r="AW989" s="35">
        <f>(VLOOKUP(Tabla4[[#This Row],[SERVICIO 2025]],$J$2:$V$14,3,0)*Tabla4[[#This Row],[TOTAL COBERTURA]])</f>
        <v>12879300</v>
      </c>
      <c r="AX989" s="35">
        <f>(VLOOKUP(Tabla4[[#This Row],[SERVICIO 2025]],$J$2:$V$14,3,0)*Tabla4[[#This Row],[TOTAL COBERTURA]])</f>
        <v>12879300</v>
      </c>
      <c r="AY989" s="35">
        <f>(VLOOKUP(Tabla4[[#This Row],[SERVICIO 2025]],$J$2:$V$14,3,0)*Tabla4[[#This Row],[TOTAL COBERTURA]])</f>
        <v>12879300</v>
      </c>
      <c r="AZ989" s="35">
        <f>(VLOOKUP(Tabla4[[#This Row],[SERVICIO 2025]],$J$2:$V$14,3,0)*Tabla4[[#This Row],[TOTAL COBERTURA]])</f>
        <v>12879300</v>
      </c>
      <c r="BA989" s="35">
        <f>(VLOOKUP(Tabla4[[#This Row],[SERVICIO 2025]],$J$2:$V$14,3,0)*Tabla4[[#This Row],[TOTAL COBERTURA]])+Tabla4[[#This Row],[VALOR FASE PREPARATORIA DE CIERRE]]</f>
        <v>14930750</v>
      </c>
      <c r="BB989" s="35">
        <f>SUM(Tabla4[[#This Row],[DESEMBOLSO 1]:[DESEMBOLSO 8]])</f>
        <v>109009650</v>
      </c>
      <c r="BC989" s="35">
        <f>VLOOKUP(Tabla4[[#This Row],[SERVICIO 2025]],$J$2:$V$14,10,0)*Tabla4[[#This Row],[TOTAL COBERTURA]]*$W$3</f>
        <v>72153200</v>
      </c>
      <c r="BD989" s="47" t="s">
        <v>211</v>
      </c>
      <c r="BE989" s="12" t="b">
        <f>EXACT(Tabla4[[#This Row],[VALOR ATENCIÓN (8 MESES)]],Tabla4[[#This Row],[VALOR TOTAL]])</f>
        <v>1</v>
      </c>
      <c r="BF989" s="23">
        <f>Tabla4[[#This Row],[VALOR ATENCIÓN (8 MESES)]]-Tabla4[[#This Row],[VALOR TOTAL]]</f>
        <v>0</v>
      </c>
      <c r="BG989" s="12" t="b">
        <f>EXACT(Tabla4[[#This Row],[TOTAL DESEMBOLSOS]],Tabla4[[#This Row],[VALOR ATENCIÓN (8 MESES)]])</f>
        <v>1</v>
      </c>
      <c r="BH989" s="29">
        <f>Tabla4[[#This Row],[TOTAL DESEMBOLSOS]]-Tabla4[[#This Row],[VALOR ATENCIÓN (8 MESES)]]</f>
        <v>0</v>
      </c>
      <c r="BI989" t="s">
        <v>98</v>
      </c>
      <c r="BJ989">
        <v>1994</v>
      </c>
    </row>
    <row r="990" spans="1:62">
      <c r="A990" s="13">
        <v>1994</v>
      </c>
      <c r="B990" s="13" t="s">
        <v>2174</v>
      </c>
      <c r="C990" s="12" t="s">
        <v>87</v>
      </c>
      <c r="D990" s="12" t="s">
        <v>462</v>
      </c>
      <c r="E990" s="12" t="s">
        <v>2175</v>
      </c>
      <c r="F990" s="12" t="s">
        <v>13</v>
      </c>
      <c r="G990" s="12" t="s">
        <v>90</v>
      </c>
      <c r="H990" s="12" t="s">
        <v>2193</v>
      </c>
      <c r="I990" s="12">
        <v>56591137351</v>
      </c>
      <c r="J990" s="12" t="s">
        <v>2194</v>
      </c>
      <c r="K990" s="12">
        <v>1</v>
      </c>
      <c r="L990" s="12">
        <v>63</v>
      </c>
      <c r="M990" s="12"/>
      <c r="N990" s="13">
        <v>1994</v>
      </c>
      <c r="O990" s="12" t="s">
        <v>93</v>
      </c>
      <c r="P990" s="12"/>
      <c r="Q990" s="12"/>
      <c r="R990" s="12" t="s">
        <v>94</v>
      </c>
      <c r="S990" s="12">
        <v>10</v>
      </c>
      <c r="T990" s="12" t="s">
        <v>2178</v>
      </c>
      <c r="U990" s="12" t="s">
        <v>2179</v>
      </c>
      <c r="V990" s="12">
        <f>VLOOKUP(Tabla4[[#This Row],[ZONA DEFINITIVO]],Hoja1!$A$1:$D$121,3,0)</f>
        <v>229179</v>
      </c>
      <c r="W990" s="12">
        <f>VLOOKUP(Tabla4[[#This Row],[ZONA DEFINITIVO]],Hoja1!$A$1:$D$121,2,0)</f>
        <v>15356</v>
      </c>
      <c r="X990" s="12">
        <f>VLOOKUP(Tabla4[[#This Row],[ZONA DEFINITIVO]],Hoja1!$A$1:$D$121,4,0)</f>
        <v>87825</v>
      </c>
      <c r="Y990" s="12" t="str">
        <f>+IF(Tabla4[[#This Row],[AGRUPACIONES]]=1,SUMIFS(Tabla4[UDS],Tabla4[ZONA DEFINITIVO],Tabla4[[#This Row],[ZONA DEFINITIVO]])," ")</f>
        <v xml:space="preserve"> </v>
      </c>
      <c r="Z990" s="12" t="str">
        <f>+IF(Tabla4[[#This Row],[AGRUPACIONES]]=1,SUMIFS(Tabla4[TOTAL COBERTURA],Tabla4[ZONA DEFINITIVO],Tabla4[[#This Row],[ZONA DEFINITIVO]])," ")</f>
        <v xml:space="preserve"> </v>
      </c>
      <c r="AA990" s="12"/>
      <c r="AB990" s="38">
        <v>186272478</v>
      </c>
      <c r="AC990" s="37">
        <v>0.02</v>
      </c>
      <c r="AD990" s="38">
        <f t="shared" si="16"/>
        <v>3725449.56</v>
      </c>
      <c r="AE990" s="12"/>
      <c r="AF990" s="12">
        <f>COUNTIF($A$20:A990,A990)</f>
        <v>9</v>
      </c>
      <c r="AG990" s="38">
        <v>186272478</v>
      </c>
      <c r="AH990" s="38">
        <f>Tabla4[[#This Row],[VALOR CONTRAPARTIDA]]+Tabla4[[#This Row],[TOTAL APORTES ICBF]]</f>
        <v>189997927.56</v>
      </c>
      <c r="AI990" s="35"/>
      <c r="AJ990" s="38"/>
      <c r="AK990" s="38"/>
      <c r="AL990" s="23"/>
      <c r="AM990" s="35">
        <f>VLOOKUP(Tabla4[[#This Row],[SERVICIO 2025]],$J$2:$V$14,5,0)*Tabla4[[#This Row],[TOTAL COBERTURA]]</f>
        <v>5553009</v>
      </c>
      <c r="AN990" s="35">
        <f>VLOOKUP(Tabla4[[#This Row],[SERVICIO 2025]],$J$2:$V$14,6,0)*Tabla4[[#This Row],[TOTAL COBERTURA]]</f>
        <v>4727709</v>
      </c>
      <c r="AO990" s="35">
        <f>VLOOKUP(Tabla4[[#This Row],[SERVICIO 2025]],$J$2:$V$14,8,0)*Tabla4[[#This Row],[TOTAL COBERTURA]]</f>
        <v>0</v>
      </c>
      <c r="AP990" s="35">
        <f>VLOOKUP(Tabla4[[#This Row],[SERVICIO 2025]],$J$2:$V$14,3,0)*Tabla4[[#This Row],[TOTAL COBERTURA]]*8</f>
        <v>175991760</v>
      </c>
      <c r="AQ990" s="35"/>
      <c r="AR990" s="35">
        <f>Tabla4[[#This Row],[VALOR FASE PREPARATORIA DE ALISTAMIENTO]]+Tabla4[[#This Row],[VALOR FASE PREPARATORIA DE CIERRE]]+Tabla4[[#This Row],[DOTACIÓN ÚNICA]]+Tabla4[[#This Row],[VALOR ATENCIÓN]]+Tabla4[[#This Row],[VALOR RACION PREPARADA]]</f>
        <v>186272478</v>
      </c>
      <c r="AS990" s="35" t="str">
        <f>+IF(Tabla4[[#This Row],[AGRUPACIONES]]=1,SUMIFS(Tabla4[VALOR TOTAL],Tabla4[ZONA DEFINITIVO],Tabla4[[#This Row],[ZONA DEFINITIVO]])," ")</f>
        <v xml:space="preserve"> </v>
      </c>
      <c r="AT990" s="27">
        <f>(VLOOKUP(Tabla4[[#This Row],[SERVICIO 2025]],$J$2:$V$14,3,0)*Tabla4[[#This Row],[TOTAL COBERTURA]])+Tabla4[[#This Row],[VALOR FASE PREPARATORIA DE ALISTAMIENTO]]+Tabla4[[#This Row],[DOTACIÓN ÚNICA]]</f>
        <v>27551979</v>
      </c>
      <c r="AU990" s="35">
        <f>(VLOOKUP(Tabla4[[#This Row],[SERVICIO 2025]],$J$2:$V$14,3,0)*Tabla4[[#This Row],[TOTAL COBERTURA]])</f>
        <v>21998970</v>
      </c>
      <c r="AV990" s="35">
        <f>(VLOOKUP(Tabla4[[#This Row],[SERVICIO 2025]],$J$2:$V$14,3,0)*Tabla4[[#This Row],[TOTAL COBERTURA]])</f>
        <v>21998970</v>
      </c>
      <c r="AW990" s="35">
        <f>(VLOOKUP(Tabla4[[#This Row],[SERVICIO 2025]],$J$2:$V$14,3,0)*Tabla4[[#This Row],[TOTAL COBERTURA]])</f>
        <v>21998970</v>
      </c>
      <c r="AX990" s="35">
        <f>(VLOOKUP(Tabla4[[#This Row],[SERVICIO 2025]],$J$2:$V$14,3,0)*Tabla4[[#This Row],[TOTAL COBERTURA]])</f>
        <v>21998970</v>
      </c>
      <c r="AY990" s="35">
        <f>(VLOOKUP(Tabla4[[#This Row],[SERVICIO 2025]],$J$2:$V$14,3,0)*Tabla4[[#This Row],[TOTAL COBERTURA]])</f>
        <v>21998970</v>
      </c>
      <c r="AZ990" s="35">
        <f>(VLOOKUP(Tabla4[[#This Row],[SERVICIO 2025]],$J$2:$V$14,3,0)*Tabla4[[#This Row],[TOTAL COBERTURA]])</f>
        <v>21998970</v>
      </c>
      <c r="BA990" s="35">
        <f>(VLOOKUP(Tabla4[[#This Row],[SERVICIO 2025]],$J$2:$V$14,3,0)*Tabla4[[#This Row],[TOTAL COBERTURA]])+Tabla4[[#This Row],[VALOR FASE PREPARATORIA DE CIERRE]]</f>
        <v>26726679</v>
      </c>
      <c r="BB990" s="35">
        <f>SUM(Tabla4[[#This Row],[DESEMBOLSO 1]:[DESEMBOLSO 8]])</f>
        <v>186272478</v>
      </c>
      <c r="BC990" s="35">
        <f>VLOOKUP(Tabla4[[#This Row],[SERVICIO 2025]],$J$2:$V$14,10,0)*Tabla4[[#This Row],[TOTAL COBERTURA]]*$W$3</f>
        <v>77625072</v>
      </c>
      <c r="BD990" s="47" t="s">
        <v>211</v>
      </c>
      <c r="BE990" s="12" t="b">
        <f>EXACT(Tabla4[[#This Row],[VALOR ATENCIÓN (8 MESES)]],Tabla4[[#This Row],[VALOR TOTAL]])</f>
        <v>1</v>
      </c>
      <c r="BF990" s="23">
        <f>Tabla4[[#This Row],[VALOR ATENCIÓN (8 MESES)]]-Tabla4[[#This Row],[VALOR TOTAL]]</f>
        <v>0</v>
      </c>
      <c r="BG990" s="12" t="b">
        <f>EXACT(Tabla4[[#This Row],[TOTAL DESEMBOLSOS]],Tabla4[[#This Row],[VALOR ATENCIÓN (8 MESES)]])</f>
        <v>1</v>
      </c>
      <c r="BH990" s="29">
        <f>Tabla4[[#This Row],[TOTAL DESEMBOLSOS]]-Tabla4[[#This Row],[VALOR ATENCIÓN (8 MESES)]]</f>
        <v>0</v>
      </c>
      <c r="BI990" t="s">
        <v>98</v>
      </c>
      <c r="BJ990">
        <v>1994</v>
      </c>
    </row>
    <row r="991" spans="1:62">
      <c r="A991" s="13">
        <v>1994</v>
      </c>
      <c r="B991" s="13" t="s">
        <v>2174</v>
      </c>
      <c r="C991" s="12" t="s">
        <v>87</v>
      </c>
      <c r="D991" s="12" t="s">
        <v>462</v>
      </c>
      <c r="E991" s="12" t="s">
        <v>2175</v>
      </c>
      <c r="F991" s="12" t="s">
        <v>18</v>
      </c>
      <c r="G991" s="12" t="s">
        <v>90</v>
      </c>
      <c r="H991" s="12" t="s">
        <v>2195</v>
      </c>
      <c r="I991" s="12">
        <v>56591153182</v>
      </c>
      <c r="J991" s="12" t="s">
        <v>2196</v>
      </c>
      <c r="K991" s="12">
        <v>1</v>
      </c>
      <c r="L991" s="12">
        <v>50</v>
      </c>
      <c r="M991" s="12"/>
      <c r="N991" s="13">
        <v>1994</v>
      </c>
      <c r="O991" s="12" t="s">
        <v>93</v>
      </c>
      <c r="P991" s="12"/>
      <c r="Q991" s="12"/>
      <c r="R991" s="12" t="s">
        <v>94</v>
      </c>
      <c r="S991" s="12">
        <v>10</v>
      </c>
      <c r="T991" s="12" t="s">
        <v>2178</v>
      </c>
      <c r="U991" s="12" t="s">
        <v>2179</v>
      </c>
      <c r="V991" s="12">
        <f>VLOOKUP(Tabla4[[#This Row],[ZONA DEFINITIVO]],Hoja1!$A$1:$D$121,3,0)</f>
        <v>229179</v>
      </c>
      <c r="W991" s="12">
        <f>VLOOKUP(Tabla4[[#This Row],[ZONA DEFINITIVO]],Hoja1!$A$1:$D$121,2,0)</f>
        <v>15356</v>
      </c>
      <c r="X991" s="12">
        <f>VLOOKUP(Tabla4[[#This Row],[ZONA DEFINITIVO]],Hoja1!$A$1:$D$121,4,0)</f>
        <v>87825</v>
      </c>
      <c r="Y991" s="12" t="str">
        <f>+IF(Tabla4[[#This Row],[AGRUPACIONES]]=1,SUMIFS(Tabla4[UDS],Tabla4[ZONA DEFINITIVO],Tabla4[[#This Row],[ZONA DEFINITIVO]])," ")</f>
        <v xml:space="preserve"> </v>
      </c>
      <c r="Z991" s="12" t="str">
        <f>+IF(Tabla4[[#This Row],[AGRUPACIONES]]=1,SUMIFS(Tabla4[TOTAL COBERTURA],Tabla4[ZONA DEFINITIVO],Tabla4[[#This Row],[ZONA DEFINITIVO]])," ")</f>
        <v xml:space="preserve"> </v>
      </c>
      <c r="AA991" s="12"/>
      <c r="AB991" s="38">
        <v>109009650</v>
      </c>
      <c r="AC991" s="37">
        <v>0.02</v>
      </c>
      <c r="AD991" s="38">
        <f t="shared" si="16"/>
        <v>2180193</v>
      </c>
      <c r="AE991" s="12"/>
      <c r="AF991" s="12">
        <f>COUNTIF($A$20:A991,A991)</f>
        <v>10</v>
      </c>
      <c r="AG991" s="38">
        <v>109009650</v>
      </c>
      <c r="AH991" s="38">
        <f>Tabla4[[#This Row],[VALOR CONTRAPARTIDA]]+Tabla4[[#This Row],[TOTAL APORTES ICBF]]</f>
        <v>111189843</v>
      </c>
      <c r="AI991" s="35"/>
      <c r="AJ991" s="38"/>
      <c r="AK991" s="38"/>
      <c r="AL991" s="23"/>
      <c r="AM991" s="35">
        <f>VLOOKUP(Tabla4[[#This Row],[SERVICIO 2025]],$J$2:$V$14,5,0)*Tabla4[[#This Row],[TOTAL COBERTURA]]</f>
        <v>2468800</v>
      </c>
      <c r="AN991" s="35">
        <f>VLOOKUP(Tabla4[[#This Row],[SERVICIO 2025]],$J$2:$V$14,6,0)*Tabla4[[#This Row],[TOTAL COBERTURA]]</f>
        <v>2051450</v>
      </c>
      <c r="AO991" s="35">
        <f>VLOOKUP(Tabla4[[#This Row],[SERVICIO 2025]],$J$2:$V$14,8,0)*Tabla4[[#This Row],[TOTAL COBERTURA]]</f>
        <v>1455000</v>
      </c>
      <c r="AP991" s="35">
        <f>VLOOKUP(Tabla4[[#This Row],[SERVICIO 2025]],$J$2:$V$14,3,0)*Tabla4[[#This Row],[TOTAL COBERTURA]]*8</f>
        <v>103034400</v>
      </c>
      <c r="AQ991" s="35"/>
      <c r="AR991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91" s="35" t="str">
        <f>+IF(Tabla4[[#This Row],[AGRUPACIONES]]=1,SUMIFS(Tabla4[VALOR TOTAL],Tabla4[ZONA DEFINITIVO],Tabla4[[#This Row],[ZONA DEFINITIVO]])," ")</f>
        <v xml:space="preserve"> </v>
      </c>
      <c r="AT991" s="27">
        <f>(VLOOKUP(Tabla4[[#This Row],[SERVICIO 2025]],$J$2:$V$14,3,0)*Tabla4[[#This Row],[TOTAL COBERTURA]])+Tabla4[[#This Row],[VALOR FASE PREPARATORIA DE ALISTAMIENTO]]+Tabla4[[#This Row],[DOTACIÓN ÚNICA]]</f>
        <v>16803100</v>
      </c>
      <c r="AU991" s="35">
        <f>(VLOOKUP(Tabla4[[#This Row],[SERVICIO 2025]],$J$2:$V$14,3,0)*Tabla4[[#This Row],[TOTAL COBERTURA]])</f>
        <v>12879300</v>
      </c>
      <c r="AV991" s="35">
        <f>(VLOOKUP(Tabla4[[#This Row],[SERVICIO 2025]],$J$2:$V$14,3,0)*Tabla4[[#This Row],[TOTAL COBERTURA]])</f>
        <v>12879300</v>
      </c>
      <c r="AW991" s="35">
        <f>(VLOOKUP(Tabla4[[#This Row],[SERVICIO 2025]],$J$2:$V$14,3,0)*Tabla4[[#This Row],[TOTAL COBERTURA]])</f>
        <v>12879300</v>
      </c>
      <c r="AX991" s="35">
        <f>(VLOOKUP(Tabla4[[#This Row],[SERVICIO 2025]],$J$2:$V$14,3,0)*Tabla4[[#This Row],[TOTAL COBERTURA]])</f>
        <v>12879300</v>
      </c>
      <c r="AY991" s="35">
        <f>(VLOOKUP(Tabla4[[#This Row],[SERVICIO 2025]],$J$2:$V$14,3,0)*Tabla4[[#This Row],[TOTAL COBERTURA]])</f>
        <v>12879300</v>
      </c>
      <c r="AZ991" s="35">
        <f>(VLOOKUP(Tabla4[[#This Row],[SERVICIO 2025]],$J$2:$V$14,3,0)*Tabla4[[#This Row],[TOTAL COBERTURA]])</f>
        <v>12879300</v>
      </c>
      <c r="BA991" s="35">
        <f>(VLOOKUP(Tabla4[[#This Row],[SERVICIO 2025]],$J$2:$V$14,3,0)*Tabla4[[#This Row],[TOTAL COBERTURA]])+Tabla4[[#This Row],[VALOR FASE PREPARATORIA DE CIERRE]]</f>
        <v>14930750</v>
      </c>
      <c r="BB991" s="35">
        <f>SUM(Tabla4[[#This Row],[DESEMBOLSO 1]:[DESEMBOLSO 8]])</f>
        <v>109009650</v>
      </c>
      <c r="BC991" s="35">
        <f>VLOOKUP(Tabla4[[#This Row],[SERVICIO 2025]],$J$2:$V$14,10,0)*Tabla4[[#This Row],[TOTAL COBERTURA]]*$W$3</f>
        <v>72153200</v>
      </c>
      <c r="BD991" s="47" t="s">
        <v>211</v>
      </c>
      <c r="BE991" s="12" t="b">
        <f>EXACT(Tabla4[[#This Row],[VALOR ATENCIÓN (8 MESES)]],Tabla4[[#This Row],[VALOR TOTAL]])</f>
        <v>1</v>
      </c>
      <c r="BF991" s="23">
        <f>Tabla4[[#This Row],[VALOR ATENCIÓN (8 MESES)]]-Tabla4[[#This Row],[VALOR TOTAL]]</f>
        <v>0</v>
      </c>
      <c r="BG991" s="12" t="b">
        <f>EXACT(Tabla4[[#This Row],[TOTAL DESEMBOLSOS]],Tabla4[[#This Row],[VALOR ATENCIÓN (8 MESES)]])</f>
        <v>1</v>
      </c>
      <c r="BH991" s="29">
        <f>Tabla4[[#This Row],[TOTAL DESEMBOLSOS]]-Tabla4[[#This Row],[VALOR ATENCIÓN (8 MESES)]]</f>
        <v>0</v>
      </c>
      <c r="BI991" t="s">
        <v>98</v>
      </c>
      <c r="BJ991">
        <v>1994</v>
      </c>
    </row>
    <row r="992" spans="1:62">
      <c r="A992" s="13">
        <v>1994</v>
      </c>
      <c r="B992" s="13" t="s">
        <v>2174</v>
      </c>
      <c r="C992" s="12" t="s">
        <v>87</v>
      </c>
      <c r="D992" s="12" t="s">
        <v>462</v>
      </c>
      <c r="E992" s="12" t="s">
        <v>2175</v>
      </c>
      <c r="F992" s="12" t="s">
        <v>18</v>
      </c>
      <c r="G992" s="12" t="s">
        <v>90</v>
      </c>
      <c r="H992" s="12" t="s">
        <v>2197</v>
      </c>
      <c r="I992" s="12">
        <v>565900122376</v>
      </c>
      <c r="J992" s="12" t="s">
        <v>2198</v>
      </c>
      <c r="K992" s="12">
        <v>1</v>
      </c>
      <c r="L992" s="12">
        <v>50</v>
      </c>
      <c r="M992" s="12"/>
      <c r="N992" s="13">
        <v>1994</v>
      </c>
      <c r="O992" s="12" t="s">
        <v>93</v>
      </c>
      <c r="P992" s="12"/>
      <c r="Q992" s="12"/>
      <c r="R992" s="12" t="s">
        <v>94</v>
      </c>
      <c r="S992" s="12">
        <v>10</v>
      </c>
      <c r="T992" s="12" t="s">
        <v>2178</v>
      </c>
      <c r="U992" s="12" t="s">
        <v>2179</v>
      </c>
      <c r="V992" s="12">
        <f>VLOOKUP(Tabla4[[#This Row],[ZONA DEFINITIVO]],Hoja1!$A$1:$D$121,3,0)</f>
        <v>229179</v>
      </c>
      <c r="W992" s="12">
        <f>VLOOKUP(Tabla4[[#This Row],[ZONA DEFINITIVO]],Hoja1!$A$1:$D$121,2,0)</f>
        <v>15356</v>
      </c>
      <c r="X992" s="12">
        <f>VLOOKUP(Tabla4[[#This Row],[ZONA DEFINITIVO]],Hoja1!$A$1:$D$121,4,0)</f>
        <v>87825</v>
      </c>
      <c r="Y992" s="12" t="str">
        <f>+IF(Tabla4[[#This Row],[AGRUPACIONES]]=1,SUMIFS(Tabla4[UDS],Tabla4[ZONA DEFINITIVO],Tabla4[[#This Row],[ZONA DEFINITIVO]])," ")</f>
        <v xml:space="preserve"> </v>
      </c>
      <c r="Z992" s="12" t="str">
        <f>+IF(Tabla4[[#This Row],[AGRUPACIONES]]=1,SUMIFS(Tabla4[TOTAL COBERTURA],Tabla4[ZONA DEFINITIVO],Tabla4[[#This Row],[ZONA DEFINITIVO]])," ")</f>
        <v xml:space="preserve"> </v>
      </c>
      <c r="AA992" s="12"/>
      <c r="AB992" s="38">
        <v>109009650</v>
      </c>
      <c r="AC992" s="37">
        <v>0.02</v>
      </c>
      <c r="AD992" s="38">
        <f t="shared" si="16"/>
        <v>2180193</v>
      </c>
      <c r="AE992" s="12"/>
      <c r="AF992" s="12">
        <f>COUNTIF($A$20:A992,A992)</f>
        <v>11</v>
      </c>
      <c r="AG992" s="38">
        <v>109009650</v>
      </c>
      <c r="AH992" s="38">
        <f>Tabla4[[#This Row],[VALOR CONTRAPARTIDA]]+Tabla4[[#This Row],[TOTAL APORTES ICBF]]</f>
        <v>111189843</v>
      </c>
      <c r="AI992" s="35"/>
      <c r="AJ992" s="38"/>
      <c r="AK992" s="38"/>
      <c r="AL992" s="23"/>
      <c r="AM992" s="35">
        <f>VLOOKUP(Tabla4[[#This Row],[SERVICIO 2025]],$J$2:$V$14,5,0)*Tabla4[[#This Row],[TOTAL COBERTURA]]</f>
        <v>2468800</v>
      </c>
      <c r="AN992" s="35">
        <f>VLOOKUP(Tabla4[[#This Row],[SERVICIO 2025]],$J$2:$V$14,6,0)*Tabla4[[#This Row],[TOTAL COBERTURA]]</f>
        <v>2051450</v>
      </c>
      <c r="AO992" s="35">
        <f>VLOOKUP(Tabla4[[#This Row],[SERVICIO 2025]],$J$2:$V$14,8,0)*Tabla4[[#This Row],[TOTAL COBERTURA]]</f>
        <v>1455000</v>
      </c>
      <c r="AP992" s="35">
        <f>VLOOKUP(Tabla4[[#This Row],[SERVICIO 2025]],$J$2:$V$14,3,0)*Tabla4[[#This Row],[TOTAL COBERTURA]]*8</f>
        <v>103034400</v>
      </c>
      <c r="AQ992" s="35"/>
      <c r="AR992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992" s="35" t="str">
        <f>+IF(Tabla4[[#This Row],[AGRUPACIONES]]=1,SUMIFS(Tabla4[VALOR TOTAL],Tabla4[ZONA DEFINITIVO],Tabla4[[#This Row],[ZONA DEFINITIVO]])," ")</f>
        <v xml:space="preserve"> </v>
      </c>
      <c r="AT992" s="27">
        <f>(VLOOKUP(Tabla4[[#This Row],[SERVICIO 2025]],$J$2:$V$14,3,0)*Tabla4[[#This Row],[TOTAL COBERTURA]])+Tabla4[[#This Row],[VALOR FASE PREPARATORIA DE ALISTAMIENTO]]+Tabla4[[#This Row],[DOTACIÓN ÚNICA]]</f>
        <v>16803100</v>
      </c>
      <c r="AU992" s="35">
        <f>(VLOOKUP(Tabla4[[#This Row],[SERVICIO 2025]],$J$2:$V$14,3,0)*Tabla4[[#This Row],[TOTAL COBERTURA]])</f>
        <v>12879300</v>
      </c>
      <c r="AV992" s="35">
        <f>(VLOOKUP(Tabla4[[#This Row],[SERVICIO 2025]],$J$2:$V$14,3,0)*Tabla4[[#This Row],[TOTAL COBERTURA]])</f>
        <v>12879300</v>
      </c>
      <c r="AW992" s="35">
        <f>(VLOOKUP(Tabla4[[#This Row],[SERVICIO 2025]],$J$2:$V$14,3,0)*Tabla4[[#This Row],[TOTAL COBERTURA]])</f>
        <v>12879300</v>
      </c>
      <c r="AX992" s="35">
        <f>(VLOOKUP(Tabla4[[#This Row],[SERVICIO 2025]],$J$2:$V$14,3,0)*Tabla4[[#This Row],[TOTAL COBERTURA]])</f>
        <v>12879300</v>
      </c>
      <c r="AY992" s="35">
        <f>(VLOOKUP(Tabla4[[#This Row],[SERVICIO 2025]],$J$2:$V$14,3,0)*Tabla4[[#This Row],[TOTAL COBERTURA]])</f>
        <v>12879300</v>
      </c>
      <c r="AZ992" s="35">
        <f>(VLOOKUP(Tabla4[[#This Row],[SERVICIO 2025]],$J$2:$V$14,3,0)*Tabla4[[#This Row],[TOTAL COBERTURA]])</f>
        <v>12879300</v>
      </c>
      <c r="BA992" s="35">
        <f>(VLOOKUP(Tabla4[[#This Row],[SERVICIO 2025]],$J$2:$V$14,3,0)*Tabla4[[#This Row],[TOTAL COBERTURA]])+Tabla4[[#This Row],[VALOR FASE PREPARATORIA DE CIERRE]]</f>
        <v>14930750</v>
      </c>
      <c r="BB992" s="35">
        <f>SUM(Tabla4[[#This Row],[DESEMBOLSO 1]:[DESEMBOLSO 8]])</f>
        <v>109009650</v>
      </c>
      <c r="BC992" s="35">
        <f>VLOOKUP(Tabla4[[#This Row],[SERVICIO 2025]],$J$2:$V$14,10,0)*Tabla4[[#This Row],[TOTAL COBERTURA]]*$W$3</f>
        <v>72153200</v>
      </c>
      <c r="BD992" s="47" t="s">
        <v>211</v>
      </c>
      <c r="BE992" s="12" t="b">
        <f>EXACT(Tabla4[[#This Row],[VALOR ATENCIÓN (8 MESES)]],Tabla4[[#This Row],[VALOR TOTAL]])</f>
        <v>1</v>
      </c>
      <c r="BF992" s="23">
        <f>Tabla4[[#This Row],[VALOR ATENCIÓN (8 MESES)]]-Tabla4[[#This Row],[VALOR TOTAL]]</f>
        <v>0</v>
      </c>
      <c r="BG992" s="12" t="b">
        <f>EXACT(Tabla4[[#This Row],[TOTAL DESEMBOLSOS]],Tabla4[[#This Row],[VALOR ATENCIÓN (8 MESES)]])</f>
        <v>1</v>
      </c>
      <c r="BH992" s="29">
        <f>Tabla4[[#This Row],[TOTAL DESEMBOLSOS]]-Tabla4[[#This Row],[VALOR ATENCIÓN (8 MESES)]]</f>
        <v>0</v>
      </c>
      <c r="BI992" t="s">
        <v>98</v>
      </c>
      <c r="BJ992">
        <v>1994</v>
      </c>
    </row>
    <row r="993" spans="1:61">
      <c r="A993" s="13">
        <v>1996</v>
      </c>
      <c r="B993" s="13" t="s">
        <v>2199</v>
      </c>
      <c r="C993" s="12" t="s">
        <v>87</v>
      </c>
      <c r="D993" s="12" t="s">
        <v>88</v>
      </c>
      <c r="E993" s="12" t="s">
        <v>2200</v>
      </c>
      <c r="F993" s="12" t="s">
        <v>15</v>
      </c>
      <c r="G993" s="12" t="s">
        <v>90</v>
      </c>
      <c r="H993" s="12" t="s">
        <v>2201</v>
      </c>
      <c r="I993" s="12">
        <v>56641124826</v>
      </c>
      <c r="J993" s="12" t="s">
        <v>2202</v>
      </c>
      <c r="K993" s="12">
        <v>1</v>
      </c>
      <c r="L993" s="12">
        <v>42</v>
      </c>
      <c r="M993" s="12"/>
      <c r="N993" s="13">
        <v>1996</v>
      </c>
      <c r="O993" s="12" t="s">
        <v>93</v>
      </c>
      <c r="P993" s="12"/>
      <c r="Q993" s="12"/>
      <c r="R993" s="12" t="s">
        <v>94</v>
      </c>
      <c r="S993" s="12">
        <v>10</v>
      </c>
      <c r="T993" s="12" t="s">
        <v>2203</v>
      </c>
      <c r="U993" s="12" t="s">
        <v>2204</v>
      </c>
      <c r="V993" s="12">
        <f>VLOOKUP(Tabla4[[#This Row],[ZONA DEFINITIVO]],Hoja1!$A$1:$D$121,3,0)</f>
        <v>229146</v>
      </c>
      <c r="W993" s="12">
        <f>VLOOKUP(Tabla4[[#This Row],[ZONA DEFINITIVO]],Hoja1!$A$1:$D$121,2,0)</f>
        <v>15246</v>
      </c>
      <c r="X993" s="12">
        <f>VLOOKUP(Tabla4[[#This Row],[ZONA DEFINITIVO]],Hoja1!$A$1:$D$121,4,0)</f>
        <v>88925</v>
      </c>
      <c r="Y993" s="12">
        <f>+IF(Tabla4[[#This Row],[AGRUPACIONES]]=1,SUMIFS(Tabla4[UDS],Tabla4[ZONA DEFINITIVO],Tabla4[[#This Row],[ZONA DEFINITIVO]])," ")</f>
        <v>16</v>
      </c>
      <c r="Z993" s="12">
        <f>+IF(Tabla4[[#This Row],[AGRUPACIONES]]=1,SUMIFS(Tabla4[TOTAL COBERTURA],Tabla4[ZONA DEFINITIVO],Tabla4[[#This Row],[ZONA DEFINITIVO]])," ")</f>
        <v>412</v>
      </c>
      <c r="AA993" s="12"/>
      <c r="AB993" s="38">
        <v>181834884</v>
      </c>
      <c r="AC993" s="37">
        <v>0.02</v>
      </c>
      <c r="AD993" s="38">
        <f t="shared" si="16"/>
        <v>3636697.68</v>
      </c>
      <c r="AE993" s="12"/>
      <c r="AF993" s="12">
        <f>COUNTIF($A$20:A993,A993)</f>
        <v>1</v>
      </c>
      <c r="AG993" s="38">
        <v>181834884</v>
      </c>
      <c r="AH993" s="38">
        <f>Tabla4[[#This Row],[VALOR CONTRAPARTIDA]]+Tabla4[[#This Row],[TOTAL APORTES ICBF]]</f>
        <v>185471581.68000001</v>
      </c>
      <c r="AI993" s="35">
        <f>ROUND(+IF(Tabla4[[#This Row],[AGRUPACIONES]]=1,SUMIFS(Tabla4[TOTAL APORTES ICBF],Tabla4[ZONA DEFINITIVO],Tabla4[[#This Row],[ZONA DEFINITIVO]])," "),0)</f>
        <v>989575874</v>
      </c>
      <c r="AJ993" s="38">
        <f>ROUND(+IF(Tabla4[[#This Row],[AGRUPACIONES]]=1,SUMIFS(Tabla4[VALOR CONTRAPARTIDA],Tabla4[ZONA DEFINITIVO],Tabla4[[#This Row],[ZONA DEFINITIVO]])," "),0)</f>
        <v>19791517</v>
      </c>
      <c r="AK993" s="38">
        <f>Tabla4[[#This Row],[TOTAL APORTES ICBF AGRUPADO]]+Tabla4[[#This Row],[TOTAL CONTRAPARTIDA AGRUPADO]]</f>
        <v>1009367391</v>
      </c>
      <c r="AL993" s="23">
        <f>Tabla4[[#This Row],[TOTAL APORTES ICBF AGRUPADO]]/$AL$18</f>
        <v>695.17096873902358</v>
      </c>
      <c r="AM993" s="35">
        <f>VLOOKUP(Tabla4[[#This Row],[SERVICIO 2025]],$J$2:$V$14,5,0)*Tabla4[[#This Row],[TOTAL COBERTURA]]</f>
        <v>3702006</v>
      </c>
      <c r="AN993" s="35">
        <f>VLOOKUP(Tabla4[[#This Row],[SERVICIO 2025]],$J$2:$V$14,6,0)*Tabla4[[#This Row],[TOTAL COBERTURA]]</f>
        <v>3151806</v>
      </c>
      <c r="AO993" s="35">
        <f>VLOOKUP(Tabla4[[#This Row],[SERVICIO 2025]],$J$2:$V$14,8,0)*Tabla4[[#This Row],[TOTAL COBERTURA]]</f>
        <v>0</v>
      </c>
      <c r="AP993" s="35">
        <f>VLOOKUP(Tabla4[[#This Row],[SERVICIO 2025]],$J$2:$V$14,3,0)*Tabla4[[#This Row],[TOTAL COBERTURA]]*8</f>
        <v>174981072</v>
      </c>
      <c r="AQ993" s="35"/>
      <c r="AR993" s="35">
        <f>Tabla4[[#This Row],[VALOR FASE PREPARATORIA DE ALISTAMIENTO]]+Tabla4[[#This Row],[VALOR FASE PREPARATORIA DE CIERRE]]+Tabla4[[#This Row],[DOTACIÓN ÚNICA]]+Tabla4[[#This Row],[VALOR ATENCIÓN]]+Tabla4[[#This Row],[VALOR RACION PREPARADA]]</f>
        <v>181834884</v>
      </c>
      <c r="AS993" s="35">
        <f>+IF(Tabla4[[#This Row],[AGRUPACIONES]]=1,SUMIFS(Tabla4[VALOR TOTAL],Tabla4[ZONA DEFINITIVO],Tabla4[[#This Row],[ZONA DEFINITIVO]])," ")</f>
        <v>989575874</v>
      </c>
      <c r="AT993" s="27">
        <f>(VLOOKUP(Tabla4[[#This Row],[SERVICIO 2025]],$J$2:$V$14,3,0)*Tabla4[[#This Row],[TOTAL COBERTURA]])+Tabla4[[#This Row],[VALOR FASE PREPARATORIA DE ALISTAMIENTO]]+Tabla4[[#This Row],[DOTACIÓN ÚNICA]]</f>
        <v>25574640</v>
      </c>
      <c r="AU993" s="35">
        <f>(VLOOKUP(Tabla4[[#This Row],[SERVICIO 2025]],$J$2:$V$14,3,0)*Tabla4[[#This Row],[TOTAL COBERTURA]])</f>
        <v>21872634</v>
      </c>
      <c r="AV993" s="35">
        <f>(VLOOKUP(Tabla4[[#This Row],[SERVICIO 2025]],$J$2:$V$14,3,0)*Tabla4[[#This Row],[TOTAL COBERTURA]])</f>
        <v>21872634</v>
      </c>
      <c r="AW993" s="35">
        <f>(VLOOKUP(Tabla4[[#This Row],[SERVICIO 2025]],$J$2:$V$14,3,0)*Tabla4[[#This Row],[TOTAL COBERTURA]])</f>
        <v>21872634</v>
      </c>
      <c r="AX993" s="35">
        <f>(VLOOKUP(Tabla4[[#This Row],[SERVICIO 2025]],$J$2:$V$14,3,0)*Tabla4[[#This Row],[TOTAL COBERTURA]])</f>
        <v>21872634</v>
      </c>
      <c r="AY993" s="35">
        <f>(VLOOKUP(Tabla4[[#This Row],[SERVICIO 2025]],$J$2:$V$14,3,0)*Tabla4[[#This Row],[TOTAL COBERTURA]])</f>
        <v>21872634</v>
      </c>
      <c r="AZ993" s="35">
        <f>(VLOOKUP(Tabla4[[#This Row],[SERVICIO 2025]],$J$2:$V$14,3,0)*Tabla4[[#This Row],[TOTAL COBERTURA]])</f>
        <v>21872634</v>
      </c>
      <c r="BA993" s="35">
        <f>(VLOOKUP(Tabla4[[#This Row],[SERVICIO 2025]],$J$2:$V$14,3,0)*Tabla4[[#This Row],[TOTAL COBERTURA]])+Tabla4[[#This Row],[VALOR FASE PREPARATORIA DE CIERRE]]</f>
        <v>25024440</v>
      </c>
      <c r="BB993" s="35">
        <f>SUM(Tabla4[[#This Row],[DESEMBOLSO 1]:[DESEMBOLSO 8]])</f>
        <v>181834884</v>
      </c>
      <c r="BC993" s="35">
        <f>VLOOKUP(Tabla4[[#This Row],[SERVICIO 2025]],$J$2:$V$14,10,0)*Tabla4[[#This Row],[TOTAL COBERTURA]]*$W$3</f>
        <v>0</v>
      </c>
      <c r="BD993" s="47" t="s">
        <v>145</v>
      </c>
      <c r="BE993" s="12" t="b">
        <f>EXACT(Tabla4[[#This Row],[VALOR ATENCIÓN (8 MESES)]],Tabla4[[#This Row],[VALOR TOTAL]])</f>
        <v>1</v>
      </c>
      <c r="BF993" s="23">
        <f>Tabla4[[#This Row],[VALOR ATENCIÓN (8 MESES)]]-Tabla4[[#This Row],[VALOR TOTAL]]</f>
        <v>0</v>
      </c>
      <c r="BG993" s="12" t="b">
        <f>EXACT(Tabla4[[#This Row],[TOTAL DESEMBOLSOS]],Tabla4[[#This Row],[VALOR ATENCIÓN (8 MESES)]])</f>
        <v>1</v>
      </c>
      <c r="BH993" s="29">
        <f>Tabla4[[#This Row],[TOTAL DESEMBOLSOS]]-Tabla4[[#This Row],[VALOR ATENCIÓN (8 MESES)]]</f>
        <v>0</v>
      </c>
      <c r="BI993" t="s">
        <v>98</v>
      </c>
    </row>
    <row r="994" spans="1:61">
      <c r="A994" s="13">
        <v>1996</v>
      </c>
      <c r="B994" s="13" t="s">
        <v>2199</v>
      </c>
      <c r="C994" s="12" t="s">
        <v>87</v>
      </c>
      <c r="D994" s="12" t="s">
        <v>88</v>
      </c>
      <c r="E994" s="12" t="s">
        <v>2200</v>
      </c>
      <c r="F994" s="12" t="s">
        <v>21</v>
      </c>
      <c r="G994" s="12" t="s">
        <v>90</v>
      </c>
      <c r="H994" s="12" t="s">
        <v>2205</v>
      </c>
      <c r="I994" s="12">
        <v>56641135198</v>
      </c>
      <c r="J994" s="12" t="s">
        <v>2206</v>
      </c>
      <c r="K994" s="12">
        <v>1</v>
      </c>
      <c r="L994" s="12">
        <v>14</v>
      </c>
      <c r="M994" s="12"/>
      <c r="N994" s="13">
        <v>1996</v>
      </c>
      <c r="O994" s="12" t="s">
        <v>93</v>
      </c>
      <c r="P994" s="12"/>
      <c r="Q994" s="12"/>
      <c r="R994" s="12" t="s">
        <v>94</v>
      </c>
      <c r="S994" s="12">
        <v>10</v>
      </c>
      <c r="T994" s="12" t="s">
        <v>2203</v>
      </c>
      <c r="U994" s="12" t="s">
        <v>2204</v>
      </c>
      <c r="V994" s="12">
        <f>VLOOKUP(Tabla4[[#This Row],[ZONA DEFINITIVO]],Hoja1!$A$1:$D$121,3,0)</f>
        <v>229146</v>
      </c>
      <c r="W994" s="12">
        <f>VLOOKUP(Tabla4[[#This Row],[ZONA DEFINITIVO]],Hoja1!$A$1:$D$121,2,0)</f>
        <v>15246</v>
      </c>
      <c r="X994" s="12">
        <f>VLOOKUP(Tabla4[[#This Row],[ZONA DEFINITIVO]],Hoja1!$A$1:$D$121,4,0)</f>
        <v>88925</v>
      </c>
      <c r="Y994" s="12" t="str">
        <f>+IF(Tabla4[[#This Row],[AGRUPACIONES]]=1,SUMIFS(Tabla4[UDS],Tabla4[ZONA DEFINITIVO],Tabla4[[#This Row],[ZONA DEFINITIVO]])," ")</f>
        <v xml:space="preserve"> </v>
      </c>
      <c r="Z994" s="12" t="str">
        <f>+IF(Tabla4[[#This Row],[AGRUPACIONES]]=1,SUMIFS(Tabla4[TOTAL COBERTURA],Tabla4[ZONA DEFINITIVO],Tabla4[[#This Row],[ZONA DEFINITIVO]])," ")</f>
        <v xml:space="preserve"> </v>
      </c>
      <c r="AA994" s="12"/>
      <c r="AB994" s="38">
        <v>21270270</v>
      </c>
      <c r="AC994" s="37">
        <v>0.02</v>
      </c>
      <c r="AD994" s="38">
        <f t="shared" si="16"/>
        <v>425405.4</v>
      </c>
      <c r="AE994" s="12"/>
      <c r="AF994" s="12">
        <f>COUNTIF($A$20:A994,A994)</f>
        <v>2</v>
      </c>
      <c r="AG994" s="38">
        <v>21270270</v>
      </c>
      <c r="AH994" s="38">
        <f>Tabla4[[#This Row],[VALOR CONTRAPARTIDA]]+Tabla4[[#This Row],[TOTAL APORTES ICBF]]</f>
        <v>21695675.399999999</v>
      </c>
      <c r="AI994" s="35"/>
      <c r="AJ994" s="38"/>
      <c r="AK994" s="38"/>
      <c r="AL994" s="23"/>
      <c r="AM994" s="35">
        <f>VLOOKUP(Tabla4[[#This Row],[SERVICIO 2025]],$J$2:$V$14,5,0)*Tabla4[[#This Row],[TOTAL COBERTURA]]</f>
        <v>654416</v>
      </c>
      <c r="AN994" s="35">
        <f>VLOOKUP(Tabla4[[#This Row],[SERVICIO 2025]],$J$2:$V$14,6,0)*Tabla4[[#This Row],[TOTAL COBERTURA]]</f>
        <v>529774</v>
      </c>
      <c r="AO994" s="35">
        <f>VLOOKUP(Tabla4[[#This Row],[SERVICIO 2025]],$J$2:$V$14,8,0)*Tabla4[[#This Row],[TOTAL COBERTURA]]</f>
        <v>0</v>
      </c>
      <c r="AP994" s="35">
        <f>VLOOKUP(Tabla4[[#This Row],[SERVICIO 2025]],$J$2:$V$14,3,0)*Tabla4[[#This Row],[TOTAL COBERTURA]]*8</f>
        <v>20086080</v>
      </c>
      <c r="AQ994" s="35"/>
      <c r="AR994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994" s="35" t="str">
        <f>+IF(Tabla4[[#This Row],[AGRUPACIONES]]=1,SUMIFS(Tabla4[VALOR TOTAL],Tabla4[ZONA DEFINITIVO],Tabla4[[#This Row],[ZONA DEFINITIVO]])," ")</f>
        <v xml:space="preserve"> </v>
      </c>
      <c r="AT994" s="27">
        <f>(VLOOKUP(Tabla4[[#This Row],[SERVICIO 2025]],$J$2:$V$14,3,0)*Tabla4[[#This Row],[TOTAL COBERTURA]])+Tabla4[[#This Row],[VALOR FASE PREPARATORIA DE ALISTAMIENTO]]+Tabla4[[#This Row],[DOTACIÓN ÚNICA]]</f>
        <v>3165176</v>
      </c>
      <c r="AU994" s="35">
        <f>(VLOOKUP(Tabla4[[#This Row],[SERVICIO 2025]],$J$2:$V$14,3,0)*Tabla4[[#This Row],[TOTAL COBERTURA]])</f>
        <v>2510760</v>
      </c>
      <c r="AV994" s="35">
        <f>(VLOOKUP(Tabla4[[#This Row],[SERVICIO 2025]],$J$2:$V$14,3,0)*Tabla4[[#This Row],[TOTAL COBERTURA]])</f>
        <v>2510760</v>
      </c>
      <c r="AW994" s="35">
        <f>(VLOOKUP(Tabla4[[#This Row],[SERVICIO 2025]],$J$2:$V$14,3,0)*Tabla4[[#This Row],[TOTAL COBERTURA]])</f>
        <v>2510760</v>
      </c>
      <c r="AX994" s="35">
        <f>(VLOOKUP(Tabla4[[#This Row],[SERVICIO 2025]],$J$2:$V$14,3,0)*Tabla4[[#This Row],[TOTAL COBERTURA]])</f>
        <v>2510760</v>
      </c>
      <c r="AY994" s="35">
        <f>(VLOOKUP(Tabla4[[#This Row],[SERVICIO 2025]],$J$2:$V$14,3,0)*Tabla4[[#This Row],[TOTAL COBERTURA]])</f>
        <v>2510760</v>
      </c>
      <c r="AZ994" s="35">
        <f>(VLOOKUP(Tabla4[[#This Row],[SERVICIO 2025]],$J$2:$V$14,3,0)*Tabla4[[#This Row],[TOTAL COBERTURA]])</f>
        <v>2510760</v>
      </c>
      <c r="BA994" s="35">
        <f>(VLOOKUP(Tabla4[[#This Row],[SERVICIO 2025]],$J$2:$V$14,3,0)*Tabla4[[#This Row],[TOTAL COBERTURA]])+Tabla4[[#This Row],[VALOR FASE PREPARATORIA DE CIERRE]]</f>
        <v>3040534</v>
      </c>
      <c r="BB994" s="35">
        <f>SUM(Tabla4[[#This Row],[DESEMBOLSO 1]:[DESEMBOLSO 8]])</f>
        <v>21270270</v>
      </c>
      <c r="BC994" s="35"/>
      <c r="BD994" s="47" t="s">
        <v>97</v>
      </c>
      <c r="BE994" s="12" t="b">
        <f>EXACT(Tabla4[[#This Row],[VALOR ATENCIÓN (8 MESES)]],Tabla4[[#This Row],[VALOR TOTAL]])</f>
        <v>1</v>
      </c>
      <c r="BF994" s="23">
        <f>Tabla4[[#This Row],[VALOR ATENCIÓN (8 MESES)]]-Tabla4[[#This Row],[VALOR TOTAL]]</f>
        <v>0</v>
      </c>
      <c r="BG994" s="12" t="b">
        <f>EXACT(Tabla4[[#This Row],[TOTAL DESEMBOLSOS]],Tabla4[[#This Row],[VALOR ATENCIÓN (8 MESES)]])</f>
        <v>1</v>
      </c>
      <c r="BH994" s="29">
        <f>Tabla4[[#This Row],[TOTAL DESEMBOLSOS]]-Tabla4[[#This Row],[VALOR ATENCIÓN (8 MESES)]]</f>
        <v>0</v>
      </c>
      <c r="BI994" t="s">
        <v>98</v>
      </c>
    </row>
    <row r="995" spans="1:61">
      <c r="A995" s="13">
        <v>1996</v>
      </c>
      <c r="B995" s="13" t="s">
        <v>2199</v>
      </c>
      <c r="C995" s="12" t="s">
        <v>87</v>
      </c>
      <c r="D995" s="12" t="s">
        <v>88</v>
      </c>
      <c r="E995" s="12" t="s">
        <v>2200</v>
      </c>
      <c r="F995" s="12" t="s">
        <v>21</v>
      </c>
      <c r="G995" s="12" t="s">
        <v>90</v>
      </c>
      <c r="H995" s="12" t="s">
        <v>2207</v>
      </c>
      <c r="I995" s="12">
        <v>56641135205</v>
      </c>
      <c r="J995" s="12" t="s">
        <v>2208</v>
      </c>
      <c r="K995" s="12">
        <v>1</v>
      </c>
      <c r="L995" s="12">
        <v>13</v>
      </c>
      <c r="M995" s="12"/>
      <c r="N995" s="13">
        <v>1996</v>
      </c>
      <c r="O995" s="12" t="s">
        <v>93</v>
      </c>
      <c r="P995" s="12"/>
      <c r="Q995" s="12"/>
      <c r="R995" s="12" t="s">
        <v>94</v>
      </c>
      <c r="S995" s="12">
        <v>10</v>
      </c>
      <c r="T995" s="12" t="s">
        <v>2203</v>
      </c>
      <c r="U995" s="12" t="s">
        <v>2204</v>
      </c>
      <c r="V995" s="12">
        <f>VLOOKUP(Tabla4[[#This Row],[ZONA DEFINITIVO]],Hoja1!$A$1:$D$121,3,0)</f>
        <v>229146</v>
      </c>
      <c r="W995" s="12">
        <f>VLOOKUP(Tabla4[[#This Row],[ZONA DEFINITIVO]],Hoja1!$A$1:$D$121,2,0)</f>
        <v>15246</v>
      </c>
      <c r="X995" s="12">
        <f>VLOOKUP(Tabla4[[#This Row],[ZONA DEFINITIVO]],Hoja1!$A$1:$D$121,4,0)</f>
        <v>88925</v>
      </c>
      <c r="Y995" s="12" t="str">
        <f>+IF(Tabla4[[#This Row],[AGRUPACIONES]]=1,SUMIFS(Tabla4[UDS],Tabla4[ZONA DEFINITIVO],Tabla4[[#This Row],[ZONA DEFINITIVO]])," ")</f>
        <v xml:space="preserve"> </v>
      </c>
      <c r="Z995" s="12" t="str">
        <f>+IF(Tabla4[[#This Row],[AGRUPACIONES]]=1,SUMIFS(Tabla4[TOTAL COBERTURA],Tabla4[ZONA DEFINITIVO],Tabla4[[#This Row],[ZONA DEFINITIVO]])," ")</f>
        <v xml:space="preserve"> </v>
      </c>
      <c r="AA995" s="12"/>
      <c r="AB995" s="38">
        <v>19750965</v>
      </c>
      <c r="AC995" s="37">
        <v>0.02</v>
      </c>
      <c r="AD995" s="38">
        <f t="shared" si="16"/>
        <v>395019.3</v>
      </c>
      <c r="AE995" s="12"/>
      <c r="AF995" s="12">
        <f>COUNTIF($A$20:A995,A995)</f>
        <v>3</v>
      </c>
      <c r="AG995" s="38">
        <v>19750965</v>
      </c>
      <c r="AH995" s="38">
        <f>Tabla4[[#This Row],[VALOR CONTRAPARTIDA]]+Tabla4[[#This Row],[TOTAL APORTES ICBF]]</f>
        <v>20145984.300000001</v>
      </c>
      <c r="AI995" s="35"/>
      <c r="AJ995" s="38"/>
      <c r="AK995" s="38"/>
      <c r="AL995" s="23"/>
      <c r="AM995" s="35">
        <f>VLOOKUP(Tabla4[[#This Row],[SERVICIO 2025]],$J$2:$V$14,5,0)*Tabla4[[#This Row],[TOTAL COBERTURA]]</f>
        <v>607672</v>
      </c>
      <c r="AN995" s="35">
        <f>VLOOKUP(Tabla4[[#This Row],[SERVICIO 2025]],$J$2:$V$14,6,0)*Tabla4[[#This Row],[TOTAL COBERTURA]]</f>
        <v>491933</v>
      </c>
      <c r="AO995" s="35">
        <f>VLOOKUP(Tabla4[[#This Row],[SERVICIO 2025]],$J$2:$V$14,8,0)*Tabla4[[#This Row],[TOTAL COBERTURA]]</f>
        <v>0</v>
      </c>
      <c r="AP995" s="35">
        <f>VLOOKUP(Tabla4[[#This Row],[SERVICIO 2025]],$J$2:$V$14,3,0)*Tabla4[[#This Row],[TOTAL COBERTURA]]*8</f>
        <v>18651360</v>
      </c>
      <c r="AQ995" s="35"/>
      <c r="AR995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995" s="35" t="str">
        <f>+IF(Tabla4[[#This Row],[AGRUPACIONES]]=1,SUMIFS(Tabla4[VALOR TOTAL],Tabla4[ZONA DEFINITIVO],Tabla4[[#This Row],[ZONA DEFINITIVO]])," ")</f>
        <v xml:space="preserve"> </v>
      </c>
      <c r="AT995" s="27">
        <f>(VLOOKUP(Tabla4[[#This Row],[SERVICIO 2025]],$J$2:$V$14,3,0)*Tabla4[[#This Row],[TOTAL COBERTURA]])+Tabla4[[#This Row],[VALOR FASE PREPARATORIA DE ALISTAMIENTO]]+Tabla4[[#This Row],[DOTACIÓN ÚNICA]]</f>
        <v>2939092</v>
      </c>
      <c r="AU995" s="35">
        <f>(VLOOKUP(Tabla4[[#This Row],[SERVICIO 2025]],$J$2:$V$14,3,0)*Tabla4[[#This Row],[TOTAL COBERTURA]])</f>
        <v>2331420</v>
      </c>
      <c r="AV995" s="35">
        <f>(VLOOKUP(Tabla4[[#This Row],[SERVICIO 2025]],$J$2:$V$14,3,0)*Tabla4[[#This Row],[TOTAL COBERTURA]])</f>
        <v>2331420</v>
      </c>
      <c r="AW995" s="35">
        <f>(VLOOKUP(Tabla4[[#This Row],[SERVICIO 2025]],$J$2:$V$14,3,0)*Tabla4[[#This Row],[TOTAL COBERTURA]])</f>
        <v>2331420</v>
      </c>
      <c r="AX995" s="35">
        <f>(VLOOKUP(Tabla4[[#This Row],[SERVICIO 2025]],$J$2:$V$14,3,0)*Tabla4[[#This Row],[TOTAL COBERTURA]])</f>
        <v>2331420</v>
      </c>
      <c r="AY995" s="35">
        <f>(VLOOKUP(Tabla4[[#This Row],[SERVICIO 2025]],$J$2:$V$14,3,0)*Tabla4[[#This Row],[TOTAL COBERTURA]])</f>
        <v>2331420</v>
      </c>
      <c r="AZ995" s="35">
        <f>(VLOOKUP(Tabla4[[#This Row],[SERVICIO 2025]],$J$2:$V$14,3,0)*Tabla4[[#This Row],[TOTAL COBERTURA]])</f>
        <v>2331420</v>
      </c>
      <c r="BA995" s="35">
        <f>(VLOOKUP(Tabla4[[#This Row],[SERVICIO 2025]],$J$2:$V$14,3,0)*Tabla4[[#This Row],[TOTAL COBERTURA]])+Tabla4[[#This Row],[VALOR FASE PREPARATORIA DE CIERRE]]</f>
        <v>2823353</v>
      </c>
      <c r="BB995" s="35">
        <f>SUM(Tabla4[[#This Row],[DESEMBOLSO 1]:[DESEMBOLSO 8]])</f>
        <v>19750965</v>
      </c>
      <c r="BC995" s="35"/>
      <c r="BD995" s="47" t="s">
        <v>97</v>
      </c>
      <c r="BE995" s="12" t="b">
        <f>EXACT(Tabla4[[#This Row],[VALOR ATENCIÓN (8 MESES)]],Tabla4[[#This Row],[VALOR TOTAL]])</f>
        <v>1</v>
      </c>
      <c r="BF995" s="23">
        <f>Tabla4[[#This Row],[VALOR ATENCIÓN (8 MESES)]]-Tabla4[[#This Row],[VALOR TOTAL]]</f>
        <v>0</v>
      </c>
      <c r="BG995" s="12" t="b">
        <f>EXACT(Tabla4[[#This Row],[TOTAL DESEMBOLSOS]],Tabla4[[#This Row],[VALOR ATENCIÓN (8 MESES)]])</f>
        <v>1</v>
      </c>
      <c r="BH995" s="29">
        <f>Tabla4[[#This Row],[TOTAL DESEMBOLSOS]]-Tabla4[[#This Row],[VALOR ATENCIÓN (8 MESES)]]</f>
        <v>0</v>
      </c>
      <c r="BI995" t="s">
        <v>98</v>
      </c>
    </row>
    <row r="996" spans="1:61">
      <c r="A996" s="13">
        <v>1996</v>
      </c>
      <c r="B996" s="13" t="s">
        <v>2199</v>
      </c>
      <c r="C996" s="12" t="s">
        <v>87</v>
      </c>
      <c r="D996" s="12" t="s">
        <v>88</v>
      </c>
      <c r="E996" s="12" t="s">
        <v>2200</v>
      </c>
      <c r="F996" s="12" t="s">
        <v>21</v>
      </c>
      <c r="G996" s="12" t="s">
        <v>90</v>
      </c>
      <c r="H996" s="12" t="s">
        <v>2209</v>
      </c>
      <c r="I996" s="12">
        <v>56641135514</v>
      </c>
      <c r="J996" s="12" t="s">
        <v>2210</v>
      </c>
      <c r="K996" s="12">
        <v>1</v>
      </c>
      <c r="L996" s="12">
        <v>20</v>
      </c>
      <c r="M996" s="12"/>
      <c r="N996" s="13">
        <v>1996</v>
      </c>
      <c r="O996" s="12" t="s">
        <v>93</v>
      </c>
      <c r="P996" s="12"/>
      <c r="Q996" s="12"/>
      <c r="R996" s="12" t="s">
        <v>94</v>
      </c>
      <c r="S996" s="12">
        <v>10</v>
      </c>
      <c r="T996" s="12" t="s">
        <v>2203</v>
      </c>
      <c r="U996" s="12" t="s">
        <v>2204</v>
      </c>
      <c r="V996" s="12">
        <f>VLOOKUP(Tabla4[[#This Row],[ZONA DEFINITIVO]],Hoja1!$A$1:$D$121,3,0)</f>
        <v>229146</v>
      </c>
      <c r="W996" s="12">
        <f>VLOOKUP(Tabla4[[#This Row],[ZONA DEFINITIVO]],Hoja1!$A$1:$D$121,2,0)</f>
        <v>15246</v>
      </c>
      <c r="X996" s="12">
        <f>VLOOKUP(Tabla4[[#This Row],[ZONA DEFINITIVO]],Hoja1!$A$1:$D$121,4,0)</f>
        <v>88925</v>
      </c>
      <c r="Y996" s="12" t="str">
        <f>+IF(Tabla4[[#This Row],[AGRUPACIONES]]=1,SUMIFS(Tabla4[UDS],Tabla4[ZONA DEFINITIVO],Tabla4[[#This Row],[ZONA DEFINITIVO]])," ")</f>
        <v xml:space="preserve"> </v>
      </c>
      <c r="Z996" s="12" t="str">
        <f>+IF(Tabla4[[#This Row],[AGRUPACIONES]]=1,SUMIFS(Tabla4[TOTAL COBERTURA],Tabla4[ZONA DEFINITIVO],Tabla4[[#This Row],[ZONA DEFINITIVO]])," ")</f>
        <v xml:space="preserve"> </v>
      </c>
      <c r="AA996" s="12"/>
      <c r="AB996" s="38">
        <v>30386100</v>
      </c>
      <c r="AC996" s="37">
        <v>0.02</v>
      </c>
      <c r="AD996" s="38">
        <f t="shared" si="16"/>
        <v>607722</v>
      </c>
      <c r="AE996" s="12"/>
      <c r="AF996" s="12">
        <f>COUNTIF($A$20:A996,A996)</f>
        <v>4</v>
      </c>
      <c r="AG996" s="38">
        <v>30386100</v>
      </c>
      <c r="AH996" s="38">
        <f>Tabla4[[#This Row],[VALOR CONTRAPARTIDA]]+Tabla4[[#This Row],[TOTAL APORTES ICBF]]</f>
        <v>30993822</v>
      </c>
      <c r="AI996" s="35"/>
      <c r="AJ996" s="38"/>
      <c r="AK996" s="38"/>
      <c r="AL996" s="23"/>
      <c r="AM996" s="35">
        <f>VLOOKUP(Tabla4[[#This Row],[SERVICIO 2025]],$J$2:$V$14,5,0)*Tabla4[[#This Row],[TOTAL COBERTURA]]</f>
        <v>934880</v>
      </c>
      <c r="AN996" s="35">
        <f>VLOOKUP(Tabla4[[#This Row],[SERVICIO 2025]],$J$2:$V$14,6,0)*Tabla4[[#This Row],[TOTAL COBERTURA]]</f>
        <v>756820</v>
      </c>
      <c r="AO996" s="35">
        <f>VLOOKUP(Tabla4[[#This Row],[SERVICIO 2025]],$J$2:$V$14,8,0)*Tabla4[[#This Row],[TOTAL COBERTURA]]</f>
        <v>0</v>
      </c>
      <c r="AP996" s="35">
        <f>VLOOKUP(Tabla4[[#This Row],[SERVICIO 2025]],$J$2:$V$14,3,0)*Tabla4[[#This Row],[TOTAL COBERTURA]]*8</f>
        <v>28694400</v>
      </c>
      <c r="AQ996" s="35"/>
      <c r="AR996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</v>
      </c>
      <c r="AS996" s="35" t="str">
        <f>+IF(Tabla4[[#This Row],[AGRUPACIONES]]=1,SUMIFS(Tabla4[VALOR TOTAL],Tabla4[ZONA DEFINITIVO],Tabla4[[#This Row],[ZONA DEFINITIVO]])," ")</f>
        <v xml:space="preserve"> </v>
      </c>
      <c r="AT996" s="27">
        <f>(VLOOKUP(Tabla4[[#This Row],[SERVICIO 2025]],$J$2:$V$14,3,0)*Tabla4[[#This Row],[TOTAL COBERTURA]])+Tabla4[[#This Row],[VALOR FASE PREPARATORIA DE ALISTAMIENTO]]+Tabla4[[#This Row],[DOTACIÓN ÚNICA]]</f>
        <v>4521680</v>
      </c>
      <c r="AU996" s="35">
        <f>(VLOOKUP(Tabla4[[#This Row],[SERVICIO 2025]],$J$2:$V$14,3,0)*Tabla4[[#This Row],[TOTAL COBERTURA]])</f>
        <v>3586800</v>
      </c>
      <c r="AV996" s="35">
        <f>(VLOOKUP(Tabla4[[#This Row],[SERVICIO 2025]],$J$2:$V$14,3,0)*Tabla4[[#This Row],[TOTAL COBERTURA]])</f>
        <v>3586800</v>
      </c>
      <c r="AW996" s="35">
        <f>(VLOOKUP(Tabla4[[#This Row],[SERVICIO 2025]],$J$2:$V$14,3,0)*Tabla4[[#This Row],[TOTAL COBERTURA]])</f>
        <v>3586800</v>
      </c>
      <c r="AX996" s="35">
        <f>(VLOOKUP(Tabla4[[#This Row],[SERVICIO 2025]],$J$2:$V$14,3,0)*Tabla4[[#This Row],[TOTAL COBERTURA]])</f>
        <v>3586800</v>
      </c>
      <c r="AY996" s="35">
        <f>(VLOOKUP(Tabla4[[#This Row],[SERVICIO 2025]],$J$2:$V$14,3,0)*Tabla4[[#This Row],[TOTAL COBERTURA]])</f>
        <v>3586800</v>
      </c>
      <c r="AZ996" s="35">
        <f>(VLOOKUP(Tabla4[[#This Row],[SERVICIO 2025]],$J$2:$V$14,3,0)*Tabla4[[#This Row],[TOTAL COBERTURA]])</f>
        <v>3586800</v>
      </c>
      <c r="BA996" s="35">
        <f>(VLOOKUP(Tabla4[[#This Row],[SERVICIO 2025]],$J$2:$V$14,3,0)*Tabla4[[#This Row],[TOTAL COBERTURA]])+Tabla4[[#This Row],[VALOR FASE PREPARATORIA DE CIERRE]]</f>
        <v>4343620</v>
      </c>
      <c r="BB996" s="35">
        <f>SUM(Tabla4[[#This Row],[DESEMBOLSO 1]:[DESEMBOLSO 8]])</f>
        <v>30386100</v>
      </c>
      <c r="BC996" s="35"/>
      <c r="BD996" s="47" t="s">
        <v>97</v>
      </c>
      <c r="BE996" s="12" t="b">
        <f>EXACT(Tabla4[[#This Row],[VALOR ATENCIÓN (8 MESES)]],Tabla4[[#This Row],[VALOR TOTAL]])</f>
        <v>1</v>
      </c>
      <c r="BF996" s="23">
        <f>Tabla4[[#This Row],[VALOR ATENCIÓN (8 MESES)]]-Tabla4[[#This Row],[VALOR TOTAL]]</f>
        <v>0</v>
      </c>
      <c r="BG996" s="12" t="b">
        <f>EXACT(Tabla4[[#This Row],[TOTAL DESEMBOLSOS]],Tabla4[[#This Row],[VALOR ATENCIÓN (8 MESES)]])</f>
        <v>1</v>
      </c>
      <c r="BH996" s="29">
        <f>Tabla4[[#This Row],[TOTAL DESEMBOLSOS]]-Tabla4[[#This Row],[VALOR ATENCIÓN (8 MESES)]]</f>
        <v>0</v>
      </c>
      <c r="BI996" t="s">
        <v>98</v>
      </c>
    </row>
    <row r="997" spans="1:61">
      <c r="A997" s="13">
        <v>1996</v>
      </c>
      <c r="B997" s="13" t="s">
        <v>2199</v>
      </c>
      <c r="C997" s="12" t="s">
        <v>87</v>
      </c>
      <c r="D997" s="12" t="s">
        <v>88</v>
      </c>
      <c r="E997" s="12" t="s">
        <v>2200</v>
      </c>
      <c r="F997" s="12" t="s">
        <v>21</v>
      </c>
      <c r="G997" s="12" t="s">
        <v>90</v>
      </c>
      <c r="H997" s="12" t="s">
        <v>2211</v>
      </c>
      <c r="I997" s="12">
        <v>56641135546</v>
      </c>
      <c r="J997" s="12" t="s">
        <v>2212</v>
      </c>
      <c r="K997" s="12">
        <v>1</v>
      </c>
      <c r="L997" s="12">
        <v>14</v>
      </c>
      <c r="M997" s="12"/>
      <c r="N997" s="13">
        <v>1996</v>
      </c>
      <c r="O997" s="12" t="s">
        <v>93</v>
      </c>
      <c r="P997" s="12"/>
      <c r="Q997" s="12"/>
      <c r="R997" s="12" t="s">
        <v>94</v>
      </c>
      <c r="S997" s="12">
        <v>10</v>
      </c>
      <c r="T997" s="12" t="s">
        <v>2203</v>
      </c>
      <c r="U997" s="12" t="s">
        <v>2204</v>
      </c>
      <c r="V997" s="12">
        <f>VLOOKUP(Tabla4[[#This Row],[ZONA DEFINITIVO]],Hoja1!$A$1:$D$121,3,0)</f>
        <v>229146</v>
      </c>
      <c r="W997" s="12">
        <f>VLOOKUP(Tabla4[[#This Row],[ZONA DEFINITIVO]],Hoja1!$A$1:$D$121,2,0)</f>
        <v>15246</v>
      </c>
      <c r="X997" s="12">
        <f>VLOOKUP(Tabla4[[#This Row],[ZONA DEFINITIVO]],Hoja1!$A$1:$D$121,4,0)</f>
        <v>88925</v>
      </c>
      <c r="Y997" s="12" t="str">
        <f>+IF(Tabla4[[#This Row],[AGRUPACIONES]]=1,SUMIFS(Tabla4[UDS],Tabla4[ZONA DEFINITIVO],Tabla4[[#This Row],[ZONA DEFINITIVO]])," ")</f>
        <v xml:space="preserve"> </v>
      </c>
      <c r="Z997" s="12" t="str">
        <f>+IF(Tabla4[[#This Row],[AGRUPACIONES]]=1,SUMIFS(Tabla4[TOTAL COBERTURA],Tabla4[ZONA DEFINITIVO],Tabla4[[#This Row],[ZONA DEFINITIVO]])," ")</f>
        <v xml:space="preserve"> </v>
      </c>
      <c r="AA997" s="12"/>
      <c r="AB997" s="38">
        <v>21270270</v>
      </c>
      <c r="AC997" s="37">
        <v>0.02</v>
      </c>
      <c r="AD997" s="38">
        <f t="shared" si="16"/>
        <v>425405.4</v>
      </c>
      <c r="AE997" s="12"/>
      <c r="AF997" s="12">
        <f>COUNTIF($A$20:A997,A997)</f>
        <v>5</v>
      </c>
      <c r="AG997" s="38">
        <v>21270270</v>
      </c>
      <c r="AH997" s="38">
        <f>Tabla4[[#This Row],[VALOR CONTRAPARTIDA]]+Tabla4[[#This Row],[TOTAL APORTES ICBF]]</f>
        <v>21695675.399999999</v>
      </c>
      <c r="AI997" s="35"/>
      <c r="AJ997" s="38"/>
      <c r="AK997" s="38"/>
      <c r="AL997" s="23"/>
      <c r="AM997" s="35">
        <f>VLOOKUP(Tabla4[[#This Row],[SERVICIO 2025]],$J$2:$V$14,5,0)*Tabla4[[#This Row],[TOTAL COBERTURA]]</f>
        <v>654416</v>
      </c>
      <c r="AN997" s="35">
        <f>VLOOKUP(Tabla4[[#This Row],[SERVICIO 2025]],$J$2:$V$14,6,0)*Tabla4[[#This Row],[TOTAL COBERTURA]]</f>
        <v>529774</v>
      </c>
      <c r="AO997" s="35">
        <f>VLOOKUP(Tabla4[[#This Row],[SERVICIO 2025]],$J$2:$V$14,8,0)*Tabla4[[#This Row],[TOTAL COBERTURA]]</f>
        <v>0</v>
      </c>
      <c r="AP997" s="35">
        <f>VLOOKUP(Tabla4[[#This Row],[SERVICIO 2025]],$J$2:$V$14,3,0)*Tabla4[[#This Row],[TOTAL COBERTURA]]*8</f>
        <v>20086080</v>
      </c>
      <c r="AQ997" s="35"/>
      <c r="AR997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997" s="35" t="str">
        <f>+IF(Tabla4[[#This Row],[AGRUPACIONES]]=1,SUMIFS(Tabla4[VALOR TOTAL],Tabla4[ZONA DEFINITIVO],Tabla4[[#This Row],[ZONA DEFINITIVO]])," ")</f>
        <v xml:space="preserve"> </v>
      </c>
      <c r="AT997" s="27">
        <f>(VLOOKUP(Tabla4[[#This Row],[SERVICIO 2025]],$J$2:$V$14,3,0)*Tabla4[[#This Row],[TOTAL COBERTURA]])+Tabla4[[#This Row],[VALOR FASE PREPARATORIA DE ALISTAMIENTO]]+Tabla4[[#This Row],[DOTACIÓN ÚNICA]]</f>
        <v>3165176</v>
      </c>
      <c r="AU997" s="35">
        <f>(VLOOKUP(Tabla4[[#This Row],[SERVICIO 2025]],$J$2:$V$14,3,0)*Tabla4[[#This Row],[TOTAL COBERTURA]])</f>
        <v>2510760</v>
      </c>
      <c r="AV997" s="35">
        <f>(VLOOKUP(Tabla4[[#This Row],[SERVICIO 2025]],$J$2:$V$14,3,0)*Tabla4[[#This Row],[TOTAL COBERTURA]])</f>
        <v>2510760</v>
      </c>
      <c r="AW997" s="35">
        <f>(VLOOKUP(Tabla4[[#This Row],[SERVICIO 2025]],$J$2:$V$14,3,0)*Tabla4[[#This Row],[TOTAL COBERTURA]])</f>
        <v>2510760</v>
      </c>
      <c r="AX997" s="35">
        <f>(VLOOKUP(Tabla4[[#This Row],[SERVICIO 2025]],$J$2:$V$14,3,0)*Tabla4[[#This Row],[TOTAL COBERTURA]])</f>
        <v>2510760</v>
      </c>
      <c r="AY997" s="35">
        <f>(VLOOKUP(Tabla4[[#This Row],[SERVICIO 2025]],$J$2:$V$14,3,0)*Tabla4[[#This Row],[TOTAL COBERTURA]])</f>
        <v>2510760</v>
      </c>
      <c r="AZ997" s="35">
        <f>(VLOOKUP(Tabla4[[#This Row],[SERVICIO 2025]],$J$2:$V$14,3,0)*Tabla4[[#This Row],[TOTAL COBERTURA]])</f>
        <v>2510760</v>
      </c>
      <c r="BA997" s="35">
        <f>(VLOOKUP(Tabla4[[#This Row],[SERVICIO 2025]],$J$2:$V$14,3,0)*Tabla4[[#This Row],[TOTAL COBERTURA]])+Tabla4[[#This Row],[VALOR FASE PREPARATORIA DE CIERRE]]</f>
        <v>3040534</v>
      </c>
      <c r="BB997" s="35">
        <f>SUM(Tabla4[[#This Row],[DESEMBOLSO 1]:[DESEMBOLSO 8]])</f>
        <v>21270270</v>
      </c>
      <c r="BC997" s="35"/>
      <c r="BD997" s="47" t="s">
        <v>97</v>
      </c>
      <c r="BE997" s="12" t="b">
        <f>EXACT(Tabla4[[#This Row],[VALOR ATENCIÓN (8 MESES)]],Tabla4[[#This Row],[VALOR TOTAL]])</f>
        <v>1</v>
      </c>
      <c r="BF997" s="23">
        <f>Tabla4[[#This Row],[VALOR ATENCIÓN (8 MESES)]]-Tabla4[[#This Row],[VALOR TOTAL]]</f>
        <v>0</v>
      </c>
      <c r="BG997" s="12" t="b">
        <f>EXACT(Tabla4[[#This Row],[TOTAL DESEMBOLSOS]],Tabla4[[#This Row],[VALOR ATENCIÓN (8 MESES)]])</f>
        <v>1</v>
      </c>
      <c r="BH997" s="29">
        <f>Tabla4[[#This Row],[TOTAL DESEMBOLSOS]]-Tabla4[[#This Row],[VALOR ATENCIÓN (8 MESES)]]</f>
        <v>0</v>
      </c>
      <c r="BI997" t="s">
        <v>98</v>
      </c>
    </row>
    <row r="998" spans="1:61">
      <c r="A998" s="13">
        <v>1996</v>
      </c>
      <c r="B998" s="13" t="s">
        <v>2199</v>
      </c>
      <c r="C998" s="12" t="s">
        <v>87</v>
      </c>
      <c r="D998" s="12" t="s">
        <v>88</v>
      </c>
      <c r="E998" s="12" t="s">
        <v>2200</v>
      </c>
      <c r="F998" s="12" t="s">
        <v>21</v>
      </c>
      <c r="G998" s="12" t="s">
        <v>90</v>
      </c>
      <c r="H998" s="12" t="s">
        <v>955</v>
      </c>
      <c r="I998" s="12">
        <v>56641135547</v>
      </c>
      <c r="J998" s="12" t="s">
        <v>2213</v>
      </c>
      <c r="K998" s="12">
        <v>1</v>
      </c>
      <c r="L998" s="12">
        <v>23</v>
      </c>
      <c r="M998" s="12"/>
      <c r="N998" s="13">
        <v>1996</v>
      </c>
      <c r="O998" s="12" t="s">
        <v>93</v>
      </c>
      <c r="P998" s="12"/>
      <c r="Q998" s="12"/>
      <c r="R998" s="12" t="s">
        <v>94</v>
      </c>
      <c r="S998" s="12">
        <v>10</v>
      </c>
      <c r="T998" s="12" t="s">
        <v>2203</v>
      </c>
      <c r="U998" s="12" t="s">
        <v>2204</v>
      </c>
      <c r="V998" s="12">
        <f>VLOOKUP(Tabla4[[#This Row],[ZONA DEFINITIVO]],Hoja1!$A$1:$D$121,3,0)</f>
        <v>229146</v>
      </c>
      <c r="W998" s="12">
        <f>VLOOKUP(Tabla4[[#This Row],[ZONA DEFINITIVO]],Hoja1!$A$1:$D$121,2,0)</f>
        <v>15246</v>
      </c>
      <c r="X998" s="12">
        <f>VLOOKUP(Tabla4[[#This Row],[ZONA DEFINITIVO]],Hoja1!$A$1:$D$121,4,0)</f>
        <v>88925</v>
      </c>
      <c r="Y998" s="12" t="str">
        <f>+IF(Tabla4[[#This Row],[AGRUPACIONES]]=1,SUMIFS(Tabla4[UDS],Tabla4[ZONA DEFINITIVO],Tabla4[[#This Row],[ZONA DEFINITIVO]])," ")</f>
        <v xml:space="preserve"> </v>
      </c>
      <c r="Z998" s="12" t="str">
        <f>+IF(Tabla4[[#This Row],[AGRUPACIONES]]=1,SUMIFS(Tabla4[TOTAL COBERTURA],Tabla4[ZONA DEFINITIVO],Tabla4[[#This Row],[ZONA DEFINITIVO]])," ")</f>
        <v xml:space="preserve"> </v>
      </c>
      <c r="AA998" s="12"/>
      <c r="AB998" s="38">
        <v>34944015</v>
      </c>
      <c r="AC998" s="37">
        <v>0.02</v>
      </c>
      <c r="AD998" s="38">
        <f t="shared" si="16"/>
        <v>698880.3</v>
      </c>
      <c r="AE998" s="12"/>
      <c r="AF998" s="12">
        <f>COUNTIF($A$20:A998,A998)</f>
        <v>6</v>
      </c>
      <c r="AG998" s="38">
        <v>34944015</v>
      </c>
      <c r="AH998" s="38">
        <f>Tabla4[[#This Row],[VALOR CONTRAPARTIDA]]+Tabla4[[#This Row],[TOTAL APORTES ICBF]]</f>
        <v>35642895.299999997</v>
      </c>
      <c r="AI998" s="35"/>
      <c r="AJ998" s="38"/>
      <c r="AK998" s="38"/>
      <c r="AL998" s="23"/>
      <c r="AM998" s="35">
        <f>VLOOKUP(Tabla4[[#This Row],[SERVICIO 2025]],$J$2:$V$14,5,0)*Tabla4[[#This Row],[TOTAL COBERTURA]]</f>
        <v>1075112</v>
      </c>
      <c r="AN998" s="35">
        <f>VLOOKUP(Tabla4[[#This Row],[SERVICIO 2025]],$J$2:$V$14,6,0)*Tabla4[[#This Row],[TOTAL COBERTURA]]</f>
        <v>870343</v>
      </c>
      <c r="AO998" s="35">
        <f>VLOOKUP(Tabla4[[#This Row],[SERVICIO 2025]],$J$2:$V$14,8,0)*Tabla4[[#This Row],[TOTAL COBERTURA]]</f>
        <v>0</v>
      </c>
      <c r="AP998" s="35">
        <f>VLOOKUP(Tabla4[[#This Row],[SERVICIO 2025]],$J$2:$V$14,3,0)*Tabla4[[#This Row],[TOTAL COBERTURA]]*8</f>
        <v>32998560</v>
      </c>
      <c r="AQ998" s="35"/>
      <c r="AR998" s="35">
        <f>Tabla4[[#This Row],[VALOR FASE PREPARATORIA DE ALISTAMIENTO]]+Tabla4[[#This Row],[VALOR FASE PREPARATORIA DE CIERRE]]+Tabla4[[#This Row],[DOTACIÓN ÚNICA]]+Tabla4[[#This Row],[VALOR ATENCIÓN]]+Tabla4[[#This Row],[VALOR RACION PREPARADA]]</f>
        <v>34944015</v>
      </c>
      <c r="AS998" s="35" t="str">
        <f>+IF(Tabla4[[#This Row],[AGRUPACIONES]]=1,SUMIFS(Tabla4[VALOR TOTAL],Tabla4[ZONA DEFINITIVO],Tabla4[[#This Row],[ZONA DEFINITIVO]])," ")</f>
        <v xml:space="preserve"> </v>
      </c>
      <c r="AT998" s="27">
        <f>(VLOOKUP(Tabla4[[#This Row],[SERVICIO 2025]],$J$2:$V$14,3,0)*Tabla4[[#This Row],[TOTAL COBERTURA]])+Tabla4[[#This Row],[VALOR FASE PREPARATORIA DE ALISTAMIENTO]]+Tabla4[[#This Row],[DOTACIÓN ÚNICA]]</f>
        <v>5199932</v>
      </c>
      <c r="AU998" s="35">
        <f>(VLOOKUP(Tabla4[[#This Row],[SERVICIO 2025]],$J$2:$V$14,3,0)*Tabla4[[#This Row],[TOTAL COBERTURA]])</f>
        <v>4124820</v>
      </c>
      <c r="AV998" s="35">
        <f>(VLOOKUP(Tabla4[[#This Row],[SERVICIO 2025]],$J$2:$V$14,3,0)*Tabla4[[#This Row],[TOTAL COBERTURA]])</f>
        <v>4124820</v>
      </c>
      <c r="AW998" s="35">
        <f>(VLOOKUP(Tabla4[[#This Row],[SERVICIO 2025]],$J$2:$V$14,3,0)*Tabla4[[#This Row],[TOTAL COBERTURA]])</f>
        <v>4124820</v>
      </c>
      <c r="AX998" s="35">
        <f>(VLOOKUP(Tabla4[[#This Row],[SERVICIO 2025]],$J$2:$V$14,3,0)*Tabla4[[#This Row],[TOTAL COBERTURA]])</f>
        <v>4124820</v>
      </c>
      <c r="AY998" s="35">
        <f>(VLOOKUP(Tabla4[[#This Row],[SERVICIO 2025]],$J$2:$V$14,3,0)*Tabla4[[#This Row],[TOTAL COBERTURA]])</f>
        <v>4124820</v>
      </c>
      <c r="AZ998" s="35">
        <f>(VLOOKUP(Tabla4[[#This Row],[SERVICIO 2025]],$J$2:$V$14,3,0)*Tabla4[[#This Row],[TOTAL COBERTURA]])</f>
        <v>4124820</v>
      </c>
      <c r="BA998" s="35">
        <f>(VLOOKUP(Tabla4[[#This Row],[SERVICIO 2025]],$J$2:$V$14,3,0)*Tabla4[[#This Row],[TOTAL COBERTURA]])+Tabla4[[#This Row],[VALOR FASE PREPARATORIA DE CIERRE]]</f>
        <v>4995163</v>
      </c>
      <c r="BB998" s="35">
        <f>SUM(Tabla4[[#This Row],[DESEMBOLSO 1]:[DESEMBOLSO 8]])</f>
        <v>34944015</v>
      </c>
      <c r="BC998" s="35"/>
      <c r="BD998" s="47" t="s">
        <v>97</v>
      </c>
      <c r="BE998" s="12" t="b">
        <f>EXACT(Tabla4[[#This Row],[VALOR ATENCIÓN (8 MESES)]],Tabla4[[#This Row],[VALOR TOTAL]])</f>
        <v>1</v>
      </c>
      <c r="BF998" s="23">
        <f>Tabla4[[#This Row],[VALOR ATENCIÓN (8 MESES)]]-Tabla4[[#This Row],[VALOR TOTAL]]</f>
        <v>0</v>
      </c>
      <c r="BG998" s="12" t="b">
        <f>EXACT(Tabla4[[#This Row],[TOTAL DESEMBOLSOS]],Tabla4[[#This Row],[VALOR ATENCIÓN (8 MESES)]])</f>
        <v>1</v>
      </c>
      <c r="BH998" s="29">
        <f>Tabla4[[#This Row],[TOTAL DESEMBOLSOS]]-Tabla4[[#This Row],[VALOR ATENCIÓN (8 MESES)]]</f>
        <v>0</v>
      </c>
      <c r="BI998" t="s">
        <v>98</v>
      </c>
    </row>
    <row r="999" spans="1:61">
      <c r="A999" s="13">
        <v>1996</v>
      </c>
      <c r="B999" s="13" t="s">
        <v>2199</v>
      </c>
      <c r="C999" s="12" t="s">
        <v>87</v>
      </c>
      <c r="D999" s="12" t="s">
        <v>88</v>
      </c>
      <c r="E999" s="12" t="s">
        <v>2200</v>
      </c>
      <c r="F999" s="12" t="s">
        <v>21</v>
      </c>
      <c r="G999" s="12" t="s">
        <v>90</v>
      </c>
      <c r="H999" s="12" t="s">
        <v>2205</v>
      </c>
      <c r="I999" s="12">
        <v>56641135548</v>
      </c>
      <c r="J999" s="12" t="s">
        <v>2214</v>
      </c>
      <c r="K999" s="12">
        <v>1</v>
      </c>
      <c r="L999" s="12">
        <v>17</v>
      </c>
      <c r="M999" s="12"/>
      <c r="N999" s="13">
        <v>1996</v>
      </c>
      <c r="O999" s="12" t="s">
        <v>93</v>
      </c>
      <c r="P999" s="12"/>
      <c r="Q999" s="12"/>
      <c r="R999" s="12" t="s">
        <v>94</v>
      </c>
      <c r="S999" s="12">
        <v>10</v>
      </c>
      <c r="T999" s="12" t="s">
        <v>2203</v>
      </c>
      <c r="U999" s="12" t="s">
        <v>2204</v>
      </c>
      <c r="V999" s="12">
        <f>VLOOKUP(Tabla4[[#This Row],[ZONA DEFINITIVO]],Hoja1!$A$1:$D$121,3,0)</f>
        <v>229146</v>
      </c>
      <c r="W999" s="12">
        <f>VLOOKUP(Tabla4[[#This Row],[ZONA DEFINITIVO]],Hoja1!$A$1:$D$121,2,0)</f>
        <v>15246</v>
      </c>
      <c r="X999" s="12">
        <f>VLOOKUP(Tabla4[[#This Row],[ZONA DEFINITIVO]],Hoja1!$A$1:$D$121,4,0)</f>
        <v>88925</v>
      </c>
      <c r="Y999" s="12" t="str">
        <f>+IF(Tabla4[[#This Row],[AGRUPACIONES]]=1,SUMIFS(Tabla4[UDS],Tabla4[ZONA DEFINITIVO],Tabla4[[#This Row],[ZONA DEFINITIVO]])," ")</f>
        <v xml:space="preserve"> </v>
      </c>
      <c r="Z999" s="12" t="str">
        <f>+IF(Tabla4[[#This Row],[AGRUPACIONES]]=1,SUMIFS(Tabla4[TOTAL COBERTURA],Tabla4[ZONA DEFINITIVO],Tabla4[[#This Row],[ZONA DEFINITIVO]])," ")</f>
        <v xml:space="preserve"> </v>
      </c>
      <c r="AA999" s="12"/>
      <c r="AB999" s="38">
        <v>25828185</v>
      </c>
      <c r="AC999" s="37">
        <v>0.02</v>
      </c>
      <c r="AD999" s="38">
        <f t="shared" si="16"/>
        <v>516563.7</v>
      </c>
      <c r="AE999" s="12"/>
      <c r="AF999" s="12">
        <f>COUNTIF($A$20:A999,A999)</f>
        <v>7</v>
      </c>
      <c r="AG999" s="38">
        <v>25828185</v>
      </c>
      <c r="AH999" s="38">
        <f>Tabla4[[#This Row],[VALOR CONTRAPARTIDA]]+Tabla4[[#This Row],[TOTAL APORTES ICBF]]</f>
        <v>26344748.699999999</v>
      </c>
      <c r="AI999" s="35"/>
      <c r="AJ999" s="38"/>
      <c r="AK999" s="38"/>
      <c r="AL999" s="23"/>
      <c r="AM999" s="35">
        <f>VLOOKUP(Tabla4[[#This Row],[SERVICIO 2025]],$J$2:$V$14,5,0)*Tabla4[[#This Row],[TOTAL COBERTURA]]</f>
        <v>794648</v>
      </c>
      <c r="AN999" s="35">
        <f>VLOOKUP(Tabla4[[#This Row],[SERVICIO 2025]],$J$2:$V$14,6,0)*Tabla4[[#This Row],[TOTAL COBERTURA]]</f>
        <v>643297</v>
      </c>
      <c r="AO999" s="35">
        <f>VLOOKUP(Tabla4[[#This Row],[SERVICIO 2025]],$J$2:$V$14,8,0)*Tabla4[[#This Row],[TOTAL COBERTURA]]</f>
        <v>0</v>
      </c>
      <c r="AP999" s="35">
        <f>VLOOKUP(Tabla4[[#This Row],[SERVICIO 2025]],$J$2:$V$14,3,0)*Tabla4[[#This Row],[TOTAL COBERTURA]]*8</f>
        <v>24390240</v>
      </c>
      <c r="AQ999" s="35"/>
      <c r="AR999" s="35">
        <f>Tabla4[[#This Row],[VALOR FASE PREPARATORIA DE ALISTAMIENTO]]+Tabla4[[#This Row],[VALOR FASE PREPARATORIA DE CIERRE]]+Tabla4[[#This Row],[DOTACIÓN ÚNICA]]+Tabla4[[#This Row],[VALOR ATENCIÓN]]+Tabla4[[#This Row],[VALOR RACION PREPARADA]]</f>
        <v>25828185</v>
      </c>
      <c r="AS999" s="35" t="str">
        <f>+IF(Tabla4[[#This Row],[AGRUPACIONES]]=1,SUMIFS(Tabla4[VALOR TOTAL],Tabla4[ZONA DEFINITIVO],Tabla4[[#This Row],[ZONA DEFINITIVO]])," ")</f>
        <v xml:space="preserve"> </v>
      </c>
      <c r="AT999" s="27">
        <f>(VLOOKUP(Tabla4[[#This Row],[SERVICIO 2025]],$J$2:$V$14,3,0)*Tabla4[[#This Row],[TOTAL COBERTURA]])+Tabla4[[#This Row],[VALOR FASE PREPARATORIA DE ALISTAMIENTO]]+Tabla4[[#This Row],[DOTACIÓN ÚNICA]]</f>
        <v>3843428</v>
      </c>
      <c r="AU999" s="35">
        <f>(VLOOKUP(Tabla4[[#This Row],[SERVICIO 2025]],$J$2:$V$14,3,0)*Tabla4[[#This Row],[TOTAL COBERTURA]])</f>
        <v>3048780</v>
      </c>
      <c r="AV999" s="35">
        <f>(VLOOKUP(Tabla4[[#This Row],[SERVICIO 2025]],$J$2:$V$14,3,0)*Tabla4[[#This Row],[TOTAL COBERTURA]])</f>
        <v>3048780</v>
      </c>
      <c r="AW999" s="35">
        <f>(VLOOKUP(Tabla4[[#This Row],[SERVICIO 2025]],$J$2:$V$14,3,0)*Tabla4[[#This Row],[TOTAL COBERTURA]])</f>
        <v>3048780</v>
      </c>
      <c r="AX999" s="35">
        <f>(VLOOKUP(Tabla4[[#This Row],[SERVICIO 2025]],$J$2:$V$14,3,0)*Tabla4[[#This Row],[TOTAL COBERTURA]])</f>
        <v>3048780</v>
      </c>
      <c r="AY999" s="35">
        <f>(VLOOKUP(Tabla4[[#This Row],[SERVICIO 2025]],$J$2:$V$14,3,0)*Tabla4[[#This Row],[TOTAL COBERTURA]])</f>
        <v>3048780</v>
      </c>
      <c r="AZ999" s="35">
        <f>(VLOOKUP(Tabla4[[#This Row],[SERVICIO 2025]],$J$2:$V$14,3,0)*Tabla4[[#This Row],[TOTAL COBERTURA]])</f>
        <v>3048780</v>
      </c>
      <c r="BA999" s="35">
        <f>(VLOOKUP(Tabla4[[#This Row],[SERVICIO 2025]],$J$2:$V$14,3,0)*Tabla4[[#This Row],[TOTAL COBERTURA]])+Tabla4[[#This Row],[VALOR FASE PREPARATORIA DE CIERRE]]</f>
        <v>3692077</v>
      </c>
      <c r="BB999" s="35">
        <f>SUM(Tabla4[[#This Row],[DESEMBOLSO 1]:[DESEMBOLSO 8]])</f>
        <v>25828185</v>
      </c>
      <c r="BC999" s="35"/>
      <c r="BD999" s="47" t="s">
        <v>97</v>
      </c>
      <c r="BE999" s="12" t="b">
        <f>EXACT(Tabla4[[#This Row],[VALOR ATENCIÓN (8 MESES)]],Tabla4[[#This Row],[VALOR TOTAL]])</f>
        <v>1</v>
      </c>
      <c r="BF999" s="23">
        <f>Tabla4[[#This Row],[VALOR ATENCIÓN (8 MESES)]]-Tabla4[[#This Row],[VALOR TOTAL]]</f>
        <v>0</v>
      </c>
      <c r="BG999" s="12" t="b">
        <f>EXACT(Tabla4[[#This Row],[TOTAL DESEMBOLSOS]],Tabla4[[#This Row],[VALOR ATENCIÓN (8 MESES)]])</f>
        <v>1</v>
      </c>
      <c r="BH999" s="29">
        <f>Tabla4[[#This Row],[TOTAL DESEMBOLSOS]]-Tabla4[[#This Row],[VALOR ATENCIÓN (8 MESES)]]</f>
        <v>0</v>
      </c>
      <c r="BI999" t="s">
        <v>98</v>
      </c>
    </row>
    <row r="1000" spans="1:61">
      <c r="A1000" s="13">
        <v>1996</v>
      </c>
      <c r="B1000" s="13" t="s">
        <v>2199</v>
      </c>
      <c r="C1000" s="12" t="s">
        <v>87</v>
      </c>
      <c r="D1000" s="12" t="s">
        <v>88</v>
      </c>
      <c r="E1000" s="12" t="s">
        <v>2200</v>
      </c>
      <c r="F1000" s="12" t="s">
        <v>21</v>
      </c>
      <c r="G1000" s="12" t="s">
        <v>90</v>
      </c>
      <c r="H1000" s="12" t="s">
        <v>1578</v>
      </c>
      <c r="I1000" s="12">
        <v>56641135549</v>
      </c>
      <c r="J1000" s="12" t="s">
        <v>2215</v>
      </c>
      <c r="K1000" s="12">
        <v>1</v>
      </c>
      <c r="L1000" s="12">
        <v>18</v>
      </c>
      <c r="M1000" s="12"/>
      <c r="N1000" s="13">
        <v>1996</v>
      </c>
      <c r="O1000" s="12" t="s">
        <v>93</v>
      </c>
      <c r="P1000" s="12"/>
      <c r="Q1000" s="12"/>
      <c r="R1000" s="12" t="s">
        <v>94</v>
      </c>
      <c r="S1000" s="12">
        <v>10</v>
      </c>
      <c r="T1000" s="12" t="s">
        <v>2203</v>
      </c>
      <c r="U1000" s="12" t="s">
        <v>2204</v>
      </c>
      <c r="V1000" s="12">
        <f>VLOOKUP(Tabla4[[#This Row],[ZONA DEFINITIVO]],Hoja1!$A$1:$D$121,3,0)</f>
        <v>229146</v>
      </c>
      <c r="W1000" s="12">
        <f>VLOOKUP(Tabla4[[#This Row],[ZONA DEFINITIVO]],Hoja1!$A$1:$D$121,2,0)</f>
        <v>15246</v>
      </c>
      <c r="X1000" s="12">
        <f>VLOOKUP(Tabla4[[#This Row],[ZONA DEFINITIVO]],Hoja1!$A$1:$D$121,4,0)</f>
        <v>88925</v>
      </c>
      <c r="Y1000" s="12" t="str">
        <f>+IF(Tabla4[[#This Row],[AGRUPACIONES]]=1,SUMIFS(Tabla4[UDS],Tabla4[ZONA DEFINITIVO],Tabla4[[#This Row],[ZONA DEFINITIVO]])," ")</f>
        <v xml:space="preserve"> </v>
      </c>
      <c r="Z1000" s="12" t="str">
        <f>+IF(Tabla4[[#This Row],[AGRUPACIONES]]=1,SUMIFS(Tabla4[TOTAL COBERTURA],Tabla4[ZONA DEFINITIVO],Tabla4[[#This Row],[ZONA DEFINITIVO]])," ")</f>
        <v xml:space="preserve"> </v>
      </c>
      <c r="AA1000" s="12"/>
      <c r="AB1000" s="38">
        <v>27347490</v>
      </c>
      <c r="AC1000" s="37">
        <v>0.02</v>
      </c>
      <c r="AD1000" s="38">
        <f t="shared" si="16"/>
        <v>546949.80000000005</v>
      </c>
      <c r="AE1000" s="12"/>
      <c r="AF1000" s="12">
        <f>COUNTIF($A$20:A1000,A1000)</f>
        <v>8</v>
      </c>
      <c r="AG1000" s="38">
        <v>27347490</v>
      </c>
      <c r="AH1000" s="38">
        <f>Tabla4[[#This Row],[VALOR CONTRAPARTIDA]]+Tabla4[[#This Row],[TOTAL APORTES ICBF]]</f>
        <v>27894439.800000001</v>
      </c>
      <c r="AI1000" s="35"/>
      <c r="AJ1000" s="38"/>
      <c r="AK1000" s="38"/>
      <c r="AL1000" s="23"/>
      <c r="AM1000" s="35">
        <f>VLOOKUP(Tabla4[[#This Row],[SERVICIO 2025]],$J$2:$V$14,5,0)*Tabla4[[#This Row],[TOTAL COBERTURA]]</f>
        <v>841392</v>
      </c>
      <c r="AN1000" s="35">
        <f>VLOOKUP(Tabla4[[#This Row],[SERVICIO 2025]],$J$2:$V$14,6,0)*Tabla4[[#This Row],[TOTAL COBERTURA]]</f>
        <v>681138</v>
      </c>
      <c r="AO1000" s="35">
        <f>VLOOKUP(Tabla4[[#This Row],[SERVICIO 2025]],$J$2:$V$14,8,0)*Tabla4[[#This Row],[TOTAL COBERTURA]]</f>
        <v>0</v>
      </c>
      <c r="AP1000" s="35">
        <f>VLOOKUP(Tabla4[[#This Row],[SERVICIO 2025]],$J$2:$V$14,3,0)*Tabla4[[#This Row],[TOTAL COBERTURA]]*8</f>
        <v>25824960</v>
      </c>
      <c r="AQ1000" s="35"/>
      <c r="AR1000" s="35">
        <f>Tabla4[[#This Row],[VALOR FASE PREPARATORIA DE ALISTAMIENTO]]+Tabla4[[#This Row],[VALOR FASE PREPARATORIA DE CIERRE]]+Tabla4[[#This Row],[DOTACIÓN ÚNICA]]+Tabla4[[#This Row],[VALOR ATENCIÓN]]+Tabla4[[#This Row],[VALOR RACION PREPARADA]]</f>
        <v>27347490</v>
      </c>
      <c r="AS1000" s="35" t="str">
        <f>+IF(Tabla4[[#This Row],[AGRUPACIONES]]=1,SUMIFS(Tabla4[VALOR TOTAL],Tabla4[ZONA DEFINITIVO],Tabla4[[#This Row],[ZONA DEFINITIVO]])," ")</f>
        <v xml:space="preserve"> </v>
      </c>
      <c r="AT1000" s="27">
        <f>(VLOOKUP(Tabla4[[#This Row],[SERVICIO 2025]],$J$2:$V$14,3,0)*Tabla4[[#This Row],[TOTAL COBERTURA]])+Tabla4[[#This Row],[VALOR FASE PREPARATORIA DE ALISTAMIENTO]]+Tabla4[[#This Row],[DOTACIÓN ÚNICA]]</f>
        <v>4069512</v>
      </c>
      <c r="AU1000" s="35">
        <f>(VLOOKUP(Tabla4[[#This Row],[SERVICIO 2025]],$J$2:$V$14,3,0)*Tabla4[[#This Row],[TOTAL COBERTURA]])</f>
        <v>3228120</v>
      </c>
      <c r="AV1000" s="35">
        <f>(VLOOKUP(Tabla4[[#This Row],[SERVICIO 2025]],$J$2:$V$14,3,0)*Tabla4[[#This Row],[TOTAL COBERTURA]])</f>
        <v>3228120</v>
      </c>
      <c r="AW1000" s="35">
        <f>(VLOOKUP(Tabla4[[#This Row],[SERVICIO 2025]],$J$2:$V$14,3,0)*Tabla4[[#This Row],[TOTAL COBERTURA]])</f>
        <v>3228120</v>
      </c>
      <c r="AX1000" s="35">
        <f>(VLOOKUP(Tabla4[[#This Row],[SERVICIO 2025]],$J$2:$V$14,3,0)*Tabla4[[#This Row],[TOTAL COBERTURA]])</f>
        <v>3228120</v>
      </c>
      <c r="AY1000" s="35">
        <f>(VLOOKUP(Tabla4[[#This Row],[SERVICIO 2025]],$J$2:$V$14,3,0)*Tabla4[[#This Row],[TOTAL COBERTURA]])</f>
        <v>3228120</v>
      </c>
      <c r="AZ1000" s="35">
        <f>(VLOOKUP(Tabla4[[#This Row],[SERVICIO 2025]],$J$2:$V$14,3,0)*Tabla4[[#This Row],[TOTAL COBERTURA]])</f>
        <v>3228120</v>
      </c>
      <c r="BA1000" s="35">
        <f>(VLOOKUP(Tabla4[[#This Row],[SERVICIO 2025]],$J$2:$V$14,3,0)*Tabla4[[#This Row],[TOTAL COBERTURA]])+Tabla4[[#This Row],[VALOR FASE PREPARATORIA DE CIERRE]]</f>
        <v>3909258</v>
      </c>
      <c r="BB1000" s="35">
        <f>SUM(Tabla4[[#This Row],[DESEMBOLSO 1]:[DESEMBOLSO 8]])</f>
        <v>27347490</v>
      </c>
      <c r="BC1000" s="35"/>
      <c r="BD1000" s="47" t="s">
        <v>97</v>
      </c>
      <c r="BE1000" s="12" t="b">
        <f>EXACT(Tabla4[[#This Row],[VALOR ATENCIÓN (8 MESES)]],Tabla4[[#This Row],[VALOR TOTAL]])</f>
        <v>1</v>
      </c>
      <c r="BF1000" s="23">
        <f>Tabla4[[#This Row],[VALOR ATENCIÓN (8 MESES)]]-Tabla4[[#This Row],[VALOR TOTAL]]</f>
        <v>0</v>
      </c>
      <c r="BG1000" s="12" t="b">
        <f>EXACT(Tabla4[[#This Row],[TOTAL DESEMBOLSOS]],Tabla4[[#This Row],[VALOR ATENCIÓN (8 MESES)]])</f>
        <v>1</v>
      </c>
      <c r="BH1000" s="29">
        <f>Tabla4[[#This Row],[TOTAL DESEMBOLSOS]]-Tabla4[[#This Row],[VALOR ATENCIÓN (8 MESES)]]</f>
        <v>0</v>
      </c>
      <c r="BI1000" t="s">
        <v>98</v>
      </c>
    </row>
    <row r="1001" spans="1:61">
      <c r="A1001" s="13">
        <v>1996</v>
      </c>
      <c r="B1001" s="13" t="s">
        <v>2199</v>
      </c>
      <c r="C1001" s="12" t="s">
        <v>87</v>
      </c>
      <c r="D1001" s="12" t="s">
        <v>88</v>
      </c>
      <c r="E1001" s="12" t="s">
        <v>2200</v>
      </c>
      <c r="F1001" s="12" t="s">
        <v>21</v>
      </c>
      <c r="G1001" s="12" t="s">
        <v>90</v>
      </c>
      <c r="H1001" s="12" t="s">
        <v>1368</v>
      </c>
      <c r="I1001" s="12">
        <v>56641135550</v>
      </c>
      <c r="J1001" s="12" t="s">
        <v>2216</v>
      </c>
      <c r="K1001" s="12">
        <v>1</v>
      </c>
      <c r="L1001" s="12">
        <v>9</v>
      </c>
      <c r="M1001" s="12"/>
      <c r="N1001" s="13">
        <v>1996</v>
      </c>
      <c r="O1001" s="12" t="s">
        <v>93</v>
      </c>
      <c r="P1001" s="12"/>
      <c r="Q1001" s="12"/>
      <c r="R1001" s="12" t="s">
        <v>94</v>
      </c>
      <c r="S1001" s="12">
        <v>10</v>
      </c>
      <c r="T1001" s="12" t="s">
        <v>2203</v>
      </c>
      <c r="U1001" s="12" t="s">
        <v>2204</v>
      </c>
      <c r="V1001" s="12">
        <f>VLOOKUP(Tabla4[[#This Row],[ZONA DEFINITIVO]],Hoja1!$A$1:$D$121,3,0)</f>
        <v>229146</v>
      </c>
      <c r="W1001" s="12">
        <f>VLOOKUP(Tabla4[[#This Row],[ZONA DEFINITIVO]],Hoja1!$A$1:$D$121,2,0)</f>
        <v>15246</v>
      </c>
      <c r="X1001" s="12">
        <f>VLOOKUP(Tabla4[[#This Row],[ZONA DEFINITIVO]],Hoja1!$A$1:$D$121,4,0)</f>
        <v>88925</v>
      </c>
      <c r="Y1001" s="12" t="str">
        <f>+IF(Tabla4[[#This Row],[AGRUPACIONES]]=1,SUMIFS(Tabla4[UDS],Tabla4[ZONA DEFINITIVO],Tabla4[[#This Row],[ZONA DEFINITIVO]])," ")</f>
        <v xml:space="preserve"> </v>
      </c>
      <c r="Z1001" s="12" t="str">
        <f>+IF(Tabla4[[#This Row],[AGRUPACIONES]]=1,SUMIFS(Tabla4[TOTAL COBERTURA],Tabla4[ZONA DEFINITIVO],Tabla4[[#This Row],[ZONA DEFINITIVO]])," ")</f>
        <v xml:space="preserve"> </v>
      </c>
      <c r="AA1001" s="12"/>
      <c r="AB1001" s="38">
        <v>13673745</v>
      </c>
      <c r="AC1001" s="37">
        <v>0.02</v>
      </c>
      <c r="AD1001" s="38">
        <f t="shared" si="16"/>
        <v>273474.90000000002</v>
      </c>
      <c r="AE1001" s="12"/>
      <c r="AF1001" s="12">
        <f>COUNTIF($A$20:A1001,A1001)</f>
        <v>9</v>
      </c>
      <c r="AG1001" s="38">
        <v>13673745</v>
      </c>
      <c r="AH1001" s="38">
        <f>Tabla4[[#This Row],[VALOR CONTRAPARTIDA]]+Tabla4[[#This Row],[TOTAL APORTES ICBF]]</f>
        <v>13947219.9</v>
      </c>
      <c r="AI1001" s="35"/>
      <c r="AJ1001" s="38"/>
      <c r="AK1001" s="38"/>
      <c r="AL1001" s="23"/>
      <c r="AM1001" s="35">
        <f>VLOOKUP(Tabla4[[#This Row],[SERVICIO 2025]],$J$2:$V$14,5,0)*Tabla4[[#This Row],[TOTAL COBERTURA]]</f>
        <v>420696</v>
      </c>
      <c r="AN1001" s="35">
        <f>VLOOKUP(Tabla4[[#This Row],[SERVICIO 2025]],$J$2:$V$14,6,0)*Tabla4[[#This Row],[TOTAL COBERTURA]]</f>
        <v>340569</v>
      </c>
      <c r="AO1001" s="35">
        <f>VLOOKUP(Tabla4[[#This Row],[SERVICIO 2025]],$J$2:$V$14,8,0)*Tabla4[[#This Row],[TOTAL COBERTURA]]</f>
        <v>0</v>
      </c>
      <c r="AP1001" s="35">
        <f>VLOOKUP(Tabla4[[#This Row],[SERVICIO 2025]],$J$2:$V$14,3,0)*Tabla4[[#This Row],[TOTAL COBERTURA]]*8</f>
        <v>12912480</v>
      </c>
      <c r="AQ1001" s="35"/>
      <c r="AR1001" s="35">
        <f>Tabla4[[#This Row],[VALOR FASE PREPARATORIA DE ALISTAMIENTO]]+Tabla4[[#This Row],[VALOR FASE PREPARATORIA DE CIERRE]]+Tabla4[[#This Row],[DOTACIÓN ÚNICA]]+Tabla4[[#This Row],[VALOR ATENCIÓN]]+Tabla4[[#This Row],[VALOR RACION PREPARADA]]</f>
        <v>13673745</v>
      </c>
      <c r="AS1001" s="35" t="str">
        <f>+IF(Tabla4[[#This Row],[AGRUPACIONES]]=1,SUMIFS(Tabla4[VALOR TOTAL],Tabla4[ZONA DEFINITIVO],Tabla4[[#This Row],[ZONA DEFINITIVO]])," ")</f>
        <v xml:space="preserve"> </v>
      </c>
      <c r="AT1001" s="27">
        <f>(VLOOKUP(Tabla4[[#This Row],[SERVICIO 2025]],$J$2:$V$14,3,0)*Tabla4[[#This Row],[TOTAL COBERTURA]])+Tabla4[[#This Row],[VALOR FASE PREPARATORIA DE ALISTAMIENTO]]+Tabla4[[#This Row],[DOTACIÓN ÚNICA]]</f>
        <v>2034756</v>
      </c>
      <c r="AU1001" s="35">
        <f>(VLOOKUP(Tabla4[[#This Row],[SERVICIO 2025]],$J$2:$V$14,3,0)*Tabla4[[#This Row],[TOTAL COBERTURA]])</f>
        <v>1614060</v>
      </c>
      <c r="AV1001" s="35">
        <f>(VLOOKUP(Tabla4[[#This Row],[SERVICIO 2025]],$J$2:$V$14,3,0)*Tabla4[[#This Row],[TOTAL COBERTURA]])</f>
        <v>1614060</v>
      </c>
      <c r="AW1001" s="35">
        <f>(VLOOKUP(Tabla4[[#This Row],[SERVICIO 2025]],$J$2:$V$14,3,0)*Tabla4[[#This Row],[TOTAL COBERTURA]])</f>
        <v>1614060</v>
      </c>
      <c r="AX1001" s="35">
        <f>(VLOOKUP(Tabla4[[#This Row],[SERVICIO 2025]],$J$2:$V$14,3,0)*Tabla4[[#This Row],[TOTAL COBERTURA]])</f>
        <v>1614060</v>
      </c>
      <c r="AY1001" s="35">
        <f>(VLOOKUP(Tabla4[[#This Row],[SERVICIO 2025]],$J$2:$V$14,3,0)*Tabla4[[#This Row],[TOTAL COBERTURA]])</f>
        <v>1614060</v>
      </c>
      <c r="AZ1001" s="35">
        <f>(VLOOKUP(Tabla4[[#This Row],[SERVICIO 2025]],$J$2:$V$14,3,0)*Tabla4[[#This Row],[TOTAL COBERTURA]])</f>
        <v>1614060</v>
      </c>
      <c r="BA1001" s="35">
        <f>(VLOOKUP(Tabla4[[#This Row],[SERVICIO 2025]],$J$2:$V$14,3,0)*Tabla4[[#This Row],[TOTAL COBERTURA]])+Tabla4[[#This Row],[VALOR FASE PREPARATORIA DE CIERRE]]</f>
        <v>1954629</v>
      </c>
      <c r="BB1001" s="35">
        <f>SUM(Tabla4[[#This Row],[DESEMBOLSO 1]:[DESEMBOLSO 8]])</f>
        <v>13673745</v>
      </c>
      <c r="BC1001" s="35"/>
      <c r="BD1001" s="47" t="s">
        <v>97</v>
      </c>
      <c r="BE1001" s="12" t="b">
        <f>EXACT(Tabla4[[#This Row],[VALOR ATENCIÓN (8 MESES)]],Tabla4[[#This Row],[VALOR TOTAL]])</f>
        <v>1</v>
      </c>
      <c r="BF1001" s="23">
        <f>Tabla4[[#This Row],[VALOR ATENCIÓN (8 MESES)]]-Tabla4[[#This Row],[VALOR TOTAL]]</f>
        <v>0</v>
      </c>
      <c r="BG1001" s="12" t="b">
        <f>EXACT(Tabla4[[#This Row],[TOTAL DESEMBOLSOS]],Tabla4[[#This Row],[VALOR ATENCIÓN (8 MESES)]])</f>
        <v>1</v>
      </c>
      <c r="BH1001" s="29">
        <f>Tabla4[[#This Row],[TOTAL DESEMBOLSOS]]-Tabla4[[#This Row],[VALOR ATENCIÓN (8 MESES)]]</f>
        <v>0</v>
      </c>
      <c r="BI1001" t="s">
        <v>98</v>
      </c>
    </row>
    <row r="1002" spans="1:61">
      <c r="A1002" s="13">
        <v>1996</v>
      </c>
      <c r="B1002" s="13" t="s">
        <v>2199</v>
      </c>
      <c r="C1002" s="12" t="s">
        <v>87</v>
      </c>
      <c r="D1002" s="12" t="s">
        <v>88</v>
      </c>
      <c r="E1002" s="12" t="s">
        <v>2200</v>
      </c>
      <c r="F1002" s="12" t="s">
        <v>21</v>
      </c>
      <c r="G1002" s="12" t="s">
        <v>90</v>
      </c>
      <c r="H1002" s="12" t="s">
        <v>2217</v>
      </c>
      <c r="I1002" s="12">
        <v>56641135551</v>
      </c>
      <c r="J1002" s="12" t="s">
        <v>2218</v>
      </c>
      <c r="K1002" s="12">
        <v>1</v>
      </c>
      <c r="L1002" s="12">
        <v>16</v>
      </c>
      <c r="M1002" s="12"/>
      <c r="N1002" s="13">
        <v>1996</v>
      </c>
      <c r="O1002" s="12" t="s">
        <v>93</v>
      </c>
      <c r="P1002" s="12"/>
      <c r="Q1002" s="12"/>
      <c r="R1002" s="12" t="s">
        <v>94</v>
      </c>
      <c r="S1002" s="12">
        <v>10</v>
      </c>
      <c r="T1002" s="12" t="s">
        <v>2203</v>
      </c>
      <c r="U1002" s="12" t="s">
        <v>2204</v>
      </c>
      <c r="V1002" s="12">
        <f>VLOOKUP(Tabla4[[#This Row],[ZONA DEFINITIVO]],Hoja1!$A$1:$D$121,3,0)</f>
        <v>229146</v>
      </c>
      <c r="W1002" s="12">
        <f>VLOOKUP(Tabla4[[#This Row],[ZONA DEFINITIVO]],Hoja1!$A$1:$D$121,2,0)</f>
        <v>15246</v>
      </c>
      <c r="X1002" s="12">
        <f>VLOOKUP(Tabla4[[#This Row],[ZONA DEFINITIVO]],Hoja1!$A$1:$D$121,4,0)</f>
        <v>88925</v>
      </c>
      <c r="Y1002" s="12" t="str">
        <f>+IF(Tabla4[[#This Row],[AGRUPACIONES]]=1,SUMIFS(Tabla4[UDS],Tabla4[ZONA DEFINITIVO],Tabla4[[#This Row],[ZONA DEFINITIVO]])," ")</f>
        <v xml:space="preserve"> </v>
      </c>
      <c r="Z1002" s="12" t="str">
        <f>+IF(Tabla4[[#This Row],[AGRUPACIONES]]=1,SUMIFS(Tabla4[TOTAL COBERTURA],Tabla4[ZONA DEFINITIVO],Tabla4[[#This Row],[ZONA DEFINITIVO]])," ")</f>
        <v xml:space="preserve"> </v>
      </c>
      <c r="AA1002" s="12"/>
      <c r="AB1002" s="38">
        <v>24308880</v>
      </c>
      <c r="AC1002" s="37">
        <v>0.02</v>
      </c>
      <c r="AD1002" s="38">
        <f t="shared" si="16"/>
        <v>486177.60000000003</v>
      </c>
      <c r="AE1002" s="12"/>
      <c r="AF1002" s="12">
        <f>COUNTIF($A$20:A1002,A1002)</f>
        <v>10</v>
      </c>
      <c r="AG1002" s="38">
        <v>24308880</v>
      </c>
      <c r="AH1002" s="38">
        <f>Tabla4[[#This Row],[VALOR CONTRAPARTIDA]]+Tabla4[[#This Row],[TOTAL APORTES ICBF]]</f>
        <v>24795057.600000001</v>
      </c>
      <c r="AI1002" s="35"/>
      <c r="AJ1002" s="38"/>
      <c r="AK1002" s="38"/>
      <c r="AL1002" s="23"/>
      <c r="AM1002" s="35">
        <f>VLOOKUP(Tabla4[[#This Row],[SERVICIO 2025]],$J$2:$V$14,5,0)*Tabla4[[#This Row],[TOTAL COBERTURA]]</f>
        <v>747904</v>
      </c>
      <c r="AN1002" s="35">
        <f>VLOOKUP(Tabla4[[#This Row],[SERVICIO 2025]],$J$2:$V$14,6,0)*Tabla4[[#This Row],[TOTAL COBERTURA]]</f>
        <v>605456</v>
      </c>
      <c r="AO1002" s="35">
        <f>VLOOKUP(Tabla4[[#This Row],[SERVICIO 2025]],$J$2:$V$14,8,0)*Tabla4[[#This Row],[TOTAL COBERTURA]]</f>
        <v>0</v>
      </c>
      <c r="AP1002" s="35">
        <f>VLOOKUP(Tabla4[[#This Row],[SERVICIO 2025]],$J$2:$V$14,3,0)*Tabla4[[#This Row],[TOTAL COBERTURA]]*8</f>
        <v>22955520</v>
      </c>
      <c r="AQ1002" s="35"/>
      <c r="AR1002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1002" s="35" t="str">
        <f>+IF(Tabla4[[#This Row],[AGRUPACIONES]]=1,SUMIFS(Tabla4[VALOR TOTAL],Tabla4[ZONA DEFINITIVO],Tabla4[[#This Row],[ZONA DEFINITIVO]])," ")</f>
        <v xml:space="preserve"> </v>
      </c>
      <c r="AT1002" s="27">
        <f>(VLOOKUP(Tabla4[[#This Row],[SERVICIO 2025]],$J$2:$V$14,3,0)*Tabla4[[#This Row],[TOTAL COBERTURA]])+Tabla4[[#This Row],[VALOR FASE PREPARATORIA DE ALISTAMIENTO]]+Tabla4[[#This Row],[DOTACIÓN ÚNICA]]</f>
        <v>3617344</v>
      </c>
      <c r="AU1002" s="35">
        <f>(VLOOKUP(Tabla4[[#This Row],[SERVICIO 2025]],$J$2:$V$14,3,0)*Tabla4[[#This Row],[TOTAL COBERTURA]])</f>
        <v>2869440</v>
      </c>
      <c r="AV1002" s="35">
        <f>(VLOOKUP(Tabla4[[#This Row],[SERVICIO 2025]],$J$2:$V$14,3,0)*Tabla4[[#This Row],[TOTAL COBERTURA]])</f>
        <v>2869440</v>
      </c>
      <c r="AW1002" s="35">
        <f>(VLOOKUP(Tabla4[[#This Row],[SERVICIO 2025]],$J$2:$V$14,3,0)*Tabla4[[#This Row],[TOTAL COBERTURA]])</f>
        <v>2869440</v>
      </c>
      <c r="AX1002" s="35">
        <f>(VLOOKUP(Tabla4[[#This Row],[SERVICIO 2025]],$J$2:$V$14,3,0)*Tabla4[[#This Row],[TOTAL COBERTURA]])</f>
        <v>2869440</v>
      </c>
      <c r="AY1002" s="35">
        <f>(VLOOKUP(Tabla4[[#This Row],[SERVICIO 2025]],$J$2:$V$14,3,0)*Tabla4[[#This Row],[TOTAL COBERTURA]])</f>
        <v>2869440</v>
      </c>
      <c r="AZ1002" s="35">
        <f>(VLOOKUP(Tabla4[[#This Row],[SERVICIO 2025]],$J$2:$V$14,3,0)*Tabla4[[#This Row],[TOTAL COBERTURA]])</f>
        <v>2869440</v>
      </c>
      <c r="BA1002" s="35">
        <f>(VLOOKUP(Tabla4[[#This Row],[SERVICIO 2025]],$J$2:$V$14,3,0)*Tabla4[[#This Row],[TOTAL COBERTURA]])+Tabla4[[#This Row],[VALOR FASE PREPARATORIA DE CIERRE]]</f>
        <v>3474896</v>
      </c>
      <c r="BB1002" s="35">
        <f>SUM(Tabla4[[#This Row],[DESEMBOLSO 1]:[DESEMBOLSO 8]])</f>
        <v>24308880</v>
      </c>
      <c r="BC1002" s="35"/>
      <c r="BD1002" s="47" t="s">
        <v>97</v>
      </c>
      <c r="BE1002" s="12" t="b">
        <f>EXACT(Tabla4[[#This Row],[VALOR ATENCIÓN (8 MESES)]],Tabla4[[#This Row],[VALOR TOTAL]])</f>
        <v>1</v>
      </c>
      <c r="BF1002" s="23">
        <f>Tabla4[[#This Row],[VALOR ATENCIÓN (8 MESES)]]-Tabla4[[#This Row],[VALOR TOTAL]]</f>
        <v>0</v>
      </c>
      <c r="BG1002" s="12" t="b">
        <f>EXACT(Tabla4[[#This Row],[TOTAL DESEMBOLSOS]],Tabla4[[#This Row],[VALOR ATENCIÓN (8 MESES)]])</f>
        <v>1</v>
      </c>
      <c r="BH1002" s="29">
        <f>Tabla4[[#This Row],[TOTAL DESEMBOLSOS]]-Tabla4[[#This Row],[VALOR ATENCIÓN (8 MESES)]]</f>
        <v>0</v>
      </c>
      <c r="BI1002" t="s">
        <v>98</v>
      </c>
    </row>
    <row r="1003" spans="1:61">
      <c r="A1003" s="13">
        <v>1996</v>
      </c>
      <c r="B1003" s="13" t="s">
        <v>2199</v>
      </c>
      <c r="C1003" s="12" t="s">
        <v>87</v>
      </c>
      <c r="D1003" s="12" t="s">
        <v>88</v>
      </c>
      <c r="E1003" s="12" t="s">
        <v>2200</v>
      </c>
      <c r="F1003" s="12" t="s">
        <v>21</v>
      </c>
      <c r="G1003" s="12" t="s">
        <v>90</v>
      </c>
      <c r="H1003" s="12" t="s">
        <v>2219</v>
      </c>
      <c r="I1003" s="12">
        <v>56641135552</v>
      </c>
      <c r="J1003" s="12" t="s">
        <v>2220</v>
      </c>
      <c r="K1003" s="12">
        <v>1</v>
      </c>
      <c r="L1003" s="12">
        <v>9</v>
      </c>
      <c r="M1003" s="12"/>
      <c r="N1003" s="13">
        <v>1996</v>
      </c>
      <c r="O1003" s="12" t="s">
        <v>93</v>
      </c>
      <c r="P1003" s="12"/>
      <c r="Q1003" s="12"/>
      <c r="R1003" s="12" t="s">
        <v>94</v>
      </c>
      <c r="S1003" s="12">
        <v>10</v>
      </c>
      <c r="T1003" s="12" t="s">
        <v>2203</v>
      </c>
      <c r="U1003" s="12" t="s">
        <v>2204</v>
      </c>
      <c r="V1003" s="12">
        <f>VLOOKUP(Tabla4[[#This Row],[ZONA DEFINITIVO]],Hoja1!$A$1:$D$121,3,0)</f>
        <v>229146</v>
      </c>
      <c r="W1003" s="12">
        <f>VLOOKUP(Tabla4[[#This Row],[ZONA DEFINITIVO]],Hoja1!$A$1:$D$121,2,0)</f>
        <v>15246</v>
      </c>
      <c r="X1003" s="12">
        <f>VLOOKUP(Tabla4[[#This Row],[ZONA DEFINITIVO]],Hoja1!$A$1:$D$121,4,0)</f>
        <v>88925</v>
      </c>
      <c r="Y1003" s="12" t="str">
        <f>+IF(Tabla4[[#This Row],[AGRUPACIONES]]=1,SUMIFS(Tabla4[UDS],Tabla4[ZONA DEFINITIVO],Tabla4[[#This Row],[ZONA DEFINITIVO]])," ")</f>
        <v xml:space="preserve"> </v>
      </c>
      <c r="Z1003" s="12" t="str">
        <f>+IF(Tabla4[[#This Row],[AGRUPACIONES]]=1,SUMIFS(Tabla4[TOTAL COBERTURA],Tabla4[ZONA DEFINITIVO],Tabla4[[#This Row],[ZONA DEFINITIVO]])," ")</f>
        <v xml:space="preserve"> </v>
      </c>
      <c r="AA1003" s="12"/>
      <c r="AB1003" s="38">
        <v>13673745</v>
      </c>
      <c r="AC1003" s="37">
        <v>0.02</v>
      </c>
      <c r="AD1003" s="38">
        <f t="shared" si="16"/>
        <v>273474.90000000002</v>
      </c>
      <c r="AE1003" s="12"/>
      <c r="AF1003" s="12">
        <f>COUNTIF($A$20:A1003,A1003)</f>
        <v>11</v>
      </c>
      <c r="AG1003" s="38">
        <v>13673745</v>
      </c>
      <c r="AH1003" s="38">
        <f>Tabla4[[#This Row],[VALOR CONTRAPARTIDA]]+Tabla4[[#This Row],[TOTAL APORTES ICBF]]</f>
        <v>13947219.9</v>
      </c>
      <c r="AI1003" s="35"/>
      <c r="AJ1003" s="38"/>
      <c r="AK1003" s="38"/>
      <c r="AL1003" s="23"/>
      <c r="AM1003" s="35">
        <f>VLOOKUP(Tabla4[[#This Row],[SERVICIO 2025]],$J$2:$V$14,5,0)*Tabla4[[#This Row],[TOTAL COBERTURA]]</f>
        <v>420696</v>
      </c>
      <c r="AN1003" s="35">
        <f>VLOOKUP(Tabla4[[#This Row],[SERVICIO 2025]],$J$2:$V$14,6,0)*Tabla4[[#This Row],[TOTAL COBERTURA]]</f>
        <v>340569</v>
      </c>
      <c r="AO1003" s="35">
        <f>VLOOKUP(Tabla4[[#This Row],[SERVICIO 2025]],$J$2:$V$14,8,0)*Tabla4[[#This Row],[TOTAL COBERTURA]]</f>
        <v>0</v>
      </c>
      <c r="AP1003" s="35">
        <f>VLOOKUP(Tabla4[[#This Row],[SERVICIO 2025]],$J$2:$V$14,3,0)*Tabla4[[#This Row],[TOTAL COBERTURA]]*8</f>
        <v>12912480</v>
      </c>
      <c r="AQ1003" s="35"/>
      <c r="AR1003" s="35">
        <f>Tabla4[[#This Row],[VALOR FASE PREPARATORIA DE ALISTAMIENTO]]+Tabla4[[#This Row],[VALOR FASE PREPARATORIA DE CIERRE]]+Tabla4[[#This Row],[DOTACIÓN ÚNICA]]+Tabla4[[#This Row],[VALOR ATENCIÓN]]+Tabla4[[#This Row],[VALOR RACION PREPARADA]]</f>
        <v>13673745</v>
      </c>
      <c r="AS1003" s="35" t="str">
        <f>+IF(Tabla4[[#This Row],[AGRUPACIONES]]=1,SUMIFS(Tabla4[VALOR TOTAL],Tabla4[ZONA DEFINITIVO],Tabla4[[#This Row],[ZONA DEFINITIVO]])," ")</f>
        <v xml:space="preserve"> </v>
      </c>
      <c r="AT1003" s="27">
        <f>(VLOOKUP(Tabla4[[#This Row],[SERVICIO 2025]],$J$2:$V$14,3,0)*Tabla4[[#This Row],[TOTAL COBERTURA]])+Tabla4[[#This Row],[VALOR FASE PREPARATORIA DE ALISTAMIENTO]]+Tabla4[[#This Row],[DOTACIÓN ÚNICA]]</f>
        <v>2034756</v>
      </c>
      <c r="AU1003" s="35">
        <f>(VLOOKUP(Tabla4[[#This Row],[SERVICIO 2025]],$J$2:$V$14,3,0)*Tabla4[[#This Row],[TOTAL COBERTURA]])</f>
        <v>1614060</v>
      </c>
      <c r="AV1003" s="35">
        <f>(VLOOKUP(Tabla4[[#This Row],[SERVICIO 2025]],$J$2:$V$14,3,0)*Tabla4[[#This Row],[TOTAL COBERTURA]])</f>
        <v>1614060</v>
      </c>
      <c r="AW1003" s="35">
        <f>(VLOOKUP(Tabla4[[#This Row],[SERVICIO 2025]],$J$2:$V$14,3,0)*Tabla4[[#This Row],[TOTAL COBERTURA]])</f>
        <v>1614060</v>
      </c>
      <c r="AX1003" s="35">
        <f>(VLOOKUP(Tabla4[[#This Row],[SERVICIO 2025]],$J$2:$V$14,3,0)*Tabla4[[#This Row],[TOTAL COBERTURA]])</f>
        <v>1614060</v>
      </c>
      <c r="AY1003" s="35">
        <f>(VLOOKUP(Tabla4[[#This Row],[SERVICIO 2025]],$J$2:$V$14,3,0)*Tabla4[[#This Row],[TOTAL COBERTURA]])</f>
        <v>1614060</v>
      </c>
      <c r="AZ1003" s="35">
        <f>(VLOOKUP(Tabla4[[#This Row],[SERVICIO 2025]],$J$2:$V$14,3,0)*Tabla4[[#This Row],[TOTAL COBERTURA]])</f>
        <v>1614060</v>
      </c>
      <c r="BA1003" s="35">
        <f>(VLOOKUP(Tabla4[[#This Row],[SERVICIO 2025]],$J$2:$V$14,3,0)*Tabla4[[#This Row],[TOTAL COBERTURA]])+Tabla4[[#This Row],[VALOR FASE PREPARATORIA DE CIERRE]]</f>
        <v>1954629</v>
      </c>
      <c r="BB1003" s="35">
        <f>SUM(Tabla4[[#This Row],[DESEMBOLSO 1]:[DESEMBOLSO 8]])</f>
        <v>13673745</v>
      </c>
      <c r="BC1003" s="35"/>
      <c r="BD1003" s="47" t="s">
        <v>97</v>
      </c>
      <c r="BE1003" s="12" t="b">
        <f>EXACT(Tabla4[[#This Row],[VALOR ATENCIÓN (8 MESES)]],Tabla4[[#This Row],[VALOR TOTAL]])</f>
        <v>1</v>
      </c>
      <c r="BF1003" s="23">
        <f>Tabla4[[#This Row],[VALOR ATENCIÓN (8 MESES)]]-Tabla4[[#This Row],[VALOR TOTAL]]</f>
        <v>0</v>
      </c>
      <c r="BG1003" s="12" t="b">
        <f>EXACT(Tabla4[[#This Row],[TOTAL DESEMBOLSOS]],Tabla4[[#This Row],[VALOR ATENCIÓN (8 MESES)]])</f>
        <v>1</v>
      </c>
      <c r="BH1003" s="29">
        <f>Tabla4[[#This Row],[TOTAL DESEMBOLSOS]]-Tabla4[[#This Row],[VALOR ATENCIÓN (8 MESES)]]</f>
        <v>0</v>
      </c>
      <c r="BI1003" t="s">
        <v>98</v>
      </c>
    </row>
    <row r="1004" spans="1:61">
      <c r="A1004" s="13">
        <v>1996</v>
      </c>
      <c r="B1004" s="13" t="s">
        <v>2199</v>
      </c>
      <c r="C1004" s="12" t="s">
        <v>87</v>
      </c>
      <c r="D1004" s="12" t="s">
        <v>88</v>
      </c>
      <c r="E1004" s="12" t="s">
        <v>2200</v>
      </c>
      <c r="F1004" s="12" t="s">
        <v>21</v>
      </c>
      <c r="G1004" s="12" t="s">
        <v>90</v>
      </c>
      <c r="H1004" s="12" t="s">
        <v>1019</v>
      </c>
      <c r="I1004" s="12">
        <v>56641135553</v>
      </c>
      <c r="J1004" s="12" t="s">
        <v>2221</v>
      </c>
      <c r="K1004" s="12">
        <v>1</v>
      </c>
      <c r="L1004" s="12">
        <v>14</v>
      </c>
      <c r="M1004" s="12"/>
      <c r="N1004" s="13">
        <v>1996</v>
      </c>
      <c r="O1004" s="12" t="s">
        <v>93</v>
      </c>
      <c r="P1004" s="12"/>
      <c r="Q1004" s="12"/>
      <c r="R1004" s="12" t="s">
        <v>94</v>
      </c>
      <c r="S1004" s="12">
        <v>10</v>
      </c>
      <c r="T1004" s="12" t="s">
        <v>2203</v>
      </c>
      <c r="U1004" s="12" t="s">
        <v>2204</v>
      </c>
      <c r="V1004" s="12">
        <f>VLOOKUP(Tabla4[[#This Row],[ZONA DEFINITIVO]],Hoja1!$A$1:$D$121,3,0)</f>
        <v>229146</v>
      </c>
      <c r="W1004" s="12">
        <f>VLOOKUP(Tabla4[[#This Row],[ZONA DEFINITIVO]],Hoja1!$A$1:$D$121,2,0)</f>
        <v>15246</v>
      </c>
      <c r="X1004" s="12">
        <f>VLOOKUP(Tabla4[[#This Row],[ZONA DEFINITIVO]],Hoja1!$A$1:$D$121,4,0)</f>
        <v>88925</v>
      </c>
      <c r="Y1004" s="12" t="str">
        <f>+IF(Tabla4[[#This Row],[AGRUPACIONES]]=1,SUMIFS(Tabla4[UDS],Tabla4[ZONA DEFINITIVO],Tabla4[[#This Row],[ZONA DEFINITIVO]])," ")</f>
        <v xml:space="preserve"> </v>
      </c>
      <c r="Z1004" s="12" t="str">
        <f>+IF(Tabla4[[#This Row],[AGRUPACIONES]]=1,SUMIFS(Tabla4[TOTAL COBERTURA],Tabla4[ZONA DEFINITIVO],Tabla4[[#This Row],[ZONA DEFINITIVO]])," ")</f>
        <v xml:space="preserve"> </v>
      </c>
      <c r="AA1004" s="12"/>
      <c r="AB1004" s="38">
        <v>21270270</v>
      </c>
      <c r="AC1004" s="37">
        <v>0.02</v>
      </c>
      <c r="AD1004" s="38">
        <f t="shared" si="16"/>
        <v>425405.4</v>
      </c>
      <c r="AE1004" s="12"/>
      <c r="AF1004" s="12">
        <f>COUNTIF($A$20:A1004,A1004)</f>
        <v>12</v>
      </c>
      <c r="AG1004" s="38">
        <v>21270270</v>
      </c>
      <c r="AH1004" s="38">
        <f>Tabla4[[#This Row],[VALOR CONTRAPARTIDA]]+Tabla4[[#This Row],[TOTAL APORTES ICBF]]</f>
        <v>21695675.399999999</v>
      </c>
      <c r="AI1004" s="35"/>
      <c r="AJ1004" s="38"/>
      <c r="AK1004" s="38"/>
      <c r="AL1004" s="23"/>
      <c r="AM1004" s="35">
        <f>VLOOKUP(Tabla4[[#This Row],[SERVICIO 2025]],$J$2:$V$14,5,0)*Tabla4[[#This Row],[TOTAL COBERTURA]]</f>
        <v>654416</v>
      </c>
      <c r="AN1004" s="35">
        <f>VLOOKUP(Tabla4[[#This Row],[SERVICIO 2025]],$J$2:$V$14,6,0)*Tabla4[[#This Row],[TOTAL COBERTURA]]</f>
        <v>529774</v>
      </c>
      <c r="AO1004" s="35">
        <f>VLOOKUP(Tabla4[[#This Row],[SERVICIO 2025]],$J$2:$V$14,8,0)*Tabla4[[#This Row],[TOTAL COBERTURA]]</f>
        <v>0</v>
      </c>
      <c r="AP1004" s="35">
        <f>VLOOKUP(Tabla4[[#This Row],[SERVICIO 2025]],$J$2:$V$14,3,0)*Tabla4[[#This Row],[TOTAL COBERTURA]]*8</f>
        <v>20086080</v>
      </c>
      <c r="AQ1004" s="35"/>
      <c r="AR1004" s="35">
        <f>Tabla4[[#This Row],[VALOR FASE PREPARATORIA DE ALISTAMIENTO]]+Tabla4[[#This Row],[VALOR FASE PREPARATORIA DE CIERRE]]+Tabla4[[#This Row],[DOTACIÓN ÚNICA]]+Tabla4[[#This Row],[VALOR ATENCIÓN]]+Tabla4[[#This Row],[VALOR RACION PREPARADA]]</f>
        <v>21270270</v>
      </c>
      <c r="AS1004" s="35" t="str">
        <f>+IF(Tabla4[[#This Row],[AGRUPACIONES]]=1,SUMIFS(Tabla4[VALOR TOTAL],Tabla4[ZONA DEFINITIVO],Tabla4[[#This Row],[ZONA DEFINITIVO]])," ")</f>
        <v xml:space="preserve"> </v>
      </c>
      <c r="AT1004" s="27">
        <f>(VLOOKUP(Tabla4[[#This Row],[SERVICIO 2025]],$J$2:$V$14,3,0)*Tabla4[[#This Row],[TOTAL COBERTURA]])+Tabla4[[#This Row],[VALOR FASE PREPARATORIA DE ALISTAMIENTO]]+Tabla4[[#This Row],[DOTACIÓN ÚNICA]]</f>
        <v>3165176</v>
      </c>
      <c r="AU1004" s="35">
        <f>(VLOOKUP(Tabla4[[#This Row],[SERVICIO 2025]],$J$2:$V$14,3,0)*Tabla4[[#This Row],[TOTAL COBERTURA]])</f>
        <v>2510760</v>
      </c>
      <c r="AV1004" s="35">
        <f>(VLOOKUP(Tabla4[[#This Row],[SERVICIO 2025]],$J$2:$V$14,3,0)*Tabla4[[#This Row],[TOTAL COBERTURA]])</f>
        <v>2510760</v>
      </c>
      <c r="AW1004" s="35">
        <f>(VLOOKUP(Tabla4[[#This Row],[SERVICIO 2025]],$J$2:$V$14,3,0)*Tabla4[[#This Row],[TOTAL COBERTURA]])</f>
        <v>2510760</v>
      </c>
      <c r="AX1004" s="35">
        <f>(VLOOKUP(Tabla4[[#This Row],[SERVICIO 2025]],$J$2:$V$14,3,0)*Tabla4[[#This Row],[TOTAL COBERTURA]])</f>
        <v>2510760</v>
      </c>
      <c r="AY1004" s="35">
        <f>(VLOOKUP(Tabla4[[#This Row],[SERVICIO 2025]],$J$2:$V$14,3,0)*Tabla4[[#This Row],[TOTAL COBERTURA]])</f>
        <v>2510760</v>
      </c>
      <c r="AZ1004" s="35">
        <f>(VLOOKUP(Tabla4[[#This Row],[SERVICIO 2025]],$J$2:$V$14,3,0)*Tabla4[[#This Row],[TOTAL COBERTURA]])</f>
        <v>2510760</v>
      </c>
      <c r="BA1004" s="35">
        <f>(VLOOKUP(Tabla4[[#This Row],[SERVICIO 2025]],$J$2:$V$14,3,0)*Tabla4[[#This Row],[TOTAL COBERTURA]])+Tabla4[[#This Row],[VALOR FASE PREPARATORIA DE CIERRE]]</f>
        <v>3040534</v>
      </c>
      <c r="BB1004" s="35">
        <f>SUM(Tabla4[[#This Row],[DESEMBOLSO 1]:[DESEMBOLSO 8]])</f>
        <v>21270270</v>
      </c>
      <c r="BC1004" s="35"/>
      <c r="BD1004" s="47" t="s">
        <v>97</v>
      </c>
      <c r="BE1004" s="12" t="b">
        <f>EXACT(Tabla4[[#This Row],[VALOR ATENCIÓN (8 MESES)]],Tabla4[[#This Row],[VALOR TOTAL]])</f>
        <v>1</v>
      </c>
      <c r="BF1004" s="23">
        <f>Tabla4[[#This Row],[VALOR ATENCIÓN (8 MESES)]]-Tabla4[[#This Row],[VALOR TOTAL]]</f>
        <v>0</v>
      </c>
      <c r="BG1004" s="12" t="b">
        <f>EXACT(Tabla4[[#This Row],[TOTAL DESEMBOLSOS]],Tabla4[[#This Row],[VALOR ATENCIÓN (8 MESES)]])</f>
        <v>1</v>
      </c>
      <c r="BH1004" s="29">
        <f>Tabla4[[#This Row],[TOTAL DESEMBOLSOS]]-Tabla4[[#This Row],[VALOR ATENCIÓN (8 MESES)]]</f>
        <v>0</v>
      </c>
      <c r="BI1004" t="s">
        <v>98</v>
      </c>
    </row>
    <row r="1005" spans="1:61">
      <c r="A1005" s="13">
        <v>1996</v>
      </c>
      <c r="B1005" s="13" t="s">
        <v>2199</v>
      </c>
      <c r="C1005" s="12" t="s">
        <v>87</v>
      </c>
      <c r="D1005" s="12" t="s">
        <v>88</v>
      </c>
      <c r="E1005" s="12" t="s">
        <v>2200</v>
      </c>
      <c r="F1005" s="12" t="s">
        <v>21</v>
      </c>
      <c r="G1005" s="12" t="s">
        <v>90</v>
      </c>
      <c r="H1005" s="12" t="s">
        <v>490</v>
      </c>
      <c r="I1005" s="12">
        <v>56641155790</v>
      </c>
      <c r="J1005" s="12" t="s">
        <v>2222</v>
      </c>
      <c r="K1005" s="12">
        <v>1</v>
      </c>
      <c r="L1005" s="12">
        <v>56</v>
      </c>
      <c r="M1005" s="12"/>
      <c r="N1005" s="13">
        <v>1996</v>
      </c>
      <c r="O1005" s="12" t="s">
        <v>93</v>
      </c>
      <c r="P1005" s="12"/>
      <c r="Q1005" s="12"/>
      <c r="R1005" s="12" t="s">
        <v>94</v>
      </c>
      <c r="S1005" s="12">
        <v>10</v>
      </c>
      <c r="T1005" s="12" t="s">
        <v>2203</v>
      </c>
      <c r="U1005" s="12" t="s">
        <v>2204</v>
      </c>
      <c r="V1005" s="12">
        <f>VLOOKUP(Tabla4[[#This Row],[ZONA DEFINITIVO]],Hoja1!$A$1:$D$121,3,0)</f>
        <v>229146</v>
      </c>
      <c r="W1005" s="12">
        <f>VLOOKUP(Tabla4[[#This Row],[ZONA DEFINITIVO]],Hoja1!$A$1:$D$121,2,0)</f>
        <v>15246</v>
      </c>
      <c r="X1005" s="12">
        <f>VLOOKUP(Tabla4[[#This Row],[ZONA DEFINITIVO]],Hoja1!$A$1:$D$121,4,0)</f>
        <v>88925</v>
      </c>
      <c r="Y1005" s="12" t="str">
        <f>+IF(Tabla4[[#This Row],[AGRUPACIONES]]=1,SUMIFS(Tabla4[UDS],Tabla4[ZONA DEFINITIVO],Tabla4[[#This Row],[ZONA DEFINITIVO]])," ")</f>
        <v xml:space="preserve"> </v>
      </c>
      <c r="Z1005" s="12" t="str">
        <f>+IF(Tabla4[[#This Row],[AGRUPACIONES]]=1,SUMIFS(Tabla4[TOTAL COBERTURA],Tabla4[ZONA DEFINITIVO],Tabla4[[#This Row],[ZONA DEFINITIVO]])," ")</f>
        <v xml:space="preserve"> </v>
      </c>
      <c r="AA1005" s="12"/>
      <c r="AB1005" s="38">
        <v>85081080</v>
      </c>
      <c r="AC1005" s="37">
        <v>0.02</v>
      </c>
      <c r="AD1005" s="38">
        <f t="shared" si="16"/>
        <v>1701621.6</v>
      </c>
      <c r="AE1005" s="12"/>
      <c r="AF1005" s="12">
        <f>COUNTIF($A$20:A1005,A1005)</f>
        <v>13</v>
      </c>
      <c r="AG1005" s="38">
        <v>85081080</v>
      </c>
      <c r="AH1005" s="38">
        <f>Tabla4[[#This Row],[VALOR CONTRAPARTIDA]]+Tabla4[[#This Row],[TOTAL APORTES ICBF]]</f>
        <v>86782701.599999994</v>
      </c>
      <c r="AI1005" s="35"/>
      <c r="AJ1005" s="38"/>
      <c r="AK1005" s="38"/>
      <c r="AL1005" s="23"/>
      <c r="AM1005" s="35">
        <f>VLOOKUP(Tabla4[[#This Row],[SERVICIO 2025]],$J$2:$V$14,5,0)*Tabla4[[#This Row],[TOTAL COBERTURA]]</f>
        <v>2617664</v>
      </c>
      <c r="AN1005" s="35">
        <f>VLOOKUP(Tabla4[[#This Row],[SERVICIO 2025]],$J$2:$V$14,6,0)*Tabla4[[#This Row],[TOTAL COBERTURA]]</f>
        <v>2119096</v>
      </c>
      <c r="AO1005" s="35">
        <f>VLOOKUP(Tabla4[[#This Row],[SERVICIO 2025]],$J$2:$V$14,8,0)*Tabla4[[#This Row],[TOTAL COBERTURA]]</f>
        <v>0</v>
      </c>
      <c r="AP1005" s="35">
        <f>VLOOKUP(Tabla4[[#This Row],[SERVICIO 2025]],$J$2:$V$14,3,0)*Tabla4[[#This Row],[TOTAL COBERTURA]]*8</f>
        <v>80344320</v>
      </c>
      <c r="AQ1005" s="35"/>
      <c r="AR1005" s="35">
        <f>Tabla4[[#This Row],[VALOR FASE PREPARATORIA DE ALISTAMIENTO]]+Tabla4[[#This Row],[VALOR FASE PREPARATORIA DE CIERRE]]+Tabla4[[#This Row],[DOTACIÓN ÚNICA]]+Tabla4[[#This Row],[VALOR ATENCIÓN]]+Tabla4[[#This Row],[VALOR RACION PREPARADA]]</f>
        <v>85081080</v>
      </c>
      <c r="AS1005" s="35" t="str">
        <f>+IF(Tabla4[[#This Row],[AGRUPACIONES]]=1,SUMIFS(Tabla4[VALOR TOTAL],Tabla4[ZONA DEFINITIVO],Tabla4[[#This Row],[ZONA DEFINITIVO]])," ")</f>
        <v xml:space="preserve"> </v>
      </c>
      <c r="AT1005" s="27">
        <f>(VLOOKUP(Tabla4[[#This Row],[SERVICIO 2025]],$J$2:$V$14,3,0)*Tabla4[[#This Row],[TOTAL COBERTURA]])+Tabla4[[#This Row],[VALOR FASE PREPARATORIA DE ALISTAMIENTO]]+Tabla4[[#This Row],[DOTACIÓN ÚNICA]]</f>
        <v>12660704</v>
      </c>
      <c r="AU1005" s="35">
        <f>(VLOOKUP(Tabla4[[#This Row],[SERVICIO 2025]],$J$2:$V$14,3,0)*Tabla4[[#This Row],[TOTAL COBERTURA]])</f>
        <v>10043040</v>
      </c>
      <c r="AV1005" s="35">
        <f>(VLOOKUP(Tabla4[[#This Row],[SERVICIO 2025]],$J$2:$V$14,3,0)*Tabla4[[#This Row],[TOTAL COBERTURA]])</f>
        <v>10043040</v>
      </c>
      <c r="AW1005" s="35">
        <f>(VLOOKUP(Tabla4[[#This Row],[SERVICIO 2025]],$J$2:$V$14,3,0)*Tabla4[[#This Row],[TOTAL COBERTURA]])</f>
        <v>10043040</v>
      </c>
      <c r="AX1005" s="35">
        <f>(VLOOKUP(Tabla4[[#This Row],[SERVICIO 2025]],$J$2:$V$14,3,0)*Tabla4[[#This Row],[TOTAL COBERTURA]])</f>
        <v>10043040</v>
      </c>
      <c r="AY1005" s="35">
        <f>(VLOOKUP(Tabla4[[#This Row],[SERVICIO 2025]],$J$2:$V$14,3,0)*Tabla4[[#This Row],[TOTAL COBERTURA]])</f>
        <v>10043040</v>
      </c>
      <c r="AZ1005" s="35">
        <f>(VLOOKUP(Tabla4[[#This Row],[SERVICIO 2025]],$J$2:$V$14,3,0)*Tabla4[[#This Row],[TOTAL COBERTURA]])</f>
        <v>10043040</v>
      </c>
      <c r="BA1005" s="35">
        <f>(VLOOKUP(Tabla4[[#This Row],[SERVICIO 2025]],$J$2:$V$14,3,0)*Tabla4[[#This Row],[TOTAL COBERTURA]])+Tabla4[[#This Row],[VALOR FASE PREPARATORIA DE CIERRE]]</f>
        <v>12162136</v>
      </c>
      <c r="BB1005" s="35">
        <f>SUM(Tabla4[[#This Row],[DESEMBOLSO 1]:[DESEMBOLSO 8]])</f>
        <v>85081080</v>
      </c>
      <c r="BC1005" s="35"/>
      <c r="BD1005" s="47" t="s">
        <v>97</v>
      </c>
      <c r="BE1005" s="12" t="b">
        <f>EXACT(Tabla4[[#This Row],[VALOR ATENCIÓN (8 MESES)]],Tabla4[[#This Row],[VALOR TOTAL]])</f>
        <v>1</v>
      </c>
      <c r="BF1005" s="23">
        <f>Tabla4[[#This Row],[VALOR ATENCIÓN (8 MESES)]]-Tabla4[[#This Row],[VALOR TOTAL]]</f>
        <v>0</v>
      </c>
      <c r="BG1005" s="12" t="b">
        <f>EXACT(Tabla4[[#This Row],[TOTAL DESEMBOLSOS]],Tabla4[[#This Row],[VALOR ATENCIÓN (8 MESES)]])</f>
        <v>1</v>
      </c>
      <c r="BH1005" s="29">
        <f>Tabla4[[#This Row],[TOTAL DESEMBOLSOS]]-Tabla4[[#This Row],[VALOR ATENCIÓN (8 MESES)]]</f>
        <v>0</v>
      </c>
      <c r="BI1005" t="s">
        <v>98</v>
      </c>
    </row>
    <row r="1006" spans="1:61">
      <c r="A1006" s="13">
        <v>1996</v>
      </c>
      <c r="B1006" s="13" t="s">
        <v>2199</v>
      </c>
      <c r="C1006" s="12" t="s">
        <v>87</v>
      </c>
      <c r="D1006" s="12" t="s">
        <v>88</v>
      </c>
      <c r="E1006" s="12" t="s">
        <v>2200</v>
      </c>
      <c r="F1006" s="12" t="s">
        <v>21</v>
      </c>
      <c r="G1006" s="12" t="s">
        <v>90</v>
      </c>
      <c r="H1006" s="12" t="s">
        <v>2223</v>
      </c>
      <c r="I1006" s="12">
        <v>56641155791</v>
      </c>
      <c r="J1006" s="12" t="s">
        <v>2224</v>
      </c>
      <c r="K1006" s="12">
        <v>1</v>
      </c>
      <c r="L1006" s="12">
        <v>55</v>
      </c>
      <c r="M1006" s="12"/>
      <c r="N1006" s="13">
        <v>1996</v>
      </c>
      <c r="O1006" s="12" t="s">
        <v>93</v>
      </c>
      <c r="P1006" s="12"/>
      <c r="Q1006" s="12"/>
      <c r="R1006" s="12" t="s">
        <v>94</v>
      </c>
      <c r="S1006" s="12">
        <v>10</v>
      </c>
      <c r="T1006" s="12" t="s">
        <v>2203</v>
      </c>
      <c r="U1006" s="12" t="s">
        <v>2204</v>
      </c>
      <c r="V1006" s="12">
        <f>VLOOKUP(Tabla4[[#This Row],[ZONA DEFINITIVO]],Hoja1!$A$1:$D$121,3,0)</f>
        <v>229146</v>
      </c>
      <c r="W1006" s="12">
        <f>VLOOKUP(Tabla4[[#This Row],[ZONA DEFINITIVO]],Hoja1!$A$1:$D$121,2,0)</f>
        <v>15246</v>
      </c>
      <c r="X1006" s="12">
        <f>VLOOKUP(Tabla4[[#This Row],[ZONA DEFINITIVO]],Hoja1!$A$1:$D$121,4,0)</f>
        <v>88925</v>
      </c>
      <c r="Y1006" s="12" t="str">
        <f>+IF(Tabla4[[#This Row],[AGRUPACIONES]]=1,SUMIFS(Tabla4[UDS],Tabla4[ZONA DEFINITIVO],Tabla4[[#This Row],[ZONA DEFINITIVO]])," ")</f>
        <v xml:space="preserve"> </v>
      </c>
      <c r="Z1006" s="12" t="str">
        <f>+IF(Tabla4[[#This Row],[AGRUPACIONES]]=1,SUMIFS(Tabla4[TOTAL COBERTURA],Tabla4[ZONA DEFINITIVO],Tabla4[[#This Row],[ZONA DEFINITIVO]])," ")</f>
        <v xml:space="preserve"> </v>
      </c>
      <c r="AA1006" s="12"/>
      <c r="AB1006" s="38">
        <v>83561775</v>
      </c>
      <c r="AC1006" s="37">
        <v>0.02</v>
      </c>
      <c r="AD1006" s="38">
        <f t="shared" si="16"/>
        <v>1671235.5</v>
      </c>
      <c r="AE1006" s="12"/>
      <c r="AF1006" s="12">
        <f>COUNTIF($A$20:A1006,A1006)</f>
        <v>14</v>
      </c>
      <c r="AG1006" s="38">
        <v>83561775</v>
      </c>
      <c r="AH1006" s="38">
        <f>Tabla4[[#This Row],[VALOR CONTRAPARTIDA]]+Tabla4[[#This Row],[TOTAL APORTES ICBF]]</f>
        <v>85233010.5</v>
      </c>
      <c r="AI1006" s="35"/>
      <c r="AJ1006" s="38"/>
      <c r="AK1006" s="38"/>
      <c r="AL1006" s="23"/>
      <c r="AM1006" s="35">
        <f>VLOOKUP(Tabla4[[#This Row],[SERVICIO 2025]],$J$2:$V$14,5,0)*Tabla4[[#This Row],[TOTAL COBERTURA]]</f>
        <v>2570920</v>
      </c>
      <c r="AN1006" s="35">
        <f>VLOOKUP(Tabla4[[#This Row],[SERVICIO 2025]],$J$2:$V$14,6,0)*Tabla4[[#This Row],[TOTAL COBERTURA]]</f>
        <v>2081255</v>
      </c>
      <c r="AO1006" s="35">
        <f>VLOOKUP(Tabla4[[#This Row],[SERVICIO 2025]],$J$2:$V$14,8,0)*Tabla4[[#This Row],[TOTAL COBERTURA]]</f>
        <v>0</v>
      </c>
      <c r="AP1006" s="35">
        <f>VLOOKUP(Tabla4[[#This Row],[SERVICIO 2025]],$J$2:$V$14,3,0)*Tabla4[[#This Row],[TOTAL COBERTURA]]*8</f>
        <v>78909600</v>
      </c>
      <c r="AQ1006" s="35"/>
      <c r="AR1006" s="35">
        <f>Tabla4[[#This Row],[VALOR FASE PREPARATORIA DE ALISTAMIENTO]]+Tabla4[[#This Row],[VALOR FASE PREPARATORIA DE CIERRE]]+Tabla4[[#This Row],[DOTACIÓN ÚNICA]]+Tabla4[[#This Row],[VALOR ATENCIÓN]]+Tabla4[[#This Row],[VALOR RACION PREPARADA]]</f>
        <v>83561775</v>
      </c>
      <c r="AS1006" s="35" t="str">
        <f>+IF(Tabla4[[#This Row],[AGRUPACIONES]]=1,SUMIFS(Tabla4[VALOR TOTAL],Tabla4[ZONA DEFINITIVO],Tabla4[[#This Row],[ZONA DEFINITIVO]])," ")</f>
        <v xml:space="preserve"> </v>
      </c>
      <c r="AT1006" s="27">
        <f>(VLOOKUP(Tabla4[[#This Row],[SERVICIO 2025]],$J$2:$V$14,3,0)*Tabla4[[#This Row],[TOTAL COBERTURA]])+Tabla4[[#This Row],[VALOR FASE PREPARATORIA DE ALISTAMIENTO]]+Tabla4[[#This Row],[DOTACIÓN ÚNICA]]</f>
        <v>12434620</v>
      </c>
      <c r="AU1006" s="35">
        <f>(VLOOKUP(Tabla4[[#This Row],[SERVICIO 2025]],$J$2:$V$14,3,0)*Tabla4[[#This Row],[TOTAL COBERTURA]])</f>
        <v>9863700</v>
      </c>
      <c r="AV1006" s="35">
        <f>(VLOOKUP(Tabla4[[#This Row],[SERVICIO 2025]],$J$2:$V$14,3,0)*Tabla4[[#This Row],[TOTAL COBERTURA]])</f>
        <v>9863700</v>
      </c>
      <c r="AW1006" s="35">
        <f>(VLOOKUP(Tabla4[[#This Row],[SERVICIO 2025]],$J$2:$V$14,3,0)*Tabla4[[#This Row],[TOTAL COBERTURA]])</f>
        <v>9863700</v>
      </c>
      <c r="AX1006" s="35">
        <f>(VLOOKUP(Tabla4[[#This Row],[SERVICIO 2025]],$J$2:$V$14,3,0)*Tabla4[[#This Row],[TOTAL COBERTURA]])</f>
        <v>9863700</v>
      </c>
      <c r="AY1006" s="35">
        <f>(VLOOKUP(Tabla4[[#This Row],[SERVICIO 2025]],$J$2:$V$14,3,0)*Tabla4[[#This Row],[TOTAL COBERTURA]])</f>
        <v>9863700</v>
      </c>
      <c r="AZ1006" s="35">
        <f>(VLOOKUP(Tabla4[[#This Row],[SERVICIO 2025]],$J$2:$V$14,3,0)*Tabla4[[#This Row],[TOTAL COBERTURA]])</f>
        <v>9863700</v>
      </c>
      <c r="BA1006" s="35">
        <f>(VLOOKUP(Tabla4[[#This Row],[SERVICIO 2025]],$J$2:$V$14,3,0)*Tabla4[[#This Row],[TOTAL COBERTURA]])+Tabla4[[#This Row],[VALOR FASE PREPARATORIA DE CIERRE]]</f>
        <v>11944955</v>
      </c>
      <c r="BB1006" s="35">
        <f>SUM(Tabla4[[#This Row],[DESEMBOLSO 1]:[DESEMBOLSO 8]])</f>
        <v>83561775</v>
      </c>
      <c r="BC1006" s="35"/>
      <c r="BD1006" s="47" t="s">
        <v>97</v>
      </c>
      <c r="BE1006" s="12" t="b">
        <f>EXACT(Tabla4[[#This Row],[VALOR ATENCIÓN (8 MESES)]],Tabla4[[#This Row],[VALOR TOTAL]])</f>
        <v>1</v>
      </c>
      <c r="BF1006" s="23">
        <f>Tabla4[[#This Row],[VALOR ATENCIÓN (8 MESES)]]-Tabla4[[#This Row],[VALOR TOTAL]]</f>
        <v>0</v>
      </c>
      <c r="BG1006" s="12" t="b">
        <f>EXACT(Tabla4[[#This Row],[TOTAL DESEMBOLSOS]],Tabla4[[#This Row],[VALOR ATENCIÓN (8 MESES)]])</f>
        <v>1</v>
      </c>
      <c r="BH1006" s="29">
        <f>Tabla4[[#This Row],[TOTAL DESEMBOLSOS]]-Tabla4[[#This Row],[VALOR ATENCIÓN (8 MESES)]]</f>
        <v>0</v>
      </c>
      <c r="BI1006" t="s">
        <v>98</v>
      </c>
    </row>
    <row r="1007" spans="1:61">
      <c r="A1007" s="13">
        <v>1996</v>
      </c>
      <c r="B1007" s="13" t="s">
        <v>2199</v>
      </c>
      <c r="C1007" s="12" t="s">
        <v>87</v>
      </c>
      <c r="D1007" s="12" t="s">
        <v>88</v>
      </c>
      <c r="E1007" s="12" t="s">
        <v>2200</v>
      </c>
      <c r="F1007" s="12" t="s">
        <v>14</v>
      </c>
      <c r="G1007" s="12" t="s">
        <v>90</v>
      </c>
      <c r="H1007" s="12" t="s">
        <v>2225</v>
      </c>
      <c r="I1007" s="12">
        <v>566400023795</v>
      </c>
      <c r="J1007" s="12" t="s">
        <v>2226</v>
      </c>
      <c r="K1007" s="12">
        <v>1</v>
      </c>
      <c r="L1007" s="12">
        <v>67</v>
      </c>
      <c r="M1007" s="12"/>
      <c r="N1007" s="13">
        <v>1996</v>
      </c>
      <c r="O1007" s="12" t="s">
        <v>93</v>
      </c>
      <c r="P1007" s="12"/>
      <c r="Q1007" s="12"/>
      <c r="R1007" s="12" t="s">
        <v>94</v>
      </c>
      <c r="S1007" s="12">
        <v>10</v>
      </c>
      <c r="T1007" s="12" t="s">
        <v>2203</v>
      </c>
      <c r="U1007" s="12" t="s">
        <v>2204</v>
      </c>
      <c r="V1007" s="12">
        <f>VLOOKUP(Tabla4[[#This Row],[ZONA DEFINITIVO]],Hoja1!$A$1:$D$121,3,0)</f>
        <v>229146</v>
      </c>
      <c r="W1007" s="12">
        <f>VLOOKUP(Tabla4[[#This Row],[ZONA DEFINITIVO]],Hoja1!$A$1:$D$121,2,0)</f>
        <v>15246</v>
      </c>
      <c r="X1007" s="12">
        <f>VLOOKUP(Tabla4[[#This Row],[ZONA DEFINITIVO]],Hoja1!$A$1:$D$121,4,0)</f>
        <v>88925</v>
      </c>
      <c r="Y1007" s="12" t="str">
        <f>+IF(Tabla4[[#This Row],[AGRUPACIONES]]=1,SUMIFS(Tabla4[UDS],Tabla4[ZONA DEFINITIVO],Tabla4[[#This Row],[ZONA DEFINITIVO]])," ")</f>
        <v xml:space="preserve"> </v>
      </c>
      <c r="Z1007" s="12" t="str">
        <f>+IF(Tabla4[[#This Row],[AGRUPACIONES]]=1,SUMIFS(Tabla4[TOTAL COBERTURA],Tabla4[ZONA DEFINITIVO],Tabla4[[#This Row],[ZONA DEFINITIVO]])," ")</f>
        <v xml:space="preserve"> </v>
      </c>
      <c r="AA1007" s="12"/>
      <c r="AB1007" s="38">
        <v>280652950</v>
      </c>
      <c r="AC1007" s="37">
        <v>0.02</v>
      </c>
      <c r="AD1007" s="38">
        <f t="shared" si="16"/>
        <v>5613059</v>
      </c>
      <c r="AE1007" s="12"/>
      <c r="AF1007" s="12">
        <f>COUNTIF($A$20:A1007,A1007)</f>
        <v>15</v>
      </c>
      <c r="AG1007" s="38">
        <v>280652950</v>
      </c>
      <c r="AH1007" s="38">
        <f>Tabla4[[#This Row],[VALOR CONTRAPARTIDA]]+Tabla4[[#This Row],[TOTAL APORTES ICBF]]</f>
        <v>286266009</v>
      </c>
      <c r="AI1007" s="35"/>
      <c r="AJ1007" s="38"/>
      <c r="AK1007" s="38"/>
      <c r="AL1007" s="23"/>
      <c r="AM1007" s="35">
        <f>VLOOKUP(Tabla4[[#This Row],[SERVICIO 2025]],$J$2:$V$14,5,0)*Tabla4[[#This Row],[TOTAL COBERTURA]]</f>
        <v>5905581</v>
      </c>
      <c r="AN1007" s="35">
        <f>VLOOKUP(Tabla4[[#This Row],[SERVICIO 2025]],$J$2:$V$14,6,0)*Tabla4[[#This Row],[TOTAL COBERTURA]]</f>
        <v>5027881</v>
      </c>
      <c r="AO1007" s="35">
        <f>VLOOKUP(Tabla4[[#This Row],[SERVICIO 2025]],$J$2:$V$14,8,0)*Tabla4[[#This Row],[TOTAL COBERTURA]]</f>
        <v>0</v>
      </c>
      <c r="AP1007" s="35">
        <f>VLOOKUP(Tabla4[[#This Row],[SERVICIO 2025]],$J$2:$V$14,3,0)*Tabla4[[#This Row],[TOTAL COBERTURA]]*8</f>
        <v>269719488</v>
      </c>
      <c r="AQ1007" s="35"/>
      <c r="AR1007" s="35">
        <f>Tabla4[[#This Row],[VALOR FASE PREPARATORIA DE ALISTAMIENTO]]+Tabla4[[#This Row],[VALOR FASE PREPARATORIA DE CIERRE]]+Tabla4[[#This Row],[DOTACIÓN ÚNICA]]+Tabla4[[#This Row],[VALOR ATENCIÓN]]+Tabla4[[#This Row],[VALOR RACION PREPARADA]]</f>
        <v>280652950</v>
      </c>
      <c r="AS1007" s="35" t="str">
        <f>+IF(Tabla4[[#This Row],[AGRUPACIONES]]=1,SUMIFS(Tabla4[VALOR TOTAL],Tabla4[ZONA DEFINITIVO],Tabla4[[#This Row],[ZONA DEFINITIVO]])," ")</f>
        <v xml:space="preserve"> </v>
      </c>
      <c r="AT1007" s="27">
        <f>(VLOOKUP(Tabla4[[#This Row],[SERVICIO 2025]],$J$2:$V$14,3,0)*Tabla4[[#This Row],[TOTAL COBERTURA]])+Tabla4[[#This Row],[VALOR FASE PREPARATORIA DE ALISTAMIENTO]]+Tabla4[[#This Row],[DOTACIÓN ÚNICA]]</f>
        <v>39620517</v>
      </c>
      <c r="AU1007" s="35">
        <f>(VLOOKUP(Tabla4[[#This Row],[SERVICIO 2025]],$J$2:$V$14,3,0)*Tabla4[[#This Row],[TOTAL COBERTURA]])</f>
        <v>33714936</v>
      </c>
      <c r="AV1007" s="35">
        <f>(VLOOKUP(Tabla4[[#This Row],[SERVICIO 2025]],$J$2:$V$14,3,0)*Tabla4[[#This Row],[TOTAL COBERTURA]])</f>
        <v>33714936</v>
      </c>
      <c r="AW1007" s="35">
        <f>(VLOOKUP(Tabla4[[#This Row],[SERVICIO 2025]],$J$2:$V$14,3,0)*Tabla4[[#This Row],[TOTAL COBERTURA]])</f>
        <v>33714936</v>
      </c>
      <c r="AX1007" s="35">
        <f>(VLOOKUP(Tabla4[[#This Row],[SERVICIO 2025]],$J$2:$V$14,3,0)*Tabla4[[#This Row],[TOTAL COBERTURA]])</f>
        <v>33714936</v>
      </c>
      <c r="AY1007" s="35">
        <f>(VLOOKUP(Tabla4[[#This Row],[SERVICIO 2025]],$J$2:$V$14,3,0)*Tabla4[[#This Row],[TOTAL COBERTURA]])</f>
        <v>33714936</v>
      </c>
      <c r="AZ1007" s="35">
        <f>(VLOOKUP(Tabla4[[#This Row],[SERVICIO 2025]],$J$2:$V$14,3,0)*Tabla4[[#This Row],[TOTAL COBERTURA]])</f>
        <v>33714936</v>
      </c>
      <c r="BA1007" s="35">
        <f>(VLOOKUP(Tabla4[[#This Row],[SERVICIO 2025]],$J$2:$V$14,3,0)*Tabla4[[#This Row],[TOTAL COBERTURA]])+Tabla4[[#This Row],[VALOR FASE PREPARATORIA DE CIERRE]]</f>
        <v>38742817</v>
      </c>
      <c r="BB1007" s="35">
        <f>SUM(Tabla4[[#This Row],[DESEMBOLSO 1]:[DESEMBOLSO 8]])</f>
        <v>280652950</v>
      </c>
      <c r="BC1007" s="35">
        <f>VLOOKUP(Tabla4[[#This Row],[SERVICIO 2025]],$J$2:$V$14,10,0)*Tabla4[[#This Row],[TOTAL COBERTURA]]*$W$3</f>
        <v>0</v>
      </c>
      <c r="BD1007" s="47" t="s">
        <v>145</v>
      </c>
      <c r="BE1007" s="12" t="b">
        <f>EXACT(Tabla4[[#This Row],[VALOR ATENCIÓN (8 MESES)]],Tabla4[[#This Row],[VALOR TOTAL]])</f>
        <v>1</v>
      </c>
      <c r="BF1007" s="23">
        <f>Tabla4[[#This Row],[VALOR ATENCIÓN (8 MESES)]]-Tabla4[[#This Row],[VALOR TOTAL]]</f>
        <v>0</v>
      </c>
      <c r="BG1007" s="12" t="b">
        <f>EXACT(Tabla4[[#This Row],[TOTAL DESEMBOLSOS]],Tabla4[[#This Row],[VALOR ATENCIÓN (8 MESES)]])</f>
        <v>1</v>
      </c>
      <c r="BH1007" s="29">
        <f>Tabla4[[#This Row],[TOTAL DESEMBOLSOS]]-Tabla4[[#This Row],[VALOR ATENCIÓN (8 MESES)]]</f>
        <v>0</v>
      </c>
      <c r="BI1007" t="s">
        <v>98</v>
      </c>
    </row>
    <row r="1008" spans="1:61">
      <c r="A1008" s="13">
        <v>1996</v>
      </c>
      <c r="B1008" s="13" t="s">
        <v>2199</v>
      </c>
      <c r="C1008" s="12" t="s">
        <v>87</v>
      </c>
      <c r="D1008" s="12" t="s">
        <v>88</v>
      </c>
      <c r="E1008" s="12" t="s">
        <v>2200</v>
      </c>
      <c r="F1008" s="12" t="s">
        <v>14</v>
      </c>
      <c r="G1008" s="12" t="s">
        <v>90</v>
      </c>
      <c r="H1008" s="12" t="s">
        <v>2227</v>
      </c>
      <c r="I1008" s="12">
        <v>566400023903</v>
      </c>
      <c r="J1008" s="12" t="s">
        <v>1789</v>
      </c>
      <c r="K1008" s="12">
        <v>1</v>
      </c>
      <c r="L1008" s="12">
        <v>25</v>
      </c>
      <c r="M1008" s="12"/>
      <c r="N1008" s="13">
        <v>1996</v>
      </c>
      <c r="O1008" s="12" t="s">
        <v>93</v>
      </c>
      <c r="P1008" s="12"/>
      <c r="Q1008" s="12"/>
      <c r="R1008" s="12" t="s">
        <v>94</v>
      </c>
      <c r="S1008" s="12">
        <v>10</v>
      </c>
      <c r="T1008" s="12" t="s">
        <v>2203</v>
      </c>
      <c r="U1008" s="12" t="s">
        <v>2204</v>
      </c>
      <c r="V1008" s="12">
        <f>VLOOKUP(Tabla4[[#This Row],[ZONA DEFINITIVO]],Hoja1!$A$1:$D$121,3,0)</f>
        <v>229146</v>
      </c>
      <c r="W1008" s="12">
        <f>VLOOKUP(Tabla4[[#This Row],[ZONA DEFINITIVO]],Hoja1!$A$1:$D$121,2,0)</f>
        <v>15246</v>
      </c>
      <c r="X1008" s="12">
        <f>VLOOKUP(Tabla4[[#This Row],[ZONA DEFINITIVO]],Hoja1!$A$1:$D$121,4,0)</f>
        <v>88925</v>
      </c>
      <c r="Y1008" s="12" t="str">
        <f>+IF(Tabla4[[#This Row],[AGRUPACIONES]]=1,SUMIFS(Tabla4[UDS],Tabla4[ZONA DEFINITIVO],Tabla4[[#This Row],[ZONA DEFINITIVO]])," ")</f>
        <v xml:space="preserve"> </v>
      </c>
      <c r="Z1008" s="12" t="str">
        <f>+IF(Tabla4[[#This Row],[AGRUPACIONES]]=1,SUMIFS(Tabla4[TOTAL COBERTURA],Tabla4[ZONA DEFINITIVO],Tabla4[[#This Row],[ZONA DEFINITIVO]])," ")</f>
        <v xml:space="preserve"> </v>
      </c>
      <c r="AA1008" s="12"/>
      <c r="AB1008" s="38">
        <v>104721250</v>
      </c>
      <c r="AC1008" s="37">
        <v>0.02</v>
      </c>
      <c r="AD1008" s="38">
        <f t="shared" si="16"/>
        <v>2094425</v>
      </c>
      <c r="AE1008" s="12"/>
      <c r="AF1008" s="12">
        <f>COUNTIF($A$20:A1008,A1008)</f>
        <v>16</v>
      </c>
      <c r="AG1008" s="38">
        <v>104721250</v>
      </c>
      <c r="AH1008" s="38">
        <f>Tabla4[[#This Row],[VALOR CONTRAPARTIDA]]+Tabla4[[#This Row],[TOTAL APORTES ICBF]]</f>
        <v>106815675</v>
      </c>
      <c r="AI1008" s="35"/>
      <c r="AJ1008" s="38"/>
      <c r="AK1008" s="38"/>
      <c r="AL1008" s="23"/>
      <c r="AM1008" s="35">
        <f>VLOOKUP(Tabla4[[#This Row],[SERVICIO 2025]],$J$2:$V$14,5,0)*Tabla4[[#This Row],[TOTAL COBERTURA]]</f>
        <v>2203575</v>
      </c>
      <c r="AN1008" s="35">
        <f>VLOOKUP(Tabla4[[#This Row],[SERVICIO 2025]],$J$2:$V$14,6,0)*Tabla4[[#This Row],[TOTAL COBERTURA]]</f>
        <v>1876075</v>
      </c>
      <c r="AO1008" s="35">
        <f>VLOOKUP(Tabla4[[#This Row],[SERVICIO 2025]],$J$2:$V$14,8,0)*Tabla4[[#This Row],[TOTAL COBERTURA]]</f>
        <v>0</v>
      </c>
      <c r="AP1008" s="35">
        <f>VLOOKUP(Tabla4[[#This Row],[SERVICIO 2025]],$J$2:$V$14,3,0)*Tabla4[[#This Row],[TOTAL COBERTURA]]*8</f>
        <v>100641600</v>
      </c>
      <c r="AQ1008" s="35"/>
      <c r="AR1008" s="35">
        <f>Tabla4[[#This Row],[VALOR FASE PREPARATORIA DE ALISTAMIENTO]]+Tabla4[[#This Row],[VALOR FASE PREPARATORIA DE CIERRE]]+Tabla4[[#This Row],[DOTACIÓN ÚNICA]]+Tabla4[[#This Row],[VALOR ATENCIÓN]]+Tabla4[[#This Row],[VALOR RACION PREPARADA]]</f>
        <v>104721250</v>
      </c>
      <c r="AS1008" s="35" t="str">
        <f>+IF(Tabla4[[#This Row],[AGRUPACIONES]]=1,SUMIFS(Tabla4[VALOR TOTAL],Tabla4[ZONA DEFINITIVO],Tabla4[[#This Row],[ZONA DEFINITIVO]])," ")</f>
        <v xml:space="preserve"> </v>
      </c>
      <c r="AT1008" s="27">
        <f>(VLOOKUP(Tabla4[[#This Row],[SERVICIO 2025]],$J$2:$V$14,3,0)*Tabla4[[#This Row],[TOTAL COBERTURA]])+Tabla4[[#This Row],[VALOR FASE PREPARATORIA DE ALISTAMIENTO]]+Tabla4[[#This Row],[DOTACIÓN ÚNICA]]</f>
        <v>14783775</v>
      </c>
      <c r="AU1008" s="35">
        <f>(VLOOKUP(Tabla4[[#This Row],[SERVICIO 2025]],$J$2:$V$14,3,0)*Tabla4[[#This Row],[TOTAL COBERTURA]])</f>
        <v>12580200</v>
      </c>
      <c r="AV1008" s="35">
        <f>(VLOOKUP(Tabla4[[#This Row],[SERVICIO 2025]],$J$2:$V$14,3,0)*Tabla4[[#This Row],[TOTAL COBERTURA]])</f>
        <v>12580200</v>
      </c>
      <c r="AW1008" s="35">
        <f>(VLOOKUP(Tabla4[[#This Row],[SERVICIO 2025]],$J$2:$V$14,3,0)*Tabla4[[#This Row],[TOTAL COBERTURA]])</f>
        <v>12580200</v>
      </c>
      <c r="AX1008" s="35">
        <f>(VLOOKUP(Tabla4[[#This Row],[SERVICIO 2025]],$J$2:$V$14,3,0)*Tabla4[[#This Row],[TOTAL COBERTURA]])</f>
        <v>12580200</v>
      </c>
      <c r="AY1008" s="35">
        <f>(VLOOKUP(Tabla4[[#This Row],[SERVICIO 2025]],$J$2:$V$14,3,0)*Tabla4[[#This Row],[TOTAL COBERTURA]])</f>
        <v>12580200</v>
      </c>
      <c r="AZ1008" s="35">
        <f>(VLOOKUP(Tabla4[[#This Row],[SERVICIO 2025]],$J$2:$V$14,3,0)*Tabla4[[#This Row],[TOTAL COBERTURA]])</f>
        <v>12580200</v>
      </c>
      <c r="BA1008" s="35">
        <f>(VLOOKUP(Tabla4[[#This Row],[SERVICIO 2025]],$J$2:$V$14,3,0)*Tabla4[[#This Row],[TOTAL COBERTURA]])+Tabla4[[#This Row],[VALOR FASE PREPARATORIA DE CIERRE]]</f>
        <v>14456275</v>
      </c>
      <c r="BB1008" s="35">
        <f>SUM(Tabla4[[#This Row],[DESEMBOLSO 1]:[DESEMBOLSO 8]])</f>
        <v>104721250</v>
      </c>
      <c r="BC1008" s="35">
        <f>VLOOKUP(Tabla4[[#This Row],[SERVICIO 2025]],$J$2:$V$14,10,0)*Tabla4[[#This Row],[TOTAL COBERTURA]]*$W$3</f>
        <v>0</v>
      </c>
      <c r="BD1008" s="47" t="s">
        <v>145</v>
      </c>
      <c r="BE1008" s="12" t="b">
        <f>EXACT(Tabla4[[#This Row],[VALOR ATENCIÓN (8 MESES)]],Tabla4[[#This Row],[VALOR TOTAL]])</f>
        <v>1</v>
      </c>
      <c r="BF1008" s="23">
        <f>Tabla4[[#This Row],[VALOR ATENCIÓN (8 MESES)]]-Tabla4[[#This Row],[VALOR TOTAL]]</f>
        <v>0</v>
      </c>
      <c r="BG1008" s="12" t="b">
        <f>EXACT(Tabla4[[#This Row],[TOTAL DESEMBOLSOS]],Tabla4[[#This Row],[VALOR ATENCIÓN (8 MESES)]])</f>
        <v>1</v>
      </c>
      <c r="BH1008" s="29">
        <f>Tabla4[[#This Row],[TOTAL DESEMBOLSOS]]-Tabla4[[#This Row],[VALOR ATENCIÓN (8 MESES)]]</f>
        <v>0</v>
      </c>
      <c r="BI1008" t="s">
        <v>98</v>
      </c>
    </row>
    <row r="1009" spans="1:61">
      <c r="A1009" s="13">
        <v>1997</v>
      </c>
      <c r="B1009" s="13" t="s">
        <v>2228</v>
      </c>
      <c r="C1009" s="12" t="s">
        <v>87</v>
      </c>
      <c r="D1009" s="12" t="s">
        <v>462</v>
      </c>
      <c r="E1009" s="12" t="s">
        <v>2229</v>
      </c>
      <c r="F1009" s="12" t="s">
        <v>18</v>
      </c>
      <c r="G1009" s="12" t="s">
        <v>90</v>
      </c>
      <c r="H1009" s="12" t="s">
        <v>2230</v>
      </c>
      <c r="I1009" s="12">
        <v>56651117164</v>
      </c>
      <c r="J1009" s="12" t="s">
        <v>2231</v>
      </c>
      <c r="K1009" s="12">
        <v>1</v>
      </c>
      <c r="L1009" s="12">
        <v>16</v>
      </c>
      <c r="M1009" s="12"/>
      <c r="N1009" s="13">
        <v>1997</v>
      </c>
      <c r="O1009" s="12" t="s">
        <v>93</v>
      </c>
      <c r="P1009" s="12"/>
      <c r="Q1009" s="12"/>
      <c r="R1009" s="12" t="s">
        <v>94</v>
      </c>
      <c r="S1009" s="12">
        <v>10</v>
      </c>
      <c r="T1009" s="12" t="s">
        <v>2232</v>
      </c>
      <c r="U1009" s="12" t="s">
        <v>2233</v>
      </c>
      <c r="V1009" s="12">
        <f>VLOOKUP(Tabla4[[#This Row],[ZONA DEFINITIVO]],Hoja1!$A$1:$D$121,3,0)</f>
        <v>229180</v>
      </c>
      <c r="W1009" s="12">
        <f>VLOOKUP(Tabla4[[#This Row],[ZONA DEFINITIVO]],Hoja1!$A$1:$D$121,2,0)</f>
        <v>15357</v>
      </c>
      <c r="X1009" s="12">
        <f>VLOOKUP(Tabla4[[#This Row],[ZONA DEFINITIVO]],Hoja1!$A$1:$D$121,4,0)</f>
        <v>87925</v>
      </c>
      <c r="Y1009" s="12">
        <f>+IF(Tabla4[[#This Row],[AGRUPACIONES]]=1,SUMIFS(Tabla4[UDS],Tabla4[ZONA DEFINITIVO],Tabla4[[#This Row],[ZONA DEFINITIVO]])," ")</f>
        <v>40</v>
      </c>
      <c r="Z1009" s="12">
        <f>+IF(Tabla4[[#This Row],[AGRUPACIONES]]=1,SUMIFS(Tabla4[TOTAL COBERTURA],Tabla4[ZONA DEFINITIVO],Tabla4[[#This Row],[ZONA DEFINITIVO]])," ")</f>
        <v>856</v>
      </c>
      <c r="AA1009" s="12"/>
      <c r="AB1009" s="38">
        <v>34883088</v>
      </c>
      <c r="AC1009" s="37">
        <v>0.02</v>
      </c>
      <c r="AD1009" s="38">
        <f t="shared" si="16"/>
        <v>697661.76</v>
      </c>
      <c r="AE1009" s="12"/>
      <c r="AF1009" s="12">
        <f>COUNTIF($A$20:A1009,A1009)</f>
        <v>1</v>
      </c>
      <c r="AG1009" s="38">
        <v>34883088</v>
      </c>
      <c r="AH1009" s="38">
        <f>Tabla4[[#This Row],[VALOR CONTRAPARTIDA]]+Tabla4[[#This Row],[TOTAL APORTES ICBF]]</f>
        <v>35580749.759999998</v>
      </c>
      <c r="AI1009" s="35">
        <f>ROUND(+IF(Tabla4[[#This Row],[AGRUPACIONES]]=1,SUMIFS(Tabla4[TOTAL APORTES ICBF],Tabla4[ZONA DEFINITIVO],Tabla4[[#This Row],[ZONA DEFINITIVO]])," "),0)</f>
        <v>2038506008</v>
      </c>
      <c r="AJ1009" s="38">
        <f>ROUND(+IF(Tabla4[[#This Row],[AGRUPACIONES]]=1,SUMIFS(Tabla4[VALOR CONTRAPARTIDA],Tabla4[ZONA DEFINITIVO],Tabla4[[#This Row],[ZONA DEFINITIVO]])," "),0)</f>
        <v>40770120</v>
      </c>
      <c r="AK1009" s="38">
        <f>Tabla4[[#This Row],[TOTAL APORTES ICBF AGRUPADO]]+Tabla4[[#This Row],[TOTAL CONTRAPARTIDA AGRUPADO]]</f>
        <v>2079276128</v>
      </c>
      <c r="AL1009" s="23">
        <f>Tabla4[[#This Row],[TOTAL APORTES ICBF AGRUPADO]]/$AL$18</f>
        <v>1432.0379402880226</v>
      </c>
      <c r="AM1009" s="35">
        <f>VLOOKUP(Tabla4[[#This Row],[SERVICIO 2025]],$J$2:$V$14,5,0)*Tabla4[[#This Row],[TOTAL COBERTURA]]</f>
        <v>790016</v>
      </c>
      <c r="AN1009" s="35">
        <f>VLOOKUP(Tabla4[[#This Row],[SERVICIO 2025]],$J$2:$V$14,6,0)*Tabla4[[#This Row],[TOTAL COBERTURA]]</f>
        <v>656464</v>
      </c>
      <c r="AO1009" s="35">
        <f>VLOOKUP(Tabla4[[#This Row],[SERVICIO 2025]],$J$2:$V$14,8,0)*Tabla4[[#This Row],[TOTAL COBERTURA]]</f>
        <v>465600</v>
      </c>
      <c r="AP1009" s="35">
        <f>VLOOKUP(Tabla4[[#This Row],[SERVICIO 2025]],$J$2:$V$14,3,0)*Tabla4[[#This Row],[TOTAL COBERTURA]]*8</f>
        <v>32971008</v>
      </c>
      <c r="AQ1009" s="35"/>
      <c r="AR1009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009" s="35">
        <f>+IF(Tabla4[[#This Row],[AGRUPACIONES]]=1,SUMIFS(Tabla4[VALOR TOTAL],Tabla4[ZONA DEFINITIVO],Tabla4[[#This Row],[ZONA DEFINITIVO]])," ")</f>
        <v>2038506008</v>
      </c>
      <c r="AT1009" s="27">
        <f>(VLOOKUP(Tabla4[[#This Row],[SERVICIO 2025]],$J$2:$V$14,3,0)*Tabla4[[#This Row],[TOTAL COBERTURA]])+Tabla4[[#This Row],[VALOR FASE PREPARATORIA DE ALISTAMIENTO]]+Tabla4[[#This Row],[DOTACIÓN ÚNICA]]</f>
        <v>5376992</v>
      </c>
      <c r="AU1009" s="35">
        <f>(VLOOKUP(Tabla4[[#This Row],[SERVICIO 2025]],$J$2:$V$14,3,0)*Tabla4[[#This Row],[TOTAL COBERTURA]])</f>
        <v>4121376</v>
      </c>
      <c r="AV1009" s="35">
        <f>(VLOOKUP(Tabla4[[#This Row],[SERVICIO 2025]],$J$2:$V$14,3,0)*Tabla4[[#This Row],[TOTAL COBERTURA]])</f>
        <v>4121376</v>
      </c>
      <c r="AW1009" s="35">
        <f>(VLOOKUP(Tabla4[[#This Row],[SERVICIO 2025]],$J$2:$V$14,3,0)*Tabla4[[#This Row],[TOTAL COBERTURA]])</f>
        <v>4121376</v>
      </c>
      <c r="AX1009" s="35">
        <f>(VLOOKUP(Tabla4[[#This Row],[SERVICIO 2025]],$J$2:$V$14,3,0)*Tabla4[[#This Row],[TOTAL COBERTURA]])</f>
        <v>4121376</v>
      </c>
      <c r="AY1009" s="35">
        <f>(VLOOKUP(Tabla4[[#This Row],[SERVICIO 2025]],$J$2:$V$14,3,0)*Tabla4[[#This Row],[TOTAL COBERTURA]])</f>
        <v>4121376</v>
      </c>
      <c r="AZ1009" s="35">
        <f>(VLOOKUP(Tabla4[[#This Row],[SERVICIO 2025]],$J$2:$V$14,3,0)*Tabla4[[#This Row],[TOTAL COBERTURA]])</f>
        <v>4121376</v>
      </c>
      <c r="BA1009" s="35">
        <f>(VLOOKUP(Tabla4[[#This Row],[SERVICIO 2025]],$J$2:$V$14,3,0)*Tabla4[[#This Row],[TOTAL COBERTURA]])+Tabla4[[#This Row],[VALOR FASE PREPARATORIA DE CIERRE]]</f>
        <v>4777840</v>
      </c>
      <c r="BB1009" s="35">
        <f>SUM(Tabla4[[#This Row],[DESEMBOLSO 1]:[DESEMBOLSO 8]])</f>
        <v>34883088</v>
      </c>
      <c r="BC1009" s="35">
        <f>VLOOKUP(Tabla4[[#This Row],[SERVICIO 2025]],$J$2:$V$14,10,0)*Tabla4[[#This Row],[TOTAL COBERTURA]]*$W$3</f>
        <v>23089024</v>
      </c>
      <c r="BD1009" s="47" t="s">
        <v>211</v>
      </c>
      <c r="BE1009" s="12" t="b">
        <f>EXACT(Tabla4[[#This Row],[VALOR ATENCIÓN (8 MESES)]],Tabla4[[#This Row],[VALOR TOTAL]])</f>
        <v>1</v>
      </c>
      <c r="BF1009" s="23">
        <f>Tabla4[[#This Row],[VALOR ATENCIÓN (8 MESES)]]-Tabla4[[#This Row],[VALOR TOTAL]]</f>
        <v>0</v>
      </c>
      <c r="BG1009" s="12" t="b">
        <f>EXACT(Tabla4[[#This Row],[TOTAL DESEMBOLSOS]],Tabla4[[#This Row],[VALOR ATENCIÓN (8 MESES)]])</f>
        <v>1</v>
      </c>
      <c r="BH1009" s="29">
        <f>Tabla4[[#This Row],[TOTAL DESEMBOLSOS]]-Tabla4[[#This Row],[VALOR ATENCIÓN (8 MESES)]]</f>
        <v>0</v>
      </c>
      <c r="BI1009" t="s">
        <v>98</v>
      </c>
    </row>
    <row r="1010" spans="1:61">
      <c r="A1010" s="13">
        <v>1997</v>
      </c>
      <c r="B1010" s="13" t="s">
        <v>2228</v>
      </c>
      <c r="C1010" s="12" t="s">
        <v>87</v>
      </c>
      <c r="D1010" s="12" t="s">
        <v>462</v>
      </c>
      <c r="E1010" s="12" t="s">
        <v>2229</v>
      </c>
      <c r="F1010" s="12" t="s">
        <v>18</v>
      </c>
      <c r="G1010" s="12" t="s">
        <v>90</v>
      </c>
      <c r="H1010" s="12" t="s">
        <v>2234</v>
      </c>
      <c r="I1010" s="12">
        <v>56651117175</v>
      </c>
      <c r="J1010" s="12" t="s">
        <v>2235</v>
      </c>
      <c r="K1010" s="12">
        <v>1</v>
      </c>
      <c r="L1010" s="12">
        <v>31</v>
      </c>
      <c r="M1010" s="12"/>
      <c r="N1010" s="13">
        <v>1997</v>
      </c>
      <c r="O1010" s="12" t="s">
        <v>93</v>
      </c>
      <c r="P1010" s="12"/>
      <c r="Q1010" s="12"/>
      <c r="R1010" s="12" t="s">
        <v>94</v>
      </c>
      <c r="S1010" s="12">
        <v>10</v>
      </c>
      <c r="T1010" s="12" t="s">
        <v>2232</v>
      </c>
      <c r="U1010" s="12" t="s">
        <v>2233</v>
      </c>
      <c r="V1010" s="12">
        <f>VLOOKUP(Tabla4[[#This Row],[ZONA DEFINITIVO]],Hoja1!$A$1:$D$121,3,0)</f>
        <v>229180</v>
      </c>
      <c r="W1010" s="12">
        <f>VLOOKUP(Tabla4[[#This Row],[ZONA DEFINITIVO]],Hoja1!$A$1:$D$121,2,0)</f>
        <v>15357</v>
      </c>
      <c r="X1010" s="12">
        <f>VLOOKUP(Tabla4[[#This Row],[ZONA DEFINITIVO]],Hoja1!$A$1:$D$121,4,0)</f>
        <v>87925</v>
      </c>
      <c r="Y1010" s="12" t="str">
        <f>+IF(Tabla4[[#This Row],[AGRUPACIONES]]=1,SUMIFS(Tabla4[UDS],Tabla4[ZONA DEFINITIVO],Tabla4[[#This Row],[ZONA DEFINITIVO]])," ")</f>
        <v xml:space="preserve"> </v>
      </c>
      <c r="Z1010" s="12" t="str">
        <f>+IF(Tabla4[[#This Row],[AGRUPACIONES]]=1,SUMIFS(Tabla4[TOTAL COBERTURA],Tabla4[ZONA DEFINITIVO],Tabla4[[#This Row],[ZONA DEFINITIVO]])," ")</f>
        <v xml:space="preserve"> </v>
      </c>
      <c r="AA1010" s="12"/>
      <c r="AB1010" s="38">
        <v>67585983</v>
      </c>
      <c r="AC1010" s="37">
        <v>0.02</v>
      </c>
      <c r="AD1010" s="38">
        <f t="shared" si="16"/>
        <v>1351719.66</v>
      </c>
      <c r="AE1010" s="12"/>
      <c r="AF1010" s="12">
        <f>COUNTIF($A$20:A1010,A1010)</f>
        <v>2</v>
      </c>
      <c r="AG1010" s="38">
        <v>67585983</v>
      </c>
      <c r="AH1010" s="38">
        <f>Tabla4[[#This Row],[VALOR CONTRAPARTIDA]]+Tabla4[[#This Row],[TOTAL APORTES ICBF]]</f>
        <v>68937702.659999996</v>
      </c>
      <c r="AI1010" s="35"/>
      <c r="AJ1010" s="38"/>
      <c r="AK1010" s="38"/>
      <c r="AL1010" s="23"/>
      <c r="AM1010" s="35">
        <f>VLOOKUP(Tabla4[[#This Row],[SERVICIO 2025]],$J$2:$V$14,5,0)*Tabla4[[#This Row],[TOTAL COBERTURA]]</f>
        <v>1530656</v>
      </c>
      <c r="AN1010" s="35">
        <f>VLOOKUP(Tabla4[[#This Row],[SERVICIO 2025]],$J$2:$V$14,6,0)*Tabla4[[#This Row],[TOTAL COBERTURA]]</f>
        <v>1271899</v>
      </c>
      <c r="AO1010" s="35">
        <f>VLOOKUP(Tabla4[[#This Row],[SERVICIO 2025]],$J$2:$V$14,8,0)*Tabla4[[#This Row],[TOTAL COBERTURA]]</f>
        <v>902100</v>
      </c>
      <c r="AP1010" s="35">
        <f>VLOOKUP(Tabla4[[#This Row],[SERVICIO 2025]],$J$2:$V$14,3,0)*Tabla4[[#This Row],[TOTAL COBERTURA]]*8</f>
        <v>63881328</v>
      </c>
      <c r="AQ1010" s="35"/>
      <c r="AR1010" s="35">
        <f>Tabla4[[#This Row],[VALOR FASE PREPARATORIA DE ALISTAMIENTO]]+Tabla4[[#This Row],[VALOR FASE PREPARATORIA DE CIERRE]]+Tabla4[[#This Row],[DOTACIÓN ÚNICA]]+Tabla4[[#This Row],[VALOR ATENCIÓN]]+Tabla4[[#This Row],[VALOR RACION PREPARADA]]</f>
        <v>67585983</v>
      </c>
      <c r="AS1010" s="35" t="str">
        <f>+IF(Tabla4[[#This Row],[AGRUPACIONES]]=1,SUMIFS(Tabla4[VALOR TOTAL],Tabla4[ZONA DEFINITIVO],Tabla4[[#This Row],[ZONA DEFINITIVO]])," ")</f>
        <v xml:space="preserve"> </v>
      </c>
      <c r="AT1010" s="27">
        <f>(VLOOKUP(Tabla4[[#This Row],[SERVICIO 2025]],$J$2:$V$14,3,0)*Tabla4[[#This Row],[TOTAL COBERTURA]])+Tabla4[[#This Row],[VALOR FASE PREPARATORIA DE ALISTAMIENTO]]+Tabla4[[#This Row],[DOTACIÓN ÚNICA]]</f>
        <v>10417922</v>
      </c>
      <c r="AU1010" s="35">
        <f>(VLOOKUP(Tabla4[[#This Row],[SERVICIO 2025]],$J$2:$V$14,3,0)*Tabla4[[#This Row],[TOTAL COBERTURA]])</f>
        <v>7985166</v>
      </c>
      <c r="AV1010" s="35">
        <f>(VLOOKUP(Tabla4[[#This Row],[SERVICIO 2025]],$J$2:$V$14,3,0)*Tabla4[[#This Row],[TOTAL COBERTURA]])</f>
        <v>7985166</v>
      </c>
      <c r="AW1010" s="35">
        <f>(VLOOKUP(Tabla4[[#This Row],[SERVICIO 2025]],$J$2:$V$14,3,0)*Tabla4[[#This Row],[TOTAL COBERTURA]])</f>
        <v>7985166</v>
      </c>
      <c r="AX1010" s="35">
        <f>(VLOOKUP(Tabla4[[#This Row],[SERVICIO 2025]],$J$2:$V$14,3,0)*Tabla4[[#This Row],[TOTAL COBERTURA]])</f>
        <v>7985166</v>
      </c>
      <c r="AY1010" s="35">
        <f>(VLOOKUP(Tabla4[[#This Row],[SERVICIO 2025]],$J$2:$V$14,3,0)*Tabla4[[#This Row],[TOTAL COBERTURA]])</f>
        <v>7985166</v>
      </c>
      <c r="AZ1010" s="35">
        <f>(VLOOKUP(Tabla4[[#This Row],[SERVICIO 2025]],$J$2:$V$14,3,0)*Tabla4[[#This Row],[TOTAL COBERTURA]])</f>
        <v>7985166</v>
      </c>
      <c r="BA1010" s="35">
        <f>(VLOOKUP(Tabla4[[#This Row],[SERVICIO 2025]],$J$2:$V$14,3,0)*Tabla4[[#This Row],[TOTAL COBERTURA]])+Tabla4[[#This Row],[VALOR FASE PREPARATORIA DE CIERRE]]</f>
        <v>9257065</v>
      </c>
      <c r="BB1010" s="35">
        <f>SUM(Tabla4[[#This Row],[DESEMBOLSO 1]:[DESEMBOLSO 8]])</f>
        <v>67585983</v>
      </c>
      <c r="BC1010" s="35">
        <f>VLOOKUP(Tabla4[[#This Row],[SERVICIO 2025]],$J$2:$V$14,10,0)*Tabla4[[#This Row],[TOTAL COBERTURA]]*$W$3</f>
        <v>44734984</v>
      </c>
      <c r="BD1010" s="47" t="s">
        <v>211</v>
      </c>
      <c r="BE1010" s="12" t="b">
        <f>EXACT(Tabla4[[#This Row],[VALOR ATENCIÓN (8 MESES)]],Tabla4[[#This Row],[VALOR TOTAL]])</f>
        <v>1</v>
      </c>
      <c r="BF1010" s="23">
        <f>Tabla4[[#This Row],[VALOR ATENCIÓN (8 MESES)]]-Tabla4[[#This Row],[VALOR TOTAL]]</f>
        <v>0</v>
      </c>
      <c r="BG1010" s="12" t="b">
        <f>EXACT(Tabla4[[#This Row],[TOTAL DESEMBOLSOS]],Tabla4[[#This Row],[VALOR ATENCIÓN (8 MESES)]])</f>
        <v>1</v>
      </c>
      <c r="BH1010" s="29">
        <f>Tabla4[[#This Row],[TOTAL DESEMBOLSOS]]-Tabla4[[#This Row],[VALOR ATENCIÓN (8 MESES)]]</f>
        <v>0</v>
      </c>
      <c r="BI1010" t="s">
        <v>98</v>
      </c>
    </row>
    <row r="1011" spans="1:61">
      <c r="A1011" s="13">
        <v>1997</v>
      </c>
      <c r="B1011" s="13" t="s">
        <v>2228</v>
      </c>
      <c r="C1011" s="12" t="s">
        <v>87</v>
      </c>
      <c r="D1011" s="12" t="s">
        <v>462</v>
      </c>
      <c r="E1011" s="12" t="s">
        <v>2229</v>
      </c>
      <c r="F1011" s="12" t="s">
        <v>18</v>
      </c>
      <c r="G1011" s="12" t="s">
        <v>90</v>
      </c>
      <c r="H1011" s="12" t="s">
        <v>2236</v>
      </c>
      <c r="I1011" s="12">
        <v>56651117180</v>
      </c>
      <c r="J1011" s="12" t="s">
        <v>2237</v>
      </c>
      <c r="K1011" s="12">
        <v>1</v>
      </c>
      <c r="L1011" s="12">
        <v>15</v>
      </c>
      <c r="M1011" s="12"/>
      <c r="N1011" s="13">
        <v>1997</v>
      </c>
      <c r="O1011" s="12" t="s">
        <v>93</v>
      </c>
      <c r="P1011" s="12"/>
      <c r="Q1011" s="12"/>
      <c r="R1011" s="12" t="s">
        <v>94</v>
      </c>
      <c r="S1011" s="12">
        <v>10</v>
      </c>
      <c r="T1011" s="12" t="s">
        <v>2232</v>
      </c>
      <c r="U1011" s="12" t="s">
        <v>2233</v>
      </c>
      <c r="V1011" s="12">
        <f>VLOOKUP(Tabla4[[#This Row],[ZONA DEFINITIVO]],Hoja1!$A$1:$D$121,3,0)</f>
        <v>229180</v>
      </c>
      <c r="W1011" s="12">
        <f>VLOOKUP(Tabla4[[#This Row],[ZONA DEFINITIVO]],Hoja1!$A$1:$D$121,2,0)</f>
        <v>15357</v>
      </c>
      <c r="X1011" s="12">
        <f>VLOOKUP(Tabla4[[#This Row],[ZONA DEFINITIVO]],Hoja1!$A$1:$D$121,4,0)</f>
        <v>87925</v>
      </c>
      <c r="Y1011" s="12" t="str">
        <f>+IF(Tabla4[[#This Row],[AGRUPACIONES]]=1,SUMIFS(Tabla4[UDS],Tabla4[ZONA DEFINITIVO],Tabla4[[#This Row],[ZONA DEFINITIVO]])," ")</f>
        <v xml:space="preserve"> </v>
      </c>
      <c r="Z1011" s="12" t="str">
        <f>+IF(Tabla4[[#This Row],[AGRUPACIONES]]=1,SUMIFS(Tabla4[TOTAL COBERTURA],Tabla4[ZONA DEFINITIVO],Tabla4[[#This Row],[ZONA DEFINITIVO]])," ")</f>
        <v xml:space="preserve"> </v>
      </c>
      <c r="AA1011" s="12"/>
      <c r="AB1011" s="38">
        <v>32702895</v>
      </c>
      <c r="AC1011" s="37">
        <v>0.02</v>
      </c>
      <c r="AD1011" s="38">
        <f t="shared" si="16"/>
        <v>654057.9</v>
      </c>
      <c r="AE1011" s="12"/>
      <c r="AF1011" s="12">
        <f>COUNTIF($A$20:A1011,A1011)</f>
        <v>3</v>
      </c>
      <c r="AG1011" s="38">
        <v>32702895</v>
      </c>
      <c r="AH1011" s="38">
        <f>Tabla4[[#This Row],[VALOR CONTRAPARTIDA]]+Tabla4[[#This Row],[TOTAL APORTES ICBF]]</f>
        <v>33356952.899999999</v>
      </c>
      <c r="AI1011" s="35"/>
      <c r="AJ1011" s="38"/>
      <c r="AK1011" s="38"/>
      <c r="AL1011" s="23"/>
      <c r="AM1011" s="35">
        <f>VLOOKUP(Tabla4[[#This Row],[SERVICIO 2025]],$J$2:$V$14,5,0)*Tabla4[[#This Row],[TOTAL COBERTURA]]</f>
        <v>740640</v>
      </c>
      <c r="AN1011" s="35">
        <f>VLOOKUP(Tabla4[[#This Row],[SERVICIO 2025]],$J$2:$V$14,6,0)*Tabla4[[#This Row],[TOTAL COBERTURA]]</f>
        <v>615435</v>
      </c>
      <c r="AO1011" s="35">
        <f>VLOOKUP(Tabla4[[#This Row],[SERVICIO 2025]],$J$2:$V$14,8,0)*Tabla4[[#This Row],[TOTAL COBERTURA]]</f>
        <v>436500</v>
      </c>
      <c r="AP1011" s="35">
        <f>VLOOKUP(Tabla4[[#This Row],[SERVICIO 2025]],$J$2:$V$14,3,0)*Tabla4[[#This Row],[TOTAL COBERTURA]]*8</f>
        <v>30910320</v>
      </c>
      <c r="AQ1011" s="35"/>
      <c r="AR1011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011" s="35" t="str">
        <f>+IF(Tabla4[[#This Row],[AGRUPACIONES]]=1,SUMIFS(Tabla4[VALOR TOTAL],Tabla4[ZONA DEFINITIVO],Tabla4[[#This Row],[ZONA DEFINITIVO]])," ")</f>
        <v xml:space="preserve"> </v>
      </c>
      <c r="AT1011" s="27">
        <f>(VLOOKUP(Tabla4[[#This Row],[SERVICIO 2025]],$J$2:$V$14,3,0)*Tabla4[[#This Row],[TOTAL COBERTURA]])+Tabla4[[#This Row],[VALOR FASE PREPARATORIA DE ALISTAMIENTO]]+Tabla4[[#This Row],[DOTACIÓN ÚNICA]]</f>
        <v>5040930</v>
      </c>
      <c r="AU1011" s="35">
        <f>(VLOOKUP(Tabla4[[#This Row],[SERVICIO 2025]],$J$2:$V$14,3,0)*Tabla4[[#This Row],[TOTAL COBERTURA]])</f>
        <v>3863790</v>
      </c>
      <c r="AV1011" s="35">
        <f>(VLOOKUP(Tabla4[[#This Row],[SERVICIO 2025]],$J$2:$V$14,3,0)*Tabla4[[#This Row],[TOTAL COBERTURA]])</f>
        <v>3863790</v>
      </c>
      <c r="AW1011" s="35">
        <f>(VLOOKUP(Tabla4[[#This Row],[SERVICIO 2025]],$J$2:$V$14,3,0)*Tabla4[[#This Row],[TOTAL COBERTURA]])</f>
        <v>3863790</v>
      </c>
      <c r="AX1011" s="35">
        <f>(VLOOKUP(Tabla4[[#This Row],[SERVICIO 2025]],$J$2:$V$14,3,0)*Tabla4[[#This Row],[TOTAL COBERTURA]])</f>
        <v>3863790</v>
      </c>
      <c r="AY1011" s="35">
        <f>(VLOOKUP(Tabla4[[#This Row],[SERVICIO 2025]],$J$2:$V$14,3,0)*Tabla4[[#This Row],[TOTAL COBERTURA]])</f>
        <v>3863790</v>
      </c>
      <c r="AZ1011" s="35">
        <f>(VLOOKUP(Tabla4[[#This Row],[SERVICIO 2025]],$J$2:$V$14,3,0)*Tabla4[[#This Row],[TOTAL COBERTURA]])</f>
        <v>3863790</v>
      </c>
      <c r="BA1011" s="35">
        <f>(VLOOKUP(Tabla4[[#This Row],[SERVICIO 2025]],$J$2:$V$14,3,0)*Tabla4[[#This Row],[TOTAL COBERTURA]])+Tabla4[[#This Row],[VALOR FASE PREPARATORIA DE CIERRE]]</f>
        <v>4479225</v>
      </c>
      <c r="BB1011" s="35">
        <f>SUM(Tabla4[[#This Row],[DESEMBOLSO 1]:[DESEMBOLSO 8]])</f>
        <v>32702895</v>
      </c>
      <c r="BC1011" s="35">
        <f>VLOOKUP(Tabla4[[#This Row],[SERVICIO 2025]],$J$2:$V$14,10,0)*Tabla4[[#This Row],[TOTAL COBERTURA]]*$W$3</f>
        <v>21645960</v>
      </c>
      <c r="BD1011" s="47" t="s">
        <v>211</v>
      </c>
      <c r="BE1011" s="12" t="b">
        <f>EXACT(Tabla4[[#This Row],[VALOR ATENCIÓN (8 MESES)]],Tabla4[[#This Row],[VALOR TOTAL]])</f>
        <v>1</v>
      </c>
      <c r="BF1011" s="23">
        <f>Tabla4[[#This Row],[VALOR ATENCIÓN (8 MESES)]]-Tabla4[[#This Row],[VALOR TOTAL]]</f>
        <v>0</v>
      </c>
      <c r="BG1011" s="12" t="b">
        <f>EXACT(Tabla4[[#This Row],[TOTAL DESEMBOLSOS]],Tabla4[[#This Row],[VALOR ATENCIÓN (8 MESES)]])</f>
        <v>1</v>
      </c>
      <c r="BH1011" s="29">
        <f>Tabla4[[#This Row],[TOTAL DESEMBOLSOS]]-Tabla4[[#This Row],[VALOR ATENCIÓN (8 MESES)]]</f>
        <v>0</v>
      </c>
      <c r="BI1011" t="s">
        <v>98</v>
      </c>
    </row>
    <row r="1012" spans="1:61">
      <c r="A1012" s="13">
        <v>1997</v>
      </c>
      <c r="B1012" s="13" t="s">
        <v>2228</v>
      </c>
      <c r="C1012" s="12" t="s">
        <v>87</v>
      </c>
      <c r="D1012" s="12" t="s">
        <v>462</v>
      </c>
      <c r="E1012" s="12" t="s">
        <v>2229</v>
      </c>
      <c r="F1012" s="12" t="s">
        <v>18</v>
      </c>
      <c r="G1012" s="12" t="s">
        <v>90</v>
      </c>
      <c r="H1012" s="12" t="s">
        <v>2238</v>
      </c>
      <c r="I1012" s="12">
        <v>56651117182</v>
      </c>
      <c r="J1012" s="12" t="s">
        <v>2239</v>
      </c>
      <c r="K1012" s="12">
        <v>1</v>
      </c>
      <c r="L1012" s="12">
        <v>16</v>
      </c>
      <c r="M1012" s="12"/>
      <c r="N1012" s="13">
        <v>1997</v>
      </c>
      <c r="O1012" s="12" t="s">
        <v>93</v>
      </c>
      <c r="P1012" s="12"/>
      <c r="Q1012" s="12"/>
      <c r="R1012" s="12" t="s">
        <v>94</v>
      </c>
      <c r="S1012" s="12">
        <v>10</v>
      </c>
      <c r="T1012" s="12" t="s">
        <v>2232</v>
      </c>
      <c r="U1012" s="12" t="s">
        <v>2233</v>
      </c>
      <c r="V1012" s="12">
        <f>VLOOKUP(Tabla4[[#This Row],[ZONA DEFINITIVO]],Hoja1!$A$1:$D$121,3,0)</f>
        <v>229180</v>
      </c>
      <c r="W1012" s="12">
        <f>VLOOKUP(Tabla4[[#This Row],[ZONA DEFINITIVO]],Hoja1!$A$1:$D$121,2,0)</f>
        <v>15357</v>
      </c>
      <c r="X1012" s="12">
        <f>VLOOKUP(Tabla4[[#This Row],[ZONA DEFINITIVO]],Hoja1!$A$1:$D$121,4,0)</f>
        <v>87925</v>
      </c>
      <c r="Y1012" s="12" t="str">
        <f>+IF(Tabla4[[#This Row],[AGRUPACIONES]]=1,SUMIFS(Tabla4[UDS],Tabla4[ZONA DEFINITIVO],Tabla4[[#This Row],[ZONA DEFINITIVO]])," ")</f>
        <v xml:space="preserve"> </v>
      </c>
      <c r="Z1012" s="12" t="str">
        <f>+IF(Tabla4[[#This Row],[AGRUPACIONES]]=1,SUMIFS(Tabla4[TOTAL COBERTURA],Tabla4[ZONA DEFINITIVO],Tabla4[[#This Row],[ZONA DEFINITIVO]])," ")</f>
        <v xml:space="preserve"> </v>
      </c>
      <c r="AA1012" s="12"/>
      <c r="AB1012" s="38">
        <v>34883088</v>
      </c>
      <c r="AC1012" s="37">
        <v>0.02</v>
      </c>
      <c r="AD1012" s="38">
        <f t="shared" si="16"/>
        <v>697661.76</v>
      </c>
      <c r="AE1012" s="12"/>
      <c r="AF1012" s="12">
        <f>COUNTIF($A$20:A1012,A1012)</f>
        <v>4</v>
      </c>
      <c r="AG1012" s="38">
        <v>34883088</v>
      </c>
      <c r="AH1012" s="38">
        <f>Tabla4[[#This Row],[VALOR CONTRAPARTIDA]]+Tabla4[[#This Row],[TOTAL APORTES ICBF]]</f>
        <v>35580749.759999998</v>
      </c>
      <c r="AI1012" s="35"/>
      <c r="AJ1012" s="38"/>
      <c r="AK1012" s="38"/>
      <c r="AL1012" s="23"/>
      <c r="AM1012" s="35">
        <f>VLOOKUP(Tabla4[[#This Row],[SERVICIO 2025]],$J$2:$V$14,5,0)*Tabla4[[#This Row],[TOTAL COBERTURA]]</f>
        <v>790016</v>
      </c>
      <c r="AN1012" s="35">
        <f>VLOOKUP(Tabla4[[#This Row],[SERVICIO 2025]],$J$2:$V$14,6,0)*Tabla4[[#This Row],[TOTAL COBERTURA]]</f>
        <v>656464</v>
      </c>
      <c r="AO1012" s="35">
        <f>VLOOKUP(Tabla4[[#This Row],[SERVICIO 2025]],$J$2:$V$14,8,0)*Tabla4[[#This Row],[TOTAL COBERTURA]]</f>
        <v>465600</v>
      </c>
      <c r="AP1012" s="35">
        <f>VLOOKUP(Tabla4[[#This Row],[SERVICIO 2025]],$J$2:$V$14,3,0)*Tabla4[[#This Row],[TOTAL COBERTURA]]*8</f>
        <v>32971008</v>
      </c>
      <c r="AQ1012" s="35"/>
      <c r="AR1012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012" s="35" t="str">
        <f>+IF(Tabla4[[#This Row],[AGRUPACIONES]]=1,SUMIFS(Tabla4[VALOR TOTAL],Tabla4[ZONA DEFINITIVO],Tabla4[[#This Row],[ZONA DEFINITIVO]])," ")</f>
        <v xml:space="preserve"> </v>
      </c>
      <c r="AT1012" s="27">
        <f>(VLOOKUP(Tabla4[[#This Row],[SERVICIO 2025]],$J$2:$V$14,3,0)*Tabla4[[#This Row],[TOTAL COBERTURA]])+Tabla4[[#This Row],[VALOR FASE PREPARATORIA DE ALISTAMIENTO]]+Tabla4[[#This Row],[DOTACIÓN ÚNICA]]</f>
        <v>5376992</v>
      </c>
      <c r="AU1012" s="35">
        <f>(VLOOKUP(Tabla4[[#This Row],[SERVICIO 2025]],$J$2:$V$14,3,0)*Tabla4[[#This Row],[TOTAL COBERTURA]])</f>
        <v>4121376</v>
      </c>
      <c r="AV1012" s="35">
        <f>(VLOOKUP(Tabla4[[#This Row],[SERVICIO 2025]],$J$2:$V$14,3,0)*Tabla4[[#This Row],[TOTAL COBERTURA]])</f>
        <v>4121376</v>
      </c>
      <c r="AW1012" s="35">
        <f>(VLOOKUP(Tabla4[[#This Row],[SERVICIO 2025]],$J$2:$V$14,3,0)*Tabla4[[#This Row],[TOTAL COBERTURA]])</f>
        <v>4121376</v>
      </c>
      <c r="AX1012" s="35">
        <f>(VLOOKUP(Tabla4[[#This Row],[SERVICIO 2025]],$J$2:$V$14,3,0)*Tabla4[[#This Row],[TOTAL COBERTURA]])</f>
        <v>4121376</v>
      </c>
      <c r="AY1012" s="35">
        <f>(VLOOKUP(Tabla4[[#This Row],[SERVICIO 2025]],$J$2:$V$14,3,0)*Tabla4[[#This Row],[TOTAL COBERTURA]])</f>
        <v>4121376</v>
      </c>
      <c r="AZ1012" s="35">
        <f>(VLOOKUP(Tabla4[[#This Row],[SERVICIO 2025]],$J$2:$V$14,3,0)*Tabla4[[#This Row],[TOTAL COBERTURA]])</f>
        <v>4121376</v>
      </c>
      <c r="BA1012" s="35">
        <f>(VLOOKUP(Tabla4[[#This Row],[SERVICIO 2025]],$J$2:$V$14,3,0)*Tabla4[[#This Row],[TOTAL COBERTURA]])+Tabla4[[#This Row],[VALOR FASE PREPARATORIA DE CIERRE]]</f>
        <v>4777840</v>
      </c>
      <c r="BB1012" s="35">
        <f>SUM(Tabla4[[#This Row],[DESEMBOLSO 1]:[DESEMBOLSO 8]])</f>
        <v>34883088</v>
      </c>
      <c r="BC1012" s="35">
        <f>VLOOKUP(Tabla4[[#This Row],[SERVICIO 2025]],$J$2:$V$14,10,0)*Tabla4[[#This Row],[TOTAL COBERTURA]]*$W$3</f>
        <v>23089024</v>
      </c>
      <c r="BD1012" s="47" t="s">
        <v>211</v>
      </c>
      <c r="BE1012" s="12" t="b">
        <f>EXACT(Tabla4[[#This Row],[VALOR ATENCIÓN (8 MESES)]],Tabla4[[#This Row],[VALOR TOTAL]])</f>
        <v>1</v>
      </c>
      <c r="BF1012" s="23">
        <f>Tabla4[[#This Row],[VALOR ATENCIÓN (8 MESES)]]-Tabla4[[#This Row],[VALOR TOTAL]]</f>
        <v>0</v>
      </c>
      <c r="BG1012" s="12" t="b">
        <f>EXACT(Tabla4[[#This Row],[TOTAL DESEMBOLSOS]],Tabla4[[#This Row],[VALOR ATENCIÓN (8 MESES)]])</f>
        <v>1</v>
      </c>
      <c r="BH1012" s="29">
        <f>Tabla4[[#This Row],[TOTAL DESEMBOLSOS]]-Tabla4[[#This Row],[VALOR ATENCIÓN (8 MESES)]]</f>
        <v>0</v>
      </c>
      <c r="BI1012" t="s">
        <v>98</v>
      </c>
    </row>
    <row r="1013" spans="1:61">
      <c r="A1013" s="13">
        <v>1997</v>
      </c>
      <c r="B1013" s="13" t="s">
        <v>2228</v>
      </c>
      <c r="C1013" s="12" t="s">
        <v>87</v>
      </c>
      <c r="D1013" s="12" t="s">
        <v>462</v>
      </c>
      <c r="E1013" s="12" t="s">
        <v>2229</v>
      </c>
      <c r="F1013" s="12" t="s">
        <v>18</v>
      </c>
      <c r="G1013" s="12" t="s">
        <v>90</v>
      </c>
      <c r="H1013" s="12" t="s">
        <v>2240</v>
      </c>
      <c r="I1013" s="12">
        <v>56651117185</v>
      </c>
      <c r="J1013" s="12" t="s">
        <v>2241</v>
      </c>
      <c r="K1013" s="12">
        <v>1</v>
      </c>
      <c r="L1013" s="12">
        <v>19</v>
      </c>
      <c r="M1013" s="12"/>
      <c r="N1013" s="13">
        <v>1997</v>
      </c>
      <c r="O1013" s="12" t="s">
        <v>93</v>
      </c>
      <c r="P1013" s="12"/>
      <c r="Q1013" s="12"/>
      <c r="R1013" s="12" t="s">
        <v>94</v>
      </c>
      <c r="S1013" s="12">
        <v>10</v>
      </c>
      <c r="T1013" s="12" t="s">
        <v>2232</v>
      </c>
      <c r="U1013" s="12" t="s">
        <v>2233</v>
      </c>
      <c r="V1013" s="12">
        <f>VLOOKUP(Tabla4[[#This Row],[ZONA DEFINITIVO]],Hoja1!$A$1:$D$121,3,0)</f>
        <v>229180</v>
      </c>
      <c r="W1013" s="12">
        <f>VLOOKUP(Tabla4[[#This Row],[ZONA DEFINITIVO]],Hoja1!$A$1:$D$121,2,0)</f>
        <v>15357</v>
      </c>
      <c r="X1013" s="12">
        <f>VLOOKUP(Tabla4[[#This Row],[ZONA DEFINITIVO]],Hoja1!$A$1:$D$121,4,0)</f>
        <v>87925</v>
      </c>
      <c r="Y1013" s="12" t="str">
        <f>+IF(Tabla4[[#This Row],[AGRUPACIONES]]=1,SUMIFS(Tabla4[UDS],Tabla4[ZONA DEFINITIVO],Tabla4[[#This Row],[ZONA DEFINITIVO]])," ")</f>
        <v xml:space="preserve"> </v>
      </c>
      <c r="Z1013" s="12" t="str">
        <f>+IF(Tabla4[[#This Row],[AGRUPACIONES]]=1,SUMIFS(Tabla4[TOTAL COBERTURA],Tabla4[ZONA DEFINITIVO],Tabla4[[#This Row],[ZONA DEFINITIVO]])," ")</f>
        <v xml:space="preserve"> </v>
      </c>
      <c r="AA1013" s="12"/>
      <c r="AB1013" s="38">
        <v>41423667</v>
      </c>
      <c r="AC1013" s="37">
        <v>0.02</v>
      </c>
      <c r="AD1013" s="38">
        <f t="shared" si="16"/>
        <v>828473.34</v>
      </c>
      <c r="AE1013" s="12"/>
      <c r="AF1013" s="12">
        <f>COUNTIF($A$20:A1013,A1013)</f>
        <v>5</v>
      </c>
      <c r="AG1013" s="38">
        <v>41423667</v>
      </c>
      <c r="AH1013" s="38">
        <f>Tabla4[[#This Row],[VALOR CONTRAPARTIDA]]+Tabla4[[#This Row],[TOTAL APORTES ICBF]]</f>
        <v>42252140.340000004</v>
      </c>
      <c r="AI1013" s="35"/>
      <c r="AJ1013" s="38"/>
      <c r="AK1013" s="38"/>
      <c r="AL1013" s="23"/>
      <c r="AM1013" s="35">
        <f>VLOOKUP(Tabla4[[#This Row],[SERVICIO 2025]],$J$2:$V$14,5,0)*Tabla4[[#This Row],[TOTAL COBERTURA]]</f>
        <v>938144</v>
      </c>
      <c r="AN1013" s="35">
        <f>VLOOKUP(Tabla4[[#This Row],[SERVICIO 2025]],$J$2:$V$14,6,0)*Tabla4[[#This Row],[TOTAL COBERTURA]]</f>
        <v>779551</v>
      </c>
      <c r="AO1013" s="35">
        <f>VLOOKUP(Tabla4[[#This Row],[SERVICIO 2025]],$J$2:$V$14,8,0)*Tabla4[[#This Row],[TOTAL COBERTURA]]</f>
        <v>552900</v>
      </c>
      <c r="AP1013" s="35">
        <f>VLOOKUP(Tabla4[[#This Row],[SERVICIO 2025]],$J$2:$V$14,3,0)*Tabla4[[#This Row],[TOTAL COBERTURA]]*8</f>
        <v>39153072</v>
      </c>
      <c r="AQ1013" s="35"/>
      <c r="AR1013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1013" s="35" t="str">
        <f>+IF(Tabla4[[#This Row],[AGRUPACIONES]]=1,SUMIFS(Tabla4[VALOR TOTAL],Tabla4[ZONA DEFINITIVO],Tabla4[[#This Row],[ZONA DEFINITIVO]])," ")</f>
        <v xml:space="preserve"> </v>
      </c>
      <c r="AT1013" s="27">
        <f>(VLOOKUP(Tabla4[[#This Row],[SERVICIO 2025]],$J$2:$V$14,3,0)*Tabla4[[#This Row],[TOTAL COBERTURA]])+Tabla4[[#This Row],[VALOR FASE PREPARATORIA DE ALISTAMIENTO]]+Tabla4[[#This Row],[DOTACIÓN ÚNICA]]</f>
        <v>6385178</v>
      </c>
      <c r="AU1013" s="35">
        <f>(VLOOKUP(Tabla4[[#This Row],[SERVICIO 2025]],$J$2:$V$14,3,0)*Tabla4[[#This Row],[TOTAL COBERTURA]])</f>
        <v>4894134</v>
      </c>
      <c r="AV1013" s="35">
        <f>(VLOOKUP(Tabla4[[#This Row],[SERVICIO 2025]],$J$2:$V$14,3,0)*Tabla4[[#This Row],[TOTAL COBERTURA]])</f>
        <v>4894134</v>
      </c>
      <c r="AW1013" s="35">
        <f>(VLOOKUP(Tabla4[[#This Row],[SERVICIO 2025]],$J$2:$V$14,3,0)*Tabla4[[#This Row],[TOTAL COBERTURA]])</f>
        <v>4894134</v>
      </c>
      <c r="AX1013" s="35">
        <f>(VLOOKUP(Tabla4[[#This Row],[SERVICIO 2025]],$J$2:$V$14,3,0)*Tabla4[[#This Row],[TOTAL COBERTURA]])</f>
        <v>4894134</v>
      </c>
      <c r="AY1013" s="35">
        <f>(VLOOKUP(Tabla4[[#This Row],[SERVICIO 2025]],$J$2:$V$14,3,0)*Tabla4[[#This Row],[TOTAL COBERTURA]])</f>
        <v>4894134</v>
      </c>
      <c r="AZ1013" s="35">
        <f>(VLOOKUP(Tabla4[[#This Row],[SERVICIO 2025]],$J$2:$V$14,3,0)*Tabla4[[#This Row],[TOTAL COBERTURA]])</f>
        <v>4894134</v>
      </c>
      <c r="BA1013" s="35">
        <f>(VLOOKUP(Tabla4[[#This Row],[SERVICIO 2025]],$J$2:$V$14,3,0)*Tabla4[[#This Row],[TOTAL COBERTURA]])+Tabla4[[#This Row],[VALOR FASE PREPARATORIA DE CIERRE]]</f>
        <v>5673685</v>
      </c>
      <c r="BB1013" s="35">
        <f>SUM(Tabla4[[#This Row],[DESEMBOLSO 1]:[DESEMBOLSO 8]])</f>
        <v>41423667</v>
      </c>
      <c r="BC1013" s="35">
        <f>VLOOKUP(Tabla4[[#This Row],[SERVICIO 2025]],$J$2:$V$14,10,0)*Tabla4[[#This Row],[TOTAL COBERTURA]]*$W$3</f>
        <v>27418216</v>
      </c>
      <c r="BD1013" s="47" t="s">
        <v>211</v>
      </c>
      <c r="BE1013" s="12" t="b">
        <f>EXACT(Tabla4[[#This Row],[VALOR ATENCIÓN (8 MESES)]],Tabla4[[#This Row],[VALOR TOTAL]])</f>
        <v>1</v>
      </c>
      <c r="BF1013" s="23">
        <f>Tabla4[[#This Row],[VALOR ATENCIÓN (8 MESES)]]-Tabla4[[#This Row],[VALOR TOTAL]]</f>
        <v>0</v>
      </c>
      <c r="BG1013" s="12" t="b">
        <f>EXACT(Tabla4[[#This Row],[TOTAL DESEMBOLSOS]],Tabla4[[#This Row],[VALOR ATENCIÓN (8 MESES)]])</f>
        <v>1</v>
      </c>
      <c r="BH1013" s="29">
        <f>Tabla4[[#This Row],[TOTAL DESEMBOLSOS]]-Tabla4[[#This Row],[VALOR ATENCIÓN (8 MESES)]]</f>
        <v>0</v>
      </c>
      <c r="BI1013" t="s">
        <v>98</v>
      </c>
    </row>
    <row r="1014" spans="1:61">
      <c r="A1014" s="13">
        <v>1997</v>
      </c>
      <c r="B1014" s="13" t="s">
        <v>2228</v>
      </c>
      <c r="C1014" s="12" t="s">
        <v>87</v>
      </c>
      <c r="D1014" s="12" t="s">
        <v>462</v>
      </c>
      <c r="E1014" s="12" t="s">
        <v>2229</v>
      </c>
      <c r="F1014" s="12" t="s">
        <v>18</v>
      </c>
      <c r="G1014" s="12" t="s">
        <v>90</v>
      </c>
      <c r="H1014" s="12" t="s">
        <v>2242</v>
      </c>
      <c r="I1014" s="12">
        <v>56651117191</v>
      </c>
      <c r="J1014" s="12" t="s">
        <v>2243</v>
      </c>
      <c r="K1014" s="12">
        <v>1</v>
      </c>
      <c r="L1014" s="12">
        <v>17</v>
      </c>
      <c r="M1014" s="12"/>
      <c r="N1014" s="13">
        <v>1997</v>
      </c>
      <c r="O1014" s="12" t="s">
        <v>93</v>
      </c>
      <c r="P1014" s="12"/>
      <c r="Q1014" s="12"/>
      <c r="R1014" s="12" t="s">
        <v>94</v>
      </c>
      <c r="S1014" s="12">
        <v>10</v>
      </c>
      <c r="T1014" s="12" t="s">
        <v>2232</v>
      </c>
      <c r="U1014" s="12" t="s">
        <v>2233</v>
      </c>
      <c r="V1014" s="12">
        <f>VLOOKUP(Tabla4[[#This Row],[ZONA DEFINITIVO]],Hoja1!$A$1:$D$121,3,0)</f>
        <v>229180</v>
      </c>
      <c r="W1014" s="12">
        <f>VLOOKUP(Tabla4[[#This Row],[ZONA DEFINITIVO]],Hoja1!$A$1:$D$121,2,0)</f>
        <v>15357</v>
      </c>
      <c r="X1014" s="12">
        <f>VLOOKUP(Tabla4[[#This Row],[ZONA DEFINITIVO]],Hoja1!$A$1:$D$121,4,0)</f>
        <v>87925</v>
      </c>
      <c r="Y1014" s="12" t="str">
        <f>+IF(Tabla4[[#This Row],[AGRUPACIONES]]=1,SUMIFS(Tabla4[UDS],Tabla4[ZONA DEFINITIVO],Tabla4[[#This Row],[ZONA DEFINITIVO]])," ")</f>
        <v xml:space="preserve"> </v>
      </c>
      <c r="Z1014" s="12" t="str">
        <f>+IF(Tabla4[[#This Row],[AGRUPACIONES]]=1,SUMIFS(Tabla4[TOTAL COBERTURA],Tabla4[ZONA DEFINITIVO],Tabla4[[#This Row],[ZONA DEFINITIVO]])," ")</f>
        <v xml:space="preserve"> </v>
      </c>
      <c r="AA1014" s="12"/>
      <c r="AB1014" s="38">
        <v>37063281</v>
      </c>
      <c r="AC1014" s="37">
        <v>0.02</v>
      </c>
      <c r="AD1014" s="38">
        <f t="shared" si="16"/>
        <v>741265.62</v>
      </c>
      <c r="AE1014" s="12"/>
      <c r="AF1014" s="12">
        <f>COUNTIF($A$20:A1014,A1014)</f>
        <v>6</v>
      </c>
      <c r="AG1014" s="38">
        <v>37063281</v>
      </c>
      <c r="AH1014" s="38">
        <f>Tabla4[[#This Row],[VALOR CONTRAPARTIDA]]+Tabla4[[#This Row],[TOTAL APORTES ICBF]]</f>
        <v>37804546.619999997</v>
      </c>
      <c r="AI1014" s="35"/>
      <c r="AJ1014" s="38"/>
      <c r="AK1014" s="38"/>
      <c r="AL1014" s="23"/>
      <c r="AM1014" s="35">
        <f>VLOOKUP(Tabla4[[#This Row],[SERVICIO 2025]],$J$2:$V$14,5,0)*Tabla4[[#This Row],[TOTAL COBERTURA]]</f>
        <v>839392</v>
      </c>
      <c r="AN1014" s="35">
        <f>VLOOKUP(Tabla4[[#This Row],[SERVICIO 2025]],$J$2:$V$14,6,0)*Tabla4[[#This Row],[TOTAL COBERTURA]]</f>
        <v>697493</v>
      </c>
      <c r="AO1014" s="35">
        <f>VLOOKUP(Tabla4[[#This Row],[SERVICIO 2025]],$J$2:$V$14,8,0)*Tabla4[[#This Row],[TOTAL COBERTURA]]</f>
        <v>494700</v>
      </c>
      <c r="AP1014" s="35">
        <f>VLOOKUP(Tabla4[[#This Row],[SERVICIO 2025]],$J$2:$V$14,3,0)*Tabla4[[#This Row],[TOTAL COBERTURA]]*8</f>
        <v>35031696</v>
      </c>
      <c r="AQ1014" s="35"/>
      <c r="AR1014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1014" s="35" t="str">
        <f>+IF(Tabla4[[#This Row],[AGRUPACIONES]]=1,SUMIFS(Tabla4[VALOR TOTAL],Tabla4[ZONA DEFINITIVO],Tabla4[[#This Row],[ZONA DEFINITIVO]])," ")</f>
        <v xml:space="preserve"> </v>
      </c>
      <c r="AT1014" s="27">
        <f>(VLOOKUP(Tabla4[[#This Row],[SERVICIO 2025]],$J$2:$V$14,3,0)*Tabla4[[#This Row],[TOTAL COBERTURA]])+Tabla4[[#This Row],[VALOR FASE PREPARATORIA DE ALISTAMIENTO]]+Tabla4[[#This Row],[DOTACIÓN ÚNICA]]</f>
        <v>5713054</v>
      </c>
      <c r="AU1014" s="35">
        <f>(VLOOKUP(Tabla4[[#This Row],[SERVICIO 2025]],$J$2:$V$14,3,0)*Tabla4[[#This Row],[TOTAL COBERTURA]])</f>
        <v>4378962</v>
      </c>
      <c r="AV1014" s="35">
        <f>(VLOOKUP(Tabla4[[#This Row],[SERVICIO 2025]],$J$2:$V$14,3,0)*Tabla4[[#This Row],[TOTAL COBERTURA]])</f>
        <v>4378962</v>
      </c>
      <c r="AW1014" s="35">
        <f>(VLOOKUP(Tabla4[[#This Row],[SERVICIO 2025]],$J$2:$V$14,3,0)*Tabla4[[#This Row],[TOTAL COBERTURA]])</f>
        <v>4378962</v>
      </c>
      <c r="AX1014" s="35">
        <f>(VLOOKUP(Tabla4[[#This Row],[SERVICIO 2025]],$J$2:$V$14,3,0)*Tabla4[[#This Row],[TOTAL COBERTURA]])</f>
        <v>4378962</v>
      </c>
      <c r="AY1014" s="35">
        <f>(VLOOKUP(Tabla4[[#This Row],[SERVICIO 2025]],$J$2:$V$14,3,0)*Tabla4[[#This Row],[TOTAL COBERTURA]])</f>
        <v>4378962</v>
      </c>
      <c r="AZ1014" s="35">
        <f>(VLOOKUP(Tabla4[[#This Row],[SERVICIO 2025]],$J$2:$V$14,3,0)*Tabla4[[#This Row],[TOTAL COBERTURA]])</f>
        <v>4378962</v>
      </c>
      <c r="BA1014" s="35">
        <f>(VLOOKUP(Tabla4[[#This Row],[SERVICIO 2025]],$J$2:$V$14,3,0)*Tabla4[[#This Row],[TOTAL COBERTURA]])+Tabla4[[#This Row],[VALOR FASE PREPARATORIA DE CIERRE]]</f>
        <v>5076455</v>
      </c>
      <c r="BB1014" s="35">
        <f>SUM(Tabla4[[#This Row],[DESEMBOLSO 1]:[DESEMBOLSO 8]])</f>
        <v>37063281</v>
      </c>
      <c r="BC1014" s="35">
        <f>VLOOKUP(Tabla4[[#This Row],[SERVICIO 2025]],$J$2:$V$14,10,0)*Tabla4[[#This Row],[TOTAL COBERTURA]]*$W$3</f>
        <v>24532088</v>
      </c>
      <c r="BD1014" s="47" t="s">
        <v>211</v>
      </c>
      <c r="BE1014" s="12" t="b">
        <f>EXACT(Tabla4[[#This Row],[VALOR ATENCIÓN (8 MESES)]],Tabla4[[#This Row],[VALOR TOTAL]])</f>
        <v>1</v>
      </c>
      <c r="BF1014" s="23">
        <f>Tabla4[[#This Row],[VALOR ATENCIÓN (8 MESES)]]-Tabla4[[#This Row],[VALOR TOTAL]]</f>
        <v>0</v>
      </c>
      <c r="BG1014" s="12" t="b">
        <f>EXACT(Tabla4[[#This Row],[TOTAL DESEMBOLSOS]],Tabla4[[#This Row],[VALOR ATENCIÓN (8 MESES)]])</f>
        <v>1</v>
      </c>
      <c r="BH1014" s="29">
        <f>Tabla4[[#This Row],[TOTAL DESEMBOLSOS]]-Tabla4[[#This Row],[VALOR ATENCIÓN (8 MESES)]]</f>
        <v>0</v>
      </c>
      <c r="BI1014" t="s">
        <v>98</v>
      </c>
    </row>
    <row r="1015" spans="1:61">
      <c r="A1015" s="13">
        <v>1997</v>
      </c>
      <c r="B1015" s="13" t="s">
        <v>2228</v>
      </c>
      <c r="C1015" s="12" t="s">
        <v>87</v>
      </c>
      <c r="D1015" s="12" t="s">
        <v>462</v>
      </c>
      <c r="E1015" s="12" t="s">
        <v>2229</v>
      </c>
      <c r="F1015" s="12" t="s">
        <v>18</v>
      </c>
      <c r="G1015" s="12" t="s">
        <v>90</v>
      </c>
      <c r="H1015" s="12" t="s">
        <v>2244</v>
      </c>
      <c r="I1015" s="12">
        <v>56651117204</v>
      </c>
      <c r="J1015" s="12" t="s">
        <v>2245</v>
      </c>
      <c r="K1015" s="12">
        <v>1</v>
      </c>
      <c r="L1015" s="12">
        <v>38</v>
      </c>
      <c r="M1015" s="12"/>
      <c r="N1015" s="13">
        <v>1997</v>
      </c>
      <c r="O1015" s="12" t="s">
        <v>93</v>
      </c>
      <c r="P1015" s="12"/>
      <c r="Q1015" s="12"/>
      <c r="R1015" s="12" t="s">
        <v>94</v>
      </c>
      <c r="S1015" s="12">
        <v>10</v>
      </c>
      <c r="T1015" s="12" t="s">
        <v>2232</v>
      </c>
      <c r="U1015" s="12" t="s">
        <v>2233</v>
      </c>
      <c r="V1015" s="12">
        <f>VLOOKUP(Tabla4[[#This Row],[ZONA DEFINITIVO]],Hoja1!$A$1:$D$121,3,0)</f>
        <v>229180</v>
      </c>
      <c r="W1015" s="12">
        <f>VLOOKUP(Tabla4[[#This Row],[ZONA DEFINITIVO]],Hoja1!$A$1:$D$121,2,0)</f>
        <v>15357</v>
      </c>
      <c r="X1015" s="12">
        <f>VLOOKUP(Tabla4[[#This Row],[ZONA DEFINITIVO]],Hoja1!$A$1:$D$121,4,0)</f>
        <v>87925</v>
      </c>
      <c r="Y1015" s="12" t="str">
        <f>+IF(Tabla4[[#This Row],[AGRUPACIONES]]=1,SUMIFS(Tabla4[UDS],Tabla4[ZONA DEFINITIVO],Tabla4[[#This Row],[ZONA DEFINITIVO]])," ")</f>
        <v xml:space="preserve"> </v>
      </c>
      <c r="Z1015" s="12" t="str">
        <f>+IF(Tabla4[[#This Row],[AGRUPACIONES]]=1,SUMIFS(Tabla4[TOTAL COBERTURA],Tabla4[ZONA DEFINITIVO],Tabla4[[#This Row],[ZONA DEFINITIVO]])," ")</f>
        <v xml:space="preserve"> </v>
      </c>
      <c r="AA1015" s="12"/>
      <c r="AB1015" s="38">
        <v>82847334</v>
      </c>
      <c r="AC1015" s="37">
        <v>0.02</v>
      </c>
      <c r="AD1015" s="38">
        <f t="shared" si="16"/>
        <v>1656946.68</v>
      </c>
      <c r="AE1015" s="12"/>
      <c r="AF1015" s="12">
        <f>COUNTIF($A$20:A1015,A1015)</f>
        <v>7</v>
      </c>
      <c r="AG1015" s="38">
        <v>82847334</v>
      </c>
      <c r="AH1015" s="38">
        <f>Tabla4[[#This Row],[VALOR CONTRAPARTIDA]]+Tabla4[[#This Row],[TOTAL APORTES ICBF]]</f>
        <v>84504280.680000007</v>
      </c>
      <c r="AI1015" s="35"/>
      <c r="AJ1015" s="38"/>
      <c r="AK1015" s="38"/>
      <c r="AL1015" s="23"/>
      <c r="AM1015" s="35">
        <f>VLOOKUP(Tabla4[[#This Row],[SERVICIO 2025]],$J$2:$V$14,5,0)*Tabla4[[#This Row],[TOTAL COBERTURA]]</f>
        <v>1876288</v>
      </c>
      <c r="AN1015" s="35">
        <f>VLOOKUP(Tabla4[[#This Row],[SERVICIO 2025]],$J$2:$V$14,6,0)*Tabla4[[#This Row],[TOTAL COBERTURA]]</f>
        <v>1559102</v>
      </c>
      <c r="AO1015" s="35">
        <f>VLOOKUP(Tabla4[[#This Row],[SERVICIO 2025]],$J$2:$V$14,8,0)*Tabla4[[#This Row],[TOTAL COBERTURA]]</f>
        <v>1105800</v>
      </c>
      <c r="AP1015" s="35">
        <f>VLOOKUP(Tabla4[[#This Row],[SERVICIO 2025]],$J$2:$V$14,3,0)*Tabla4[[#This Row],[TOTAL COBERTURA]]*8</f>
        <v>78306144</v>
      </c>
      <c r="AQ1015" s="35"/>
      <c r="AR1015" s="35">
        <f>Tabla4[[#This Row],[VALOR FASE PREPARATORIA DE ALISTAMIENTO]]+Tabla4[[#This Row],[VALOR FASE PREPARATORIA DE CIERRE]]+Tabla4[[#This Row],[DOTACIÓN ÚNICA]]+Tabla4[[#This Row],[VALOR ATENCIÓN]]+Tabla4[[#This Row],[VALOR RACION PREPARADA]]</f>
        <v>82847334</v>
      </c>
      <c r="AS1015" s="35" t="str">
        <f>+IF(Tabla4[[#This Row],[AGRUPACIONES]]=1,SUMIFS(Tabla4[VALOR TOTAL],Tabla4[ZONA DEFINITIVO],Tabla4[[#This Row],[ZONA DEFINITIVO]])," ")</f>
        <v xml:space="preserve"> </v>
      </c>
      <c r="AT1015" s="27">
        <f>(VLOOKUP(Tabla4[[#This Row],[SERVICIO 2025]],$J$2:$V$14,3,0)*Tabla4[[#This Row],[TOTAL COBERTURA]])+Tabla4[[#This Row],[VALOR FASE PREPARATORIA DE ALISTAMIENTO]]+Tabla4[[#This Row],[DOTACIÓN ÚNICA]]</f>
        <v>12770356</v>
      </c>
      <c r="AU1015" s="35">
        <f>(VLOOKUP(Tabla4[[#This Row],[SERVICIO 2025]],$J$2:$V$14,3,0)*Tabla4[[#This Row],[TOTAL COBERTURA]])</f>
        <v>9788268</v>
      </c>
      <c r="AV1015" s="35">
        <f>(VLOOKUP(Tabla4[[#This Row],[SERVICIO 2025]],$J$2:$V$14,3,0)*Tabla4[[#This Row],[TOTAL COBERTURA]])</f>
        <v>9788268</v>
      </c>
      <c r="AW1015" s="35">
        <f>(VLOOKUP(Tabla4[[#This Row],[SERVICIO 2025]],$J$2:$V$14,3,0)*Tabla4[[#This Row],[TOTAL COBERTURA]])</f>
        <v>9788268</v>
      </c>
      <c r="AX1015" s="35">
        <f>(VLOOKUP(Tabla4[[#This Row],[SERVICIO 2025]],$J$2:$V$14,3,0)*Tabla4[[#This Row],[TOTAL COBERTURA]])</f>
        <v>9788268</v>
      </c>
      <c r="AY1015" s="35">
        <f>(VLOOKUP(Tabla4[[#This Row],[SERVICIO 2025]],$J$2:$V$14,3,0)*Tabla4[[#This Row],[TOTAL COBERTURA]])</f>
        <v>9788268</v>
      </c>
      <c r="AZ1015" s="35">
        <f>(VLOOKUP(Tabla4[[#This Row],[SERVICIO 2025]],$J$2:$V$14,3,0)*Tabla4[[#This Row],[TOTAL COBERTURA]])</f>
        <v>9788268</v>
      </c>
      <c r="BA1015" s="35">
        <f>(VLOOKUP(Tabla4[[#This Row],[SERVICIO 2025]],$J$2:$V$14,3,0)*Tabla4[[#This Row],[TOTAL COBERTURA]])+Tabla4[[#This Row],[VALOR FASE PREPARATORIA DE CIERRE]]</f>
        <v>11347370</v>
      </c>
      <c r="BB1015" s="35">
        <f>SUM(Tabla4[[#This Row],[DESEMBOLSO 1]:[DESEMBOLSO 8]])</f>
        <v>82847334</v>
      </c>
      <c r="BC1015" s="35">
        <f>VLOOKUP(Tabla4[[#This Row],[SERVICIO 2025]],$J$2:$V$14,10,0)*Tabla4[[#This Row],[TOTAL COBERTURA]]*$W$3</f>
        <v>54836432</v>
      </c>
      <c r="BD1015" s="47" t="s">
        <v>211</v>
      </c>
      <c r="BE1015" s="12" t="b">
        <f>EXACT(Tabla4[[#This Row],[VALOR ATENCIÓN (8 MESES)]],Tabla4[[#This Row],[VALOR TOTAL]])</f>
        <v>1</v>
      </c>
      <c r="BF1015" s="23">
        <f>Tabla4[[#This Row],[VALOR ATENCIÓN (8 MESES)]]-Tabla4[[#This Row],[VALOR TOTAL]]</f>
        <v>0</v>
      </c>
      <c r="BG1015" s="12" t="b">
        <f>EXACT(Tabla4[[#This Row],[TOTAL DESEMBOLSOS]],Tabla4[[#This Row],[VALOR ATENCIÓN (8 MESES)]])</f>
        <v>1</v>
      </c>
      <c r="BH1015" s="29">
        <f>Tabla4[[#This Row],[TOTAL DESEMBOLSOS]]-Tabla4[[#This Row],[VALOR ATENCIÓN (8 MESES)]]</f>
        <v>0</v>
      </c>
      <c r="BI1015" t="s">
        <v>98</v>
      </c>
    </row>
    <row r="1016" spans="1:61">
      <c r="A1016" s="13">
        <v>1997</v>
      </c>
      <c r="B1016" s="13" t="s">
        <v>2228</v>
      </c>
      <c r="C1016" s="12" t="s">
        <v>87</v>
      </c>
      <c r="D1016" s="12" t="s">
        <v>462</v>
      </c>
      <c r="E1016" s="12" t="s">
        <v>2229</v>
      </c>
      <c r="F1016" s="12" t="s">
        <v>18</v>
      </c>
      <c r="G1016" s="12" t="s">
        <v>90</v>
      </c>
      <c r="H1016" s="12" t="s">
        <v>2246</v>
      </c>
      <c r="I1016" s="12">
        <v>56651136606</v>
      </c>
      <c r="J1016" s="12" t="s">
        <v>2247</v>
      </c>
      <c r="K1016" s="12">
        <v>1</v>
      </c>
      <c r="L1016" s="12">
        <v>19</v>
      </c>
      <c r="M1016" s="12"/>
      <c r="N1016" s="13">
        <v>1997</v>
      </c>
      <c r="O1016" s="12" t="s">
        <v>93</v>
      </c>
      <c r="P1016" s="12"/>
      <c r="Q1016" s="12"/>
      <c r="R1016" s="12" t="s">
        <v>94</v>
      </c>
      <c r="S1016" s="12">
        <v>10</v>
      </c>
      <c r="T1016" s="12" t="s">
        <v>2232</v>
      </c>
      <c r="U1016" s="12" t="s">
        <v>2233</v>
      </c>
      <c r="V1016" s="12">
        <f>VLOOKUP(Tabla4[[#This Row],[ZONA DEFINITIVO]],Hoja1!$A$1:$D$121,3,0)</f>
        <v>229180</v>
      </c>
      <c r="W1016" s="12">
        <f>VLOOKUP(Tabla4[[#This Row],[ZONA DEFINITIVO]],Hoja1!$A$1:$D$121,2,0)</f>
        <v>15357</v>
      </c>
      <c r="X1016" s="12">
        <f>VLOOKUP(Tabla4[[#This Row],[ZONA DEFINITIVO]],Hoja1!$A$1:$D$121,4,0)</f>
        <v>87925</v>
      </c>
      <c r="Y1016" s="12" t="str">
        <f>+IF(Tabla4[[#This Row],[AGRUPACIONES]]=1,SUMIFS(Tabla4[UDS],Tabla4[ZONA DEFINITIVO],Tabla4[[#This Row],[ZONA DEFINITIVO]])," ")</f>
        <v xml:space="preserve"> </v>
      </c>
      <c r="Z1016" s="12" t="str">
        <f>+IF(Tabla4[[#This Row],[AGRUPACIONES]]=1,SUMIFS(Tabla4[TOTAL COBERTURA],Tabla4[ZONA DEFINITIVO],Tabla4[[#This Row],[ZONA DEFINITIVO]])," ")</f>
        <v xml:space="preserve"> </v>
      </c>
      <c r="AA1016" s="12"/>
      <c r="AB1016" s="38">
        <v>41423667</v>
      </c>
      <c r="AC1016" s="37">
        <v>0.02</v>
      </c>
      <c r="AD1016" s="38">
        <f t="shared" si="16"/>
        <v>828473.34</v>
      </c>
      <c r="AE1016" s="12"/>
      <c r="AF1016" s="12">
        <f>COUNTIF($A$20:A1016,A1016)</f>
        <v>8</v>
      </c>
      <c r="AG1016" s="38">
        <v>41423667</v>
      </c>
      <c r="AH1016" s="38">
        <f>Tabla4[[#This Row],[VALOR CONTRAPARTIDA]]+Tabla4[[#This Row],[TOTAL APORTES ICBF]]</f>
        <v>42252140.340000004</v>
      </c>
      <c r="AI1016" s="35"/>
      <c r="AJ1016" s="38"/>
      <c r="AK1016" s="38"/>
      <c r="AL1016" s="23"/>
      <c r="AM1016" s="35">
        <f>VLOOKUP(Tabla4[[#This Row],[SERVICIO 2025]],$J$2:$V$14,5,0)*Tabla4[[#This Row],[TOTAL COBERTURA]]</f>
        <v>938144</v>
      </c>
      <c r="AN1016" s="35">
        <f>VLOOKUP(Tabla4[[#This Row],[SERVICIO 2025]],$J$2:$V$14,6,0)*Tabla4[[#This Row],[TOTAL COBERTURA]]</f>
        <v>779551</v>
      </c>
      <c r="AO1016" s="35">
        <f>VLOOKUP(Tabla4[[#This Row],[SERVICIO 2025]],$J$2:$V$14,8,0)*Tabla4[[#This Row],[TOTAL COBERTURA]]</f>
        <v>552900</v>
      </c>
      <c r="AP1016" s="35">
        <f>VLOOKUP(Tabla4[[#This Row],[SERVICIO 2025]],$J$2:$V$14,3,0)*Tabla4[[#This Row],[TOTAL COBERTURA]]*8</f>
        <v>39153072</v>
      </c>
      <c r="AQ1016" s="35"/>
      <c r="AR1016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1016" s="35" t="str">
        <f>+IF(Tabla4[[#This Row],[AGRUPACIONES]]=1,SUMIFS(Tabla4[VALOR TOTAL],Tabla4[ZONA DEFINITIVO],Tabla4[[#This Row],[ZONA DEFINITIVO]])," ")</f>
        <v xml:space="preserve"> </v>
      </c>
      <c r="AT1016" s="27">
        <f>(VLOOKUP(Tabla4[[#This Row],[SERVICIO 2025]],$J$2:$V$14,3,0)*Tabla4[[#This Row],[TOTAL COBERTURA]])+Tabla4[[#This Row],[VALOR FASE PREPARATORIA DE ALISTAMIENTO]]+Tabla4[[#This Row],[DOTACIÓN ÚNICA]]</f>
        <v>6385178</v>
      </c>
      <c r="AU1016" s="35">
        <f>(VLOOKUP(Tabla4[[#This Row],[SERVICIO 2025]],$J$2:$V$14,3,0)*Tabla4[[#This Row],[TOTAL COBERTURA]])</f>
        <v>4894134</v>
      </c>
      <c r="AV1016" s="35">
        <f>(VLOOKUP(Tabla4[[#This Row],[SERVICIO 2025]],$J$2:$V$14,3,0)*Tabla4[[#This Row],[TOTAL COBERTURA]])</f>
        <v>4894134</v>
      </c>
      <c r="AW1016" s="35">
        <f>(VLOOKUP(Tabla4[[#This Row],[SERVICIO 2025]],$J$2:$V$14,3,0)*Tabla4[[#This Row],[TOTAL COBERTURA]])</f>
        <v>4894134</v>
      </c>
      <c r="AX1016" s="35">
        <f>(VLOOKUP(Tabla4[[#This Row],[SERVICIO 2025]],$J$2:$V$14,3,0)*Tabla4[[#This Row],[TOTAL COBERTURA]])</f>
        <v>4894134</v>
      </c>
      <c r="AY1016" s="35">
        <f>(VLOOKUP(Tabla4[[#This Row],[SERVICIO 2025]],$J$2:$V$14,3,0)*Tabla4[[#This Row],[TOTAL COBERTURA]])</f>
        <v>4894134</v>
      </c>
      <c r="AZ1016" s="35">
        <f>(VLOOKUP(Tabla4[[#This Row],[SERVICIO 2025]],$J$2:$V$14,3,0)*Tabla4[[#This Row],[TOTAL COBERTURA]])</f>
        <v>4894134</v>
      </c>
      <c r="BA1016" s="35">
        <f>(VLOOKUP(Tabla4[[#This Row],[SERVICIO 2025]],$J$2:$V$14,3,0)*Tabla4[[#This Row],[TOTAL COBERTURA]])+Tabla4[[#This Row],[VALOR FASE PREPARATORIA DE CIERRE]]</f>
        <v>5673685</v>
      </c>
      <c r="BB1016" s="35">
        <f>SUM(Tabla4[[#This Row],[DESEMBOLSO 1]:[DESEMBOLSO 8]])</f>
        <v>41423667</v>
      </c>
      <c r="BC1016" s="35">
        <f>VLOOKUP(Tabla4[[#This Row],[SERVICIO 2025]],$J$2:$V$14,10,0)*Tabla4[[#This Row],[TOTAL COBERTURA]]*$W$3</f>
        <v>27418216</v>
      </c>
      <c r="BD1016" s="47" t="s">
        <v>211</v>
      </c>
      <c r="BE1016" s="12" t="b">
        <f>EXACT(Tabla4[[#This Row],[VALOR ATENCIÓN (8 MESES)]],Tabla4[[#This Row],[VALOR TOTAL]])</f>
        <v>1</v>
      </c>
      <c r="BF1016" s="23">
        <f>Tabla4[[#This Row],[VALOR ATENCIÓN (8 MESES)]]-Tabla4[[#This Row],[VALOR TOTAL]]</f>
        <v>0</v>
      </c>
      <c r="BG1016" s="12" t="b">
        <f>EXACT(Tabla4[[#This Row],[TOTAL DESEMBOLSOS]],Tabla4[[#This Row],[VALOR ATENCIÓN (8 MESES)]])</f>
        <v>1</v>
      </c>
      <c r="BH1016" s="29">
        <f>Tabla4[[#This Row],[TOTAL DESEMBOLSOS]]-Tabla4[[#This Row],[VALOR ATENCIÓN (8 MESES)]]</f>
        <v>0</v>
      </c>
      <c r="BI1016" t="s">
        <v>98</v>
      </c>
    </row>
    <row r="1017" spans="1:61">
      <c r="A1017" s="13">
        <v>1997</v>
      </c>
      <c r="B1017" s="13" t="s">
        <v>2228</v>
      </c>
      <c r="C1017" s="12" t="s">
        <v>87</v>
      </c>
      <c r="D1017" s="12" t="s">
        <v>462</v>
      </c>
      <c r="E1017" s="12" t="s">
        <v>2229</v>
      </c>
      <c r="F1017" s="12" t="s">
        <v>18</v>
      </c>
      <c r="G1017" s="12" t="s">
        <v>90</v>
      </c>
      <c r="H1017" s="12" t="s">
        <v>2248</v>
      </c>
      <c r="I1017" s="12">
        <v>56651136613</v>
      </c>
      <c r="J1017" s="12" t="s">
        <v>2249</v>
      </c>
      <c r="K1017" s="12">
        <v>1</v>
      </c>
      <c r="L1017" s="12">
        <v>20</v>
      </c>
      <c r="M1017" s="12"/>
      <c r="N1017" s="13">
        <v>1997</v>
      </c>
      <c r="O1017" s="12" t="s">
        <v>93</v>
      </c>
      <c r="P1017" s="12"/>
      <c r="Q1017" s="12"/>
      <c r="R1017" s="12" t="s">
        <v>94</v>
      </c>
      <c r="S1017" s="12">
        <v>10</v>
      </c>
      <c r="T1017" s="12" t="s">
        <v>2232</v>
      </c>
      <c r="U1017" s="12" t="s">
        <v>2233</v>
      </c>
      <c r="V1017" s="12">
        <f>VLOOKUP(Tabla4[[#This Row],[ZONA DEFINITIVO]],Hoja1!$A$1:$D$121,3,0)</f>
        <v>229180</v>
      </c>
      <c r="W1017" s="12">
        <f>VLOOKUP(Tabla4[[#This Row],[ZONA DEFINITIVO]],Hoja1!$A$1:$D$121,2,0)</f>
        <v>15357</v>
      </c>
      <c r="X1017" s="12">
        <f>VLOOKUP(Tabla4[[#This Row],[ZONA DEFINITIVO]],Hoja1!$A$1:$D$121,4,0)</f>
        <v>87925</v>
      </c>
      <c r="Y1017" s="12" t="str">
        <f>+IF(Tabla4[[#This Row],[AGRUPACIONES]]=1,SUMIFS(Tabla4[UDS],Tabla4[ZONA DEFINITIVO],Tabla4[[#This Row],[ZONA DEFINITIVO]])," ")</f>
        <v xml:space="preserve"> </v>
      </c>
      <c r="Z1017" s="12" t="str">
        <f>+IF(Tabla4[[#This Row],[AGRUPACIONES]]=1,SUMIFS(Tabla4[TOTAL COBERTURA],Tabla4[ZONA DEFINITIVO],Tabla4[[#This Row],[ZONA DEFINITIVO]])," ")</f>
        <v xml:space="preserve"> </v>
      </c>
      <c r="AA1017" s="12"/>
      <c r="AB1017" s="38">
        <v>43603860</v>
      </c>
      <c r="AC1017" s="37">
        <v>0.02</v>
      </c>
      <c r="AD1017" s="38">
        <f t="shared" si="16"/>
        <v>872077.20000000007</v>
      </c>
      <c r="AE1017" s="12"/>
      <c r="AF1017" s="12">
        <f>COUNTIF($A$20:A1017,A1017)</f>
        <v>9</v>
      </c>
      <c r="AG1017" s="38">
        <v>43603860</v>
      </c>
      <c r="AH1017" s="38">
        <f>Tabla4[[#This Row],[VALOR CONTRAPARTIDA]]+Tabla4[[#This Row],[TOTAL APORTES ICBF]]</f>
        <v>44475937.200000003</v>
      </c>
      <c r="AI1017" s="35"/>
      <c r="AJ1017" s="38"/>
      <c r="AK1017" s="38"/>
      <c r="AL1017" s="23"/>
      <c r="AM1017" s="35">
        <f>VLOOKUP(Tabla4[[#This Row],[SERVICIO 2025]],$J$2:$V$14,5,0)*Tabla4[[#This Row],[TOTAL COBERTURA]]</f>
        <v>987520</v>
      </c>
      <c r="AN1017" s="35">
        <f>VLOOKUP(Tabla4[[#This Row],[SERVICIO 2025]],$J$2:$V$14,6,0)*Tabla4[[#This Row],[TOTAL COBERTURA]]</f>
        <v>820580</v>
      </c>
      <c r="AO1017" s="35">
        <f>VLOOKUP(Tabla4[[#This Row],[SERVICIO 2025]],$J$2:$V$14,8,0)*Tabla4[[#This Row],[TOTAL COBERTURA]]</f>
        <v>582000</v>
      </c>
      <c r="AP1017" s="35">
        <f>VLOOKUP(Tabla4[[#This Row],[SERVICIO 2025]],$J$2:$V$14,3,0)*Tabla4[[#This Row],[TOTAL COBERTURA]]*8</f>
        <v>41213760</v>
      </c>
      <c r="AQ1017" s="35"/>
      <c r="AR1017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017" s="35" t="str">
        <f>+IF(Tabla4[[#This Row],[AGRUPACIONES]]=1,SUMIFS(Tabla4[VALOR TOTAL],Tabla4[ZONA DEFINITIVO],Tabla4[[#This Row],[ZONA DEFINITIVO]])," ")</f>
        <v xml:space="preserve"> </v>
      </c>
      <c r="AT1017" s="27">
        <f>(VLOOKUP(Tabla4[[#This Row],[SERVICIO 2025]],$J$2:$V$14,3,0)*Tabla4[[#This Row],[TOTAL COBERTURA]])+Tabla4[[#This Row],[VALOR FASE PREPARATORIA DE ALISTAMIENTO]]+Tabla4[[#This Row],[DOTACIÓN ÚNICA]]</f>
        <v>6721240</v>
      </c>
      <c r="AU1017" s="35">
        <f>(VLOOKUP(Tabla4[[#This Row],[SERVICIO 2025]],$J$2:$V$14,3,0)*Tabla4[[#This Row],[TOTAL COBERTURA]])</f>
        <v>5151720</v>
      </c>
      <c r="AV1017" s="35">
        <f>(VLOOKUP(Tabla4[[#This Row],[SERVICIO 2025]],$J$2:$V$14,3,0)*Tabla4[[#This Row],[TOTAL COBERTURA]])</f>
        <v>5151720</v>
      </c>
      <c r="AW1017" s="35">
        <f>(VLOOKUP(Tabla4[[#This Row],[SERVICIO 2025]],$J$2:$V$14,3,0)*Tabla4[[#This Row],[TOTAL COBERTURA]])</f>
        <v>5151720</v>
      </c>
      <c r="AX1017" s="35">
        <f>(VLOOKUP(Tabla4[[#This Row],[SERVICIO 2025]],$J$2:$V$14,3,0)*Tabla4[[#This Row],[TOTAL COBERTURA]])</f>
        <v>5151720</v>
      </c>
      <c r="AY1017" s="35">
        <f>(VLOOKUP(Tabla4[[#This Row],[SERVICIO 2025]],$J$2:$V$14,3,0)*Tabla4[[#This Row],[TOTAL COBERTURA]])</f>
        <v>5151720</v>
      </c>
      <c r="AZ1017" s="35">
        <f>(VLOOKUP(Tabla4[[#This Row],[SERVICIO 2025]],$J$2:$V$14,3,0)*Tabla4[[#This Row],[TOTAL COBERTURA]])</f>
        <v>5151720</v>
      </c>
      <c r="BA1017" s="35">
        <f>(VLOOKUP(Tabla4[[#This Row],[SERVICIO 2025]],$J$2:$V$14,3,0)*Tabla4[[#This Row],[TOTAL COBERTURA]])+Tabla4[[#This Row],[VALOR FASE PREPARATORIA DE CIERRE]]</f>
        <v>5972300</v>
      </c>
      <c r="BB1017" s="35">
        <f>SUM(Tabla4[[#This Row],[DESEMBOLSO 1]:[DESEMBOLSO 8]])</f>
        <v>43603860</v>
      </c>
      <c r="BC1017" s="35">
        <f>VLOOKUP(Tabla4[[#This Row],[SERVICIO 2025]],$J$2:$V$14,10,0)*Tabla4[[#This Row],[TOTAL COBERTURA]]*$W$3</f>
        <v>28861280</v>
      </c>
      <c r="BD1017" s="47" t="s">
        <v>211</v>
      </c>
      <c r="BE1017" s="12" t="b">
        <f>EXACT(Tabla4[[#This Row],[VALOR ATENCIÓN (8 MESES)]],Tabla4[[#This Row],[VALOR TOTAL]])</f>
        <v>1</v>
      </c>
      <c r="BF1017" s="23">
        <f>Tabla4[[#This Row],[VALOR ATENCIÓN (8 MESES)]]-Tabla4[[#This Row],[VALOR TOTAL]]</f>
        <v>0</v>
      </c>
      <c r="BG1017" s="12" t="b">
        <f>EXACT(Tabla4[[#This Row],[TOTAL DESEMBOLSOS]],Tabla4[[#This Row],[VALOR ATENCIÓN (8 MESES)]])</f>
        <v>1</v>
      </c>
      <c r="BH1017" s="29">
        <f>Tabla4[[#This Row],[TOTAL DESEMBOLSOS]]-Tabla4[[#This Row],[VALOR ATENCIÓN (8 MESES)]]</f>
        <v>0</v>
      </c>
      <c r="BI1017" t="s">
        <v>98</v>
      </c>
    </row>
    <row r="1018" spans="1:61">
      <c r="A1018" s="13">
        <v>1997</v>
      </c>
      <c r="B1018" s="13" t="s">
        <v>2228</v>
      </c>
      <c r="C1018" s="12" t="s">
        <v>87</v>
      </c>
      <c r="D1018" s="12" t="s">
        <v>462</v>
      </c>
      <c r="E1018" s="12" t="s">
        <v>2229</v>
      </c>
      <c r="F1018" s="12" t="s">
        <v>16</v>
      </c>
      <c r="G1018" s="12" t="s">
        <v>90</v>
      </c>
      <c r="H1018" s="12" t="s">
        <v>2250</v>
      </c>
      <c r="I1018" s="12">
        <v>56651136746</v>
      </c>
      <c r="J1018" s="12" t="s">
        <v>2251</v>
      </c>
      <c r="K1018" s="12">
        <v>1</v>
      </c>
      <c r="L1018" s="12">
        <v>17</v>
      </c>
      <c r="M1018" s="12"/>
      <c r="N1018" s="13">
        <v>1997</v>
      </c>
      <c r="O1018" s="12" t="s">
        <v>93</v>
      </c>
      <c r="P1018" s="12"/>
      <c r="Q1018" s="12"/>
      <c r="R1018" s="12" t="s">
        <v>94</v>
      </c>
      <c r="S1018" s="12">
        <v>10</v>
      </c>
      <c r="T1018" s="12" t="s">
        <v>2232</v>
      </c>
      <c r="U1018" s="12" t="s">
        <v>2233</v>
      </c>
      <c r="V1018" s="12">
        <f>VLOOKUP(Tabla4[[#This Row],[ZONA DEFINITIVO]],Hoja1!$A$1:$D$121,3,0)</f>
        <v>229180</v>
      </c>
      <c r="W1018" s="12">
        <f>VLOOKUP(Tabla4[[#This Row],[ZONA DEFINITIVO]],Hoja1!$A$1:$D$121,2,0)</f>
        <v>15357</v>
      </c>
      <c r="X1018" s="12">
        <f>VLOOKUP(Tabla4[[#This Row],[ZONA DEFINITIVO]],Hoja1!$A$1:$D$121,4,0)</f>
        <v>87925</v>
      </c>
      <c r="Y1018" s="12" t="str">
        <f>+IF(Tabla4[[#This Row],[AGRUPACIONES]]=1,SUMIFS(Tabla4[UDS],Tabla4[ZONA DEFINITIVO],Tabla4[[#This Row],[ZONA DEFINITIVO]])," ")</f>
        <v xml:space="preserve"> </v>
      </c>
      <c r="Z1018" s="12" t="str">
        <f>+IF(Tabla4[[#This Row],[AGRUPACIONES]]=1,SUMIFS(Tabla4[TOTAL COBERTURA],Tabla4[ZONA DEFINITIVO],Tabla4[[#This Row],[ZONA DEFINITIVO]])," ")</f>
        <v xml:space="preserve"> </v>
      </c>
      <c r="AA1018" s="12"/>
      <c r="AB1018" s="38">
        <v>65141331</v>
      </c>
      <c r="AC1018" s="37">
        <v>0.02</v>
      </c>
      <c r="AD1018" s="38">
        <f t="shared" si="16"/>
        <v>1302826.6200000001</v>
      </c>
      <c r="AE1018" s="12"/>
      <c r="AF1018" s="12">
        <f>COUNTIF($A$20:A1018,A1018)</f>
        <v>10</v>
      </c>
      <c r="AG1018" s="38">
        <v>65141331</v>
      </c>
      <c r="AH1018" s="38">
        <f>Tabla4[[#This Row],[VALOR CONTRAPARTIDA]]+Tabla4[[#This Row],[TOTAL APORTES ICBF]]</f>
        <v>66444157.619999997</v>
      </c>
      <c r="AI1018" s="35"/>
      <c r="AJ1018" s="38"/>
      <c r="AK1018" s="38"/>
      <c r="AL1018" s="23"/>
      <c r="AM1018" s="35">
        <f>VLOOKUP(Tabla4[[#This Row],[SERVICIO 2025]],$J$2:$V$14,5,0)*Tabla4[[#This Row],[TOTAL COBERTURA]]</f>
        <v>1257405</v>
      </c>
      <c r="AN1018" s="35">
        <f>VLOOKUP(Tabla4[[#This Row],[SERVICIO 2025]],$J$2:$V$14,6,0)*Tabla4[[#This Row],[TOTAL COBERTURA]]</f>
        <v>555067</v>
      </c>
      <c r="AO1018" s="35">
        <f>VLOOKUP(Tabla4[[#This Row],[SERVICIO 2025]],$J$2:$V$14,8,0)*Tabla4[[#This Row],[TOTAL COBERTURA]]</f>
        <v>494683</v>
      </c>
      <c r="AP1018" s="35">
        <f>VLOOKUP(Tabla4[[#This Row],[SERVICIO 2025]],$J$2:$V$14,3,0)*Tabla4[[#This Row],[TOTAL COBERTURA]]*8</f>
        <v>62834176</v>
      </c>
      <c r="AQ1018" s="35"/>
      <c r="AR1018" s="35">
        <f>Tabla4[[#This Row],[VALOR FASE PREPARATORIA DE ALISTAMIENTO]]+Tabla4[[#This Row],[VALOR FASE PREPARATORIA DE CIERRE]]+Tabla4[[#This Row],[DOTACIÓN ÚNICA]]+Tabla4[[#This Row],[VALOR ATENCIÓN]]+Tabla4[[#This Row],[VALOR RACION PREPARADA]]</f>
        <v>65141331</v>
      </c>
      <c r="AS1018" s="35" t="str">
        <f>+IF(Tabla4[[#This Row],[AGRUPACIONES]]=1,SUMIFS(Tabla4[VALOR TOTAL],Tabla4[ZONA DEFINITIVO],Tabla4[[#This Row],[ZONA DEFINITIVO]])," ")</f>
        <v xml:space="preserve"> </v>
      </c>
      <c r="AT1018" s="27">
        <f>(VLOOKUP(Tabla4[[#This Row],[SERVICIO 2025]],$J$2:$V$14,3,0)*Tabla4[[#This Row],[TOTAL COBERTURA]])+Tabla4[[#This Row],[VALOR FASE PREPARATORIA DE ALISTAMIENTO]]+Tabla4[[#This Row],[DOTACIÓN ÚNICA]]</f>
        <v>9606360</v>
      </c>
      <c r="AU1018" s="35">
        <f>(VLOOKUP(Tabla4[[#This Row],[SERVICIO 2025]],$J$2:$V$14,3,0)*Tabla4[[#This Row],[TOTAL COBERTURA]])</f>
        <v>7854272</v>
      </c>
      <c r="AV1018" s="35">
        <f>(VLOOKUP(Tabla4[[#This Row],[SERVICIO 2025]],$J$2:$V$14,3,0)*Tabla4[[#This Row],[TOTAL COBERTURA]])</f>
        <v>7854272</v>
      </c>
      <c r="AW1018" s="35">
        <f>(VLOOKUP(Tabla4[[#This Row],[SERVICIO 2025]],$J$2:$V$14,3,0)*Tabla4[[#This Row],[TOTAL COBERTURA]])</f>
        <v>7854272</v>
      </c>
      <c r="AX1018" s="35">
        <f>(VLOOKUP(Tabla4[[#This Row],[SERVICIO 2025]],$J$2:$V$14,3,0)*Tabla4[[#This Row],[TOTAL COBERTURA]])</f>
        <v>7854272</v>
      </c>
      <c r="AY1018" s="35">
        <f>(VLOOKUP(Tabla4[[#This Row],[SERVICIO 2025]],$J$2:$V$14,3,0)*Tabla4[[#This Row],[TOTAL COBERTURA]])</f>
        <v>7854272</v>
      </c>
      <c r="AZ1018" s="35">
        <f>(VLOOKUP(Tabla4[[#This Row],[SERVICIO 2025]],$J$2:$V$14,3,0)*Tabla4[[#This Row],[TOTAL COBERTURA]])</f>
        <v>7854272</v>
      </c>
      <c r="BA1018" s="35">
        <f>(VLOOKUP(Tabla4[[#This Row],[SERVICIO 2025]],$J$2:$V$14,3,0)*Tabla4[[#This Row],[TOTAL COBERTURA]])+Tabla4[[#This Row],[VALOR FASE PREPARATORIA DE CIERRE]]</f>
        <v>8409339</v>
      </c>
      <c r="BB1018" s="35">
        <f>SUM(Tabla4[[#This Row],[DESEMBOLSO 1]:[DESEMBOLSO 8]])</f>
        <v>65141331</v>
      </c>
      <c r="BC1018" s="35">
        <f>VLOOKUP(Tabla4[[#This Row],[SERVICIO 2025]],$J$2:$V$14,10,0)*Tabla4[[#This Row],[TOTAL COBERTURA]]*$W$3</f>
        <v>0</v>
      </c>
      <c r="BD1018" s="47" t="s">
        <v>145</v>
      </c>
      <c r="BE1018" s="12" t="b">
        <f>EXACT(Tabla4[[#This Row],[VALOR ATENCIÓN (8 MESES)]],Tabla4[[#This Row],[VALOR TOTAL]])</f>
        <v>1</v>
      </c>
      <c r="BF1018" s="23">
        <f>Tabla4[[#This Row],[VALOR ATENCIÓN (8 MESES)]]-Tabla4[[#This Row],[VALOR TOTAL]]</f>
        <v>0</v>
      </c>
      <c r="BG1018" s="12" t="b">
        <f>EXACT(Tabla4[[#This Row],[TOTAL DESEMBOLSOS]],Tabla4[[#This Row],[VALOR ATENCIÓN (8 MESES)]])</f>
        <v>1</v>
      </c>
      <c r="BH1018" s="29">
        <f>Tabla4[[#This Row],[TOTAL DESEMBOLSOS]]-Tabla4[[#This Row],[VALOR ATENCIÓN (8 MESES)]]</f>
        <v>0</v>
      </c>
      <c r="BI1018" t="s">
        <v>98</v>
      </c>
    </row>
    <row r="1019" spans="1:61">
      <c r="A1019" s="13">
        <v>1997</v>
      </c>
      <c r="B1019" s="13" t="s">
        <v>2228</v>
      </c>
      <c r="C1019" s="12" t="s">
        <v>87</v>
      </c>
      <c r="D1019" s="12" t="s">
        <v>462</v>
      </c>
      <c r="E1019" s="12" t="s">
        <v>2229</v>
      </c>
      <c r="F1019" s="12" t="s">
        <v>16</v>
      </c>
      <c r="G1019" s="12" t="s">
        <v>90</v>
      </c>
      <c r="H1019" s="12" t="s">
        <v>2252</v>
      </c>
      <c r="I1019" s="12">
        <v>56651136754</v>
      </c>
      <c r="J1019" s="12" t="s">
        <v>2253</v>
      </c>
      <c r="K1019" s="12">
        <v>1</v>
      </c>
      <c r="L1019" s="12">
        <v>16</v>
      </c>
      <c r="M1019" s="12"/>
      <c r="N1019" s="13">
        <v>1997</v>
      </c>
      <c r="O1019" s="12" t="s">
        <v>93</v>
      </c>
      <c r="P1019" s="12"/>
      <c r="Q1019" s="12"/>
      <c r="R1019" s="12" t="s">
        <v>94</v>
      </c>
      <c r="S1019" s="12">
        <v>10</v>
      </c>
      <c r="T1019" s="12" t="s">
        <v>2232</v>
      </c>
      <c r="U1019" s="12" t="s">
        <v>2233</v>
      </c>
      <c r="V1019" s="12">
        <f>VLOOKUP(Tabla4[[#This Row],[ZONA DEFINITIVO]],Hoja1!$A$1:$D$121,3,0)</f>
        <v>229180</v>
      </c>
      <c r="W1019" s="12">
        <f>VLOOKUP(Tabla4[[#This Row],[ZONA DEFINITIVO]],Hoja1!$A$1:$D$121,2,0)</f>
        <v>15357</v>
      </c>
      <c r="X1019" s="12">
        <f>VLOOKUP(Tabla4[[#This Row],[ZONA DEFINITIVO]],Hoja1!$A$1:$D$121,4,0)</f>
        <v>87925</v>
      </c>
      <c r="Y1019" s="12" t="str">
        <f>+IF(Tabla4[[#This Row],[AGRUPACIONES]]=1,SUMIFS(Tabla4[UDS],Tabla4[ZONA DEFINITIVO],Tabla4[[#This Row],[ZONA DEFINITIVO]])," ")</f>
        <v xml:space="preserve"> </v>
      </c>
      <c r="Z1019" s="12" t="str">
        <f>+IF(Tabla4[[#This Row],[AGRUPACIONES]]=1,SUMIFS(Tabla4[TOTAL COBERTURA],Tabla4[ZONA DEFINITIVO],Tabla4[[#This Row],[ZONA DEFINITIVO]])," ")</f>
        <v xml:space="preserve"> </v>
      </c>
      <c r="AA1019" s="12"/>
      <c r="AB1019" s="38">
        <v>61309488</v>
      </c>
      <c r="AC1019" s="37">
        <v>0.02</v>
      </c>
      <c r="AD1019" s="38">
        <f t="shared" si="16"/>
        <v>1226189.76</v>
      </c>
      <c r="AE1019" s="12"/>
      <c r="AF1019" s="12">
        <f>COUNTIF($A$20:A1019,A1019)</f>
        <v>11</v>
      </c>
      <c r="AG1019" s="38">
        <v>61309488</v>
      </c>
      <c r="AH1019" s="38">
        <f>Tabla4[[#This Row],[VALOR CONTRAPARTIDA]]+Tabla4[[#This Row],[TOTAL APORTES ICBF]]</f>
        <v>62535677.759999998</v>
      </c>
      <c r="AI1019" s="35"/>
      <c r="AJ1019" s="38"/>
      <c r="AK1019" s="38"/>
      <c r="AL1019" s="23"/>
      <c r="AM1019" s="35">
        <f>VLOOKUP(Tabla4[[#This Row],[SERVICIO 2025]],$J$2:$V$14,5,0)*Tabla4[[#This Row],[TOTAL COBERTURA]]</f>
        <v>1183440</v>
      </c>
      <c r="AN1019" s="35">
        <f>VLOOKUP(Tabla4[[#This Row],[SERVICIO 2025]],$J$2:$V$14,6,0)*Tabla4[[#This Row],[TOTAL COBERTURA]]</f>
        <v>522416</v>
      </c>
      <c r="AO1019" s="35">
        <f>VLOOKUP(Tabla4[[#This Row],[SERVICIO 2025]],$J$2:$V$14,8,0)*Tabla4[[#This Row],[TOTAL COBERTURA]]</f>
        <v>465584</v>
      </c>
      <c r="AP1019" s="35">
        <f>VLOOKUP(Tabla4[[#This Row],[SERVICIO 2025]],$J$2:$V$14,3,0)*Tabla4[[#This Row],[TOTAL COBERTURA]]*8</f>
        <v>59138048</v>
      </c>
      <c r="AQ1019" s="35"/>
      <c r="AR1019" s="35">
        <f>Tabla4[[#This Row],[VALOR FASE PREPARATORIA DE ALISTAMIENTO]]+Tabla4[[#This Row],[VALOR FASE PREPARATORIA DE CIERRE]]+Tabla4[[#This Row],[DOTACIÓN ÚNICA]]+Tabla4[[#This Row],[VALOR ATENCIÓN]]+Tabla4[[#This Row],[VALOR RACION PREPARADA]]</f>
        <v>61309488</v>
      </c>
      <c r="AS1019" s="35" t="str">
        <f>+IF(Tabla4[[#This Row],[AGRUPACIONES]]=1,SUMIFS(Tabla4[VALOR TOTAL],Tabla4[ZONA DEFINITIVO],Tabla4[[#This Row],[ZONA DEFINITIVO]])," ")</f>
        <v xml:space="preserve"> </v>
      </c>
      <c r="AT1019" s="27">
        <f>(VLOOKUP(Tabla4[[#This Row],[SERVICIO 2025]],$J$2:$V$14,3,0)*Tabla4[[#This Row],[TOTAL COBERTURA]])+Tabla4[[#This Row],[VALOR FASE PREPARATORIA DE ALISTAMIENTO]]+Tabla4[[#This Row],[DOTACIÓN ÚNICA]]</f>
        <v>9041280</v>
      </c>
      <c r="AU1019" s="35">
        <f>(VLOOKUP(Tabla4[[#This Row],[SERVICIO 2025]],$J$2:$V$14,3,0)*Tabla4[[#This Row],[TOTAL COBERTURA]])</f>
        <v>7392256</v>
      </c>
      <c r="AV1019" s="35">
        <f>(VLOOKUP(Tabla4[[#This Row],[SERVICIO 2025]],$J$2:$V$14,3,0)*Tabla4[[#This Row],[TOTAL COBERTURA]])</f>
        <v>7392256</v>
      </c>
      <c r="AW1019" s="35">
        <f>(VLOOKUP(Tabla4[[#This Row],[SERVICIO 2025]],$J$2:$V$14,3,0)*Tabla4[[#This Row],[TOTAL COBERTURA]])</f>
        <v>7392256</v>
      </c>
      <c r="AX1019" s="35">
        <f>(VLOOKUP(Tabla4[[#This Row],[SERVICIO 2025]],$J$2:$V$14,3,0)*Tabla4[[#This Row],[TOTAL COBERTURA]])</f>
        <v>7392256</v>
      </c>
      <c r="AY1019" s="35">
        <f>(VLOOKUP(Tabla4[[#This Row],[SERVICIO 2025]],$J$2:$V$14,3,0)*Tabla4[[#This Row],[TOTAL COBERTURA]])</f>
        <v>7392256</v>
      </c>
      <c r="AZ1019" s="35">
        <f>(VLOOKUP(Tabla4[[#This Row],[SERVICIO 2025]],$J$2:$V$14,3,0)*Tabla4[[#This Row],[TOTAL COBERTURA]])</f>
        <v>7392256</v>
      </c>
      <c r="BA1019" s="35">
        <f>(VLOOKUP(Tabla4[[#This Row],[SERVICIO 2025]],$J$2:$V$14,3,0)*Tabla4[[#This Row],[TOTAL COBERTURA]])+Tabla4[[#This Row],[VALOR FASE PREPARATORIA DE CIERRE]]</f>
        <v>7914672</v>
      </c>
      <c r="BB1019" s="35">
        <f>SUM(Tabla4[[#This Row],[DESEMBOLSO 1]:[DESEMBOLSO 8]])</f>
        <v>61309488</v>
      </c>
      <c r="BC1019" s="35">
        <f>VLOOKUP(Tabla4[[#This Row],[SERVICIO 2025]],$J$2:$V$14,10,0)*Tabla4[[#This Row],[TOTAL COBERTURA]]*$W$3</f>
        <v>0</v>
      </c>
      <c r="BD1019" s="47" t="s">
        <v>145</v>
      </c>
      <c r="BE1019" s="12" t="b">
        <f>EXACT(Tabla4[[#This Row],[VALOR ATENCIÓN (8 MESES)]],Tabla4[[#This Row],[VALOR TOTAL]])</f>
        <v>1</v>
      </c>
      <c r="BF1019" s="23">
        <f>Tabla4[[#This Row],[VALOR ATENCIÓN (8 MESES)]]-Tabla4[[#This Row],[VALOR TOTAL]]</f>
        <v>0</v>
      </c>
      <c r="BG1019" s="12" t="b">
        <f>EXACT(Tabla4[[#This Row],[TOTAL DESEMBOLSOS]],Tabla4[[#This Row],[VALOR ATENCIÓN (8 MESES)]])</f>
        <v>1</v>
      </c>
      <c r="BH1019" s="29">
        <f>Tabla4[[#This Row],[TOTAL DESEMBOLSOS]]-Tabla4[[#This Row],[VALOR ATENCIÓN (8 MESES)]]</f>
        <v>0</v>
      </c>
      <c r="BI1019" t="s">
        <v>98</v>
      </c>
    </row>
    <row r="1020" spans="1:61">
      <c r="A1020" s="13">
        <v>1997</v>
      </c>
      <c r="B1020" s="13" t="s">
        <v>2228</v>
      </c>
      <c r="C1020" s="12" t="s">
        <v>87</v>
      </c>
      <c r="D1020" s="12" t="s">
        <v>462</v>
      </c>
      <c r="E1020" s="12" t="s">
        <v>2229</v>
      </c>
      <c r="F1020" s="12" t="s">
        <v>16</v>
      </c>
      <c r="G1020" s="12" t="s">
        <v>90</v>
      </c>
      <c r="H1020" s="12" t="s">
        <v>2254</v>
      </c>
      <c r="I1020" s="12">
        <v>56651136758</v>
      </c>
      <c r="J1020" s="12" t="s">
        <v>2255</v>
      </c>
      <c r="K1020" s="12">
        <v>1</v>
      </c>
      <c r="L1020" s="12">
        <v>20</v>
      </c>
      <c r="M1020" s="12"/>
      <c r="N1020" s="13">
        <v>1997</v>
      </c>
      <c r="O1020" s="12" t="s">
        <v>93</v>
      </c>
      <c r="P1020" s="12"/>
      <c r="Q1020" s="12"/>
      <c r="R1020" s="12" t="s">
        <v>94</v>
      </c>
      <c r="S1020" s="12">
        <v>10</v>
      </c>
      <c r="T1020" s="12" t="s">
        <v>2232</v>
      </c>
      <c r="U1020" s="12" t="s">
        <v>2233</v>
      </c>
      <c r="V1020" s="12">
        <f>VLOOKUP(Tabla4[[#This Row],[ZONA DEFINITIVO]],Hoja1!$A$1:$D$121,3,0)</f>
        <v>229180</v>
      </c>
      <c r="W1020" s="12">
        <f>VLOOKUP(Tabla4[[#This Row],[ZONA DEFINITIVO]],Hoja1!$A$1:$D$121,2,0)</f>
        <v>15357</v>
      </c>
      <c r="X1020" s="12">
        <f>VLOOKUP(Tabla4[[#This Row],[ZONA DEFINITIVO]],Hoja1!$A$1:$D$121,4,0)</f>
        <v>87925</v>
      </c>
      <c r="Y1020" s="12" t="str">
        <f>+IF(Tabla4[[#This Row],[AGRUPACIONES]]=1,SUMIFS(Tabla4[UDS],Tabla4[ZONA DEFINITIVO],Tabla4[[#This Row],[ZONA DEFINITIVO]])," ")</f>
        <v xml:space="preserve"> </v>
      </c>
      <c r="Z1020" s="12" t="str">
        <f>+IF(Tabla4[[#This Row],[AGRUPACIONES]]=1,SUMIFS(Tabla4[TOTAL COBERTURA],Tabla4[ZONA DEFINITIVO],Tabla4[[#This Row],[ZONA DEFINITIVO]])," ")</f>
        <v xml:space="preserve"> </v>
      </c>
      <c r="AA1020" s="12"/>
      <c r="AB1020" s="38">
        <v>76636860</v>
      </c>
      <c r="AC1020" s="37">
        <v>0.02</v>
      </c>
      <c r="AD1020" s="38">
        <f t="shared" si="16"/>
        <v>1532737.2</v>
      </c>
      <c r="AE1020" s="12"/>
      <c r="AF1020" s="12">
        <f>COUNTIF($A$20:A1020,A1020)</f>
        <v>12</v>
      </c>
      <c r="AG1020" s="38">
        <v>76636860</v>
      </c>
      <c r="AH1020" s="38">
        <f>Tabla4[[#This Row],[VALOR CONTRAPARTIDA]]+Tabla4[[#This Row],[TOTAL APORTES ICBF]]</f>
        <v>78169597.200000003</v>
      </c>
      <c r="AI1020" s="35"/>
      <c r="AJ1020" s="38"/>
      <c r="AK1020" s="38"/>
      <c r="AL1020" s="23"/>
      <c r="AM1020" s="35">
        <f>VLOOKUP(Tabla4[[#This Row],[SERVICIO 2025]],$J$2:$V$14,5,0)*Tabla4[[#This Row],[TOTAL COBERTURA]]</f>
        <v>1479300</v>
      </c>
      <c r="AN1020" s="35">
        <f>VLOOKUP(Tabla4[[#This Row],[SERVICIO 2025]],$J$2:$V$14,6,0)*Tabla4[[#This Row],[TOTAL COBERTURA]]</f>
        <v>653020</v>
      </c>
      <c r="AO1020" s="35">
        <f>VLOOKUP(Tabla4[[#This Row],[SERVICIO 2025]],$J$2:$V$14,8,0)*Tabla4[[#This Row],[TOTAL COBERTURA]]</f>
        <v>581980</v>
      </c>
      <c r="AP1020" s="35">
        <f>VLOOKUP(Tabla4[[#This Row],[SERVICIO 2025]],$J$2:$V$14,3,0)*Tabla4[[#This Row],[TOTAL COBERTURA]]*8</f>
        <v>73922560</v>
      </c>
      <c r="AQ1020" s="35"/>
      <c r="AR1020" s="35">
        <f>Tabla4[[#This Row],[VALOR FASE PREPARATORIA DE ALISTAMIENTO]]+Tabla4[[#This Row],[VALOR FASE PREPARATORIA DE CIERRE]]+Tabla4[[#This Row],[DOTACIÓN ÚNICA]]+Tabla4[[#This Row],[VALOR ATENCIÓN]]+Tabla4[[#This Row],[VALOR RACION PREPARADA]]</f>
        <v>76636860</v>
      </c>
      <c r="AS1020" s="35" t="str">
        <f>+IF(Tabla4[[#This Row],[AGRUPACIONES]]=1,SUMIFS(Tabla4[VALOR TOTAL],Tabla4[ZONA DEFINITIVO],Tabla4[[#This Row],[ZONA DEFINITIVO]])," ")</f>
        <v xml:space="preserve"> </v>
      </c>
      <c r="AT1020" s="27">
        <f>(VLOOKUP(Tabla4[[#This Row],[SERVICIO 2025]],$J$2:$V$14,3,0)*Tabla4[[#This Row],[TOTAL COBERTURA]])+Tabla4[[#This Row],[VALOR FASE PREPARATORIA DE ALISTAMIENTO]]+Tabla4[[#This Row],[DOTACIÓN ÚNICA]]</f>
        <v>11301600</v>
      </c>
      <c r="AU1020" s="35">
        <f>(VLOOKUP(Tabla4[[#This Row],[SERVICIO 2025]],$J$2:$V$14,3,0)*Tabla4[[#This Row],[TOTAL COBERTURA]])</f>
        <v>9240320</v>
      </c>
      <c r="AV1020" s="35">
        <f>(VLOOKUP(Tabla4[[#This Row],[SERVICIO 2025]],$J$2:$V$14,3,0)*Tabla4[[#This Row],[TOTAL COBERTURA]])</f>
        <v>9240320</v>
      </c>
      <c r="AW1020" s="35">
        <f>(VLOOKUP(Tabla4[[#This Row],[SERVICIO 2025]],$J$2:$V$14,3,0)*Tabla4[[#This Row],[TOTAL COBERTURA]])</f>
        <v>9240320</v>
      </c>
      <c r="AX1020" s="35">
        <f>(VLOOKUP(Tabla4[[#This Row],[SERVICIO 2025]],$J$2:$V$14,3,0)*Tabla4[[#This Row],[TOTAL COBERTURA]])</f>
        <v>9240320</v>
      </c>
      <c r="AY1020" s="35">
        <f>(VLOOKUP(Tabla4[[#This Row],[SERVICIO 2025]],$J$2:$V$14,3,0)*Tabla4[[#This Row],[TOTAL COBERTURA]])</f>
        <v>9240320</v>
      </c>
      <c r="AZ1020" s="35">
        <f>(VLOOKUP(Tabla4[[#This Row],[SERVICIO 2025]],$J$2:$V$14,3,0)*Tabla4[[#This Row],[TOTAL COBERTURA]])</f>
        <v>9240320</v>
      </c>
      <c r="BA1020" s="35">
        <f>(VLOOKUP(Tabla4[[#This Row],[SERVICIO 2025]],$J$2:$V$14,3,0)*Tabla4[[#This Row],[TOTAL COBERTURA]])+Tabla4[[#This Row],[VALOR FASE PREPARATORIA DE CIERRE]]</f>
        <v>9893340</v>
      </c>
      <c r="BB1020" s="35">
        <f>SUM(Tabla4[[#This Row],[DESEMBOLSO 1]:[DESEMBOLSO 8]])</f>
        <v>76636860</v>
      </c>
      <c r="BC1020" s="35">
        <f>VLOOKUP(Tabla4[[#This Row],[SERVICIO 2025]],$J$2:$V$14,10,0)*Tabla4[[#This Row],[TOTAL COBERTURA]]*$W$3</f>
        <v>0</v>
      </c>
      <c r="BD1020" s="47" t="s">
        <v>145</v>
      </c>
      <c r="BE1020" s="12" t="b">
        <f>EXACT(Tabla4[[#This Row],[VALOR ATENCIÓN (8 MESES)]],Tabla4[[#This Row],[VALOR TOTAL]])</f>
        <v>1</v>
      </c>
      <c r="BF1020" s="23">
        <f>Tabla4[[#This Row],[VALOR ATENCIÓN (8 MESES)]]-Tabla4[[#This Row],[VALOR TOTAL]]</f>
        <v>0</v>
      </c>
      <c r="BG1020" s="12" t="b">
        <f>EXACT(Tabla4[[#This Row],[TOTAL DESEMBOLSOS]],Tabla4[[#This Row],[VALOR ATENCIÓN (8 MESES)]])</f>
        <v>1</v>
      </c>
      <c r="BH1020" s="29">
        <f>Tabla4[[#This Row],[TOTAL DESEMBOLSOS]]-Tabla4[[#This Row],[VALOR ATENCIÓN (8 MESES)]]</f>
        <v>0</v>
      </c>
      <c r="BI1020" t="s">
        <v>98</v>
      </c>
    </row>
    <row r="1021" spans="1:61">
      <c r="A1021" s="13">
        <v>1997</v>
      </c>
      <c r="B1021" s="13" t="s">
        <v>2228</v>
      </c>
      <c r="C1021" s="12" t="s">
        <v>87</v>
      </c>
      <c r="D1021" s="12" t="s">
        <v>462</v>
      </c>
      <c r="E1021" s="12" t="s">
        <v>2229</v>
      </c>
      <c r="F1021" s="12" t="s">
        <v>16</v>
      </c>
      <c r="G1021" s="12" t="s">
        <v>90</v>
      </c>
      <c r="H1021" s="12" t="s">
        <v>2256</v>
      </c>
      <c r="I1021" s="12">
        <v>56651136760</v>
      </c>
      <c r="J1021" s="12" t="s">
        <v>2257</v>
      </c>
      <c r="K1021" s="12">
        <v>1</v>
      </c>
      <c r="L1021" s="12">
        <v>30</v>
      </c>
      <c r="M1021" s="12"/>
      <c r="N1021" s="13">
        <v>1997</v>
      </c>
      <c r="O1021" s="12" t="s">
        <v>93</v>
      </c>
      <c r="P1021" s="12"/>
      <c r="Q1021" s="12"/>
      <c r="R1021" s="12" t="s">
        <v>94</v>
      </c>
      <c r="S1021" s="12">
        <v>10</v>
      </c>
      <c r="T1021" s="12" t="s">
        <v>2232</v>
      </c>
      <c r="U1021" s="12" t="s">
        <v>2233</v>
      </c>
      <c r="V1021" s="12">
        <f>VLOOKUP(Tabla4[[#This Row],[ZONA DEFINITIVO]],Hoja1!$A$1:$D$121,3,0)</f>
        <v>229180</v>
      </c>
      <c r="W1021" s="12">
        <f>VLOOKUP(Tabla4[[#This Row],[ZONA DEFINITIVO]],Hoja1!$A$1:$D$121,2,0)</f>
        <v>15357</v>
      </c>
      <c r="X1021" s="12">
        <f>VLOOKUP(Tabla4[[#This Row],[ZONA DEFINITIVO]],Hoja1!$A$1:$D$121,4,0)</f>
        <v>87925</v>
      </c>
      <c r="Y1021" s="12" t="str">
        <f>+IF(Tabla4[[#This Row],[AGRUPACIONES]]=1,SUMIFS(Tabla4[UDS],Tabla4[ZONA DEFINITIVO],Tabla4[[#This Row],[ZONA DEFINITIVO]])," ")</f>
        <v xml:space="preserve"> </v>
      </c>
      <c r="Z1021" s="12" t="str">
        <f>+IF(Tabla4[[#This Row],[AGRUPACIONES]]=1,SUMIFS(Tabla4[TOTAL COBERTURA],Tabla4[ZONA DEFINITIVO],Tabla4[[#This Row],[ZONA DEFINITIVO]])," ")</f>
        <v xml:space="preserve"> </v>
      </c>
      <c r="AA1021" s="12"/>
      <c r="AB1021" s="38">
        <v>114955290</v>
      </c>
      <c r="AC1021" s="37">
        <v>0.02</v>
      </c>
      <c r="AD1021" s="38">
        <f t="shared" si="16"/>
        <v>2299105.8000000003</v>
      </c>
      <c r="AE1021" s="12"/>
      <c r="AF1021" s="12">
        <f>COUNTIF($A$20:A1021,A1021)</f>
        <v>13</v>
      </c>
      <c r="AG1021" s="38">
        <v>114955290</v>
      </c>
      <c r="AH1021" s="38">
        <f>Tabla4[[#This Row],[VALOR CONTRAPARTIDA]]+Tabla4[[#This Row],[TOTAL APORTES ICBF]]</f>
        <v>117254395.8</v>
      </c>
      <c r="AI1021" s="35"/>
      <c r="AJ1021" s="38"/>
      <c r="AK1021" s="38"/>
      <c r="AL1021" s="23"/>
      <c r="AM1021" s="35">
        <f>VLOOKUP(Tabla4[[#This Row],[SERVICIO 2025]],$J$2:$V$14,5,0)*Tabla4[[#This Row],[TOTAL COBERTURA]]</f>
        <v>2218950</v>
      </c>
      <c r="AN1021" s="35">
        <f>VLOOKUP(Tabla4[[#This Row],[SERVICIO 2025]],$J$2:$V$14,6,0)*Tabla4[[#This Row],[TOTAL COBERTURA]]</f>
        <v>979530</v>
      </c>
      <c r="AO1021" s="35">
        <f>VLOOKUP(Tabla4[[#This Row],[SERVICIO 2025]],$J$2:$V$14,8,0)*Tabla4[[#This Row],[TOTAL COBERTURA]]</f>
        <v>872970</v>
      </c>
      <c r="AP1021" s="35">
        <f>VLOOKUP(Tabla4[[#This Row],[SERVICIO 2025]],$J$2:$V$14,3,0)*Tabla4[[#This Row],[TOTAL COBERTURA]]*8</f>
        <v>110883840</v>
      </c>
      <c r="AQ1021" s="35"/>
      <c r="AR1021" s="35">
        <f>Tabla4[[#This Row],[VALOR FASE PREPARATORIA DE ALISTAMIENTO]]+Tabla4[[#This Row],[VALOR FASE PREPARATORIA DE CIERRE]]+Tabla4[[#This Row],[DOTACIÓN ÚNICA]]+Tabla4[[#This Row],[VALOR ATENCIÓN]]+Tabla4[[#This Row],[VALOR RACION PREPARADA]]</f>
        <v>114955290</v>
      </c>
      <c r="AS1021" s="35" t="str">
        <f>+IF(Tabla4[[#This Row],[AGRUPACIONES]]=1,SUMIFS(Tabla4[VALOR TOTAL],Tabla4[ZONA DEFINITIVO],Tabla4[[#This Row],[ZONA DEFINITIVO]])," ")</f>
        <v xml:space="preserve"> </v>
      </c>
      <c r="AT1021" s="27">
        <f>(VLOOKUP(Tabla4[[#This Row],[SERVICIO 2025]],$J$2:$V$14,3,0)*Tabla4[[#This Row],[TOTAL COBERTURA]])+Tabla4[[#This Row],[VALOR FASE PREPARATORIA DE ALISTAMIENTO]]+Tabla4[[#This Row],[DOTACIÓN ÚNICA]]</f>
        <v>16952400</v>
      </c>
      <c r="AU1021" s="35">
        <f>(VLOOKUP(Tabla4[[#This Row],[SERVICIO 2025]],$J$2:$V$14,3,0)*Tabla4[[#This Row],[TOTAL COBERTURA]])</f>
        <v>13860480</v>
      </c>
      <c r="AV1021" s="35">
        <f>(VLOOKUP(Tabla4[[#This Row],[SERVICIO 2025]],$J$2:$V$14,3,0)*Tabla4[[#This Row],[TOTAL COBERTURA]])</f>
        <v>13860480</v>
      </c>
      <c r="AW1021" s="35">
        <f>(VLOOKUP(Tabla4[[#This Row],[SERVICIO 2025]],$J$2:$V$14,3,0)*Tabla4[[#This Row],[TOTAL COBERTURA]])</f>
        <v>13860480</v>
      </c>
      <c r="AX1021" s="35">
        <f>(VLOOKUP(Tabla4[[#This Row],[SERVICIO 2025]],$J$2:$V$14,3,0)*Tabla4[[#This Row],[TOTAL COBERTURA]])</f>
        <v>13860480</v>
      </c>
      <c r="AY1021" s="35">
        <f>(VLOOKUP(Tabla4[[#This Row],[SERVICIO 2025]],$J$2:$V$14,3,0)*Tabla4[[#This Row],[TOTAL COBERTURA]])</f>
        <v>13860480</v>
      </c>
      <c r="AZ1021" s="35">
        <f>(VLOOKUP(Tabla4[[#This Row],[SERVICIO 2025]],$J$2:$V$14,3,0)*Tabla4[[#This Row],[TOTAL COBERTURA]])</f>
        <v>13860480</v>
      </c>
      <c r="BA1021" s="35">
        <f>(VLOOKUP(Tabla4[[#This Row],[SERVICIO 2025]],$J$2:$V$14,3,0)*Tabla4[[#This Row],[TOTAL COBERTURA]])+Tabla4[[#This Row],[VALOR FASE PREPARATORIA DE CIERRE]]</f>
        <v>14840010</v>
      </c>
      <c r="BB1021" s="35">
        <f>SUM(Tabla4[[#This Row],[DESEMBOLSO 1]:[DESEMBOLSO 8]])</f>
        <v>114955290</v>
      </c>
      <c r="BC1021" s="35">
        <f>VLOOKUP(Tabla4[[#This Row],[SERVICIO 2025]],$J$2:$V$14,10,0)*Tabla4[[#This Row],[TOTAL COBERTURA]]*$W$3</f>
        <v>0</v>
      </c>
      <c r="BD1021" s="47" t="s">
        <v>145</v>
      </c>
      <c r="BE1021" s="12" t="b">
        <f>EXACT(Tabla4[[#This Row],[VALOR ATENCIÓN (8 MESES)]],Tabla4[[#This Row],[VALOR TOTAL]])</f>
        <v>1</v>
      </c>
      <c r="BF1021" s="23">
        <f>Tabla4[[#This Row],[VALOR ATENCIÓN (8 MESES)]]-Tabla4[[#This Row],[VALOR TOTAL]]</f>
        <v>0</v>
      </c>
      <c r="BG1021" s="12" t="b">
        <f>EXACT(Tabla4[[#This Row],[TOTAL DESEMBOLSOS]],Tabla4[[#This Row],[VALOR ATENCIÓN (8 MESES)]])</f>
        <v>1</v>
      </c>
      <c r="BH1021" s="29">
        <f>Tabla4[[#This Row],[TOTAL DESEMBOLSOS]]-Tabla4[[#This Row],[VALOR ATENCIÓN (8 MESES)]]</f>
        <v>0</v>
      </c>
      <c r="BI1021" t="s">
        <v>98</v>
      </c>
    </row>
    <row r="1022" spans="1:61">
      <c r="A1022" s="13">
        <v>1997</v>
      </c>
      <c r="B1022" s="13" t="s">
        <v>2228</v>
      </c>
      <c r="C1022" s="12" t="s">
        <v>87</v>
      </c>
      <c r="D1022" s="12" t="s">
        <v>462</v>
      </c>
      <c r="E1022" s="12" t="s">
        <v>2229</v>
      </c>
      <c r="F1022" s="12" t="s">
        <v>18</v>
      </c>
      <c r="G1022" s="12" t="s">
        <v>90</v>
      </c>
      <c r="H1022" s="12" t="s">
        <v>2258</v>
      </c>
      <c r="I1022" s="12">
        <v>56651136787</v>
      </c>
      <c r="J1022" s="12" t="s">
        <v>2259</v>
      </c>
      <c r="K1022" s="12">
        <v>1</v>
      </c>
      <c r="L1022" s="12">
        <v>17</v>
      </c>
      <c r="M1022" s="12"/>
      <c r="N1022" s="13">
        <v>1997</v>
      </c>
      <c r="O1022" s="12" t="s">
        <v>93</v>
      </c>
      <c r="P1022" s="12"/>
      <c r="Q1022" s="12"/>
      <c r="R1022" s="12" t="s">
        <v>94</v>
      </c>
      <c r="S1022" s="12">
        <v>10</v>
      </c>
      <c r="T1022" s="12" t="s">
        <v>2232</v>
      </c>
      <c r="U1022" s="12" t="s">
        <v>2233</v>
      </c>
      <c r="V1022" s="12">
        <f>VLOOKUP(Tabla4[[#This Row],[ZONA DEFINITIVO]],Hoja1!$A$1:$D$121,3,0)</f>
        <v>229180</v>
      </c>
      <c r="W1022" s="12">
        <f>VLOOKUP(Tabla4[[#This Row],[ZONA DEFINITIVO]],Hoja1!$A$1:$D$121,2,0)</f>
        <v>15357</v>
      </c>
      <c r="X1022" s="12">
        <f>VLOOKUP(Tabla4[[#This Row],[ZONA DEFINITIVO]],Hoja1!$A$1:$D$121,4,0)</f>
        <v>87925</v>
      </c>
      <c r="Y1022" s="12" t="str">
        <f>+IF(Tabla4[[#This Row],[AGRUPACIONES]]=1,SUMIFS(Tabla4[UDS],Tabla4[ZONA DEFINITIVO],Tabla4[[#This Row],[ZONA DEFINITIVO]])," ")</f>
        <v xml:space="preserve"> </v>
      </c>
      <c r="Z1022" s="12" t="str">
        <f>+IF(Tabla4[[#This Row],[AGRUPACIONES]]=1,SUMIFS(Tabla4[TOTAL COBERTURA],Tabla4[ZONA DEFINITIVO],Tabla4[[#This Row],[ZONA DEFINITIVO]])," ")</f>
        <v xml:space="preserve"> </v>
      </c>
      <c r="AA1022" s="12"/>
      <c r="AB1022" s="38">
        <v>37063281</v>
      </c>
      <c r="AC1022" s="37">
        <v>0.02</v>
      </c>
      <c r="AD1022" s="38">
        <f t="shared" si="16"/>
        <v>741265.62</v>
      </c>
      <c r="AE1022" s="12"/>
      <c r="AF1022" s="12">
        <f>COUNTIF($A$20:A1022,A1022)</f>
        <v>14</v>
      </c>
      <c r="AG1022" s="38">
        <v>37063281</v>
      </c>
      <c r="AH1022" s="38">
        <f>Tabla4[[#This Row],[VALOR CONTRAPARTIDA]]+Tabla4[[#This Row],[TOTAL APORTES ICBF]]</f>
        <v>37804546.619999997</v>
      </c>
      <c r="AI1022" s="35"/>
      <c r="AJ1022" s="38"/>
      <c r="AK1022" s="38"/>
      <c r="AL1022" s="23"/>
      <c r="AM1022" s="35">
        <f>VLOOKUP(Tabla4[[#This Row],[SERVICIO 2025]],$J$2:$V$14,5,0)*Tabla4[[#This Row],[TOTAL COBERTURA]]</f>
        <v>839392</v>
      </c>
      <c r="AN1022" s="35">
        <f>VLOOKUP(Tabla4[[#This Row],[SERVICIO 2025]],$J$2:$V$14,6,0)*Tabla4[[#This Row],[TOTAL COBERTURA]]</f>
        <v>697493</v>
      </c>
      <c r="AO1022" s="35">
        <f>VLOOKUP(Tabla4[[#This Row],[SERVICIO 2025]],$J$2:$V$14,8,0)*Tabla4[[#This Row],[TOTAL COBERTURA]]</f>
        <v>494700</v>
      </c>
      <c r="AP1022" s="35">
        <f>VLOOKUP(Tabla4[[#This Row],[SERVICIO 2025]],$J$2:$V$14,3,0)*Tabla4[[#This Row],[TOTAL COBERTURA]]*8</f>
        <v>35031696</v>
      </c>
      <c r="AQ1022" s="35"/>
      <c r="AR1022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1022" s="35" t="str">
        <f>+IF(Tabla4[[#This Row],[AGRUPACIONES]]=1,SUMIFS(Tabla4[VALOR TOTAL],Tabla4[ZONA DEFINITIVO],Tabla4[[#This Row],[ZONA DEFINITIVO]])," ")</f>
        <v xml:space="preserve"> </v>
      </c>
      <c r="AT1022" s="27">
        <f>(VLOOKUP(Tabla4[[#This Row],[SERVICIO 2025]],$J$2:$V$14,3,0)*Tabla4[[#This Row],[TOTAL COBERTURA]])+Tabla4[[#This Row],[VALOR FASE PREPARATORIA DE ALISTAMIENTO]]+Tabla4[[#This Row],[DOTACIÓN ÚNICA]]</f>
        <v>5713054</v>
      </c>
      <c r="AU1022" s="35">
        <f>(VLOOKUP(Tabla4[[#This Row],[SERVICIO 2025]],$J$2:$V$14,3,0)*Tabla4[[#This Row],[TOTAL COBERTURA]])</f>
        <v>4378962</v>
      </c>
      <c r="AV1022" s="35">
        <f>(VLOOKUP(Tabla4[[#This Row],[SERVICIO 2025]],$J$2:$V$14,3,0)*Tabla4[[#This Row],[TOTAL COBERTURA]])</f>
        <v>4378962</v>
      </c>
      <c r="AW1022" s="35">
        <f>(VLOOKUP(Tabla4[[#This Row],[SERVICIO 2025]],$J$2:$V$14,3,0)*Tabla4[[#This Row],[TOTAL COBERTURA]])</f>
        <v>4378962</v>
      </c>
      <c r="AX1022" s="35">
        <f>(VLOOKUP(Tabla4[[#This Row],[SERVICIO 2025]],$J$2:$V$14,3,0)*Tabla4[[#This Row],[TOTAL COBERTURA]])</f>
        <v>4378962</v>
      </c>
      <c r="AY1022" s="35">
        <f>(VLOOKUP(Tabla4[[#This Row],[SERVICIO 2025]],$J$2:$V$14,3,0)*Tabla4[[#This Row],[TOTAL COBERTURA]])</f>
        <v>4378962</v>
      </c>
      <c r="AZ1022" s="35">
        <f>(VLOOKUP(Tabla4[[#This Row],[SERVICIO 2025]],$J$2:$V$14,3,0)*Tabla4[[#This Row],[TOTAL COBERTURA]])</f>
        <v>4378962</v>
      </c>
      <c r="BA1022" s="35">
        <f>(VLOOKUP(Tabla4[[#This Row],[SERVICIO 2025]],$J$2:$V$14,3,0)*Tabla4[[#This Row],[TOTAL COBERTURA]])+Tabla4[[#This Row],[VALOR FASE PREPARATORIA DE CIERRE]]</f>
        <v>5076455</v>
      </c>
      <c r="BB1022" s="35">
        <f>SUM(Tabla4[[#This Row],[DESEMBOLSO 1]:[DESEMBOLSO 8]])</f>
        <v>37063281</v>
      </c>
      <c r="BC1022" s="35">
        <f>VLOOKUP(Tabla4[[#This Row],[SERVICIO 2025]],$J$2:$V$14,10,0)*Tabla4[[#This Row],[TOTAL COBERTURA]]*$W$3</f>
        <v>24532088</v>
      </c>
      <c r="BD1022" s="47" t="s">
        <v>211</v>
      </c>
      <c r="BE1022" s="12" t="b">
        <f>EXACT(Tabla4[[#This Row],[VALOR ATENCIÓN (8 MESES)]],Tabla4[[#This Row],[VALOR TOTAL]])</f>
        <v>1</v>
      </c>
      <c r="BF1022" s="23">
        <f>Tabla4[[#This Row],[VALOR ATENCIÓN (8 MESES)]]-Tabla4[[#This Row],[VALOR TOTAL]]</f>
        <v>0</v>
      </c>
      <c r="BG1022" s="12" t="b">
        <f>EXACT(Tabla4[[#This Row],[TOTAL DESEMBOLSOS]],Tabla4[[#This Row],[VALOR ATENCIÓN (8 MESES)]])</f>
        <v>1</v>
      </c>
      <c r="BH1022" s="29">
        <f>Tabla4[[#This Row],[TOTAL DESEMBOLSOS]]-Tabla4[[#This Row],[VALOR ATENCIÓN (8 MESES)]]</f>
        <v>0</v>
      </c>
      <c r="BI1022" t="s">
        <v>98</v>
      </c>
    </row>
    <row r="1023" spans="1:61">
      <c r="A1023" s="13">
        <v>1997</v>
      </c>
      <c r="B1023" s="13" t="s">
        <v>2228</v>
      </c>
      <c r="C1023" s="12" t="s">
        <v>87</v>
      </c>
      <c r="D1023" s="12" t="s">
        <v>462</v>
      </c>
      <c r="E1023" s="12" t="s">
        <v>2229</v>
      </c>
      <c r="F1023" s="12" t="s">
        <v>18</v>
      </c>
      <c r="G1023" s="12" t="s">
        <v>90</v>
      </c>
      <c r="H1023" s="12" t="s">
        <v>2260</v>
      </c>
      <c r="I1023" s="12">
        <v>56651136788</v>
      </c>
      <c r="J1023" s="12" t="s">
        <v>2261</v>
      </c>
      <c r="K1023" s="12">
        <v>1</v>
      </c>
      <c r="L1023" s="12">
        <v>15</v>
      </c>
      <c r="M1023" s="12"/>
      <c r="N1023" s="13">
        <v>1997</v>
      </c>
      <c r="O1023" s="12" t="s">
        <v>93</v>
      </c>
      <c r="P1023" s="12"/>
      <c r="Q1023" s="12"/>
      <c r="R1023" s="12" t="s">
        <v>94</v>
      </c>
      <c r="S1023" s="12">
        <v>10</v>
      </c>
      <c r="T1023" s="12" t="s">
        <v>2232</v>
      </c>
      <c r="U1023" s="12" t="s">
        <v>2233</v>
      </c>
      <c r="V1023" s="12">
        <f>VLOOKUP(Tabla4[[#This Row],[ZONA DEFINITIVO]],Hoja1!$A$1:$D$121,3,0)</f>
        <v>229180</v>
      </c>
      <c r="W1023" s="12">
        <f>VLOOKUP(Tabla4[[#This Row],[ZONA DEFINITIVO]],Hoja1!$A$1:$D$121,2,0)</f>
        <v>15357</v>
      </c>
      <c r="X1023" s="12">
        <f>VLOOKUP(Tabla4[[#This Row],[ZONA DEFINITIVO]],Hoja1!$A$1:$D$121,4,0)</f>
        <v>87925</v>
      </c>
      <c r="Y1023" s="12" t="str">
        <f>+IF(Tabla4[[#This Row],[AGRUPACIONES]]=1,SUMIFS(Tabla4[UDS],Tabla4[ZONA DEFINITIVO],Tabla4[[#This Row],[ZONA DEFINITIVO]])," ")</f>
        <v xml:space="preserve"> </v>
      </c>
      <c r="Z1023" s="12" t="str">
        <f>+IF(Tabla4[[#This Row],[AGRUPACIONES]]=1,SUMIFS(Tabla4[TOTAL COBERTURA],Tabla4[ZONA DEFINITIVO],Tabla4[[#This Row],[ZONA DEFINITIVO]])," ")</f>
        <v xml:space="preserve"> </v>
      </c>
      <c r="AA1023" s="12"/>
      <c r="AB1023" s="38">
        <v>32702895</v>
      </c>
      <c r="AC1023" s="37">
        <v>0.02</v>
      </c>
      <c r="AD1023" s="38">
        <f t="shared" si="16"/>
        <v>654057.9</v>
      </c>
      <c r="AE1023" s="12"/>
      <c r="AF1023" s="12">
        <f>COUNTIF($A$20:A1023,A1023)</f>
        <v>15</v>
      </c>
      <c r="AG1023" s="38">
        <v>32702895</v>
      </c>
      <c r="AH1023" s="38">
        <f>Tabla4[[#This Row],[VALOR CONTRAPARTIDA]]+Tabla4[[#This Row],[TOTAL APORTES ICBF]]</f>
        <v>33356952.899999999</v>
      </c>
      <c r="AI1023" s="35"/>
      <c r="AJ1023" s="38"/>
      <c r="AK1023" s="38"/>
      <c r="AL1023" s="23"/>
      <c r="AM1023" s="35">
        <f>VLOOKUP(Tabla4[[#This Row],[SERVICIO 2025]],$J$2:$V$14,5,0)*Tabla4[[#This Row],[TOTAL COBERTURA]]</f>
        <v>740640</v>
      </c>
      <c r="AN1023" s="35">
        <f>VLOOKUP(Tabla4[[#This Row],[SERVICIO 2025]],$J$2:$V$14,6,0)*Tabla4[[#This Row],[TOTAL COBERTURA]]</f>
        <v>615435</v>
      </c>
      <c r="AO1023" s="35">
        <f>VLOOKUP(Tabla4[[#This Row],[SERVICIO 2025]],$J$2:$V$14,8,0)*Tabla4[[#This Row],[TOTAL COBERTURA]]</f>
        <v>436500</v>
      </c>
      <c r="AP1023" s="35">
        <f>VLOOKUP(Tabla4[[#This Row],[SERVICIO 2025]],$J$2:$V$14,3,0)*Tabla4[[#This Row],[TOTAL COBERTURA]]*8</f>
        <v>30910320</v>
      </c>
      <c r="AQ1023" s="35"/>
      <c r="AR1023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023" s="35" t="str">
        <f>+IF(Tabla4[[#This Row],[AGRUPACIONES]]=1,SUMIFS(Tabla4[VALOR TOTAL],Tabla4[ZONA DEFINITIVO],Tabla4[[#This Row],[ZONA DEFINITIVO]])," ")</f>
        <v xml:space="preserve"> </v>
      </c>
      <c r="AT1023" s="27">
        <f>(VLOOKUP(Tabla4[[#This Row],[SERVICIO 2025]],$J$2:$V$14,3,0)*Tabla4[[#This Row],[TOTAL COBERTURA]])+Tabla4[[#This Row],[VALOR FASE PREPARATORIA DE ALISTAMIENTO]]+Tabla4[[#This Row],[DOTACIÓN ÚNICA]]</f>
        <v>5040930</v>
      </c>
      <c r="AU1023" s="35">
        <f>(VLOOKUP(Tabla4[[#This Row],[SERVICIO 2025]],$J$2:$V$14,3,0)*Tabla4[[#This Row],[TOTAL COBERTURA]])</f>
        <v>3863790</v>
      </c>
      <c r="AV1023" s="35">
        <f>(VLOOKUP(Tabla4[[#This Row],[SERVICIO 2025]],$J$2:$V$14,3,0)*Tabla4[[#This Row],[TOTAL COBERTURA]])</f>
        <v>3863790</v>
      </c>
      <c r="AW1023" s="35">
        <f>(VLOOKUP(Tabla4[[#This Row],[SERVICIO 2025]],$J$2:$V$14,3,0)*Tabla4[[#This Row],[TOTAL COBERTURA]])</f>
        <v>3863790</v>
      </c>
      <c r="AX1023" s="35">
        <f>(VLOOKUP(Tabla4[[#This Row],[SERVICIO 2025]],$J$2:$V$14,3,0)*Tabla4[[#This Row],[TOTAL COBERTURA]])</f>
        <v>3863790</v>
      </c>
      <c r="AY1023" s="35">
        <f>(VLOOKUP(Tabla4[[#This Row],[SERVICIO 2025]],$J$2:$V$14,3,0)*Tabla4[[#This Row],[TOTAL COBERTURA]])</f>
        <v>3863790</v>
      </c>
      <c r="AZ1023" s="35">
        <f>(VLOOKUP(Tabla4[[#This Row],[SERVICIO 2025]],$J$2:$V$14,3,0)*Tabla4[[#This Row],[TOTAL COBERTURA]])</f>
        <v>3863790</v>
      </c>
      <c r="BA1023" s="35">
        <f>(VLOOKUP(Tabla4[[#This Row],[SERVICIO 2025]],$J$2:$V$14,3,0)*Tabla4[[#This Row],[TOTAL COBERTURA]])+Tabla4[[#This Row],[VALOR FASE PREPARATORIA DE CIERRE]]</f>
        <v>4479225</v>
      </c>
      <c r="BB1023" s="35">
        <f>SUM(Tabla4[[#This Row],[DESEMBOLSO 1]:[DESEMBOLSO 8]])</f>
        <v>32702895</v>
      </c>
      <c r="BC1023" s="35">
        <f>VLOOKUP(Tabla4[[#This Row],[SERVICIO 2025]],$J$2:$V$14,10,0)*Tabla4[[#This Row],[TOTAL COBERTURA]]*$W$3</f>
        <v>21645960</v>
      </c>
      <c r="BD1023" s="47" t="s">
        <v>211</v>
      </c>
      <c r="BE1023" s="12" t="b">
        <f>EXACT(Tabla4[[#This Row],[VALOR ATENCIÓN (8 MESES)]],Tabla4[[#This Row],[VALOR TOTAL]])</f>
        <v>1</v>
      </c>
      <c r="BF1023" s="23">
        <f>Tabla4[[#This Row],[VALOR ATENCIÓN (8 MESES)]]-Tabla4[[#This Row],[VALOR TOTAL]]</f>
        <v>0</v>
      </c>
      <c r="BG1023" s="12" t="b">
        <f>EXACT(Tabla4[[#This Row],[TOTAL DESEMBOLSOS]],Tabla4[[#This Row],[VALOR ATENCIÓN (8 MESES)]])</f>
        <v>1</v>
      </c>
      <c r="BH1023" s="29">
        <f>Tabla4[[#This Row],[TOTAL DESEMBOLSOS]]-Tabla4[[#This Row],[VALOR ATENCIÓN (8 MESES)]]</f>
        <v>0</v>
      </c>
      <c r="BI1023" t="s">
        <v>98</v>
      </c>
    </row>
    <row r="1024" spans="1:61">
      <c r="A1024" s="13">
        <v>1997</v>
      </c>
      <c r="B1024" s="13" t="s">
        <v>2228</v>
      </c>
      <c r="C1024" s="12" t="s">
        <v>87</v>
      </c>
      <c r="D1024" s="12" t="s">
        <v>462</v>
      </c>
      <c r="E1024" s="12" t="s">
        <v>2229</v>
      </c>
      <c r="F1024" s="12" t="s">
        <v>18</v>
      </c>
      <c r="G1024" s="12" t="s">
        <v>90</v>
      </c>
      <c r="H1024" s="12" t="s">
        <v>2262</v>
      </c>
      <c r="I1024" s="12">
        <v>56651136895</v>
      </c>
      <c r="J1024" s="12" t="s">
        <v>2263</v>
      </c>
      <c r="K1024" s="12">
        <v>1</v>
      </c>
      <c r="L1024" s="12">
        <v>15</v>
      </c>
      <c r="M1024" s="12"/>
      <c r="N1024" s="13">
        <v>1997</v>
      </c>
      <c r="O1024" s="12" t="s">
        <v>93</v>
      </c>
      <c r="P1024" s="12"/>
      <c r="Q1024" s="12"/>
      <c r="R1024" s="12" t="s">
        <v>94</v>
      </c>
      <c r="S1024" s="12">
        <v>10</v>
      </c>
      <c r="T1024" s="12" t="s">
        <v>2232</v>
      </c>
      <c r="U1024" s="12" t="s">
        <v>2233</v>
      </c>
      <c r="V1024" s="12">
        <f>VLOOKUP(Tabla4[[#This Row],[ZONA DEFINITIVO]],Hoja1!$A$1:$D$121,3,0)</f>
        <v>229180</v>
      </c>
      <c r="W1024" s="12">
        <f>VLOOKUP(Tabla4[[#This Row],[ZONA DEFINITIVO]],Hoja1!$A$1:$D$121,2,0)</f>
        <v>15357</v>
      </c>
      <c r="X1024" s="12">
        <f>VLOOKUP(Tabla4[[#This Row],[ZONA DEFINITIVO]],Hoja1!$A$1:$D$121,4,0)</f>
        <v>87925</v>
      </c>
      <c r="Y1024" s="12" t="str">
        <f>+IF(Tabla4[[#This Row],[AGRUPACIONES]]=1,SUMIFS(Tabla4[UDS],Tabla4[ZONA DEFINITIVO],Tabla4[[#This Row],[ZONA DEFINITIVO]])," ")</f>
        <v xml:space="preserve"> </v>
      </c>
      <c r="Z1024" s="12" t="str">
        <f>+IF(Tabla4[[#This Row],[AGRUPACIONES]]=1,SUMIFS(Tabla4[TOTAL COBERTURA],Tabla4[ZONA DEFINITIVO],Tabla4[[#This Row],[ZONA DEFINITIVO]])," ")</f>
        <v xml:space="preserve"> </v>
      </c>
      <c r="AA1024" s="12"/>
      <c r="AB1024" s="38">
        <v>32702895</v>
      </c>
      <c r="AC1024" s="37">
        <v>0.02</v>
      </c>
      <c r="AD1024" s="38">
        <f t="shared" si="16"/>
        <v>654057.9</v>
      </c>
      <c r="AE1024" s="12"/>
      <c r="AF1024" s="12">
        <f>COUNTIF($A$20:A1024,A1024)</f>
        <v>16</v>
      </c>
      <c r="AG1024" s="38">
        <v>32702895</v>
      </c>
      <c r="AH1024" s="38">
        <f>Tabla4[[#This Row],[VALOR CONTRAPARTIDA]]+Tabla4[[#This Row],[TOTAL APORTES ICBF]]</f>
        <v>33356952.899999999</v>
      </c>
      <c r="AI1024" s="35"/>
      <c r="AJ1024" s="38"/>
      <c r="AK1024" s="38"/>
      <c r="AL1024" s="23"/>
      <c r="AM1024" s="35">
        <f>VLOOKUP(Tabla4[[#This Row],[SERVICIO 2025]],$J$2:$V$14,5,0)*Tabla4[[#This Row],[TOTAL COBERTURA]]</f>
        <v>740640</v>
      </c>
      <c r="AN1024" s="35">
        <f>VLOOKUP(Tabla4[[#This Row],[SERVICIO 2025]],$J$2:$V$14,6,0)*Tabla4[[#This Row],[TOTAL COBERTURA]]</f>
        <v>615435</v>
      </c>
      <c r="AO1024" s="35">
        <f>VLOOKUP(Tabla4[[#This Row],[SERVICIO 2025]],$J$2:$V$14,8,0)*Tabla4[[#This Row],[TOTAL COBERTURA]]</f>
        <v>436500</v>
      </c>
      <c r="AP1024" s="35">
        <f>VLOOKUP(Tabla4[[#This Row],[SERVICIO 2025]],$J$2:$V$14,3,0)*Tabla4[[#This Row],[TOTAL COBERTURA]]*8</f>
        <v>30910320</v>
      </c>
      <c r="AQ1024" s="35"/>
      <c r="AR1024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024" s="35" t="str">
        <f>+IF(Tabla4[[#This Row],[AGRUPACIONES]]=1,SUMIFS(Tabla4[VALOR TOTAL],Tabla4[ZONA DEFINITIVO],Tabla4[[#This Row],[ZONA DEFINITIVO]])," ")</f>
        <v xml:space="preserve"> </v>
      </c>
      <c r="AT1024" s="27">
        <f>(VLOOKUP(Tabla4[[#This Row],[SERVICIO 2025]],$J$2:$V$14,3,0)*Tabla4[[#This Row],[TOTAL COBERTURA]])+Tabla4[[#This Row],[VALOR FASE PREPARATORIA DE ALISTAMIENTO]]+Tabla4[[#This Row],[DOTACIÓN ÚNICA]]</f>
        <v>5040930</v>
      </c>
      <c r="AU1024" s="35">
        <f>(VLOOKUP(Tabla4[[#This Row],[SERVICIO 2025]],$J$2:$V$14,3,0)*Tabla4[[#This Row],[TOTAL COBERTURA]])</f>
        <v>3863790</v>
      </c>
      <c r="AV1024" s="35">
        <f>(VLOOKUP(Tabla4[[#This Row],[SERVICIO 2025]],$J$2:$V$14,3,0)*Tabla4[[#This Row],[TOTAL COBERTURA]])</f>
        <v>3863790</v>
      </c>
      <c r="AW1024" s="35">
        <f>(VLOOKUP(Tabla4[[#This Row],[SERVICIO 2025]],$J$2:$V$14,3,0)*Tabla4[[#This Row],[TOTAL COBERTURA]])</f>
        <v>3863790</v>
      </c>
      <c r="AX1024" s="35">
        <f>(VLOOKUP(Tabla4[[#This Row],[SERVICIO 2025]],$J$2:$V$14,3,0)*Tabla4[[#This Row],[TOTAL COBERTURA]])</f>
        <v>3863790</v>
      </c>
      <c r="AY1024" s="35">
        <f>(VLOOKUP(Tabla4[[#This Row],[SERVICIO 2025]],$J$2:$V$14,3,0)*Tabla4[[#This Row],[TOTAL COBERTURA]])</f>
        <v>3863790</v>
      </c>
      <c r="AZ1024" s="35">
        <f>(VLOOKUP(Tabla4[[#This Row],[SERVICIO 2025]],$J$2:$V$14,3,0)*Tabla4[[#This Row],[TOTAL COBERTURA]])</f>
        <v>3863790</v>
      </c>
      <c r="BA1024" s="35">
        <f>(VLOOKUP(Tabla4[[#This Row],[SERVICIO 2025]],$J$2:$V$14,3,0)*Tabla4[[#This Row],[TOTAL COBERTURA]])+Tabla4[[#This Row],[VALOR FASE PREPARATORIA DE CIERRE]]</f>
        <v>4479225</v>
      </c>
      <c r="BB1024" s="35">
        <f>SUM(Tabla4[[#This Row],[DESEMBOLSO 1]:[DESEMBOLSO 8]])</f>
        <v>32702895</v>
      </c>
      <c r="BC1024" s="35">
        <f>VLOOKUP(Tabla4[[#This Row],[SERVICIO 2025]],$J$2:$V$14,10,0)*Tabla4[[#This Row],[TOTAL COBERTURA]]*$W$3</f>
        <v>21645960</v>
      </c>
      <c r="BD1024" s="47" t="s">
        <v>211</v>
      </c>
      <c r="BE1024" s="12" t="b">
        <f>EXACT(Tabla4[[#This Row],[VALOR ATENCIÓN (8 MESES)]],Tabla4[[#This Row],[VALOR TOTAL]])</f>
        <v>1</v>
      </c>
      <c r="BF1024" s="23">
        <f>Tabla4[[#This Row],[VALOR ATENCIÓN (8 MESES)]]-Tabla4[[#This Row],[VALOR TOTAL]]</f>
        <v>0</v>
      </c>
      <c r="BG1024" s="12" t="b">
        <f>EXACT(Tabla4[[#This Row],[TOTAL DESEMBOLSOS]],Tabla4[[#This Row],[VALOR ATENCIÓN (8 MESES)]])</f>
        <v>1</v>
      </c>
      <c r="BH1024" s="29">
        <f>Tabla4[[#This Row],[TOTAL DESEMBOLSOS]]-Tabla4[[#This Row],[VALOR ATENCIÓN (8 MESES)]]</f>
        <v>0</v>
      </c>
      <c r="BI1024" t="s">
        <v>98</v>
      </c>
    </row>
    <row r="1025" spans="1:61">
      <c r="A1025" s="13">
        <v>1997</v>
      </c>
      <c r="B1025" s="13" t="s">
        <v>2228</v>
      </c>
      <c r="C1025" s="12" t="s">
        <v>87</v>
      </c>
      <c r="D1025" s="12" t="s">
        <v>462</v>
      </c>
      <c r="E1025" s="12" t="s">
        <v>2229</v>
      </c>
      <c r="F1025" s="12" t="s">
        <v>18</v>
      </c>
      <c r="G1025" s="12" t="s">
        <v>90</v>
      </c>
      <c r="H1025" s="12" t="s">
        <v>2264</v>
      </c>
      <c r="I1025" s="12">
        <v>56651136896</v>
      </c>
      <c r="J1025" s="12" t="s">
        <v>2265</v>
      </c>
      <c r="K1025" s="12">
        <v>1</v>
      </c>
      <c r="L1025" s="12">
        <v>17</v>
      </c>
      <c r="M1025" s="12"/>
      <c r="N1025" s="13">
        <v>1997</v>
      </c>
      <c r="O1025" s="12" t="s">
        <v>93</v>
      </c>
      <c r="P1025" s="12"/>
      <c r="Q1025" s="12"/>
      <c r="R1025" s="12" t="s">
        <v>94</v>
      </c>
      <c r="S1025" s="12">
        <v>10</v>
      </c>
      <c r="T1025" s="12" t="s">
        <v>2232</v>
      </c>
      <c r="U1025" s="12" t="s">
        <v>2233</v>
      </c>
      <c r="V1025" s="12">
        <f>VLOOKUP(Tabla4[[#This Row],[ZONA DEFINITIVO]],Hoja1!$A$1:$D$121,3,0)</f>
        <v>229180</v>
      </c>
      <c r="W1025" s="12">
        <f>VLOOKUP(Tabla4[[#This Row],[ZONA DEFINITIVO]],Hoja1!$A$1:$D$121,2,0)</f>
        <v>15357</v>
      </c>
      <c r="X1025" s="12">
        <f>VLOOKUP(Tabla4[[#This Row],[ZONA DEFINITIVO]],Hoja1!$A$1:$D$121,4,0)</f>
        <v>87925</v>
      </c>
      <c r="Y1025" s="12" t="str">
        <f>+IF(Tabla4[[#This Row],[AGRUPACIONES]]=1,SUMIFS(Tabla4[UDS],Tabla4[ZONA DEFINITIVO],Tabla4[[#This Row],[ZONA DEFINITIVO]])," ")</f>
        <v xml:space="preserve"> </v>
      </c>
      <c r="Z1025" s="12" t="str">
        <f>+IF(Tabla4[[#This Row],[AGRUPACIONES]]=1,SUMIFS(Tabla4[TOTAL COBERTURA],Tabla4[ZONA DEFINITIVO],Tabla4[[#This Row],[ZONA DEFINITIVO]])," ")</f>
        <v xml:space="preserve"> </v>
      </c>
      <c r="AA1025" s="12"/>
      <c r="AB1025" s="38">
        <v>37063281</v>
      </c>
      <c r="AC1025" s="37">
        <v>0.02</v>
      </c>
      <c r="AD1025" s="38">
        <f t="shared" si="16"/>
        <v>741265.62</v>
      </c>
      <c r="AE1025" s="12"/>
      <c r="AF1025" s="12">
        <f>COUNTIF($A$20:A1025,A1025)</f>
        <v>17</v>
      </c>
      <c r="AG1025" s="38">
        <v>37063281</v>
      </c>
      <c r="AH1025" s="38">
        <f>Tabla4[[#This Row],[VALOR CONTRAPARTIDA]]+Tabla4[[#This Row],[TOTAL APORTES ICBF]]</f>
        <v>37804546.619999997</v>
      </c>
      <c r="AI1025" s="35"/>
      <c r="AJ1025" s="38"/>
      <c r="AK1025" s="38"/>
      <c r="AL1025" s="23"/>
      <c r="AM1025" s="35">
        <f>VLOOKUP(Tabla4[[#This Row],[SERVICIO 2025]],$J$2:$V$14,5,0)*Tabla4[[#This Row],[TOTAL COBERTURA]]</f>
        <v>839392</v>
      </c>
      <c r="AN1025" s="35">
        <f>VLOOKUP(Tabla4[[#This Row],[SERVICIO 2025]],$J$2:$V$14,6,0)*Tabla4[[#This Row],[TOTAL COBERTURA]]</f>
        <v>697493</v>
      </c>
      <c r="AO1025" s="35">
        <f>VLOOKUP(Tabla4[[#This Row],[SERVICIO 2025]],$J$2:$V$14,8,0)*Tabla4[[#This Row],[TOTAL COBERTURA]]</f>
        <v>494700</v>
      </c>
      <c r="AP1025" s="35">
        <f>VLOOKUP(Tabla4[[#This Row],[SERVICIO 2025]],$J$2:$V$14,3,0)*Tabla4[[#This Row],[TOTAL COBERTURA]]*8</f>
        <v>35031696</v>
      </c>
      <c r="AQ1025" s="35"/>
      <c r="AR1025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1025" s="35" t="str">
        <f>+IF(Tabla4[[#This Row],[AGRUPACIONES]]=1,SUMIFS(Tabla4[VALOR TOTAL],Tabla4[ZONA DEFINITIVO],Tabla4[[#This Row],[ZONA DEFINITIVO]])," ")</f>
        <v xml:space="preserve"> </v>
      </c>
      <c r="AT1025" s="27">
        <f>(VLOOKUP(Tabla4[[#This Row],[SERVICIO 2025]],$J$2:$V$14,3,0)*Tabla4[[#This Row],[TOTAL COBERTURA]])+Tabla4[[#This Row],[VALOR FASE PREPARATORIA DE ALISTAMIENTO]]+Tabla4[[#This Row],[DOTACIÓN ÚNICA]]</f>
        <v>5713054</v>
      </c>
      <c r="AU1025" s="35">
        <f>(VLOOKUP(Tabla4[[#This Row],[SERVICIO 2025]],$J$2:$V$14,3,0)*Tabla4[[#This Row],[TOTAL COBERTURA]])</f>
        <v>4378962</v>
      </c>
      <c r="AV1025" s="35">
        <f>(VLOOKUP(Tabla4[[#This Row],[SERVICIO 2025]],$J$2:$V$14,3,0)*Tabla4[[#This Row],[TOTAL COBERTURA]])</f>
        <v>4378962</v>
      </c>
      <c r="AW1025" s="35">
        <f>(VLOOKUP(Tabla4[[#This Row],[SERVICIO 2025]],$J$2:$V$14,3,0)*Tabla4[[#This Row],[TOTAL COBERTURA]])</f>
        <v>4378962</v>
      </c>
      <c r="AX1025" s="35">
        <f>(VLOOKUP(Tabla4[[#This Row],[SERVICIO 2025]],$J$2:$V$14,3,0)*Tabla4[[#This Row],[TOTAL COBERTURA]])</f>
        <v>4378962</v>
      </c>
      <c r="AY1025" s="35">
        <f>(VLOOKUP(Tabla4[[#This Row],[SERVICIO 2025]],$J$2:$V$14,3,0)*Tabla4[[#This Row],[TOTAL COBERTURA]])</f>
        <v>4378962</v>
      </c>
      <c r="AZ1025" s="35">
        <f>(VLOOKUP(Tabla4[[#This Row],[SERVICIO 2025]],$J$2:$V$14,3,0)*Tabla4[[#This Row],[TOTAL COBERTURA]])</f>
        <v>4378962</v>
      </c>
      <c r="BA1025" s="35">
        <f>(VLOOKUP(Tabla4[[#This Row],[SERVICIO 2025]],$J$2:$V$14,3,0)*Tabla4[[#This Row],[TOTAL COBERTURA]])+Tabla4[[#This Row],[VALOR FASE PREPARATORIA DE CIERRE]]</f>
        <v>5076455</v>
      </c>
      <c r="BB1025" s="35">
        <f>SUM(Tabla4[[#This Row],[DESEMBOLSO 1]:[DESEMBOLSO 8]])</f>
        <v>37063281</v>
      </c>
      <c r="BC1025" s="35">
        <f>VLOOKUP(Tabla4[[#This Row],[SERVICIO 2025]],$J$2:$V$14,10,0)*Tabla4[[#This Row],[TOTAL COBERTURA]]*$W$3</f>
        <v>24532088</v>
      </c>
      <c r="BD1025" s="47" t="s">
        <v>211</v>
      </c>
      <c r="BE1025" s="12" t="b">
        <f>EXACT(Tabla4[[#This Row],[VALOR ATENCIÓN (8 MESES)]],Tabla4[[#This Row],[VALOR TOTAL]])</f>
        <v>1</v>
      </c>
      <c r="BF1025" s="23">
        <f>Tabla4[[#This Row],[VALOR ATENCIÓN (8 MESES)]]-Tabla4[[#This Row],[VALOR TOTAL]]</f>
        <v>0</v>
      </c>
      <c r="BG1025" s="12" t="b">
        <f>EXACT(Tabla4[[#This Row],[TOTAL DESEMBOLSOS]],Tabla4[[#This Row],[VALOR ATENCIÓN (8 MESES)]])</f>
        <v>1</v>
      </c>
      <c r="BH1025" s="29">
        <f>Tabla4[[#This Row],[TOTAL DESEMBOLSOS]]-Tabla4[[#This Row],[VALOR ATENCIÓN (8 MESES)]]</f>
        <v>0</v>
      </c>
      <c r="BI1025" t="s">
        <v>98</v>
      </c>
    </row>
    <row r="1026" spans="1:61">
      <c r="A1026" s="13">
        <v>1997</v>
      </c>
      <c r="B1026" s="13" t="s">
        <v>2228</v>
      </c>
      <c r="C1026" s="12" t="s">
        <v>87</v>
      </c>
      <c r="D1026" s="12" t="s">
        <v>462</v>
      </c>
      <c r="E1026" s="12" t="s">
        <v>2229</v>
      </c>
      <c r="F1026" s="12" t="s">
        <v>18</v>
      </c>
      <c r="G1026" s="12" t="s">
        <v>90</v>
      </c>
      <c r="H1026" s="12" t="s">
        <v>2266</v>
      </c>
      <c r="I1026" s="12">
        <v>56651136897</v>
      </c>
      <c r="J1026" s="12" t="s">
        <v>2267</v>
      </c>
      <c r="K1026" s="12">
        <v>1</v>
      </c>
      <c r="L1026" s="12">
        <v>15</v>
      </c>
      <c r="M1026" s="12"/>
      <c r="N1026" s="13">
        <v>1997</v>
      </c>
      <c r="O1026" s="12" t="s">
        <v>93</v>
      </c>
      <c r="P1026" s="12"/>
      <c r="Q1026" s="12"/>
      <c r="R1026" s="12" t="s">
        <v>94</v>
      </c>
      <c r="S1026" s="12">
        <v>10</v>
      </c>
      <c r="T1026" s="12" t="s">
        <v>2232</v>
      </c>
      <c r="U1026" s="12" t="s">
        <v>2233</v>
      </c>
      <c r="V1026" s="12">
        <f>VLOOKUP(Tabla4[[#This Row],[ZONA DEFINITIVO]],Hoja1!$A$1:$D$121,3,0)</f>
        <v>229180</v>
      </c>
      <c r="W1026" s="12">
        <f>VLOOKUP(Tabla4[[#This Row],[ZONA DEFINITIVO]],Hoja1!$A$1:$D$121,2,0)</f>
        <v>15357</v>
      </c>
      <c r="X1026" s="12">
        <f>VLOOKUP(Tabla4[[#This Row],[ZONA DEFINITIVO]],Hoja1!$A$1:$D$121,4,0)</f>
        <v>87925</v>
      </c>
      <c r="Y1026" s="12" t="str">
        <f>+IF(Tabla4[[#This Row],[AGRUPACIONES]]=1,SUMIFS(Tabla4[UDS],Tabla4[ZONA DEFINITIVO],Tabla4[[#This Row],[ZONA DEFINITIVO]])," ")</f>
        <v xml:space="preserve"> </v>
      </c>
      <c r="Z1026" s="12" t="str">
        <f>+IF(Tabla4[[#This Row],[AGRUPACIONES]]=1,SUMIFS(Tabla4[TOTAL COBERTURA],Tabla4[ZONA DEFINITIVO],Tabla4[[#This Row],[ZONA DEFINITIVO]])," ")</f>
        <v xml:space="preserve"> </v>
      </c>
      <c r="AA1026" s="12"/>
      <c r="AB1026" s="38">
        <v>32702895</v>
      </c>
      <c r="AC1026" s="37">
        <v>0.02</v>
      </c>
      <c r="AD1026" s="38">
        <f t="shared" si="16"/>
        <v>654057.9</v>
      </c>
      <c r="AE1026" s="12"/>
      <c r="AF1026" s="12">
        <f>COUNTIF($A$20:A1026,A1026)</f>
        <v>18</v>
      </c>
      <c r="AG1026" s="38">
        <v>32702895</v>
      </c>
      <c r="AH1026" s="38">
        <f>Tabla4[[#This Row],[VALOR CONTRAPARTIDA]]+Tabla4[[#This Row],[TOTAL APORTES ICBF]]</f>
        <v>33356952.899999999</v>
      </c>
      <c r="AI1026" s="35"/>
      <c r="AJ1026" s="38"/>
      <c r="AK1026" s="38"/>
      <c r="AL1026" s="23"/>
      <c r="AM1026" s="35">
        <f>VLOOKUP(Tabla4[[#This Row],[SERVICIO 2025]],$J$2:$V$14,5,0)*Tabla4[[#This Row],[TOTAL COBERTURA]]</f>
        <v>740640</v>
      </c>
      <c r="AN1026" s="35">
        <f>VLOOKUP(Tabla4[[#This Row],[SERVICIO 2025]],$J$2:$V$14,6,0)*Tabla4[[#This Row],[TOTAL COBERTURA]]</f>
        <v>615435</v>
      </c>
      <c r="AO1026" s="35">
        <f>VLOOKUP(Tabla4[[#This Row],[SERVICIO 2025]],$J$2:$V$14,8,0)*Tabla4[[#This Row],[TOTAL COBERTURA]]</f>
        <v>436500</v>
      </c>
      <c r="AP1026" s="35">
        <f>VLOOKUP(Tabla4[[#This Row],[SERVICIO 2025]],$J$2:$V$14,3,0)*Tabla4[[#This Row],[TOTAL COBERTURA]]*8</f>
        <v>30910320</v>
      </c>
      <c r="AQ1026" s="35"/>
      <c r="AR1026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026" s="35" t="str">
        <f>+IF(Tabla4[[#This Row],[AGRUPACIONES]]=1,SUMIFS(Tabla4[VALOR TOTAL],Tabla4[ZONA DEFINITIVO],Tabla4[[#This Row],[ZONA DEFINITIVO]])," ")</f>
        <v xml:space="preserve"> </v>
      </c>
      <c r="AT1026" s="27">
        <f>(VLOOKUP(Tabla4[[#This Row],[SERVICIO 2025]],$J$2:$V$14,3,0)*Tabla4[[#This Row],[TOTAL COBERTURA]])+Tabla4[[#This Row],[VALOR FASE PREPARATORIA DE ALISTAMIENTO]]+Tabla4[[#This Row],[DOTACIÓN ÚNICA]]</f>
        <v>5040930</v>
      </c>
      <c r="AU1026" s="35">
        <f>(VLOOKUP(Tabla4[[#This Row],[SERVICIO 2025]],$J$2:$V$14,3,0)*Tabla4[[#This Row],[TOTAL COBERTURA]])</f>
        <v>3863790</v>
      </c>
      <c r="AV1026" s="35">
        <f>(VLOOKUP(Tabla4[[#This Row],[SERVICIO 2025]],$J$2:$V$14,3,0)*Tabla4[[#This Row],[TOTAL COBERTURA]])</f>
        <v>3863790</v>
      </c>
      <c r="AW1026" s="35">
        <f>(VLOOKUP(Tabla4[[#This Row],[SERVICIO 2025]],$J$2:$V$14,3,0)*Tabla4[[#This Row],[TOTAL COBERTURA]])</f>
        <v>3863790</v>
      </c>
      <c r="AX1026" s="35">
        <f>(VLOOKUP(Tabla4[[#This Row],[SERVICIO 2025]],$J$2:$V$14,3,0)*Tabla4[[#This Row],[TOTAL COBERTURA]])</f>
        <v>3863790</v>
      </c>
      <c r="AY1026" s="35">
        <f>(VLOOKUP(Tabla4[[#This Row],[SERVICIO 2025]],$J$2:$V$14,3,0)*Tabla4[[#This Row],[TOTAL COBERTURA]])</f>
        <v>3863790</v>
      </c>
      <c r="AZ1026" s="35">
        <f>(VLOOKUP(Tabla4[[#This Row],[SERVICIO 2025]],$J$2:$V$14,3,0)*Tabla4[[#This Row],[TOTAL COBERTURA]])</f>
        <v>3863790</v>
      </c>
      <c r="BA1026" s="35">
        <f>(VLOOKUP(Tabla4[[#This Row],[SERVICIO 2025]],$J$2:$V$14,3,0)*Tabla4[[#This Row],[TOTAL COBERTURA]])+Tabla4[[#This Row],[VALOR FASE PREPARATORIA DE CIERRE]]</f>
        <v>4479225</v>
      </c>
      <c r="BB1026" s="35">
        <f>SUM(Tabla4[[#This Row],[DESEMBOLSO 1]:[DESEMBOLSO 8]])</f>
        <v>32702895</v>
      </c>
      <c r="BC1026" s="35">
        <f>VLOOKUP(Tabla4[[#This Row],[SERVICIO 2025]],$J$2:$V$14,10,0)*Tabla4[[#This Row],[TOTAL COBERTURA]]*$W$3</f>
        <v>21645960</v>
      </c>
      <c r="BD1026" s="47" t="s">
        <v>211</v>
      </c>
      <c r="BE1026" s="12" t="b">
        <f>EXACT(Tabla4[[#This Row],[VALOR ATENCIÓN (8 MESES)]],Tabla4[[#This Row],[VALOR TOTAL]])</f>
        <v>1</v>
      </c>
      <c r="BF1026" s="23">
        <f>Tabla4[[#This Row],[VALOR ATENCIÓN (8 MESES)]]-Tabla4[[#This Row],[VALOR TOTAL]]</f>
        <v>0</v>
      </c>
      <c r="BG1026" s="12" t="b">
        <f>EXACT(Tabla4[[#This Row],[TOTAL DESEMBOLSOS]],Tabla4[[#This Row],[VALOR ATENCIÓN (8 MESES)]])</f>
        <v>1</v>
      </c>
      <c r="BH1026" s="29">
        <f>Tabla4[[#This Row],[TOTAL DESEMBOLSOS]]-Tabla4[[#This Row],[VALOR ATENCIÓN (8 MESES)]]</f>
        <v>0</v>
      </c>
      <c r="BI1026" t="s">
        <v>98</v>
      </c>
    </row>
    <row r="1027" spans="1:61">
      <c r="A1027" s="13">
        <v>1997</v>
      </c>
      <c r="B1027" s="13" t="s">
        <v>2228</v>
      </c>
      <c r="C1027" s="12" t="s">
        <v>87</v>
      </c>
      <c r="D1027" s="12" t="s">
        <v>462</v>
      </c>
      <c r="E1027" s="12" t="s">
        <v>2229</v>
      </c>
      <c r="F1027" s="12" t="s">
        <v>18</v>
      </c>
      <c r="G1027" s="12" t="s">
        <v>90</v>
      </c>
      <c r="H1027" s="12" t="s">
        <v>2268</v>
      </c>
      <c r="I1027" s="12">
        <v>56651136898</v>
      </c>
      <c r="J1027" s="12" t="s">
        <v>2269</v>
      </c>
      <c r="K1027" s="12">
        <v>1</v>
      </c>
      <c r="L1027" s="12">
        <v>15</v>
      </c>
      <c r="M1027" s="12"/>
      <c r="N1027" s="13">
        <v>1997</v>
      </c>
      <c r="O1027" s="12" t="s">
        <v>93</v>
      </c>
      <c r="P1027" s="12"/>
      <c r="Q1027" s="12"/>
      <c r="R1027" s="12" t="s">
        <v>94</v>
      </c>
      <c r="S1027" s="12">
        <v>10</v>
      </c>
      <c r="T1027" s="12" t="s">
        <v>2232</v>
      </c>
      <c r="U1027" s="12" t="s">
        <v>2233</v>
      </c>
      <c r="V1027" s="12">
        <f>VLOOKUP(Tabla4[[#This Row],[ZONA DEFINITIVO]],Hoja1!$A$1:$D$121,3,0)</f>
        <v>229180</v>
      </c>
      <c r="W1027" s="12">
        <f>VLOOKUP(Tabla4[[#This Row],[ZONA DEFINITIVO]],Hoja1!$A$1:$D$121,2,0)</f>
        <v>15357</v>
      </c>
      <c r="X1027" s="12">
        <f>VLOOKUP(Tabla4[[#This Row],[ZONA DEFINITIVO]],Hoja1!$A$1:$D$121,4,0)</f>
        <v>87925</v>
      </c>
      <c r="Y1027" s="12" t="str">
        <f>+IF(Tabla4[[#This Row],[AGRUPACIONES]]=1,SUMIFS(Tabla4[UDS],Tabla4[ZONA DEFINITIVO],Tabla4[[#This Row],[ZONA DEFINITIVO]])," ")</f>
        <v xml:space="preserve"> </v>
      </c>
      <c r="Z1027" s="12" t="str">
        <f>+IF(Tabla4[[#This Row],[AGRUPACIONES]]=1,SUMIFS(Tabla4[TOTAL COBERTURA],Tabla4[ZONA DEFINITIVO],Tabla4[[#This Row],[ZONA DEFINITIVO]])," ")</f>
        <v xml:space="preserve"> </v>
      </c>
      <c r="AA1027" s="12"/>
      <c r="AB1027" s="38">
        <v>32702895</v>
      </c>
      <c r="AC1027" s="37">
        <v>0.02</v>
      </c>
      <c r="AD1027" s="38">
        <f t="shared" si="16"/>
        <v>654057.9</v>
      </c>
      <c r="AE1027" s="12"/>
      <c r="AF1027" s="12">
        <f>COUNTIF($A$20:A1027,A1027)</f>
        <v>19</v>
      </c>
      <c r="AG1027" s="38">
        <v>32702895</v>
      </c>
      <c r="AH1027" s="38">
        <f>Tabla4[[#This Row],[VALOR CONTRAPARTIDA]]+Tabla4[[#This Row],[TOTAL APORTES ICBF]]</f>
        <v>33356952.899999999</v>
      </c>
      <c r="AI1027" s="35"/>
      <c r="AJ1027" s="38"/>
      <c r="AK1027" s="38"/>
      <c r="AL1027" s="23"/>
      <c r="AM1027" s="35">
        <f>VLOOKUP(Tabla4[[#This Row],[SERVICIO 2025]],$J$2:$V$14,5,0)*Tabla4[[#This Row],[TOTAL COBERTURA]]</f>
        <v>740640</v>
      </c>
      <c r="AN1027" s="35">
        <f>VLOOKUP(Tabla4[[#This Row],[SERVICIO 2025]],$J$2:$V$14,6,0)*Tabla4[[#This Row],[TOTAL COBERTURA]]</f>
        <v>615435</v>
      </c>
      <c r="AO1027" s="35">
        <f>VLOOKUP(Tabla4[[#This Row],[SERVICIO 2025]],$J$2:$V$14,8,0)*Tabla4[[#This Row],[TOTAL COBERTURA]]</f>
        <v>436500</v>
      </c>
      <c r="AP1027" s="35">
        <f>VLOOKUP(Tabla4[[#This Row],[SERVICIO 2025]],$J$2:$V$14,3,0)*Tabla4[[#This Row],[TOTAL COBERTURA]]*8</f>
        <v>30910320</v>
      </c>
      <c r="AQ1027" s="35"/>
      <c r="AR1027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027" s="35" t="str">
        <f>+IF(Tabla4[[#This Row],[AGRUPACIONES]]=1,SUMIFS(Tabla4[VALOR TOTAL],Tabla4[ZONA DEFINITIVO],Tabla4[[#This Row],[ZONA DEFINITIVO]])," ")</f>
        <v xml:space="preserve"> </v>
      </c>
      <c r="AT1027" s="27">
        <f>(VLOOKUP(Tabla4[[#This Row],[SERVICIO 2025]],$J$2:$V$14,3,0)*Tabla4[[#This Row],[TOTAL COBERTURA]])+Tabla4[[#This Row],[VALOR FASE PREPARATORIA DE ALISTAMIENTO]]+Tabla4[[#This Row],[DOTACIÓN ÚNICA]]</f>
        <v>5040930</v>
      </c>
      <c r="AU1027" s="35">
        <f>(VLOOKUP(Tabla4[[#This Row],[SERVICIO 2025]],$J$2:$V$14,3,0)*Tabla4[[#This Row],[TOTAL COBERTURA]])</f>
        <v>3863790</v>
      </c>
      <c r="AV1027" s="35">
        <f>(VLOOKUP(Tabla4[[#This Row],[SERVICIO 2025]],$J$2:$V$14,3,0)*Tabla4[[#This Row],[TOTAL COBERTURA]])</f>
        <v>3863790</v>
      </c>
      <c r="AW1027" s="35">
        <f>(VLOOKUP(Tabla4[[#This Row],[SERVICIO 2025]],$J$2:$V$14,3,0)*Tabla4[[#This Row],[TOTAL COBERTURA]])</f>
        <v>3863790</v>
      </c>
      <c r="AX1027" s="35">
        <f>(VLOOKUP(Tabla4[[#This Row],[SERVICIO 2025]],$J$2:$V$14,3,0)*Tabla4[[#This Row],[TOTAL COBERTURA]])</f>
        <v>3863790</v>
      </c>
      <c r="AY1027" s="35">
        <f>(VLOOKUP(Tabla4[[#This Row],[SERVICIO 2025]],$J$2:$V$14,3,0)*Tabla4[[#This Row],[TOTAL COBERTURA]])</f>
        <v>3863790</v>
      </c>
      <c r="AZ1027" s="35">
        <f>(VLOOKUP(Tabla4[[#This Row],[SERVICIO 2025]],$J$2:$V$14,3,0)*Tabla4[[#This Row],[TOTAL COBERTURA]])</f>
        <v>3863790</v>
      </c>
      <c r="BA1027" s="35">
        <f>(VLOOKUP(Tabla4[[#This Row],[SERVICIO 2025]],$J$2:$V$14,3,0)*Tabla4[[#This Row],[TOTAL COBERTURA]])+Tabla4[[#This Row],[VALOR FASE PREPARATORIA DE CIERRE]]</f>
        <v>4479225</v>
      </c>
      <c r="BB1027" s="35">
        <f>SUM(Tabla4[[#This Row],[DESEMBOLSO 1]:[DESEMBOLSO 8]])</f>
        <v>32702895</v>
      </c>
      <c r="BC1027" s="35">
        <f>VLOOKUP(Tabla4[[#This Row],[SERVICIO 2025]],$J$2:$V$14,10,0)*Tabla4[[#This Row],[TOTAL COBERTURA]]*$W$3</f>
        <v>21645960</v>
      </c>
      <c r="BD1027" s="47" t="s">
        <v>211</v>
      </c>
      <c r="BE1027" s="12" t="b">
        <f>EXACT(Tabla4[[#This Row],[VALOR ATENCIÓN (8 MESES)]],Tabla4[[#This Row],[VALOR TOTAL]])</f>
        <v>1</v>
      </c>
      <c r="BF1027" s="23">
        <f>Tabla4[[#This Row],[VALOR ATENCIÓN (8 MESES)]]-Tabla4[[#This Row],[VALOR TOTAL]]</f>
        <v>0</v>
      </c>
      <c r="BG1027" s="12" t="b">
        <f>EXACT(Tabla4[[#This Row],[TOTAL DESEMBOLSOS]],Tabla4[[#This Row],[VALOR ATENCIÓN (8 MESES)]])</f>
        <v>1</v>
      </c>
      <c r="BH1027" s="29">
        <f>Tabla4[[#This Row],[TOTAL DESEMBOLSOS]]-Tabla4[[#This Row],[VALOR ATENCIÓN (8 MESES)]]</f>
        <v>0</v>
      </c>
      <c r="BI1027" t="s">
        <v>98</v>
      </c>
    </row>
    <row r="1028" spans="1:61">
      <c r="A1028" s="13">
        <v>1997</v>
      </c>
      <c r="B1028" s="13" t="s">
        <v>2228</v>
      </c>
      <c r="C1028" s="12" t="s">
        <v>87</v>
      </c>
      <c r="D1028" s="12" t="s">
        <v>462</v>
      </c>
      <c r="E1028" s="12" t="s">
        <v>2229</v>
      </c>
      <c r="F1028" s="12" t="s">
        <v>18</v>
      </c>
      <c r="G1028" s="12" t="s">
        <v>90</v>
      </c>
      <c r="H1028" s="12" t="s">
        <v>2270</v>
      </c>
      <c r="I1028" s="12">
        <v>56651136899</v>
      </c>
      <c r="J1028" s="12" t="s">
        <v>2271</v>
      </c>
      <c r="K1028" s="12">
        <v>1</v>
      </c>
      <c r="L1028" s="12">
        <v>29</v>
      </c>
      <c r="M1028" s="12"/>
      <c r="N1028" s="13">
        <v>1997</v>
      </c>
      <c r="O1028" s="12" t="s">
        <v>93</v>
      </c>
      <c r="P1028" s="12"/>
      <c r="Q1028" s="12"/>
      <c r="R1028" s="12" t="s">
        <v>94</v>
      </c>
      <c r="S1028" s="12">
        <v>10</v>
      </c>
      <c r="T1028" s="12" t="s">
        <v>2232</v>
      </c>
      <c r="U1028" s="12" t="s">
        <v>2233</v>
      </c>
      <c r="V1028" s="12">
        <f>VLOOKUP(Tabla4[[#This Row],[ZONA DEFINITIVO]],Hoja1!$A$1:$D$121,3,0)</f>
        <v>229180</v>
      </c>
      <c r="W1028" s="12">
        <f>VLOOKUP(Tabla4[[#This Row],[ZONA DEFINITIVO]],Hoja1!$A$1:$D$121,2,0)</f>
        <v>15357</v>
      </c>
      <c r="X1028" s="12">
        <f>VLOOKUP(Tabla4[[#This Row],[ZONA DEFINITIVO]],Hoja1!$A$1:$D$121,4,0)</f>
        <v>87925</v>
      </c>
      <c r="Y1028" s="12" t="str">
        <f>+IF(Tabla4[[#This Row],[AGRUPACIONES]]=1,SUMIFS(Tabla4[UDS],Tabla4[ZONA DEFINITIVO],Tabla4[[#This Row],[ZONA DEFINITIVO]])," ")</f>
        <v xml:space="preserve"> </v>
      </c>
      <c r="Z1028" s="12" t="str">
        <f>+IF(Tabla4[[#This Row],[AGRUPACIONES]]=1,SUMIFS(Tabla4[TOTAL COBERTURA],Tabla4[ZONA DEFINITIVO],Tabla4[[#This Row],[ZONA DEFINITIVO]])," ")</f>
        <v xml:space="preserve"> </v>
      </c>
      <c r="AA1028" s="12"/>
      <c r="AB1028" s="38">
        <v>63225597</v>
      </c>
      <c r="AC1028" s="37">
        <v>0.02</v>
      </c>
      <c r="AD1028" s="38">
        <f t="shared" si="16"/>
        <v>1264511.94</v>
      </c>
      <c r="AE1028" s="12"/>
      <c r="AF1028" s="12">
        <f>COUNTIF($A$20:A1028,A1028)</f>
        <v>20</v>
      </c>
      <c r="AG1028" s="38">
        <v>63225597</v>
      </c>
      <c r="AH1028" s="38">
        <f>Tabla4[[#This Row],[VALOR CONTRAPARTIDA]]+Tabla4[[#This Row],[TOTAL APORTES ICBF]]</f>
        <v>64490108.939999998</v>
      </c>
      <c r="AI1028" s="35"/>
      <c r="AJ1028" s="38"/>
      <c r="AK1028" s="38"/>
      <c r="AL1028" s="23"/>
      <c r="AM1028" s="35">
        <f>VLOOKUP(Tabla4[[#This Row],[SERVICIO 2025]],$J$2:$V$14,5,0)*Tabla4[[#This Row],[TOTAL COBERTURA]]</f>
        <v>1431904</v>
      </c>
      <c r="AN1028" s="35">
        <f>VLOOKUP(Tabla4[[#This Row],[SERVICIO 2025]],$J$2:$V$14,6,0)*Tabla4[[#This Row],[TOTAL COBERTURA]]</f>
        <v>1189841</v>
      </c>
      <c r="AO1028" s="35">
        <f>VLOOKUP(Tabla4[[#This Row],[SERVICIO 2025]],$J$2:$V$14,8,0)*Tabla4[[#This Row],[TOTAL COBERTURA]]</f>
        <v>843900</v>
      </c>
      <c r="AP1028" s="35">
        <f>VLOOKUP(Tabla4[[#This Row],[SERVICIO 2025]],$J$2:$V$14,3,0)*Tabla4[[#This Row],[TOTAL COBERTURA]]*8</f>
        <v>59759952</v>
      </c>
      <c r="AQ1028" s="35"/>
      <c r="AR1028" s="35">
        <f>Tabla4[[#This Row],[VALOR FASE PREPARATORIA DE ALISTAMIENTO]]+Tabla4[[#This Row],[VALOR FASE PREPARATORIA DE CIERRE]]+Tabla4[[#This Row],[DOTACIÓN ÚNICA]]+Tabla4[[#This Row],[VALOR ATENCIÓN]]+Tabla4[[#This Row],[VALOR RACION PREPARADA]]</f>
        <v>63225597</v>
      </c>
      <c r="AS1028" s="35" t="str">
        <f>+IF(Tabla4[[#This Row],[AGRUPACIONES]]=1,SUMIFS(Tabla4[VALOR TOTAL],Tabla4[ZONA DEFINITIVO],Tabla4[[#This Row],[ZONA DEFINITIVO]])," ")</f>
        <v xml:space="preserve"> </v>
      </c>
      <c r="AT1028" s="27">
        <f>(VLOOKUP(Tabla4[[#This Row],[SERVICIO 2025]],$J$2:$V$14,3,0)*Tabla4[[#This Row],[TOTAL COBERTURA]])+Tabla4[[#This Row],[VALOR FASE PREPARATORIA DE ALISTAMIENTO]]+Tabla4[[#This Row],[DOTACIÓN ÚNICA]]</f>
        <v>9745798</v>
      </c>
      <c r="AU1028" s="35">
        <f>(VLOOKUP(Tabla4[[#This Row],[SERVICIO 2025]],$J$2:$V$14,3,0)*Tabla4[[#This Row],[TOTAL COBERTURA]])</f>
        <v>7469994</v>
      </c>
      <c r="AV1028" s="35">
        <f>(VLOOKUP(Tabla4[[#This Row],[SERVICIO 2025]],$J$2:$V$14,3,0)*Tabla4[[#This Row],[TOTAL COBERTURA]])</f>
        <v>7469994</v>
      </c>
      <c r="AW1028" s="35">
        <f>(VLOOKUP(Tabla4[[#This Row],[SERVICIO 2025]],$J$2:$V$14,3,0)*Tabla4[[#This Row],[TOTAL COBERTURA]])</f>
        <v>7469994</v>
      </c>
      <c r="AX1028" s="35">
        <f>(VLOOKUP(Tabla4[[#This Row],[SERVICIO 2025]],$J$2:$V$14,3,0)*Tabla4[[#This Row],[TOTAL COBERTURA]])</f>
        <v>7469994</v>
      </c>
      <c r="AY1028" s="35">
        <f>(VLOOKUP(Tabla4[[#This Row],[SERVICIO 2025]],$J$2:$V$14,3,0)*Tabla4[[#This Row],[TOTAL COBERTURA]])</f>
        <v>7469994</v>
      </c>
      <c r="AZ1028" s="35">
        <f>(VLOOKUP(Tabla4[[#This Row],[SERVICIO 2025]],$J$2:$V$14,3,0)*Tabla4[[#This Row],[TOTAL COBERTURA]])</f>
        <v>7469994</v>
      </c>
      <c r="BA1028" s="35">
        <f>(VLOOKUP(Tabla4[[#This Row],[SERVICIO 2025]],$J$2:$V$14,3,0)*Tabla4[[#This Row],[TOTAL COBERTURA]])+Tabla4[[#This Row],[VALOR FASE PREPARATORIA DE CIERRE]]</f>
        <v>8659835</v>
      </c>
      <c r="BB1028" s="35">
        <f>SUM(Tabla4[[#This Row],[DESEMBOLSO 1]:[DESEMBOLSO 8]])</f>
        <v>63225597</v>
      </c>
      <c r="BC1028" s="35">
        <f>VLOOKUP(Tabla4[[#This Row],[SERVICIO 2025]],$J$2:$V$14,10,0)*Tabla4[[#This Row],[TOTAL COBERTURA]]*$W$3</f>
        <v>41848856</v>
      </c>
      <c r="BD1028" s="47" t="s">
        <v>211</v>
      </c>
      <c r="BE1028" s="12" t="b">
        <f>EXACT(Tabla4[[#This Row],[VALOR ATENCIÓN (8 MESES)]],Tabla4[[#This Row],[VALOR TOTAL]])</f>
        <v>1</v>
      </c>
      <c r="BF1028" s="23">
        <f>Tabla4[[#This Row],[VALOR ATENCIÓN (8 MESES)]]-Tabla4[[#This Row],[VALOR TOTAL]]</f>
        <v>0</v>
      </c>
      <c r="BG1028" s="12" t="b">
        <f>EXACT(Tabla4[[#This Row],[TOTAL DESEMBOLSOS]],Tabla4[[#This Row],[VALOR ATENCIÓN (8 MESES)]])</f>
        <v>1</v>
      </c>
      <c r="BH1028" s="29">
        <f>Tabla4[[#This Row],[TOTAL DESEMBOLSOS]]-Tabla4[[#This Row],[VALOR ATENCIÓN (8 MESES)]]</f>
        <v>0</v>
      </c>
      <c r="BI1028" t="s">
        <v>98</v>
      </c>
    </row>
    <row r="1029" spans="1:61">
      <c r="A1029" s="13">
        <v>1997</v>
      </c>
      <c r="B1029" s="13" t="s">
        <v>2228</v>
      </c>
      <c r="C1029" s="12" t="s">
        <v>87</v>
      </c>
      <c r="D1029" s="12" t="s">
        <v>462</v>
      </c>
      <c r="E1029" s="12" t="s">
        <v>2229</v>
      </c>
      <c r="F1029" s="12" t="s">
        <v>18</v>
      </c>
      <c r="G1029" s="12" t="s">
        <v>90</v>
      </c>
      <c r="H1029" s="12" t="s">
        <v>2272</v>
      </c>
      <c r="I1029" s="12">
        <v>56651136900</v>
      </c>
      <c r="J1029" s="12" t="s">
        <v>2273</v>
      </c>
      <c r="K1029" s="12">
        <v>1</v>
      </c>
      <c r="L1029" s="12">
        <v>30</v>
      </c>
      <c r="M1029" s="12"/>
      <c r="N1029" s="13">
        <v>1997</v>
      </c>
      <c r="O1029" s="12" t="s">
        <v>93</v>
      </c>
      <c r="P1029" s="12"/>
      <c r="Q1029" s="12"/>
      <c r="R1029" s="12" t="s">
        <v>94</v>
      </c>
      <c r="S1029" s="12">
        <v>10</v>
      </c>
      <c r="T1029" s="12" t="s">
        <v>2232</v>
      </c>
      <c r="U1029" s="12" t="s">
        <v>2233</v>
      </c>
      <c r="V1029" s="12">
        <f>VLOOKUP(Tabla4[[#This Row],[ZONA DEFINITIVO]],Hoja1!$A$1:$D$121,3,0)</f>
        <v>229180</v>
      </c>
      <c r="W1029" s="12">
        <f>VLOOKUP(Tabla4[[#This Row],[ZONA DEFINITIVO]],Hoja1!$A$1:$D$121,2,0)</f>
        <v>15357</v>
      </c>
      <c r="X1029" s="12">
        <f>VLOOKUP(Tabla4[[#This Row],[ZONA DEFINITIVO]],Hoja1!$A$1:$D$121,4,0)</f>
        <v>87925</v>
      </c>
      <c r="Y1029" s="12" t="str">
        <f>+IF(Tabla4[[#This Row],[AGRUPACIONES]]=1,SUMIFS(Tabla4[UDS],Tabla4[ZONA DEFINITIVO],Tabla4[[#This Row],[ZONA DEFINITIVO]])," ")</f>
        <v xml:space="preserve"> </v>
      </c>
      <c r="Z1029" s="12" t="str">
        <f>+IF(Tabla4[[#This Row],[AGRUPACIONES]]=1,SUMIFS(Tabla4[TOTAL COBERTURA],Tabla4[ZONA DEFINITIVO],Tabla4[[#This Row],[ZONA DEFINITIVO]])," ")</f>
        <v xml:space="preserve"> </v>
      </c>
      <c r="AA1029" s="12"/>
      <c r="AB1029" s="38">
        <v>65405790</v>
      </c>
      <c r="AC1029" s="37">
        <v>0.02</v>
      </c>
      <c r="AD1029" s="38">
        <f t="shared" si="16"/>
        <v>1308115.8</v>
      </c>
      <c r="AE1029" s="12"/>
      <c r="AF1029" s="12">
        <f>COUNTIF($A$20:A1029,A1029)</f>
        <v>21</v>
      </c>
      <c r="AG1029" s="38">
        <v>65405790</v>
      </c>
      <c r="AH1029" s="38">
        <f>Tabla4[[#This Row],[VALOR CONTRAPARTIDA]]+Tabla4[[#This Row],[TOTAL APORTES ICBF]]</f>
        <v>66713905.799999997</v>
      </c>
      <c r="AI1029" s="35"/>
      <c r="AJ1029" s="38"/>
      <c r="AK1029" s="38"/>
      <c r="AL1029" s="23"/>
      <c r="AM1029" s="35">
        <f>VLOOKUP(Tabla4[[#This Row],[SERVICIO 2025]],$J$2:$V$14,5,0)*Tabla4[[#This Row],[TOTAL COBERTURA]]</f>
        <v>1481280</v>
      </c>
      <c r="AN1029" s="35">
        <f>VLOOKUP(Tabla4[[#This Row],[SERVICIO 2025]],$J$2:$V$14,6,0)*Tabla4[[#This Row],[TOTAL COBERTURA]]</f>
        <v>1230870</v>
      </c>
      <c r="AO1029" s="35">
        <f>VLOOKUP(Tabla4[[#This Row],[SERVICIO 2025]],$J$2:$V$14,8,0)*Tabla4[[#This Row],[TOTAL COBERTURA]]</f>
        <v>873000</v>
      </c>
      <c r="AP1029" s="35">
        <f>VLOOKUP(Tabla4[[#This Row],[SERVICIO 2025]],$J$2:$V$14,3,0)*Tabla4[[#This Row],[TOTAL COBERTURA]]*8</f>
        <v>61820640</v>
      </c>
      <c r="AQ1029" s="35"/>
      <c r="AR1029" s="35">
        <f>Tabla4[[#This Row],[VALOR FASE PREPARATORIA DE ALISTAMIENTO]]+Tabla4[[#This Row],[VALOR FASE PREPARATORIA DE CIERRE]]+Tabla4[[#This Row],[DOTACIÓN ÚNICA]]+Tabla4[[#This Row],[VALOR ATENCIÓN]]+Tabla4[[#This Row],[VALOR RACION PREPARADA]]</f>
        <v>65405790</v>
      </c>
      <c r="AS1029" s="35" t="str">
        <f>+IF(Tabla4[[#This Row],[AGRUPACIONES]]=1,SUMIFS(Tabla4[VALOR TOTAL],Tabla4[ZONA DEFINITIVO],Tabla4[[#This Row],[ZONA DEFINITIVO]])," ")</f>
        <v xml:space="preserve"> </v>
      </c>
      <c r="AT1029" s="27">
        <f>(VLOOKUP(Tabla4[[#This Row],[SERVICIO 2025]],$J$2:$V$14,3,0)*Tabla4[[#This Row],[TOTAL COBERTURA]])+Tabla4[[#This Row],[VALOR FASE PREPARATORIA DE ALISTAMIENTO]]+Tabla4[[#This Row],[DOTACIÓN ÚNICA]]</f>
        <v>10081860</v>
      </c>
      <c r="AU1029" s="35">
        <f>(VLOOKUP(Tabla4[[#This Row],[SERVICIO 2025]],$J$2:$V$14,3,0)*Tabla4[[#This Row],[TOTAL COBERTURA]])</f>
        <v>7727580</v>
      </c>
      <c r="AV1029" s="35">
        <f>(VLOOKUP(Tabla4[[#This Row],[SERVICIO 2025]],$J$2:$V$14,3,0)*Tabla4[[#This Row],[TOTAL COBERTURA]])</f>
        <v>7727580</v>
      </c>
      <c r="AW1029" s="35">
        <f>(VLOOKUP(Tabla4[[#This Row],[SERVICIO 2025]],$J$2:$V$14,3,0)*Tabla4[[#This Row],[TOTAL COBERTURA]])</f>
        <v>7727580</v>
      </c>
      <c r="AX1029" s="35">
        <f>(VLOOKUP(Tabla4[[#This Row],[SERVICIO 2025]],$J$2:$V$14,3,0)*Tabla4[[#This Row],[TOTAL COBERTURA]])</f>
        <v>7727580</v>
      </c>
      <c r="AY1029" s="35">
        <f>(VLOOKUP(Tabla4[[#This Row],[SERVICIO 2025]],$J$2:$V$14,3,0)*Tabla4[[#This Row],[TOTAL COBERTURA]])</f>
        <v>7727580</v>
      </c>
      <c r="AZ1029" s="35">
        <f>(VLOOKUP(Tabla4[[#This Row],[SERVICIO 2025]],$J$2:$V$14,3,0)*Tabla4[[#This Row],[TOTAL COBERTURA]])</f>
        <v>7727580</v>
      </c>
      <c r="BA1029" s="35">
        <f>(VLOOKUP(Tabla4[[#This Row],[SERVICIO 2025]],$J$2:$V$14,3,0)*Tabla4[[#This Row],[TOTAL COBERTURA]])+Tabla4[[#This Row],[VALOR FASE PREPARATORIA DE CIERRE]]</f>
        <v>8958450</v>
      </c>
      <c r="BB1029" s="35">
        <f>SUM(Tabla4[[#This Row],[DESEMBOLSO 1]:[DESEMBOLSO 8]])</f>
        <v>65405790</v>
      </c>
      <c r="BC1029" s="35">
        <f>VLOOKUP(Tabla4[[#This Row],[SERVICIO 2025]],$J$2:$V$14,10,0)*Tabla4[[#This Row],[TOTAL COBERTURA]]*$W$3</f>
        <v>43291920</v>
      </c>
      <c r="BD1029" s="47" t="s">
        <v>211</v>
      </c>
      <c r="BE1029" s="12" t="b">
        <f>EXACT(Tabla4[[#This Row],[VALOR ATENCIÓN (8 MESES)]],Tabla4[[#This Row],[VALOR TOTAL]])</f>
        <v>1</v>
      </c>
      <c r="BF1029" s="23">
        <f>Tabla4[[#This Row],[VALOR ATENCIÓN (8 MESES)]]-Tabla4[[#This Row],[VALOR TOTAL]]</f>
        <v>0</v>
      </c>
      <c r="BG1029" s="12" t="b">
        <f>EXACT(Tabla4[[#This Row],[TOTAL DESEMBOLSOS]],Tabla4[[#This Row],[VALOR ATENCIÓN (8 MESES)]])</f>
        <v>1</v>
      </c>
      <c r="BH1029" s="29">
        <f>Tabla4[[#This Row],[TOTAL DESEMBOLSOS]]-Tabla4[[#This Row],[VALOR ATENCIÓN (8 MESES)]]</f>
        <v>0</v>
      </c>
      <c r="BI1029" t="s">
        <v>98</v>
      </c>
    </row>
    <row r="1030" spans="1:61">
      <c r="A1030" s="13">
        <v>1997</v>
      </c>
      <c r="B1030" s="13" t="s">
        <v>2228</v>
      </c>
      <c r="C1030" s="12" t="s">
        <v>87</v>
      </c>
      <c r="D1030" s="12" t="s">
        <v>462</v>
      </c>
      <c r="E1030" s="12" t="s">
        <v>2229</v>
      </c>
      <c r="F1030" s="12" t="s">
        <v>18</v>
      </c>
      <c r="G1030" s="12" t="s">
        <v>90</v>
      </c>
      <c r="H1030" s="12" t="s">
        <v>2274</v>
      </c>
      <c r="I1030" s="12">
        <v>56651136901</v>
      </c>
      <c r="J1030" s="12" t="s">
        <v>2275</v>
      </c>
      <c r="K1030" s="12">
        <v>1</v>
      </c>
      <c r="L1030" s="12">
        <v>18</v>
      </c>
      <c r="M1030" s="12"/>
      <c r="N1030" s="13">
        <v>1997</v>
      </c>
      <c r="O1030" s="12" t="s">
        <v>93</v>
      </c>
      <c r="P1030" s="12"/>
      <c r="Q1030" s="12"/>
      <c r="R1030" s="12" t="s">
        <v>94</v>
      </c>
      <c r="S1030" s="12">
        <v>10</v>
      </c>
      <c r="T1030" s="12" t="s">
        <v>2232</v>
      </c>
      <c r="U1030" s="12" t="s">
        <v>2233</v>
      </c>
      <c r="V1030" s="12">
        <f>VLOOKUP(Tabla4[[#This Row],[ZONA DEFINITIVO]],Hoja1!$A$1:$D$121,3,0)</f>
        <v>229180</v>
      </c>
      <c r="W1030" s="12">
        <f>VLOOKUP(Tabla4[[#This Row],[ZONA DEFINITIVO]],Hoja1!$A$1:$D$121,2,0)</f>
        <v>15357</v>
      </c>
      <c r="X1030" s="12">
        <f>VLOOKUP(Tabla4[[#This Row],[ZONA DEFINITIVO]],Hoja1!$A$1:$D$121,4,0)</f>
        <v>87925</v>
      </c>
      <c r="Y1030" s="12" t="str">
        <f>+IF(Tabla4[[#This Row],[AGRUPACIONES]]=1,SUMIFS(Tabla4[UDS],Tabla4[ZONA DEFINITIVO],Tabla4[[#This Row],[ZONA DEFINITIVO]])," ")</f>
        <v xml:space="preserve"> </v>
      </c>
      <c r="Z1030" s="12" t="str">
        <f>+IF(Tabla4[[#This Row],[AGRUPACIONES]]=1,SUMIFS(Tabla4[TOTAL COBERTURA],Tabla4[ZONA DEFINITIVO],Tabla4[[#This Row],[ZONA DEFINITIVO]])," ")</f>
        <v xml:space="preserve"> </v>
      </c>
      <c r="AA1030" s="12"/>
      <c r="AB1030" s="38">
        <v>39243474</v>
      </c>
      <c r="AC1030" s="37">
        <v>0.02</v>
      </c>
      <c r="AD1030" s="38">
        <f t="shared" si="16"/>
        <v>784869.48</v>
      </c>
      <c r="AE1030" s="12"/>
      <c r="AF1030" s="12">
        <f>COUNTIF($A$20:A1030,A1030)</f>
        <v>22</v>
      </c>
      <c r="AG1030" s="38">
        <v>39243474</v>
      </c>
      <c r="AH1030" s="38">
        <f>Tabla4[[#This Row],[VALOR CONTRAPARTIDA]]+Tabla4[[#This Row],[TOTAL APORTES ICBF]]</f>
        <v>40028343.479999997</v>
      </c>
      <c r="AI1030" s="35"/>
      <c r="AJ1030" s="38"/>
      <c r="AK1030" s="38"/>
      <c r="AL1030" s="23"/>
      <c r="AM1030" s="35">
        <f>VLOOKUP(Tabla4[[#This Row],[SERVICIO 2025]],$J$2:$V$14,5,0)*Tabla4[[#This Row],[TOTAL COBERTURA]]</f>
        <v>888768</v>
      </c>
      <c r="AN1030" s="35">
        <f>VLOOKUP(Tabla4[[#This Row],[SERVICIO 2025]],$J$2:$V$14,6,0)*Tabla4[[#This Row],[TOTAL COBERTURA]]</f>
        <v>738522</v>
      </c>
      <c r="AO1030" s="35">
        <f>VLOOKUP(Tabla4[[#This Row],[SERVICIO 2025]],$J$2:$V$14,8,0)*Tabla4[[#This Row],[TOTAL COBERTURA]]</f>
        <v>523800</v>
      </c>
      <c r="AP1030" s="35">
        <f>VLOOKUP(Tabla4[[#This Row],[SERVICIO 2025]],$J$2:$V$14,3,0)*Tabla4[[#This Row],[TOTAL COBERTURA]]*8</f>
        <v>37092384</v>
      </c>
      <c r="AQ1030" s="35"/>
      <c r="AR1030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1030" s="35" t="str">
        <f>+IF(Tabla4[[#This Row],[AGRUPACIONES]]=1,SUMIFS(Tabla4[VALOR TOTAL],Tabla4[ZONA DEFINITIVO],Tabla4[[#This Row],[ZONA DEFINITIVO]])," ")</f>
        <v xml:space="preserve"> </v>
      </c>
      <c r="AT1030" s="27">
        <f>(VLOOKUP(Tabla4[[#This Row],[SERVICIO 2025]],$J$2:$V$14,3,0)*Tabla4[[#This Row],[TOTAL COBERTURA]])+Tabla4[[#This Row],[VALOR FASE PREPARATORIA DE ALISTAMIENTO]]+Tabla4[[#This Row],[DOTACIÓN ÚNICA]]</f>
        <v>6049116</v>
      </c>
      <c r="AU1030" s="35">
        <f>(VLOOKUP(Tabla4[[#This Row],[SERVICIO 2025]],$J$2:$V$14,3,0)*Tabla4[[#This Row],[TOTAL COBERTURA]])</f>
        <v>4636548</v>
      </c>
      <c r="AV1030" s="35">
        <f>(VLOOKUP(Tabla4[[#This Row],[SERVICIO 2025]],$J$2:$V$14,3,0)*Tabla4[[#This Row],[TOTAL COBERTURA]])</f>
        <v>4636548</v>
      </c>
      <c r="AW1030" s="35">
        <f>(VLOOKUP(Tabla4[[#This Row],[SERVICIO 2025]],$J$2:$V$14,3,0)*Tabla4[[#This Row],[TOTAL COBERTURA]])</f>
        <v>4636548</v>
      </c>
      <c r="AX1030" s="35">
        <f>(VLOOKUP(Tabla4[[#This Row],[SERVICIO 2025]],$J$2:$V$14,3,0)*Tabla4[[#This Row],[TOTAL COBERTURA]])</f>
        <v>4636548</v>
      </c>
      <c r="AY1030" s="35">
        <f>(VLOOKUP(Tabla4[[#This Row],[SERVICIO 2025]],$J$2:$V$14,3,0)*Tabla4[[#This Row],[TOTAL COBERTURA]])</f>
        <v>4636548</v>
      </c>
      <c r="AZ1030" s="35">
        <f>(VLOOKUP(Tabla4[[#This Row],[SERVICIO 2025]],$J$2:$V$14,3,0)*Tabla4[[#This Row],[TOTAL COBERTURA]])</f>
        <v>4636548</v>
      </c>
      <c r="BA1030" s="35">
        <f>(VLOOKUP(Tabla4[[#This Row],[SERVICIO 2025]],$J$2:$V$14,3,0)*Tabla4[[#This Row],[TOTAL COBERTURA]])+Tabla4[[#This Row],[VALOR FASE PREPARATORIA DE CIERRE]]</f>
        <v>5375070</v>
      </c>
      <c r="BB1030" s="35">
        <f>SUM(Tabla4[[#This Row],[DESEMBOLSO 1]:[DESEMBOLSO 8]])</f>
        <v>39243474</v>
      </c>
      <c r="BC1030" s="35">
        <f>VLOOKUP(Tabla4[[#This Row],[SERVICIO 2025]],$J$2:$V$14,10,0)*Tabla4[[#This Row],[TOTAL COBERTURA]]*$W$3</f>
        <v>25975152</v>
      </c>
      <c r="BD1030" s="47" t="s">
        <v>211</v>
      </c>
      <c r="BE1030" s="12" t="b">
        <f>EXACT(Tabla4[[#This Row],[VALOR ATENCIÓN (8 MESES)]],Tabla4[[#This Row],[VALOR TOTAL]])</f>
        <v>1</v>
      </c>
      <c r="BF1030" s="23">
        <f>Tabla4[[#This Row],[VALOR ATENCIÓN (8 MESES)]]-Tabla4[[#This Row],[VALOR TOTAL]]</f>
        <v>0</v>
      </c>
      <c r="BG1030" s="12" t="b">
        <f>EXACT(Tabla4[[#This Row],[TOTAL DESEMBOLSOS]],Tabla4[[#This Row],[VALOR ATENCIÓN (8 MESES)]])</f>
        <v>1</v>
      </c>
      <c r="BH1030" s="29">
        <f>Tabla4[[#This Row],[TOTAL DESEMBOLSOS]]-Tabla4[[#This Row],[VALOR ATENCIÓN (8 MESES)]]</f>
        <v>0</v>
      </c>
      <c r="BI1030" t="s">
        <v>98</v>
      </c>
    </row>
    <row r="1031" spans="1:61">
      <c r="A1031" s="13">
        <v>1997</v>
      </c>
      <c r="B1031" s="13" t="s">
        <v>2228</v>
      </c>
      <c r="C1031" s="12" t="s">
        <v>87</v>
      </c>
      <c r="D1031" s="12" t="s">
        <v>462</v>
      </c>
      <c r="E1031" s="12" t="s">
        <v>2229</v>
      </c>
      <c r="F1031" s="12" t="s">
        <v>18</v>
      </c>
      <c r="G1031" s="12" t="s">
        <v>90</v>
      </c>
      <c r="H1031" s="12" t="s">
        <v>2276</v>
      </c>
      <c r="I1031" s="12">
        <v>56651136902</v>
      </c>
      <c r="J1031" s="12" t="s">
        <v>2277</v>
      </c>
      <c r="K1031" s="12">
        <v>1</v>
      </c>
      <c r="L1031" s="12">
        <v>30</v>
      </c>
      <c r="M1031" s="12"/>
      <c r="N1031" s="13">
        <v>1997</v>
      </c>
      <c r="O1031" s="12" t="s">
        <v>93</v>
      </c>
      <c r="P1031" s="12"/>
      <c r="Q1031" s="12"/>
      <c r="R1031" s="12" t="s">
        <v>94</v>
      </c>
      <c r="S1031" s="12">
        <v>10</v>
      </c>
      <c r="T1031" s="12" t="s">
        <v>2232</v>
      </c>
      <c r="U1031" s="12" t="s">
        <v>2233</v>
      </c>
      <c r="V1031" s="12">
        <f>VLOOKUP(Tabla4[[#This Row],[ZONA DEFINITIVO]],Hoja1!$A$1:$D$121,3,0)</f>
        <v>229180</v>
      </c>
      <c r="W1031" s="12">
        <f>VLOOKUP(Tabla4[[#This Row],[ZONA DEFINITIVO]],Hoja1!$A$1:$D$121,2,0)</f>
        <v>15357</v>
      </c>
      <c r="X1031" s="12">
        <f>VLOOKUP(Tabla4[[#This Row],[ZONA DEFINITIVO]],Hoja1!$A$1:$D$121,4,0)</f>
        <v>87925</v>
      </c>
      <c r="Y1031" s="12" t="str">
        <f>+IF(Tabla4[[#This Row],[AGRUPACIONES]]=1,SUMIFS(Tabla4[UDS],Tabla4[ZONA DEFINITIVO],Tabla4[[#This Row],[ZONA DEFINITIVO]])," ")</f>
        <v xml:space="preserve"> </v>
      </c>
      <c r="Z1031" s="12" t="str">
        <f>+IF(Tabla4[[#This Row],[AGRUPACIONES]]=1,SUMIFS(Tabla4[TOTAL COBERTURA],Tabla4[ZONA DEFINITIVO],Tabla4[[#This Row],[ZONA DEFINITIVO]])," ")</f>
        <v xml:space="preserve"> </v>
      </c>
      <c r="AA1031" s="12"/>
      <c r="AB1031" s="38">
        <v>65405790</v>
      </c>
      <c r="AC1031" s="37">
        <v>0.02</v>
      </c>
      <c r="AD1031" s="38">
        <f t="shared" si="16"/>
        <v>1308115.8</v>
      </c>
      <c r="AE1031" s="12"/>
      <c r="AF1031" s="12">
        <f>COUNTIF($A$20:A1031,A1031)</f>
        <v>23</v>
      </c>
      <c r="AG1031" s="38">
        <v>65405790</v>
      </c>
      <c r="AH1031" s="38">
        <f>Tabla4[[#This Row],[VALOR CONTRAPARTIDA]]+Tabla4[[#This Row],[TOTAL APORTES ICBF]]</f>
        <v>66713905.799999997</v>
      </c>
      <c r="AI1031" s="35"/>
      <c r="AJ1031" s="38"/>
      <c r="AK1031" s="38"/>
      <c r="AL1031" s="23"/>
      <c r="AM1031" s="35">
        <f>VLOOKUP(Tabla4[[#This Row],[SERVICIO 2025]],$J$2:$V$14,5,0)*Tabla4[[#This Row],[TOTAL COBERTURA]]</f>
        <v>1481280</v>
      </c>
      <c r="AN1031" s="35">
        <f>VLOOKUP(Tabla4[[#This Row],[SERVICIO 2025]],$J$2:$V$14,6,0)*Tabla4[[#This Row],[TOTAL COBERTURA]]</f>
        <v>1230870</v>
      </c>
      <c r="AO1031" s="35">
        <f>VLOOKUP(Tabla4[[#This Row],[SERVICIO 2025]],$J$2:$V$14,8,0)*Tabla4[[#This Row],[TOTAL COBERTURA]]</f>
        <v>873000</v>
      </c>
      <c r="AP1031" s="35">
        <f>VLOOKUP(Tabla4[[#This Row],[SERVICIO 2025]],$J$2:$V$14,3,0)*Tabla4[[#This Row],[TOTAL COBERTURA]]*8</f>
        <v>61820640</v>
      </c>
      <c r="AQ1031" s="35"/>
      <c r="AR1031" s="35">
        <f>Tabla4[[#This Row],[VALOR FASE PREPARATORIA DE ALISTAMIENTO]]+Tabla4[[#This Row],[VALOR FASE PREPARATORIA DE CIERRE]]+Tabla4[[#This Row],[DOTACIÓN ÚNICA]]+Tabla4[[#This Row],[VALOR ATENCIÓN]]+Tabla4[[#This Row],[VALOR RACION PREPARADA]]</f>
        <v>65405790</v>
      </c>
      <c r="AS1031" s="35" t="str">
        <f>+IF(Tabla4[[#This Row],[AGRUPACIONES]]=1,SUMIFS(Tabla4[VALOR TOTAL],Tabla4[ZONA DEFINITIVO],Tabla4[[#This Row],[ZONA DEFINITIVO]])," ")</f>
        <v xml:space="preserve"> </v>
      </c>
      <c r="AT1031" s="27">
        <f>(VLOOKUP(Tabla4[[#This Row],[SERVICIO 2025]],$J$2:$V$14,3,0)*Tabla4[[#This Row],[TOTAL COBERTURA]])+Tabla4[[#This Row],[VALOR FASE PREPARATORIA DE ALISTAMIENTO]]+Tabla4[[#This Row],[DOTACIÓN ÚNICA]]</f>
        <v>10081860</v>
      </c>
      <c r="AU1031" s="35">
        <f>(VLOOKUP(Tabla4[[#This Row],[SERVICIO 2025]],$J$2:$V$14,3,0)*Tabla4[[#This Row],[TOTAL COBERTURA]])</f>
        <v>7727580</v>
      </c>
      <c r="AV1031" s="35">
        <f>(VLOOKUP(Tabla4[[#This Row],[SERVICIO 2025]],$J$2:$V$14,3,0)*Tabla4[[#This Row],[TOTAL COBERTURA]])</f>
        <v>7727580</v>
      </c>
      <c r="AW1031" s="35">
        <f>(VLOOKUP(Tabla4[[#This Row],[SERVICIO 2025]],$J$2:$V$14,3,0)*Tabla4[[#This Row],[TOTAL COBERTURA]])</f>
        <v>7727580</v>
      </c>
      <c r="AX1031" s="35">
        <f>(VLOOKUP(Tabla4[[#This Row],[SERVICIO 2025]],$J$2:$V$14,3,0)*Tabla4[[#This Row],[TOTAL COBERTURA]])</f>
        <v>7727580</v>
      </c>
      <c r="AY1031" s="35">
        <f>(VLOOKUP(Tabla4[[#This Row],[SERVICIO 2025]],$J$2:$V$14,3,0)*Tabla4[[#This Row],[TOTAL COBERTURA]])</f>
        <v>7727580</v>
      </c>
      <c r="AZ1031" s="35">
        <f>(VLOOKUP(Tabla4[[#This Row],[SERVICIO 2025]],$J$2:$V$14,3,0)*Tabla4[[#This Row],[TOTAL COBERTURA]])</f>
        <v>7727580</v>
      </c>
      <c r="BA1031" s="35">
        <f>(VLOOKUP(Tabla4[[#This Row],[SERVICIO 2025]],$J$2:$V$14,3,0)*Tabla4[[#This Row],[TOTAL COBERTURA]])+Tabla4[[#This Row],[VALOR FASE PREPARATORIA DE CIERRE]]</f>
        <v>8958450</v>
      </c>
      <c r="BB1031" s="35">
        <f>SUM(Tabla4[[#This Row],[DESEMBOLSO 1]:[DESEMBOLSO 8]])</f>
        <v>65405790</v>
      </c>
      <c r="BC1031" s="35">
        <f>VLOOKUP(Tabla4[[#This Row],[SERVICIO 2025]],$J$2:$V$14,10,0)*Tabla4[[#This Row],[TOTAL COBERTURA]]*$W$3</f>
        <v>43291920</v>
      </c>
      <c r="BD1031" s="47" t="s">
        <v>211</v>
      </c>
      <c r="BE1031" s="12" t="b">
        <f>EXACT(Tabla4[[#This Row],[VALOR ATENCIÓN (8 MESES)]],Tabla4[[#This Row],[VALOR TOTAL]])</f>
        <v>1</v>
      </c>
      <c r="BF1031" s="23">
        <f>Tabla4[[#This Row],[VALOR ATENCIÓN (8 MESES)]]-Tabla4[[#This Row],[VALOR TOTAL]]</f>
        <v>0</v>
      </c>
      <c r="BG1031" s="12" t="b">
        <f>EXACT(Tabla4[[#This Row],[TOTAL DESEMBOLSOS]],Tabla4[[#This Row],[VALOR ATENCIÓN (8 MESES)]])</f>
        <v>1</v>
      </c>
      <c r="BH1031" s="29">
        <f>Tabla4[[#This Row],[TOTAL DESEMBOLSOS]]-Tabla4[[#This Row],[VALOR ATENCIÓN (8 MESES)]]</f>
        <v>0</v>
      </c>
      <c r="BI1031" t="s">
        <v>98</v>
      </c>
    </row>
    <row r="1032" spans="1:61">
      <c r="A1032" s="13">
        <v>1997</v>
      </c>
      <c r="B1032" s="13" t="s">
        <v>2228</v>
      </c>
      <c r="C1032" s="12" t="s">
        <v>87</v>
      </c>
      <c r="D1032" s="12" t="s">
        <v>462</v>
      </c>
      <c r="E1032" s="12" t="s">
        <v>2229</v>
      </c>
      <c r="F1032" s="12" t="s">
        <v>18</v>
      </c>
      <c r="G1032" s="12" t="s">
        <v>90</v>
      </c>
      <c r="H1032" s="12" t="s">
        <v>2278</v>
      </c>
      <c r="I1032" s="12">
        <v>56651136903</v>
      </c>
      <c r="J1032" s="12" t="s">
        <v>2279</v>
      </c>
      <c r="K1032" s="12">
        <v>1</v>
      </c>
      <c r="L1032" s="12">
        <v>14</v>
      </c>
      <c r="M1032" s="12"/>
      <c r="N1032" s="13">
        <v>1997</v>
      </c>
      <c r="O1032" s="12" t="s">
        <v>93</v>
      </c>
      <c r="P1032" s="12"/>
      <c r="Q1032" s="12"/>
      <c r="R1032" s="12" t="s">
        <v>94</v>
      </c>
      <c r="S1032" s="12">
        <v>10</v>
      </c>
      <c r="T1032" s="12" t="s">
        <v>2232</v>
      </c>
      <c r="U1032" s="12" t="s">
        <v>2233</v>
      </c>
      <c r="V1032" s="12">
        <f>VLOOKUP(Tabla4[[#This Row],[ZONA DEFINITIVO]],Hoja1!$A$1:$D$121,3,0)</f>
        <v>229180</v>
      </c>
      <c r="W1032" s="12">
        <f>VLOOKUP(Tabla4[[#This Row],[ZONA DEFINITIVO]],Hoja1!$A$1:$D$121,2,0)</f>
        <v>15357</v>
      </c>
      <c r="X1032" s="12">
        <f>VLOOKUP(Tabla4[[#This Row],[ZONA DEFINITIVO]],Hoja1!$A$1:$D$121,4,0)</f>
        <v>87925</v>
      </c>
      <c r="Y1032" s="12" t="str">
        <f>+IF(Tabla4[[#This Row],[AGRUPACIONES]]=1,SUMIFS(Tabla4[UDS],Tabla4[ZONA DEFINITIVO],Tabla4[[#This Row],[ZONA DEFINITIVO]])," ")</f>
        <v xml:space="preserve"> </v>
      </c>
      <c r="Z1032" s="12" t="str">
        <f>+IF(Tabla4[[#This Row],[AGRUPACIONES]]=1,SUMIFS(Tabla4[TOTAL COBERTURA],Tabla4[ZONA DEFINITIVO],Tabla4[[#This Row],[ZONA DEFINITIVO]])," ")</f>
        <v xml:space="preserve"> </v>
      </c>
      <c r="AA1032" s="12"/>
      <c r="AB1032" s="38">
        <v>30522702</v>
      </c>
      <c r="AC1032" s="37">
        <v>0.02</v>
      </c>
      <c r="AD1032" s="38">
        <f t="shared" si="16"/>
        <v>610454.04</v>
      </c>
      <c r="AE1032" s="12"/>
      <c r="AF1032" s="12">
        <f>COUNTIF($A$20:A1032,A1032)</f>
        <v>24</v>
      </c>
      <c r="AG1032" s="38">
        <v>30522702</v>
      </c>
      <c r="AH1032" s="38">
        <f>Tabla4[[#This Row],[VALOR CONTRAPARTIDA]]+Tabla4[[#This Row],[TOTAL APORTES ICBF]]</f>
        <v>31133156.039999999</v>
      </c>
      <c r="AI1032" s="35"/>
      <c r="AJ1032" s="38"/>
      <c r="AK1032" s="38"/>
      <c r="AL1032" s="23"/>
      <c r="AM1032" s="35">
        <f>VLOOKUP(Tabla4[[#This Row],[SERVICIO 2025]],$J$2:$V$14,5,0)*Tabla4[[#This Row],[TOTAL COBERTURA]]</f>
        <v>691264</v>
      </c>
      <c r="AN1032" s="35">
        <f>VLOOKUP(Tabla4[[#This Row],[SERVICIO 2025]],$J$2:$V$14,6,0)*Tabla4[[#This Row],[TOTAL COBERTURA]]</f>
        <v>574406</v>
      </c>
      <c r="AO1032" s="35">
        <f>VLOOKUP(Tabla4[[#This Row],[SERVICIO 2025]],$J$2:$V$14,8,0)*Tabla4[[#This Row],[TOTAL COBERTURA]]</f>
        <v>407400</v>
      </c>
      <c r="AP1032" s="35">
        <f>VLOOKUP(Tabla4[[#This Row],[SERVICIO 2025]],$J$2:$V$14,3,0)*Tabla4[[#This Row],[TOTAL COBERTURA]]*8</f>
        <v>28849632</v>
      </c>
      <c r="AQ1032" s="35"/>
      <c r="AR1032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1032" s="35" t="str">
        <f>+IF(Tabla4[[#This Row],[AGRUPACIONES]]=1,SUMIFS(Tabla4[VALOR TOTAL],Tabla4[ZONA DEFINITIVO],Tabla4[[#This Row],[ZONA DEFINITIVO]])," ")</f>
        <v xml:space="preserve"> </v>
      </c>
      <c r="AT1032" s="27">
        <f>(VLOOKUP(Tabla4[[#This Row],[SERVICIO 2025]],$J$2:$V$14,3,0)*Tabla4[[#This Row],[TOTAL COBERTURA]])+Tabla4[[#This Row],[VALOR FASE PREPARATORIA DE ALISTAMIENTO]]+Tabla4[[#This Row],[DOTACIÓN ÚNICA]]</f>
        <v>4704868</v>
      </c>
      <c r="AU1032" s="35">
        <f>(VLOOKUP(Tabla4[[#This Row],[SERVICIO 2025]],$J$2:$V$14,3,0)*Tabla4[[#This Row],[TOTAL COBERTURA]])</f>
        <v>3606204</v>
      </c>
      <c r="AV1032" s="35">
        <f>(VLOOKUP(Tabla4[[#This Row],[SERVICIO 2025]],$J$2:$V$14,3,0)*Tabla4[[#This Row],[TOTAL COBERTURA]])</f>
        <v>3606204</v>
      </c>
      <c r="AW1032" s="35">
        <f>(VLOOKUP(Tabla4[[#This Row],[SERVICIO 2025]],$J$2:$V$14,3,0)*Tabla4[[#This Row],[TOTAL COBERTURA]])</f>
        <v>3606204</v>
      </c>
      <c r="AX1032" s="35">
        <f>(VLOOKUP(Tabla4[[#This Row],[SERVICIO 2025]],$J$2:$V$14,3,0)*Tabla4[[#This Row],[TOTAL COBERTURA]])</f>
        <v>3606204</v>
      </c>
      <c r="AY1032" s="35">
        <f>(VLOOKUP(Tabla4[[#This Row],[SERVICIO 2025]],$J$2:$V$14,3,0)*Tabla4[[#This Row],[TOTAL COBERTURA]])</f>
        <v>3606204</v>
      </c>
      <c r="AZ1032" s="35">
        <f>(VLOOKUP(Tabla4[[#This Row],[SERVICIO 2025]],$J$2:$V$14,3,0)*Tabla4[[#This Row],[TOTAL COBERTURA]])</f>
        <v>3606204</v>
      </c>
      <c r="BA1032" s="35">
        <f>(VLOOKUP(Tabla4[[#This Row],[SERVICIO 2025]],$J$2:$V$14,3,0)*Tabla4[[#This Row],[TOTAL COBERTURA]])+Tabla4[[#This Row],[VALOR FASE PREPARATORIA DE CIERRE]]</f>
        <v>4180610</v>
      </c>
      <c r="BB1032" s="35">
        <f>SUM(Tabla4[[#This Row],[DESEMBOLSO 1]:[DESEMBOLSO 8]])</f>
        <v>30522702</v>
      </c>
      <c r="BC1032" s="35">
        <f>VLOOKUP(Tabla4[[#This Row],[SERVICIO 2025]],$J$2:$V$14,10,0)*Tabla4[[#This Row],[TOTAL COBERTURA]]*$W$3</f>
        <v>20202896</v>
      </c>
      <c r="BD1032" s="47" t="s">
        <v>211</v>
      </c>
      <c r="BE1032" s="12" t="b">
        <f>EXACT(Tabla4[[#This Row],[VALOR ATENCIÓN (8 MESES)]],Tabla4[[#This Row],[VALOR TOTAL]])</f>
        <v>1</v>
      </c>
      <c r="BF1032" s="23">
        <f>Tabla4[[#This Row],[VALOR ATENCIÓN (8 MESES)]]-Tabla4[[#This Row],[VALOR TOTAL]]</f>
        <v>0</v>
      </c>
      <c r="BG1032" s="12" t="b">
        <f>EXACT(Tabla4[[#This Row],[TOTAL DESEMBOLSOS]],Tabla4[[#This Row],[VALOR ATENCIÓN (8 MESES)]])</f>
        <v>1</v>
      </c>
      <c r="BH1032" s="29">
        <f>Tabla4[[#This Row],[TOTAL DESEMBOLSOS]]-Tabla4[[#This Row],[VALOR ATENCIÓN (8 MESES)]]</f>
        <v>0</v>
      </c>
      <c r="BI1032" t="s">
        <v>98</v>
      </c>
    </row>
    <row r="1033" spans="1:61">
      <c r="A1033" s="13">
        <v>1997</v>
      </c>
      <c r="B1033" s="13" t="s">
        <v>2228</v>
      </c>
      <c r="C1033" s="12" t="s">
        <v>87</v>
      </c>
      <c r="D1033" s="12" t="s">
        <v>462</v>
      </c>
      <c r="E1033" s="12" t="s">
        <v>2229</v>
      </c>
      <c r="F1033" s="12" t="s">
        <v>18</v>
      </c>
      <c r="G1033" s="12" t="s">
        <v>90</v>
      </c>
      <c r="H1033" s="12" t="s">
        <v>2280</v>
      </c>
      <c r="I1033" s="12">
        <v>56651136904</v>
      </c>
      <c r="J1033" s="12" t="s">
        <v>2281</v>
      </c>
      <c r="K1033" s="12">
        <v>1</v>
      </c>
      <c r="L1033" s="12">
        <v>20</v>
      </c>
      <c r="M1033" s="12"/>
      <c r="N1033" s="13">
        <v>1997</v>
      </c>
      <c r="O1033" s="12" t="s">
        <v>93</v>
      </c>
      <c r="P1033" s="12"/>
      <c r="Q1033" s="12"/>
      <c r="R1033" s="12" t="s">
        <v>94</v>
      </c>
      <c r="S1033" s="12">
        <v>10</v>
      </c>
      <c r="T1033" s="12" t="s">
        <v>2232</v>
      </c>
      <c r="U1033" s="12" t="s">
        <v>2233</v>
      </c>
      <c r="V1033" s="12">
        <f>VLOOKUP(Tabla4[[#This Row],[ZONA DEFINITIVO]],Hoja1!$A$1:$D$121,3,0)</f>
        <v>229180</v>
      </c>
      <c r="W1033" s="12">
        <f>VLOOKUP(Tabla4[[#This Row],[ZONA DEFINITIVO]],Hoja1!$A$1:$D$121,2,0)</f>
        <v>15357</v>
      </c>
      <c r="X1033" s="12">
        <f>VLOOKUP(Tabla4[[#This Row],[ZONA DEFINITIVO]],Hoja1!$A$1:$D$121,4,0)</f>
        <v>87925</v>
      </c>
      <c r="Y1033" s="12" t="str">
        <f>+IF(Tabla4[[#This Row],[AGRUPACIONES]]=1,SUMIFS(Tabla4[UDS],Tabla4[ZONA DEFINITIVO],Tabla4[[#This Row],[ZONA DEFINITIVO]])," ")</f>
        <v xml:space="preserve"> </v>
      </c>
      <c r="Z1033" s="12" t="str">
        <f>+IF(Tabla4[[#This Row],[AGRUPACIONES]]=1,SUMIFS(Tabla4[TOTAL COBERTURA],Tabla4[ZONA DEFINITIVO],Tabla4[[#This Row],[ZONA DEFINITIVO]])," ")</f>
        <v xml:space="preserve"> </v>
      </c>
      <c r="AA1033" s="12"/>
      <c r="AB1033" s="38">
        <v>43603860</v>
      </c>
      <c r="AC1033" s="37">
        <v>0.02</v>
      </c>
      <c r="AD1033" s="38">
        <f t="shared" si="16"/>
        <v>872077.20000000007</v>
      </c>
      <c r="AE1033" s="12"/>
      <c r="AF1033" s="12">
        <f>COUNTIF($A$20:A1033,A1033)</f>
        <v>25</v>
      </c>
      <c r="AG1033" s="38">
        <v>43603860</v>
      </c>
      <c r="AH1033" s="38">
        <f>Tabla4[[#This Row],[VALOR CONTRAPARTIDA]]+Tabla4[[#This Row],[TOTAL APORTES ICBF]]</f>
        <v>44475937.200000003</v>
      </c>
      <c r="AI1033" s="35"/>
      <c r="AJ1033" s="38"/>
      <c r="AK1033" s="38"/>
      <c r="AL1033" s="23"/>
      <c r="AM1033" s="35">
        <f>VLOOKUP(Tabla4[[#This Row],[SERVICIO 2025]],$J$2:$V$14,5,0)*Tabla4[[#This Row],[TOTAL COBERTURA]]</f>
        <v>987520</v>
      </c>
      <c r="AN1033" s="35">
        <f>VLOOKUP(Tabla4[[#This Row],[SERVICIO 2025]],$J$2:$V$14,6,0)*Tabla4[[#This Row],[TOTAL COBERTURA]]</f>
        <v>820580</v>
      </c>
      <c r="AO1033" s="35">
        <f>VLOOKUP(Tabla4[[#This Row],[SERVICIO 2025]],$J$2:$V$14,8,0)*Tabla4[[#This Row],[TOTAL COBERTURA]]</f>
        <v>582000</v>
      </c>
      <c r="AP1033" s="35">
        <f>VLOOKUP(Tabla4[[#This Row],[SERVICIO 2025]],$J$2:$V$14,3,0)*Tabla4[[#This Row],[TOTAL COBERTURA]]*8</f>
        <v>41213760</v>
      </c>
      <c r="AQ1033" s="35"/>
      <c r="AR1033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033" s="35" t="str">
        <f>+IF(Tabla4[[#This Row],[AGRUPACIONES]]=1,SUMIFS(Tabla4[VALOR TOTAL],Tabla4[ZONA DEFINITIVO],Tabla4[[#This Row],[ZONA DEFINITIVO]])," ")</f>
        <v xml:space="preserve"> </v>
      </c>
      <c r="AT1033" s="27">
        <f>(VLOOKUP(Tabla4[[#This Row],[SERVICIO 2025]],$J$2:$V$14,3,0)*Tabla4[[#This Row],[TOTAL COBERTURA]])+Tabla4[[#This Row],[VALOR FASE PREPARATORIA DE ALISTAMIENTO]]+Tabla4[[#This Row],[DOTACIÓN ÚNICA]]</f>
        <v>6721240</v>
      </c>
      <c r="AU1033" s="35">
        <f>(VLOOKUP(Tabla4[[#This Row],[SERVICIO 2025]],$J$2:$V$14,3,0)*Tabla4[[#This Row],[TOTAL COBERTURA]])</f>
        <v>5151720</v>
      </c>
      <c r="AV1033" s="35">
        <f>(VLOOKUP(Tabla4[[#This Row],[SERVICIO 2025]],$J$2:$V$14,3,0)*Tabla4[[#This Row],[TOTAL COBERTURA]])</f>
        <v>5151720</v>
      </c>
      <c r="AW1033" s="35">
        <f>(VLOOKUP(Tabla4[[#This Row],[SERVICIO 2025]],$J$2:$V$14,3,0)*Tabla4[[#This Row],[TOTAL COBERTURA]])</f>
        <v>5151720</v>
      </c>
      <c r="AX1033" s="35">
        <f>(VLOOKUP(Tabla4[[#This Row],[SERVICIO 2025]],$J$2:$V$14,3,0)*Tabla4[[#This Row],[TOTAL COBERTURA]])</f>
        <v>5151720</v>
      </c>
      <c r="AY1033" s="35">
        <f>(VLOOKUP(Tabla4[[#This Row],[SERVICIO 2025]],$J$2:$V$14,3,0)*Tabla4[[#This Row],[TOTAL COBERTURA]])</f>
        <v>5151720</v>
      </c>
      <c r="AZ1033" s="35">
        <f>(VLOOKUP(Tabla4[[#This Row],[SERVICIO 2025]],$J$2:$V$14,3,0)*Tabla4[[#This Row],[TOTAL COBERTURA]])</f>
        <v>5151720</v>
      </c>
      <c r="BA1033" s="35">
        <f>(VLOOKUP(Tabla4[[#This Row],[SERVICIO 2025]],$J$2:$V$14,3,0)*Tabla4[[#This Row],[TOTAL COBERTURA]])+Tabla4[[#This Row],[VALOR FASE PREPARATORIA DE CIERRE]]</f>
        <v>5972300</v>
      </c>
      <c r="BB1033" s="35">
        <f>SUM(Tabla4[[#This Row],[DESEMBOLSO 1]:[DESEMBOLSO 8]])</f>
        <v>43603860</v>
      </c>
      <c r="BC1033" s="35">
        <f>VLOOKUP(Tabla4[[#This Row],[SERVICIO 2025]],$J$2:$V$14,10,0)*Tabla4[[#This Row],[TOTAL COBERTURA]]*$W$3</f>
        <v>28861280</v>
      </c>
      <c r="BD1033" s="47" t="s">
        <v>211</v>
      </c>
      <c r="BE1033" s="12" t="b">
        <f>EXACT(Tabla4[[#This Row],[VALOR ATENCIÓN (8 MESES)]],Tabla4[[#This Row],[VALOR TOTAL]])</f>
        <v>1</v>
      </c>
      <c r="BF1033" s="23">
        <f>Tabla4[[#This Row],[VALOR ATENCIÓN (8 MESES)]]-Tabla4[[#This Row],[VALOR TOTAL]]</f>
        <v>0</v>
      </c>
      <c r="BG1033" s="12" t="b">
        <f>EXACT(Tabla4[[#This Row],[TOTAL DESEMBOLSOS]],Tabla4[[#This Row],[VALOR ATENCIÓN (8 MESES)]])</f>
        <v>1</v>
      </c>
      <c r="BH1033" s="29">
        <f>Tabla4[[#This Row],[TOTAL DESEMBOLSOS]]-Tabla4[[#This Row],[VALOR ATENCIÓN (8 MESES)]]</f>
        <v>0</v>
      </c>
      <c r="BI1033" t="s">
        <v>98</v>
      </c>
    </row>
    <row r="1034" spans="1:61">
      <c r="A1034" s="13">
        <v>1997</v>
      </c>
      <c r="B1034" s="13" t="s">
        <v>2228</v>
      </c>
      <c r="C1034" s="12" t="s">
        <v>87</v>
      </c>
      <c r="D1034" s="12" t="s">
        <v>462</v>
      </c>
      <c r="E1034" s="12" t="s">
        <v>2229</v>
      </c>
      <c r="F1034" s="12" t="s">
        <v>18</v>
      </c>
      <c r="G1034" s="12" t="s">
        <v>90</v>
      </c>
      <c r="H1034" s="12" t="s">
        <v>2282</v>
      </c>
      <c r="I1034" s="12">
        <v>56651136905</v>
      </c>
      <c r="J1034" s="12" t="s">
        <v>2283</v>
      </c>
      <c r="K1034" s="12">
        <v>1</v>
      </c>
      <c r="L1034" s="12">
        <v>18</v>
      </c>
      <c r="M1034" s="12"/>
      <c r="N1034" s="13">
        <v>1997</v>
      </c>
      <c r="O1034" s="12" t="s">
        <v>93</v>
      </c>
      <c r="P1034" s="12"/>
      <c r="Q1034" s="12"/>
      <c r="R1034" s="12" t="s">
        <v>94</v>
      </c>
      <c r="S1034" s="12">
        <v>10</v>
      </c>
      <c r="T1034" s="12" t="s">
        <v>2232</v>
      </c>
      <c r="U1034" s="12" t="s">
        <v>2233</v>
      </c>
      <c r="V1034" s="12">
        <f>VLOOKUP(Tabla4[[#This Row],[ZONA DEFINITIVO]],Hoja1!$A$1:$D$121,3,0)</f>
        <v>229180</v>
      </c>
      <c r="W1034" s="12">
        <f>VLOOKUP(Tabla4[[#This Row],[ZONA DEFINITIVO]],Hoja1!$A$1:$D$121,2,0)</f>
        <v>15357</v>
      </c>
      <c r="X1034" s="12">
        <f>VLOOKUP(Tabla4[[#This Row],[ZONA DEFINITIVO]],Hoja1!$A$1:$D$121,4,0)</f>
        <v>87925</v>
      </c>
      <c r="Y1034" s="12" t="str">
        <f>+IF(Tabla4[[#This Row],[AGRUPACIONES]]=1,SUMIFS(Tabla4[UDS],Tabla4[ZONA DEFINITIVO],Tabla4[[#This Row],[ZONA DEFINITIVO]])," ")</f>
        <v xml:space="preserve"> </v>
      </c>
      <c r="Z1034" s="12" t="str">
        <f>+IF(Tabla4[[#This Row],[AGRUPACIONES]]=1,SUMIFS(Tabla4[TOTAL COBERTURA],Tabla4[ZONA DEFINITIVO],Tabla4[[#This Row],[ZONA DEFINITIVO]])," ")</f>
        <v xml:space="preserve"> </v>
      </c>
      <c r="AA1034" s="12"/>
      <c r="AB1034" s="38">
        <v>39243474</v>
      </c>
      <c r="AC1034" s="37">
        <v>0.02</v>
      </c>
      <c r="AD1034" s="38">
        <f t="shared" si="16"/>
        <v>784869.48</v>
      </c>
      <c r="AE1034" s="12"/>
      <c r="AF1034" s="12">
        <f>COUNTIF($A$20:A1034,A1034)</f>
        <v>26</v>
      </c>
      <c r="AG1034" s="38">
        <v>39243474</v>
      </c>
      <c r="AH1034" s="38">
        <f>Tabla4[[#This Row],[VALOR CONTRAPARTIDA]]+Tabla4[[#This Row],[TOTAL APORTES ICBF]]</f>
        <v>40028343.479999997</v>
      </c>
      <c r="AI1034" s="35"/>
      <c r="AJ1034" s="38"/>
      <c r="AK1034" s="38"/>
      <c r="AL1034" s="23"/>
      <c r="AM1034" s="35">
        <f>VLOOKUP(Tabla4[[#This Row],[SERVICIO 2025]],$J$2:$V$14,5,0)*Tabla4[[#This Row],[TOTAL COBERTURA]]</f>
        <v>888768</v>
      </c>
      <c r="AN1034" s="35">
        <f>VLOOKUP(Tabla4[[#This Row],[SERVICIO 2025]],$J$2:$V$14,6,0)*Tabla4[[#This Row],[TOTAL COBERTURA]]</f>
        <v>738522</v>
      </c>
      <c r="AO1034" s="35">
        <f>VLOOKUP(Tabla4[[#This Row],[SERVICIO 2025]],$J$2:$V$14,8,0)*Tabla4[[#This Row],[TOTAL COBERTURA]]</f>
        <v>523800</v>
      </c>
      <c r="AP1034" s="35">
        <f>VLOOKUP(Tabla4[[#This Row],[SERVICIO 2025]],$J$2:$V$14,3,0)*Tabla4[[#This Row],[TOTAL COBERTURA]]*8</f>
        <v>37092384</v>
      </c>
      <c r="AQ1034" s="35"/>
      <c r="AR1034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1034" s="35" t="str">
        <f>+IF(Tabla4[[#This Row],[AGRUPACIONES]]=1,SUMIFS(Tabla4[VALOR TOTAL],Tabla4[ZONA DEFINITIVO],Tabla4[[#This Row],[ZONA DEFINITIVO]])," ")</f>
        <v xml:space="preserve"> </v>
      </c>
      <c r="AT1034" s="27">
        <f>(VLOOKUP(Tabla4[[#This Row],[SERVICIO 2025]],$J$2:$V$14,3,0)*Tabla4[[#This Row],[TOTAL COBERTURA]])+Tabla4[[#This Row],[VALOR FASE PREPARATORIA DE ALISTAMIENTO]]+Tabla4[[#This Row],[DOTACIÓN ÚNICA]]</f>
        <v>6049116</v>
      </c>
      <c r="AU1034" s="35">
        <f>(VLOOKUP(Tabla4[[#This Row],[SERVICIO 2025]],$J$2:$V$14,3,0)*Tabla4[[#This Row],[TOTAL COBERTURA]])</f>
        <v>4636548</v>
      </c>
      <c r="AV1034" s="35">
        <f>(VLOOKUP(Tabla4[[#This Row],[SERVICIO 2025]],$J$2:$V$14,3,0)*Tabla4[[#This Row],[TOTAL COBERTURA]])</f>
        <v>4636548</v>
      </c>
      <c r="AW1034" s="35">
        <f>(VLOOKUP(Tabla4[[#This Row],[SERVICIO 2025]],$J$2:$V$14,3,0)*Tabla4[[#This Row],[TOTAL COBERTURA]])</f>
        <v>4636548</v>
      </c>
      <c r="AX1034" s="35">
        <f>(VLOOKUP(Tabla4[[#This Row],[SERVICIO 2025]],$J$2:$V$14,3,0)*Tabla4[[#This Row],[TOTAL COBERTURA]])</f>
        <v>4636548</v>
      </c>
      <c r="AY1034" s="35">
        <f>(VLOOKUP(Tabla4[[#This Row],[SERVICIO 2025]],$J$2:$V$14,3,0)*Tabla4[[#This Row],[TOTAL COBERTURA]])</f>
        <v>4636548</v>
      </c>
      <c r="AZ1034" s="35">
        <f>(VLOOKUP(Tabla4[[#This Row],[SERVICIO 2025]],$J$2:$V$14,3,0)*Tabla4[[#This Row],[TOTAL COBERTURA]])</f>
        <v>4636548</v>
      </c>
      <c r="BA1034" s="35">
        <f>(VLOOKUP(Tabla4[[#This Row],[SERVICIO 2025]],$J$2:$V$14,3,0)*Tabla4[[#This Row],[TOTAL COBERTURA]])+Tabla4[[#This Row],[VALOR FASE PREPARATORIA DE CIERRE]]</f>
        <v>5375070</v>
      </c>
      <c r="BB1034" s="35">
        <f>SUM(Tabla4[[#This Row],[DESEMBOLSO 1]:[DESEMBOLSO 8]])</f>
        <v>39243474</v>
      </c>
      <c r="BC1034" s="35">
        <f>VLOOKUP(Tabla4[[#This Row],[SERVICIO 2025]],$J$2:$V$14,10,0)*Tabla4[[#This Row],[TOTAL COBERTURA]]*$W$3</f>
        <v>25975152</v>
      </c>
      <c r="BD1034" s="47" t="s">
        <v>211</v>
      </c>
      <c r="BE1034" s="12" t="b">
        <f>EXACT(Tabla4[[#This Row],[VALOR ATENCIÓN (8 MESES)]],Tabla4[[#This Row],[VALOR TOTAL]])</f>
        <v>1</v>
      </c>
      <c r="BF1034" s="23">
        <f>Tabla4[[#This Row],[VALOR ATENCIÓN (8 MESES)]]-Tabla4[[#This Row],[VALOR TOTAL]]</f>
        <v>0</v>
      </c>
      <c r="BG1034" s="12" t="b">
        <f>EXACT(Tabla4[[#This Row],[TOTAL DESEMBOLSOS]],Tabla4[[#This Row],[VALOR ATENCIÓN (8 MESES)]])</f>
        <v>1</v>
      </c>
      <c r="BH1034" s="29">
        <f>Tabla4[[#This Row],[TOTAL DESEMBOLSOS]]-Tabla4[[#This Row],[VALOR ATENCIÓN (8 MESES)]]</f>
        <v>0</v>
      </c>
      <c r="BI1034" t="s">
        <v>98</v>
      </c>
    </row>
    <row r="1035" spans="1:61">
      <c r="A1035" s="13">
        <v>1997</v>
      </c>
      <c r="B1035" s="13" t="s">
        <v>2228</v>
      </c>
      <c r="C1035" s="12" t="s">
        <v>87</v>
      </c>
      <c r="D1035" s="12" t="s">
        <v>462</v>
      </c>
      <c r="E1035" s="12" t="s">
        <v>2229</v>
      </c>
      <c r="F1035" s="12" t="s">
        <v>18</v>
      </c>
      <c r="G1035" s="12" t="s">
        <v>90</v>
      </c>
      <c r="H1035" s="12" t="s">
        <v>2284</v>
      </c>
      <c r="I1035" s="12">
        <v>56651136906</v>
      </c>
      <c r="J1035" s="12" t="s">
        <v>2285</v>
      </c>
      <c r="K1035" s="12">
        <v>1</v>
      </c>
      <c r="L1035" s="12">
        <v>19</v>
      </c>
      <c r="M1035" s="12"/>
      <c r="N1035" s="13">
        <v>1997</v>
      </c>
      <c r="O1035" s="12" t="s">
        <v>93</v>
      </c>
      <c r="P1035" s="12"/>
      <c r="Q1035" s="12"/>
      <c r="R1035" s="12" t="s">
        <v>94</v>
      </c>
      <c r="S1035" s="12">
        <v>10</v>
      </c>
      <c r="T1035" s="12" t="s">
        <v>2232</v>
      </c>
      <c r="U1035" s="12" t="s">
        <v>2233</v>
      </c>
      <c r="V1035" s="12">
        <f>VLOOKUP(Tabla4[[#This Row],[ZONA DEFINITIVO]],Hoja1!$A$1:$D$121,3,0)</f>
        <v>229180</v>
      </c>
      <c r="W1035" s="12">
        <f>VLOOKUP(Tabla4[[#This Row],[ZONA DEFINITIVO]],Hoja1!$A$1:$D$121,2,0)</f>
        <v>15357</v>
      </c>
      <c r="X1035" s="12">
        <f>VLOOKUP(Tabla4[[#This Row],[ZONA DEFINITIVO]],Hoja1!$A$1:$D$121,4,0)</f>
        <v>87925</v>
      </c>
      <c r="Y1035" s="12" t="str">
        <f>+IF(Tabla4[[#This Row],[AGRUPACIONES]]=1,SUMIFS(Tabla4[UDS],Tabla4[ZONA DEFINITIVO],Tabla4[[#This Row],[ZONA DEFINITIVO]])," ")</f>
        <v xml:space="preserve"> </v>
      </c>
      <c r="Z1035" s="12" t="str">
        <f>+IF(Tabla4[[#This Row],[AGRUPACIONES]]=1,SUMIFS(Tabla4[TOTAL COBERTURA],Tabla4[ZONA DEFINITIVO],Tabla4[[#This Row],[ZONA DEFINITIVO]])," ")</f>
        <v xml:space="preserve"> </v>
      </c>
      <c r="AA1035" s="12"/>
      <c r="AB1035" s="38">
        <v>41423667</v>
      </c>
      <c r="AC1035" s="37">
        <v>0.02</v>
      </c>
      <c r="AD1035" s="38">
        <f t="shared" si="16"/>
        <v>828473.34</v>
      </c>
      <c r="AE1035" s="12"/>
      <c r="AF1035" s="12">
        <f>COUNTIF($A$20:A1035,A1035)</f>
        <v>27</v>
      </c>
      <c r="AG1035" s="38">
        <v>41423667</v>
      </c>
      <c r="AH1035" s="38">
        <f>Tabla4[[#This Row],[VALOR CONTRAPARTIDA]]+Tabla4[[#This Row],[TOTAL APORTES ICBF]]</f>
        <v>42252140.340000004</v>
      </c>
      <c r="AI1035" s="35"/>
      <c r="AJ1035" s="38"/>
      <c r="AK1035" s="38"/>
      <c r="AL1035" s="23"/>
      <c r="AM1035" s="35">
        <f>VLOOKUP(Tabla4[[#This Row],[SERVICIO 2025]],$J$2:$V$14,5,0)*Tabla4[[#This Row],[TOTAL COBERTURA]]</f>
        <v>938144</v>
      </c>
      <c r="AN1035" s="35">
        <f>VLOOKUP(Tabla4[[#This Row],[SERVICIO 2025]],$J$2:$V$14,6,0)*Tabla4[[#This Row],[TOTAL COBERTURA]]</f>
        <v>779551</v>
      </c>
      <c r="AO1035" s="35">
        <f>VLOOKUP(Tabla4[[#This Row],[SERVICIO 2025]],$J$2:$V$14,8,0)*Tabla4[[#This Row],[TOTAL COBERTURA]]</f>
        <v>552900</v>
      </c>
      <c r="AP1035" s="35">
        <f>VLOOKUP(Tabla4[[#This Row],[SERVICIO 2025]],$J$2:$V$14,3,0)*Tabla4[[#This Row],[TOTAL COBERTURA]]*8</f>
        <v>39153072</v>
      </c>
      <c r="AQ1035" s="35"/>
      <c r="AR1035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1035" s="35" t="str">
        <f>+IF(Tabla4[[#This Row],[AGRUPACIONES]]=1,SUMIFS(Tabla4[VALOR TOTAL],Tabla4[ZONA DEFINITIVO],Tabla4[[#This Row],[ZONA DEFINITIVO]])," ")</f>
        <v xml:space="preserve"> </v>
      </c>
      <c r="AT1035" s="27">
        <f>(VLOOKUP(Tabla4[[#This Row],[SERVICIO 2025]],$J$2:$V$14,3,0)*Tabla4[[#This Row],[TOTAL COBERTURA]])+Tabla4[[#This Row],[VALOR FASE PREPARATORIA DE ALISTAMIENTO]]+Tabla4[[#This Row],[DOTACIÓN ÚNICA]]</f>
        <v>6385178</v>
      </c>
      <c r="AU1035" s="35">
        <f>(VLOOKUP(Tabla4[[#This Row],[SERVICIO 2025]],$J$2:$V$14,3,0)*Tabla4[[#This Row],[TOTAL COBERTURA]])</f>
        <v>4894134</v>
      </c>
      <c r="AV1035" s="35">
        <f>(VLOOKUP(Tabla4[[#This Row],[SERVICIO 2025]],$J$2:$V$14,3,0)*Tabla4[[#This Row],[TOTAL COBERTURA]])</f>
        <v>4894134</v>
      </c>
      <c r="AW1035" s="35">
        <f>(VLOOKUP(Tabla4[[#This Row],[SERVICIO 2025]],$J$2:$V$14,3,0)*Tabla4[[#This Row],[TOTAL COBERTURA]])</f>
        <v>4894134</v>
      </c>
      <c r="AX1035" s="35">
        <f>(VLOOKUP(Tabla4[[#This Row],[SERVICIO 2025]],$J$2:$V$14,3,0)*Tabla4[[#This Row],[TOTAL COBERTURA]])</f>
        <v>4894134</v>
      </c>
      <c r="AY1035" s="35">
        <f>(VLOOKUP(Tabla4[[#This Row],[SERVICIO 2025]],$J$2:$V$14,3,0)*Tabla4[[#This Row],[TOTAL COBERTURA]])</f>
        <v>4894134</v>
      </c>
      <c r="AZ1035" s="35">
        <f>(VLOOKUP(Tabla4[[#This Row],[SERVICIO 2025]],$J$2:$V$14,3,0)*Tabla4[[#This Row],[TOTAL COBERTURA]])</f>
        <v>4894134</v>
      </c>
      <c r="BA1035" s="35">
        <f>(VLOOKUP(Tabla4[[#This Row],[SERVICIO 2025]],$J$2:$V$14,3,0)*Tabla4[[#This Row],[TOTAL COBERTURA]])+Tabla4[[#This Row],[VALOR FASE PREPARATORIA DE CIERRE]]</f>
        <v>5673685</v>
      </c>
      <c r="BB1035" s="35">
        <f>SUM(Tabla4[[#This Row],[DESEMBOLSO 1]:[DESEMBOLSO 8]])</f>
        <v>41423667</v>
      </c>
      <c r="BC1035" s="35">
        <f>VLOOKUP(Tabla4[[#This Row],[SERVICIO 2025]],$J$2:$V$14,10,0)*Tabla4[[#This Row],[TOTAL COBERTURA]]*$W$3</f>
        <v>27418216</v>
      </c>
      <c r="BD1035" s="47" t="s">
        <v>211</v>
      </c>
      <c r="BE1035" s="12" t="b">
        <f>EXACT(Tabla4[[#This Row],[VALOR ATENCIÓN (8 MESES)]],Tabla4[[#This Row],[VALOR TOTAL]])</f>
        <v>1</v>
      </c>
      <c r="BF1035" s="23">
        <f>Tabla4[[#This Row],[VALOR ATENCIÓN (8 MESES)]]-Tabla4[[#This Row],[VALOR TOTAL]]</f>
        <v>0</v>
      </c>
      <c r="BG1035" s="12" t="b">
        <f>EXACT(Tabla4[[#This Row],[TOTAL DESEMBOLSOS]],Tabla4[[#This Row],[VALOR ATENCIÓN (8 MESES)]])</f>
        <v>1</v>
      </c>
      <c r="BH1035" s="29">
        <f>Tabla4[[#This Row],[TOTAL DESEMBOLSOS]]-Tabla4[[#This Row],[VALOR ATENCIÓN (8 MESES)]]</f>
        <v>0</v>
      </c>
      <c r="BI1035" t="s">
        <v>98</v>
      </c>
    </row>
    <row r="1036" spans="1:61">
      <c r="A1036" s="13">
        <v>1997</v>
      </c>
      <c r="B1036" s="13" t="s">
        <v>2228</v>
      </c>
      <c r="C1036" s="12" t="s">
        <v>87</v>
      </c>
      <c r="D1036" s="12" t="s">
        <v>462</v>
      </c>
      <c r="E1036" s="12" t="s">
        <v>2229</v>
      </c>
      <c r="F1036" s="12" t="s">
        <v>18</v>
      </c>
      <c r="G1036" s="12" t="s">
        <v>90</v>
      </c>
      <c r="H1036" s="12" t="s">
        <v>2286</v>
      </c>
      <c r="I1036" s="12">
        <v>56651136907</v>
      </c>
      <c r="J1036" s="12" t="s">
        <v>2287</v>
      </c>
      <c r="K1036" s="12">
        <v>1</v>
      </c>
      <c r="L1036" s="12">
        <v>20</v>
      </c>
      <c r="M1036" s="12"/>
      <c r="N1036" s="13">
        <v>1997</v>
      </c>
      <c r="O1036" s="12" t="s">
        <v>93</v>
      </c>
      <c r="P1036" s="12"/>
      <c r="Q1036" s="12"/>
      <c r="R1036" s="12" t="s">
        <v>94</v>
      </c>
      <c r="S1036" s="12">
        <v>10</v>
      </c>
      <c r="T1036" s="12" t="s">
        <v>2232</v>
      </c>
      <c r="U1036" s="12" t="s">
        <v>2233</v>
      </c>
      <c r="V1036" s="12">
        <f>VLOOKUP(Tabla4[[#This Row],[ZONA DEFINITIVO]],Hoja1!$A$1:$D$121,3,0)</f>
        <v>229180</v>
      </c>
      <c r="W1036" s="12">
        <f>VLOOKUP(Tabla4[[#This Row],[ZONA DEFINITIVO]],Hoja1!$A$1:$D$121,2,0)</f>
        <v>15357</v>
      </c>
      <c r="X1036" s="12">
        <f>VLOOKUP(Tabla4[[#This Row],[ZONA DEFINITIVO]],Hoja1!$A$1:$D$121,4,0)</f>
        <v>87925</v>
      </c>
      <c r="Y1036" s="12" t="str">
        <f>+IF(Tabla4[[#This Row],[AGRUPACIONES]]=1,SUMIFS(Tabla4[UDS],Tabla4[ZONA DEFINITIVO],Tabla4[[#This Row],[ZONA DEFINITIVO]])," ")</f>
        <v xml:space="preserve"> </v>
      </c>
      <c r="Z1036" s="12" t="str">
        <f>+IF(Tabla4[[#This Row],[AGRUPACIONES]]=1,SUMIFS(Tabla4[TOTAL COBERTURA],Tabla4[ZONA DEFINITIVO],Tabla4[[#This Row],[ZONA DEFINITIVO]])," ")</f>
        <v xml:space="preserve"> </v>
      </c>
      <c r="AA1036" s="12"/>
      <c r="AB1036" s="38">
        <v>43603860</v>
      </c>
      <c r="AC1036" s="37">
        <v>0.02</v>
      </c>
      <c r="AD1036" s="38">
        <f t="shared" si="16"/>
        <v>872077.20000000007</v>
      </c>
      <c r="AE1036" s="12"/>
      <c r="AF1036" s="12">
        <f>COUNTIF($A$20:A1036,A1036)</f>
        <v>28</v>
      </c>
      <c r="AG1036" s="38">
        <v>43603860</v>
      </c>
      <c r="AH1036" s="38">
        <f>Tabla4[[#This Row],[VALOR CONTRAPARTIDA]]+Tabla4[[#This Row],[TOTAL APORTES ICBF]]</f>
        <v>44475937.200000003</v>
      </c>
      <c r="AI1036" s="35"/>
      <c r="AJ1036" s="38"/>
      <c r="AK1036" s="38"/>
      <c r="AL1036" s="23"/>
      <c r="AM1036" s="35">
        <f>VLOOKUP(Tabla4[[#This Row],[SERVICIO 2025]],$J$2:$V$14,5,0)*Tabla4[[#This Row],[TOTAL COBERTURA]]</f>
        <v>987520</v>
      </c>
      <c r="AN1036" s="35">
        <f>VLOOKUP(Tabla4[[#This Row],[SERVICIO 2025]],$J$2:$V$14,6,0)*Tabla4[[#This Row],[TOTAL COBERTURA]]</f>
        <v>820580</v>
      </c>
      <c r="AO1036" s="35">
        <f>VLOOKUP(Tabla4[[#This Row],[SERVICIO 2025]],$J$2:$V$14,8,0)*Tabla4[[#This Row],[TOTAL COBERTURA]]</f>
        <v>582000</v>
      </c>
      <c r="AP1036" s="35">
        <f>VLOOKUP(Tabla4[[#This Row],[SERVICIO 2025]],$J$2:$V$14,3,0)*Tabla4[[#This Row],[TOTAL COBERTURA]]*8</f>
        <v>41213760</v>
      </c>
      <c r="AQ1036" s="35"/>
      <c r="AR1036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036" s="35" t="str">
        <f>+IF(Tabla4[[#This Row],[AGRUPACIONES]]=1,SUMIFS(Tabla4[VALOR TOTAL],Tabla4[ZONA DEFINITIVO],Tabla4[[#This Row],[ZONA DEFINITIVO]])," ")</f>
        <v xml:space="preserve"> </v>
      </c>
      <c r="AT1036" s="27">
        <f>(VLOOKUP(Tabla4[[#This Row],[SERVICIO 2025]],$J$2:$V$14,3,0)*Tabla4[[#This Row],[TOTAL COBERTURA]])+Tabla4[[#This Row],[VALOR FASE PREPARATORIA DE ALISTAMIENTO]]+Tabla4[[#This Row],[DOTACIÓN ÚNICA]]</f>
        <v>6721240</v>
      </c>
      <c r="AU1036" s="35">
        <f>(VLOOKUP(Tabla4[[#This Row],[SERVICIO 2025]],$J$2:$V$14,3,0)*Tabla4[[#This Row],[TOTAL COBERTURA]])</f>
        <v>5151720</v>
      </c>
      <c r="AV1036" s="35">
        <f>(VLOOKUP(Tabla4[[#This Row],[SERVICIO 2025]],$J$2:$V$14,3,0)*Tabla4[[#This Row],[TOTAL COBERTURA]])</f>
        <v>5151720</v>
      </c>
      <c r="AW1036" s="35">
        <f>(VLOOKUP(Tabla4[[#This Row],[SERVICIO 2025]],$J$2:$V$14,3,0)*Tabla4[[#This Row],[TOTAL COBERTURA]])</f>
        <v>5151720</v>
      </c>
      <c r="AX1036" s="35">
        <f>(VLOOKUP(Tabla4[[#This Row],[SERVICIO 2025]],$J$2:$V$14,3,0)*Tabla4[[#This Row],[TOTAL COBERTURA]])</f>
        <v>5151720</v>
      </c>
      <c r="AY1036" s="35">
        <f>(VLOOKUP(Tabla4[[#This Row],[SERVICIO 2025]],$J$2:$V$14,3,0)*Tabla4[[#This Row],[TOTAL COBERTURA]])</f>
        <v>5151720</v>
      </c>
      <c r="AZ1036" s="35">
        <f>(VLOOKUP(Tabla4[[#This Row],[SERVICIO 2025]],$J$2:$V$14,3,0)*Tabla4[[#This Row],[TOTAL COBERTURA]])</f>
        <v>5151720</v>
      </c>
      <c r="BA1036" s="35">
        <f>(VLOOKUP(Tabla4[[#This Row],[SERVICIO 2025]],$J$2:$V$14,3,0)*Tabla4[[#This Row],[TOTAL COBERTURA]])+Tabla4[[#This Row],[VALOR FASE PREPARATORIA DE CIERRE]]</f>
        <v>5972300</v>
      </c>
      <c r="BB1036" s="35">
        <f>SUM(Tabla4[[#This Row],[DESEMBOLSO 1]:[DESEMBOLSO 8]])</f>
        <v>43603860</v>
      </c>
      <c r="BC1036" s="35">
        <f>VLOOKUP(Tabla4[[#This Row],[SERVICIO 2025]],$J$2:$V$14,10,0)*Tabla4[[#This Row],[TOTAL COBERTURA]]*$W$3</f>
        <v>28861280</v>
      </c>
      <c r="BD1036" s="47" t="s">
        <v>211</v>
      </c>
      <c r="BE1036" s="12" t="b">
        <f>EXACT(Tabla4[[#This Row],[VALOR ATENCIÓN (8 MESES)]],Tabla4[[#This Row],[VALOR TOTAL]])</f>
        <v>1</v>
      </c>
      <c r="BF1036" s="23">
        <f>Tabla4[[#This Row],[VALOR ATENCIÓN (8 MESES)]]-Tabla4[[#This Row],[VALOR TOTAL]]</f>
        <v>0</v>
      </c>
      <c r="BG1036" s="12" t="b">
        <f>EXACT(Tabla4[[#This Row],[TOTAL DESEMBOLSOS]],Tabla4[[#This Row],[VALOR ATENCIÓN (8 MESES)]])</f>
        <v>1</v>
      </c>
      <c r="BH1036" s="29">
        <f>Tabla4[[#This Row],[TOTAL DESEMBOLSOS]]-Tabla4[[#This Row],[VALOR ATENCIÓN (8 MESES)]]</f>
        <v>0</v>
      </c>
      <c r="BI1036" t="s">
        <v>98</v>
      </c>
    </row>
    <row r="1037" spans="1:61">
      <c r="A1037" s="13">
        <v>1997</v>
      </c>
      <c r="B1037" s="13" t="s">
        <v>2228</v>
      </c>
      <c r="C1037" s="12" t="s">
        <v>87</v>
      </c>
      <c r="D1037" s="12" t="s">
        <v>462</v>
      </c>
      <c r="E1037" s="12" t="s">
        <v>2229</v>
      </c>
      <c r="F1037" s="12" t="s">
        <v>18</v>
      </c>
      <c r="G1037" s="12" t="s">
        <v>90</v>
      </c>
      <c r="H1037" s="12" t="s">
        <v>2288</v>
      </c>
      <c r="I1037" s="12">
        <v>56651137129</v>
      </c>
      <c r="J1037" s="12" t="s">
        <v>2289</v>
      </c>
      <c r="K1037" s="12">
        <v>1</v>
      </c>
      <c r="L1037" s="12">
        <v>14</v>
      </c>
      <c r="M1037" s="12"/>
      <c r="N1037" s="13">
        <v>1997</v>
      </c>
      <c r="O1037" s="12" t="s">
        <v>93</v>
      </c>
      <c r="P1037" s="12"/>
      <c r="Q1037" s="12"/>
      <c r="R1037" s="12" t="s">
        <v>94</v>
      </c>
      <c r="S1037" s="12">
        <v>10</v>
      </c>
      <c r="T1037" s="12" t="s">
        <v>2232</v>
      </c>
      <c r="U1037" s="12" t="s">
        <v>2233</v>
      </c>
      <c r="V1037" s="12">
        <f>VLOOKUP(Tabla4[[#This Row],[ZONA DEFINITIVO]],Hoja1!$A$1:$D$121,3,0)</f>
        <v>229180</v>
      </c>
      <c r="W1037" s="12">
        <f>VLOOKUP(Tabla4[[#This Row],[ZONA DEFINITIVO]],Hoja1!$A$1:$D$121,2,0)</f>
        <v>15357</v>
      </c>
      <c r="X1037" s="12">
        <f>VLOOKUP(Tabla4[[#This Row],[ZONA DEFINITIVO]],Hoja1!$A$1:$D$121,4,0)</f>
        <v>87925</v>
      </c>
      <c r="Y1037" s="12" t="str">
        <f>+IF(Tabla4[[#This Row],[AGRUPACIONES]]=1,SUMIFS(Tabla4[UDS],Tabla4[ZONA DEFINITIVO],Tabla4[[#This Row],[ZONA DEFINITIVO]])," ")</f>
        <v xml:space="preserve"> </v>
      </c>
      <c r="Z1037" s="12" t="str">
        <f>+IF(Tabla4[[#This Row],[AGRUPACIONES]]=1,SUMIFS(Tabla4[TOTAL COBERTURA],Tabla4[ZONA DEFINITIVO],Tabla4[[#This Row],[ZONA DEFINITIVO]])," ")</f>
        <v xml:space="preserve"> </v>
      </c>
      <c r="AA1037" s="12"/>
      <c r="AB1037" s="38">
        <v>30522702</v>
      </c>
      <c r="AC1037" s="37">
        <v>0.02</v>
      </c>
      <c r="AD1037" s="38">
        <f t="shared" si="16"/>
        <v>610454.04</v>
      </c>
      <c r="AE1037" s="12"/>
      <c r="AF1037" s="12">
        <f>COUNTIF($A$20:A1037,A1037)</f>
        <v>29</v>
      </c>
      <c r="AG1037" s="38">
        <v>30522702</v>
      </c>
      <c r="AH1037" s="38">
        <f>Tabla4[[#This Row],[VALOR CONTRAPARTIDA]]+Tabla4[[#This Row],[TOTAL APORTES ICBF]]</f>
        <v>31133156.039999999</v>
      </c>
      <c r="AI1037" s="35"/>
      <c r="AJ1037" s="38"/>
      <c r="AK1037" s="38"/>
      <c r="AL1037" s="23"/>
      <c r="AM1037" s="35">
        <f>VLOOKUP(Tabla4[[#This Row],[SERVICIO 2025]],$J$2:$V$14,5,0)*Tabla4[[#This Row],[TOTAL COBERTURA]]</f>
        <v>691264</v>
      </c>
      <c r="AN1037" s="35">
        <f>VLOOKUP(Tabla4[[#This Row],[SERVICIO 2025]],$J$2:$V$14,6,0)*Tabla4[[#This Row],[TOTAL COBERTURA]]</f>
        <v>574406</v>
      </c>
      <c r="AO1037" s="35">
        <f>VLOOKUP(Tabla4[[#This Row],[SERVICIO 2025]],$J$2:$V$14,8,0)*Tabla4[[#This Row],[TOTAL COBERTURA]]</f>
        <v>407400</v>
      </c>
      <c r="AP1037" s="35">
        <f>VLOOKUP(Tabla4[[#This Row],[SERVICIO 2025]],$J$2:$V$14,3,0)*Tabla4[[#This Row],[TOTAL COBERTURA]]*8</f>
        <v>28849632</v>
      </c>
      <c r="AQ1037" s="35"/>
      <c r="AR1037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1037" s="35" t="str">
        <f>+IF(Tabla4[[#This Row],[AGRUPACIONES]]=1,SUMIFS(Tabla4[VALOR TOTAL],Tabla4[ZONA DEFINITIVO],Tabla4[[#This Row],[ZONA DEFINITIVO]])," ")</f>
        <v xml:space="preserve"> </v>
      </c>
      <c r="AT1037" s="27">
        <f>(VLOOKUP(Tabla4[[#This Row],[SERVICIO 2025]],$J$2:$V$14,3,0)*Tabla4[[#This Row],[TOTAL COBERTURA]])+Tabla4[[#This Row],[VALOR FASE PREPARATORIA DE ALISTAMIENTO]]+Tabla4[[#This Row],[DOTACIÓN ÚNICA]]</f>
        <v>4704868</v>
      </c>
      <c r="AU1037" s="35">
        <f>(VLOOKUP(Tabla4[[#This Row],[SERVICIO 2025]],$J$2:$V$14,3,0)*Tabla4[[#This Row],[TOTAL COBERTURA]])</f>
        <v>3606204</v>
      </c>
      <c r="AV1037" s="35">
        <f>(VLOOKUP(Tabla4[[#This Row],[SERVICIO 2025]],$J$2:$V$14,3,0)*Tabla4[[#This Row],[TOTAL COBERTURA]])</f>
        <v>3606204</v>
      </c>
      <c r="AW1037" s="35">
        <f>(VLOOKUP(Tabla4[[#This Row],[SERVICIO 2025]],$J$2:$V$14,3,0)*Tabla4[[#This Row],[TOTAL COBERTURA]])</f>
        <v>3606204</v>
      </c>
      <c r="AX1037" s="35">
        <f>(VLOOKUP(Tabla4[[#This Row],[SERVICIO 2025]],$J$2:$V$14,3,0)*Tabla4[[#This Row],[TOTAL COBERTURA]])</f>
        <v>3606204</v>
      </c>
      <c r="AY1037" s="35">
        <f>(VLOOKUP(Tabla4[[#This Row],[SERVICIO 2025]],$J$2:$V$14,3,0)*Tabla4[[#This Row],[TOTAL COBERTURA]])</f>
        <v>3606204</v>
      </c>
      <c r="AZ1037" s="35">
        <f>(VLOOKUP(Tabla4[[#This Row],[SERVICIO 2025]],$J$2:$V$14,3,0)*Tabla4[[#This Row],[TOTAL COBERTURA]])</f>
        <v>3606204</v>
      </c>
      <c r="BA1037" s="35">
        <f>(VLOOKUP(Tabla4[[#This Row],[SERVICIO 2025]],$J$2:$V$14,3,0)*Tabla4[[#This Row],[TOTAL COBERTURA]])+Tabla4[[#This Row],[VALOR FASE PREPARATORIA DE CIERRE]]</f>
        <v>4180610</v>
      </c>
      <c r="BB1037" s="35">
        <f>SUM(Tabla4[[#This Row],[DESEMBOLSO 1]:[DESEMBOLSO 8]])</f>
        <v>30522702</v>
      </c>
      <c r="BC1037" s="35">
        <f>VLOOKUP(Tabla4[[#This Row],[SERVICIO 2025]],$J$2:$V$14,10,0)*Tabla4[[#This Row],[TOTAL COBERTURA]]*$W$3</f>
        <v>20202896</v>
      </c>
      <c r="BD1037" s="47" t="s">
        <v>211</v>
      </c>
      <c r="BE1037" s="12" t="b">
        <f>EXACT(Tabla4[[#This Row],[VALOR ATENCIÓN (8 MESES)]],Tabla4[[#This Row],[VALOR TOTAL]])</f>
        <v>1</v>
      </c>
      <c r="BF1037" s="23">
        <f>Tabla4[[#This Row],[VALOR ATENCIÓN (8 MESES)]]-Tabla4[[#This Row],[VALOR TOTAL]]</f>
        <v>0</v>
      </c>
      <c r="BG1037" s="12" t="b">
        <f>EXACT(Tabla4[[#This Row],[TOTAL DESEMBOLSOS]],Tabla4[[#This Row],[VALOR ATENCIÓN (8 MESES)]])</f>
        <v>1</v>
      </c>
      <c r="BH1037" s="29">
        <f>Tabla4[[#This Row],[TOTAL DESEMBOLSOS]]-Tabla4[[#This Row],[VALOR ATENCIÓN (8 MESES)]]</f>
        <v>0</v>
      </c>
      <c r="BI1037" t="s">
        <v>98</v>
      </c>
    </row>
    <row r="1038" spans="1:61">
      <c r="A1038" s="13">
        <v>1997</v>
      </c>
      <c r="B1038" s="13" t="s">
        <v>2228</v>
      </c>
      <c r="C1038" s="12" t="s">
        <v>87</v>
      </c>
      <c r="D1038" s="12" t="s">
        <v>462</v>
      </c>
      <c r="E1038" s="12" t="s">
        <v>2229</v>
      </c>
      <c r="F1038" s="12" t="s">
        <v>18</v>
      </c>
      <c r="G1038" s="12" t="s">
        <v>90</v>
      </c>
      <c r="H1038" s="12" t="s">
        <v>2290</v>
      </c>
      <c r="I1038" s="12">
        <v>56651137130</v>
      </c>
      <c r="J1038" s="12" t="s">
        <v>2291</v>
      </c>
      <c r="K1038" s="12">
        <v>1</v>
      </c>
      <c r="L1038" s="12">
        <v>14</v>
      </c>
      <c r="M1038" s="12"/>
      <c r="N1038" s="13">
        <v>1997</v>
      </c>
      <c r="O1038" s="12" t="s">
        <v>93</v>
      </c>
      <c r="P1038" s="12"/>
      <c r="Q1038" s="12"/>
      <c r="R1038" s="12" t="s">
        <v>94</v>
      </c>
      <c r="S1038" s="12">
        <v>10</v>
      </c>
      <c r="T1038" s="12" t="s">
        <v>2232</v>
      </c>
      <c r="U1038" s="12" t="s">
        <v>2233</v>
      </c>
      <c r="V1038" s="12">
        <f>VLOOKUP(Tabla4[[#This Row],[ZONA DEFINITIVO]],Hoja1!$A$1:$D$121,3,0)</f>
        <v>229180</v>
      </c>
      <c r="W1038" s="12">
        <f>VLOOKUP(Tabla4[[#This Row],[ZONA DEFINITIVO]],Hoja1!$A$1:$D$121,2,0)</f>
        <v>15357</v>
      </c>
      <c r="X1038" s="12">
        <f>VLOOKUP(Tabla4[[#This Row],[ZONA DEFINITIVO]],Hoja1!$A$1:$D$121,4,0)</f>
        <v>87925</v>
      </c>
      <c r="Y1038" s="12" t="str">
        <f>+IF(Tabla4[[#This Row],[AGRUPACIONES]]=1,SUMIFS(Tabla4[UDS],Tabla4[ZONA DEFINITIVO],Tabla4[[#This Row],[ZONA DEFINITIVO]])," ")</f>
        <v xml:space="preserve"> </v>
      </c>
      <c r="Z1038" s="12" t="str">
        <f>+IF(Tabla4[[#This Row],[AGRUPACIONES]]=1,SUMIFS(Tabla4[TOTAL COBERTURA],Tabla4[ZONA DEFINITIVO],Tabla4[[#This Row],[ZONA DEFINITIVO]])," ")</f>
        <v xml:space="preserve"> </v>
      </c>
      <c r="AA1038" s="12"/>
      <c r="AB1038" s="38">
        <v>30522702</v>
      </c>
      <c r="AC1038" s="37">
        <v>0.02</v>
      </c>
      <c r="AD1038" s="38">
        <f t="shared" si="16"/>
        <v>610454.04</v>
      </c>
      <c r="AE1038" s="12"/>
      <c r="AF1038" s="12">
        <f>COUNTIF($A$20:A1038,A1038)</f>
        <v>30</v>
      </c>
      <c r="AG1038" s="38">
        <v>30522702</v>
      </c>
      <c r="AH1038" s="38">
        <f>Tabla4[[#This Row],[VALOR CONTRAPARTIDA]]+Tabla4[[#This Row],[TOTAL APORTES ICBF]]</f>
        <v>31133156.039999999</v>
      </c>
      <c r="AI1038" s="35"/>
      <c r="AJ1038" s="38"/>
      <c r="AK1038" s="38"/>
      <c r="AL1038" s="23"/>
      <c r="AM1038" s="35">
        <f>VLOOKUP(Tabla4[[#This Row],[SERVICIO 2025]],$J$2:$V$14,5,0)*Tabla4[[#This Row],[TOTAL COBERTURA]]</f>
        <v>691264</v>
      </c>
      <c r="AN1038" s="35">
        <f>VLOOKUP(Tabla4[[#This Row],[SERVICIO 2025]],$J$2:$V$14,6,0)*Tabla4[[#This Row],[TOTAL COBERTURA]]</f>
        <v>574406</v>
      </c>
      <c r="AO1038" s="35">
        <f>VLOOKUP(Tabla4[[#This Row],[SERVICIO 2025]],$J$2:$V$14,8,0)*Tabla4[[#This Row],[TOTAL COBERTURA]]</f>
        <v>407400</v>
      </c>
      <c r="AP1038" s="35">
        <f>VLOOKUP(Tabla4[[#This Row],[SERVICIO 2025]],$J$2:$V$14,3,0)*Tabla4[[#This Row],[TOTAL COBERTURA]]*8</f>
        <v>28849632</v>
      </c>
      <c r="AQ1038" s="35"/>
      <c r="AR1038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1038" s="35" t="str">
        <f>+IF(Tabla4[[#This Row],[AGRUPACIONES]]=1,SUMIFS(Tabla4[VALOR TOTAL],Tabla4[ZONA DEFINITIVO],Tabla4[[#This Row],[ZONA DEFINITIVO]])," ")</f>
        <v xml:space="preserve"> </v>
      </c>
      <c r="AT1038" s="27">
        <f>(VLOOKUP(Tabla4[[#This Row],[SERVICIO 2025]],$J$2:$V$14,3,0)*Tabla4[[#This Row],[TOTAL COBERTURA]])+Tabla4[[#This Row],[VALOR FASE PREPARATORIA DE ALISTAMIENTO]]+Tabla4[[#This Row],[DOTACIÓN ÚNICA]]</f>
        <v>4704868</v>
      </c>
      <c r="AU1038" s="35">
        <f>(VLOOKUP(Tabla4[[#This Row],[SERVICIO 2025]],$J$2:$V$14,3,0)*Tabla4[[#This Row],[TOTAL COBERTURA]])</f>
        <v>3606204</v>
      </c>
      <c r="AV1038" s="35">
        <f>(VLOOKUP(Tabla4[[#This Row],[SERVICIO 2025]],$J$2:$V$14,3,0)*Tabla4[[#This Row],[TOTAL COBERTURA]])</f>
        <v>3606204</v>
      </c>
      <c r="AW1038" s="35">
        <f>(VLOOKUP(Tabla4[[#This Row],[SERVICIO 2025]],$J$2:$V$14,3,0)*Tabla4[[#This Row],[TOTAL COBERTURA]])</f>
        <v>3606204</v>
      </c>
      <c r="AX1038" s="35">
        <f>(VLOOKUP(Tabla4[[#This Row],[SERVICIO 2025]],$J$2:$V$14,3,0)*Tabla4[[#This Row],[TOTAL COBERTURA]])</f>
        <v>3606204</v>
      </c>
      <c r="AY1038" s="35">
        <f>(VLOOKUP(Tabla4[[#This Row],[SERVICIO 2025]],$J$2:$V$14,3,0)*Tabla4[[#This Row],[TOTAL COBERTURA]])</f>
        <v>3606204</v>
      </c>
      <c r="AZ1038" s="35">
        <f>(VLOOKUP(Tabla4[[#This Row],[SERVICIO 2025]],$J$2:$V$14,3,0)*Tabla4[[#This Row],[TOTAL COBERTURA]])</f>
        <v>3606204</v>
      </c>
      <c r="BA1038" s="35">
        <f>(VLOOKUP(Tabla4[[#This Row],[SERVICIO 2025]],$J$2:$V$14,3,0)*Tabla4[[#This Row],[TOTAL COBERTURA]])+Tabla4[[#This Row],[VALOR FASE PREPARATORIA DE CIERRE]]</f>
        <v>4180610</v>
      </c>
      <c r="BB1038" s="35">
        <f>SUM(Tabla4[[#This Row],[DESEMBOLSO 1]:[DESEMBOLSO 8]])</f>
        <v>30522702</v>
      </c>
      <c r="BC1038" s="35">
        <f>VLOOKUP(Tabla4[[#This Row],[SERVICIO 2025]],$J$2:$V$14,10,0)*Tabla4[[#This Row],[TOTAL COBERTURA]]*$W$3</f>
        <v>20202896</v>
      </c>
      <c r="BD1038" s="47" t="s">
        <v>211</v>
      </c>
      <c r="BE1038" s="12" t="b">
        <f>EXACT(Tabla4[[#This Row],[VALOR ATENCIÓN (8 MESES)]],Tabla4[[#This Row],[VALOR TOTAL]])</f>
        <v>1</v>
      </c>
      <c r="BF1038" s="23">
        <f>Tabla4[[#This Row],[VALOR ATENCIÓN (8 MESES)]]-Tabla4[[#This Row],[VALOR TOTAL]]</f>
        <v>0</v>
      </c>
      <c r="BG1038" s="12" t="b">
        <f>EXACT(Tabla4[[#This Row],[TOTAL DESEMBOLSOS]],Tabla4[[#This Row],[VALOR ATENCIÓN (8 MESES)]])</f>
        <v>1</v>
      </c>
      <c r="BH1038" s="29">
        <f>Tabla4[[#This Row],[TOTAL DESEMBOLSOS]]-Tabla4[[#This Row],[VALOR ATENCIÓN (8 MESES)]]</f>
        <v>0</v>
      </c>
      <c r="BI1038" t="s">
        <v>98</v>
      </c>
    </row>
    <row r="1039" spans="1:61">
      <c r="A1039" s="13">
        <v>1997</v>
      </c>
      <c r="B1039" s="13" t="s">
        <v>2228</v>
      </c>
      <c r="C1039" s="12" t="s">
        <v>87</v>
      </c>
      <c r="D1039" s="12" t="s">
        <v>462</v>
      </c>
      <c r="E1039" s="12" t="s">
        <v>2229</v>
      </c>
      <c r="F1039" s="12" t="s">
        <v>18</v>
      </c>
      <c r="G1039" s="12" t="s">
        <v>90</v>
      </c>
      <c r="H1039" s="12" t="s">
        <v>2292</v>
      </c>
      <c r="I1039" s="12">
        <v>56651137132</v>
      </c>
      <c r="J1039" s="12" t="s">
        <v>2293</v>
      </c>
      <c r="K1039" s="12">
        <v>1</v>
      </c>
      <c r="L1039" s="12">
        <v>18</v>
      </c>
      <c r="M1039" s="12"/>
      <c r="N1039" s="13">
        <v>1997</v>
      </c>
      <c r="O1039" s="12" t="s">
        <v>93</v>
      </c>
      <c r="P1039" s="12"/>
      <c r="Q1039" s="12"/>
      <c r="R1039" s="12" t="s">
        <v>94</v>
      </c>
      <c r="S1039" s="12">
        <v>10</v>
      </c>
      <c r="T1039" s="12" t="s">
        <v>2232</v>
      </c>
      <c r="U1039" s="12" t="s">
        <v>2233</v>
      </c>
      <c r="V1039" s="12">
        <f>VLOOKUP(Tabla4[[#This Row],[ZONA DEFINITIVO]],Hoja1!$A$1:$D$121,3,0)</f>
        <v>229180</v>
      </c>
      <c r="W1039" s="12">
        <f>VLOOKUP(Tabla4[[#This Row],[ZONA DEFINITIVO]],Hoja1!$A$1:$D$121,2,0)</f>
        <v>15357</v>
      </c>
      <c r="X1039" s="12">
        <f>VLOOKUP(Tabla4[[#This Row],[ZONA DEFINITIVO]],Hoja1!$A$1:$D$121,4,0)</f>
        <v>87925</v>
      </c>
      <c r="Y1039" s="12" t="str">
        <f>+IF(Tabla4[[#This Row],[AGRUPACIONES]]=1,SUMIFS(Tabla4[UDS],Tabla4[ZONA DEFINITIVO],Tabla4[[#This Row],[ZONA DEFINITIVO]])," ")</f>
        <v xml:space="preserve"> </v>
      </c>
      <c r="Z1039" s="12" t="str">
        <f>+IF(Tabla4[[#This Row],[AGRUPACIONES]]=1,SUMIFS(Tabla4[TOTAL COBERTURA],Tabla4[ZONA DEFINITIVO],Tabla4[[#This Row],[ZONA DEFINITIVO]])," ")</f>
        <v xml:space="preserve"> </v>
      </c>
      <c r="AA1039" s="12"/>
      <c r="AB1039" s="38">
        <v>39243474</v>
      </c>
      <c r="AC1039" s="37">
        <v>0.02</v>
      </c>
      <c r="AD1039" s="38">
        <f t="shared" si="16"/>
        <v>784869.48</v>
      </c>
      <c r="AE1039" s="12"/>
      <c r="AF1039" s="12">
        <f>COUNTIF($A$20:A1039,A1039)</f>
        <v>31</v>
      </c>
      <c r="AG1039" s="38">
        <v>39243474</v>
      </c>
      <c r="AH1039" s="38">
        <f>Tabla4[[#This Row],[VALOR CONTRAPARTIDA]]+Tabla4[[#This Row],[TOTAL APORTES ICBF]]</f>
        <v>40028343.479999997</v>
      </c>
      <c r="AI1039" s="35"/>
      <c r="AJ1039" s="38"/>
      <c r="AK1039" s="38"/>
      <c r="AL1039" s="23"/>
      <c r="AM1039" s="35">
        <f>VLOOKUP(Tabla4[[#This Row],[SERVICIO 2025]],$J$2:$V$14,5,0)*Tabla4[[#This Row],[TOTAL COBERTURA]]</f>
        <v>888768</v>
      </c>
      <c r="AN1039" s="35">
        <f>VLOOKUP(Tabla4[[#This Row],[SERVICIO 2025]],$J$2:$V$14,6,0)*Tabla4[[#This Row],[TOTAL COBERTURA]]</f>
        <v>738522</v>
      </c>
      <c r="AO1039" s="35">
        <f>VLOOKUP(Tabla4[[#This Row],[SERVICIO 2025]],$J$2:$V$14,8,0)*Tabla4[[#This Row],[TOTAL COBERTURA]]</f>
        <v>523800</v>
      </c>
      <c r="AP1039" s="35">
        <f>VLOOKUP(Tabla4[[#This Row],[SERVICIO 2025]],$J$2:$V$14,3,0)*Tabla4[[#This Row],[TOTAL COBERTURA]]*8</f>
        <v>37092384</v>
      </c>
      <c r="AQ1039" s="35"/>
      <c r="AR1039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1039" s="35" t="str">
        <f>+IF(Tabla4[[#This Row],[AGRUPACIONES]]=1,SUMIFS(Tabla4[VALOR TOTAL],Tabla4[ZONA DEFINITIVO],Tabla4[[#This Row],[ZONA DEFINITIVO]])," ")</f>
        <v xml:space="preserve"> </v>
      </c>
      <c r="AT1039" s="27">
        <f>(VLOOKUP(Tabla4[[#This Row],[SERVICIO 2025]],$J$2:$V$14,3,0)*Tabla4[[#This Row],[TOTAL COBERTURA]])+Tabla4[[#This Row],[VALOR FASE PREPARATORIA DE ALISTAMIENTO]]+Tabla4[[#This Row],[DOTACIÓN ÚNICA]]</f>
        <v>6049116</v>
      </c>
      <c r="AU1039" s="35">
        <f>(VLOOKUP(Tabla4[[#This Row],[SERVICIO 2025]],$J$2:$V$14,3,0)*Tabla4[[#This Row],[TOTAL COBERTURA]])</f>
        <v>4636548</v>
      </c>
      <c r="AV1039" s="35">
        <f>(VLOOKUP(Tabla4[[#This Row],[SERVICIO 2025]],$J$2:$V$14,3,0)*Tabla4[[#This Row],[TOTAL COBERTURA]])</f>
        <v>4636548</v>
      </c>
      <c r="AW1039" s="35">
        <f>(VLOOKUP(Tabla4[[#This Row],[SERVICIO 2025]],$J$2:$V$14,3,0)*Tabla4[[#This Row],[TOTAL COBERTURA]])</f>
        <v>4636548</v>
      </c>
      <c r="AX1039" s="35">
        <f>(VLOOKUP(Tabla4[[#This Row],[SERVICIO 2025]],$J$2:$V$14,3,0)*Tabla4[[#This Row],[TOTAL COBERTURA]])</f>
        <v>4636548</v>
      </c>
      <c r="AY1039" s="35">
        <f>(VLOOKUP(Tabla4[[#This Row],[SERVICIO 2025]],$J$2:$V$14,3,0)*Tabla4[[#This Row],[TOTAL COBERTURA]])</f>
        <v>4636548</v>
      </c>
      <c r="AZ1039" s="35">
        <f>(VLOOKUP(Tabla4[[#This Row],[SERVICIO 2025]],$J$2:$V$14,3,0)*Tabla4[[#This Row],[TOTAL COBERTURA]])</f>
        <v>4636548</v>
      </c>
      <c r="BA1039" s="35">
        <f>(VLOOKUP(Tabla4[[#This Row],[SERVICIO 2025]],$J$2:$V$14,3,0)*Tabla4[[#This Row],[TOTAL COBERTURA]])+Tabla4[[#This Row],[VALOR FASE PREPARATORIA DE CIERRE]]</f>
        <v>5375070</v>
      </c>
      <c r="BB1039" s="35">
        <f>SUM(Tabla4[[#This Row],[DESEMBOLSO 1]:[DESEMBOLSO 8]])</f>
        <v>39243474</v>
      </c>
      <c r="BC1039" s="35">
        <f>VLOOKUP(Tabla4[[#This Row],[SERVICIO 2025]],$J$2:$V$14,10,0)*Tabla4[[#This Row],[TOTAL COBERTURA]]*$W$3</f>
        <v>25975152</v>
      </c>
      <c r="BD1039" s="47" t="s">
        <v>211</v>
      </c>
      <c r="BE1039" s="12" t="b">
        <f>EXACT(Tabla4[[#This Row],[VALOR ATENCIÓN (8 MESES)]],Tabla4[[#This Row],[VALOR TOTAL]])</f>
        <v>1</v>
      </c>
      <c r="BF1039" s="23">
        <f>Tabla4[[#This Row],[VALOR ATENCIÓN (8 MESES)]]-Tabla4[[#This Row],[VALOR TOTAL]]</f>
        <v>0</v>
      </c>
      <c r="BG1039" s="12" t="b">
        <f>EXACT(Tabla4[[#This Row],[TOTAL DESEMBOLSOS]],Tabla4[[#This Row],[VALOR ATENCIÓN (8 MESES)]])</f>
        <v>1</v>
      </c>
      <c r="BH1039" s="29">
        <f>Tabla4[[#This Row],[TOTAL DESEMBOLSOS]]-Tabla4[[#This Row],[VALOR ATENCIÓN (8 MESES)]]</f>
        <v>0</v>
      </c>
      <c r="BI1039" t="s">
        <v>98</v>
      </c>
    </row>
    <row r="1040" spans="1:61">
      <c r="A1040" s="13">
        <v>1997</v>
      </c>
      <c r="B1040" s="13" t="s">
        <v>2228</v>
      </c>
      <c r="C1040" s="12" t="s">
        <v>87</v>
      </c>
      <c r="D1040" s="12" t="s">
        <v>462</v>
      </c>
      <c r="E1040" s="12" t="s">
        <v>2229</v>
      </c>
      <c r="F1040" s="12" t="s">
        <v>18</v>
      </c>
      <c r="G1040" s="12" t="s">
        <v>90</v>
      </c>
      <c r="H1040" s="12" t="s">
        <v>2294</v>
      </c>
      <c r="I1040" s="12">
        <v>56651137133</v>
      </c>
      <c r="J1040" s="12" t="s">
        <v>2295</v>
      </c>
      <c r="K1040" s="12">
        <v>1</v>
      </c>
      <c r="L1040" s="12">
        <v>17</v>
      </c>
      <c r="M1040" s="12"/>
      <c r="N1040" s="13">
        <v>1997</v>
      </c>
      <c r="O1040" s="12" t="s">
        <v>93</v>
      </c>
      <c r="P1040" s="12"/>
      <c r="Q1040" s="12"/>
      <c r="R1040" s="12" t="s">
        <v>94</v>
      </c>
      <c r="S1040" s="12">
        <v>10</v>
      </c>
      <c r="T1040" s="12" t="s">
        <v>2232</v>
      </c>
      <c r="U1040" s="12" t="s">
        <v>2233</v>
      </c>
      <c r="V1040" s="12">
        <f>VLOOKUP(Tabla4[[#This Row],[ZONA DEFINITIVO]],Hoja1!$A$1:$D$121,3,0)</f>
        <v>229180</v>
      </c>
      <c r="W1040" s="12">
        <f>VLOOKUP(Tabla4[[#This Row],[ZONA DEFINITIVO]],Hoja1!$A$1:$D$121,2,0)</f>
        <v>15357</v>
      </c>
      <c r="X1040" s="12">
        <f>VLOOKUP(Tabla4[[#This Row],[ZONA DEFINITIVO]],Hoja1!$A$1:$D$121,4,0)</f>
        <v>87925</v>
      </c>
      <c r="Y1040" s="12" t="str">
        <f>+IF(Tabla4[[#This Row],[AGRUPACIONES]]=1,SUMIFS(Tabla4[UDS],Tabla4[ZONA DEFINITIVO],Tabla4[[#This Row],[ZONA DEFINITIVO]])," ")</f>
        <v xml:space="preserve"> </v>
      </c>
      <c r="Z1040" s="12" t="str">
        <f>+IF(Tabla4[[#This Row],[AGRUPACIONES]]=1,SUMIFS(Tabla4[TOTAL COBERTURA],Tabla4[ZONA DEFINITIVO],Tabla4[[#This Row],[ZONA DEFINITIVO]])," ")</f>
        <v xml:space="preserve"> </v>
      </c>
      <c r="AA1040" s="12"/>
      <c r="AB1040" s="38">
        <v>37063281</v>
      </c>
      <c r="AC1040" s="37">
        <v>0.02</v>
      </c>
      <c r="AD1040" s="38">
        <f t="shared" si="16"/>
        <v>741265.62</v>
      </c>
      <c r="AE1040" s="12"/>
      <c r="AF1040" s="12">
        <f>COUNTIF($A$20:A1040,A1040)</f>
        <v>32</v>
      </c>
      <c r="AG1040" s="38">
        <v>37063281</v>
      </c>
      <c r="AH1040" s="38">
        <f>Tabla4[[#This Row],[VALOR CONTRAPARTIDA]]+Tabla4[[#This Row],[TOTAL APORTES ICBF]]</f>
        <v>37804546.619999997</v>
      </c>
      <c r="AI1040" s="35"/>
      <c r="AJ1040" s="38"/>
      <c r="AK1040" s="38"/>
      <c r="AL1040" s="23"/>
      <c r="AM1040" s="35">
        <f>VLOOKUP(Tabla4[[#This Row],[SERVICIO 2025]],$J$2:$V$14,5,0)*Tabla4[[#This Row],[TOTAL COBERTURA]]</f>
        <v>839392</v>
      </c>
      <c r="AN1040" s="35">
        <f>VLOOKUP(Tabla4[[#This Row],[SERVICIO 2025]],$J$2:$V$14,6,0)*Tabla4[[#This Row],[TOTAL COBERTURA]]</f>
        <v>697493</v>
      </c>
      <c r="AO1040" s="35">
        <f>VLOOKUP(Tabla4[[#This Row],[SERVICIO 2025]],$J$2:$V$14,8,0)*Tabla4[[#This Row],[TOTAL COBERTURA]]</f>
        <v>494700</v>
      </c>
      <c r="AP1040" s="35">
        <f>VLOOKUP(Tabla4[[#This Row],[SERVICIO 2025]],$J$2:$V$14,3,0)*Tabla4[[#This Row],[TOTAL COBERTURA]]*8</f>
        <v>35031696</v>
      </c>
      <c r="AQ1040" s="35"/>
      <c r="AR1040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1040" s="35" t="str">
        <f>+IF(Tabla4[[#This Row],[AGRUPACIONES]]=1,SUMIFS(Tabla4[VALOR TOTAL],Tabla4[ZONA DEFINITIVO],Tabla4[[#This Row],[ZONA DEFINITIVO]])," ")</f>
        <v xml:space="preserve"> </v>
      </c>
      <c r="AT1040" s="27">
        <f>(VLOOKUP(Tabla4[[#This Row],[SERVICIO 2025]],$J$2:$V$14,3,0)*Tabla4[[#This Row],[TOTAL COBERTURA]])+Tabla4[[#This Row],[VALOR FASE PREPARATORIA DE ALISTAMIENTO]]+Tabla4[[#This Row],[DOTACIÓN ÚNICA]]</f>
        <v>5713054</v>
      </c>
      <c r="AU1040" s="35">
        <f>(VLOOKUP(Tabla4[[#This Row],[SERVICIO 2025]],$J$2:$V$14,3,0)*Tabla4[[#This Row],[TOTAL COBERTURA]])</f>
        <v>4378962</v>
      </c>
      <c r="AV1040" s="35">
        <f>(VLOOKUP(Tabla4[[#This Row],[SERVICIO 2025]],$J$2:$V$14,3,0)*Tabla4[[#This Row],[TOTAL COBERTURA]])</f>
        <v>4378962</v>
      </c>
      <c r="AW1040" s="35">
        <f>(VLOOKUP(Tabla4[[#This Row],[SERVICIO 2025]],$J$2:$V$14,3,0)*Tabla4[[#This Row],[TOTAL COBERTURA]])</f>
        <v>4378962</v>
      </c>
      <c r="AX1040" s="35">
        <f>(VLOOKUP(Tabla4[[#This Row],[SERVICIO 2025]],$J$2:$V$14,3,0)*Tabla4[[#This Row],[TOTAL COBERTURA]])</f>
        <v>4378962</v>
      </c>
      <c r="AY1040" s="35">
        <f>(VLOOKUP(Tabla4[[#This Row],[SERVICIO 2025]],$J$2:$V$14,3,0)*Tabla4[[#This Row],[TOTAL COBERTURA]])</f>
        <v>4378962</v>
      </c>
      <c r="AZ1040" s="35">
        <f>(VLOOKUP(Tabla4[[#This Row],[SERVICIO 2025]],$J$2:$V$14,3,0)*Tabla4[[#This Row],[TOTAL COBERTURA]])</f>
        <v>4378962</v>
      </c>
      <c r="BA1040" s="35">
        <f>(VLOOKUP(Tabla4[[#This Row],[SERVICIO 2025]],$J$2:$V$14,3,0)*Tabla4[[#This Row],[TOTAL COBERTURA]])+Tabla4[[#This Row],[VALOR FASE PREPARATORIA DE CIERRE]]</f>
        <v>5076455</v>
      </c>
      <c r="BB1040" s="35">
        <f>SUM(Tabla4[[#This Row],[DESEMBOLSO 1]:[DESEMBOLSO 8]])</f>
        <v>37063281</v>
      </c>
      <c r="BC1040" s="35">
        <f>VLOOKUP(Tabla4[[#This Row],[SERVICIO 2025]],$J$2:$V$14,10,0)*Tabla4[[#This Row],[TOTAL COBERTURA]]*$W$3</f>
        <v>24532088</v>
      </c>
      <c r="BD1040" s="47" t="s">
        <v>211</v>
      </c>
      <c r="BE1040" s="12" t="b">
        <f>EXACT(Tabla4[[#This Row],[VALOR ATENCIÓN (8 MESES)]],Tabla4[[#This Row],[VALOR TOTAL]])</f>
        <v>1</v>
      </c>
      <c r="BF1040" s="23">
        <f>Tabla4[[#This Row],[VALOR ATENCIÓN (8 MESES)]]-Tabla4[[#This Row],[VALOR TOTAL]]</f>
        <v>0</v>
      </c>
      <c r="BG1040" s="12" t="b">
        <f>EXACT(Tabla4[[#This Row],[TOTAL DESEMBOLSOS]],Tabla4[[#This Row],[VALOR ATENCIÓN (8 MESES)]])</f>
        <v>1</v>
      </c>
      <c r="BH1040" s="29">
        <f>Tabla4[[#This Row],[TOTAL DESEMBOLSOS]]-Tabla4[[#This Row],[VALOR ATENCIÓN (8 MESES)]]</f>
        <v>0</v>
      </c>
      <c r="BI1040" t="s">
        <v>98</v>
      </c>
    </row>
    <row r="1041" spans="1:62">
      <c r="A1041" s="13">
        <v>1997</v>
      </c>
      <c r="B1041" s="13" t="s">
        <v>2228</v>
      </c>
      <c r="C1041" s="12" t="s">
        <v>87</v>
      </c>
      <c r="D1041" s="12" t="s">
        <v>462</v>
      </c>
      <c r="E1041" s="12" t="s">
        <v>2229</v>
      </c>
      <c r="F1041" s="12" t="s">
        <v>18</v>
      </c>
      <c r="G1041" s="12" t="s">
        <v>90</v>
      </c>
      <c r="H1041" s="12" t="s">
        <v>1116</v>
      </c>
      <c r="I1041" s="12">
        <v>56651137231</v>
      </c>
      <c r="J1041" s="12" t="s">
        <v>2296</v>
      </c>
      <c r="K1041" s="12">
        <v>1</v>
      </c>
      <c r="L1041" s="12">
        <v>17</v>
      </c>
      <c r="M1041" s="12"/>
      <c r="N1041" s="13">
        <v>1997</v>
      </c>
      <c r="O1041" s="12" t="s">
        <v>93</v>
      </c>
      <c r="P1041" s="12"/>
      <c r="Q1041" s="12"/>
      <c r="R1041" s="12" t="s">
        <v>94</v>
      </c>
      <c r="S1041" s="12">
        <v>10</v>
      </c>
      <c r="T1041" s="12" t="s">
        <v>2232</v>
      </c>
      <c r="U1041" s="12" t="s">
        <v>2233</v>
      </c>
      <c r="V1041" s="12">
        <f>VLOOKUP(Tabla4[[#This Row],[ZONA DEFINITIVO]],Hoja1!$A$1:$D$121,3,0)</f>
        <v>229180</v>
      </c>
      <c r="W1041" s="12">
        <f>VLOOKUP(Tabla4[[#This Row],[ZONA DEFINITIVO]],Hoja1!$A$1:$D$121,2,0)</f>
        <v>15357</v>
      </c>
      <c r="X1041" s="12">
        <f>VLOOKUP(Tabla4[[#This Row],[ZONA DEFINITIVO]],Hoja1!$A$1:$D$121,4,0)</f>
        <v>87925</v>
      </c>
      <c r="Y1041" s="12" t="str">
        <f>+IF(Tabla4[[#This Row],[AGRUPACIONES]]=1,SUMIFS(Tabla4[UDS],Tabla4[ZONA DEFINITIVO],Tabla4[[#This Row],[ZONA DEFINITIVO]])," ")</f>
        <v xml:space="preserve"> </v>
      </c>
      <c r="Z1041" s="12" t="str">
        <f>+IF(Tabla4[[#This Row],[AGRUPACIONES]]=1,SUMIFS(Tabla4[TOTAL COBERTURA],Tabla4[ZONA DEFINITIVO],Tabla4[[#This Row],[ZONA DEFINITIVO]])," ")</f>
        <v xml:space="preserve"> </v>
      </c>
      <c r="AA1041" s="12"/>
      <c r="AB1041" s="38">
        <v>37063281</v>
      </c>
      <c r="AC1041" s="37">
        <v>0.02</v>
      </c>
      <c r="AD1041" s="38">
        <f t="shared" si="16"/>
        <v>741265.62</v>
      </c>
      <c r="AE1041" s="12"/>
      <c r="AF1041" s="12">
        <f>COUNTIF($A$20:A1041,A1041)</f>
        <v>33</v>
      </c>
      <c r="AG1041" s="38">
        <v>37063281</v>
      </c>
      <c r="AH1041" s="38">
        <f>Tabla4[[#This Row],[VALOR CONTRAPARTIDA]]+Tabla4[[#This Row],[TOTAL APORTES ICBF]]</f>
        <v>37804546.619999997</v>
      </c>
      <c r="AI1041" s="35"/>
      <c r="AJ1041" s="38"/>
      <c r="AK1041" s="38"/>
      <c r="AL1041" s="23"/>
      <c r="AM1041" s="35">
        <f>VLOOKUP(Tabla4[[#This Row],[SERVICIO 2025]],$J$2:$V$14,5,0)*Tabla4[[#This Row],[TOTAL COBERTURA]]</f>
        <v>839392</v>
      </c>
      <c r="AN1041" s="35">
        <f>VLOOKUP(Tabla4[[#This Row],[SERVICIO 2025]],$J$2:$V$14,6,0)*Tabla4[[#This Row],[TOTAL COBERTURA]]</f>
        <v>697493</v>
      </c>
      <c r="AO1041" s="35">
        <f>VLOOKUP(Tabla4[[#This Row],[SERVICIO 2025]],$J$2:$V$14,8,0)*Tabla4[[#This Row],[TOTAL COBERTURA]]</f>
        <v>494700</v>
      </c>
      <c r="AP1041" s="35">
        <f>VLOOKUP(Tabla4[[#This Row],[SERVICIO 2025]],$J$2:$V$14,3,0)*Tabla4[[#This Row],[TOTAL COBERTURA]]*8</f>
        <v>35031696</v>
      </c>
      <c r="AQ1041" s="35"/>
      <c r="AR1041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1041" s="35" t="str">
        <f>+IF(Tabla4[[#This Row],[AGRUPACIONES]]=1,SUMIFS(Tabla4[VALOR TOTAL],Tabla4[ZONA DEFINITIVO],Tabla4[[#This Row],[ZONA DEFINITIVO]])," ")</f>
        <v xml:space="preserve"> </v>
      </c>
      <c r="AT1041" s="27">
        <f>(VLOOKUP(Tabla4[[#This Row],[SERVICIO 2025]],$J$2:$V$14,3,0)*Tabla4[[#This Row],[TOTAL COBERTURA]])+Tabla4[[#This Row],[VALOR FASE PREPARATORIA DE ALISTAMIENTO]]+Tabla4[[#This Row],[DOTACIÓN ÚNICA]]</f>
        <v>5713054</v>
      </c>
      <c r="AU1041" s="35">
        <f>(VLOOKUP(Tabla4[[#This Row],[SERVICIO 2025]],$J$2:$V$14,3,0)*Tabla4[[#This Row],[TOTAL COBERTURA]])</f>
        <v>4378962</v>
      </c>
      <c r="AV1041" s="35">
        <f>(VLOOKUP(Tabla4[[#This Row],[SERVICIO 2025]],$J$2:$V$14,3,0)*Tabla4[[#This Row],[TOTAL COBERTURA]])</f>
        <v>4378962</v>
      </c>
      <c r="AW1041" s="35">
        <f>(VLOOKUP(Tabla4[[#This Row],[SERVICIO 2025]],$J$2:$V$14,3,0)*Tabla4[[#This Row],[TOTAL COBERTURA]])</f>
        <v>4378962</v>
      </c>
      <c r="AX1041" s="35">
        <f>(VLOOKUP(Tabla4[[#This Row],[SERVICIO 2025]],$J$2:$V$14,3,0)*Tabla4[[#This Row],[TOTAL COBERTURA]])</f>
        <v>4378962</v>
      </c>
      <c r="AY1041" s="35">
        <f>(VLOOKUP(Tabla4[[#This Row],[SERVICIO 2025]],$J$2:$V$14,3,0)*Tabla4[[#This Row],[TOTAL COBERTURA]])</f>
        <v>4378962</v>
      </c>
      <c r="AZ1041" s="35">
        <f>(VLOOKUP(Tabla4[[#This Row],[SERVICIO 2025]],$J$2:$V$14,3,0)*Tabla4[[#This Row],[TOTAL COBERTURA]])</f>
        <v>4378962</v>
      </c>
      <c r="BA1041" s="35">
        <f>(VLOOKUP(Tabla4[[#This Row],[SERVICIO 2025]],$J$2:$V$14,3,0)*Tabla4[[#This Row],[TOTAL COBERTURA]])+Tabla4[[#This Row],[VALOR FASE PREPARATORIA DE CIERRE]]</f>
        <v>5076455</v>
      </c>
      <c r="BB1041" s="35">
        <f>SUM(Tabla4[[#This Row],[DESEMBOLSO 1]:[DESEMBOLSO 8]])</f>
        <v>37063281</v>
      </c>
      <c r="BC1041" s="35">
        <f>VLOOKUP(Tabla4[[#This Row],[SERVICIO 2025]],$J$2:$V$14,10,0)*Tabla4[[#This Row],[TOTAL COBERTURA]]*$W$3</f>
        <v>24532088</v>
      </c>
      <c r="BD1041" s="47" t="s">
        <v>211</v>
      </c>
      <c r="BE1041" s="12" t="b">
        <f>EXACT(Tabla4[[#This Row],[VALOR ATENCIÓN (8 MESES)]],Tabla4[[#This Row],[VALOR TOTAL]])</f>
        <v>1</v>
      </c>
      <c r="BF1041" s="23">
        <f>Tabla4[[#This Row],[VALOR ATENCIÓN (8 MESES)]]-Tabla4[[#This Row],[VALOR TOTAL]]</f>
        <v>0</v>
      </c>
      <c r="BG1041" s="12" t="b">
        <f>EXACT(Tabla4[[#This Row],[TOTAL DESEMBOLSOS]],Tabla4[[#This Row],[VALOR ATENCIÓN (8 MESES)]])</f>
        <v>1</v>
      </c>
      <c r="BH1041" s="29">
        <f>Tabla4[[#This Row],[TOTAL DESEMBOLSOS]]-Tabla4[[#This Row],[VALOR ATENCIÓN (8 MESES)]]</f>
        <v>0</v>
      </c>
      <c r="BI1041" t="s">
        <v>98</v>
      </c>
    </row>
    <row r="1042" spans="1:62">
      <c r="A1042" s="13">
        <v>1997</v>
      </c>
      <c r="B1042" s="13" t="s">
        <v>2228</v>
      </c>
      <c r="C1042" s="12" t="s">
        <v>87</v>
      </c>
      <c r="D1042" s="12" t="s">
        <v>462</v>
      </c>
      <c r="E1042" s="12" t="s">
        <v>2229</v>
      </c>
      <c r="F1042" s="12" t="s">
        <v>18</v>
      </c>
      <c r="G1042" s="12" t="s">
        <v>90</v>
      </c>
      <c r="H1042" s="12" t="s">
        <v>2297</v>
      </c>
      <c r="I1042" s="12">
        <v>56651137234</v>
      </c>
      <c r="J1042" s="12" t="s">
        <v>2298</v>
      </c>
      <c r="K1042" s="12">
        <v>1</v>
      </c>
      <c r="L1042" s="12">
        <v>16</v>
      </c>
      <c r="M1042" s="12"/>
      <c r="N1042" s="13">
        <v>1997</v>
      </c>
      <c r="O1042" s="12" t="s">
        <v>93</v>
      </c>
      <c r="P1042" s="12"/>
      <c r="Q1042" s="12"/>
      <c r="R1042" s="12" t="s">
        <v>94</v>
      </c>
      <c r="S1042" s="12">
        <v>10</v>
      </c>
      <c r="T1042" s="12" t="s">
        <v>2232</v>
      </c>
      <c r="U1042" s="12" t="s">
        <v>2233</v>
      </c>
      <c r="V1042" s="12">
        <f>VLOOKUP(Tabla4[[#This Row],[ZONA DEFINITIVO]],Hoja1!$A$1:$D$121,3,0)</f>
        <v>229180</v>
      </c>
      <c r="W1042" s="12">
        <f>VLOOKUP(Tabla4[[#This Row],[ZONA DEFINITIVO]],Hoja1!$A$1:$D$121,2,0)</f>
        <v>15357</v>
      </c>
      <c r="X1042" s="12">
        <f>VLOOKUP(Tabla4[[#This Row],[ZONA DEFINITIVO]],Hoja1!$A$1:$D$121,4,0)</f>
        <v>87925</v>
      </c>
      <c r="Y1042" s="12" t="str">
        <f>+IF(Tabla4[[#This Row],[AGRUPACIONES]]=1,SUMIFS(Tabla4[UDS],Tabla4[ZONA DEFINITIVO],Tabla4[[#This Row],[ZONA DEFINITIVO]])," ")</f>
        <v xml:space="preserve"> </v>
      </c>
      <c r="Z1042" s="12" t="str">
        <f>+IF(Tabla4[[#This Row],[AGRUPACIONES]]=1,SUMIFS(Tabla4[TOTAL COBERTURA],Tabla4[ZONA DEFINITIVO],Tabla4[[#This Row],[ZONA DEFINITIVO]])," ")</f>
        <v xml:space="preserve"> </v>
      </c>
      <c r="AA1042" s="12"/>
      <c r="AB1042" s="38">
        <v>34883088</v>
      </c>
      <c r="AC1042" s="37">
        <v>0.02</v>
      </c>
      <c r="AD1042" s="38">
        <f t="shared" si="16"/>
        <v>697661.76</v>
      </c>
      <c r="AE1042" s="12"/>
      <c r="AF1042" s="12">
        <f>COUNTIF($A$20:A1042,A1042)</f>
        <v>34</v>
      </c>
      <c r="AG1042" s="38">
        <v>34883088</v>
      </c>
      <c r="AH1042" s="38">
        <f>Tabla4[[#This Row],[VALOR CONTRAPARTIDA]]+Tabla4[[#This Row],[TOTAL APORTES ICBF]]</f>
        <v>35580749.759999998</v>
      </c>
      <c r="AI1042" s="35"/>
      <c r="AJ1042" s="38"/>
      <c r="AK1042" s="38"/>
      <c r="AL1042" s="23"/>
      <c r="AM1042" s="35">
        <f>VLOOKUP(Tabla4[[#This Row],[SERVICIO 2025]],$J$2:$V$14,5,0)*Tabla4[[#This Row],[TOTAL COBERTURA]]</f>
        <v>790016</v>
      </c>
      <c r="AN1042" s="35">
        <f>VLOOKUP(Tabla4[[#This Row],[SERVICIO 2025]],$J$2:$V$14,6,0)*Tabla4[[#This Row],[TOTAL COBERTURA]]</f>
        <v>656464</v>
      </c>
      <c r="AO1042" s="35">
        <f>VLOOKUP(Tabla4[[#This Row],[SERVICIO 2025]],$J$2:$V$14,8,0)*Tabla4[[#This Row],[TOTAL COBERTURA]]</f>
        <v>465600</v>
      </c>
      <c r="AP1042" s="35">
        <f>VLOOKUP(Tabla4[[#This Row],[SERVICIO 2025]],$J$2:$V$14,3,0)*Tabla4[[#This Row],[TOTAL COBERTURA]]*8</f>
        <v>32971008</v>
      </c>
      <c r="AQ1042" s="35"/>
      <c r="AR1042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042" s="35" t="str">
        <f>+IF(Tabla4[[#This Row],[AGRUPACIONES]]=1,SUMIFS(Tabla4[VALOR TOTAL],Tabla4[ZONA DEFINITIVO],Tabla4[[#This Row],[ZONA DEFINITIVO]])," ")</f>
        <v xml:space="preserve"> </v>
      </c>
      <c r="AT1042" s="27">
        <f>(VLOOKUP(Tabla4[[#This Row],[SERVICIO 2025]],$J$2:$V$14,3,0)*Tabla4[[#This Row],[TOTAL COBERTURA]])+Tabla4[[#This Row],[VALOR FASE PREPARATORIA DE ALISTAMIENTO]]+Tabla4[[#This Row],[DOTACIÓN ÚNICA]]</f>
        <v>5376992</v>
      </c>
      <c r="AU1042" s="35">
        <f>(VLOOKUP(Tabla4[[#This Row],[SERVICIO 2025]],$J$2:$V$14,3,0)*Tabla4[[#This Row],[TOTAL COBERTURA]])</f>
        <v>4121376</v>
      </c>
      <c r="AV1042" s="35">
        <f>(VLOOKUP(Tabla4[[#This Row],[SERVICIO 2025]],$J$2:$V$14,3,0)*Tabla4[[#This Row],[TOTAL COBERTURA]])</f>
        <v>4121376</v>
      </c>
      <c r="AW1042" s="35">
        <f>(VLOOKUP(Tabla4[[#This Row],[SERVICIO 2025]],$J$2:$V$14,3,0)*Tabla4[[#This Row],[TOTAL COBERTURA]])</f>
        <v>4121376</v>
      </c>
      <c r="AX1042" s="35">
        <f>(VLOOKUP(Tabla4[[#This Row],[SERVICIO 2025]],$J$2:$V$14,3,0)*Tabla4[[#This Row],[TOTAL COBERTURA]])</f>
        <v>4121376</v>
      </c>
      <c r="AY1042" s="35">
        <f>(VLOOKUP(Tabla4[[#This Row],[SERVICIO 2025]],$J$2:$V$14,3,0)*Tabla4[[#This Row],[TOTAL COBERTURA]])</f>
        <v>4121376</v>
      </c>
      <c r="AZ1042" s="35">
        <f>(VLOOKUP(Tabla4[[#This Row],[SERVICIO 2025]],$J$2:$V$14,3,0)*Tabla4[[#This Row],[TOTAL COBERTURA]])</f>
        <v>4121376</v>
      </c>
      <c r="BA1042" s="35">
        <f>(VLOOKUP(Tabla4[[#This Row],[SERVICIO 2025]],$J$2:$V$14,3,0)*Tabla4[[#This Row],[TOTAL COBERTURA]])+Tabla4[[#This Row],[VALOR FASE PREPARATORIA DE CIERRE]]</f>
        <v>4777840</v>
      </c>
      <c r="BB1042" s="35">
        <f>SUM(Tabla4[[#This Row],[DESEMBOLSO 1]:[DESEMBOLSO 8]])</f>
        <v>34883088</v>
      </c>
      <c r="BC1042" s="35">
        <f>VLOOKUP(Tabla4[[#This Row],[SERVICIO 2025]],$J$2:$V$14,10,0)*Tabla4[[#This Row],[TOTAL COBERTURA]]*$W$3</f>
        <v>23089024</v>
      </c>
      <c r="BD1042" s="47" t="s">
        <v>211</v>
      </c>
      <c r="BE1042" s="12" t="b">
        <f>EXACT(Tabla4[[#This Row],[VALOR ATENCIÓN (8 MESES)]],Tabla4[[#This Row],[VALOR TOTAL]])</f>
        <v>1</v>
      </c>
      <c r="BF1042" s="23">
        <f>Tabla4[[#This Row],[VALOR ATENCIÓN (8 MESES)]]-Tabla4[[#This Row],[VALOR TOTAL]]</f>
        <v>0</v>
      </c>
      <c r="BG1042" s="12" t="b">
        <f>EXACT(Tabla4[[#This Row],[TOTAL DESEMBOLSOS]],Tabla4[[#This Row],[VALOR ATENCIÓN (8 MESES)]])</f>
        <v>1</v>
      </c>
      <c r="BH1042" s="29">
        <f>Tabla4[[#This Row],[TOTAL DESEMBOLSOS]]-Tabla4[[#This Row],[VALOR ATENCIÓN (8 MESES)]]</f>
        <v>0</v>
      </c>
      <c r="BI1042" t="s">
        <v>98</v>
      </c>
    </row>
    <row r="1043" spans="1:62">
      <c r="A1043" s="13">
        <v>1997</v>
      </c>
      <c r="B1043" s="13" t="s">
        <v>2228</v>
      </c>
      <c r="C1043" s="12" t="s">
        <v>87</v>
      </c>
      <c r="D1043" s="12" t="s">
        <v>462</v>
      </c>
      <c r="E1043" s="12" t="s">
        <v>2229</v>
      </c>
      <c r="F1043" s="12" t="s">
        <v>18</v>
      </c>
      <c r="G1043" s="12" t="s">
        <v>90</v>
      </c>
      <c r="H1043" s="12" t="s">
        <v>244</v>
      </c>
      <c r="I1043" s="12">
        <v>56651137235</v>
      </c>
      <c r="J1043" s="12" t="s">
        <v>2299</v>
      </c>
      <c r="K1043" s="12">
        <v>1</v>
      </c>
      <c r="L1043" s="12">
        <v>15</v>
      </c>
      <c r="M1043" s="12"/>
      <c r="N1043" s="13">
        <v>1997</v>
      </c>
      <c r="O1043" s="12" t="s">
        <v>93</v>
      </c>
      <c r="P1043" s="12"/>
      <c r="Q1043" s="12"/>
      <c r="R1043" s="12" t="s">
        <v>94</v>
      </c>
      <c r="S1043" s="12">
        <v>10</v>
      </c>
      <c r="T1043" s="12" t="s">
        <v>2232</v>
      </c>
      <c r="U1043" s="12" t="s">
        <v>2233</v>
      </c>
      <c r="V1043" s="12">
        <f>VLOOKUP(Tabla4[[#This Row],[ZONA DEFINITIVO]],Hoja1!$A$1:$D$121,3,0)</f>
        <v>229180</v>
      </c>
      <c r="W1043" s="12">
        <f>VLOOKUP(Tabla4[[#This Row],[ZONA DEFINITIVO]],Hoja1!$A$1:$D$121,2,0)</f>
        <v>15357</v>
      </c>
      <c r="X1043" s="12">
        <f>VLOOKUP(Tabla4[[#This Row],[ZONA DEFINITIVO]],Hoja1!$A$1:$D$121,4,0)</f>
        <v>87925</v>
      </c>
      <c r="Y1043" s="12" t="str">
        <f>+IF(Tabla4[[#This Row],[AGRUPACIONES]]=1,SUMIFS(Tabla4[UDS],Tabla4[ZONA DEFINITIVO],Tabla4[[#This Row],[ZONA DEFINITIVO]])," ")</f>
        <v xml:space="preserve"> </v>
      </c>
      <c r="Z1043" s="12" t="str">
        <f>+IF(Tabla4[[#This Row],[AGRUPACIONES]]=1,SUMIFS(Tabla4[TOTAL COBERTURA],Tabla4[ZONA DEFINITIVO],Tabla4[[#This Row],[ZONA DEFINITIVO]])," ")</f>
        <v xml:space="preserve"> </v>
      </c>
      <c r="AA1043" s="12"/>
      <c r="AB1043" s="38">
        <v>32702895</v>
      </c>
      <c r="AC1043" s="37">
        <v>0.02</v>
      </c>
      <c r="AD1043" s="38">
        <f t="shared" si="16"/>
        <v>654057.9</v>
      </c>
      <c r="AE1043" s="12"/>
      <c r="AF1043" s="12">
        <f>COUNTIF($A$20:A1043,A1043)</f>
        <v>35</v>
      </c>
      <c r="AG1043" s="38">
        <v>32702895</v>
      </c>
      <c r="AH1043" s="38">
        <f>Tabla4[[#This Row],[VALOR CONTRAPARTIDA]]+Tabla4[[#This Row],[TOTAL APORTES ICBF]]</f>
        <v>33356952.899999999</v>
      </c>
      <c r="AI1043" s="35"/>
      <c r="AJ1043" s="38"/>
      <c r="AK1043" s="38"/>
      <c r="AL1043" s="23"/>
      <c r="AM1043" s="35">
        <f>VLOOKUP(Tabla4[[#This Row],[SERVICIO 2025]],$J$2:$V$14,5,0)*Tabla4[[#This Row],[TOTAL COBERTURA]]</f>
        <v>740640</v>
      </c>
      <c r="AN1043" s="35">
        <f>VLOOKUP(Tabla4[[#This Row],[SERVICIO 2025]],$J$2:$V$14,6,0)*Tabla4[[#This Row],[TOTAL COBERTURA]]</f>
        <v>615435</v>
      </c>
      <c r="AO1043" s="35">
        <f>VLOOKUP(Tabla4[[#This Row],[SERVICIO 2025]],$J$2:$V$14,8,0)*Tabla4[[#This Row],[TOTAL COBERTURA]]</f>
        <v>436500</v>
      </c>
      <c r="AP1043" s="35">
        <f>VLOOKUP(Tabla4[[#This Row],[SERVICIO 2025]],$J$2:$V$14,3,0)*Tabla4[[#This Row],[TOTAL COBERTURA]]*8</f>
        <v>30910320</v>
      </c>
      <c r="AQ1043" s="35"/>
      <c r="AR1043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043" s="35" t="str">
        <f>+IF(Tabla4[[#This Row],[AGRUPACIONES]]=1,SUMIFS(Tabla4[VALOR TOTAL],Tabla4[ZONA DEFINITIVO],Tabla4[[#This Row],[ZONA DEFINITIVO]])," ")</f>
        <v xml:space="preserve"> </v>
      </c>
      <c r="AT1043" s="27">
        <f>(VLOOKUP(Tabla4[[#This Row],[SERVICIO 2025]],$J$2:$V$14,3,0)*Tabla4[[#This Row],[TOTAL COBERTURA]])+Tabla4[[#This Row],[VALOR FASE PREPARATORIA DE ALISTAMIENTO]]+Tabla4[[#This Row],[DOTACIÓN ÚNICA]]</f>
        <v>5040930</v>
      </c>
      <c r="AU1043" s="35">
        <f>(VLOOKUP(Tabla4[[#This Row],[SERVICIO 2025]],$J$2:$V$14,3,0)*Tabla4[[#This Row],[TOTAL COBERTURA]])</f>
        <v>3863790</v>
      </c>
      <c r="AV1043" s="35">
        <f>(VLOOKUP(Tabla4[[#This Row],[SERVICIO 2025]],$J$2:$V$14,3,0)*Tabla4[[#This Row],[TOTAL COBERTURA]])</f>
        <v>3863790</v>
      </c>
      <c r="AW1043" s="35">
        <f>(VLOOKUP(Tabla4[[#This Row],[SERVICIO 2025]],$J$2:$V$14,3,0)*Tabla4[[#This Row],[TOTAL COBERTURA]])</f>
        <v>3863790</v>
      </c>
      <c r="AX1043" s="35">
        <f>(VLOOKUP(Tabla4[[#This Row],[SERVICIO 2025]],$J$2:$V$14,3,0)*Tabla4[[#This Row],[TOTAL COBERTURA]])</f>
        <v>3863790</v>
      </c>
      <c r="AY1043" s="35">
        <f>(VLOOKUP(Tabla4[[#This Row],[SERVICIO 2025]],$J$2:$V$14,3,0)*Tabla4[[#This Row],[TOTAL COBERTURA]])</f>
        <v>3863790</v>
      </c>
      <c r="AZ1043" s="35">
        <f>(VLOOKUP(Tabla4[[#This Row],[SERVICIO 2025]],$J$2:$V$14,3,0)*Tabla4[[#This Row],[TOTAL COBERTURA]])</f>
        <v>3863790</v>
      </c>
      <c r="BA1043" s="35">
        <f>(VLOOKUP(Tabla4[[#This Row],[SERVICIO 2025]],$J$2:$V$14,3,0)*Tabla4[[#This Row],[TOTAL COBERTURA]])+Tabla4[[#This Row],[VALOR FASE PREPARATORIA DE CIERRE]]</f>
        <v>4479225</v>
      </c>
      <c r="BB1043" s="35">
        <f>SUM(Tabla4[[#This Row],[DESEMBOLSO 1]:[DESEMBOLSO 8]])</f>
        <v>32702895</v>
      </c>
      <c r="BC1043" s="35">
        <f>VLOOKUP(Tabla4[[#This Row],[SERVICIO 2025]],$J$2:$V$14,10,0)*Tabla4[[#This Row],[TOTAL COBERTURA]]*$W$3</f>
        <v>21645960</v>
      </c>
      <c r="BD1043" s="47" t="s">
        <v>211</v>
      </c>
      <c r="BE1043" s="12" t="b">
        <f>EXACT(Tabla4[[#This Row],[VALOR ATENCIÓN (8 MESES)]],Tabla4[[#This Row],[VALOR TOTAL]])</f>
        <v>1</v>
      </c>
      <c r="BF1043" s="23">
        <f>Tabla4[[#This Row],[VALOR ATENCIÓN (8 MESES)]]-Tabla4[[#This Row],[VALOR TOTAL]]</f>
        <v>0</v>
      </c>
      <c r="BG1043" s="12" t="b">
        <f>EXACT(Tabla4[[#This Row],[TOTAL DESEMBOLSOS]],Tabla4[[#This Row],[VALOR ATENCIÓN (8 MESES)]])</f>
        <v>1</v>
      </c>
      <c r="BH1043" s="29">
        <f>Tabla4[[#This Row],[TOTAL DESEMBOLSOS]]-Tabla4[[#This Row],[VALOR ATENCIÓN (8 MESES)]]</f>
        <v>0</v>
      </c>
      <c r="BI1043" t="s">
        <v>98</v>
      </c>
    </row>
    <row r="1044" spans="1:62">
      <c r="A1044" s="13">
        <v>1997</v>
      </c>
      <c r="B1044" s="13" t="s">
        <v>2228</v>
      </c>
      <c r="C1044" s="12" t="s">
        <v>87</v>
      </c>
      <c r="D1044" s="12" t="s">
        <v>462</v>
      </c>
      <c r="E1044" s="12" t="s">
        <v>2229</v>
      </c>
      <c r="F1044" s="12" t="s">
        <v>18</v>
      </c>
      <c r="G1044" s="12" t="s">
        <v>90</v>
      </c>
      <c r="H1044" s="12" t="s">
        <v>2300</v>
      </c>
      <c r="I1044" s="12">
        <v>56651137236</v>
      </c>
      <c r="J1044" s="12" t="s">
        <v>2301</v>
      </c>
      <c r="K1044" s="12">
        <v>1</v>
      </c>
      <c r="L1044" s="12">
        <v>16</v>
      </c>
      <c r="M1044" s="12"/>
      <c r="N1044" s="13">
        <v>1997</v>
      </c>
      <c r="O1044" s="12" t="s">
        <v>93</v>
      </c>
      <c r="P1044" s="12"/>
      <c r="Q1044" s="12"/>
      <c r="R1044" s="12" t="s">
        <v>94</v>
      </c>
      <c r="S1044" s="12">
        <v>10</v>
      </c>
      <c r="T1044" s="12" t="s">
        <v>2232</v>
      </c>
      <c r="U1044" s="12" t="s">
        <v>2233</v>
      </c>
      <c r="V1044" s="12">
        <f>VLOOKUP(Tabla4[[#This Row],[ZONA DEFINITIVO]],Hoja1!$A$1:$D$121,3,0)</f>
        <v>229180</v>
      </c>
      <c r="W1044" s="12">
        <f>VLOOKUP(Tabla4[[#This Row],[ZONA DEFINITIVO]],Hoja1!$A$1:$D$121,2,0)</f>
        <v>15357</v>
      </c>
      <c r="X1044" s="12">
        <f>VLOOKUP(Tabla4[[#This Row],[ZONA DEFINITIVO]],Hoja1!$A$1:$D$121,4,0)</f>
        <v>87925</v>
      </c>
      <c r="Y1044" s="12" t="str">
        <f>+IF(Tabla4[[#This Row],[AGRUPACIONES]]=1,SUMIFS(Tabla4[UDS],Tabla4[ZONA DEFINITIVO],Tabla4[[#This Row],[ZONA DEFINITIVO]])," ")</f>
        <v xml:space="preserve"> </v>
      </c>
      <c r="Z1044" s="12" t="str">
        <f>+IF(Tabla4[[#This Row],[AGRUPACIONES]]=1,SUMIFS(Tabla4[TOTAL COBERTURA],Tabla4[ZONA DEFINITIVO],Tabla4[[#This Row],[ZONA DEFINITIVO]])," ")</f>
        <v xml:space="preserve"> </v>
      </c>
      <c r="AA1044" s="12"/>
      <c r="AB1044" s="38">
        <v>34883088</v>
      </c>
      <c r="AC1044" s="37">
        <v>0.02</v>
      </c>
      <c r="AD1044" s="38">
        <f t="shared" ref="AD1044:AD1107" si="17">AB1044*AC1044</f>
        <v>697661.76</v>
      </c>
      <c r="AE1044" s="12"/>
      <c r="AF1044" s="12">
        <f>COUNTIF($A$20:A1044,A1044)</f>
        <v>36</v>
      </c>
      <c r="AG1044" s="38">
        <v>34883088</v>
      </c>
      <c r="AH1044" s="38">
        <f>Tabla4[[#This Row],[VALOR CONTRAPARTIDA]]+Tabla4[[#This Row],[TOTAL APORTES ICBF]]</f>
        <v>35580749.759999998</v>
      </c>
      <c r="AI1044" s="35"/>
      <c r="AJ1044" s="38"/>
      <c r="AK1044" s="38"/>
      <c r="AL1044" s="23"/>
      <c r="AM1044" s="35">
        <f>VLOOKUP(Tabla4[[#This Row],[SERVICIO 2025]],$J$2:$V$14,5,0)*Tabla4[[#This Row],[TOTAL COBERTURA]]</f>
        <v>790016</v>
      </c>
      <c r="AN1044" s="35">
        <f>VLOOKUP(Tabla4[[#This Row],[SERVICIO 2025]],$J$2:$V$14,6,0)*Tabla4[[#This Row],[TOTAL COBERTURA]]</f>
        <v>656464</v>
      </c>
      <c r="AO1044" s="35">
        <f>VLOOKUP(Tabla4[[#This Row],[SERVICIO 2025]],$J$2:$V$14,8,0)*Tabla4[[#This Row],[TOTAL COBERTURA]]</f>
        <v>465600</v>
      </c>
      <c r="AP1044" s="35">
        <f>VLOOKUP(Tabla4[[#This Row],[SERVICIO 2025]],$J$2:$V$14,3,0)*Tabla4[[#This Row],[TOTAL COBERTURA]]*8</f>
        <v>32971008</v>
      </c>
      <c r="AQ1044" s="35"/>
      <c r="AR1044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044" s="35" t="str">
        <f>+IF(Tabla4[[#This Row],[AGRUPACIONES]]=1,SUMIFS(Tabla4[VALOR TOTAL],Tabla4[ZONA DEFINITIVO],Tabla4[[#This Row],[ZONA DEFINITIVO]])," ")</f>
        <v xml:space="preserve"> </v>
      </c>
      <c r="AT1044" s="27">
        <f>(VLOOKUP(Tabla4[[#This Row],[SERVICIO 2025]],$J$2:$V$14,3,0)*Tabla4[[#This Row],[TOTAL COBERTURA]])+Tabla4[[#This Row],[VALOR FASE PREPARATORIA DE ALISTAMIENTO]]+Tabla4[[#This Row],[DOTACIÓN ÚNICA]]</f>
        <v>5376992</v>
      </c>
      <c r="AU1044" s="35">
        <f>(VLOOKUP(Tabla4[[#This Row],[SERVICIO 2025]],$J$2:$V$14,3,0)*Tabla4[[#This Row],[TOTAL COBERTURA]])</f>
        <v>4121376</v>
      </c>
      <c r="AV1044" s="35">
        <f>(VLOOKUP(Tabla4[[#This Row],[SERVICIO 2025]],$J$2:$V$14,3,0)*Tabla4[[#This Row],[TOTAL COBERTURA]])</f>
        <v>4121376</v>
      </c>
      <c r="AW1044" s="35">
        <f>(VLOOKUP(Tabla4[[#This Row],[SERVICIO 2025]],$J$2:$V$14,3,0)*Tabla4[[#This Row],[TOTAL COBERTURA]])</f>
        <v>4121376</v>
      </c>
      <c r="AX1044" s="35">
        <f>(VLOOKUP(Tabla4[[#This Row],[SERVICIO 2025]],$J$2:$V$14,3,0)*Tabla4[[#This Row],[TOTAL COBERTURA]])</f>
        <v>4121376</v>
      </c>
      <c r="AY1044" s="35">
        <f>(VLOOKUP(Tabla4[[#This Row],[SERVICIO 2025]],$J$2:$V$14,3,0)*Tabla4[[#This Row],[TOTAL COBERTURA]])</f>
        <v>4121376</v>
      </c>
      <c r="AZ1044" s="35">
        <f>(VLOOKUP(Tabla4[[#This Row],[SERVICIO 2025]],$J$2:$V$14,3,0)*Tabla4[[#This Row],[TOTAL COBERTURA]])</f>
        <v>4121376</v>
      </c>
      <c r="BA1044" s="35">
        <f>(VLOOKUP(Tabla4[[#This Row],[SERVICIO 2025]],$J$2:$V$14,3,0)*Tabla4[[#This Row],[TOTAL COBERTURA]])+Tabla4[[#This Row],[VALOR FASE PREPARATORIA DE CIERRE]]</f>
        <v>4777840</v>
      </c>
      <c r="BB1044" s="35">
        <f>SUM(Tabla4[[#This Row],[DESEMBOLSO 1]:[DESEMBOLSO 8]])</f>
        <v>34883088</v>
      </c>
      <c r="BC1044" s="35">
        <f>VLOOKUP(Tabla4[[#This Row],[SERVICIO 2025]],$J$2:$V$14,10,0)*Tabla4[[#This Row],[TOTAL COBERTURA]]*$W$3</f>
        <v>23089024</v>
      </c>
      <c r="BD1044" s="47" t="s">
        <v>211</v>
      </c>
      <c r="BE1044" s="12" t="b">
        <f>EXACT(Tabla4[[#This Row],[VALOR ATENCIÓN (8 MESES)]],Tabla4[[#This Row],[VALOR TOTAL]])</f>
        <v>1</v>
      </c>
      <c r="BF1044" s="23">
        <f>Tabla4[[#This Row],[VALOR ATENCIÓN (8 MESES)]]-Tabla4[[#This Row],[VALOR TOTAL]]</f>
        <v>0</v>
      </c>
      <c r="BG1044" s="12" t="b">
        <f>EXACT(Tabla4[[#This Row],[TOTAL DESEMBOLSOS]],Tabla4[[#This Row],[VALOR ATENCIÓN (8 MESES)]])</f>
        <v>1</v>
      </c>
      <c r="BH1044" s="29">
        <f>Tabla4[[#This Row],[TOTAL DESEMBOLSOS]]-Tabla4[[#This Row],[VALOR ATENCIÓN (8 MESES)]]</f>
        <v>0</v>
      </c>
      <c r="BI1044" t="s">
        <v>98</v>
      </c>
    </row>
    <row r="1045" spans="1:62">
      <c r="A1045" s="13">
        <v>1997</v>
      </c>
      <c r="B1045" s="13" t="s">
        <v>2228</v>
      </c>
      <c r="C1045" s="12" t="s">
        <v>87</v>
      </c>
      <c r="D1045" s="12" t="s">
        <v>462</v>
      </c>
      <c r="E1045" s="12" t="s">
        <v>2229</v>
      </c>
      <c r="F1045" s="12" t="s">
        <v>18</v>
      </c>
      <c r="G1045" s="12" t="s">
        <v>90</v>
      </c>
      <c r="H1045" s="12" t="s">
        <v>2302</v>
      </c>
      <c r="I1045" s="12">
        <v>56651137237</v>
      </c>
      <c r="J1045" s="12" t="s">
        <v>2303</v>
      </c>
      <c r="K1045" s="12">
        <v>1</v>
      </c>
      <c r="L1045" s="12">
        <v>19</v>
      </c>
      <c r="M1045" s="12"/>
      <c r="N1045" s="13">
        <v>1997</v>
      </c>
      <c r="O1045" s="12" t="s">
        <v>93</v>
      </c>
      <c r="P1045" s="12"/>
      <c r="Q1045" s="12"/>
      <c r="R1045" s="12" t="s">
        <v>94</v>
      </c>
      <c r="S1045" s="12">
        <v>10</v>
      </c>
      <c r="T1045" s="12" t="s">
        <v>2232</v>
      </c>
      <c r="U1045" s="12" t="s">
        <v>2233</v>
      </c>
      <c r="V1045" s="12">
        <f>VLOOKUP(Tabla4[[#This Row],[ZONA DEFINITIVO]],Hoja1!$A$1:$D$121,3,0)</f>
        <v>229180</v>
      </c>
      <c r="W1045" s="12">
        <f>VLOOKUP(Tabla4[[#This Row],[ZONA DEFINITIVO]],Hoja1!$A$1:$D$121,2,0)</f>
        <v>15357</v>
      </c>
      <c r="X1045" s="12">
        <f>VLOOKUP(Tabla4[[#This Row],[ZONA DEFINITIVO]],Hoja1!$A$1:$D$121,4,0)</f>
        <v>87925</v>
      </c>
      <c r="Y1045" s="12" t="str">
        <f>+IF(Tabla4[[#This Row],[AGRUPACIONES]]=1,SUMIFS(Tabla4[UDS],Tabla4[ZONA DEFINITIVO],Tabla4[[#This Row],[ZONA DEFINITIVO]])," ")</f>
        <v xml:space="preserve"> </v>
      </c>
      <c r="Z1045" s="12" t="str">
        <f>+IF(Tabla4[[#This Row],[AGRUPACIONES]]=1,SUMIFS(Tabla4[TOTAL COBERTURA],Tabla4[ZONA DEFINITIVO],Tabla4[[#This Row],[ZONA DEFINITIVO]])," ")</f>
        <v xml:space="preserve"> </v>
      </c>
      <c r="AA1045" s="12"/>
      <c r="AB1045" s="38">
        <v>41423667</v>
      </c>
      <c r="AC1045" s="37">
        <v>0.02</v>
      </c>
      <c r="AD1045" s="38">
        <f t="shared" si="17"/>
        <v>828473.34</v>
      </c>
      <c r="AE1045" s="12"/>
      <c r="AF1045" s="12">
        <f>COUNTIF($A$20:A1045,A1045)</f>
        <v>37</v>
      </c>
      <c r="AG1045" s="38">
        <v>41423667</v>
      </c>
      <c r="AH1045" s="38">
        <f>Tabla4[[#This Row],[VALOR CONTRAPARTIDA]]+Tabla4[[#This Row],[TOTAL APORTES ICBF]]</f>
        <v>42252140.340000004</v>
      </c>
      <c r="AI1045" s="35"/>
      <c r="AJ1045" s="38"/>
      <c r="AK1045" s="38"/>
      <c r="AL1045" s="23"/>
      <c r="AM1045" s="35">
        <f>VLOOKUP(Tabla4[[#This Row],[SERVICIO 2025]],$J$2:$V$14,5,0)*Tabla4[[#This Row],[TOTAL COBERTURA]]</f>
        <v>938144</v>
      </c>
      <c r="AN1045" s="35">
        <f>VLOOKUP(Tabla4[[#This Row],[SERVICIO 2025]],$J$2:$V$14,6,0)*Tabla4[[#This Row],[TOTAL COBERTURA]]</f>
        <v>779551</v>
      </c>
      <c r="AO1045" s="35">
        <f>VLOOKUP(Tabla4[[#This Row],[SERVICIO 2025]],$J$2:$V$14,8,0)*Tabla4[[#This Row],[TOTAL COBERTURA]]</f>
        <v>552900</v>
      </c>
      <c r="AP1045" s="35">
        <f>VLOOKUP(Tabla4[[#This Row],[SERVICIO 2025]],$J$2:$V$14,3,0)*Tabla4[[#This Row],[TOTAL COBERTURA]]*8</f>
        <v>39153072</v>
      </c>
      <c r="AQ1045" s="35"/>
      <c r="AR1045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1045" s="35" t="str">
        <f>+IF(Tabla4[[#This Row],[AGRUPACIONES]]=1,SUMIFS(Tabla4[VALOR TOTAL],Tabla4[ZONA DEFINITIVO],Tabla4[[#This Row],[ZONA DEFINITIVO]])," ")</f>
        <v xml:space="preserve"> </v>
      </c>
      <c r="AT1045" s="27">
        <f>(VLOOKUP(Tabla4[[#This Row],[SERVICIO 2025]],$J$2:$V$14,3,0)*Tabla4[[#This Row],[TOTAL COBERTURA]])+Tabla4[[#This Row],[VALOR FASE PREPARATORIA DE ALISTAMIENTO]]+Tabla4[[#This Row],[DOTACIÓN ÚNICA]]</f>
        <v>6385178</v>
      </c>
      <c r="AU1045" s="35">
        <f>(VLOOKUP(Tabla4[[#This Row],[SERVICIO 2025]],$J$2:$V$14,3,0)*Tabla4[[#This Row],[TOTAL COBERTURA]])</f>
        <v>4894134</v>
      </c>
      <c r="AV1045" s="35">
        <f>(VLOOKUP(Tabla4[[#This Row],[SERVICIO 2025]],$J$2:$V$14,3,0)*Tabla4[[#This Row],[TOTAL COBERTURA]])</f>
        <v>4894134</v>
      </c>
      <c r="AW1045" s="35">
        <f>(VLOOKUP(Tabla4[[#This Row],[SERVICIO 2025]],$J$2:$V$14,3,0)*Tabla4[[#This Row],[TOTAL COBERTURA]])</f>
        <v>4894134</v>
      </c>
      <c r="AX1045" s="35">
        <f>(VLOOKUP(Tabla4[[#This Row],[SERVICIO 2025]],$J$2:$V$14,3,0)*Tabla4[[#This Row],[TOTAL COBERTURA]])</f>
        <v>4894134</v>
      </c>
      <c r="AY1045" s="35">
        <f>(VLOOKUP(Tabla4[[#This Row],[SERVICIO 2025]],$J$2:$V$14,3,0)*Tabla4[[#This Row],[TOTAL COBERTURA]])</f>
        <v>4894134</v>
      </c>
      <c r="AZ1045" s="35">
        <f>(VLOOKUP(Tabla4[[#This Row],[SERVICIO 2025]],$J$2:$V$14,3,0)*Tabla4[[#This Row],[TOTAL COBERTURA]])</f>
        <v>4894134</v>
      </c>
      <c r="BA1045" s="35">
        <f>(VLOOKUP(Tabla4[[#This Row],[SERVICIO 2025]],$J$2:$V$14,3,0)*Tabla4[[#This Row],[TOTAL COBERTURA]])+Tabla4[[#This Row],[VALOR FASE PREPARATORIA DE CIERRE]]</f>
        <v>5673685</v>
      </c>
      <c r="BB1045" s="35">
        <f>SUM(Tabla4[[#This Row],[DESEMBOLSO 1]:[DESEMBOLSO 8]])</f>
        <v>41423667</v>
      </c>
      <c r="BC1045" s="35">
        <f>VLOOKUP(Tabla4[[#This Row],[SERVICIO 2025]],$J$2:$V$14,10,0)*Tabla4[[#This Row],[TOTAL COBERTURA]]*$W$3</f>
        <v>27418216</v>
      </c>
      <c r="BD1045" s="47" t="s">
        <v>211</v>
      </c>
      <c r="BE1045" s="12" t="b">
        <f>EXACT(Tabla4[[#This Row],[VALOR ATENCIÓN (8 MESES)]],Tabla4[[#This Row],[VALOR TOTAL]])</f>
        <v>1</v>
      </c>
      <c r="BF1045" s="23">
        <f>Tabla4[[#This Row],[VALOR ATENCIÓN (8 MESES)]]-Tabla4[[#This Row],[VALOR TOTAL]]</f>
        <v>0</v>
      </c>
      <c r="BG1045" s="12" t="b">
        <f>EXACT(Tabla4[[#This Row],[TOTAL DESEMBOLSOS]],Tabla4[[#This Row],[VALOR ATENCIÓN (8 MESES)]])</f>
        <v>1</v>
      </c>
      <c r="BH1045" s="29">
        <f>Tabla4[[#This Row],[TOTAL DESEMBOLSOS]]-Tabla4[[#This Row],[VALOR ATENCIÓN (8 MESES)]]</f>
        <v>0</v>
      </c>
      <c r="BI1045" t="s">
        <v>98</v>
      </c>
    </row>
    <row r="1046" spans="1:62">
      <c r="A1046" s="13">
        <v>1997</v>
      </c>
      <c r="B1046" s="13" t="s">
        <v>2228</v>
      </c>
      <c r="C1046" s="12" t="s">
        <v>87</v>
      </c>
      <c r="D1046" s="12" t="s">
        <v>462</v>
      </c>
      <c r="E1046" s="12" t="s">
        <v>2229</v>
      </c>
      <c r="F1046" s="12" t="s">
        <v>16</v>
      </c>
      <c r="G1046" s="12" t="s">
        <v>90</v>
      </c>
      <c r="H1046" s="12" t="s">
        <v>1458</v>
      </c>
      <c r="I1046" s="12">
        <v>56651148784</v>
      </c>
      <c r="J1046" s="12" t="s">
        <v>2304</v>
      </c>
      <c r="K1046" s="12">
        <v>1</v>
      </c>
      <c r="L1046" s="12">
        <v>17</v>
      </c>
      <c r="M1046" s="12"/>
      <c r="N1046" s="13">
        <v>1997</v>
      </c>
      <c r="O1046" s="12" t="s">
        <v>93</v>
      </c>
      <c r="P1046" s="12"/>
      <c r="Q1046" s="12"/>
      <c r="R1046" s="12" t="s">
        <v>94</v>
      </c>
      <c r="S1046" s="12">
        <v>10</v>
      </c>
      <c r="T1046" s="12" t="s">
        <v>2232</v>
      </c>
      <c r="U1046" s="12" t="s">
        <v>2233</v>
      </c>
      <c r="V1046" s="12">
        <f>VLOOKUP(Tabla4[[#This Row],[ZONA DEFINITIVO]],Hoja1!$A$1:$D$121,3,0)</f>
        <v>229180</v>
      </c>
      <c r="W1046" s="12">
        <f>VLOOKUP(Tabla4[[#This Row],[ZONA DEFINITIVO]],Hoja1!$A$1:$D$121,2,0)</f>
        <v>15357</v>
      </c>
      <c r="X1046" s="12">
        <f>VLOOKUP(Tabla4[[#This Row],[ZONA DEFINITIVO]],Hoja1!$A$1:$D$121,4,0)</f>
        <v>87925</v>
      </c>
      <c r="Y1046" s="12" t="str">
        <f>+IF(Tabla4[[#This Row],[AGRUPACIONES]]=1,SUMIFS(Tabla4[UDS],Tabla4[ZONA DEFINITIVO],Tabla4[[#This Row],[ZONA DEFINITIVO]])," ")</f>
        <v xml:space="preserve"> </v>
      </c>
      <c r="Z1046" s="12" t="str">
        <f>+IF(Tabla4[[#This Row],[AGRUPACIONES]]=1,SUMIFS(Tabla4[TOTAL COBERTURA],Tabla4[ZONA DEFINITIVO],Tabla4[[#This Row],[ZONA DEFINITIVO]])," ")</f>
        <v xml:space="preserve"> </v>
      </c>
      <c r="AA1046" s="12"/>
      <c r="AB1046" s="38">
        <v>65141331</v>
      </c>
      <c r="AC1046" s="37">
        <v>0.02</v>
      </c>
      <c r="AD1046" s="38">
        <f t="shared" si="17"/>
        <v>1302826.6200000001</v>
      </c>
      <c r="AE1046" s="12"/>
      <c r="AF1046" s="12">
        <f>COUNTIF($A$20:A1046,A1046)</f>
        <v>38</v>
      </c>
      <c r="AG1046" s="38">
        <v>65141331</v>
      </c>
      <c r="AH1046" s="38">
        <f>Tabla4[[#This Row],[VALOR CONTRAPARTIDA]]+Tabla4[[#This Row],[TOTAL APORTES ICBF]]</f>
        <v>66444157.619999997</v>
      </c>
      <c r="AI1046" s="35"/>
      <c r="AJ1046" s="38"/>
      <c r="AK1046" s="38"/>
      <c r="AL1046" s="23"/>
      <c r="AM1046" s="35">
        <f>VLOOKUP(Tabla4[[#This Row],[SERVICIO 2025]],$J$2:$V$14,5,0)*Tabla4[[#This Row],[TOTAL COBERTURA]]</f>
        <v>1257405</v>
      </c>
      <c r="AN1046" s="35">
        <f>VLOOKUP(Tabla4[[#This Row],[SERVICIO 2025]],$J$2:$V$14,6,0)*Tabla4[[#This Row],[TOTAL COBERTURA]]</f>
        <v>555067</v>
      </c>
      <c r="AO1046" s="35">
        <f>VLOOKUP(Tabla4[[#This Row],[SERVICIO 2025]],$J$2:$V$14,8,0)*Tabla4[[#This Row],[TOTAL COBERTURA]]</f>
        <v>494683</v>
      </c>
      <c r="AP1046" s="35">
        <f>VLOOKUP(Tabla4[[#This Row],[SERVICIO 2025]],$J$2:$V$14,3,0)*Tabla4[[#This Row],[TOTAL COBERTURA]]*8</f>
        <v>62834176</v>
      </c>
      <c r="AQ1046" s="35"/>
      <c r="AR1046" s="35">
        <f>Tabla4[[#This Row],[VALOR FASE PREPARATORIA DE ALISTAMIENTO]]+Tabla4[[#This Row],[VALOR FASE PREPARATORIA DE CIERRE]]+Tabla4[[#This Row],[DOTACIÓN ÚNICA]]+Tabla4[[#This Row],[VALOR ATENCIÓN]]+Tabla4[[#This Row],[VALOR RACION PREPARADA]]</f>
        <v>65141331</v>
      </c>
      <c r="AS1046" s="35" t="str">
        <f>+IF(Tabla4[[#This Row],[AGRUPACIONES]]=1,SUMIFS(Tabla4[VALOR TOTAL],Tabla4[ZONA DEFINITIVO],Tabla4[[#This Row],[ZONA DEFINITIVO]])," ")</f>
        <v xml:space="preserve"> </v>
      </c>
      <c r="AT1046" s="27">
        <f>(VLOOKUP(Tabla4[[#This Row],[SERVICIO 2025]],$J$2:$V$14,3,0)*Tabla4[[#This Row],[TOTAL COBERTURA]])+Tabla4[[#This Row],[VALOR FASE PREPARATORIA DE ALISTAMIENTO]]+Tabla4[[#This Row],[DOTACIÓN ÚNICA]]</f>
        <v>9606360</v>
      </c>
      <c r="AU1046" s="35">
        <f>(VLOOKUP(Tabla4[[#This Row],[SERVICIO 2025]],$J$2:$V$14,3,0)*Tabla4[[#This Row],[TOTAL COBERTURA]])</f>
        <v>7854272</v>
      </c>
      <c r="AV1046" s="35">
        <f>(VLOOKUP(Tabla4[[#This Row],[SERVICIO 2025]],$J$2:$V$14,3,0)*Tabla4[[#This Row],[TOTAL COBERTURA]])</f>
        <v>7854272</v>
      </c>
      <c r="AW1046" s="35">
        <f>(VLOOKUP(Tabla4[[#This Row],[SERVICIO 2025]],$J$2:$V$14,3,0)*Tabla4[[#This Row],[TOTAL COBERTURA]])</f>
        <v>7854272</v>
      </c>
      <c r="AX1046" s="35">
        <f>(VLOOKUP(Tabla4[[#This Row],[SERVICIO 2025]],$J$2:$V$14,3,0)*Tabla4[[#This Row],[TOTAL COBERTURA]])</f>
        <v>7854272</v>
      </c>
      <c r="AY1046" s="35">
        <f>(VLOOKUP(Tabla4[[#This Row],[SERVICIO 2025]],$J$2:$V$14,3,0)*Tabla4[[#This Row],[TOTAL COBERTURA]])</f>
        <v>7854272</v>
      </c>
      <c r="AZ1046" s="35">
        <f>(VLOOKUP(Tabla4[[#This Row],[SERVICIO 2025]],$J$2:$V$14,3,0)*Tabla4[[#This Row],[TOTAL COBERTURA]])</f>
        <v>7854272</v>
      </c>
      <c r="BA1046" s="35">
        <f>(VLOOKUP(Tabla4[[#This Row],[SERVICIO 2025]],$J$2:$V$14,3,0)*Tabla4[[#This Row],[TOTAL COBERTURA]])+Tabla4[[#This Row],[VALOR FASE PREPARATORIA DE CIERRE]]</f>
        <v>8409339</v>
      </c>
      <c r="BB1046" s="35">
        <f>SUM(Tabla4[[#This Row],[DESEMBOLSO 1]:[DESEMBOLSO 8]])</f>
        <v>65141331</v>
      </c>
      <c r="BC1046" s="35">
        <f>VLOOKUP(Tabla4[[#This Row],[SERVICIO 2025]],$J$2:$V$14,10,0)*Tabla4[[#This Row],[TOTAL COBERTURA]]*$W$3</f>
        <v>0</v>
      </c>
      <c r="BD1046" s="47" t="s">
        <v>145</v>
      </c>
      <c r="BE1046" s="12" t="b">
        <f>EXACT(Tabla4[[#This Row],[VALOR ATENCIÓN (8 MESES)]],Tabla4[[#This Row],[VALOR TOTAL]])</f>
        <v>1</v>
      </c>
      <c r="BF1046" s="23">
        <f>Tabla4[[#This Row],[VALOR ATENCIÓN (8 MESES)]]-Tabla4[[#This Row],[VALOR TOTAL]]</f>
        <v>0</v>
      </c>
      <c r="BG1046" s="12" t="b">
        <f>EXACT(Tabla4[[#This Row],[TOTAL DESEMBOLSOS]],Tabla4[[#This Row],[VALOR ATENCIÓN (8 MESES)]])</f>
        <v>1</v>
      </c>
      <c r="BH1046" s="29">
        <f>Tabla4[[#This Row],[TOTAL DESEMBOLSOS]]-Tabla4[[#This Row],[VALOR ATENCIÓN (8 MESES)]]</f>
        <v>0</v>
      </c>
      <c r="BI1046" t="s">
        <v>98</v>
      </c>
    </row>
    <row r="1047" spans="1:62">
      <c r="A1047" s="13">
        <v>1997</v>
      </c>
      <c r="B1047" s="13" t="s">
        <v>2228</v>
      </c>
      <c r="C1047" s="12" t="s">
        <v>87</v>
      </c>
      <c r="D1047" s="12" t="s">
        <v>462</v>
      </c>
      <c r="E1047" s="12" t="s">
        <v>2229</v>
      </c>
      <c r="F1047" s="12" t="s">
        <v>19</v>
      </c>
      <c r="G1047" s="12" t="s">
        <v>90</v>
      </c>
      <c r="H1047" s="12" t="s">
        <v>2305</v>
      </c>
      <c r="I1047" s="12">
        <v>566500102130</v>
      </c>
      <c r="J1047" s="12" t="s">
        <v>2306</v>
      </c>
      <c r="K1047" s="12">
        <v>1</v>
      </c>
      <c r="L1047" s="12">
        <v>100</v>
      </c>
      <c r="M1047" s="12"/>
      <c r="N1047" s="13">
        <v>1997</v>
      </c>
      <c r="O1047" s="12" t="s">
        <v>93</v>
      </c>
      <c r="P1047" s="12"/>
      <c r="Q1047" s="12"/>
      <c r="R1047" s="12" t="s">
        <v>94</v>
      </c>
      <c r="S1047" s="12">
        <v>10</v>
      </c>
      <c r="T1047" s="12" t="s">
        <v>2232</v>
      </c>
      <c r="U1047" s="12" t="s">
        <v>2233</v>
      </c>
      <c r="V1047" s="12">
        <f>VLOOKUP(Tabla4[[#This Row],[ZONA DEFINITIVO]],Hoja1!$A$1:$D$121,3,0)</f>
        <v>229180</v>
      </c>
      <c r="W1047" s="12">
        <f>VLOOKUP(Tabla4[[#This Row],[ZONA DEFINITIVO]],Hoja1!$A$1:$D$121,2,0)</f>
        <v>15357</v>
      </c>
      <c r="X1047" s="12">
        <f>VLOOKUP(Tabla4[[#This Row],[ZONA DEFINITIVO]],Hoja1!$A$1:$D$121,4,0)</f>
        <v>87925</v>
      </c>
      <c r="Y1047" s="12" t="str">
        <f>+IF(Tabla4[[#This Row],[AGRUPACIONES]]=1,SUMIFS(Tabla4[UDS],Tabla4[ZONA DEFINITIVO],Tabla4[[#This Row],[ZONA DEFINITIVO]])," ")</f>
        <v xml:space="preserve"> </v>
      </c>
      <c r="Z1047" s="12" t="str">
        <f>+IF(Tabla4[[#This Row],[AGRUPACIONES]]=1,SUMIFS(Tabla4[TOTAL COBERTURA],Tabla4[ZONA DEFINITIVO],Tabla4[[#This Row],[ZONA DEFINITIVO]])," ")</f>
        <v xml:space="preserve"> </v>
      </c>
      <c r="AA1047" s="12"/>
      <c r="AB1047" s="38">
        <v>225115100</v>
      </c>
      <c r="AC1047" s="37">
        <v>0.02</v>
      </c>
      <c r="AD1047" s="38">
        <f t="shared" si="17"/>
        <v>4502302</v>
      </c>
      <c r="AE1047" s="12"/>
      <c r="AF1047" s="12">
        <f>COUNTIF($A$20:A1047,A1047)</f>
        <v>39</v>
      </c>
      <c r="AG1047" s="38">
        <v>225115100</v>
      </c>
      <c r="AH1047" s="38">
        <f>Tabla4[[#This Row],[VALOR CONTRAPARTIDA]]+Tabla4[[#This Row],[TOTAL APORTES ICBF]]</f>
        <v>229617402</v>
      </c>
      <c r="AI1047" s="35"/>
      <c r="AJ1047" s="38"/>
      <c r="AK1047" s="38"/>
      <c r="AL1047" s="23"/>
      <c r="AM1047" s="35">
        <f>VLOOKUP(Tabla4[[#This Row],[SERVICIO 2025]],$J$2:$V$14,5,0)*Tabla4[[#This Row],[TOTAL COBERTURA]]</f>
        <v>5146300</v>
      </c>
      <c r="AN1047" s="35">
        <f>VLOOKUP(Tabla4[[#This Row],[SERVICIO 2025]],$J$2:$V$14,6,0)*Tabla4[[#This Row],[TOTAL COBERTURA]]</f>
        <v>4311600</v>
      </c>
      <c r="AO1047" s="35">
        <f>VLOOKUP(Tabla4[[#This Row],[SERVICIO 2025]],$J$2:$V$14,8,0)*Tabla4[[#This Row],[TOTAL COBERTURA]]</f>
        <v>2910000</v>
      </c>
      <c r="AP1047" s="35">
        <f>VLOOKUP(Tabla4[[#This Row],[SERVICIO 2025]],$J$2:$V$14,3,0)*Tabla4[[#This Row],[TOTAL COBERTURA]]*8</f>
        <v>212747200</v>
      </c>
      <c r="AQ1047" s="35"/>
      <c r="AR1047" s="35">
        <f>Tabla4[[#This Row],[VALOR FASE PREPARATORIA DE ALISTAMIENTO]]+Tabla4[[#This Row],[VALOR FASE PREPARATORIA DE CIERRE]]+Tabla4[[#This Row],[DOTACIÓN ÚNICA]]+Tabla4[[#This Row],[VALOR ATENCIÓN]]+Tabla4[[#This Row],[VALOR RACION PREPARADA]]</f>
        <v>225115100</v>
      </c>
      <c r="AS1047" s="35" t="str">
        <f>+IF(Tabla4[[#This Row],[AGRUPACIONES]]=1,SUMIFS(Tabla4[VALOR TOTAL],Tabla4[ZONA DEFINITIVO],Tabla4[[#This Row],[ZONA DEFINITIVO]])," ")</f>
        <v xml:space="preserve"> </v>
      </c>
      <c r="AT1047" s="27">
        <f>(VLOOKUP(Tabla4[[#This Row],[SERVICIO 2025]],$J$2:$V$14,3,0)*Tabla4[[#This Row],[TOTAL COBERTURA]])+Tabla4[[#This Row],[VALOR FASE PREPARATORIA DE ALISTAMIENTO]]+Tabla4[[#This Row],[DOTACIÓN ÚNICA]]</f>
        <v>34649700</v>
      </c>
      <c r="AU1047" s="35">
        <f>(VLOOKUP(Tabla4[[#This Row],[SERVICIO 2025]],$J$2:$V$14,3,0)*Tabla4[[#This Row],[TOTAL COBERTURA]])</f>
        <v>26593400</v>
      </c>
      <c r="AV1047" s="35">
        <f>(VLOOKUP(Tabla4[[#This Row],[SERVICIO 2025]],$J$2:$V$14,3,0)*Tabla4[[#This Row],[TOTAL COBERTURA]])</f>
        <v>26593400</v>
      </c>
      <c r="AW1047" s="35">
        <f>(VLOOKUP(Tabla4[[#This Row],[SERVICIO 2025]],$J$2:$V$14,3,0)*Tabla4[[#This Row],[TOTAL COBERTURA]])</f>
        <v>26593400</v>
      </c>
      <c r="AX1047" s="35">
        <f>(VLOOKUP(Tabla4[[#This Row],[SERVICIO 2025]],$J$2:$V$14,3,0)*Tabla4[[#This Row],[TOTAL COBERTURA]])</f>
        <v>26593400</v>
      </c>
      <c r="AY1047" s="35">
        <f>(VLOOKUP(Tabla4[[#This Row],[SERVICIO 2025]],$J$2:$V$14,3,0)*Tabla4[[#This Row],[TOTAL COBERTURA]])</f>
        <v>26593400</v>
      </c>
      <c r="AZ1047" s="35">
        <f>(VLOOKUP(Tabla4[[#This Row],[SERVICIO 2025]],$J$2:$V$14,3,0)*Tabla4[[#This Row],[TOTAL COBERTURA]])</f>
        <v>26593400</v>
      </c>
      <c r="BA1047" s="35">
        <f>(VLOOKUP(Tabla4[[#This Row],[SERVICIO 2025]],$J$2:$V$14,3,0)*Tabla4[[#This Row],[TOTAL COBERTURA]])+Tabla4[[#This Row],[VALOR FASE PREPARATORIA DE CIERRE]]</f>
        <v>30905000</v>
      </c>
      <c r="BB1047" s="35">
        <f>SUM(Tabla4[[#This Row],[DESEMBOLSO 1]:[DESEMBOLSO 8]])</f>
        <v>225115100</v>
      </c>
      <c r="BC1047" s="35">
        <f>VLOOKUP(Tabla4[[#This Row],[SERVICIO 2025]],$J$2:$V$14,10,0)*Tabla4[[#This Row],[TOTAL COBERTURA]]*$W$3</f>
        <v>144306400</v>
      </c>
      <c r="BD1047" s="47" t="s">
        <v>211</v>
      </c>
      <c r="BE1047" s="12" t="b">
        <f>EXACT(Tabla4[[#This Row],[VALOR ATENCIÓN (8 MESES)]],Tabla4[[#This Row],[VALOR TOTAL]])</f>
        <v>1</v>
      </c>
      <c r="BF1047" s="23">
        <f>Tabla4[[#This Row],[VALOR ATENCIÓN (8 MESES)]]-Tabla4[[#This Row],[VALOR TOTAL]]</f>
        <v>0</v>
      </c>
      <c r="BG1047" s="12" t="b">
        <f>EXACT(Tabla4[[#This Row],[TOTAL DESEMBOLSOS]],Tabla4[[#This Row],[VALOR ATENCIÓN (8 MESES)]])</f>
        <v>1</v>
      </c>
      <c r="BH1047" s="29">
        <f>Tabla4[[#This Row],[TOTAL DESEMBOLSOS]]-Tabla4[[#This Row],[VALOR ATENCIÓN (8 MESES)]]</f>
        <v>0</v>
      </c>
      <c r="BI1047" t="s">
        <v>98</v>
      </c>
    </row>
    <row r="1048" spans="1:62">
      <c r="A1048" s="13">
        <v>1997</v>
      </c>
      <c r="B1048" s="13" t="s">
        <v>2228</v>
      </c>
      <c r="C1048" s="12" t="s">
        <v>87</v>
      </c>
      <c r="D1048" s="12" t="s">
        <v>462</v>
      </c>
      <c r="E1048" s="12" t="s">
        <v>2229</v>
      </c>
      <c r="F1048" s="12" t="s">
        <v>18</v>
      </c>
      <c r="G1048" s="12" t="s">
        <v>90</v>
      </c>
      <c r="H1048" s="12" t="s">
        <v>2307</v>
      </c>
      <c r="I1048" s="12">
        <v>566500122374</v>
      </c>
      <c r="J1048" s="12" t="s">
        <v>2308</v>
      </c>
      <c r="K1048" s="12">
        <v>1</v>
      </c>
      <c r="L1048" s="12">
        <v>27</v>
      </c>
      <c r="M1048" s="12"/>
      <c r="N1048" s="13">
        <v>1997</v>
      </c>
      <c r="O1048" s="12" t="s">
        <v>93</v>
      </c>
      <c r="P1048" s="12"/>
      <c r="Q1048" s="12"/>
      <c r="R1048" s="12" t="s">
        <v>94</v>
      </c>
      <c r="S1048" s="12">
        <v>10</v>
      </c>
      <c r="T1048" s="12" t="s">
        <v>2232</v>
      </c>
      <c r="U1048" s="12" t="s">
        <v>2233</v>
      </c>
      <c r="V1048" s="12">
        <f>VLOOKUP(Tabla4[[#This Row],[ZONA DEFINITIVO]],Hoja1!$A$1:$D$121,3,0)</f>
        <v>229180</v>
      </c>
      <c r="W1048" s="12">
        <f>VLOOKUP(Tabla4[[#This Row],[ZONA DEFINITIVO]],Hoja1!$A$1:$D$121,2,0)</f>
        <v>15357</v>
      </c>
      <c r="X1048" s="12">
        <f>VLOOKUP(Tabla4[[#This Row],[ZONA DEFINITIVO]],Hoja1!$A$1:$D$121,4,0)</f>
        <v>87925</v>
      </c>
      <c r="Y1048" s="12" t="str">
        <f>+IF(Tabla4[[#This Row],[AGRUPACIONES]]=1,SUMIFS(Tabla4[UDS],Tabla4[ZONA DEFINITIVO],Tabla4[[#This Row],[ZONA DEFINITIVO]])," ")</f>
        <v xml:space="preserve"> </v>
      </c>
      <c r="Z1048" s="12" t="str">
        <f>+IF(Tabla4[[#This Row],[AGRUPACIONES]]=1,SUMIFS(Tabla4[TOTAL COBERTURA],Tabla4[ZONA DEFINITIVO],Tabla4[[#This Row],[ZONA DEFINITIVO]])," ")</f>
        <v xml:space="preserve"> </v>
      </c>
      <c r="AA1048" s="12"/>
      <c r="AB1048" s="38">
        <v>58865211</v>
      </c>
      <c r="AC1048" s="37">
        <v>0.02</v>
      </c>
      <c r="AD1048" s="38">
        <f t="shared" si="17"/>
        <v>1177304.22</v>
      </c>
      <c r="AE1048" s="12"/>
      <c r="AF1048" s="12">
        <f>COUNTIF($A$20:A1048,A1048)</f>
        <v>40</v>
      </c>
      <c r="AG1048" s="38">
        <v>58865211</v>
      </c>
      <c r="AH1048" s="38">
        <f>Tabla4[[#This Row],[VALOR CONTRAPARTIDA]]+Tabla4[[#This Row],[TOTAL APORTES ICBF]]</f>
        <v>60042515.219999999</v>
      </c>
      <c r="AI1048" s="35"/>
      <c r="AJ1048" s="38"/>
      <c r="AK1048" s="38"/>
      <c r="AL1048" s="23"/>
      <c r="AM1048" s="35">
        <f>VLOOKUP(Tabla4[[#This Row],[SERVICIO 2025]],$J$2:$V$14,5,0)*Tabla4[[#This Row],[TOTAL COBERTURA]]</f>
        <v>1333152</v>
      </c>
      <c r="AN1048" s="35">
        <f>VLOOKUP(Tabla4[[#This Row],[SERVICIO 2025]],$J$2:$V$14,6,0)*Tabla4[[#This Row],[TOTAL COBERTURA]]</f>
        <v>1107783</v>
      </c>
      <c r="AO1048" s="35">
        <f>VLOOKUP(Tabla4[[#This Row],[SERVICIO 2025]],$J$2:$V$14,8,0)*Tabla4[[#This Row],[TOTAL COBERTURA]]</f>
        <v>785700</v>
      </c>
      <c r="AP1048" s="35">
        <f>VLOOKUP(Tabla4[[#This Row],[SERVICIO 2025]],$J$2:$V$14,3,0)*Tabla4[[#This Row],[TOTAL COBERTURA]]*8</f>
        <v>55638576</v>
      </c>
      <c r="AQ1048" s="35"/>
      <c r="AR1048" s="35">
        <f>Tabla4[[#This Row],[VALOR FASE PREPARATORIA DE ALISTAMIENTO]]+Tabla4[[#This Row],[VALOR FASE PREPARATORIA DE CIERRE]]+Tabla4[[#This Row],[DOTACIÓN ÚNICA]]+Tabla4[[#This Row],[VALOR ATENCIÓN]]+Tabla4[[#This Row],[VALOR RACION PREPARADA]]</f>
        <v>58865211</v>
      </c>
      <c r="AS1048" s="35" t="str">
        <f>+IF(Tabla4[[#This Row],[AGRUPACIONES]]=1,SUMIFS(Tabla4[VALOR TOTAL],Tabla4[ZONA DEFINITIVO],Tabla4[[#This Row],[ZONA DEFINITIVO]])," ")</f>
        <v xml:space="preserve"> </v>
      </c>
      <c r="AT1048" s="27">
        <f>(VLOOKUP(Tabla4[[#This Row],[SERVICIO 2025]],$J$2:$V$14,3,0)*Tabla4[[#This Row],[TOTAL COBERTURA]])+Tabla4[[#This Row],[VALOR FASE PREPARATORIA DE ALISTAMIENTO]]+Tabla4[[#This Row],[DOTACIÓN ÚNICA]]</f>
        <v>9073674</v>
      </c>
      <c r="AU1048" s="35">
        <f>(VLOOKUP(Tabla4[[#This Row],[SERVICIO 2025]],$J$2:$V$14,3,0)*Tabla4[[#This Row],[TOTAL COBERTURA]])</f>
        <v>6954822</v>
      </c>
      <c r="AV1048" s="35">
        <f>(VLOOKUP(Tabla4[[#This Row],[SERVICIO 2025]],$J$2:$V$14,3,0)*Tabla4[[#This Row],[TOTAL COBERTURA]])</f>
        <v>6954822</v>
      </c>
      <c r="AW1048" s="35">
        <f>(VLOOKUP(Tabla4[[#This Row],[SERVICIO 2025]],$J$2:$V$14,3,0)*Tabla4[[#This Row],[TOTAL COBERTURA]])</f>
        <v>6954822</v>
      </c>
      <c r="AX1048" s="35">
        <f>(VLOOKUP(Tabla4[[#This Row],[SERVICIO 2025]],$J$2:$V$14,3,0)*Tabla4[[#This Row],[TOTAL COBERTURA]])</f>
        <v>6954822</v>
      </c>
      <c r="AY1048" s="35">
        <f>(VLOOKUP(Tabla4[[#This Row],[SERVICIO 2025]],$J$2:$V$14,3,0)*Tabla4[[#This Row],[TOTAL COBERTURA]])</f>
        <v>6954822</v>
      </c>
      <c r="AZ1048" s="35">
        <f>(VLOOKUP(Tabla4[[#This Row],[SERVICIO 2025]],$J$2:$V$14,3,0)*Tabla4[[#This Row],[TOTAL COBERTURA]])</f>
        <v>6954822</v>
      </c>
      <c r="BA1048" s="35">
        <f>(VLOOKUP(Tabla4[[#This Row],[SERVICIO 2025]],$J$2:$V$14,3,0)*Tabla4[[#This Row],[TOTAL COBERTURA]])+Tabla4[[#This Row],[VALOR FASE PREPARATORIA DE CIERRE]]</f>
        <v>8062605</v>
      </c>
      <c r="BB1048" s="35">
        <f>SUM(Tabla4[[#This Row],[DESEMBOLSO 1]:[DESEMBOLSO 8]])</f>
        <v>58865211</v>
      </c>
      <c r="BC1048" s="35">
        <f>VLOOKUP(Tabla4[[#This Row],[SERVICIO 2025]],$J$2:$V$14,10,0)*Tabla4[[#This Row],[TOTAL COBERTURA]]*$W$3</f>
        <v>38962728</v>
      </c>
      <c r="BD1048" s="47" t="s">
        <v>211</v>
      </c>
      <c r="BE1048" s="12" t="b">
        <f>EXACT(Tabla4[[#This Row],[VALOR ATENCIÓN (8 MESES)]],Tabla4[[#This Row],[VALOR TOTAL]])</f>
        <v>1</v>
      </c>
      <c r="BF1048" s="23">
        <f>Tabla4[[#This Row],[VALOR ATENCIÓN (8 MESES)]]-Tabla4[[#This Row],[VALOR TOTAL]]</f>
        <v>0</v>
      </c>
      <c r="BG1048" s="12" t="b">
        <f>EXACT(Tabla4[[#This Row],[TOTAL DESEMBOLSOS]],Tabla4[[#This Row],[VALOR ATENCIÓN (8 MESES)]])</f>
        <v>1</v>
      </c>
      <c r="BH1048" s="29">
        <f>Tabla4[[#This Row],[TOTAL DESEMBOLSOS]]-Tabla4[[#This Row],[VALOR ATENCIÓN (8 MESES)]]</f>
        <v>0</v>
      </c>
      <c r="BI1048" t="s">
        <v>98</v>
      </c>
    </row>
    <row r="1049" spans="1:62">
      <c r="A1049" s="13">
        <v>1998</v>
      </c>
      <c r="B1049" s="13" t="s">
        <v>2309</v>
      </c>
      <c r="C1049" s="12" t="s">
        <v>87</v>
      </c>
      <c r="D1049" s="12" t="s">
        <v>1293</v>
      </c>
      <c r="E1049" s="12" t="s">
        <v>2310</v>
      </c>
      <c r="F1049" s="12" t="s">
        <v>21</v>
      </c>
      <c r="G1049" s="12" t="s">
        <v>90</v>
      </c>
      <c r="H1049" s="12" t="s">
        <v>2311</v>
      </c>
      <c r="I1049" s="12">
        <v>56671147359</v>
      </c>
      <c r="J1049" s="12" t="s">
        <v>2312</v>
      </c>
      <c r="K1049" s="12">
        <v>1</v>
      </c>
      <c r="L1049" s="12">
        <v>42</v>
      </c>
      <c r="M1049" s="12"/>
      <c r="N1049" s="13">
        <v>1998</v>
      </c>
      <c r="O1049" s="12" t="s">
        <v>93</v>
      </c>
      <c r="P1049" s="12"/>
      <c r="Q1049" s="12"/>
      <c r="R1049" s="12" t="s">
        <v>94</v>
      </c>
      <c r="S1049" s="12">
        <v>10</v>
      </c>
      <c r="T1049" s="12" t="s">
        <v>143</v>
      </c>
      <c r="U1049" s="12" t="s">
        <v>144</v>
      </c>
      <c r="V1049" s="12">
        <f>VLOOKUP(Tabla4[[#This Row],[ZONA DEFINITIVO]],Hoja1!$A$1:$D$121,3,0)</f>
        <v>229150</v>
      </c>
      <c r="W1049" s="12">
        <f>VLOOKUP(Tabla4[[#This Row],[ZONA DEFINITIVO]],Hoja1!$A$1:$D$121,2,0)</f>
        <v>15251</v>
      </c>
      <c r="X1049" s="12">
        <f>VLOOKUP(Tabla4[[#This Row],[ZONA DEFINITIVO]],Hoja1!$A$1:$D$121,4,0)</f>
        <v>89425</v>
      </c>
      <c r="Y1049" s="12">
        <f>+IF(Tabla4[[#This Row],[AGRUPACIONES]]=1,SUMIFS(Tabla4[UDS],Tabla4[ZONA DEFINITIVO],Tabla4[[#This Row],[ZONA DEFINITIVO]])," ")</f>
        <v>5</v>
      </c>
      <c r="Z1049" s="12">
        <f>+IF(Tabla4[[#This Row],[AGRUPACIONES]]=1,SUMIFS(Tabla4[TOTAL COBERTURA],Tabla4[ZONA DEFINITIVO],Tabla4[[#This Row],[ZONA DEFINITIVO]])," ")</f>
        <v>445</v>
      </c>
      <c r="AA1049" s="12"/>
      <c r="AB1049" s="38">
        <v>63810810</v>
      </c>
      <c r="AC1049" s="37">
        <v>0.02</v>
      </c>
      <c r="AD1049" s="38">
        <f t="shared" si="17"/>
        <v>1276216.2</v>
      </c>
      <c r="AE1049" s="12"/>
      <c r="AF1049" s="12">
        <f>COUNTIF($A$20:A1049,A1049)</f>
        <v>1</v>
      </c>
      <c r="AG1049" s="38">
        <v>63810810</v>
      </c>
      <c r="AH1049" s="38">
        <f>Tabla4[[#This Row],[VALOR CONTRAPARTIDA]]+Tabla4[[#This Row],[TOTAL APORTES ICBF]]</f>
        <v>65087026.200000003</v>
      </c>
      <c r="AI1049" s="35">
        <f>ROUND(+IF(Tabla4[[#This Row],[AGRUPACIONES]]=1,SUMIFS(Tabla4[TOTAL APORTES ICBF],Tabla4[ZONA DEFINITIVO],Tabla4[[#This Row],[ZONA DEFINITIVO]])," "),0)</f>
        <v>1530345125</v>
      </c>
      <c r="AJ1049" s="38">
        <f>ROUND(+IF(Tabla4[[#This Row],[AGRUPACIONES]]=1,SUMIFS(Tabla4[VALOR CONTRAPARTIDA],Tabla4[ZONA DEFINITIVO],Tabla4[[#This Row],[ZONA DEFINITIVO]])," "),0)</f>
        <v>30606903</v>
      </c>
      <c r="AK1049" s="38">
        <f>Tabla4[[#This Row],[TOTAL APORTES ICBF AGRUPADO]]+Tabla4[[#This Row],[TOTAL CONTRAPARTIDA AGRUPADO]]</f>
        <v>1560952028</v>
      </c>
      <c r="AL1049" s="23">
        <f>Tabla4[[#This Row],[TOTAL APORTES ICBF AGRUPADO]]/$AL$18</f>
        <v>1075.058043554619</v>
      </c>
      <c r="AM1049" s="35">
        <f>VLOOKUP(Tabla4[[#This Row],[SERVICIO 2025]],$J$2:$V$14,5,0)*Tabla4[[#This Row],[TOTAL COBERTURA]]</f>
        <v>1963248</v>
      </c>
      <c r="AN1049" s="35">
        <f>VLOOKUP(Tabla4[[#This Row],[SERVICIO 2025]],$J$2:$V$14,6,0)*Tabla4[[#This Row],[TOTAL COBERTURA]]</f>
        <v>1589322</v>
      </c>
      <c r="AO1049" s="35">
        <f>VLOOKUP(Tabla4[[#This Row],[SERVICIO 2025]],$J$2:$V$14,8,0)*Tabla4[[#This Row],[TOTAL COBERTURA]]</f>
        <v>0</v>
      </c>
      <c r="AP1049" s="35">
        <f>VLOOKUP(Tabla4[[#This Row],[SERVICIO 2025]],$J$2:$V$14,3,0)*Tabla4[[#This Row],[TOTAL COBERTURA]]*8</f>
        <v>60258240</v>
      </c>
      <c r="AQ1049" s="35"/>
      <c r="AR1049" s="35">
        <f>Tabla4[[#This Row],[VALOR FASE PREPARATORIA DE ALISTAMIENTO]]+Tabla4[[#This Row],[VALOR FASE PREPARATORIA DE CIERRE]]+Tabla4[[#This Row],[DOTACIÓN ÚNICA]]+Tabla4[[#This Row],[VALOR ATENCIÓN]]+Tabla4[[#This Row],[VALOR RACION PREPARADA]]</f>
        <v>63810810</v>
      </c>
      <c r="AS1049" s="35">
        <f>+IF(Tabla4[[#This Row],[AGRUPACIONES]]=1,SUMIFS(Tabla4[VALOR TOTAL],Tabla4[ZONA DEFINITIVO],Tabla4[[#This Row],[ZONA DEFINITIVO]])," ")</f>
        <v>1530345125</v>
      </c>
      <c r="AT1049" s="27">
        <f>(VLOOKUP(Tabla4[[#This Row],[SERVICIO 2025]],$J$2:$V$14,3,0)*Tabla4[[#This Row],[TOTAL COBERTURA]])+Tabla4[[#This Row],[VALOR FASE PREPARATORIA DE ALISTAMIENTO]]+Tabla4[[#This Row],[DOTACIÓN ÚNICA]]</f>
        <v>9495528</v>
      </c>
      <c r="AU1049" s="35">
        <f>(VLOOKUP(Tabla4[[#This Row],[SERVICIO 2025]],$J$2:$V$14,3,0)*Tabla4[[#This Row],[TOTAL COBERTURA]])</f>
        <v>7532280</v>
      </c>
      <c r="AV1049" s="35">
        <f>(VLOOKUP(Tabla4[[#This Row],[SERVICIO 2025]],$J$2:$V$14,3,0)*Tabla4[[#This Row],[TOTAL COBERTURA]])</f>
        <v>7532280</v>
      </c>
      <c r="AW1049" s="35">
        <f>(VLOOKUP(Tabla4[[#This Row],[SERVICIO 2025]],$J$2:$V$14,3,0)*Tabla4[[#This Row],[TOTAL COBERTURA]])</f>
        <v>7532280</v>
      </c>
      <c r="AX1049" s="35">
        <f>(VLOOKUP(Tabla4[[#This Row],[SERVICIO 2025]],$J$2:$V$14,3,0)*Tabla4[[#This Row],[TOTAL COBERTURA]])</f>
        <v>7532280</v>
      </c>
      <c r="AY1049" s="35">
        <f>(VLOOKUP(Tabla4[[#This Row],[SERVICIO 2025]],$J$2:$V$14,3,0)*Tabla4[[#This Row],[TOTAL COBERTURA]])</f>
        <v>7532280</v>
      </c>
      <c r="AZ1049" s="35">
        <f>(VLOOKUP(Tabla4[[#This Row],[SERVICIO 2025]],$J$2:$V$14,3,0)*Tabla4[[#This Row],[TOTAL COBERTURA]])</f>
        <v>7532280</v>
      </c>
      <c r="BA1049" s="35">
        <f>(VLOOKUP(Tabla4[[#This Row],[SERVICIO 2025]],$J$2:$V$14,3,0)*Tabla4[[#This Row],[TOTAL COBERTURA]])+Tabla4[[#This Row],[VALOR FASE PREPARATORIA DE CIERRE]]</f>
        <v>9121602</v>
      </c>
      <c r="BB1049" s="35">
        <f>SUM(Tabla4[[#This Row],[DESEMBOLSO 1]:[DESEMBOLSO 8]])</f>
        <v>63810810</v>
      </c>
      <c r="BC1049" s="35">
        <f>VLOOKUP(Tabla4[[#This Row],[SERVICIO 2025]],$J$2:$V$14,10,0)*Tabla4[[#This Row],[TOTAL COBERTURA]]*$W$3</f>
        <v>63275856</v>
      </c>
      <c r="BD1049" s="47" t="s">
        <v>211</v>
      </c>
      <c r="BE1049" s="12" t="b">
        <f>EXACT(Tabla4[[#This Row],[VALOR ATENCIÓN (8 MESES)]],Tabla4[[#This Row],[VALOR TOTAL]])</f>
        <v>1</v>
      </c>
      <c r="BF1049" s="23">
        <f>Tabla4[[#This Row],[VALOR ATENCIÓN (8 MESES)]]-Tabla4[[#This Row],[VALOR TOTAL]]</f>
        <v>0</v>
      </c>
      <c r="BG1049" s="12" t="b">
        <f>EXACT(Tabla4[[#This Row],[TOTAL DESEMBOLSOS]],Tabla4[[#This Row],[VALOR ATENCIÓN (8 MESES)]])</f>
        <v>1</v>
      </c>
      <c r="BH1049" s="29">
        <f>Tabla4[[#This Row],[TOTAL DESEMBOLSOS]]-Tabla4[[#This Row],[VALOR ATENCIÓN (8 MESES)]]</f>
        <v>0</v>
      </c>
      <c r="BI1049" t="s">
        <v>98</v>
      </c>
      <c r="BJ1049">
        <v>1998</v>
      </c>
    </row>
    <row r="1050" spans="1:62">
      <c r="A1050" s="13">
        <v>1998</v>
      </c>
      <c r="B1050" s="13" t="s">
        <v>2309</v>
      </c>
      <c r="C1050" s="12" t="s">
        <v>87</v>
      </c>
      <c r="D1050" s="12" t="s">
        <v>1293</v>
      </c>
      <c r="E1050" s="12" t="s">
        <v>2310</v>
      </c>
      <c r="F1050" s="12" t="s">
        <v>14</v>
      </c>
      <c r="G1050" s="12" t="s">
        <v>90</v>
      </c>
      <c r="H1050" s="12" t="s">
        <v>2313</v>
      </c>
      <c r="I1050" s="12">
        <v>566700023756</v>
      </c>
      <c r="J1050" s="12" t="s">
        <v>130</v>
      </c>
      <c r="K1050" s="12">
        <v>1</v>
      </c>
      <c r="L1050" s="12">
        <v>200</v>
      </c>
      <c r="M1050" s="12"/>
      <c r="N1050" s="13">
        <v>1998</v>
      </c>
      <c r="O1050" s="12" t="s">
        <v>93</v>
      </c>
      <c r="P1050" s="12"/>
      <c r="Q1050" s="12"/>
      <c r="R1050" s="12" t="s">
        <v>94</v>
      </c>
      <c r="S1050" s="12">
        <v>10</v>
      </c>
      <c r="T1050" s="12" t="s">
        <v>143</v>
      </c>
      <c r="U1050" s="12" t="s">
        <v>144</v>
      </c>
      <c r="V1050" s="12">
        <f>VLOOKUP(Tabla4[[#This Row],[ZONA DEFINITIVO]],Hoja1!$A$1:$D$121,3,0)</f>
        <v>229150</v>
      </c>
      <c r="W1050" s="12">
        <f>VLOOKUP(Tabla4[[#This Row],[ZONA DEFINITIVO]],Hoja1!$A$1:$D$121,2,0)</f>
        <v>15251</v>
      </c>
      <c r="X1050" s="12">
        <f>VLOOKUP(Tabla4[[#This Row],[ZONA DEFINITIVO]],Hoja1!$A$1:$D$121,4,0)</f>
        <v>89425</v>
      </c>
      <c r="Y1050" s="12" t="str">
        <f>+IF(Tabla4[[#This Row],[AGRUPACIONES]]=1,SUMIFS(Tabla4[UDS],Tabla4[ZONA DEFINITIVO],Tabla4[[#This Row],[ZONA DEFINITIVO]])," ")</f>
        <v xml:space="preserve"> </v>
      </c>
      <c r="Z1050" s="12" t="str">
        <f>+IF(Tabla4[[#This Row],[AGRUPACIONES]]=1,SUMIFS(Tabla4[TOTAL COBERTURA],Tabla4[ZONA DEFINITIVO],Tabla4[[#This Row],[ZONA DEFINITIVO]])," ")</f>
        <v xml:space="preserve"> </v>
      </c>
      <c r="AA1050" s="12"/>
      <c r="AB1050" s="38">
        <v>837770000</v>
      </c>
      <c r="AC1050" s="37">
        <v>0.02</v>
      </c>
      <c r="AD1050" s="38">
        <f t="shared" si="17"/>
        <v>16755400</v>
      </c>
      <c r="AE1050" s="12"/>
      <c r="AF1050" s="12">
        <f>COUNTIF($A$20:A1050,A1050)</f>
        <v>2</v>
      </c>
      <c r="AG1050" s="38">
        <v>837770000</v>
      </c>
      <c r="AH1050" s="38">
        <f>Tabla4[[#This Row],[VALOR CONTRAPARTIDA]]+Tabla4[[#This Row],[TOTAL APORTES ICBF]]</f>
        <v>854525400</v>
      </c>
      <c r="AI1050" s="35"/>
      <c r="AJ1050" s="38"/>
      <c r="AK1050" s="38"/>
      <c r="AL1050" s="23"/>
      <c r="AM1050" s="35">
        <f>VLOOKUP(Tabla4[[#This Row],[SERVICIO 2025]],$J$2:$V$14,5,0)*Tabla4[[#This Row],[TOTAL COBERTURA]]</f>
        <v>17628600</v>
      </c>
      <c r="AN1050" s="35">
        <f>VLOOKUP(Tabla4[[#This Row],[SERVICIO 2025]],$J$2:$V$14,6,0)*Tabla4[[#This Row],[TOTAL COBERTURA]]</f>
        <v>15008600</v>
      </c>
      <c r="AO1050" s="35">
        <f>VLOOKUP(Tabla4[[#This Row],[SERVICIO 2025]],$J$2:$V$14,8,0)*Tabla4[[#This Row],[TOTAL COBERTURA]]</f>
        <v>0</v>
      </c>
      <c r="AP1050" s="35">
        <f>VLOOKUP(Tabla4[[#This Row],[SERVICIO 2025]],$J$2:$V$14,3,0)*Tabla4[[#This Row],[TOTAL COBERTURA]]*8</f>
        <v>805132800</v>
      </c>
      <c r="AQ1050" s="35"/>
      <c r="AR1050" s="35">
        <f>Tabla4[[#This Row],[VALOR FASE PREPARATORIA DE ALISTAMIENTO]]+Tabla4[[#This Row],[VALOR FASE PREPARATORIA DE CIERRE]]+Tabla4[[#This Row],[DOTACIÓN ÚNICA]]+Tabla4[[#This Row],[VALOR ATENCIÓN]]+Tabla4[[#This Row],[VALOR RACION PREPARADA]]</f>
        <v>837770000</v>
      </c>
      <c r="AS1050" s="35" t="str">
        <f>+IF(Tabla4[[#This Row],[AGRUPACIONES]]=1,SUMIFS(Tabla4[VALOR TOTAL],Tabla4[ZONA DEFINITIVO],Tabla4[[#This Row],[ZONA DEFINITIVO]])," ")</f>
        <v xml:space="preserve"> </v>
      </c>
      <c r="AT1050" s="27">
        <f>(VLOOKUP(Tabla4[[#This Row],[SERVICIO 2025]],$J$2:$V$14,3,0)*Tabla4[[#This Row],[TOTAL COBERTURA]])+Tabla4[[#This Row],[VALOR FASE PREPARATORIA DE ALISTAMIENTO]]+Tabla4[[#This Row],[DOTACIÓN ÚNICA]]</f>
        <v>118270200</v>
      </c>
      <c r="AU1050" s="35">
        <f>(VLOOKUP(Tabla4[[#This Row],[SERVICIO 2025]],$J$2:$V$14,3,0)*Tabla4[[#This Row],[TOTAL COBERTURA]])</f>
        <v>100641600</v>
      </c>
      <c r="AV1050" s="35">
        <f>(VLOOKUP(Tabla4[[#This Row],[SERVICIO 2025]],$J$2:$V$14,3,0)*Tabla4[[#This Row],[TOTAL COBERTURA]])</f>
        <v>100641600</v>
      </c>
      <c r="AW1050" s="35">
        <f>(VLOOKUP(Tabla4[[#This Row],[SERVICIO 2025]],$J$2:$V$14,3,0)*Tabla4[[#This Row],[TOTAL COBERTURA]])</f>
        <v>100641600</v>
      </c>
      <c r="AX1050" s="35">
        <f>(VLOOKUP(Tabla4[[#This Row],[SERVICIO 2025]],$J$2:$V$14,3,0)*Tabla4[[#This Row],[TOTAL COBERTURA]])</f>
        <v>100641600</v>
      </c>
      <c r="AY1050" s="35">
        <f>(VLOOKUP(Tabla4[[#This Row],[SERVICIO 2025]],$J$2:$V$14,3,0)*Tabla4[[#This Row],[TOTAL COBERTURA]])</f>
        <v>100641600</v>
      </c>
      <c r="AZ1050" s="35">
        <f>(VLOOKUP(Tabla4[[#This Row],[SERVICIO 2025]],$J$2:$V$14,3,0)*Tabla4[[#This Row],[TOTAL COBERTURA]])</f>
        <v>100641600</v>
      </c>
      <c r="BA1050" s="35">
        <f>(VLOOKUP(Tabla4[[#This Row],[SERVICIO 2025]],$J$2:$V$14,3,0)*Tabla4[[#This Row],[TOTAL COBERTURA]])+Tabla4[[#This Row],[VALOR FASE PREPARATORIA DE CIERRE]]</f>
        <v>115650200</v>
      </c>
      <c r="BB1050" s="35">
        <f>SUM(Tabla4[[#This Row],[DESEMBOLSO 1]:[DESEMBOLSO 8]])</f>
        <v>837770000</v>
      </c>
      <c r="BC1050" s="35">
        <f>VLOOKUP(Tabla4[[#This Row],[SERVICIO 2025]],$J$2:$V$14,10,0)*Tabla4[[#This Row],[TOTAL COBERTURA]]*$W$3</f>
        <v>0</v>
      </c>
      <c r="BD1050" s="47" t="s">
        <v>145</v>
      </c>
      <c r="BE1050" s="12" t="b">
        <f>EXACT(Tabla4[[#This Row],[VALOR ATENCIÓN (8 MESES)]],Tabla4[[#This Row],[VALOR TOTAL]])</f>
        <v>1</v>
      </c>
      <c r="BF1050" s="23">
        <f>Tabla4[[#This Row],[VALOR ATENCIÓN (8 MESES)]]-Tabla4[[#This Row],[VALOR TOTAL]]</f>
        <v>0</v>
      </c>
      <c r="BG1050" s="12" t="b">
        <f>EXACT(Tabla4[[#This Row],[TOTAL DESEMBOLSOS]],Tabla4[[#This Row],[VALOR ATENCIÓN (8 MESES)]])</f>
        <v>1</v>
      </c>
      <c r="BH1050" s="29">
        <f>Tabla4[[#This Row],[TOTAL DESEMBOLSOS]]-Tabla4[[#This Row],[VALOR ATENCIÓN (8 MESES)]]</f>
        <v>0</v>
      </c>
      <c r="BI1050" t="s">
        <v>98</v>
      </c>
      <c r="BJ1050">
        <v>1998</v>
      </c>
    </row>
    <row r="1051" spans="1:62">
      <c r="A1051" s="13">
        <v>1998</v>
      </c>
      <c r="B1051" s="13" t="s">
        <v>2309</v>
      </c>
      <c r="C1051" s="12" t="s">
        <v>87</v>
      </c>
      <c r="D1051" s="12" t="s">
        <v>1293</v>
      </c>
      <c r="E1051" s="12" t="s">
        <v>2310</v>
      </c>
      <c r="F1051" s="12" t="s">
        <v>14</v>
      </c>
      <c r="G1051" s="12" t="s">
        <v>90</v>
      </c>
      <c r="H1051" s="12" t="s">
        <v>2314</v>
      </c>
      <c r="I1051" s="12">
        <v>566700112946</v>
      </c>
      <c r="J1051" s="12" t="s">
        <v>2315</v>
      </c>
      <c r="K1051" s="12">
        <v>1</v>
      </c>
      <c r="L1051" s="12">
        <v>120</v>
      </c>
      <c r="M1051" s="12"/>
      <c r="N1051" s="13">
        <v>1998</v>
      </c>
      <c r="O1051" s="12" t="s">
        <v>93</v>
      </c>
      <c r="P1051" s="12"/>
      <c r="Q1051" s="12"/>
      <c r="R1051" s="12" t="s">
        <v>94</v>
      </c>
      <c r="S1051" s="12">
        <v>10</v>
      </c>
      <c r="T1051" s="12" t="s">
        <v>143</v>
      </c>
      <c r="U1051" s="12" t="s">
        <v>144</v>
      </c>
      <c r="V1051" s="12">
        <f>VLOOKUP(Tabla4[[#This Row],[ZONA DEFINITIVO]],Hoja1!$A$1:$D$121,3,0)</f>
        <v>229150</v>
      </c>
      <c r="W1051" s="12">
        <f>VLOOKUP(Tabla4[[#This Row],[ZONA DEFINITIVO]],Hoja1!$A$1:$D$121,2,0)</f>
        <v>15251</v>
      </c>
      <c r="X1051" s="12">
        <f>VLOOKUP(Tabla4[[#This Row],[ZONA DEFINITIVO]],Hoja1!$A$1:$D$121,4,0)</f>
        <v>89425</v>
      </c>
      <c r="Y1051" s="12" t="str">
        <f>+IF(Tabla4[[#This Row],[AGRUPACIONES]]=1,SUMIFS(Tabla4[UDS],Tabla4[ZONA DEFINITIVO],Tabla4[[#This Row],[ZONA DEFINITIVO]])," ")</f>
        <v xml:space="preserve"> </v>
      </c>
      <c r="Z1051" s="12" t="str">
        <f>+IF(Tabla4[[#This Row],[AGRUPACIONES]]=1,SUMIFS(Tabla4[TOTAL COBERTURA],Tabla4[ZONA DEFINITIVO],Tabla4[[#This Row],[ZONA DEFINITIVO]])," ")</f>
        <v xml:space="preserve"> </v>
      </c>
      <c r="AA1051" s="12"/>
      <c r="AB1051" s="38">
        <v>502662000</v>
      </c>
      <c r="AC1051" s="37">
        <v>0.02</v>
      </c>
      <c r="AD1051" s="38">
        <f t="shared" si="17"/>
        <v>10053240</v>
      </c>
      <c r="AE1051" s="12"/>
      <c r="AF1051" s="12">
        <f>COUNTIF($A$20:A1051,A1051)</f>
        <v>3</v>
      </c>
      <c r="AG1051" s="38">
        <v>502662000</v>
      </c>
      <c r="AH1051" s="38">
        <f>Tabla4[[#This Row],[VALOR CONTRAPARTIDA]]+Tabla4[[#This Row],[TOTAL APORTES ICBF]]</f>
        <v>512715240</v>
      </c>
      <c r="AI1051" s="35"/>
      <c r="AJ1051" s="38"/>
      <c r="AK1051" s="38"/>
      <c r="AL1051" s="23"/>
      <c r="AM1051" s="35">
        <f>VLOOKUP(Tabla4[[#This Row],[SERVICIO 2025]],$J$2:$V$14,5,0)*Tabla4[[#This Row],[TOTAL COBERTURA]]</f>
        <v>10577160</v>
      </c>
      <c r="AN1051" s="35">
        <f>VLOOKUP(Tabla4[[#This Row],[SERVICIO 2025]],$J$2:$V$14,6,0)*Tabla4[[#This Row],[TOTAL COBERTURA]]</f>
        <v>9005160</v>
      </c>
      <c r="AO1051" s="35">
        <f>VLOOKUP(Tabla4[[#This Row],[SERVICIO 2025]],$J$2:$V$14,8,0)*Tabla4[[#This Row],[TOTAL COBERTURA]]</f>
        <v>0</v>
      </c>
      <c r="AP1051" s="35">
        <f>VLOOKUP(Tabla4[[#This Row],[SERVICIO 2025]],$J$2:$V$14,3,0)*Tabla4[[#This Row],[TOTAL COBERTURA]]*8</f>
        <v>483079680</v>
      </c>
      <c r="AQ1051" s="35"/>
      <c r="AR1051" s="35">
        <f>Tabla4[[#This Row],[VALOR FASE PREPARATORIA DE ALISTAMIENTO]]+Tabla4[[#This Row],[VALOR FASE PREPARATORIA DE CIERRE]]+Tabla4[[#This Row],[DOTACIÓN ÚNICA]]+Tabla4[[#This Row],[VALOR ATENCIÓN]]+Tabla4[[#This Row],[VALOR RACION PREPARADA]]</f>
        <v>502662000</v>
      </c>
      <c r="AS1051" s="35" t="str">
        <f>+IF(Tabla4[[#This Row],[AGRUPACIONES]]=1,SUMIFS(Tabla4[VALOR TOTAL],Tabla4[ZONA DEFINITIVO],Tabla4[[#This Row],[ZONA DEFINITIVO]])," ")</f>
        <v xml:space="preserve"> </v>
      </c>
      <c r="AT1051" s="27">
        <f>(VLOOKUP(Tabla4[[#This Row],[SERVICIO 2025]],$J$2:$V$14,3,0)*Tabla4[[#This Row],[TOTAL COBERTURA]])+Tabla4[[#This Row],[VALOR FASE PREPARATORIA DE ALISTAMIENTO]]+Tabla4[[#This Row],[DOTACIÓN ÚNICA]]</f>
        <v>70962120</v>
      </c>
      <c r="AU1051" s="35">
        <f>(VLOOKUP(Tabla4[[#This Row],[SERVICIO 2025]],$J$2:$V$14,3,0)*Tabla4[[#This Row],[TOTAL COBERTURA]])</f>
        <v>60384960</v>
      </c>
      <c r="AV1051" s="35">
        <f>(VLOOKUP(Tabla4[[#This Row],[SERVICIO 2025]],$J$2:$V$14,3,0)*Tabla4[[#This Row],[TOTAL COBERTURA]])</f>
        <v>60384960</v>
      </c>
      <c r="AW1051" s="35">
        <f>(VLOOKUP(Tabla4[[#This Row],[SERVICIO 2025]],$J$2:$V$14,3,0)*Tabla4[[#This Row],[TOTAL COBERTURA]])</f>
        <v>60384960</v>
      </c>
      <c r="AX1051" s="35">
        <f>(VLOOKUP(Tabla4[[#This Row],[SERVICIO 2025]],$J$2:$V$14,3,0)*Tabla4[[#This Row],[TOTAL COBERTURA]])</f>
        <v>60384960</v>
      </c>
      <c r="AY1051" s="35">
        <f>(VLOOKUP(Tabla4[[#This Row],[SERVICIO 2025]],$J$2:$V$14,3,0)*Tabla4[[#This Row],[TOTAL COBERTURA]])</f>
        <v>60384960</v>
      </c>
      <c r="AZ1051" s="35">
        <f>(VLOOKUP(Tabla4[[#This Row],[SERVICIO 2025]],$J$2:$V$14,3,0)*Tabla4[[#This Row],[TOTAL COBERTURA]])</f>
        <v>60384960</v>
      </c>
      <c r="BA1051" s="35">
        <f>(VLOOKUP(Tabla4[[#This Row],[SERVICIO 2025]],$J$2:$V$14,3,0)*Tabla4[[#This Row],[TOTAL COBERTURA]])+Tabla4[[#This Row],[VALOR FASE PREPARATORIA DE CIERRE]]</f>
        <v>69390120</v>
      </c>
      <c r="BB1051" s="35">
        <f>SUM(Tabla4[[#This Row],[DESEMBOLSO 1]:[DESEMBOLSO 8]])</f>
        <v>502662000</v>
      </c>
      <c r="BC1051" s="35">
        <f>VLOOKUP(Tabla4[[#This Row],[SERVICIO 2025]],$J$2:$V$14,10,0)*Tabla4[[#This Row],[TOTAL COBERTURA]]*$W$3</f>
        <v>0</v>
      </c>
      <c r="BD1051" s="47" t="s">
        <v>145</v>
      </c>
      <c r="BE1051" s="12" t="b">
        <f>EXACT(Tabla4[[#This Row],[VALOR ATENCIÓN (8 MESES)]],Tabla4[[#This Row],[VALOR TOTAL]])</f>
        <v>1</v>
      </c>
      <c r="BF1051" s="23">
        <f>Tabla4[[#This Row],[VALOR ATENCIÓN (8 MESES)]]-Tabla4[[#This Row],[VALOR TOTAL]]</f>
        <v>0</v>
      </c>
      <c r="BG1051" s="12" t="b">
        <f>EXACT(Tabla4[[#This Row],[TOTAL DESEMBOLSOS]],Tabla4[[#This Row],[VALOR ATENCIÓN (8 MESES)]])</f>
        <v>1</v>
      </c>
      <c r="BH1051" s="29">
        <f>Tabla4[[#This Row],[TOTAL DESEMBOLSOS]]-Tabla4[[#This Row],[VALOR ATENCIÓN (8 MESES)]]</f>
        <v>0</v>
      </c>
      <c r="BI1051" t="s">
        <v>98</v>
      </c>
      <c r="BJ1051">
        <v>1998</v>
      </c>
    </row>
    <row r="1052" spans="1:62">
      <c r="A1052" s="13">
        <v>1998</v>
      </c>
      <c r="B1052" s="13" t="s">
        <v>2309</v>
      </c>
      <c r="C1052" s="12" t="s">
        <v>87</v>
      </c>
      <c r="D1052" s="12" t="s">
        <v>1293</v>
      </c>
      <c r="E1052" s="12" t="s">
        <v>2310</v>
      </c>
      <c r="F1052" s="12" t="s">
        <v>21</v>
      </c>
      <c r="G1052" s="12" t="s">
        <v>90</v>
      </c>
      <c r="H1052" s="12" t="s">
        <v>2316</v>
      </c>
      <c r="I1052" s="12">
        <v>566700132591</v>
      </c>
      <c r="J1052" s="12" t="s">
        <v>2317</v>
      </c>
      <c r="K1052" s="12">
        <v>1</v>
      </c>
      <c r="L1052" s="12">
        <v>41</v>
      </c>
      <c r="M1052" s="12"/>
      <c r="N1052" s="13">
        <v>1998</v>
      </c>
      <c r="O1052" s="12" t="s">
        <v>93</v>
      </c>
      <c r="P1052" s="12"/>
      <c r="Q1052" s="12"/>
      <c r="R1052" s="12" t="s">
        <v>94</v>
      </c>
      <c r="S1052" s="12">
        <v>10</v>
      </c>
      <c r="T1052" s="12" t="s">
        <v>143</v>
      </c>
      <c r="U1052" s="12" t="s">
        <v>144</v>
      </c>
      <c r="V1052" s="12">
        <f>VLOOKUP(Tabla4[[#This Row],[ZONA DEFINITIVO]],Hoja1!$A$1:$D$121,3,0)</f>
        <v>229150</v>
      </c>
      <c r="W1052" s="12">
        <f>VLOOKUP(Tabla4[[#This Row],[ZONA DEFINITIVO]],Hoja1!$A$1:$D$121,2,0)</f>
        <v>15251</v>
      </c>
      <c r="X1052" s="12">
        <f>VLOOKUP(Tabla4[[#This Row],[ZONA DEFINITIVO]],Hoja1!$A$1:$D$121,4,0)</f>
        <v>89425</v>
      </c>
      <c r="Y1052" s="12" t="str">
        <f>+IF(Tabla4[[#This Row],[AGRUPACIONES]]=1,SUMIFS(Tabla4[UDS],Tabla4[ZONA DEFINITIVO],Tabla4[[#This Row],[ZONA DEFINITIVO]])," ")</f>
        <v xml:space="preserve"> </v>
      </c>
      <c r="Z1052" s="12" t="str">
        <f>+IF(Tabla4[[#This Row],[AGRUPACIONES]]=1,SUMIFS(Tabla4[TOTAL COBERTURA],Tabla4[ZONA DEFINITIVO],Tabla4[[#This Row],[ZONA DEFINITIVO]])," ")</f>
        <v xml:space="preserve"> </v>
      </c>
      <c r="AA1052" s="12"/>
      <c r="AB1052" s="38">
        <v>62291505</v>
      </c>
      <c r="AC1052" s="37">
        <v>0.02</v>
      </c>
      <c r="AD1052" s="38">
        <f t="shared" si="17"/>
        <v>1245830.1000000001</v>
      </c>
      <c r="AE1052" s="12"/>
      <c r="AF1052" s="12">
        <f>COUNTIF($A$20:A1052,A1052)</f>
        <v>4</v>
      </c>
      <c r="AG1052" s="38">
        <v>62291505</v>
      </c>
      <c r="AH1052" s="38">
        <f>Tabla4[[#This Row],[VALOR CONTRAPARTIDA]]+Tabla4[[#This Row],[TOTAL APORTES ICBF]]</f>
        <v>63537335.100000001</v>
      </c>
      <c r="AI1052" s="35"/>
      <c r="AJ1052" s="38"/>
      <c r="AK1052" s="38"/>
      <c r="AL1052" s="23"/>
      <c r="AM1052" s="35">
        <f>VLOOKUP(Tabla4[[#This Row],[SERVICIO 2025]],$J$2:$V$14,5,0)*Tabla4[[#This Row],[TOTAL COBERTURA]]</f>
        <v>1916504</v>
      </c>
      <c r="AN1052" s="35">
        <f>VLOOKUP(Tabla4[[#This Row],[SERVICIO 2025]],$J$2:$V$14,6,0)*Tabla4[[#This Row],[TOTAL COBERTURA]]</f>
        <v>1551481</v>
      </c>
      <c r="AO1052" s="35">
        <f>VLOOKUP(Tabla4[[#This Row],[SERVICIO 2025]],$J$2:$V$14,8,0)*Tabla4[[#This Row],[TOTAL COBERTURA]]</f>
        <v>0</v>
      </c>
      <c r="AP1052" s="35">
        <f>VLOOKUP(Tabla4[[#This Row],[SERVICIO 2025]],$J$2:$V$14,3,0)*Tabla4[[#This Row],[TOTAL COBERTURA]]*8</f>
        <v>58823520</v>
      </c>
      <c r="AQ1052" s="35"/>
      <c r="AR1052" s="35">
        <f>Tabla4[[#This Row],[VALOR FASE PREPARATORIA DE ALISTAMIENTO]]+Tabla4[[#This Row],[VALOR FASE PREPARATORIA DE CIERRE]]+Tabla4[[#This Row],[DOTACIÓN ÚNICA]]+Tabla4[[#This Row],[VALOR ATENCIÓN]]+Tabla4[[#This Row],[VALOR RACION PREPARADA]]</f>
        <v>62291505</v>
      </c>
      <c r="AS1052" s="35" t="str">
        <f>+IF(Tabla4[[#This Row],[AGRUPACIONES]]=1,SUMIFS(Tabla4[VALOR TOTAL],Tabla4[ZONA DEFINITIVO],Tabla4[[#This Row],[ZONA DEFINITIVO]])," ")</f>
        <v xml:space="preserve"> </v>
      </c>
      <c r="AT1052" s="27">
        <f>(VLOOKUP(Tabla4[[#This Row],[SERVICIO 2025]],$J$2:$V$14,3,0)*Tabla4[[#This Row],[TOTAL COBERTURA]])+Tabla4[[#This Row],[VALOR FASE PREPARATORIA DE ALISTAMIENTO]]+Tabla4[[#This Row],[DOTACIÓN ÚNICA]]</f>
        <v>9269444</v>
      </c>
      <c r="AU1052" s="35">
        <f>(VLOOKUP(Tabla4[[#This Row],[SERVICIO 2025]],$J$2:$V$14,3,0)*Tabla4[[#This Row],[TOTAL COBERTURA]])</f>
        <v>7352940</v>
      </c>
      <c r="AV1052" s="35">
        <f>(VLOOKUP(Tabla4[[#This Row],[SERVICIO 2025]],$J$2:$V$14,3,0)*Tabla4[[#This Row],[TOTAL COBERTURA]])</f>
        <v>7352940</v>
      </c>
      <c r="AW1052" s="35">
        <f>(VLOOKUP(Tabla4[[#This Row],[SERVICIO 2025]],$J$2:$V$14,3,0)*Tabla4[[#This Row],[TOTAL COBERTURA]])</f>
        <v>7352940</v>
      </c>
      <c r="AX1052" s="35">
        <f>(VLOOKUP(Tabla4[[#This Row],[SERVICIO 2025]],$J$2:$V$14,3,0)*Tabla4[[#This Row],[TOTAL COBERTURA]])</f>
        <v>7352940</v>
      </c>
      <c r="AY1052" s="35">
        <f>(VLOOKUP(Tabla4[[#This Row],[SERVICIO 2025]],$J$2:$V$14,3,0)*Tabla4[[#This Row],[TOTAL COBERTURA]])</f>
        <v>7352940</v>
      </c>
      <c r="AZ1052" s="35">
        <f>(VLOOKUP(Tabla4[[#This Row],[SERVICIO 2025]],$J$2:$V$14,3,0)*Tabla4[[#This Row],[TOTAL COBERTURA]])</f>
        <v>7352940</v>
      </c>
      <c r="BA1052" s="35">
        <f>(VLOOKUP(Tabla4[[#This Row],[SERVICIO 2025]],$J$2:$V$14,3,0)*Tabla4[[#This Row],[TOTAL COBERTURA]])+Tabla4[[#This Row],[VALOR FASE PREPARATORIA DE CIERRE]]</f>
        <v>8904421</v>
      </c>
      <c r="BB1052" s="35">
        <f>SUM(Tabla4[[#This Row],[DESEMBOLSO 1]:[DESEMBOLSO 8]])</f>
        <v>62291505</v>
      </c>
      <c r="BC1052" s="35">
        <f>VLOOKUP(Tabla4[[#This Row],[SERVICIO 2025]],$J$2:$V$14,10,0)*Tabla4[[#This Row],[TOTAL COBERTURA]]*$W$3</f>
        <v>61769288</v>
      </c>
      <c r="BD1052" s="47" t="s">
        <v>211</v>
      </c>
      <c r="BE1052" s="12" t="b">
        <f>EXACT(Tabla4[[#This Row],[VALOR ATENCIÓN (8 MESES)]],Tabla4[[#This Row],[VALOR TOTAL]])</f>
        <v>1</v>
      </c>
      <c r="BF1052" s="23">
        <f>Tabla4[[#This Row],[VALOR ATENCIÓN (8 MESES)]]-Tabla4[[#This Row],[VALOR TOTAL]]</f>
        <v>0</v>
      </c>
      <c r="BG1052" s="12" t="b">
        <f>EXACT(Tabla4[[#This Row],[TOTAL DESEMBOLSOS]],Tabla4[[#This Row],[VALOR ATENCIÓN (8 MESES)]])</f>
        <v>1</v>
      </c>
      <c r="BH1052" s="29">
        <f>Tabla4[[#This Row],[TOTAL DESEMBOLSOS]]-Tabla4[[#This Row],[VALOR ATENCIÓN (8 MESES)]]</f>
        <v>0</v>
      </c>
      <c r="BI1052" t="s">
        <v>98</v>
      </c>
      <c r="BJ1052">
        <v>1998</v>
      </c>
    </row>
    <row r="1053" spans="1:62">
      <c r="A1053" s="13">
        <v>1998</v>
      </c>
      <c r="B1053" s="13" t="s">
        <v>2309</v>
      </c>
      <c r="C1053" s="12" t="s">
        <v>87</v>
      </c>
      <c r="D1053" s="12" t="s">
        <v>1293</v>
      </c>
      <c r="E1053" s="12" t="s">
        <v>2310</v>
      </c>
      <c r="F1053" s="12" t="s">
        <v>21</v>
      </c>
      <c r="G1053" s="12" t="s">
        <v>90</v>
      </c>
      <c r="H1053" s="12" t="s">
        <v>2318</v>
      </c>
      <c r="I1053" s="12">
        <v>566700132690</v>
      </c>
      <c r="J1053" s="12" t="s">
        <v>2319</v>
      </c>
      <c r="K1053" s="12">
        <v>1</v>
      </c>
      <c r="L1053" s="12">
        <v>42</v>
      </c>
      <c r="M1053" s="12"/>
      <c r="N1053" s="13">
        <v>1998</v>
      </c>
      <c r="O1053" s="12" t="s">
        <v>93</v>
      </c>
      <c r="P1053" s="12"/>
      <c r="Q1053" s="12"/>
      <c r="R1053" s="12" t="s">
        <v>94</v>
      </c>
      <c r="S1053" s="12">
        <v>10</v>
      </c>
      <c r="T1053" s="12" t="s">
        <v>143</v>
      </c>
      <c r="U1053" s="12" t="s">
        <v>144</v>
      </c>
      <c r="V1053" s="12">
        <f>VLOOKUP(Tabla4[[#This Row],[ZONA DEFINITIVO]],Hoja1!$A$1:$D$121,3,0)</f>
        <v>229150</v>
      </c>
      <c r="W1053" s="12">
        <f>VLOOKUP(Tabla4[[#This Row],[ZONA DEFINITIVO]],Hoja1!$A$1:$D$121,2,0)</f>
        <v>15251</v>
      </c>
      <c r="X1053" s="12">
        <f>VLOOKUP(Tabla4[[#This Row],[ZONA DEFINITIVO]],Hoja1!$A$1:$D$121,4,0)</f>
        <v>89425</v>
      </c>
      <c r="Y1053" s="12" t="str">
        <f>+IF(Tabla4[[#This Row],[AGRUPACIONES]]=1,SUMIFS(Tabla4[UDS],Tabla4[ZONA DEFINITIVO],Tabla4[[#This Row],[ZONA DEFINITIVO]])," ")</f>
        <v xml:space="preserve"> </v>
      </c>
      <c r="Z1053" s="12" t="str">
        <f>+IF(Tabla4[[#This Row],[AGRUPACIONES]]=1,SUMIFS(Tabla4[TOTAL COBERTURA],Tabla4[ZONA DEFINITIVO],Tabla4[[#This Row],[ZONA DEFINITIVO]])," ")</f>
        <v xml:space="preserve"> </v>
      </c>
      <c r="AA1053" s="12"/>
      <c r="AB1053" s="38">
        <v>63810810</v>
      </c>
      <c r="AC1053" s="37">
        <v>0.02</v>
      </c>
      <c r="AD1053" s="38">
        <f t="shared" si="17"/>
        <v>1276216.2</v>
      </c>
      <c r="AE1053" s="12"/>
      <c r="AF1053" s="12">
        <f>COUNTIF($A$20:A1053,A1053)</f>
        <v>5</v>
      </c>
      <c r="AG1053" s="38">
        <v>63810810</v>
      </c>
      <c r="AH1053" s="38">
        <f>Tabla4[[#This Row],[VALOR CONTRAPARTIDA]]+Tabla4[[#This Row],[TOTAL APORTES ICBF]]</f>
        <v>65087026.200000003</v>
      </c>
      <c r="AI1053" s="35"/>
      <c r="AJ1053" s="38"/>
      <c r="AK1053" s="38"/>
      <c r="AL1053" s="23"/>
      <c r="AM1053" s="35">
        <f>VLOOKUP(Tabla4[[#This Row],[SERVICIO 2025]],$J$2:$V$14,5,0)*Tabla4[[#This Row],[TOTAL COBERTURA]]</f>
        <v>1963248</v>
      </c>
      <c r="AN1053" s="35">
        <f>VLOOKUP(Tabla4[[#This Row],[SERVICIO 2025]],$J$2:$V$14,6,0)*Tabla4[[#This Row],[TOTAL COBERTURA]]</f>
        <v>1589322</v>
      </c>
      <c r="AO1053" s="35">
        <f>VLOOKUP(Tabla4[[#This Row],[SERVICIO 2025]],$J$2:$V$14,8,0)*Tabla4[[#This Row],[TOTAL COBERTURA]]</f>
        <v>0</v>
      </c>
      <c r="AP1053" s="35">
        <f>VLOOKUP(Tabla4[[#This Row],[SERVICIO 2025]],$J$2:$V$14,3,0)*Tabla4[[#This Row],[TOTAL COBERTURA]]*8</f>
        <v>60258240</v>
      </c>
      <c r="AQ1053" s="35"/>
      <c r="AR1053" s="35">
        <f>Tabla4[[#This Row],[VALOR FASE PREPARATORIA DE ALISTAMIENTO]]+Tabla4[[#This Row],[VALOR FASE PREPARATORIA DE CIERRE]]+Tabla4[[#This Row],[DOTACIÓN ÚNICA]]+Tabla4[[#This Row],[VALOR ATENCIÓN]]+Tabla4[[#This Row],[VALOR RACION PREPARADA]]</f>
        <v>63810810</v>
      </c>
      <c r="AS1053" s="35" t="str">
        <f>+IF(Tabla4[[#This Row],[AGRUPACIONES]]=1,SUMIFS(Tabla4[VALOR TOTAL],Tabla4[ZONA DEFINITIVO],Tabla4[[#This Row],[ZONA DEFINITIVO]])," ")</f>
        <v xml:space="preserve"> </v>
      </c>
      <c r="AT1053" s="27">
        <f>(VLOOKUP(Tabla4[[#This Row],[SERVICIO 2025]],$J$2:$V$14,3,0)*Tabla4[[#This Row],[TOTAL COBERTURA]])+Tabla4[[#This Row],[VALOR FASE PREPARATORIA DE ALISTAMIENTO]]+Tabla4[[#This Row],[DOTACIÓN ÚNICA]]</f>
        <v>9495528</v>
      </c>
      <c r="AU1053" s="35">
        <f>(VLOOKUP(Tabla4[[#This Row],[SERVICIO 2025]],$J$2:$V$14,3,0)*Tabla4[[#This Row],[TOTAL COBERTURA]])</f>
        <v>7532280</v>
      </c>
      <c r="AV1053" s="35">
        <f>(VLOOKUP(Tabla4[[#This Row],[SERVICIO 2025]],$J$2:$V$14,3,0)*Tabla4[[#This Row],[TOTAL COBERTURA]])</f>
        <v>7532280</v>
      </c>
      <c r="AW1053" s="35">
        <f>(VLOOKUP(Tabla4[[#This Row],[SERVICIO 2025]],$J$2:$V$14,3,0)*Tabla4[[#This Row],[TOTAL COBERTURA]])</f>
        <v>7532280</v>
      </c>
      <c r="AX1053" s="35">
        <f>(VLOOKUP(Tabla4[[#This Row],[SERVICIO 2025]],$J$2:$V$14,3,0)*Tabla4[[#This Row],[TOTAL COBERTURA]])</f>
        <v>7532280</v>
      </c>
      <c r="AY1053" s="35">
        <f>(VLOOKUP(Tabla4[[#This Row],[SERVICIO 2025]],$J$2:$V$14,3,0)*Tabla4[[#This Row],[TOTAL COBERTURA]])</f>
        <v>7532280</v>
      </c>
      <c r="AZ1053" s="35">
        <f>(VLOOKUP(Tabla4[[#This Row],[SERVICIO 2025]],$J$2:$V$14,3,0)*Tabla4[[#This Row],[TOTAL COBERTURA]])</f>
        <v>7532280</v>
      </c>
      <c r="BA1053" s="35">
        <f>(VLOOKUP(Tabla4[[#This Row],[SERVICIO 2025]],$J$2:$V$14,3,0)*Tabla4[[#This Row],[TOTAL COBERTURA]])+Tabla4[[#This Row],[VALOR FASE PREPARATORIA DE CIERRE]]</f>
        <v>9121602</v>
      </c>
      <c r="BB1053" s="35">
        <f>SUM(Tabla4[[#This Row],[DESEMBOLSO 1]:[DESEMBOLSO 8]])</f>
        <v>63810810</v>
      </c>
      <c r="BC1053" s="35">
        <f>VLOOKUP(Tabla4[[#This Row],[SERVICIO 2025]],$J$2:$V$14,10,0)*Tabla4[[#This Row],[TOTAL COBERTURA]]*$W$3</f>
        <v>63275856</v>
      </c>
      <c r="BD1053" s="47" t="s">
        <v>211</v>
      </c>
      <c r="BE1053" s="12" t="b">
        <f>EXACT(Tabla4[[#This Row],[VALOR ATENCIÓN (8 MESES)]],Tabla4[[#This Row],[VALOR TOTAL]])</f>
        <v>1</v>
      </c>
      <c r="BF1053" s="23">
        <f>Tabla4[[#This Row],[VALOR ATENCIÓN (8 MESES)]]-Tabla4[[#This Row],[VALOR TOTAL]]</f>
        <v>0</v>
      </c>
      <c r="BG1053" s="12" t="b">
        <f>EXACT(Tabla4[[#This Row],[TOTAL DESEMBOLSOS]],Tabla4[[#This Row],[VALOR ATENCIÓN (8 MESES)]])</f>
        <v>1</v>
      </c>
      <c r="BH1053" s="29">
        <f>Tabla4[[#This Row],[TOTAL DESEMBOLSOS]]-Tabla4[[#This Row],[VALOR ATENCIÓN (8 MESES)]]</f>
        <v>0</v>
      </c>
      <c r="BI1053" t="s">
        <v>98</v>
      </c>
      <c r="BJ1053">
        <v>1998</v>
      </c>
    </row>
    <row r="1054" spans="1:62">
      <c r="A1054" s="13">
        <v>2000</v>
      </c>
      <c r="B1054" s="13" t="s">
        <v>2320</v>
      </c>
      <c r="C1054" s="12" t="s">
        <v>87</v>
      </c>
      <c r="D1054" s="12" t="s">
        <v>651</v>
      </c>
      <c r="E1054" s="12" t="s">
        <v>2321</v>
      </c>
      <c r="F1054" s="12" t="s">
        <v>21</v>
      </c>
      <c r="G1054" s="12" t="s">
        <v>90</v>
      </c>
      <c r="H1054" s="12" t="s">
        <v>2322</v>
      </c>
      <c r="I1054" s="12">
        <v>56791136138</v>
      </c>
      <c r="J1054" s="12" t="s">
        <v>2323</v>
      </c>
      <c r="K1054" s="12">
        <v>1</v>
      </c>
      <c r="L1054" s="12">
        <v>11</v>
      </c>
      <c r="M1054" s="12"/>
      <c r="N1054" s="13">
        <v>2000</v>
      </c>
      <c r="O1054" s="12" t="s">
        <v>93</v>
      </c>
      <c r="P1054" s="12"/>
      <c r="Q1054" s="12"/>
      <c r="R1054" s="12" t="s">
        <v>94</v>
      </c>
      <c r="S1054" s="12">
        <v>10</v>
      </c>
      <c r="T1054" s="12" t="s">
        <v>655</v>
      </c>
      <c r="U1054" s="12" t="s">
        <v>656</v>
      </c>
      <c r="V1054" s="12">
        <f>VLOOKUP(Tabla4[[#This Row],[ZONA DEFINITIVO]],Hoja1!$A$1:$D$121,3,0)</f>
        <v>229154</v>
      </c>
      <c r="W1054" s="12">
        <f>VLOOKUP(Tabla4[[#This Row],[ZONA DEFINITIVO]],Hoja1!$A$1:$D$121,2,0)</f>
        <v>15220</v>
      </c>
      <c r="X1054" s="12">
        <f>VLOOKUP(Tabla4[[#This Row],[ZONA DEFINITIVO]],Hoja1!$A$1:$D$121,4,0)</f>
        <v>87325</v>
      </c>
      <c r="Y1054" s="12">
        <f>+IF(Tabla4[[#This Row],[AGRUPACIONES]]=1,SUMIFS(Tabla4[UDS],Tabla4[ZONA DEFINITIVO],Tabla4[[#This Row],[ZONA DEFINITIVO]])," ")</f>
        <v>17</v>
      </c>
      <c r="Z1054" s="12">
        <f>+IF(Tabla4[[#This Row],[AGRUPACIONES]]=1,SUMIFS(Tabla4[TOTAL COBERTURA],Tabla4[ZONA DEFINITIVO],Tabla4[[#This Row],[ZONA DEFINITIVO]])," ")</f>
        <v>330</v>
      </c>
      <c r="AA1054" s="12"/>
      <c r="AB1054" s="38">
        <v>16712355</v>
      </c>
      <c r="AC1054" s="37">
        <v>0.02</v>
      </c>
      <c r="AD1054" s="38">
        <f t="shared" si="17"/>
        <v>334247.10000000003</v>
      </c>
      <c r="AE1054" s="12"/>
      <c r="AF1054" s="12">
        <f>COUNTIF($A$20:A1054,A1054)</f>
        <v>1</v>
      </c>
      <c r="AG1054" s="38">
        <v>16712355</v>
      </c>
      <c r="AH1054" s="38">
        <f>Tabla4[[#This Row],[VALOR CONTRAPARTIDA]]+Tabla4[[#This Row],[TOTAL APORTES ICBF]]</f>
        <v>17046602.100000001</v>
      </c>
      <c r="AI1054" s="35">
        <f>ROUND(+IF(Tabla4[[#This Row],[AGRUPACIONES]]=1,SUMIFS(Tabla4[TOTAL APORTES ICBF],Tabla4[ZONA DEFINITIVO],Tabla4[[#This Row],[ZONA DEFINITIVO]])," "),0)</f>
        <v>839662662</v>
      </c>
      <c r="AJ1054" s="38">
        <f>ROUND(+IF(Tabla4[[#This Row],[AGRUPACIONES]]=1,SUMIFS(Tabla4[VALOR CONTRAPARTIDA],Tabla4[ZONA DEFINITIVO],Tabla4[[#This Row],[ZONA DEFINITIVO]])," "),0)</f>
        <v>16793253</v>
      </c>
      <c r="AK1054" s="38">
        <f>Tabla4[[#This Row],[TOTAL APORTES ICBF AGRUPADO]]+Tabla4[[#This Row],[TOTAL CONTRAPARTIDA AGRUPADO]]</f>
        <v>856455915</v>
      </c>
      <c r="AL1054" s="23">
        <f>Tabla4[[#This Row],[TOTAL APORTES ICBF AGRUPADO]]/$AL$18</f>
        <v>589.85785879873549</v>
      </c>
      <c r="AM1054" s="35">
        <f>VLOOKUP(Tabla4[[#This Row],[SERVICIO 2025]],$J$2:$V$14,5,0)*Tabla4[[#This Row],[TOTAL COBERTURA]]</f>
        <v>514184</v>
      </c>
      <c r="AN1054" s="35">
        <f>VLOOKUP(Tabla4[[#This Row],[SERVICIO 2025]],$J$2:$V$14,6,0)*Tabla4[[#This Row],[TOTAL COBERTURA]]</f>
        <v>416251</v>
      </c>
      <c r="AO1054" s="35">
        <f>VLOOKUP(Tabla4[[#This Row],[SERVICIO 2025]],$J$2:$V$14,8,0)*Tabla4[[#This Row],[TOTAL COBERTURA]]</f>
        <v>0</v>
      </c>
      <c r="AP1054" s="35">
        <f>VLOOKUP(Tabla4[[#This Row],[SERVICIO 2025]],$J$2:$V$14,3,0)*Tabla4[[#This Row],[TOTAL COBERTURA]]*8</f>
        <v>15781920</v>
      </c>
      <c r="AQ1054" s="35"/>
      <c r="AR1054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1054" s="35">
        <f>+IF(Tabla4[[#This Row],[AGRUPACIONES]]=1,SUMIFS(Tabla4[VALOR TOTAL],Tabla4[ZONA DEFINITIVO],Tabla4[[#This Row],[ZONA DEFINITIVO]])," ")</f>
        <v>839662662</v>
      </c>
      <c r="AT1054" s="27">
        <f>(VLOOKUP(Tabla4[[#This Row],[SERVICIO 2025]],$J$2:$V$14,3,0)*Tabla4[[#This Row],[TOTAL COBERTURA]])+Tabla4[[#This Row],[VALOR FASE PREPARATORIA DE ALISTAMIENTO]]+Tabla4[[#This Row],[DOTACIÓN ÚNICA]]</f>
        <v>2486924</v>
      </c>
      <c r="AU1054" s="35">
        <f>(VLOOKUP(Tabla4[[#This Row],[SERVICIO 2025]],$J$2:$V$14,3,0)*Tabla4[[#This Row],[TOTAL COBERTURA]])</f>
        <v>1972740</v>
      </c>
      <c r="AV1054" s="35">
        <f>(VLOOKUP(Tabla4[[#This Row],[SERVICIO 2025]],$J$2:$V$14,3,0)*Tabla4[[#This Row],[TOTAL COBERTURA]])</f>
        <v>1972740</v>
      </c>
      <c r="AW1054" s="35">
        <f>(VLOOKUP(Tabla4[[#This Row],[SERVICIO 2025]],$J$2:$V$14,3,0)*Tabla4[[#This Row],[TOTAL COBERTURA]])</f>
        <v>1972740</v>
      </c>
      <c r="AX1054" s="35">
        <f>(VLOOKUP(Tabla4[[#This Row],[SERVICIO 2025]],$J$2:$V$14,3,0)*Tabla4[[#This Row],[TOTAL COBERTURA]])</f>
        <v>1972740</v>
      </c>
      <c r="AY1054" s="35">
        <f>(VLOOKUP(Tabla4[[#This Row],[SERVICIO 2025]],$J$2:$V$14,3,0)*Tabla4[[#This Row],[TOTAL COBERTURA]])</f>
        <v>1972740</v>
      </c>
      <c r="AZ1054" s="35">
        <f>(VLOOKUP(Tabla4[[#This Row],[SERVICIO 2025]],$J$2:$V$14,3,0)*Tabla4[[#This Row],[TOTAL COBERTURA]])</f>
        <v>1972740</v>
      </c>
      <c r="BA1054" s="35">
        <f>(VLOOKUP(Tabla4[[#This Row],[SERVICIO 2025]],$J$2:$V$14,3,0)*Tabla4[[#This Row],[TOTAL COBERTURA]])+Tabla4[[#This Row],[VALOR FASE PREPARATORIA DE CIERRE]]</f>
        <v>2388991</v>
      </c>
      <c r="BB1054" s="35">
        <f>SUM(Tabla4[[#This Row],[DESEMBOLSO 1]:[DESEMBOLSO 8]])</f>
        <v>16712355</v>
      </c>
      <c r="BC1054" s="35">
        <f>VLOOKUP(Tabla4[[#This Row],[SERVICIO 2025]],$J$2:$V$14,10,0)*Tabla4[[#This Row],[TOTAL COBERTURA]]*$W$3</f>
        <v>16572248</v>
      </c>
      <c r="BD1054" s="47" t="s">
        <v>211</v>
      </c>
      <c r="BE1054" s="12" t="b">
        <f>EXACT(Tabla4[[#This Row],[VALOR ATENCIÓN (8 MESES)]],Tabla4[[#This Row],[VALOR TOTAL]])</f>
        <v>1</v>
      </c>
      <c r="BF1054" s="23">
        <f>Tabla4[[#This Row],[VALOR ATENCIÓN (8 MESES)]]-Tabla4[[#This Row],[VALOR TOTAL]]</f>
        <v>0</v>
      </c>
      <c r="BG1054" s="12" t="b">
        <f>EXACT(Tabla4[[#This Row],[TOTAL DESEMBOLSOS]],Tabla4[[#This Row],[VALOR ATENCIÓN (8 MESES)]])</f>
        <v>1</v>
      </c>
      <c r="BH1054" s="29">
        <f>Tabla4[[#This Row],[TOTAL DESEMBOLSOS]]-Tabla4[[#This Row],[VALOR ATENCIÓN (8 MESES)]]</f>
        <v>0</v>
      </c>
      <c r="BI1054" t="s">
        <v>98</v>
      </c>
      <c r="BJ1054">
        <v>2000</v>
      </c>
    </row>
    <row r="1055" spans="1:62">
      <c r="A1055" s="13">
        <v>2000</v>
      </c>
      <c r="B1055" s="13" t="s">
        <v>2320</v>
      </c>
      <c r="C1055" s="12" t="s">
        <v>87</v>
      </c>
      <c r="D1055" s="12" t="s">
        <v>651</v>
      </c>
      <c r="E1055" s="12" t="s">
        <v>2321</v>
      </c>
      <c r="F1055" s="12" t="s">
        <v>20</v>
      </c>
      <c r="G1055" s="12" t="s">
        <v>90</v>
      </c>
      <c r="H1055" s="12" t="s">
        <v>2324</v>
      </c>
      <c r="I1055" s="12">
        <v>56791136334</v>
      </c>
      <c r="J1055" s="12" t="s">
        <v>2325</v>
      </c>
      <c r="K1055" s="12">
        <v>1</v>
      </c>
      <c r="L1055" s="12">
        <v>9</v>
      </c>
      <c r="M1055" s="12"/>
      <c r="N1055" s="13">
        <v>2000</v>
      </c>
      <c r="O1055" s="12" t="s">
        <v>93</v>
      </c>
      <c r="P1055" s="12"/>
      <c r="Q1055" s="12"/>
      <c r="R1055" s="12" t="s">
        <v>94</v>
      </c>
      <c r="S1055" s="12">
        <v>10</v>
      </c>
      <c r="T1055" s="12" t="s">
        <v>655</v>
      </c>
      <c r="U1055" s="12" t="s">
        <v>656</v>
      </c>
      <c r="V1055" s="12">
        <f>VLOOKUP(Tabla4[[#This Row],[ZONA DEFINITIVO]],Hoja1!$A$1:$D$121,3,0)</f>
        <v>229154</v>
      </c>
      <c r="W1055" s="12">
        <f>VLOOKUP(Tabla4[[#This Row],[ZONA DEFINITIVO]],Hoja1!$A$1:$D$121,2,0)</f>
        <v>15220</v>
      </c>
      <c r="X1055" s="12">
        <f>VLOOKUP(Tabla4[[#This Row],[ZONA DEFINITIVO]],Hoja1!$A$1:$D$121,4,0)</f>
        <v>87325</v>
      </c>
      <c r="Y1055" s="12" t="str">
        <f>+IF(Tabla4[[#This Row],[AGRUPACIONES]]=1,SUMIFS(Tabla4[UDS],Tabla4[ZONA DEFINITIVO],Tabla4[[#This Row],[ZONA DEFINITIVO]])," ")</f>
        <v xml:space="preserve"> </v>
      </c>
      <c r="Z1055" s="12" t="str">
        <f>+IF(Tabla4[[#This Row],[AGRUPACIONES]]=1,SUMIFS(Tabla4[TOTAL COBERTURA],Tabla4[ZONA DEFINITIVO],Tabla4[[#This Row],[ZONA DEFINITIVO]])," ")</f>
        <v xml:space="preserve"> </v>
      </c>
      <c r="AA1055" s="12"/>
      <c r="AB1055" s="38">
        <v>27232857</v>
      </c>
      <c r="AC1055" s="37">
        <v>0.02</v>
      </c>
      <c r="AD1055" s="38">
        <f t="shared" si="17"/>
        <v>544657.14</v>
      </c>
      <c r="AE1055" s="12"/>
      <c r="AF1055" s="12">
        <f>COUNTIF($A$20:A1055,A1055)</f>
        <v>2</v>
      </c>
      <c r="AG1055" s="38">
        <v>27232857</v>
      </c>
      <c r="AH1055" s="38">
        <f>Tabla4[[#This Row],[VALOR CONTRAPARTIDA]]+Tabla4[[#This Row],[TOTAL APORTES ICBF]]</f>
        <v>27777514.140000001</v>
      </c>
      <c r="AI1055" s="35"/>
      <c r="AJ1055" s="38"/>
      <c r="AK1055" s="38"/>
      <c r="AL1055" s="23"/>
      <c r="AM1055" s="35">
        <f>VLOOKUP(Tabla4[[#This Row],[SERVICIO 2025]],$J$2:$V$14,5,0)*Tabla4[[#This Row],[TOTAL COBERTURA]]</f>
        <v>420696</v>
      </c>
      <c r="AN1055" s="35">
        <f>VLOOKUP(Tabla4[[#This Row],[SERVICIO 2025]],$J$2:$V$14,6,0)*Tabla4[[#This Row],[TOTAL COBERTURA]]</f>
        <v>340569</v>
      </c>
      <c r="AO1055" s="35">
        <f>VLOOKUP(Tabla4[[#This Row],[SERVICIO 2025]],$J$2:$V$14,8,0)*Tabla4[[#This Row],[TOTAL COBERTURA]]</f>
        <v>0</v>
      </c>
      <c r="AP1055" s="35">
        <f>VLOOKUP(Tabla4[[#This Row],[SERVICIO 2025]],$J$2:$V$14,3,0)*Tabla4[[#This Row],[TOTAL COBERTURA]]*8</f>
        <v>26471592</v>
      </c>
      <c r="AQ1055" s="35"/>
      <c r="AR1055" s="35">
        <f>Tabla4[[#This Row],[VALOR FASE PREPARATORIA DE ALISTAMIENTO]]+Tabla4[[#This Row],[VALOR FASE PREPARATORIA DE CIERRE]]+Tabla4[[#This Row],[DOTACIÓN ÚNICA]]+Tabla4[[#This Row],[VALOR ATENCIÓN]]+Tabla4[[#This Row],[VALOR RACION PREPARADA]]</f>
        <v>27232857</v>
      </c>
      <c r="AS1055" s="35" t="str">
        <f>+IF(Tabla4[[#This Row],[AGRUPACIONES]]=1,SUMIFS(Tabla4[VALOR TOTAL],Tabla4[ZONA DEFINITIVO],Tabla4[[#This Row],[ZONA DEFINITIVO]])," ")</f>
        <v xml:space="preserve"> </v>
      </c>
      <c r="AT1055" s="27">
        <f>(VLOOKUP(Tabla4[[#This Row],[SERVICIO 2025]],$J$2:$V$14,3,0)*Tabla4[[#This Row],[TOTAL COBERTURA]])+Tabla4[[#This Row],[VALOR FASE PREPARATORIA DE ALISTAMIENTO]]+Tabla4[[#This Row],[DOTACIÓN ÚNICA]]</f>
        <v>3729645</v>
      </c>
      <c r="AU1055" s="35">
        <f>(VLOOKUP(Tabla4[[#This Row],[SERVICIO 2025]],$J$2:$V$14,3,0)*Tabla4[[#This Row],[TOTAL COBERTURA]])</f>
        <v>3308949</v>
      </c>
      <c r="AV1055" s="35">
        <f>(VLOOKUP(Tabla4[[#This Row],[SERVICIO 2025]],$J$2:$V$14,3,0)*Tabla4[[#This Row],[TOTAL COBERTURA]])</f>
        <v>3308949</v>
      </c>
      <c r="AW1055" s="35">
        <f>(VLOOKUP(Tabla4[[#This Row],[SERVICIO 2025]],$J$2:$V$14,3,0)*Tabla4[[#This Row],[TOTAL COBERTURA]])</f>
        <v>3308949</v>
      </c>
      <c r="AX1055" s="35">
        <f>(VLOOKUP(Tabla4[[#This Row],[SERVICIO 2025]],$J$2:$V$14,3,0)*Tabla4[[#This Row],[TOTAL COBERTURA]])</f>
        <v>3308949</v>
      </c>
      <c r="AY1055" s="35">
        <f>(VLOOKUP(Tabla4[[#This Row],[SERVICIO 2025]],$J$2:$V$14,3,0)*Tabla4[[#This Row],[TOTAL COBERTURA]])</f>
        <v>3308949</v>
      </c>
      <c r="AZ1055" s="35">
        <f>(VLOOKUP(Tabla4[[#This Row],[SERVICIO 2025]],$J$2:$V$14,3,0)*Tabla4[[#This Row],[TOTAL COBERTURA]])</f>
        <v>3308949</v>
      </c>
      <c r="BA1055" s="35">
        <f>(VLOOKUP(Tabla4[[#This Row],[SERVICIO 2025]],$J$2:$V$14,3,0)*Tabla4[[#This Row],[TOTAL COBERTURA]])+Tabla4[[#This Row],[VALOR FASE PREPARATORIA DE CIERRE]]</f>
        <v>3649518</v>
      </c>
      <c r="BB1055" s="35">
        <f>SUM(Tabla4[[#This Row],[DESEMBOLSO 1]:[DESEMBOLSO 8]])</f>
        <v>27232857</v>
      </c>
      <c r="BC1055" s="35">
        <f>VLOOKUP(Tabla4[[#This Row],[SERVICIO 2025]],$J$2:$V$14,10,0)*Tabla4[[#This Row],[TOTAL COBERTURA]]*$W$3</f>
        <v>0</v>
      </c>
      <c r="BD1055" s="47" t="s">
        <v>145</v>
      </c>
      <c r="BE1055" s="12" t="b">
        <f>EXACT(Tabla4[[#This Row],[VALOR ATENCIÓN (8 MESES)]],Tabla4[[#This Row],[VALOR TOTAL]])</f>
        <v>1</v>
      </c>
      <c r="BF1055" s="23">
        <f>Tabla4[[#This Row],[VALOR ATENCIÓN (8 MESES)]]-Tabla4[[#This Row],[VALOR TOTAL]]</f>
        <v>0</v>
      </c>
      <c r="BG1055" s="12" t="b">
        <f>EXACT(Tabla4[[#This Row],[TOTAL DESEMBOLSOS]],Tabla4[[#This Row],[VALOR ATENCIÓN (8 MESES)]])</f>
        <v>1</v>
      </c>
      <c r="BH1055" s="29">
        <f>Tabla4[[#This Row],[TOTAL DESEMBOLSOS]]-Tabla4[[#This Row],[VALOR ATENCIÓN (8 MESES)]]</f>
        <v>0</v>
      </c>
      <c r="BI1055" t="s">
        <v>98</v>
      </c>
      <c r="BJ1055">
        <v>2000</v>
      </c>
    </row>
    <row r="1056" spans="1:62">
      <c r="A1056" s="13">
        <v>2000</v>
      </c>
      <c r="B1056" s="13" t="s">
        <v>2320</v>
      </c>
      <c r="C1056" s="12" t="s">
        <v>87</v>
      </c>
      <c r="D1056" s="12" t="s">
        <v>651</v>
      </c>
      <c r="E1056" s="12" t="s">
        <v>2321</v>
      </c>
      <c r="F1056" s="12" t="s">
        <v>21</v>
      </c>
      <c r="G1056" s="12" t="s">
        <v>90</v>
      </c>
      <c r="H1056" s="12" t="s">
        <v>2326</v>
      </c>
      <c r="I1056" s="12">
        <v>56791136344</v>
      </c>
      <c r="J1056" s="12" t="s">
        <v>2327</v>
      </c>
      <c r="K1056" s="12">
        <v>1</v>
      </c>
      <c r="L1056" s="12">
        <v>11</v>
      </c>
      <c r="M1056" s="12"/>
      <c r="N1056" s="13">
        <v>2000</v>
      </c>
      <c r="O1056" s="12" t="s">
        <v>93</v>
      </c>
      <c r="P1056" s="12"/>
      <c r="Q1056" s="12"/>
      <c r="R1056" s="12" t="s">
        <v>94</v>
      </c>
      <c r="S1056" s="12">
        <v>10</v>
      </c>
      <c r="T1056" s="12" t="s">
        <v>655</v>
      </c>
      <c r="U1056" s="12" t="s">
        <v>656</v>
      </c>
      <c r="V1056" s="12">
        <f>VLOOKUP(Tabla4[[#This Row],[ZONA DEFINITIVO]],Hoja1!$A$1:$D$121,3,0)</f>
        <v>229154</v>
      </c>
      <c r="W1056" s="12">
        <f>VLOOKUP(Tabla4[[#This Row],[ZONA DEFINITIVO]],Hoja1!$A$1:$D$121,2,0)</f>
        <v>15220</v>
      </c>
      <c r="X1056" s="12">
        <f>VLOOKUP(Tabla4[[#This Row],[ZONA DEFINITIVO]],Hoja1!$A$1:$D$121,4,0)</f>
        <v>87325</v>
      </c>
      <c r="Y1056" s="12" t="str">
        <f>+IF(Tabla4[[#This Row],[AGRUPACIONES]]=1,SUMIFS(Tabla4[UDS],Tabla4[ZONA DEFINITIVO],Tabla4[[#This Row],[ZONA DEFINITIVO]])," ")</f>
        <v xml:space="preserve"> </v>
      </c>
      <c r="Z1056" s="12" t="str">
        <f>+IF(Tabla4[[#This Row],[AGRUPACIONES]]=1,SUMIFS(Tabla4[TOTAL COBERTURA],Tabla4[ZONA DEFINITIVO],Tabla4[[#This Row],[ZONA DEFINITIVO]])," ")</f>
        <v xml:space="preserve"> </v>
      </c>
      <c r="AA1056" s="12"/>
      <c r="AB1056" s="38">
        <v>16712355</v>
      </c>
      <c r="AC1056" s="37">
        <v>0.02</v>
      </c>
      <c r="AD1056" s="38">
        <f t="shared" si="17"/>
        <v>334247.10000000003</v>
      </c>
      <c r="AE1056" s="12"/>
      <c r="AF1056" s="12">
        <f>COUNTIF($A$20:A1056,A1056)</f>
        <v>3</v>
      </c>
      <c r="AG1056" s="38">
        <v>16712355</v>
      </c>
      <c r="AH1056" s="38">
        <f>Tabla4[[#This Row],[VALOR CONTRAPARTIDA]]+Tabla4[[#This Row],[TOTAL APORTES ICBF]]</f>
        <v>17046602.100000001</v>
      </c>
      <c r="AI1056" s="35"/>
      <c r="AJ1056" s="38"/>
      <c r="AK1056" s="38"/>
      <c r="AL1056" s="23"/>
      <c r="AM1056" s="35">
        <f>VLOOKUP(Tabla4[[#This Row],[SERVICIO 2025]],$J$2:$V$14,5,0)*Tabla4[[#This Row],[TOTAL COBERTURA]]</f>
        <v>514184</v>
      </c>
      <c r="AN1056" s="35">
        <f>VLOOKUP(Tabla4[[#This Row],[SERVICIO 2025]],$J$2:$V$14,6,0)*Tabla4[[#This Row],[TOTAL COBERTURA]]</f>
        <v>416251</v>
      </c>
      <c r="AO1056" s="35">
        <f>VLOOKUP(Tabla4[[#This Row],[SERVICIO 2025]],$J$2:$V$14,8,0)*Tabla4[[#This Row],[TOTAL COBERTURA]]</f>
        <v>0</v>
      </c>
      <c r="AP1056" s="35">
        <f>VLOOKUP(Tabla4[[#This Row],[SERVICIO 2025]],$J$2:$V$14,3,0)*Tabla4[[#This Row],[TOTAL COBERTURA]]*8</f>
        <v>15781920</v>
      </c>
      <c r="AQ1056" s="35"/>
      <c r="AR1056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1056" s="35" t="str">
        <f>+IF(Tabla4[[#This Row],[AGRUPACIONES]]=1,SUMIFS(Tabla4[VALOR TOTAL],Tabla4[ZONA DEFINITIVO],Tabla4[[#This Row],[ZONA DEFINITIVO]])," ")</f>
        <v xml:space="preserve"> </v>
      </c>
      <c r="AT1056" s="27">
        <f>(VLOOKUP(Tabla4[[#This Row],[SERVICIO 2025]],$J$2:$V$14,3,0)*Tabla4[[#This Row],[TOTAL COBERTURA]])+Tabla4[[#This Row],[VALOR FASE PREPARATORIA DE ALISTAMIENTO]]+Tabla4[[#This Row],[DOTACIÓN ÚNICA]]</f>
        <v>2486924</v>
      </c>
      <c r="AU1056" s="35">
        <f>(VLOOKUP(Tabla4[[#This Row],[SERVICIO 2025]],$J$2:$V$14,3,0)*Tabla4[[#This Row],[TOTAL COBERTURA]])</f>
        <v>1972740</v>
      </c>
      <c r="AV1056" s="35">
        <f>(VLOOKUP(Tabla4[[#This Row],[SERVICIO 2025]],$J$2:$V$14,3,0)*Tabla4[[#This Row],[TOTAL COBERTURA]])</f>
        <v>1972740</v>
      </c>
      <c r="AW1056" s="35">
        <f>(VLOOKUP(Tabla4[[#This Row],[SERVICIO 2025]],$J$2:$V$14,3,0)*Tabla4[[#This Row],[TOTAL COBERTURA]])</f>
        <v>1972740</v>
      </c>
      <c r="AX1056" s="35">
        <f>(VLOOKUP(Tabla4[[#This Row],[SERVICIO 2025]],$J$2:$V$14,3,0)*Tabla4[[#This Row],[TOTAL COBERTURA]])</f>
        <v>1972740</v>
      </c>
      <c r="AY1056" s="35">
        <f>(VLOOKUP(Tabla4[[#This Row],[SERVICIO 2025]],$J$2:$V$14,3,0)*Tabla4[[#This Row],[TOTAL COBERTURA]])</f>
        <v>1972740</v>
      </c>
      <c r="AZ1056" s="35">
        <f>(VLOOKUP(Tabla4[[#This Row],[SERVICIO 2025]],$J$2:$V$14,3,0)*Tabla4[[#This Row],[TOTAL COBERTURA]])</f>
        <v>1972740</v>
      </c>
      <c r="BA1056" s="35">
        <f>(VLOOKUP(Tabla4[[#This Row],[SERVICIO 2025]],$J$2:$V$14,3,0)*Tabla4[[#This Row],[TOTAL COBERTURA]])+Tabla4[[#This Row],[VALOR FASE PREPARATORIA DE CIERRE]]</f>
        <v>2388991</v>
      </c>
      <c r="BB1056" s="35">
        <f>SUM(Tabla4[[#This Row],[DESEMBOLSO 1]:[DESEMBOLSO 8]])</f>
        <v>16712355</v>
      </c>
      <c r="BC1056" s="35">
        <f>VLOOKUP(Tabla4[[#This Row],[SERVICIO 2025]],$J$2:$V$14,10,0)*Tabla4[[#This Row],[TOTAL COBERTURA]]*$W$3</f>
        <v>16572248</v>
      </c>
      <c r="BD1056" s="47" t="s">
        <v>211</v>
      </c>
      <c r="BE1056" s="12" t="b">
        <f>EXACT(Tabla4[[#This Row],[VALOR ATENCIÓN (8 MESES)]],Tabla4[[#This Row],[VALOR TOTAL]])</f>
        <v>1</v>
      </c>
      <c r="BF1056" s="23">
        <f>Tabla4[[#This Row],[VALOR ATENCIÓN (8 MESES)]]-Tabla4[[#This Row],[VALOR TOTAL]]</f>
        <v>0</v>
      </c>
      <c r="BG1056" s="12" t="b">
        <f>EXACT(Tabla4[[#This Row],[TOTAL DESEMBOLSOS]],Tabla4[[#This Row],[VALOR ATENCIÓN (8 MESES)]])</f>
        <v>1</v>
      </c>
      <c r="BH1056" s="29">
        <f>Tabla4[[#This Row],[TOTAL DESEMBOLSOS]]-Tabla4[[#This Row],[VALOR ATENCIÓN (8 MESES)]]</f>
        <v>0</v>
      </c>
      <c r="BI1056" t="s">
        <v>98</v>
      </c>
      <c r="BJ1056">
        <v>2000</v>
      </c>
    </row>
    <row r="1057" spans="1:62">
      <c r="A1057" s="13">
        <v>2000</v>
      </c>
      <c r="B1057" s="13" t="s">
        <v>2320</v>
      </c>
      <c r="C1057" s="12" t="s">
        <v>87</v>
      </c>
      <c r="D1057" s="12" t="s">
        <v>651</v>
      </c>
      <c r="E1057" s="12" t="s">
        <v>2321</v>
      </c>
      <c r="F1057" s="12" t="s">
        <v>21</v>
      </c>
      <c r="G1057" s="12" t="s">
        <v>90</v>
      </c>
      <c r="H1057" s="12" t="s">
        <v>2328</v>
      </c>
      <c r="I1057" s="12">
        <v>56791136354</v>
      </c>
      <c r="J1057" s="12" t="s">
        <v>2329</v>
      </c>
      <c r="K1057" s="12">
        <v>1</v>
      </c>
      <c r="L1057" s="12">
        <v>16</v>
      </c>
      <c r="M1057" s="12"/>
      <c r="N1057" s="13">
        <v>2000</v>
      </c>
      <c r="O1057" s="12" t="s">
        <v>93</v>
      </c>
      <c r="P1057" s="12"/>
      <c r="Q1057" s="12"/>
      <c r="R1057" s="12" t="s">
        <v>94</v>
      </c>
      <c r="S1057" s="12">
        <v>10</v>
      </c>
      <c r="T1057" s="12" t="s">
        <v>655</v>
      </c>
      <c r="U1057" s="12" t="s">
        <v>656</v>
      </c>
      <c r="V1057" s="12">
        <f>VLOOKUP(Tabla4[[#This Row],[ZONA DEFINITIVO]],Hoja1!$A$1:$D$121,3,0)</f>
        <v>229154</v>
      </c>
      <c r="W1057" s="12">
        <f>VLOOKUP(Tabla4[[#This Row],[ZONA DEFINITIVO]],Hoja1!$A$1:$D$121,2,0)</f>
        <v>15220</v>
      </c>
      <c r="X1057" s="12">
        <f>VLOOKUP(Tabla4[[#This Row],[ZONA DEFINITIVO]],Hoja1!$A$1:$D$121,4,0)</f>
        <v>87325</v>
      </c>
      <c r="Y1057" s="12" t="str">
        <f>+IF(Tabla4[[#This Row],[AGRUPACIONES]]=1,SUMIFS(Tabla4[UDS],Tabla4[ZONA DEFINITIVO],Tabla4[[#This Row],[ZONA DEFINITIVO]])," ")</f>
        <v xml:space="preserve"> </v>
      </c>
      <c r="Z1057" s="12" t="str">
        <f>+IF(Tabla4[[#This Row],[AGRUPACIONES]]=1,SUMIFS(Tabla4[TOTAL COBERTURA],Tabla4[ZONA DEFINITIVO],Tabla4[[#This Row],[ZONA DEFINITIVO]])," ")</f>
        <v xml:space="preserve"> </v>
      </c>
      <c r="AA1057" s="12"/>
      <c r="AB1057" s="38">
        <v>24308880</v>
      </c>
      <c r="AC1057" s="37">
        <v>0.02</v>
      </c>
      <c r="AD1057" s="38">
        <f t="shared" si="17"/>
        <v>486177.60000000003</v>
      </c>
      <c r="AE1057" s="12"/>
      <c r="AF1057" s="12">
        <f>COUNTIF($A$20:A1057,A1057)</f>
        <v>4</v>
      </c>
      <c r="AG1057" s="38">
        <v>24308880</v>
      </c>
      <c r="AH1057" s="38">
        <f>Tabla4[[#This Row],[VALOR CONTRAPARTIDA]]+Tabla4[[#This Row],[TOTAL APORTES ICBF]]</f>
        <v>24795057.600000001</v>
      </c>
      <c r="AI1057" s="35"/>
      <c r="AJ1057" s="38"/>
      <c r="AK1057" s="38"/>
      <c r="AL1057" s="23"/>
      <c r="AM1057" s="35">
        <f>VLOOKUP(Tabla4[[#This Row],[SERVICIO 2025]],$J$2:$V$14,5,0)*Tabla4[[#This Row],[TOTAL COBERTURA]]</f>
        <v>747904</v>
      </c>
      <c r="AN1057" s="35">
        <f>VLOOKUP(Tabla4[[#This Row],[SERVICIO 2025]],$J$2:$V$14,6,0)*Tabla4[[#This Row],[TOTAL COBERTURA]]</f>
        <v>605456</v>
      </c>
      <c r="AO1057" s="35">
        <f>VLOOKUP(Tabla4[[#This Row],[SERVICIO 2025]],$J$2:$V$14,8,0)*Tabla4[[#This Row],[TOTAL COBERTURA]]</f>
        <v>0</v>
      </c>
      <c r="AP1057" s="35">
        <f>VLOOKUP(Tabla4[[#This Row],[SERVICIO 2025]],$J$2:$V$14,3,0)*Tabla4[[#This Row],[TOTAL COBERTURA]]*8</f>
        <v>22955520</v>
      </c>
      <c r="AQ1057" s="35"/>
      <c r="AR1057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1057" s="35" t="str">
        <f>+IF(Tabla4[[#This Row],[AGRUPACIONES]]=1,SUMIFS(Tabla4[VALOR TOTAL],Tabla4[ZONA DEFINITIVO],Tabla4[[#This Row],[ZONA DEFINITIVO]])," ")</f>
        <v xml:space="preserve"> </v>
      </c>
      <c r="AT1057" s="27">
        <f>(VLOOKUP(Tabla4[[#This Row],[SERVICIO 2025]],$J$2:$V$14,3,0)*Tabla4[[#This Row],[TOTAL COBERTURA]])+Tabla4[[#This Row],[VALOR FASE PREPARATORIA DE ALISTAMIENTO]]+Tabla4[[#This Row],[DOTACIÓN ÚNICA]]</f>
        <v>3617344</v>
      </c>
      <c r="AU1057" s="35">
        <f>(VLOOKUP(Tabla4[[#This Row],[SERVICIO 2025]],$J$2:$V$14,3,0)*Tabla4[[#This Row],[TOTAL COBERTURA]])</f>
        <v>2869440</v>
      </c>
      <c r="AV1057" s="35">
        <f>(VLOOKUP(Tabla4[[#This Row],[SERVICIO 2025]],$J$2:$V$14,3,0)*Tabla4[[#This Row],[TOTAL COBERTURA]])</f>
        <v>2869440</v>
      </c>
      <c r="AW1057" s="35">
        <f>(VLOOKUP(Tabla4[[#This Row],[SERVICIO 2025]],$J$2:$V$14,3,0)*Tabla4[[#This Row],[TOTAL COBERTURA]])</f>
        <v>2869440</v>
      </c>
      <c r="AX1057" s="35">
        <f>(VLOOKUP(Tabla4[[#This Row],[SERVICIO 2025]],$J$2:$V$14,3,0)*Tabla4[[#This Row],[TOTAL COBERTURA]])</f>
        <v>2869440</v>
      </c>
      <c r="AY1057" s="35">
        <f>(VLOOKUP(Tabla4[[#This Row],[SERVICIO 2025]],$J$2:$V$14,3,0)*Tabla4[[#This Row],[TOTAL COBERTURA]])</f>
        <v>2869440</v>
      </c>
      <c r="AZ1057" s="35">
        <f>(VLOOKUP(Tabla4[[#This Row],[SERVICIO 2025]],$J$2:$V$14,3,0)*Tabla4[[#This Row],[TOTAL COBERTURA]])</f>
        <v>2869440</v>
      </c>
      <c r="BA1057" s="35">
        <f>(VLOOKUP(Tabla4[[#This Row],[SERVICIO 2025]],$J$2:$V$14,3,0)*Tabla4[[#This Row],[TOTAL COBERTURA]])+Tabla4[[#This Row],[VALOR FASE PREPARATORIA DE CIERRE]]</f>
        <v>3474896</v>
      </c>
      <c r="BB1057" s="35">
        <f>SUM(Tabla4[[#This Row],[DESEMBOLSO 1]:[DESEMBOLSO 8]])</f>
        <v>24308880</v>
      </c>
      <c r="BC1057" s="35">
        <f>VLOOKUP(Tabla4[[#This Row],[SERVICIO 2025]],$J$2:$V$14,10,0)*Tabla4[[#This Row],[TOTAL COBERTURA]]*$W$3</f>
        <v>24105088</v>
      </c>
      <c r="BD1057" s="47" t="s">
        <v>211</v>
      </c>
      <c r="BE1057" s="12" t="b">
        <f>EXACT(Tabla4[[#This Row],[VALOR ATENCIÓN (8 MESES)]],Tabla4[[#This Row],[VALOR TOTAL]])</f>
        <v>1</v>
      </c>
      <c r="BF1057" s="23">
        <f>Tabla4[[#This Row],[VALOR ATENCIÓN (8 MESES)]]-Tabla4[[#This Row],[VALOR TOTAL]]</f>
        <v>0</v>
      </c>
      <c r="BG1057" s="12" t="b">
        <f>EXACT(Tabla4[[#This Row],[TOTAL DESEMBOLSOS]],Tabla4[[#This Row],[VALOR ATENCIÓN (8 MESES)]])</f>
        <v>1</v>
      </c>
      <c r="BH1057" s="29">
        <f>Tabla4[[#This Row],[TOTAL DESEMBOLSOS]]-Tabla4[[#This Row],[VALOR ATENCIÓN (8 MESES)]]</f>
        <v>0</v>
      </c>
      <c r="BI1057" t="s">
        <v>98</v>
      </c>
      <c r="BJ1057">
        <v>2000</v>
      </c>
    </row>
    <row r="1058" spans="1:62">
      <c r="A1058" s="13">
        <v>2000</v>
      </c>
      <c r="B1058" s="13" t="s">
        <v>2320</v>
      </c>
      <c r="C1058" s="12" t="s">
        <v>87</v>
      </c>
      <c r="D1058" s="12" t="s">
        <v>651</v>
      </c>
      <c r="E1058" s="12" t="s">
        <v>2321</v>
      </c>
      <c r="F1058" s="12" t="s">
        <v>21</v>
      </c>
      <c r="G1058" s="12" t="s">
        <v>90</v>
      </c>
      <c r="H1058" s="12" t="s">
        <v>2330</v>
      </c>
      <c r="I1058" s="12">
        <v>56791136377</v>
      </c>
      <c r="J1058" s="12" t="s">
        <v>2331</v>
      </c>
      <c r="K1058" s="12">
        <v>1</v>
      </c>
      <c r="L1058" s="12">
        <v>11</v>
      </c>
      <c r="M1058" s="12"/>
      <c r="N1058" s="13">
        <v>2000</v>
      </c>
      <c r="O1058" s="12" t="s">
        <v>93</v>
      </c>
      <c r="P1058" s="12"/>
      <c r="Q1058" s="12"/>
      <c r="R1058" s="12" t="s">
        <v>94</v>
      </c>
      <c r="S1058" s="12">
        <v>10</v>
      </c>
      <c r="T1058" s="12" t="s">
        <v>655</v>
      </c>
      <c r="U1058" s="12" t="s">
        <v>656</v>
      </c>
      <c r="V1058" s="12">
        <f>VLOOKUP(Tabla4[[#This Row],[ZONA DEFINITIVO]],Hoja1!$A$1:$D$121,3,0)</f>
        <v>229154</v>
      </c>
      <c r="W1058" s="12">
        <f>VLOOKUP(Tabla4[[#This Row],[ZONA DEFINITIVO]],Hoja1!$A$1:$D$121,2,0)</f>
        <v>15220</v>
      </c>
      <c r="X1058" s="12">
        <f>VLOOKUP(Tabla4[[#This Row],[ZONA DEFINITIVO]],Hoja1!$A$1:$D$121,4,0)</f>
        <v>87325</v>
      </c>
      <c r="Y1058" s="12" t="str">
        <f>+IF(Tabla4[[#This Row],[AGRUPACIONES]]=1,SUMIFS(Tabla4[UDS],Tabla4[ZONA DEFINITIVO],Tabla4[[#This Row],[ZONA DEFINITIVO]])," ")</f>
        <v xml:space="preserve"> </v>
      </c>
      <c r="Z1058" s="12" t="str">
        <f>+IF(Tabla4[[#This Row],[AGRUPACIONES]]=1,SUMIFS(Tabla4[TOTAL COBERTURA],Tabla4[ZONA DEFINITIVO],Tabla4[[#This Row],[ZONA DEFINITIVO]])," ")</f>
        <v xml:space="preserve"> </v>
      </c>
      <c r="AA1058" s="12"/>
      <c r="AB1058" s="38">
        <v>16712355</v>
      </c>
      <c r="AC1058" s="37">
        <v>0.02</v>
      </c>
      <c r="AD1058" s="38">
        <f t="shared" si="17"/>
        <v>334247.10000000003</v>
      </c>
      <c r="AE1058" s="12"/>
      <c r="AF1058" s="12">
        <f>COUNTIF($A$20:A1058,A1058)</f>
        <v>5</v>
      </c>
      <c r="AG1058" s="38">
        <v>16712355</v>
      </c>
      <c r="AH1058" s="38">
        <f>Tabla4[[#This Row],[VALOR CONTRAPARTIDA]]+Tabla4[[#This Row],[TOTAL APORTES ICBF]]</f>
        <v>17046602.100000001</v>
      </c>
      <c r="AI1058" s="35"/>
      <c r="AJ1058" s="38"/>
      <c r="AK1058" s="38"/>
      <c r="AL1058" s="23"/>
      <c r="AM1058" s="35">
        <f>VLOOKUP(Tabla4[[#This Row],[SERVICIO 2025]],$J$2:$V$14,5,0)*Tabla4[[#This Row],[TOTAL COBERTURA]]</f>
        <v>514184</v>
      </c>
      <c r="AN1058" s="35">
        <f>VLOOKUP(Tabla4[[#This Row],[SERVICIO 2025]],$J$2:$V$14,6,0)*Tabla4[[#This Row],[TOTAL COBERTURA]]</f>
        <v>416251</v>
      </c>
      <c r="AO1058" s="35">
        <f>VLOOKUP(Tabla4[[#This Row],[SERVICIO 2025]],$J$2:$V$14,8,0)*Tabla4[[#This Row],[TOTAL COBERTURA]]</f>
        <v>0</v>
      </c>
      <c r="AP1058" s="35">
        <f>VLOOKUP(Tabla4[[#This Row],[SERVICIO 2025]],$J$2:$V$14,3,0)*Tabla4[[#This Row],[TOTAL COBERTURA]]*8</f>
        <v>15781920</v>
      </c>
      <c r="AQ1058" s="35"/>
      <c r="AR1058" s="35">
        <f>Tabla4[[#This Row],[VALOR FASE PREPARATORIA DE ALISTAMIENTO]]+Tabla4[[#This Row],[VALOR FASE PREPARATORIA DE CIERRE]]+Tabla4[[#This Row],[DOTACIÓN ÚNICA]]+Tabla4[[#This Row],[VALOR ATENCIÓN]]+Tabla4[[#This Row],[VALOR RACION PREPARADA]]</f>
        <v>16712355</v>
      </c>
      <c r="AS1058" s="35" t="str">
        <f>+IF(Tabla4[[#This Row],[AGRUPACIONES]]=1,SUMIFS(Tabla4[VALOR TOTAL],Tabla4[ZONA DEFINITIVO],Tabla4[[#This Row],[ZONA DEFINITIVO]])," ")</f>
        <v xml:space="preserve"> </v>
      </c>
      <c r="AT1058" s="27">
        <f>(VLOOKUP(Tabla4[[#This Row],[SERVICIO 2025]],$J$2:$V$14,3,0)*Tabla4[[#This Row],[TOTAL COBERTURA]])+Tabla4[[#This Row],[VALOR FASE PREPARATORIA DE ALISTAMIENTO]]+Tabla4[[#This Row],[DOTACIÓN ÚNICA]]</f>
        <v>2486924</v>
      </c>
      <c r="AU1058" s="35">
        <f>(VLOOKUP(Tabla4[[#This Row],[SERVICIO 2025]],$J$2:$V$14,3,0)*Tabla4[[#This Row],[TOTAL COBERTURA]])</f>
        <v>1972740</v>
      </c>
      <c r="AV1058" s="35">
        <f>(VLOOKUP(Tabla4[[#This Row],[SERVICIO 2025]],$J$2:$V$14,3,0)*Tabla4[[#This Row],[TOTAL COBERTURA]])</f>
        <v>1972740</v>
      </c>
      <c r="AW1058" s="35">
        <f>(VLOOKUP(Tabla4[[#This Row],[SERVICIO 2025]],$J$2:$V$14,3,0)*Tabla4[[#This Row],[TOTAL COBERTURA]])</f>
        <v>1972740</v>
      </c>
      <c r="AX1058" s="35">
        <f>(VLOOKUP(Tabla4[[#This Row],[SERVICIO 2025]],$J$2:$V$14,3,0)*Tabla4[[#This Row],[TOTAL COBERTURA]])</f>
        <v>1972740</v>
      </c>
      <c r="AY1058" s="35">
        <f>(VLOOKUP(Tabla4[[#This Row],[SERVICIO 2025]],$J$2:$V$14,3,0)*Tabla4[[#This Row],[TOTAL COBERTURA]])</f>
        <v>1972740</v>
      </c>
      <c r="AZ1058" s="35">
        <f>(VLOOKUP(Tabla4[[#This Row],[SERVICIO 2025]],$J$2:$V$14,3,0)*Tabla4[[#This Row],[TOTAL COBERTURA]])</f>
        <v>1972740</v>
      </c>
      <c r="BA1058" s="35">
        <f>(VLOOKUP(Tabla4[[#This Row],[SERVICIO 2025]],$J$2:$V$14,3,0)*Tabla4[[#This Row],[TOTAL COBERTURA]])+Tabla4[[#This Row],[VALOR FASE PREPARATORIA DE CIERRE]]</f>
        <v>2388991</v>
      </c>
      <c r="BB1058" s="35">
        <f>SUM(Tabla4[[#This Row],[DESEMBOLSO 1]:[DESEMBOLSO 8]])</f>
        <v>16712355</v>
      </c>
      <c r="BC1058" s="35">
        <f>VLOOKUP(Tabla4[[#This Row],[SERVICIO 2025]],$J$2:$V$14,10,0)*Tabla4[[#This Row],[TOTAL COBERTURA]]*$W$3</f>
        <v>16572248</v>
      </c>
      <c r="BD1058" s="47" t="s">
        <v>211</v>
      </c>
      <c r="BE1058" s="12" t="b">
        <f>EXACT(Tabla4[[#This Row],[VALOR ATENCIÓN (8 MESES)]],Tabla4[[#This Row],[VALOR TOTAL]])</f>
        <v>1</v>
      </c>
      <c r="BF1058" s="23">
        <f>Tabla4[[#This Row],[VALOR ATENCIÓN (8 MESES)]]-Tabla4[[#This Row],[VALOR TOTAL]]</f>
        <v>0</v>
      </c>
      <c r="BG1058" s="12" t="b">
        <f>EXACT(Tabla4[[#This Row],[TOTAL DESEMBOLSOS]],Tabla4[[#This Row],[VALOR ATENCIÓN (8 MESES)]])</f>
        <v>1</v>
      </c>
      <c r="BH1058" s="29">
        <f>Tabla4[[#This Row],[TOTAL DESEMBOLSOS]]-Tabla4[[#This Row],[VALOR ATENCIÓN (8 MESES)]]</f>
        <v>0</v>
      </c>
      <c r="BI1058" t="s">
        <v>98</v>
      </c>
      <c r="BJ1058">
        <v>2000</v>
      </c>
    </row>
    <row r="1059" spans="1:62">
      <c r="A1059" s="13">
        <v>2000</v>
      </c>
      <c r="B1059" s="13" t="s">
        <v>2320</v>
      </c>
      <c r="C1059" s="12" t="s">
        <v>87</v>
      </c>
      <c r="D1059" s="12" t="s">
        <v>651</v>
      </c>
      <c r="E1059" s="12" t="s">
        <v>2321</v>
      </c>
      <c r="F1059" s="12" t="s">
        <v>21</v>
      </c>
      <c r="G1059" s="12" t="s">
        <v>90</v>
      </c>
      <c r="H1059" s="12" t="s">
        <v>2332</v>
      </c>
      <c r="I1059" s="12">
        <v>56791136380</v>
      </c>
      <c r="J1059" s="12" t="s">
        <v>2333</v>
      </c>
      <c r="K1059" s="12">
        <v>1</v>
      </c>
      <c r="L1059" s="12">
        <v>41</v>
      </c>
      <c r="M1059" s="12"/>
      <c r="N1059" s="13">
        <v>2000</v>
      </c>
      <c r="O1059" s="12" t="s">
        <v>93</v>
      </c>
      <c r="P1059" s="12"/>
      <c r="Q1059" s="12"/>
      <c r="R1059" s="12" t="s">
        <v>94</v>
      </c>
      <c r="S1059" s="12">
        <v>10</v>
      </c>
      <c r="T1059" s="12" t="s">
        <v>655</v>
      </c>
      <c r="U1059" s="12" t="s">
        <v>656</v>
      </c>
      <c r="V1059" s="12">
        <f>VLOOKUP(Tabla4[[#This Row],[ZONA DEFINITIVO]],Hoja1!$A$1:$D$121,3,0)</f>
        <v>229154</v>
      </c>
      <c r="W1059" s="12">
        <f>VLOOKUP(Tabla4[[#This Row],[ZONA DEFINITIVO]],Hoja1!$A$1:$D$121,2,0)</f>
        <v>15220</v>
      </c>
      <c r="X1059" s="12">
        <f>VLOOKUP(Tabla4[[#This Row],[ZONA DEFINITIVO]],Hoja1!$A$1:$D$121,4,0)</f>
        <v>87325</v>
      </c>
      <c r="Y1059" s="12" t="str">
        <f>+IF(Tabla4[[#This Row],[AGRUPACIONES]]=1,SUMIFS(Tabla4[UDS],Tabla4[ZONA DEFINITIVO],Tabla4[[#This Row],[ZONA DEFINITIVO]])," ")</f>
        <v xml:space="preserve"> </v>
      </c>
      <c r="Z1059" s="12" t="str">
        <f>+IF(Tabla4[[#This Row],[AGRUPACIONES]]=1,SUMIFS(Tabla4[TOTAL COBERTURA],Tabla4[ZONA DEFINITIVO],Tabla4[[#This Row],[ZONA DEFINITIVO]])," ")</f>
        <v xml:space="preserve"> </v>
      </c>
      <c r="AA1059" s="12"/>
      <c r="AB1059" s="38">
        <v>62291505</v>
      </c>
      <c r="AC1059" s="37">
        <v>0.02</v>
      </c>
      <c r="AD1059" s="38">
        <f t="shared" si="17"/>
        <v>1245830.1000000001</v>
      </c>
      <c r="AE1059" s="12"/>
      <c r="AF1059" s="12">
        <f>COUNTIF($A$20:A1059,A1059)</f>
        <v>6</v>
      </c>
      <c r="AG1059" s="38">
        <v>62291505</v>
      </c>
      <c r="AH1059" s="38">
        <f>Tabla4[[#This Row],[VALOR CONTRAPARTIDA]]+Tabla4[[#This Row],[TOTAL APORTES ICBF]]</f>
        <v>63537335.100000001</v>
      </c>
      <c r="AI1059" s="35"/>
      <c r="AJ1059" s="38"/>
      <c r="AK1059" s="38"/>
      <c r="AL1059" s="23"/>
      <c r="AM1059" s="35">
        <f>VLOOKUP(Tabla4[[#This Row],[SERVICIO 2025]],$J$2:$V$14,5,0)*Tabla4[[#This Row],[TOTAL COBERTURA]]</f>
        <v>1916504</v>
      </c>
      <c r="AN1059" s="35">
        <f>VLOOKUP(Tabla4[[#This Row],[SERVICIO 2025]],$J$2:$V$14,6,0)*Tabla4[[#This Row],[TOTAL COBERTURA]]</f>
        <v>1551481</v>
      </c>
      <c r="AO1059" s="35">
        <f>VLOOKUP(Tabla4[[#This Row],[SERVICIO 2025]],$J$2:$V$14,8,0)*Tabla4[[#This Row],[TOTAL COBERTURA]]</f>
        <v>0</v>
      </c>
      <c r="AP1059" s="35">
        <f>VLOOKUP(Tabla4[[#This Row],[SERVICIO 2025]],$J$2:$V$14,3,0)*Tabla4[[#This Row],[TOTAL COBERTURA]]*8</f>
        <v>58823520</v>
      </c>
      <c r="AQ1059" s="35"/>
      <c r="AR1059" s="35">
        <f>Tabla4[[#This Row],[VALOR FASE PREPARATORIA DE ALISTAMIENTO]]+Tabla4[[#This Row],[VALOR FASE PREPARATORIA DE CIERRE]]+Tabla4[[#This Row],[DOTACIÓN ÚNICA]]+Tabla4[[#This Row],[VALOR ATENCIÓN]]+Tabla4[[#This Row],[VALOR RACION PREPARADA]]</f>
        <v>62291505</v>
      </c>
      <c r="AS1059" s="35" t="str">
        <f>+IF(Tabla4[[#This Row],[AGRUPACIONES]]=1,SUMIFS(Tabla4[VALOR TOTAL],Tabla4[ZONA DEFINITIVO],Tabla4[[#This Row],[ZONA DEFINITIVO]])," ")</f>
        <v xml:space="preserve"> </v>
      </c>
      <c r="AT1059" s="27">
        <f>(VLOOKUP(Tabla4[[#This Row],[SERVICIO 2025]],$J$2:$V$14,3,0)*Tabla4[[#This Row],[TOTAL COBERTURA]])+Tabla4[[#This Row],[VALOR FASE PREPARATORIA DE ALISTAMIENTO]]+Tabla4[[#This Row],[DOTACIÓN ÚNICA]]</f>
        <v>9269444</v>
      </c>
      <c r="AU1059" s="35">
        <f>(VLOOKUP(Tabla4[[#This Row],[SERVICIO 2025]],$J$2:$V$14,3,0)*Tabla4[[#This Row],[TOTAL COBERTURA]])</f>
        <v>7352940</v>
      </c>
      <c r="AV1059" s="35">
        <f>(VLOOKUP(Tabla4[[#This Row],[SERVICIO 2025]],$J$2:$V$14,3,0)*Tabla4[[#This Row],[TOTAL COBERTURA]])</f>
        <v>7352940</v>
      </c>
      <c r="AW1059" s="35">
        <f>(VLOOKUP(Tabla4[[#This Row],[SERVICIO 2025]],$J$2:$V$14,3,0)*Tabla4[[#This Row],[TOTAL COBERTURA]])</f>
        <v>7352940</v>
      </c>
      <c r="AX1059" s="35">
        <f>(VLOOKUP(Tabla4[[#This Row],[SERVICIO 2025]],$J$2:$V$14,3,0)*Tabla4[[#This Row],[TOTAL COBERTURA]])</f>
        <v>7352940</v>
      </c>
      <c r="AY1059" s="35">
        <f>(VLOOKUP(Tabla4[[#This Row],[SERVICIO 2025]],$J$2:$V$14,3,0)*Tabla4[[#This Row],[TOTAL COBERTURA]])</f>
        <v>7352940</v>
      </c>
      <c r="AZ1059" s="35">
        <f>(VLOOKUP(Tabla4[[#This Row],[SERVICIO 2025]],$J$2:$V$14,3,0)*Tabla4[[#This Row],[TOTAL COBERTURA]])</f>
        <v>7352940</v>
      </c>
      <c r="BA1059" s="35">
        <f>(VLOOKUP(Tabla4[[#This Row],[SERVICIO 2025]],$J$2:$V$14,3,0)*Tabla4[[#This Row],[TOTAL COBERTURA]])+Tabla4[[#This Row],[VALOR FASE PREPARATORIA DE CIERRE]]</f>
        <v>8904421</v>
      </c>
      <c r="BB1059" s="35">
        <f>SUM(Tabla4[[#This Row],[DESEMBOLSO 1]:[DESEMBOLSO 8]])</f>
        <v>62291505</v>
      </c>
      <c r="BC1059" s="35">
        <f>VLOOKUP(Tabla4[[#This Row],[SERVICIO 2025]],$J$2:$V$14,10,0)*Tabla4[[#This Row],[TOTAL COBERTURA]]*$W$3</f>
        <v>61769288</v>
      </c>
      <c r="BD1059" s="47" t="s">
        <v>211</v>
      </c>
      <c r="BE1059" s="12" t="b">
        <f>EXACT(Tabla4[[#This Row],[VALOR ATENCIÓN (8 MESES)]],Tabla4[[#This Row],[VALOR TOTAL]])</f>
        <v>1</v>
      </c>
      <c r="BF1059" s="23">
        <f>Tabla4[[#This Row],[VALOR ATENCIÓN (8 MESES)]]-Tabla4[[#This Row],[VALOR TOTAL]]</f>
        <v>0</v>
      </c>
      <c r="BG1059" s="12" t="b">
        <f>EXACT(Tabla4[[#This Row],[TOTAL DESEMBOLSOS]],Tabla4[[#This Row],[VALOR ATENCIÓN (8 MESES)]])</f>
        <v>1</v>
      </c>
      <c r="BH1059" s="29">
        <f>Tabla4[[#This Row],[TOTAL DESEMBOLSOS]]-Tabla4[[#This Row],[VALOR ATENCIÓN (8 MESES)]]</f>
        <v>0</v>
      </c>
      <c r="BI1059" t="s">
        <v>98</v>
      </c>
      <c r="BJ1059">
        <v>2000</v>
      </c>
    </row>
    <row r="1060" spans="1:62">
      <c r="A1060" s="13">
        <v>2000</v>
      </c>
      <c r="B1060" s="13" t="s">
        <v>2320</v>
      </c>
      <c r="C1060" s="12" t="s">
        <v>87</v>
      </c>
      <c r="D1060" s="12" t="s">
        <v>651</v>
      </c>
      <c r="E1060" s="12" t="s">
        <v>2321</v>
      </c>
      <c r="F1060" s="12" t="s">
        <v>21</v>
      </c>
      <c r="G1060" s="12" t="s">
        <v>90</v>
      </c>
      <c r="H1060" s="12" t="s">
        <v>1299</v>
      </c>
      <c r="I1060" s="12">
        <v>56791136383</v>
      </c>
      <c r="J1060" s="12" t="s">
        <v>2334</v>
      </c>
      <c r="K1060" s="12">
        <v>1</v>
      </c>
      <c r="L1060" s="12">
        <v>15</v>
      </c>
      <c r="M1060" s="12"/>
      <c r="N1060" s="13">
        <v>2000</v>
      </c>
      <c r="O1060" s="12" t="s">
        <v>93</v>
      </c>
      <c r="P1060" s="12"/>
      <c r="Q1060" s="12"/>
      <c r="R1060" s="12" t="s">
        <v>94</v>
      </c>
      <c r="S1060" s="12">
        <v>10</v>
      </c>
      <c r="T1060" s="12" t="s">
        <v>655</v>
      </c>
      <c r="U1060" s="12" t="s">
        <v>656</v>
      </c>
      <c r="V1060" s="12">
        <f>VLOOKUP(Tabla4[[#This Row],[ZONA DEFINITIVO]],Hoja1!$A$1:$D$121,3,0)</f>
        <v>229154</v>
      </c>
      <c r="W1060" s="12">
        <f>VLOOKUP(Tabla4[[#This Row],[ZONA DEFINITIVO]],Hoja1!$A$1:$D$121,2,0)</f>
        <v>15220</v>
      </c>
      <c r="X1060" s="12">
        <f>VLOOKUP(Tabla4[[#This Row],[ZONA DEFINITIVO]],Hoja1!$A$1:$D$121,4,0)</f>
        <v>87325</v>
      </c>
      <c r="Y1060" s="12" t="str">
        <f>+IF(Tabla4[[#This Row],[AGRUPACIONES]]=1,SUMIFS(Tabla4[UDS],Tabla4[ZONA DEFINITIVO],Tabla4[[#This Row],[ZONA DEFINITIVO]])," ")</f>
        <v xml:space="preserve"> </v>
      </c>
      <c r="Z1060" s="12" t="str">
        <f>+IF(Tabla4[[#This Row],[AGRUPACIONES]]=1,SUMIFS(Tabla4[TOTAL COBERTURA],Tabla4[ZONA DEFINITIVO],Tabla4[[#This Row],[ZONA DEFINITIVO]])," ")</f>
        <v xml:space="preserve"> </v>
      </c>
      <c r="AA1060" s="12"/>
      <c r="AB1060" s="38">
        <v>22789575</v>
      </c>
      <c r="AC1060" s="37">
        <v>0.02</v>
      </c>
      <c r="AD1060" s="38">
        <f t="shared" si="17"/>
        <v>455791.5</v>
      </c>
      <c r="AE1060" s="12"/>
      <c r="AF1060" s="12">
        <f>COUNTIF($A$20:A1060,A1060)</f>
        <v>7</v>
      </c>
      <c r="AG1060" s="38">
        <v>22789575</v>
      </c>
      <c r="AH1060" s="38">
        <f>Tabla4[[#This Row],[VALOR CONTRAPARTIDA]]+Tabla4[[#This Row],[TOTAL APORTES ICBF]]</f>
        <v>23245366.5</v>
      </c>
      <c r="AI1060" s="35"/>
      <c r="AJ1060" s="38"/>
      <c r="AK1060" s="38"/>
      <c r="AL1060" s="23"/>
      <c r="AM1060" s="35">
        <f>VLOOKUP(Tabla4[[#This Row],[SERVICIO 2025]],$J$2:$V$14,5,0)*Tabla4[[#This Row],[TOTAL COBERTURA]]</f>
        <v>701160</v>
      </c>
      <c r="AN1060" s="35">
        <f>VLOOKUP(Tabla4[[#This Row],[SERVICIO 2025]],$J$2:$V$14,6,0)*Tabla4[[#This Row],[TOTAL COBERTURA]]</f>
        <v>567615</v>
      </c>
      <c r="AO1060" s="35">
        <f>VLOOKUP(Tabla4[[#This Row],[SERVICIO 2025]],$J$2:$V$14,8,0)*Tabla4[[#This Row],[TOTAL COBERTURA]]</f>
        <v>0</v>
      </c>
      <c r="AP1060" s="35">
        <f>VLOOKUP(Tabla4[[#This Row],[SERVICIO 2025]],$J$2:$V$14,3,0)*Tabla4[[#This Row],[TOTAL COBERTURA]]*8</f>
        <v>21520800</v>
      </c>
      <c r="AQ1060" s="35"/>
      <c r="AR1060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1060" s="35" t="str">
        <f>+IF(Tabla4[[#This Row],[AGRUPACIONES]]=1,SUMIFS(Tabla4[VALOR TOTAL],Tabla4[ZONA DEFINITIVO],Tabla4[[#This Row],[ZONA DEFINITIVO]])," ")</f>
        <v xml:space="preserve"> </v>
      </c>
      <c r="AT1060" s="27">
        <f>(VLOOKUP(Tabla4[[#This Row],[SERVICIO 2025]],$J$2:$V$14,3,0)*Tabla4[[#This Row],[TOTAL COBERTURA]])+Tabla4[[#This Row],[VALOR FASE PREPARATORIA DE ALISTAMIENTO]]+Tabla4[[#This Row],[DOTACIÓN ÚNICA]]</f>
        <v>3391260</v>
      </c>
      <c r="AU1060" s="35">
        <f>(VLOOKUP(Tabla4[[#This Row],[SERVICIO 2025]],$J$2:$V$14,3,0)*Tabla4[[#This Row],[TOTAL COBERTURA]])</f>
        <v>2690100</v>
      </c>
      <c r="AV1060" s="35">
        <f>(VLOOKUP(Tabla4[[#This Row],[SERVICIO 2025]],$J$2:$V$14,3,0)*Tabla4[[#This Row],[TOTAL COBERTURA]])</f>
        <v>2690100</v>
      </c>
      <c r="AW1060" s="35">
        <f>(VLOOKUP(Tabla4[[#This Row],[SERVICIO 2025]],$J$2:$V$14,3,0)*Tabla4[[#This Row],[TOTAL COBERTURA]])</f>
        <v>2690100</v>
      </c>
      <c r="AX1060" s="35">
        <f>(VLOOKUP(Tabla4[[#This Row],[SERVICIO 2025]],$J$2:$V$14,3,0)*Tabla4[[#This Row],[TOTAL COBERTURA]])</f>
        <v>2690100</v>
      </c>
      <c r="AY1060" s="35">
        <f>(VLOOKUP(Tabla4[[#This Row],[SERVICIO 2025]],$J$2:$V$14,3,0)*Tabla4[[#This Row],[TOTAL COBERTURA]])</f>
        <v>2690100</v>
      </c>
      <c r="AZ1060" s="35">
        <f>(VLOOKUP(Tabla4[[#This Row],[SERVICIO 2025]],$J$2:$V$14,3,0)*Tabla4[[#This Row],[TOTAL COBERTURA]])</f>
        <v>2690100</v>
      </c>
      <c r="BA1060" s="35">
        <f>(VLOOKUP(Tabla4[[#This Row],[SERVICIO 2025]],$J$2:$V$14,3,0)*Tabla4[[#This Row],[TOTAL COBERTURA]])+Tabla4[[#This Row],[VALOR FASE PREPARATORIA DE CIERRE]]</f>
        <v>3257715</v>
      </c>
      <c r="BB1060" s="35">
        <f>SUM(Tabla4[[#This Row],[DESEMBOLSO 1]:[DESEMBOLSO 8]])</f>
        <v>22789575</v>
      </c>
      <c r="BC1060" s="35">
        <f>VLOOKUP(Tabla4[[#This Row],[SERVICIO 2025]],$J$2:$V$14,10,0)*Tabla4[[#This Row],[TOTAL COBERTURA]]*$W$3</f>
        <v>22598520</v>
      </c>
      <c r="BD1060" s="47" t="s">
        <v>211</v>
      </c>
      <c r="BE1060" s="12" t="b">
        <f>EXACT(Tabla4[[#This Row],[VALOR ATENCIÓN (8 MESES)]],Tabla4[[#This Row],[VALOR TOTAL]])</f>
        <v>1</v>
      </c>
      <c r="BF1060" s="23">
        <f>Tabla4[[#This Row],[VALOR ATENCIÓN (8 MESES)]]-Tabla4[[#This Row],[VALOR TOTAL]]</f>
        <v>0</v>
      </c>
      <c r="BG1060" s="12" t="b">
        <f>EXACT(Tabla4[[#This Row],[TOTAL DESEMBOLSOS]],Tabla4[[#This Row],[VALOR ATENCIÓN (8 MESES)]])</f>
        <v>1</v>
      </c>
      <c r="BH1060" s="29">
        <f>Tabla4[[#This Row],[TOTAL DESEMBOLSOS]]-Tabla4[[#This Row],[VALOR ATENCIÓN (8 MESES)]]</f>
        <v>0</v>
      </c>
      <c r="BI1060" t="s">
        <v>98</v>
      </c>
      <c r="BJ1060">
        <v>2000</v>
      </c>
    </row>
    <row r="1061" spans="1:62">
      <c r="A1061" s="13">
        <v>2000</v>
      </c>
      <c r="B1061" s="13" t="s">
        <v>2320</v>
      </c>
      <c r="C1061" s="12" t="s">
        <v>87</v>
      </c>
      <c r="D1061" s="12" t="s">
        <v>651</v>
      </c>
      <c r="E1061" s="12" t="s">
        <v>2321</v>
      </c>
      <c r="F1061" s="12" t="s">
        <v>21</v>
      </c>
      <c r="G1061" s="12" t="s">
        <v>90</v>
      </c>
      <c r="H1061" s="12" t="s">
        <v>2335</v>
      </c>
      <c r="I1061" s="12">
        <v>56791136384</v>
      </c>
      <c r="J1061" s="12" t="s">
        <v>2336</v>
      </c>
      <c r="K1061" s="12">
        <v>1</v>
      </c>
      <c r="L1061" s="12">
        <v>15</v>
      </c>
      <c r="M1061" s="12"/>
      <c r="N1061" s="13">
        <v>2000</v>
      </c>
      <c r="O1061" s="12" t="s">
        <v>93</v>
      </c>
      <c r="P1061" s="12"/>
      <c r="Q1061" s="12"/>
      <c r="R1061" s="12" t="s">
        <v>94</v>
      </c>
      <c r="S1061" s="12">
        <v>10</v>
      </c>
      <c r="T1061" s="12" t="s">
        <v>655</v>
      </c>
      <c r="U1061" s="12" t="s">
        <v>656</v>
      </c>
      <c r="V1061" s="12">
        <f>VLOOKUP(Tabla4[[#This Row],[ZONA DEFINITIVO]],Hoja1!$A$1:$D$121,3,0)</f>
        <v>229154</v>
      </c>
      <c r="W1061" s="12">
        <f>VLOOKUP(Tabla4[[#This Row],[ZONA DEFINITIVO]],Hoja1!$A$1:$D$121,2,0)</f>
        <v>15220</v>
      </c>
      <c r="X1061" s="12">
        <f>VLOOKUP(Tabla4[[#This Row],[ZONA DEFINITIVO]],Hoja1!$A$1:$D$121,4,0)</f>
        <v>87325</v>
      </c>
      <c r="Y1061" s="12" t="str">
        <f>+IF(Tabla4[[#This Row],[AGRUPACIONES]]=1,SUMIFS(Tabla4[UDS],Tabla4[ZONA DEFINITIVO],Tabla4[[#This Row],[ZONA DEFINITIVO]])," ")</f>
        <v xml:space="preserve"> </v>
      </c>
      <c r="Z1061" s="12" t="str">
        <f>+IF(Tabla4[[#This Row],[AGRUPACIONES]]=1,SUMIFS(Tabla4[TOTAL COBERTURA],Tabla4[ZONA DEFINITIVO],Tabla4[[#This Row],[ZONA DEFINITIVO]])," ")</f>
        <v xml:space="preserve"> </v>
      </c>
      <c r="AA1061" s="12"/>
      <c r="AB1061" s="38">
        <v>22789575</v>
      </c>
      <c r="AC1061" s="37">
        <v>0.02</v>
      </c>
      <c r="AD1061" s="38">
        <f t="shared" si="17"/>
        <v>455791.5</v>
      </c>
      <c r="AE1061" s="12"/>
      <c r="AF1061" s="12">
        <f>COUNTIF($A$20:A1061,A1061)</f>
        <v>8</v>
      </c>
      <c r="AG1061" s="38">
        <v>22789575</v>
      </c>
      <c r="AH1061" s="38">
        <f>Tabla4[[#This Row],[VALOR CONTRAPARTIDA]]+Tabla4[[#This Row],[TOTAL APORTES ICBF]]</f>
        <v>23245366.5</v>
      </c>
      <c r="AI1061" s="35"/>
      <c r="AJ1061" s="38"/>
      <c r="AK1061" s="38"/>
      <c r="AL1061" s="23"/>
      <c r="AM1061" s="35">
        <f>VLOOKUP(Tabla4[[#This Row],[SERVICIO 2025]],$J$2:$V$14,5,0)*Tabla4[[#This Row],[TOTAL COBERTURA]]</f>
        <v>701160</v>
      </c>
      <c r="AN1061" s="35">
        <f>VLOOKUP(Tabla4[[#This Row],[SERVICIO 2025]],$J$2:$V$14,6,0)*Tabla4[[#This Row],[TOTAL COBERTURA]]</f>
        <v>567615</v>
      </c>
      <c r="AO1061" s="35">
        <f>VLOOKUP(Tabla4[[#This Row],[SERVICIO 2025]],$J$2:$V$14,8,0)*Tabla4[[#This Row],[TOTAL COBERTURA]]</f>
        <v>0</v>
      </c>
      <c r="AP1061" s="35">
        <f>VLOOKUP(Tabla4[[#This Row],[SERVICIO 2025]],$J$2:$V$14,3,0)*Tabla4[[#This Row],[TOTAL COBERTURA]]*8</f>
        <v>21520800</v>
      </c>
      <c r="AQ1061" s="35"/>
      <c r="AR1061" s="35">
        <f>Tabla4[[#This Row],[VALOR FASE PREPARATORIA DE ALISTAMIENTO]]+Tabla4[[#This Row],[VALOR FASE PREPARATORIA DE CIERRE]]+Tabla4[[#This Row],[DOTACIÓN ÚNICA]]+Tabla4[[#This Row],[VALOR ATENCIÓN]]+Tabla4[[#This Row],[VALOR RACION PREPARADA]]</f>
        <v>22789575</v>
      </c>
      <c r="AS1061" s="35" t="str">
        <f>+IF(Tabla4[[#This Row],[AGRUPACIONES]]=1,SUMIFS(Tabla4[VALOR TOTAL],Tabla4[ZONA DEFINITIVO],Tabla4[[#This Row],[ZONA DEFINITIVO]])," ")</f>
        <v xml:space="preserve"> </v>
      </c>
      <c r="AT1061" s="27">
        <f>(VLOOKUP(Tabla4[[#This Row],[SERVICIO 2025]],$J$2:$V$14,3,0)*Tabla4[[#This Row],[TOTAL COBERTURA]])+Tabla4[[#This Row],[VALOR FASE PREPARATORIA DE ALISTAMIENTO]]+Tabla4[[#This Row],[DOTACIÓN ÚNICA]]</f>
        <v>3391260</v>
      </c>
      <c r="AU1061" s="35">
        <f>(VLOOKUP(Tabla4[[#This Row],[SERVICIO 2025]],$J$2:$V$14,3,0)*Tabla4[[#This Row],[TOTAL COBERTURA]])</f>
        <v>2690100</v>
      </c>
      <c r="AV1061" s="35">
        <f>(VLOOKUP(Tabla4[[#This Row],[SERVICIO 2025]],$J$2:$V$14,3,0)*Tabla4[[#This Row],[TOTAL COBERTURA]])</f>
        <v>2690100</v>
      </c>
      <c r="AW1061" s="35">
        <f>(VLOOKUP(Tabla4[[#This Row],[SERVICIO 2025]],$J$2:$V$14,3,0)*Tabla4[[#This Row],[TOTAL COBERTURA]])</f>
        <v>2690100</v>
      </c>
      <c r="AX1061" s="35">
        <f>(VLOOKUP(Tabla4[[#This Row],[SERVICIO 2025]],$J$2:$V$14,3,0)*Tabla4[[#This Row],[TOTAL COBERTURA]])</f>
        <v>2690100</v>
      </c>
      <c r="AY1061" s="35">
        <f>(VLOOKUP(Tabla4[[#This Row],[SERVICIO 2025]],$J$2:$V$14,3,0)*Tabla4[[#This Row],[TOTAL COBERTURA]])</f>
        <v>2690100</v>
      </c>
      <c r="AZ1061" s="35">
        <f>(VLOOKUP(Tabla4[[#This Row],[SERVICIO 2025]],$J$2:$V$14,3,0)*Tabla4[[#This Row],[TOTAL COBERTURA]])</f>
        <v>2690100</v>
      </c>
      <c r="BA1061" s="35">
        <f>(VLOOKUP(Tabla4[[#This Row],[SERVICIO 2025]],$J$2:$V$14,3,0)*Tabla4[[#This Row],[TOTAL COBERTURA]])+Tabla4[[#This Row],[VALOR FASE PREPARATORIA DE CIERRE]]</f>
        <v>3257715</v>
      </c>
      <c r="BB1061" s="35">
        <f>SUM(Tabla4[[#This Row],[DESEMBOLSO 1]:[DESEMBOLSO 8]])</f>
        <v>22789575</v>
      </c>
      <c r="BC1061" s="35">
        <f>VLOOKUP(Tabla4[[#This Row],[SERVICIO 2025]],$J$2:$V$14,10,0)*Tabla4[[#This Row],[TOTAL COBERTURA]]*$W$3</f>
        <v>22598520</v>
      </c>
      <c r="BD1061" s="47" t="s">
        <v>211</v>
      </c>
      <c r="BE1061" s="12" t="b">
        <f>EXACT(Tabla4[[#This Row],[VALOR ATENCIÓN (8 MESES)]],Tabla4[[#This Row],[VALOR TOTAL]])</f>
        <v>1</v>
      </c>
      <c r="BF1061" s="23">
        <f>Tabla4[[#This Row],[VALOR ATENCIÓN (8 MESES)]]-Tabla4[[#This Row],[VALOR TOTAL]]</f>
        <v>0</v>
      </c>
      <c r="BG1061" s="12" t="b">
        <f>EXACT(Tabla4[[#This Row],[TOTAL DESEMBOLSOS]],Tabla4[[#This Row],[VALOR ATENCIÓN (8 MESES)]])</f>
        <v>1</v>
      </c>
      <c r="BH1061" s="29">
        <f>Tabla4[[#This Row],[TOTAL DESEMBOLSOS]]-Tabla4[[#This Row],[VALOR ATENCIÓN (8 MESES)]]</f>
        <v>0</v>
      </c>
      <c r="BI1061" t="s">
        <v>98</v>
      </c>
      <c r="BJ1061">
        <v>2000</v>
      </c>
    </row>
    <row r="1062" spans="1:62">
      <c r="A1062" s="13">
        <v>2000</v>
      </c>
      <c r="B1062" s="13" t="s">
        <v>2320</v>
      </c>
      <c r="C1062" s="12" t="s">
        <v>87</v>
      </c>
      <c r="D1062" s="12" t="s">
        <v>651</v>
      </c>
      <c r="E1062" s="12" t="s">
        <v>2321</v>
      </c>
      <c r="F1062" s="12" t="s">
        <v>21</v>
      </c>
      <c r="G1062" s="12" t="s">
        <v>90</v>
      </c>
      <c r="H1062" s="12" t="s">
        <v>2337</v>
      </c>
      <c r="I1062" s="12">
        <v>56791136398</v>
      </c>
      <c r="J1062" s="12" t="s">
        <v>2338</v>
      </c>
      <c r="K1062" s="12">
        <v>1</v>
      </c>
      <c r="L1062" s="12">
        <v>12</v>
      </c>
      <c r="M1062" s="12"/>
      <c r="N1062" s="13">
        <v>2000</v>
      </c>
      <c r="O1062" s="12" t="s">
        <v>93</v>
      </c>
      <c r="P1062" s="12"/>
      <c r="Q1062" s="12"/>
      <c r="R1062" s="12" t="s">
        <v>94</v>
      </c>
      <c r="S1062" s="12">
        <v>10</v>
      </c>
      <c r="T1062" s="12" t="s">
        <v>655</v>
      </c>
      <c r="U1062" s="12" t="s">
        <v>656</v>
      </c>
      <c r="V1062" s="12">
        <f>VLOOKUP(Tabla4[[#This Row],[ZONA DEFINITIVO]],Hoja1!$A$1:$D$121,3,0)</f>
        <v>229154</v>
      </c>
      <c r="W1062" s="12">
        <f>VLOOKUP(Tabla4[[#This Row],[ZONA DEFINITIVO]],Hoja1!$A$1:$D$121,2,0)</f>
        <v>15220</v>
      </c>
      <c r="X1062" s="12">
        <f>VLOOKUP(Tabla4[[#This Row],[ZONA DEFINITIVO]],Hoja1!$A$1:$D$121,4,0)</f>
        <v>87325</v>
      </c>
      <c r="Y1062" s="12" t="str">
        <f>+IF(Tabla4[[#This Row],[AGRUPACIONES]]=1,SUMIFS(Tabla4[UDS],Tabla4[ZONA DEFINITIVO],Tabla4[[#This Row],[ZONA DEFINITIVO]])," ")</f>
        <v xml:space="preserve"> </v>
      </c>
      <c r="Z1062" s="12" t="str">
        <f>+IF(Tabla4[[#This Row],[AGRUPACIONES]]=1,SUMIFS(Tabla4[TOTAL COBERTURA],Tabla4[ZONA DEFINITIVO],Tabla4[[#This Row],[ZONA DEFINITIVO]])," ")</f>
        <v xml:space="preserve"> </v>
      </c>
      <c r="AA1062" s="12"/>
      <c r="AB1062" s="38">
        <v>18231660</v>
      </c>
      <c r="AC1062" s="37">
        <v>0.02</v>
      </c>
      <c r="AD1062" s="38">
        <f t="shared" si="17"/>
        <v>364633.2</v>
      </c>
      <c r="AE1062" s="12"/>
      <c r="AF1062" s="12">
        <f>COUNTIF($A$20:A1062,A1062)</f>
        <v>9</v>
      </c>
      <c r="AG1062" s="38">
        <v>18231660</v>
      </c>
      <c r="AH1062" s="38">
        <f>Tabla4[[#This Row],[VALOR CONTRAPARTIDA]]+Tabla4[[#This Row],[TOTAL APORTES ICBF]]</f>
        <v>18596293.199999999</v>
      </c>
      <c r="AI1062" s="35"/>
      <c r="AJ1062" s="38"/>
      <c r="AK1062" s="38"/>
      <c r="AL1062" s="23"/>
      <c r="AM1062" s="35">
        <f>VLOOKUP(Tabla4[[#This Row],[SERVICIO 2025]],$J$2:$V$14,5,0)*Tabla4[[#This Row],[TOTAL COBERTURA]]</f>
        <v>560928</v>
      </c>
      <c r="AN1062" s="35">
        <f>VLOOKUP(Tabla4[[#This Row],[SERVICIO 2025]],$J$2:$V$14,6,0)*Tabla4[[#This Row],[TOTAL COBERTURA]]</f>
        <v>454092</v>
      </c>
      <c r="AO1062" s="35">
        <f>VLOOKUP(Tabla4[[#This Row],[SERVICIO 2025]],$J$2:$V$14,8,0)*Tabla4[[#This Row],[TOTAL COBERTURA]]</f>
        <v>0</v>
      </c>
      <c r="AP1062" s="35">
        <f>VLOOKUP(Tabla4[[#This Row],[SERVICIO 2025]],$J$2:$V$14,3,0)*Tabla4[[#This Row],[TOTAL COBERTURA]]*8</f>
        <v>17216640</v>
      </c>
      <c r="AQ1062" s="35"/>
      <c r="AR1062" s="35">
        <f>Tabla4[[#This Row],[VALOR FASE PREPARATORIA DE ALISTAMIENTO]]+Tabla4[[#This Row],[VALOR FASE PREPARATORIA DE CIERRE]]+Tabla4[[#This Row],[DOTACIÓN ÚNICA]]+Tabla4[[#This Row],[VALOR ATENCIÓN]]+Tabla4[[#This Row],[VALOR RACION PREPARADA]]</f>
        <v>18231660</v>
      </c>
      <c r="AS1062" s="35" t="str">
        <f>+IF(Tabla4[[#This Row],[AGRUPACIONES]]=1,SUMIFS(Tabla4[VALOR TOTAL],Tabla4[ZONA DEFINITIVO],Tabla4[[#This Row],[ZONA DEFINITIVO]])," ")</f>
        <v xml:space="preserve"> </v>
      </c>
      <c r="AT1062" s="27">
        <f>(VLOOKUP(Tabla4[[#This Row],[SERVICIO 2025]],$J$2:$V$14,3,0)*Tabla4[[#This Row],[TOTAL COBERTURA]])+Tabla4[[#This Row],[VALOR FASE PREPARATORIA DE ALISTAMIENTO]]+Tabla4[[#This Row],[DOTACIÓN ÚNICA]]</f>
        <v>2713008</v>
      </c>
      <c r="AU1062" s="35">
        <f>(VLOOKUP(Tabla4[[#This Row],[SERVICIO 2025]],$J$2:$V$14,3,0)*Tabla4[[#This Row],[TOTAL COBERTURA]])</f>
        <v>2152080</v>
      </c>
      <c r="AV1062" s="35">
        <f>(VLOOKUP(Tabla4[[#This Row],[SERVICIO 2025]],$J$2:$V$14,3,0)*Tabla4[[#This Row],[TOTAL COBERTURA]])</f>
        <v>2152080</v>
      </c>
      <c r="AW1062" s="35">
        <f>(VLOOKUP(Tabla4[[#This Row],[SERVICIO 2025]],$J$2:$V$14,3,0)*Tabla4[[#This Row],[TOTAL COBERTURA]])</f>
        <v>2152080</v>
      </c>
      <c r="AX1062" s="35">
        <f>(VLOOKUP(Tabla4[[#This Row],[SERVICIO 2025]],$J$2:$V$14,3,0)*Tabla4[[#This Row],[TOTAL COBERTURA]])</f>
        <v>2152080</v>
      </c>
      <c r="AY1062" s="35">
        <f>(VLOOKUP(Tabla4[[#This Row],[SERVICIO 2025]],$J$2:$V$14,3,0)*Tabla4[[#This Row],[TOTAL COBERTURA]])</f>
        <v>2152080</v>
      </c>
      <c r="AZ1062" s="35">
        <f>(VLOOKUP(Tabla4[[#This Row],[SERVICIO 2025]],$J$2:$V$14,3,0)*Tabla4[[#This Row],[TOTAL COBERTURA]])</f>
        <v>2152080</v>
      </c>
      <c r="BA1062" s="35">
        <f>(VLOOKUP(Tabla4[[#This Row],[SERVICIO 2025]],$J$2:$V$14,3,0)*Tabla4[[#This Row],[TOTAL COBERTURA]])+Tabla4[[#This Row],[VALOR FASE PREPARATORIA DE CIERRE]]</f>
        <v>2606172</v>
      </c>
      <c r="BB1062" s="35">
        <f>SUM(Tabla4[[#This Row],[DESEMBOLSO 1]:[DESEMBOLSO 8]])</f>
        <v>18231660</v>
      </c>
      <c r="BC1062" s="35">
        <f>VLOOKUP(Tabla4[[#This Row],[SERVICIO 2025]],$J$2:$V$14,10,0)*Tabla4[[#This Row],[TOTAL COBERTURA]]*$W$3</f>
        <v>18078816</v>
      </c>
      <c r="BD1062" s="47" t="s">
        <v>211</v>
      </c>
      <c r="BE1062" s="12" t="b">
        <f>EXACT(Tabla4[[#This Row],[VALOR ATENCIÓN (8 MESES)]],Tabla4[[#This Row],[VALOR TOTAL]])</f>
        <v>1</v>
      </c>
      <c r="BF1062" s="23">
        <f>Tabla4[[#This Row],[VALOR ATENCIÓN (8 MESES)]]-Tabla4[[#This Row],[VALOR TOTAL]]</f>
        <v>0</v>
      </c>
      <c r="BG1062" s="12" t="b">
        <f>EXACT(Tabla4[[#This Row],[TOTAL DESEMBOLSOS]],Tabla4[[#This Row],[VALOR ATENCIÓN (8 MESES)]])</f>
        <v>1</v>
      </c>
      <c r="BH1062" s="29">
        <f>Tabla4[[#This Row],[TOTAL DESEMBOLSOS]]-Tabla4[[#This Row],[VALOR ATENCIÓN (8 MESES)]]</f>
        <v>0</v>
      </c>
      <c r="BI1062" t="s">
        <v>98</v>
      </c>
      <c r="BJ1062">
        <v>2000</v>
      </c>
    </row>
    <row r="1063" spans="1:62">
      <c r="A1063" s="13">
        <v>2000</v>
      </c>
      <c r="B1063" s="13" t="s">
        <v>2320</v>
      </c>
      <c r="C1063" s="12" t="s">
        <v>87</v>
      </c>
      <c r="D1063" s="12" t="s">
        <v>651</v>
      </c>
      <c r="E1063" s="12" t="s">
        <v>2321</v>
      </c>
      <c r="F1063" s="12" t="s">
        <v>21</v>
      </c>
      <c r="G1063" s="12" t="s">
        <v>90</v>
      </c>
      <c r="H1063" s="12" t="s">
        <v>567</v>
      </c>
      <c r="I1063" s="12">
        <v>56791136401</v>
      </c>
      <c r="J1063" s="12" t="s">
        <v>2339</v>
      </c>
      <c r="K1063" s="12">
        <v>1</v>
      </c>
      <c r="L1063" s="12">
        <v>10</v>
      </c>
      <c r="M1063" s="12"/>
      <c r="N1063" s="13">
        <v>2000</v>
      </c>
      <c r="O1063" s="12" t="s">
        <v>93</v>
      </c>
      <c r="P1063" s="12"/>
      <c r="Q1063" s="12"/>
      <c r="R1063" s="12" t="s">
        <v>94</v>
      </c>
      <c r="S1063" s="12">
        <v>10</v>
      </c>
      <c r="T1063" s="12" t="s">
        <v>655</v>
      </c>
      <c r="U1063" s="12" t="s">
        <v>656</v>
      </c>
      <c r="V1063" s="12">
        <f>VLOOKUP(Tabla4[[#This Row],[ZONA DEFINITIVO]],Hoja1!$A$1:$D$121,3,0)</f>
        <v>229154</v>
      </c>
      <c r="W1063" s="12">
        <f>VLOOKUP(Tabla4[[#This Row],[ZONA DEFINITIVO]],Hoja1!$A$1:$D$121,2,0)</f>
        <v>15220</v>
      </c>
      <c r="X1063" s="12">
        <f>VLOOKUP(Tabla4[[#This Row],[ZONA DEFINITIVO]],Hoja1!$A$1:$D$121,4,0)</f>
        <v>87325</v>
      </c>
      <c r="Y1063" s="12" t="str">
        <f>+IF(Tabla4[[#This Row],[AGRUPACIONES]]=1,SUMIFS(Tabla4[UDS],Tabla4[ZONA DEFINITIVO],Tabla4[[#This Row],[ZONA DEFINITIVO]])," ")</f>
        <v xml:space="preserve"> </v>
      </c>
      <c r="Z1063" s="12" t="str">
        <f>+IF(Tabla4[[#This Row],[AGRUPACIONES]]=1,SUMIFS(Tabla4[TOTAL COBERTURA],Tabla4[ZONA DEFINITIVO],Tabla4[[#This Row],[ZONA DEFINITIVO]])," ")</f>
        <v xml:space="preserve"> </v>
      </c>
      <c r="AA1063" s="12"/>
      <c r="AB1063" s="38">
        <v>15193050</v>
      </c>
      <c r="AC1063" s="37">
        <v>0.02</v>
      </c>
      <c r="AD1063" s="38">
        <f t="shared" si="17"/>
        <v>303861</v>
      </c>
      <c r="AE1063" s="12"/>
      <c r="AF1063" s="12">
        <f>COUNTIF($A$20:A1063,A1063)</f>
        <v>10</v>
      </c>
      <c r="AG1063" s="38">
        <v>15193050</v>
      </c>
      <c r="AH1063" s="38">
        <f>Tabla4[[#This Row],[VALOR CONTRAPARTIDA]]+Tabla4[[#This Row],[TOTAL APORTES ICBF]]</f>
        <v>15496911</v>
      </c>
      <c r="AI1063" s="35"/>
      <c r="AJ1063" s="38"/>
      <c r="AK1063" s="38"/>
      <c r="AL1063" s="23"/>
      <c r="AM1063" s="35">
        <f>VLOOKUP(Tabla4[[#This Row],[SERVICIO 2025]],$J$2:$V$14,5,0)*Tabla4[[#This Row],[TOTAL COBERTURA]]</f>
        <v>467440</v>
      </c>
      <c r="AN1063" s="35">
        <f>VLOOKUP(Tabla4[[#This Row],[SERVICIO 2025]],$J$2:$V$14,6,0)*Tabla4[[#This Row],[TOTAL COBERTURA]]</f>
        <v>378410</v>
      </c>
      <c r="AO1063" s="35">
        <f>VLOOKUP(Tabla4[[#This Row],[SERVICIO 2025]],$J$2:$V$14,8,0)*Tabla4[[#This Row],[TOTAL COBERTURA]]</f>
        <v>0</v>
      </c>
      <c r="AP1063" s="35">
        <f>VLOOKUP(Tabla4[[#This Row],[SERVICIO 2025]],$J$2:$V$14,3,0)*Tabla4[[#This Row],[TOTAL COBERTURA]]*8</f>
        <v>14347200</v>
      </c>
      <c r="AQ1063" s="35"/>
      <c r="AR1063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</v>
      </c>
      <c r="AS1063" s="35" t="str">
        <f>+IF(Tabla4[[#This Row],[AGRUPACIONES]]=1,SUMIFS(Tabla4[VALOR TOTAL],Tabla4[ZONA DEFINITIVO],Tabla4[[#This Row],[ZONA DEFINITIVO]])," ")</f>
        <v xml:space="preserve"> </v>
      </c>
      <c r="AT1063" s="27">
        <f>(VLOOKUP(Tabla4[[#This Row],[SERVICIO 2025]],$J$2:$V$14,3,0)*Tabla4[[#This Row],[TOTAL COBERTURA]])+Tabla4[[#This Row],[VALOR FASE PREPARATORIA DE ALISTAMIENTO]]+Tabla4[[#This Row],[DOTACIÓN ÚNICA]]</f>
        <v>2260840</v>
      </c>
      <c r="AU1063" s="35">
        <f>(VLOOKUP(Tabla4[[#This Row],[SERVICIO 2025]],$J$2:$V$14,3,0)*Tabla4[[#This Row],[TOTAL COBERTURA]])</f>
        <v>1793400</v>
      </c>
      <c r="AV1063" s="35">
        <f>(VLOOKUP(Tabla4[[#This Row],[SERVICIO 2025]],$J$2:$V$14,3,0)*Tabla4[[#This Row],[TOTAL COBERTURA]])</f>
        <v>1793400</v>
      </c>
      <c r="AW1063" s="35">
        <f>(VLOOKUP(Tabla4[[#This Row],[SERVICIO 2025]],$J$2:$V$14,3,0)*Tabla4[[#This Row],[TOTAL COBERTURA]])</f>
        <v>1793400</v>
      </c>
      <c r="AX1063" s="35">
        <f>(VLOOKUP(Tabla4[[#This Row],[SERVICIO 2025]],$J$2:$V$14,3,0)*Tabla4[[#This Row],[TOTAL COBERTURA]])</f>
        <v>1793400</v>
      </c>
      <c r="AY1063" s="35">
        <f>(VLOOKUP(Tabla4[[#This Row],[SERVICIO 2025]],$J$2:$V$14,3,0)*Tabla4[[#This Row],[TOTAL COBERTURA]])</f>
        <v>1793400</v>
      </c>
      <c r="AZ1063" s="35">
        <f>(VLOOKUP(Tabla4[[#This Row],[SERVICIO 2025]],$J$2:$V$14,3,0)*Tabla4[[#This Row],[TOTAL COBERTURA]])</f>
        <v>1793400</v>
      </c>
      <c r="BA1063" s="35">
        <f>(VLOOKUP(Tabla4[[#This Row],[SERVICIO 2025]],$J$2:$V$14,3,0)*Tabla4[[#This Row],[TOTAL COBERTURA]])+Tabla4[[#This Row],[VALOR FASE PREPARATORIA DE CIERRE]]</f>
        <v>2171810</v>
      </c>
      <c r="BB1063" s="35">
        <f>SUM(Tabla4[[#This Row],[DESEMBOLSO 1]:[DESEMBOLSO 8]])</f>
        <v>15193050</v>
      </c>
      <c r="BC1063" s="35">
        <f>VLOOKUP(Tabla4[[#This Row],[SERVICIO 2025]],$J$2:$V$14,10,0)*Tabla4[[#This Row],[TOTAL COBERTURA]]*$W$3</f>
        <v>15065680</v>
      </c>
      <c r="BD1063" s="47" t="s">
        <v>211</v>
      </c>
      <c r="BE1063" s="12" t="b">
        <f>EXACT(Tabla4[[#This Row],[VALOR ATENCIÓN (8 MESES)]],Tabla4[[#This Row],[VALOR TOTAL]])</f>
        <v>1</v>
      </c>
      <c r="BF1063" s="23">
        <f>Tabla4[[#This Row],[VALOR ATENCIÓN (8 MESES)]]-Tabla4[[#This Row],[VALOR TOTAL]]</f>
        <v>0</v>
      </c>
      <c r="BG1063" s="12" t="b">
        <f>EXACT(Tabla4[[#This Row],[TOTAL DESEMBOLSOS]],Tabla4[[#This Row],[VALOR ATENCIÓN (8 MESES)]])</f>
        <v>1</v>
      </c>
      <c r="BH1063" s="29">
        <f>Tabla4[[#This Row],[TOTAL DESEMBOLSOS]]-Tabla4[[#This Row],[VALOR ATENCIÓN (8 MESES)]]</f>
        <v>0</v>
      </c>
      <c r="BI1063" t="s">
        <v>98</v>
      </c>
      <c r="BJ1063">
        <v>2000</v>
      </c>
    </row>
    <row r="1064" spans="1:62">
      <c r="A1064" s="13">
        <v>2000</v>
      </c>
      <c r="B1064" s="13" t="s">
        <v>2320</v>
      </c>
      <c r="C1064" s="12" t="s">
        <v>87</v>
      </c>
      <c r="D1064" s="12" t="s">
        <v>651</v>
      </c>
      <c r="E1064" s="12" t="s">
        <v>2321</v>
      </c>
      <c r="F1064" s="12" t="s">
        <v>21</v>
      </c>
      <c r="G1064" s="12" t="s">
        <v>90</v>
      </c>
      <c r="H1064" s="12" t="s">
        <v>2340</v>
      </c>
      <c r="I1064" s="12">
        <v>56791147383</v>
      </c>
      <c r="J1064" s="12" t="s">
        <v>2341</v>
      </c>
      <c r="K1064" s="12">
        <v>1</v>
      </c>
      <c r="L1064" s="12">
        <v>23</v>
      </c>
      <c r="M1064" s="12"/>
      <c r="N1064" s="13">
        <v>2000</v>
      </c>
      <c r="O1064" s="12" t="s">
        <v>93</v>
      </c>
      <c r="P1064" s="12"/>
      <c r="Q1064" s="12"/>
      <c r="R1064" s="12" t="s">
        <v>94</v>
      </c>
      <c r="S1064" s="12">
        <v>10</v>
      </c>
      <c r="T1064" s="12" t="s">
        <v>655</v>
      </c>
      <c r="U1064" s="12" t="s">
        <v>656</v>
      </c>
      <c r="V1064" s="12">
        <f>VLOOKUP(Tabla4[[#This Row],[ZONA DEFINITIVO]],Hoja1!$A$1:$D$121,3,0)</f>
        <v>229154</v>
      </c>
      <c r="W1064" s="12">
        <f>VLOOKUP(Tabla4[[#This Row],[ZONA DEFINITIVO]],Hoja1!$A$1:$D$121,2,0)</f>
        <v>15220</v>
      </c>
      <c r="X1064" s="12">
        <f>VLOOKUP(Tabla4[[#This Row],[ZONA DEFINITIVO]],Hoja1!$A$1:$D$121,4,0)</f>
        <v>87325</v>
      </c>
      <c r="Y1064" s="12" t="str">
        <f>+IF(Tabla4[[#This Row],[AGRUPACIONES]]=1,SUMIFS(Tabla4[UDS],Tabla4[ZONA DEFINITIVO],Tabla4[[#This Row],[ZONA DEFINITIVO]])," ")</f>
        <v xml:space="preserve"> </v>
      </c>
      <c r="Z1064" s="12" t="str">
        <f>+IF(Tabla4[[#This Row],[AGRUPACIONES]]=1,SUMIFS(Tabla4[TOTAL COBERTURA],Tabla4[ZONA DEFINITIVO],Tabla4[[#This Row],[ZONA DEFINITIVO]])," ")</f>
        <v xml:space="preserve"> </v>
      </c>
      <c r="AA1064" s="12"/>
      <c r="AB1064" s="38">
        <v>34944015</v>
      </c>
      <c r="AC1064" s="37">
        <v>0.02</v>
      </c>
      <c r="AD1064" s="38">
        <f t="shared" si="17"/>
        <v>698880.3</v>
      </c>
      <c r="AE1064" s="12"/>
      <c r="AF1064" s="12">
        <f>COUNTIF($A$20:A1064,A1064)</f>
        <v>11</v>
      </c>
      <c r="AG1064" s="38">
        <v>34944015</v>
      </c>
      <c r="AH1064" s="38">
        <f>Tabla4[[#This Row],[VALOR CONTRAPARTIDA]]+Tabla4[[#This Row],[TOTAL APORTES ICBF]]</f>
        <v>35642895.299999997</v>
      </c>
      <c r="AI1064" s="35"/>
      <c r="AJ1064" s="38"/>
      <c r="AK1064" s="38"/>
      <c r="AL1064" s="23"/>
      <c r="AM1064" s="35">
        <f>VLOOKUP(Tabla4[[#This Row],[SERVICIO 2025]],$J$2:$V$14,5,0)*Tabla4[[#This Row],[TOTAL COBERTURA]]</f>
        <v>1075112</v>
      </c>
      <c r="AN1064" s="35">
        <f>VLOOKUP(Tabla4[[#This Row],[SERVICIO 2025]],$J$2:$V$14,6,0)*Tabla4[[#This Row],[TOTAL COBERTURA]]</f>
        <v>870343</v>
      </c>
      <c r="AO1064" s="35">
        <f>VLOOKUP(Tabla4[[#This Row],[SERVICIO 2025]],$J$2:$V$14,8,0)*Tabla4[[#This Row],[TOTAL COBERTURA]]</f>
        <v>0</v>
      </c>
      <c r="AP1064" s="35">
        <f>VLOOKUP(Tabla4[[#This Row],[SERVICIO 2025]],$J$2:$V$14,3,0)*Tabla4[[#This Row],[TOTAL COBERTURA]]*8</f>
        <v>32998560</v>
      </c>
      <c r="AQ1064" s="35"/>
      <c r="AR1064" s="35">
        <f>Tabla4[[#This Row],[VALOR FASE PREPARATORIA DE ALISTAMIENTO]]+Tabla4[[#This Row],[VALOR FASE PREPARATORIA DE CIERRE]]+Tabla4[[#This Row],[DOTACIÓN ÚNICA]]+Tabla4[[#This Row],[VALOR ATENCIÓN]]+Tabla4[[#This Row],[VALOR RACION PREPARADA]]</f>
        <v>34944015</v>
      </c>
      <c r="AS1064" s="35" t="str">
        <f>+IF(Tabla4[[#This Row],[AGRUPACIONES]]=1,SUMIFS(Tabla4[VALOR TOTAL],Tabla4[ZONA DEFINITIVO],Tabla4[[#This Row],[ZONA DEFINITIVO]])," ")</f>
        <v xml:space="preserve"> </v>
      </c>
      <c r="AT1064" s="27">
        <f>(VLOOKUP(Tabla4[[#This Row],[SERVICIO 2025]],$J$2:$V$14,3,0)*Tabla4[[#This Row],[TOTAL COBERTURA]])+Tabla4[[#This Row],[VALOR FASE PREPARATORIA DE ALISTAMIENTO]]+Tabla4[[#This Row],[DOTACIÓN ÚNICA]]</f>
        <v>5199932</v>
      </c>
      <c r="AU1064" s="35">
        <f>(VLOOKUP(Tabla4[[#This Row],[SERVICIO 2025]],$J$2:$V$14,3,0)*Tabla4[[#This Row],[TOTAL COBERTURA]])</f>
        <v>4124820</v>
      </c>
      <c r="AV1064" s="35">
        <f>(VLOOKUP(Tabla4[[#This Row],[SERVICIO 2025]],$J$2:$V$14,3,0)*Tabla4[[#This Row],[TOTAL COBERTURA]])</f>
        <v>4124820</v>
      </c>
      <c r="AW1064" s="35">
        <f>(VLOOKUP(Tabla4[[#This Row],[SERVICIO 2025]],$J$2:$V$14,3,0)*Tabla4[[#This Row],[TOTAL COBERTURA]])</f>
        <v>4124820</v>
      </c>
      <c r="AX1064" s="35">
        <f>(VLOOKUP(Tabla4[[#This Row],[SERVICIO 2025]],$J$2:$V$14,3,0)*Tabla4[[#This Row],[TOTAL COBERTURA]])</f>
        <v>4124820</v>
      </c>
      <c r="AY1064" s="35">
        <f>(VLOOKUP(Tabla4[[#This Row],[SERVICIO 2025]],$J$2:$V$14,3,0)*Tabla4[[#This Row],[TOTAL COBERTURA]])</f>
        <v>4124820</v>
      </c>
      <c r="AZ1064" s="35">
        <f>(VLOOKUP(Tabla4[[#This Row],[SERVICIO 2025]],$J$2:$V$14,3,0)*Tabla4[[#This Row],[TOTAL COBERTURA]])</f>
        <v>4124820</v>
      </c>
      <c r="BA1064" s="35">
        <f>(VLOOKUP(Tabla4[[#This Row],[SERVICIO 2025]],$J$2:$V$14,3,0)*Tabla4[[#This Row],[TOTAL COBERTURA]])+Tabla4[[#This Row],[VALOR FASE PREPARATORIA DE CIERRE]]</f>
        <v>4995163</v>
      </c>
      <c r="BB1064" s="35">
        <f>SUM(Tabla4[[#This Row],[DESEMBOLSO 1]:[DESEMBOLSO 8]])</f>
        <v>34944015</v>
      </c>
      <c r="BC1064" s="35">
        <f>VLOOKUP(Tabla4[[#This Row],[SERVICIO 2025]],$J$2:$V$14,10,0)*Tabla4[[#This Row],[TOTAL COBERTURA]]*$W$3</f>
        <v>34651064</v>
      </c>
      <c r="BD1064" s="47" t="s">
        <v>211</v>
      </c>
      <c r="BE1064" s="12" t="b">
        <f>EXACT(Tabla4[[#This Row],[VALOR ATENCIÓN (8 MESES)]],Tabla4[[#This Row],[VALOR TOTAL]])</f>
        <v>1</v>
      </c>
      <c r="BF1064" s="23">
        <f>Tabla4[[#This Row],[VALOR ATENCIÓN (8 MESES)]]-Tabla4[[#This Row],[VALOR TOTAL]]</f>
        <v>0</v>
      </c>
      <c r="BG1064" s="12" t="b">
        <f>EXACT(Tabla4[[#This Row],[TOTAL DESEMBOLSOS]],Tabla4[[#This Row],[VALOR ATENCIÓN (8 MESES)]])</f>
        <v>1</v>
      </c>
      <c r="BH1064" s="29">
        <f>Tabla4[[#This Row],[TOTAL DESEMBOLSOS]]-Tabla4[[#This Row],[VALOR ATENCIÓN (8 MESES)]]</f>
        <v>0</v>
      </c>
      <c r="BI1064" t="s">
        <v>98</v>
      </c>
      <c r="BJ1064">
        <v>2000</v>
      </c>
    </row>
    <row r="1065" spans="1:62">
      <c r="A1065" s="13">
        <v>2000</v>
      </c>
      <c r="B1065" s="13" t="s">
        <v>2320</v>
      </c>
      <c r="C1065" s="12" t="s">
        <v>87</v>
      </c>
      <c r="D1065" s="12" t="s">
        <v>651</v>
      </c>
      <c r="E1065" s="12" t="s">
        <v>2321</v>
      </c>
      <c r="F1065" s="12" t="s">
        <v>20</v>
      </c>
      <c r="G1065" s="12" t="s">
        <v>90</v>
      </c>
      <c r="H1065" s="12" t="s">
        <v>2342</v>
      </c>
      <c r="I1065" s="12">
        <v>56791147780</v>
      </c>
      <c r="J1065" s="12" t="s">
        <v>2343</v>
      </c>
      <c r="K1065" s="12">
        <v>1</v>
      </c>
      <c r="L1065" s="12">
        <v>10</v>
      </c>
      <c r="M1065" s="12"/>
      <c r="N1065" s="13">
        <v>2000</v>
      </c>
      <c r="O1065" s="12" t="s">
        <v>93</v>
      </c>
      <c r="P1065" s="12"/>
      <c r="Q1065" s="12"/>
      <c r="R1065" s="12" t="s">
        <v>94</v>
      </c>
      <c r="S1065" s="12">
        <v>10</v>
      </c>
      <c r="T1065" s="12" t="s">
        <v>655</v>
      </c>
      <c r="U1065" s="12" t="s">
        <v>656</v>
      </c>
      <c r="V1065" s="12">
        <f>VLOOKUP(Tabla4[[#This Row],[ZONA DEFINITIVO]],Hoja1!$A$1:$D$121,3,0)</f>
        <v>229154</v>
      </c>
      <c r="W1065" s="12">
        <f>VLOOKUP(Tabla4[[#This Row],[ZONA DEFINITIVO]],Hoja1!$A$1:$D$121,2,0)</f>
        <v>15220</v>
      </c>
      <c r="X1065" s="12">
        <f>VLOOKUP(Tabla4[[#This Row],[ZONA DEFINITIVO]],Hoja1!$A$1:$D$121,4,0)</f>
        <v>87325</v>
      </c>
      <c r="Y1065" s="12" t="str">
        <f>+IF(Tabla4[[#This Row],[AGRUPACIONES]]=1,SUMIFS(Tabla4[UDS],Tabla4[ZONA DEFINITIVO],Tabla4[[#This Row],[ZONA DEFINITIVO]])," ")</f>
        <v xml:space="preserve"> </v>
      </c>
      <c r="Z1065" s="12" t="str">
        <f>+IF(Tabla4[[#This Row],[AGRUPACIONES]]=1,SUMIFS(Tabla4[TOTAL COBERTURA],Tabla4[ZONA DEFINITIVO],Tabla4[[#This Row],[ZONA DEFINITIVO]])," ")</f>
        <v xml:space="preserve"> </v>
      </c>
      <c r="AA1065" s="12"/>
      <c r="AB1065" s="38">
        <v>30258730</v>
      </c>
      <c r="AC1065" s="37">
        <v>0.02</v>
      </c>
      <c r="AD1065" s="38">
        <f t="shared" si="17"/>
        <v>605174.6</v>
      </c>
      <c r="AE1065" s="12"/>
      <c r="AF1065" s="12">
        <f>COUNTIF($A$20:A1065,A1065)</f>
        <v>12</v>
      </c>
      <c r="AG1065" s="38">
        <v>30258730</v>
      </c>
      <c r="AH1065" s="38">
        <f>Tabla4[[#This Row],[VALOR CONTRAPARTIDA]]+Tabla4[[#This Row],[TOTAL APORTES ICBF]]</f>
        <v>30863904.600000001</v>
      </c>
      <c r="AI1065" s="35"/>
      <c r="AJ1065" s="38"/>
      <c r="AK1065" s="38"/>
      <c r="AL1065" s="23"/>
      <c r="AM1065" s="35">
        <f>VLOOKUP(Tabla4[[#This Row],[SERVICIO 2025]],$J$2:$V$14,5,0)*Tabla4[[#This Row],[TOTAL COBERTURA]]</f>
        <v>467440</v>
      </c>
      <c r="AN1065" s="35">
        <f>VLOOKUP(Tabla4[[#This Row],[SERVICIO 2025]],$J$2:$V$14,6,0)*Tabla4[[#This Row],[TOTAL COBERTURA]]</f>
        <v>378410</v>
      </c>
      <c r="AO1065" s="35">
        <f>VLOOKUP(Tabla4[[#This Row],[SERVICIO 2025]],$J$2:$V$14,8,0)*Tabla4[[#This Row],[TOTAL COBERTURA]]</f>
        <v>0</v>
      </c>
      <c r="AP1065" s="35">
        <f>VLOOKUP(Tabla4[[#This Row],[SERVICIO 2025]],$J$2:$V$14,3,0)*Tabla4[[#This Row],[TOTAL COBERTURA]]*8</f>
        <v>29412880</v>
      </c>
      <c r="AQ1065" s="35"/>
      <c r="AR1065" s="35">
        <f>Tabla4[[#This Row],[VALOR FASE PREPARATORIA DE ALISTAMIENTO]]+Tabla4[[#This Row],[VALOR FASE PREPARATORIA DE CIERRE]]+Tabla4[[#This Row],[DOTACIÓN ÚNICA]]+Tabla4[[#This Row],[VALOR ATENCIÓN]]+Tabla4[[#This Row],[VALOR RACION PREPARADA]]</f>
        <v>30258730</v>
      </c>
      <c r="AS1065" s="35" t="str">
        <f>+IF(Tabla4[[#This Row],[AGRUPACIONES]]=1,SUMIFS(Tabla4[VALOR TOTAL],Tabla4[ZONA DEFINITIVO],Tabla4[[#This Row],[ZONA DEFINITIVO]])," ")</f>
        <v xml:space="preserve"> </v>
      </c>
      <c r="AT1065" s="27">
        <f>(VLOOKUP(Tabla4[[#This Row],[SERVICIO 2025]],$J$2:$V$14,3,0)*Tabla4[[#This Row],[TOTAL COBERTURA]])+Tabla4[[#This Row],[VALOR FASE PREPARATORIA DE ALISTAMIENTO]]+Tabla4[[#This Row],[DOTACIÓN ÚNICA]]</f>
        <v>4144050</v>
      </c>
      <c r="AU1065" s="35">
        <f>(VLOOKUP(Tabla4[[#This Row],[SERVICIO 2025]],$J$2:$V$14,3,0)*Tabla4[[#This Row],[TOTAL COBERTURA]])</f>
        <v>3676610</v>
      </c>
      <c r="AV1065" s="35">
        <f>(VLOOKUP(Tabla4[[#This Row],[SERVICIO 2025]],$J$2:$V$14,3,0)*Tabla4[[#This Row],[TOTAL COBERTURA]])</f>
        <v>3676610</v>
      </c>
      <c r="AW1065" s="35">
        <f>(VLOOKUP(Tabla4[[#This Row],[SERVICIO 2025]],$J$2:$V$14,3,0)*Tabla4[[#This Row],[TOTAL COBERTURA]])</f>
        <v>3676610</v>
      </c>
      <c r="AX1065" s="35">
        <f>(VLOOKUP(Tabla4[[#This Row],[SERVICIO 2025]],$J$2:$V$14,3,0)*Tabla4[[#This Row],[TOTAL COBERTURA]])</f>
        <v>3676610</v>
      </c>
      <c r="AY1065" s="35">
        <f>(VLOOKUP(Tabla4[[#This Row],[SERVICIO 2025]],$J$2:$V$14,3,0)*Tabla4[[#This Row],[TOTAL COBERTURA]])</f>
        <v>3676610</v>
      </c>
      <c r="AZ1065" s="35">
        <f>(VLOOKUP(Tabla4[[#This Row],[SERVICIO 2025]],$J$2:$V$14,3,0)*Tabla4[[#This Row],[TOTAL COBERTURA]])</f>
        <v>3676610</v>
      </c>
      <c r="BA1065" s="35">
        <f>(VLOOKUP(Tabla4[[#This Row],[SERVICIO 2025]],$J$2:$V$14,3,0)*Tabla4[[#This Row],[TOTAL COBERTURA]])+Tabla4[[#This Row],[VALOR FASE PREPARATORIA DE CIERRE]]</f>
        <v>4055020</v>
      </c>
      <c r="BB1065" s="35">
        <f>SUM(Tabla4[[#This Row],[DESEMBOLSO 1]:[DESEMBOLSO 8]])</f>
        <v>30258730</v>
      </c>
      <c r="BC1065" s="35">
        <f>VLOOKUP(Tabla4[[#This Row],[SERVICIO 2025]],$J$2:$V$14,10,0)*Tabla4[[#This Row],[TOTAL COBERTURA]]*$W$3</f>
        <v>0</v>
      </c>
      <c r="BD1065" s="47" t="s">
        <v>145</v>
      </c>
      <c r="BE1065" s="12" t="b">
        <f>EXACT(Tabla4[[#This Row],[VALOR ATENCIÓN (8 MESES)]],Tabla4[[#This Row],[VALOR TOTAL]])</f>
        <v>1</v>
      </c>
      <c r="BF1065" s="23">
        <f>Tabla4[[#This Row],[VALOR ATENCIÓN (8 MESES)]]-Tabla4[[#This Row],[VALOR TOTAL]]</f>
        <v>0</v>
      </c>
      <c r="BG1065" s="12" t="b">
        <f>EXACT(Tabla4[[#This Row],[TOTAL DESEMBOLSOS]],Tabla4[[#This Row],[VALOR ATENCIÓN (8 MESES)]])</f>
        <v>1</v>
      </c>
      <c r="BH1065" s="29">
        <f>Tabla4[[#This Row],[TOTAL DESEMBOLSOS]]-Tabla4[[#This Row],[VALOR ATENCIÓN (8 MESES)]]</f>
        <v>0</v>
      </c>
      <c r="BI1065" t="s">
        <v>98</v>
      </c>
      <c r="BJ1065">
        <v>2000</v>
      </c>
    </row>
    <row r="1066" spans="1:62">
      <c r="A1066" s="13">
        <v>2000</v>
      </c>
      <c r="B1066" s="13" t="s">
        <v>2320</v>
      </c>
      <c r="C1066" s="12" t="s">
        <v>87</v>
      </c>
      <c r="D1066" s="12" t="s">
        <v>651</v>
      </c>
      <c r="E1066" s="12" t="s">
        <v>2321</v>
      </c>
      <c r="F1066" s="12" t="s">
        <v>21</v>
      </c>
      <c r="G1066" s="12" t="s">
        <v>90</v>
      </c>
      <c r="H1066" s="12" t="s">
        <v>2344</v>
      </c>
      <c r="I1066" s="12">
        <v>56791152442</v>
      </c>
      <c r="J1066" s="12" t="s">
        <v>2345</v>
      </c>
      <c r="K1066" s="12">
        <v>1</v>
      </c>
      <c r="L1066" s="12">
        <v>9</v>
      </c>
      <c r="M1066" s="12"/>
      <c r="N1066" s="13">
        <v>2000</v>
      </c>
      <c r="O1066" s="12" t="s">
        <v>93</v>
      </c>
      <c r="P1066" s="12"/>
      <c r="Q1066" s="12"/>
      <c r="R1066" s="12" t="s">
        <v>94</v>
      </c>
      <c r="S1066" s="12">
        <v>10</v>
      </c>
      <c r="T1066" s="12" t="s">
        <v>655</v>
      </c>
      <c r="U1066" s="12" t="s">
        <v>656</v>
      </c>
      <c r="V1066" s="12">
        <f>VLOOKUP(Tabla4[[#This Row],[ZONA DEFINITIVO]],Hoja1!$A$1:$D$121,3,0)</f>
        <v>229154</v>
      </c>
      <c r="W1066" s="12">
        <f>VLOOKUP(Tabla4[[#This Row],[ZONA DEFINITIVO]],Hoja1!$A$1:$D$121,2,0)</f>
        <v>15220</v>
      </c>
      <c r="X1066" s="12">
        <f>VLOOKUP(Tabla4[[#This Row],[ZONA DEFINITIVO]],Hoja1!$A$1:$D$121,4,0)</f>
        <v>87325</v>
      </c>
      <c r="Y1066" s="12" t="str">
        <f>+IF(Tabla4[[#This Row],[AGRUPACIONES]]=1,SUMIFS(Tabla4[UDS],Tabla4[ZONA DEFINITIVO],Tabla4[[#This Row],[ZONA DEFINITIVO]])," ")</f>
        <v xml:space="preserve"> </v>
      </c>
      <c r="Z1066" s="12" t="str">
        <f>+IF(Tabla4[[#This Row],[AGRUPACIONES]]=1,SUMIFS(Tabla4[TOTAL COBERTURA],Tabla4[ZONA DEFINITIVO],Tabla4[[#This Row],[ZONA DEFINITIVO]])," ")</f>
        <v xml:space="preserve"> </v>
      </c>
      <c r="AA1066" s="12"/>
      <c r="AB1066" s="38">
        <v>13673745</v>
      </c>
      <c r="AC1066" s="37">
        <v>0.02</v>
      </c>
      <c r="AD1066" s="38">
        <f t="shared" si="17"/>
        <v>273474.90000000002</v>
      </c>
      <c r="AE1066" s="12"/>
      <c r="AF1066" s="12">
        <f>COUNTIF($A$20:A1066,A1066)</f>
        <v>13</v>
      </c>
      <c r="AG1066" s="38">
        <v>13673745</v>
      </c>
      <c r="AH1066" s="38">
        <f>Tabla4[[#This Row],[VALOR CONTRAPARTIDA]]+Tabla4[[#This Row],[TOTAL APORTES ICBF]]</f>
        <v>13947219.9</v>
      </c>
      <c r="AI1066" s="35"/>
      <c r="AJ1066" s="38"/>
      <c r="AK1066" s="38"/>
      <c r="AL1066" s="23"/>
      <c r="AM1066" s="35">
        <f>VLOOKUP(Tabla4[[#This Row],[SERVICIO 2025]],$J$2:$V$14,5,0)*Tabla4[[#This Row],[TOTAL COBERTURA]]</f>
        <v>420696</v>
      </c>
      <c r="AN1066" s="35">
        <f>VLOOKUP(Tabla4[[#This Row],[SERVICIO 2025]],$J$2:$V$14,6,0)*Tabla4[[#This Row],[TOTAL COBERTURA]]</f>
        <v>340569</v>
      </c>
      <c r="AO1066" s="35">
        <f>VLOOKUP(Tabla4[[#This Row],[SERVICIO 2025]],$J$2:$V$14,8,0)*Tabla4[[#This Row],[TOTAL COBERTURA]]</f>
        <v>0</v>
      </c>
      <c r="AP1066" s="35">
        <f>VLOOKUP(Tabla4[[#This Row],[SERVICIO 2025]],$J$2:$V$14,3,0)*Tabla4[[#This Row],[TOTAL COBERTURA]]*8</f>
        <v>12912480</v>
      </c>
      <c r="AQ1066" s="35"/>
      <c r="AR1066" s="35">
        <f>Tabla4[[#This Row],[VALOR FASE PREPARATORIA DE ALISTAMIENTO]]+Tabla4[[#This Row],[VALOR FASE PREPARATORIA DE CIERRE]]+Tabla4[[#This Row],[DOTACIÓN ÚNICA]]+Tabla4[[#This Row],[VALOR ATENCIÓN]]+Tabla4[[#This Row],[VALOR RACION PREPARADA]]</f>
        <v>13673745</v>
      </c>
      <c r="AS1066" s="35" t="str">
        <f>+IF(Tabla4[[#This Row],[AGRUPACIONES]]=1,SUMIFS(Tabla4[VALOR TOTAL],Tabla4[ZONA DEFINITIVO],Tabla4[[#This Row],[ZONA DEFINITIVO]])," ")</f>
        <v xml:space="preserve"> </v>
      </c>
      <c r="AT1066" s="27">
        <f>(VLOOKUP(Tabla4[[#This Row],[SERVICIO 2025]],$J$2:$V$14,3,0)*Tabla4[[#This Row],[TOTAL COBERTURA]])+Tabla4[[#This Row],[VALOR FASE PREPARATORIA DE ALISTAMIENTO]]+Tabla4[[#This Row],[DOTACIÓN ÚNICA]]</f>
        <v>2034756</v>
      </c>
      <c r="AU1066" s="35">
        <f>(VLOOKUP(Tabla4[[#This Row],[SERVICIO 2025]],$J$2:$V$14,3,0)*Tabla4[[#This Row],[TOTAL COBERTURA]])</f>
        <v>1614060</v>
      </c>
      <c r="AV1066" s="35">
        <f>(VLOOKUP(Tabla4[[#This Row],[SERVICIO 2025]],$J$2:$V$14,3,0)*Tabla4[[#This Row],[TOTAL COBERTURA]])</f>
        <v>1614060</v>
      </c>
      <c r="AW1066" s="35">
        <f>(VLOOKUP(Tabla4[[#This Row],[SERVICIO 2025]],$J$2:$V$14,3,0)*Tabla4[[#This Row],[TOTAL COBERTURA]])</f>
        <v>1614060</v>
      </c>
      <c r="AX1066" s="35">
        <f>(VLOOKUP(Tabla4[[#This Row],[SERVICIO 2025]],$J$2:$V$14,3,0)*Tabla4[[#This Row],[TOTAL COBERTURA]])</f>
        <v>1614060</v>
      </c>
      <c r="AY1066" s="35">
        <f>(VLOOKUP(Tabla4[[#This Row],[SERVICIO 2025]],$J$2:$V$14,3,0)*Tabla4[[#This Row],[TOTAL COBERTURA]])</f>
        <v>1614060</v>
      </c>
      <c r="AZ1066" s="35">
        <f>(VLOOKUP(Tabla4[[#This Row],[SERVICIO 2025]],$J$2:$V$14,3,0)*Tabla4[[#This Row],[TOTAL COBERTURA]])</f>
        <v>1614060</v>
      </c>
      <c r="BA1066" s="35">
        <f>(VLOOKUP(Tabla4[[#This Row],[SERVICIO 2025]],$J$2:$V$14,3,0)*Tabla4[[#This Row],[TOTAL COBERTURA]])+Tabla4[[#This Row],[VALOR FASE PREPARATORIA DE CIERRE]]</f>
        <v>1954629</v>
      </c>
      <c r="BB1066" s="35">
        <f>SUM(Tabla4[[#This Row],[DESEMBOLSO 1]:[DESEMBOLSO 8]])</f>
        <v>13673745</v>
      </c>
      <c r="BC1066" s="35">
        <f>VLOOKUP(Tabla4[[#This Row],[SERVICIO 2025]],$J$2:$V$14,10,0)*Tabla4[[#This Row],[TOTAL COBERTURA]]*$W$3</f>
        <v>13559112</v>
      </c>
      <c r="BD1066" s="47" t="s">
        <v>211</v>
      </c>
      <c r="BE1066" s="12" t="b">
        <f>EXACT(Tabla4[[#This Row],[VALOR ATENCIÓN (8 MESES)]],Tabla4[[#This Row],[VALOR TOTAL]])</f>
        <v>1</v>
      </c>
      <c r="BF1066" s="23">
        <f>Tabla4[[#This Row],[VALOR ATENCIÓN (8 MESES)]]-Tabla4[[#This Row],[VALOR TOTAL]]</f>
        <v>0</v>
      </c>
      <c r="BG1066" s="12" t="b">
        <f>EXACT(Tabla4[[#This Row],[TOTAL DESEMBOLSOS]],Tabla4[[#This Row],[VALOR ATENCIÓN (8 MESES)]])</f>
        <v>1</v>
      </c>
      <c r="BH1066" s="29">
        <f>Tabla4[[#This Row],[TOTAL DESEMBOLSOS]]-Tabla4[[#This Row],[VALOR ATENCIÓN (8 MESES)]]</f>
        <v>0</v>
      </c>
      <c r="BI1066" t="s">
        <v>98</v>
      </c>
      <c r="BJ1066">
        <v>2000</v>
      </c>
    </row>
    <row r="1067" spans="1:62">
      <c r="A1067" s="13">
        <v>2000</v>
      </c>
      <c r="B1067" s="13" t="s">
        <v>2320</v>
      </c>
      <c r="C1067" s="12" t="s">
        <v>87</v>
      </c>
      <c r="D1067" s="12" t="s">
        <v>651</v>
      </c>
      <c r="E1067" s="12" t="s">
        <v>2321</v>
      </c>
      <c r="F1067" s="12" t="s">
        <v>21</v>
      </c>
      <c r="G1067" s="12" t="s">
        <v>90</v>
      </c>
      <c r="H1067" s="12" t="s">
        <v>2346</v>
      </c>
      <c r="I1067" s="12">
        <v>56791152991</v>
      </c>
      <c r="J1067" s="12" t="s">
        <v>2347</v>
      </c>
      <c r="K1067" s="12">
        <v>1</v>
      </c>
      <c r="L1067" s="12">
        <v>8</v>
      </c>
      <c r="M1067" s="12"/>
      <c r="N1067" s="13">
        <v>2000</v>
      </c>
      <c r="O1067" s="12" t="s">
        <v>93</v>
      </c>
      <c r="P1067" s="12"/>
      <c r="Q1067" s="12"/>
      <c r="R1067" s="12" t="s">
        <v>94</v>
      </c>
      <c r="S1067" s="12">
        <v>10</v>
      </c>
      <c r="T1067" s="12" t="s">
        <v>655</v>
      </c>
      <c r="U1067" s="12" t="s">
        <v>656</v>
      </c>
      <c r="V1067" s="12">
        <f>VLOOKUP(Tabla4[[#This Row],[ZONA DEFINITIVO]],Hoja1!$A$1:$D$121,3,0)</f>
        <v>229154</v>
      </c>
      <c r="W1067" s="12">
        <f>VLOOKUP(Tabla4[[#This Row],[ZONA DEFINITIVO]],Hoja1!$A$1:$D$121,2,0)</f>
        <v>15220</v>
      </c>
      <c r="X1067" s="12">
        <f>VLOOKUP(Tabla4[[#This Row],[ZONA DEFINITIVO]],Hoja1!$A$1:$D$121,4,0)</f>
        <v>87325</v>
      </c>
      <c r="Y1067" s="12" t="str">
        <f>+IF(Tabla4[[#This Row],[AGRUPACIONES]]=1,SUMIFS(Tabla4[UDS],Tabla4[ZONA DEFINITIVO],Tabla4[[#This Row],[ZONA DEFINITIVO]])," ")</f>
        <v xml:space="preserve"> </v>
      </c>
      <c r="Z1067" s="12" t="str">
        <f>+IF(Tabla4[[#This Row],[AGRUPACIONES]]=1,SUMIFS(Tabla4[TOTAL COBERTURA],Tabla4[ZONA DEFINITIVO],Tabla4[[#This Row],[ZONA DEFINITIVO]])," ")</f>
        <v xml:space="preserve"> </v>
      </c>
      <c r="AA1067" s="12"/>
      <c r="AB1067" s="38">
        <v>12154440</v>
      </c>
      <c r="AC1067" s="37">
        <v>0.02</v>
      </c>
      <c r="AD1067" s="38">
        <f t="shared" si="17"/>
        <v>243088.80000000002</v>
      </c>
      <c r="AE1067" s="12"/>
      <c r="AF1067" s="12">
        <f>COUNTIF($A$20:A1067,A1067)</f>
        <v>14</v>
      </c>
      <c r="AG1067" s="38">
        <v>12154440</v>
      </c>
      <c r="AH1067" s="38">
        <f>Tabla4[[#This Row],[VALOR CONTRAPARTIDA]]+Tabla4[[#This Row],[TOTAL APORTES ICBF]]</f>
        <v>12397528.800000001</v>
      </c>
      <c r="AI1067" s="35"/>
      <c r="AJ1067" s="38"/>
      <c r="AK1067" s="38"/>
      <c r="AL1067" s="23"/>
      <c r="AM1067" s="35">
        <f>VLOOKUP(Tabla4[[#This Row],[SERVICIO 2025]],$J$2:$V$14,5,0)*Tabla4[[#This Row],[TOTAL COBERTURA]]</f>
        <v>373952</v>
      </c>
      <c r="AN1067" s="35">
        <f>VLOOKUP(Tabla4[[#This Row],[SERVICIO 2025]],$J$2:$V$14,6,0)*Tabla4[[#This Row],[TOTAL COBERTURA]]</f>
        <v>302728</v>
      </c>
      <c r="AO1067" s="35">
        <f>VLOOKUP(Tabla4[[#This Row],[SERVICIO 2025]],$J$2:$V$14,8,0)*Tabla4[[#This Row],[TOTAL COBERTURA]]</f>
        <v>0</v>
      </c>
      <c r="AP1067" s="35">
        <f>VLOOKUP(Tabla4[[#This Row],[SERVICIO 2025]],$J$2:$V$14,3,0)*Tabla4[[#This Row],[TOTAL COBERTURA]]*8</f>
        <v>11477760</v>
      </c>
      <c r="AQ1067" s="35"/>
      <c r="AR1067" s="35">
        <f>Tabla4[[#This Row],[VALOR FASE PREPARATORIA DE ALISTAMIENTO]]+Tabla4[[#This Row],[VALOR FASE PREPARATORIA DE CIERRE]]+Tabla4[[#This Row],[DOTACIÓN ÚNICA]]+Tabla4[[#This Row],[VALOR ATENCIÓN]]+Tabla4[[#This Row],[VALOR RACION PREPARADA]]</f>
        <v>12154440</v>
      </c>
      <c r="AS1067" s="35" t="str">
        <f>+IF(Tabla4[[#This Row],[AGRUPACIONES]]=1,SUMIFS(Tabla4[VALOR TOTAL],Tabla4[ZONA DEFINITIVO],Tabla4[[#This Row],[ZONA DEFINITIVO]])," ")</f>
        <v xml:space="preserve"> </v>
      </c>
      <c r="AT1067" s="27">
        <f>(VLOOKUP(Tabla4[[#This Row],[SERVICIO 2025]],$J$2:$V$14,3,0)*Tabla4[[#This Row],[TOTAL COBERTURA]])+Tabla4[[#This Row],[VALOR FASE PREPARATORIA DE ALISTAMIENTO]]+Tabla4[[#This Row],[DOTACIÓN ÚNICA]]</f>
        <v>1808672</v>
      </c>
      <c r="AU1067" s="35">
        <f>(VLOOKUP(Tabla4[[#This Row],[SERVICIO 2025]],$J$2:$V$14,3,0)*Tabla4[[#This Row],[TOTAL COBERTURA]])</f>
        <v>1434720</v>
      </c>
      <c r="AV1067" s="35">
        <f>(VLOOKUP(Tabla4[[#This Row],[SERVICIO 2025]],$J$2:$V$14,3,0)*Tabla4[[#This Row],[TOTAL COBERTURA]])</f>
        <v>1434720</v>
      </c>
      <c r="AW1067" s="35">
        <f>(VLOOKUP(Tabla4[[#This Row],[SERVICIO 2025]],$J$2:$V$14,3,0)*Tabla4[[#This Row],[TOTAL COBERTURA]])</f>
        <v>1434720</v>
      </c>
      <c r="AX1067" s="35">
        <f>(VLOOKUP(Tabla4[[#This Row],[SERVICIO 2025]],$J$2:$V$14,3,0)*Tabla4[[#This Row],[TOTAL COBERTURA]])</f>
        <v>1434720</v>
      </c>
      <c r="AY1067" s="35">
        <f>(VLOOKUP(Tabla4[[#This Row],[SERVICIO 2025]],$J$2:$V$14,3,0)*Tabla4[[#This Row],[TOTAL COBERTURA]])</f>
        <v>1434720</v>
      </c>
      <c r="AZ1067" s="35">
        <f>(VLOOKUP(Tabla4[[#This Row],[SERVICIO 2025]],$J$2:$V$14,3,0)*Tabla4[[#This Row],[TOTAL COBERTURA]])</f>
        <v>1434720</v>
      </c>
      <c r="BA1067" s="35">
        <f>(VLOOKUP(Tabla4[[#This Row],[SERVICIO 2025]],$J$2:$V$14,3,0)*Tabla4[[#This Row],[TOTAL COBERTURA]])+Tabla4[[#This Row],[VALOR FASE PREPARATORIA DE CIERRE]]</f>
        <v>1737448</v>
      </c>
      <c r="BB1067" s="35">
        <f>SUM(Tabla4[[#This Row],[DESEMBOLSO 1]:[DESEMBOLSO 8]])</f>
        <v>12154440</v>
      </c>
      <c r="BC1067" s="35">
        <f>VLOOKUP(Tabla4[[#This Row],[SERVICIO 2025]],$J$2:$V$14,10,0)*Tabla4[[#This Row],[TOTAL COBERTURA]]*$W$3</f>
        <v>12052544</v>
      </c>
      <c r="BD1067" s="47" t="s">
        <v>211</v>
      </c>
      <c r="BE1067" s="12" t="b">
        <f>EXACT(Tabla4[[#This Row],[VALOR ATENCIÓN (8 MESES)]],Tabla4[[#This Row],[VALOR TOTAL]])</f>
        <v>1</v>
      </c>
      <c r="BF1067" s="23">
        <f>Tabla4[[#This Row],[VALOR ATENCIÓN (8 MESES)]]-Tabla4[[#This Row],[VALOR TOTAL]]</f>
        <v>0</v>
      </c>
      <c r="BG1067" s="12" t="b">
        <f>EXACT(Tabla4[[#This Row],[TOTAL DESEMBOLSOS]],Tabla4[[#This Row],[VALOR ATENCIÓN (8 MESES)]])</f>
        <v>1</v>
      </c>
      <c r="BH1067" s="29">
        <f>Tabla4[[#This Row],[TOTAL DESEMBOLSOS]]-Tabla4[[#This Row],[VALOR ATENCIÓN (8 MESES)]]</f>
        <v>0</v>
      </c>
      <c r="BI1067" t="s">
        <v>98</v>
      </c>
      <c r="BJ1067">
        <v>2000</v>
      </c>
    </row>
    <row r="1068" spans="1:62">
      <c r="A1068" s="13">
        <v>2000</v>
      </c>
      <c r="B1068" s="13" t="s">
        <v>2320</v>
      </c>
      <c r="C1068" s="12" t="s">
        <v>87</v>
      </c>
      <c r="D1068" s="12" t="s">
        <v>651</v>
      </c>
      <c r="E1068" s="12" t="s">
        <v>2321</v>
      </c>
      <c r="F1068" s="12" t="s">
        <v>21</v>
      </c>
      <c r="G1068" s="12" t="s">
        <v>90</v>
      </c>
      <c r="H1068" s="12" t="s">
        <v>2348</v>
      </c>
      <c r="I1068" s="12">
        <v>56791152992</v>
      </c>
      <c r="J1068" s="12" t="s">
        <v>2349</v>
      </c>
      <c r="K1068" s="12">
        <v>1</v>
      </c>
      <c r="L1068" s="12">
        <v>13</v>
      </c>
      <c r="M1068" s="12"/>
      <c r="N1068" s="13">
        <v>2000</v>
      </c>
      <c r="O1068" s="12" t="s">
        <v>93</v>
      </c>
      <c r="P1068" s="12"/>
      <c r="Q1068" s="12"/>
      <c r="R1068" s="12" t="s">
        <v>94</v>
      </c>
      <c r="S1068" s="12">
        <v>10</v>
      </c>
      <c r="T1068" s="12" t="s">
        <v>655</v>
      </c>
      <c r="U1068" s="12" t="s">
        <v>656</v>
      </c>
      <c r="V1068" s="12">
        <f>VLOOKUP(Tabla4[[#This Row],[ZONA DEFINITIVO]],Hoja1!$A$1:$D$121,3,0)</f>
        <v>229154</v>
      </c>
      <c r="W1068" s="12">
        <f>VLOOKUP(Tabla4[[#This Row],[ZONA DEFINITIVO]],Hoja1!$A$1:$D$121,2,0)</f>
        <v>15220</v>
      </c>
      <c r="X1068" s="12">
        <f>VLOOKUP(Tabla4[[#This Row],[ZONA DEFINITIVO]],Hoja1!$A$1:$D$121,4,0)</f>
        <v>87325</v>
      </c>
      <c r="Y1068" s="12" t="str">
        <f>+IF(Tabla4[[#This Row],[AGRUPACIONES]]=1,SUMIFS(Tabla4[UDS],Tabla4[ZONA DEFINITIVO],Tabla4[[#This Row],[ZONA DEFINITIVO]])," ")</f>
        <v xml:space="preserve"> </v>
      </c>
      <c r="Z1068" s="12" t="str">
        <f>+IF(Tabla4[[#This Row],[AGRUPACIONES]]=1,SUMIFS(Tabla4[TOTAL COBERTURA],Tabla4[ZONA DEFINITIVO],Tabla4[[#This Row],[ZONA DEFINITIVO]])," ")</f>
        <v xml:space="preserve"> </v>
      </c>
      <c r="AA1068" s="12"/>
      <c r="AB1068" s="38">
        <v>19750965</v>
      </c>
      <c r="AC1068" s="37">
        <v>0.02</v>
      </c>
      <c r="AD1068" s="38">
        <f t="shared" si="17"/>
        <v>395019.3</v>
      </c>
      <c r="AE1068" s="12"/>
      <c r="AF1068" s="12">
        <f>COUNTIF($A$20:A1068,A1068)</f>
        <v>15</v>
      </c>
      <c r="AG1068" s="38">
        <v>19750965</v>
      </c>
      <c r="AH1068" s="38">
        <f>Tabla4[[#This Row],[VALOR CONTRAPARTIDA]]+Tabla4[[#This Row],[TOTAL APORTES ICBF]]</f>
        <v>20145984.300000001</v>
      </c>
      <c r="AI1068" s="35"/>
      <c r="AJ1068" s="38"/>
      <c r="AK1068" s="38"/>
      <c r="AL1068" s="23"/>
      <c r="AM1068" s="35">
        <f>VLOOKUP(Tabla4[[#This Row],[SERVICIO 2025]],$J$2:$V$14,5,0)*Tabla4[[#This Row],[TOTAL COBERTURA]]</f>
        <v>607672</v>
      </c>
      <c r="AN1068" s="35">
        <f>VLOOKUP(Tabla4[[#This Row],[SERVICIO 2025]],$J$2:$V$14,6,0)*Tabla4[[#This Row],[TOTAL COBERTURA]]</f>
        <v>491933</v>
      </c>
      <c r="AO1068" s="35">
        <f>VLOOKUP(Tabla4[[#This Row],[SERVICIO 2025]],$J$2:$V$14,8,0)*Tabla4[[#This Row],[TOTAL COBERTURA]]</f>
        <v>0</v>
      </c>
      <c r="AP1068" s="35">
        <f>VLOOKUP(Tabla4[[#This Row],[SERVICIO 2025]],$J$2:$V$14,3,0)*Tabla4[[#This Row],[TOTAL COBERTURA]]*8</f>
        <v>18651360</v>
      </c>
      <c r="AQ1068" s="35"/>
      <c r="AR1068" s="35">
        <f>Tabla4[[#This Row],[VALOR FASE PREPARATORIA DE ALISTAMIENTO]]+Tabla4[[#This Row],[VALOR FASE PREPARATORIA DE CIERRE]]+Tabla4[[#This Row],[DOTACIÓN ÚNICA]]+Tabla4[[#This Row],[VALOR ATENCIÓN]]+Tabla4[[#This Row],[VALOR RACION PREPARADA]]</f>
        <v>19750965</v>
      </c>
      <c r="AS1068" s="35" t="str">
        <f>+IF(Tabla4[[#This Row],[AGRUPACIONES]]=1,SUMIFS(Tabla4[VALOR TOTAL],Tabla4[ZONA DEFINITIVO],Tabla4[[#This Row],[ZONA DEFINITIVO]])," ")</f>
        <v xml:space="preserve"> </v>
      </c>
      <c r="AT1068" s="27">
        <f>(VLOOKUP(Tabla4[[#This Row],[SERVICIO 2025]],$J$2:$V$14,3,0)*Tabla4[[#This Row],[TOTAL COBERTURA]])+Tabla4[[#This Row],[VALOR FASE PREPARATORIA DE ALISTAMIENTO]]+Tabla4[[#This Row],[DOTACIÓN ÚNICA]]</f>
        <v>2939092</v>
      </c>
      <c r="AU1068" s="35">
        <f>(VLOOKUP(Tabla4[[#This Row],[SERVICIO 2025]],$J$2:$V$14,3,0)*Tabla4[[#This Row],[TOTAL COBERTURA]])</f>
        <v>2331420</v>
      </c>
      <c r="AV1068" s="35">
        <f>(VLOOKUP(Tabla4[[#This Row],[SERVICIO 2025]],$J$2:$V$14,3,0)*Tabla4[[#This Row],[TOTAL COBERTURA]])</f>
        <v>2331420</v>
      </c>
      <c r="AW1068" s="35">
        <f>(VLOOKUP(Tabla4[[#This Row],[SERVICIO 2025]],$J$2:$V$14,3,0)*Tabla4[[#This Row],[TOTAL COBERTURA]])</f>
        <v>2331420</v>
      </c>
      <c r="AX1068" s="35">
        <f>(VLOOKUP(Tabla4[[#This Row],[SERVICIO 2025]],$J$2:$V$14,3,0)*Tabla4[[#This Row],[TOTAL COBERTURA]])</f>
        <v>2331420</v>
      </c>
      <c r="AY1068" s="35">
        <f>(VLOOKUP(Tabla4[[#This Row],[SERVICIO 2025]],$J$2:$V$14,3,0)*Tabla4[[#This Row],[TOTAL COBERTURA]])</f>
        <v>2331420</v>
      </c>
      <c r="AZ1068" s="35">
        <f>(VLOOKUP(Tabla4[[#This Row],[SERVICIO 2025]],$J$2:$V$14,3,0)*Tabla4[[#This Row],[TOTAL COBERTURA]])</f>
        <v>2331420</v>
      </c>
      <c r="BA1068" s="35">
        <f>(VLOOKUP(Tabla4[[#This Row],[SERVICIO 2025]],$J$2:$V$14,3,0)*Tabla4[[#This Row],[TOTAL COBERTURA]])+Tabla4[[#This Row],[VALOR FASE PREPARATORIA DE CIERRE]]</f>
        <v>2823353</v>
      </c>
      <c r="BB1068" s="35">
        <f>SUM(Tabla4[[#This Row],[DESEMBOLSO 1]:[DESEMBOLSO 8]])</f>
        <v>19750965</v>
      </c>
      <c r="BC1068" s="35">
        <f>VLOOKUP(Tabla4[[#This Row],[SERVICIO 2025]],$J$2:$V$14,10,0)*Tabla4[[#This Row],[TOTAL COBERTURA]]*$W$3</f>
        <v>19585384</v>
      </c>
      <c r="BD1068" s="47" t="s">
        <v>211</v>
      </c>
      <c r="BE1068" s="12" t="b">
        <f>EXACT(Tabla4[[#This Row],[VALOR ATENCIÓN (8 MESES)]],Tabla4[[#This Row],[VALOR TOTAL]])</f>
        <v>1</v>
      </c>
      <c r="BF1068" s="23">
        <f>Tabla4[[#This Row],[VALOR ATENCIÓN (8 MESES)]]-Tabla4[[#This Row],[VALOR TOTAL]]</f>
        <v>0</v>
      </c>
      <c r="BG1068" s="12" t="b">
        <f>EXACT(Tabla4[[#This Row],[TOTAL DESEMBOLSOS]],Tabla4[[#This Row],[VALOR ATENCIÓN (8 MESES)]])</f>
        <v>1</v>
      </c>
      <c r="BH1068" s="29">
        <f>Tabla4[[#This Row],[TOTAL DESEMBOLSOS]]-Tabla4[[#This Row],[VALOR ATENCIÓN (8 MESES)]]</f>
        <v>0</v>
      </c>
      <c r="BI1068" t="s">
        <v>98</v>
      </c>
      <c r="BJ1068">
        <v>2000</v>
      </c>
    </row>
    <row r="1069" spans="1:62">
      <c r="A1069" s="13">
        <v>2000</v>
      </c>
      <c r="B1069" s="13" t="s">
        <v>2320</v>
      </c>
      <c r="C1069" s="12" t="s">
        <v>87</v>
      </c>
      <c r="D1069" s="12" t="s">
        <v>651</v>
      </c>
      <c r="E1069" s="12" t="s">
        <v>2321</v>
      </c>
      <c r="F1069" s="12" t="s">
        <v>14</v>
      </c>
      <c r="G1069" s="12" t="s">
        <v>90</v>
      </c>
      <c r="H1069" s="12" t="s">
        <v>2033</v>
      </c>
      <c r="I1069" s="12">
        <v>56791154880</v>
      </c>
      <c r="J1069" s="12" t="s">
        <v>2350</v>
      </c>
      <c r="K1069" s="12">
        <v>1</v>
      </c>
      <c r="L1069" s="12">
        <v>39</v>
      </c>
      <c r="M1069" s="12"/>
      <c r="N1069" s="13">
        <v>2000</v>
      </c>
      <c r="O1069" s="12" t="s">
        <v>93</v>
      </c>
      <c r="P1069" s="12"/>
      <c r="Q1069" s="12"/>
      <c r="R1069" s="12" t="s">
        <v>94</v>
      </c>
      <c r="S1069" s="12">
        <v>10</v>
      </c>
      <c r="T1069" s="12" t="s">
        <v>655</v>
      </c>
      <c r="U1069" s="12" t="s">
        <v>656</v>
      </c>
      <c r="V1069" s="12">
        <f>VLOOKUP(Tabla4[[#This Row],[ZONA DEFINITIVO]],Hoja1!$A$1:$D$121,3,0)</f>
        <v>229154</v>
      </c>
      <c r="W1069" s="12">
        <f>VLOOKUP(Tabla4[[#This Row],[ZONA DEFINITIVO]],Hoja1!$A$1:$D$121,2,0)</f>
        <v>15220</v>
      </c>
      <c r="X1069" s="12">
        <f>VLOOKUP(Tabla4[[#This Row],[ZONA DEFINITIVO]],Hoja1!$A$1:$D$121,4,0)</f>
        <v>87325</v>
      </c>
      <c r="Y1069" s="12" t="str">
        <f>+IF(Tabla4[[#This Row],[AGRUPACIONES]]=1,SUMIFS(Tabla4[UDS],Tabla4[ZONA DEFINITIVO],Tabla4[[#This Row],[ZONA DEFINITIVO]])," ")</f>
        <v xml:space="preserve"> </v>
      </c>
      <c r="Z1069" s="12" t="str">
        <f>+IF(Tabla4[[#This Row],[AGRUPACIONES]]=1,SUMIFS(Tabla4[TOTAL COBERTURA],Tabla4[ZONA DEFINITIVO],Tabla4[[#This Row],[ZONA DEFINITIVO]])," ")</f>
        <v xml:space="preserve"> </v>
      </c>
      <c r="AA1069" s="12"/>
      <c r="AB1069" s="38">
        <v>163365150</v>
      </c>
      <c r="AC1069" s="37">
        <v>0.02</v>
      </c>
      <c r="AD1069" s="38">
        <f t="shared" si="17"/>
        <v>3267303</v>
      </c>
      <c r="AE1069" s="12"/>
      <c r="AF1069" s="12">
        <f>COUNTIF($A$20:A1069,A1069)</f>
        <v>16</v>
      </c>
      <c r="AG1069" s="38">
        <v>163365150</v>
      </c>
      <c r="AH1069" s="38">
        <f>Tabla4[[#This Row],[VALOR CONTRAPARTIDA]]+Tabla4[[#This Row],[TOTAL APORTES ICBF]]</f>
        <v>166632453</v>
      </c>
      <c r="AI1069" s="35"/>
      <c r="AJ1069" s="38"/>
      <c r="AK1069" s="38"/>
      <c r="AL1069" s="23"/>
      <c r="AM1069" s="35">
        <f>VLOOKUP(Tabla4[[#This Row],[SERVICIO 2025]],$J$2:$V$14,5,0)*Tabla4[[#This Row],[TOTAL COBERTURA]]</f>
        <v>3437577</v>
      </c>
      <c r="AN1069" s="35">
        <f>VLOOKUP(Tabla4[[#This Row],[SERVICIO 2025]],$J$2:$V$14,6,0)*Tabla4[[#This Row],[TOTAL COBERTURA]]</f>
        <v>2926677</v>
      </c>
      <c r="AO1069" s="35">
        <f>VLOOKUP(Tabla4[[#This Row],[SERVICIO 2025]],$J$2:$V$14,8,0)*Tabla4[[#This Row],[TOTAL COBERTURA]]</f>
        <v>0</v>
      </c>
      <c r="AP1069" s="35">
        <f>VLOOKUP(Tabla4[[#This Row],[SERVICIO 2025]],$J$2:$V$14,3,0)*Tabla4[[#This Row],[TOTAL COBERTURA]]*8</f>
        <v>157000896</v>
      </c>
      <c r="AQ1069" s="35"/>
      <c r="AR1069" s="35">
        <f>Tabla4[[#This Row],[VALOR FASE PREPARATORIA DE ALISTAMIENTO]]+Tabla4[[#This Row],[VALOR FASE PREPARATORIA DE CIERRE]]+Tabla4[[#This Row],[DOTACIÓN ÚNICA]]+Tabla4[[#This Row],[VALOR ATENCIÓN]]+Tabla4[[#This Row],[VALOR RACION PREPARADA]]</f>
        <v>163365150</v>
      </c>
      <c r="AS1069" s="35" t="str">
        <f>+IF(Tabla4[[#This Row],[AGRUPACIONES]]=1,SUMIFS(Tabla4[VALOR TOTAL],Tabla4[ZONA DEFINITIVO],Tabla4[[#This Row],[ZONA DEFINITIVO]])," ")</f>
        <v xml:space="preserve"> </v>
      </c>
      <c r="AT1069" s="27">
        <f>(VLOOKUP(Tabla4[[#This Row],[SERVICIO 2025]],$J$2:$V$14,3,0)*Tabla4[[#This Row],[TOTAL COBERTURA]])+Tabla4[[#This Row],[VALOR FASE PREPARATORIA DE ALISTAMIENTO]]+Tabla4[[#This Row],[DOTACIÓN ÚNICA]]</f>
        <v>23062689</v>
      </c>
      <c r="AU1069" s="35">
        <f>(VLOOKUP(Tabla4[[#This Row],[SERVICIO 2025]],$J$2:$V$14,3,0)*Tabla4[[#This Row],[TOTAL COBERTURA]])</f>
        <v>19625112</v>
      </c>
      <c r="AV1069" s="35">
        <f>(VLOOKUP(Tabla4[[#This Row],[SERVICIO 2025]],$J$2:$V$14,3,0)*Tabla4[[#This Row],[TOTAL COBERTURA]])</f>
        <v>19625112</v>
      </c>
      <c r="AW1069" s="35">
        <f>(VLOOKUP(Tabla4[[#This Row],[SERVICIO 2025]],$J$2:$V$14,3,0)*Tabla4[[#This Row],[TOTAL COBERTURA]])</f>
        <v>19625112</v>
      </c>
      <c r="AX1069" s="35">
        <f>(VLOOKUP(Tabla4[[#This Row],[SERVICIO 2025]],$J$2:$V$14,3,0)*Tabla4[[#This Row],[TOTAL COBERTURA]])</f>
        <v>19625112</v>
      </c>
      <c r="AY1069" s="35">
        <f>(VLOOKUP(Tabla4[[#This Row],[SERVICIO 2025]],$J$2:$V$14,3,0)*Tabla4[[#This Row],[TOTAL COBERTURA]])</f>
        <v>19625112</v>
      </c>
      <c r="AZ1069" s="35">
        <f>(VLOOKUP(Tabla4[[#This Row],[SERVICIO 2025]],$J$2:$V$14,3,0)*Tabla4[[#This Row],[TOTAL COBERTURA]])</f>
        <v>19625112</v>
      </c>
      <c r="BA1069" s="35">
        <f>(VLOOKUP(Tabla4[[#This Row],[SERVICIO 2025]],$J$2:$V$14,3,0)*Tabla4[[#This Row],[TOTAL COBERTURA]])+Tabla4[[#This Row],[VALOR FASE PREPARATORIA DE CIERRE]]</f>
        <v>22551789</v>
      </c>
      <c r="BB1069" s="35">
        <f>SUM(Tabla4[[#This Row],[DESEMBOLSO 1]:[DESEMBOLSO 8]])</f>
        <v>163365150</v>
      </c>
      <c r="BC1069" s="35">
        <f>VLOOKUP(Tabla4[[#This Row],[SERVICIO 2025]],$J$2:$V$14,10,0)*Tabla4[[#This Row],[TOTAL COBERTURA]]*$W$3</f>
        <v>0</v>
      </c>
      <c r="BD1069" s="47" t="s">
        <v>145</v>
      </c>
      <c r="BE1069" s="12" t="b">
        <f>EXACT(Tabla4[[#This Row],[VALOR ATENCIÓN (8 MESES)]],Tabla4[[#This Row],[VALOR TOTAL]])</f>
        <v>1</v>
      </c>
      <c r="BF1069" s="23">
        <f>Tabla4[[#This Row],[VALOR ATENCIÓN (8 MESES)]]-Tabla4[[#This Row],[VALOR TOTAL]]</f>
        <v>0</v>
      </c>
      <c r="BG1069" s="12" t="b">
        <f>EXACT(Tabla4[[#This Row],[TOTAL DESEMBOLSOS]],Tabla4[[#This Row],[VALOR ATENCIÓN (8 MESES)]])</f>
        <v>1</v>
      </c>
      <c r="BH1069" s="29">
        <f>Tabla4[[#This Row],[TOTAL DESEMBOLSOS]]-Tabla4[[#This Row],[VALOR ATENCIÓN (8 MESES)]]</f>
        <v>0</v>
      </c>
      <c r="BI1069" t="s">
        <v>98</v>
      </c>
      <c r="BJ1069">
        <v>2000</v>
      </c>
    </row>
    <row r="1070" spans="1:62">
      <c r="A1070" s="13">
        <v>2000</v>
      </c>
      <c r="B1070" s="13" t="s">
        <v>2320</v>
      </c>
      <c r="C1070" s="12" t="s">
        <v>87</v>
      </c>
      <c r="D1070" s="12" t="s">
        <v>651</v>
      </c>
      <c r="E1070" s="12" t="s">
        <v>2321</v>
      </c>
      <c r="F1070" s="12" t="s">
        <v>14</v>
      </c>
      <c r="G1070" s="12" t="s">
        <v>90</v>
      </c>
      <c r="H1070" s="12" t="s">
        <v>2351</v>
      </c>
      <c r="I1070" s="12">
        <v>567900104857</v>
      </c>
      <c r="J1070" s="12" t="s">
        <v>2352</v>
      </c>
      <c r="K1070" s="12">
        <v>1</v>
      </c>
      <c r="L1070" s="12">
        <v>77</v>
      </c>
      <c r="M1070" s="12"/>
      <c r="N1070" s="13">
        <v>2000</v>
      </c>
      <c r="O1070" s="12" t="s">
        <v>93</v>
      </c>
      <c r="P1070" s="12"/>
      <c r="Q1070" s="12"/>
      <c r="R1070" s="12" t="s">
        <v>94</v>
      </c>
      <c r="S1070" s="12">
        <v>10</v>
      </c>
      <c r="T1070" s="12" t="s">
        <v>655</v>
      </c>
      <c r="U1070" s="12" t="s">
        <v>656</v>
      </c>
      <c r="V1070" s="12">
        <f>VLOOKUP(Tabla4[[#This Row],[ZONA DEFINITIVO]],Hoja1!$A$1:$D$121,3,0)</f>
        <v>229154</v>
      </c>
      <c r="W1070" s="12">
        <f>VLOOKUP(Tabla4[[#This Row],[ZONA DEFINITIVO]],Hoja1!$A$1:$D$121,2,0)</f>
        <v>15220</v>
      </c>
      <c r="X1070" s="12">
        <f>VLOOKUP(Tabla4[[#This Row],[ZONA DEFINITIVO]],Hoja1!$A$1:$D$121,4,0)</f>
        <v>87325</v>
      </c>
      <c r="Y1070" s="12" t="str">
        <f>+IF(Tabla4[[#This Row],[AGRUPACIONES]]=1,SUMIFS(Tabla4[UDS],Tabla4[ZONA DEFINITIVO],Tabla4[[#This Row],[ZONA DEFINITIVO]])," ")</f>
        <v xml:space="preserve"> </v>
      </c>
      <c r="Z1070" s="12" t="str">
        <f>+IF(Tabla4[[#This Row],[AGRUPACIONES]]=1,SUMIFS(Tabla4[TOTAL COBERTURA],Tabla4[ZONA DEFINITIVO],Tabla4[[#This Row],[ZONA DEFINITIVO]])," ")</f>
        <v xml:space="preserve"> </v>
      </c>
      <c r="AA1070" s="12"/>
      <c r="AB1070" s="38">
        <v>322541450</v>
      </c>
      <c r="AC1070" s="37">
        <v>0.02</v>
      </c>
      <c r="AD1070" s="38">
        <f t="shared" si="17"/>
        <v>6450829</v>
      </c>
      <c r="AE1070" s="12"/>
      <c r="AF1070" s="12">
        <f>COUNTIF($A$20:A1070,A1070)</f>
        <v>17</v>
      </c>
      <c r="AG1070" s="38">
        <v>322541450</v>
      </c>
      <c r="AH1070" s="38">
        <f>Tabla4[[#This Row],[VALOR CONTRAPARTIDA]]+Tabla4[[#This Row],[TOTAL APORTES ICBF]]</f>
        <v>328992279</v>
      </c>
      <c r="AI1070" s="35"/>
      <c r="AJ1070" s="38"/>
      <c r="AK1070" s="38"/>
      <c r="AL1070" s="23"/>
      <c r="AM1070" s="35">
        <f>VLOOKUP(Tabla4[[#This Row],[SERVICIO 2025]],$J$2:$V$14,5,0)*Tabla4[[#This Row],[TOTAL COBERTURA]]</f>
        <v>6787011</v>
      </c>
      <c r="AN1070" s="35">
        <f>VLOOKUP(Tabla4[[#This Row],[SERVICIO 2025]],$J$2:$V$14,6,0)*Tabla4[[#This Row],[TOTAL COBERTURA]]</f>
        <v>5778311</v>
      </c>
      <c r="AO1070" s="35">
        <f>VLOOKUP(Tabla4[[#This Row],[SERVICIO 2025]],$J$2:$V$14,8,0)*Tabla4[[#This Row],[TOTAL COBERTURA]]</f>
        <v>0</v>
      </c>
      <c r="AP1070" s="35">
        <f>VLOOKUP(Tabla4[[#This Row],[SERVICIO 2025]],$J$2:$V$14,3,0)*Tabla4[[#This Row],[TOTAL COBERTURA]]*8</f>
        <v>309976128</v>
      </c>
      <c r="AQ1070" s="35"/>
      <c r="AR1070" s="35">
        <f>Tabla4[[#This Row],[VALOR FASE PREPARATORIA DE ALISTAMIENTO]]+Tabla4[[#This Row],[VALOR FASE PREPARATORIA DE CIERRE]]+Tabla4[[#This Row],[DOTACIÓN ÚNICA]]+Tabla4[[#This Row],[VALOR ATENCIÓN]]+Tabla4[[#This Row],[VALOR RACION PREPARADA]]</f>
        <v>322541450</v>
      </c>
      <c r="AS1070" s="35" t="str">
        <f>+IF(Tabla4[[#This Row],[AGRUPACIONES]]=1,SUMIFS(Tabla4[VALOR TOTAL],Tabla4[ZONA DEFINITIVO],Tabla4[[#This Row],[ZONA DEFINITIVO]])," ")</f>
        <v xml:space="preserve"> </v>
      </c>
      <c r="AT1070" s="27">
        <f>(VLOOKUP(Tabla4[[#This Row],[SERVICIO 2025]],$J$2:$V$14,3,0)*Tabla4[[#This Row],[TOTAL COBERTURA]])+Tabla4[[#This Row],[VALOR FASE PREPARATORIA DE ALISTAMIENTO]]+Tabla4[[#This Row],[DOTACIÓN ÚNICA]]</f>
        <v>45534027</v>
      </c>
      <c r="AU1070" s="35">
        <f>(VLOOKUP(Tabla4[[#This Row],[SERVICIO 2025]],$J$2:$V$14,3,0)*Tabla4[[#This Row],[TOTAL COBERTURA]])</f>
        <v>38747016</v>
      </c>
      <c r="AV1070" s="35">
        <f>(VLOOKUP(Tabla4[[#This Row],[SERVICIO 2025]],$J$2:$V$14,3,0)*Tabla4[[#This Row],[TOTAL COBERTURA]])</f>
        <v>38747016</v>
      </c>
      <c r="AW1070" s="35">
        <f>(VLOOKUP(Tabla4[[#This Row],[SERVICIO 2025]],$J$2:$V$14,3,0)*Tabla4[[#This Row],[TOTAL COBERTURA]])</f>
        <v>38747016</v>
      </c>
      <c r="AX1070" s="35">
        <f>(VLOOKUP(Tabla4[[#This Row],[SERVICIO 2025]],$J$2:$V$14,3,0)*Tabla4[[#This Row],[TOTAL COBERTURA]])</f>
        <v>38747016</v>
      </c>
      <c r="AY1070" s="35">
        <f>(VLOOKUP(Tabla4[[#This Row],[SERVICIO 2025]],$J$2:$V$14,3,0)*Tabla4[[#This Row],[TOTAL COBERTURA]])</f>
        <v>38747016</v>
      </c>
      <c r="AZ1070" s="35">
        <f>(VLOOKUP(Tabla4[[#This Row],[SERVICIO 2025]],$J$2:$V$14,3,0)*Tabla4[[#This Row],[TOTAL COBERTURA]])</f>
        <v>38747016</v>
      </c>
      <c r="BA1070" s="35">
        <f>(VLOOKUP(Tabla4[[#This Row],[SERVICIO 2025]],$J$2:$V$14,3,0)*Tabla4[[#This Row],[TOTAL COBERTURA]])+Tabla4[[#This Row],[VALOR FASE PREPARATORIA DE CIERRE]]</f>
        <v>44525327</v>
      </c>
      <c r="BB1070" s="35">
        <f>SUM(Tabla4[[#This Row],[DESEMBOLSO 1]:[DESEMBOLSO 8]])</f>
        <v>322541450</v>
      </c>
      <c r="BC1070" s="35">
        <f>VLOOKUP(Tabla4[[#This Row],[SERVICIO 2025]],$J$2:$V$14,10,0)*Tabla4[[#This Row],[TOTAL COBERTURA]]*$W$3</f>
        <v>0</v>
      </c>
      <c r="BD1070" s="47" t="s">
        <v>145</v>
      </c>
      <c r="BE1070" s="12" t="b">
        <f>EXACT(Tabla4[[#This Row],[VALOR ATENCIÓN (8 MESES)]],Tabla4[[#This Row],[VALOR TOTAL]])</f>
        <v>1</v>
      </c>
      <c r="BF1070" s="23">
        <f>Tabla4[[#This Row],[VALOR ATENCIÓN (8 MESES)]]-Tabla4[[#This Row],[VALOR TOTAL]]</f>
        <v>0</v>
      </c>
      <c r="BG1070" s="12" t="b">
        <f>EXACT(Tabla4[[#This Row],[TOTAL DESEMBOLSOS]],Tabla4[[#This Row],[VALOR ATENCIÓN (8 MESES)]])</f>
        <v>1</v>
      </c>
      <c r="BH1070" s="29">
        <f>Tabla4[[#This Row],[TOTAL DESEMBOLSOS]]-Tabla4[[#This Row],[VALOR ATENCIÓN (8 MESES)]]</f>
        <v>0</v>
      </c>
      <c r="BI1070" t="s">
        <v>98</v>
      </c>
      <c r="BJ1070">
        <v>2000</v>
      </c>
    </row>
    <row r="1071" spans="1:62">
      <c r="A1071" s="13">
        <v>2001</v>
      </c>
      <c r="B1071" s="13" t="s">
        <v>2353</v>
      </c>
      <c r="C1071" s="12" t="s">
        <v>87</v>
      </c>
      <c r="D1071" s="12" t="s">
        <v>1534</v>
      </c>
      <c r="E1071" s="12" t="s">
        <v>2354</v>
      </c>
      <c r="F1071" s="12" t="s">
        <v>18</v>
      </c>
      <c r="G1071" s="12" t="s">
        <v>90</v>
      </c>
      <c r="H1071" s="12" t="s">
        <v>960</v>
      </c>
      <c r="I1071" s="12">
        <v>50421136434</v>
      </c>
      <c r="J1071" s="12" t="s">
        <v>2355</v>
      </c>
      <c r="K1071" s="12">
        <v>1</v>
      </c>
      <c r="L1071" s="12">
        <v>15</v>
      </c>
      <c r="M1071" s="12"/>
      <c r="N1071" s="13">
        <v>2001</v>
      </c>
      <c r="O1071" s="12" t="s">
        <v>93</v>
      </c>
      <c r="P1071" s="12"/>
      <c r="Q1071" s="12"/>
      <c r="R1071" s="12" t="s">
        <v>94</v>
      </c>
      <c r="S1071" s="12">
        <v>10</v>
      </c>
      <c r="T1071" s="12" t="s">
        <v>1407</v>
      </c>
      <c r="U1071" s="12" t="s">
        <v>1408</v>
      </c>
      <c r="V1071" s="12">
        <f>VLOOKUP(Tabla4[[#This Row],[ZONA DEFINITIVO]],Hoja1!$A$1:$D$121,3,0)</f>
        <v>229155</v>
      </c>
      <c r="W1071" s="12">
        <f>VLOOKUP(Tabla4[[#This Row],[ZONA DEFINITIVO]],Hoja1!$A$1:$D$121,2,0)</f>
        <v>15247</v>
      </c>
      <c r="X1071" s="12">
        <f>VLOOKUP(Tabla4[[#This Row],[ZONA DEFINITIVO]],Hoja1!$A$1:$D$121,4,0)</f>
        <v>89025</v>
      </c>
      <c r="Y1071" s="12">
        <f>+IF(Tabla4[[#This Row],[AGRUPACIONES]]=1,SUMIFS(Tabla4[UDS],Tabla4[ZONA DEFINITIVO],Tabla4[[#This Row],[ZONA DEFINITIVO]])," ")</f>
        <v>14</v>
      </c>
      <c r="Z1071" s="12">
        <f>+IF(Tabla4[[#This Row],[AGRUPACIONES]]=1,SUMIFS(Tabla4[TOTAL COBERTURA],Tabla4[ZONA DEFINITIVO],Tabla4[[#This Row],[ZONA DEFINITIVO]])," ")</f>
        <v>668</v>
      </c>
      <c r="AA1071" s="12"/>
      <c r="AB1071" s="38">
        <v>32702895</v>
      </c>
      <c r="AC1071" s="37">
        <v>0.02</v>
      </c>
      <c r="AD1071" s="38">
        <f t="shared" si="17"/>
        <v>654057.9</v>
      </c>
      <c r="AE1071" s="12"/>
      <c r="AF1071" s="12">
        <f>COUNTIF($A$20:A1071,A1071)</f>
        <v>1</v>
      </c>
      <c r="AG1071" s="38">
        <v>32702895</v>
      </c>
      <c r="AH1071" s="38">
        <f>Tabla4[[#This Row],[VALOR CONTRAPARTIDA]]+Tabla4[[#This Row],[TOTAL APORTES ICBF]]</f>
        <v>33356952.899999999</v>
      </c>
      <c r="AI1071" s="35">
        <f>ROUND(+IF(Tabla4[[#This Row],[AGRUPACIONES]]=1,SUMIFS(Tabla4[TOTAL APORTES ICBF],Tabla4[ZONA DEFINITIVO],Tabla4[[#This Row],[ZONA DEFINITIVO]])," "),0)</f>
        <v>2427863119</v>
      </c>
      <c r="AJ1071" s="38">
        <f>ROUND(+IF(Tabla4[[#This Row],[AGRUPACIONES]]=1,SUMIFS(Tabla4[VALOR CONTRAPARTIDA],Tabla4[ZONA DEFINITIVO],Tabla4[[#This Row],[ZONA DEFINITIVO]])," "),0)</f>
        <v>48557262</v>
      </c>
      <c r="AK1071" s="38">
        <f>Tabla4[[#This Row],[TOTAL APORTES ICBF AGRUPADO]]+Tabla4[[#This Row],[TOTAL CONTRAPARTIDA AGRUPADO]]</f>
        <v>2476420381</v>
      </c>
      <c r="AL1071" s="23">
        <f>Tabla4[[#This Row],[TOTAL APORTES ICBF AGRUPADO]]/$AL$18</f>
        <v>1705.5589174569723</v>
      </c>
      <c r="AM1071" s="35">
        <f>VLOOKUP(Tabla4[[#This Row],[SERVICIO 2025]],$J$2:$V$14,5,0)*Tabla4[[#This Row],[TOTAL COBERTURA]]</f>
        <v>740640</v>
      </c>
      <c r="AN1071" s="35">
        <f>VLOOKUP(Tabla4[[#This Row],[SERVICIO 2025]],$J$2:$V$14,6,0)*Tabla4[[#This Row],[TOTAL COBERTURA]]</f>
        <v>615435</v>
      </c>
      <c r="AO1071" s="35">
        <f>VLOOKUP(Tabla4[[#This Row],[SERVICIO 2025]],$J$2:$V$14,8,0)*Tabla4[[#This Row],[TOTAL COBERTURA]]</f>
        <v>436500</v>
      </c>
      <c r="AP1071" s="35">
        <f>VLOOKUP(Tabla4[[#This Row],[SERVICIO 2025]],$J$2:$V$14,3,0)*Tabla4[[#This Row],[TOTAL COBERTURA]]*8</f>
        <v>30910320</v>
      </c>
      <c r="AQ1071" s="35"/>
      <c r="AR1071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071" s="35">
        <f>+IF(Tabla4[[#This Row],[AGRUPACIONES]]=1,SUMIFS(Tabla4[VALOR TOTAL],Tabla4[ZONA DEFINITIVO],Tabla4[[#This Row],[ZONA DEFINITIVO]])," ")</f>
        <v>2427863119</v>
      </c>
      <c r="AT1071" s="27">
        <f>(VLOOKUP(Tabla4[[#This Row],[SERVICIO 2025]],$J$2:$V$14,3,0)*Tabla4[[#This Row],[TOTAL COBERTURA]])+Tabla4[[#This Row],[VALOR FASE PREPARATORIA DE ALISTAMIENTO]]+Tabla4[[#This Row],[DOTACIÓN ÚNICA]]</f>
        <v>5040930</v>
      </c>
      <c r="AU1071" s="35">
        <f>(VLOOKUP(Tabla4[[#This Row],[SERVICIO 2025]],$J$2:$V$14,3,0)*Tabla4[[#This Row],[TOTAL COBERTURA]])</f>
        <v>3863790</v>
      </c>
      <c r="AV1071" s="35">
        <f>(VLOOKUP(Tabla4[[#This Row],[SERVICIO 2025]],$J$2:$V$14,3,0)*Tabla4[[#This Row],[TOTAL COBERTURA]])</f>
        <v>3863790</v>
      </c>
      <c r="AW1071" s="35">
        <f>(VLOOKUP(Tabla4[[#This Row],[SERVICIO 2025]],$J$2:$V$14,3,0)*Tabla4[[#This Row],[TOTAL COBERTURA]])</f>
        <v>3863790</v>
      </c>
      <c r="AX1071" s="35">
        <f>(VLOOKUP(Tabla4[[#This Row],[SERVICIO 2025]],$J$2:$V$14,3,0)*Tabla4[[#This Row],[TOTAL COBERTURA]])</f>
        <v>3863790</v>
      </c>
      <c r="AY1071" s="35">
        <f>(VLOOKUP(Tabla4[[#This Row],[SERVICIO 2025]],$J$2:$V$14,3,0)*Tabla4[[#This Row],[TOTAL COBERTURA]])</f>
        <v>3863790</v>
      </c>
      <c r="AZ1071" s="35">
        <f>(VLOOKUP(Tabla4[[#This Row],[SERVICIO 2025]],$J$2:$V$14,3,0)*Tabla4[[#This Row],[TOTAL COBERTURA]])</f>
        <v>3863790</v>
      </c>
      <c r="BA1071" s="35">
        <f>(VLOOKUP(Tabla4[[#This Row],[SERVICIO 2025]],$J$2:$V$14,3,0)*Tabla4[[#This Row],[TOTAL COBERTURA]])+Tabla4[[#This Row],[VALOR FASE PREPARATORIA DE CIERRE]]</f>
        <v>4479225</v>
      </c>
      <c r="BB1071" s="35">
        <f>SUM(Tabla4[[#This Row],[DESEMBOLSO 1]:[DESEMBOLSO 8]])</f>
        <v>32702895</v>
      </c>
      <c r="BC1071" s="35"/>
      <c r="BD1071" s="47" t="s">
        <v>97</v>
      </c>
      <c r="BE1071" s="12" t="b">
        <f>EXACT(Tabla4[[#This Row],[VALOR ATENCIÓN (8 MESES)]],Tabla4[[#This Row],[VALOR TOTAL]])</f>
        <v>1</v>
      </c>
      <c r="BF1071" s="23">
        <f>Tabla4[[#This Row],[VALOR ATENCIÓN (8 MESES)]]-Tabla4[[#This Row],[VALOR TOTAL]]</f>
        <v>0</v>
      </c>
      <c r="BG1071" s="12" t="b">
        <f>EXACT(Tabla4[[#This Row],[TOTAL DESEMBOLSOS]],Tabla4[[#This Row],[VALOR ATENCIÓN (8 MESES)]])</f>
        <v>1</v>
      </c>
      <c r="BH1071" s="29">
        <f>Tabla4[[#This Row],[TOTAL DESEMBOLSOS]]-Tabla4[[#This Row],[VALOR ATENCIÓN (8 MESES)]]</f>
        <v>0</v>
      </c>
      <c r="BI1071" t="s">
        <v>98</v>
      </c>
    </row>
    <row r="1072" spans="1:62">
      <c r="A1072" s="13">
        <v>2001</v>
      </c>
      <c r="B1072" s="13" t="s">
        <v>2353</v>
      </c>
      <c r="C1072" s="12" t="s">
        <v>87</v>
      </c>
      <c r="D1072" s="12" t="s">
        <v>1534</v>
      </c>
      <c r="E1072" s="12" t="s">
        <v>2354</v>
      </c>
      <c r="F1072" s="12" t="s">
        <v>18</v>
      </c>
      <c r="G1072" s="12" t="s">
        <v>90</v>
      </c>
      <c r="H1072" s="12" t="s">
        <v>2356</v>
      </c>
      <c r="I1072" s="12">
        <v>50421136488</v>
      </c>
      <c r="J1072" s="12" t="s">
        <v>2357</v>
      </c>
      <c r="K1072" s="12">
        <v>1</v>
      </c>
      <c r="L1072" s="12">
        <v>26</v>
      </c>
      <c r="M1072" s="12"/>
      <c r="N1072" s="13">
        <v>2001</v>
      </c>
      <c r="O1072" s="12" t="s">
        <v>93</v>
      </c>
      <c r="P1072" s="12"/>
      <c r="Q1072" s="12"/>
      <c r="R1072" s="12" t="s">
        <v>94</v>
      </c>
      <c r="S1072" s="12">
        <v>10</v>
      </c>
      <c r="T1072" s="12" t="s">
        <v>1407</v>
      </c>
      <c r="U1072" s="12" t="s">
        <v>1408</v>
      </c>
      <c r="V1072" s="12">
        <f>VLOOKUP(Tabla4[[#This Row],[ZONA DEFINITIVO]],Hoja1!$A$1:$D$121,3,0)</f>
        <v>229155</v>
      </c>
      <c r="W1072" s="12">
        <f>VLOOKUP(Tabla4[[#This Row],[ZONA DEFINITIVO]],Hoja1!$A$1:$D$121,2,0)</f>
        <v>15247</v>
      </c>
      <c r="X1072" s="12">
        <f>VLOOKUP(Tabla4[[#This Row],[ZONA DEFINITIVO]],Hoja1!$A$1:$D$121,4,0)</f>
        <v>89025</v>
      </c>
      <c r="Y1072" s="12" t="str">
        <f>+IF(Tabla4[[#This Row],[AGRUPACIONES]]=1,SUMIFS(Tabla4[UDS],Tabla4[ZONA DEFINITIVO],Tabla4[[#This Row],[ZONA DEFINITIVO]])," ")</f>
        <v xml:space="preserve"> </v>
      </c>
      <c r="Z1072" s="12" t="str">
        <f>+IF(Tabla4[[#This Row],[AGRUPACIONES]]=1,SUMIFS(Tabla4[TOTAL COBERTURA],Tabla4[ZONA DEFINITIVO],Tabla4[[#This Row],[ZONA DEFINITIVO]])," ")</f>
        <v xml:space="preserve"> </v>
      </c>
      <c r="AA1072" s="12"/>
      <c r="AB1072" s="38">
        <v>56685018</v>
      </c>
      <c r="AC1072" s="37">
        <v>0.02</v>
      </c>
      <c r="AD1072" s="38">
        <f t="shared" si="17"/>
        <v>1133700.3600000001</v>
      </c>
      <c r="AE1072" s="12"/>
      <c r="AF1072" s="12">
        <f>COUNTIF($A$20:A1072,A1072)</f>
        <v>2</v>
      </c>
      <c r="AG1072" s="38">
        <v>56685018</v>
      </c>
      <c r="AH1072" s="38">
        <f>Tabla4[[#This Row],[VALOR CONTRAPARTIDA]]+Tabla4[[#This Row],[TOTAL APORTES ICBF]]</f>
        <v>57818718.359999999</v>
      </c>
      <c r="AI1072" s="35"/>
      <c r="AJ1072" s="38"/>
      <c r="AK1072" s="38"/>
      <c r="AL1072" s="23"/>
      <c r="AM1072" s="35">
        <f>VLOOKUP(Tabla4[[#This Row],[SERVICIO 2025]],$J$2:$V$14,5,0)*Tabla4[[#This Row],[TOTAL COBERTURA]]</f>
        <v>1283776</v>
      </c>
      <c r="AN1072" s="35">
        <f>VLOOKUP(Tabla4[[#This Row],[SERVICIO 2025]],$J$2:$V$14,6,0)*Tabla4[[#This Row],[TOTAL COBERTURA]]</f>
        <v>1066754</v>
      </c>
      <c r="AO1072" s="35">
        <f>VLOOKUP(Tabla4[[#This Row],[SERVICIO 2025]],$J$2:$V$14,8,0)*Tabla4[[#This Row],[TOTAL COBERTURA]]</f>
        <v>756600</v>
      </c>
      <c r="AP1072" s="35">
        <f>VLOOKUP(Tabla4[[#This Row],[SERVICIO 2025]],$J$2:$V$14,3,0)*Tabla4[[#This Row],[TOTAL COBERTURA]]*8</f>
        <v>53577888</v>
      </c>
      <c r="AQ1072" s="35"/>
      <c r="AR1072" s="35">
        <f>Tabla4[[#This Row],[VALOR FASE PREPARATORIA DE ALISTAMIENTO]]+Tabla4[[#This Row],[VALOR FASE PREPARATORIA DE CIERRE]]+Tabla4[[#This Row],[DOTACIÓN ÚNICA]]+Tabla4[[#This Row],[VALOR ATENCIÓN]]+Tabla4[[#This Row],[VALOR RACION PREPARADA]]</f>
        <v>56685018</v>
      </c>
      <c r="AS1072" s="35" t="str">
        <f>+IF(Tabla4[[#This Row],[AGRUPACIONES]]=1,SUMIFS(Tabla4[VALOR TOTAL],Tabla4[ZONA DEFINITIVO],Tabla4[[#This Row],[ZONA DEFINITIVO]])," ")</f>
        <v xml:space="preserve"> </v>
      </c>
      <c r="AT1072" s="27">
        <f>(VLOOKUP(Tabla4[[#This Row],[SERVICIO 2025]],$J$2:$V$14,3,0)*Tabla4[[#This Row],[TOTAL COBERTURA]])+Tabla4[[#This Row],[VALOR FASE PREPARATORIA DE ALISTAMIENTO]]+Tabla4[[#This Row],[DOTACIÓN ÚNICA]]</f>
        <v>8737612</v>
      </c>
      <c r="AU1072" s="35">
        <f>(VLOOKUP(Tabla4[[#This Row],[SERVICIO 2025]],$J$2:$V$14,3,0)*Tabla4[[#This Row],[TOTAL COBERTURA]])</f>
        <v>6697236</v>
      </c>
      <c r="AV1072" s="35">
        <f>(VLOOKUP(Tabla4[[#This Row],[SERVICIO 2025]],$J$2:$V$14,3,0)*Tabla4[[#This Row],[TOTAL COBERTURA]])</f>
        <v>6697236</v>
      </c>
      <c r="AW1072" s="35">
        <f>(VLOOKUP(Tabla4[[#This Row],[SERVICIO 2025]],$J$2:$V$14,3,0)*Tabla4[[#This Row],[TOTAL COBERTURA]])</f>
        <v>6697236</v>
      </c>
      <c r="AX1072" s="35">
        <f>(VLOOKUP(Tabla4[[#This Row],[SERVICIO 2025]],$J$2:$V$14,3,0)*Tabla4[[#This Row],[TOTAL COBERTURA]])</f>
        <v>6697236</v>
      </c>
      <c r="AY1072" s="35">
        <f>(VLOOKUP(Tabla4[[#This Row],[SERVICIO 2025]],$J$2:$V$14,3,0)*Tabla4[[#This Row],[TOTAL COBERTURA]])</f>
        <v>6697236</v>
      </c>
      <c r="AZ1072" s="35">
        <f>(VLOOKUP(Tabla4[[#This Row],[SERVICIO 2025]],$J$2:$V$14,3,0)*Tabla4[[#This Row],[TOTAL COBERTURA]])</f>
        <v>6697236</v>
      </c>
      <c r="BA1072" s="35">
        <f>(VLOOKUP(Tabla4[[#This Row],[SERVICIO 2025]],$J$2:$V$14,3,0)*Tabla4[[#This Row],[TOTAL COBERTURA]])+Tabla4[[#This Row],[VALOR FASE PREPARATORIA DE CIERRE]]</f>
        <v>7763990</v>
      </c>
      <c r="BB1072" s="35">
        <f>SUM(Tabla4[[#This Row],[DESEMBOLSO 1]:[DESEMBOLSO 8]])</f>
        <v>56685018</v>
      </c>
      <c r="BC1072" s="35"/>
      <c r="BD1072" s="47" t="s">
        <v>97</v>
      </c>
      <c r="BE1072" s="12" t="b">
        <f>EXACT(Tabla4[[#This Row],[VALOR ATENCIÓN (8 MESES)]],Tabla4[[#This Row],[VALOR TOTAL]])</f>
        <v>1</v>
      </c>
      <c r="BF1072" s="23">
        <f>Tabla4[[#This Row],[VALOR ATENCIÓN (8 MESES)]]-Tabla4[[#This Row],[VALOR TOTAL]]</f>
        <v>0</v>
      </c>
      <c r="BG1072" s="12" t="b">
        <f>EXACT(Tabla4[[#This Row],[TOTAL DESEMBOLSOS]],Tabla4[[#This Row],[VALOR ATENCIÓN (8 MESES)]])</f>
        <v>1</v>
      </c>
      <c r="BH1072" s="29">
        <f>Tabla4[[#This Row],[TOTAL DESEMBOLSOS]]-Tabla4[[#This Row],[VALOR ATENCIÓN (8 MESES)]]</f>
        <v>0</v>
      </c>
      <c r="BI1072" t="s">
        <v>98</v>
      </c>
    </row>
    <row r="1073" spans="1:61">
      <c r="A1073" s="13">
        <v>2001</v>
      </c>
      <c r="B1073" s="13" t="s">
        <v>2353</v>
      </c>
      <c r="C1073" s="12" t="s">
        <v>87</v>
      </c>
      <c r="D1073" s="12" t="s">
        <v>1534</v>
      </c>
      <c r="E1073" s="12" t="s">
        <v>2354</v>
      </c>
      <c r="F1073" s="12" t="s">
        <v>18</v>
      </c>
      <c r="G1073" s="12" t="s">
        <v>90</v>
      </c>
      <c r="H1073" s="12" t="s">
        <v>2358</v>
      </c>
      <c r="I1073" s="12">
        <v>50421136489</v>
      </c>
      <c r="J1073" s="12" t="s">
        <v>2359</v>
      </c>
      <c r="K1073" s="12">
        <v>1</v>
      </c>
      <c r="L1073" s="12">
        <v>17</v>
      </c>
      <c r="M1073" s="12"/>
      <c r="N1073" s="13">
        <v>2001</v>
      </c>
      <c r="O1073" s="12" t="s">
        <v>93</v>
      </c>
      <c r="P1073" s="12"/>
      <c r="Q1073" s="12"/>
      <c r="R1073" s="12" t="s">
        <v>94</v>
      </c>
      <c r="S1073" s="12">
        <v>10</v>
      </c>
      <c r="T1073" s="12" t="s">
        <v>1407</v>
      </c>
      <c r="U1073" s="12" t="s">
        <v>1408</v>
      </c>
      <c r="V1073" s="12">
        <f>VLOOKUP(Tabla4[[#This Row],[ZONA DEFINITIVO]],Hoja1!$A$1:$D$121,3,0)</f>
        <v>229155</v>
      </c>
      <c r="W1073" s="12">
        <f>VLOOKUP(Tabla4[[#This Row],[ZONA DEFINITIVO]],Hoja1!$A$1:$D$121,2,0)</f>
        <v>15247</v>
      </c>
      <c r="X1073" s="12">
        <f>VLOOKUP(Tabla4[[#This Row],[ZONA DEFINITIVO]],Hoja1!$A$1:$D$121,4,0)</f>
        <v>89025</v>
      </c>
      <c r="Y1073" s="12" t="str">
        <f>+IF(Tabla4[[#This Row],[AGRUPACIONES]]=1,SUMIFS(Tabla4[UDS],Tabla4[ZONA DEFINITIVO],Tabla4[[#This Row],[ZONA DEFINITIVO]])," ")</f>
        <v xml:space="preserve"> </v>
      </c>
      <c r="Z1073" s="12" t="str">
        <f>+IF(Tabla4[[#This Row],[AGRUPACIONES]]=1,SUMIFS(Tabla4[TOTAL COBERTURA],Tabla4[ZONA DEFINITIVO],Tabla4[[#This Row],[ZONA DEFINITIVO]])," ")</f>
        <v xml:space="preserve"> </v>
      </c>
      <c r="AA1073" s="12"/>
      <c r="AB1073" s="38">
        <v>37063281</v>
      </c>
      <c r="AC1073" s="37">
        <v>0.02</v>
      </c>
      <c r="AD1073" s="38">
        <f t="shared" si="17"/>
        <v>741265.62</v>
      </c>
      <c r="AE1073" s="12"/>
      <c r="AF1073" s="12">
        <f>COUNTIF($A$20:A1073,A1073)</f>
        <v>3</v>
      </c>
      <c r="AG1073" s="38">
        <v>37063281</v>
      </c>
      <c r="AH1073" s="38">
        <f>Tabla4[[#This Row],[VALOR CONTRAPARTIDA]]+Tabla4[[#This Row],[TOTAL APORTES ICBF]]</f>
        <v>37804546.619999997</v>
      </c>
      <c r="AI1073" s="35"/>
      <c r="AJ1073" s="38"/>
      <c r="AK1073" s="38"/>
      <c r="AL1073" s="23"/>
      <c r="AM1073" s="35">
        <f>VLOOKUP(Tabla4[[#This Row],[SERVICIO 2025]],$J$2:$V$14,5,0)*Tabla4[[#This Row],[TOTAL COBERTURA]]</f>
        <v>839392</v>
      </c>
      <c r="AN1073" s="35">
        <f>VLOOKUP(Tabla4[[#This Row],[SERVICIO 2025]],$J$2:$V$14,6,0)*Tabla4[[#This Row],[TOTAL COBERTURA]]</f>
        <v>697493</v>
      </c>
      <c r="AO1073" s="35">
        <f>VLOOKUP(Tabla4[[#This Row],[SERVICIO 2025]],$J$2:$V$14,8,0)*Tabla4[[#This Row],[TOTAL COBERTURA]]</f>
        <v>494700</v>
      </c>
      <c r="AP1073" s="35">
        <f>VLOOKUP(Tabla4[[#This Row],[SERVICIO 2025]],$J$2:$V$14,3,0)*Tabla4[[#This Row],[TOTAL COBERTURA]]*8</f>
        <v>35031696</v>
      </c>
      <c r="AQ1073" s="35"/>
      <c r="AR1073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1073" s="35" t="str">
        <f>+IF(Tabla4[[#This Row],[AGRUPACIONES]]=1,SUMIFS(Tabla4[VALOR TOTAL],Tabla4[ZONA DEFINITIVO],Tabla4[[#This Row],[ZONA DEFINITIVO]])," ")</f>
        <v xml:space="preserve"> </v>
      </c>
      <c r="AT1073" s="27">
        <f>(VLOOKUP(Tabla4[[#This Row],[SERVICIO 2025]],$J$2:$V$14,3,0)*Tabla4[[#This Row],[TOTAL COBERTURA]])+Tabla4[[#This Row],[VALOR FASE PREPARATORIA DE ALISTAMIENTO]]+Tabla4[[#This Row],[DOTACIÓN ÚNICA]]</f>
        <v>5713054</v>
      </c>
      <c r="AU1073" s="35">
        <f>(VLOOKUP(Tabla4[[#This Row],[SERVICIO 2025]],$J$2:$V$14,3,0)*Tabla4[[#This Row],[TOTAL COBERTURA]])</f>
        <v>4378962</v>
      </c>
      <c r="AV1073" s="35">
        <f>(VLOOKUP(Tabla4[[#This Row],[SERVICIO 2025]],$J$2:$V$14,3,0)*Tabla4[[#This Row],[TOTAL COBERTURA]])</f>
        <v>4378962</v>
      </c>
      <c r="AW1073" s="35">
        <f>(VLOOKUP(Tabla4[[#This Row],[SERVICIO 2025]],$J$2:$V$14,3,0)*Tabla4[[#This Row],[TOTAL COBERTURA]])</f>
        <v>4378962</v>
      </c>
      <c r="AX1073" s="35">
        <f>(VLOOKUP(Tabla4[[#This Row],[SERVICIO 2025]],$J$2:$V$14,3,0)*Tabla4[[#This Row],[TOTAL COBERTURA]])</f>
        <v>4378962</v>
      </c>
      <c r="AY1073" s="35">
        <f>(VLOOKUP(Tabla4[[#This Row],[SERVICIO 2025]],$J$2:$V$14,3,0)*Tabla4[[#This Row],[TOTAL COBERTURA]])</f>
        <v>4378962</v>
      </c>
      <c r="AZ1073" s="35">
        <f>(VLOOKUP(Tabla4[[#This Row],[SERVICIO 2025]],$J$2:$V$14,3,0)*Tabla4[[#This Row],[TOTAL COBERTURA]])</f>
        <v>4378962</v>
      </c>
      <c r="BA1073" s="35">
        <f>(VLOOKUP(Tabla4[[#This Row],[SERVICIO 2025]],$J$2:$V$14,3,0)*Tabla4[[#This Row],[TOTAL COBERTURA]])+Tabla4[[#This Row],[VALOR FASE PREPARATORIA DE CIERRE]]</f>
        <v>5076455</v>
      </c>
      <c r="BB1073" s="35">
        <f>SUM(Tabla4[[#This Row],[DESEMBOLSO 1]:[DESEMBOLSO 8]])</f>
        <v>37063281</v>
      </c>
      <c r="BC1073" s="35"/>
      <c r="BD1073" s="47" t="s">
        <v>97</v>
      </c>
      <c r="BE1073" s="12" t="b">
        <f>EXACT(Tabla4[[#This Row],[VALOR ATENCIÓN (8 MESES)]],Tabla4[[#This Row],[VALOR TOTAL]])</f>
        <v>1</v>
      </c>
      <c r="BF1073" s="23">
        <f>Tabla4[[#This Row],[VALOR ATENCIÓN (8 MESES)]]-Tabla4[[#This Row],[VALOR TOTAL]]</f>
        <v>0</v>
      </c>
      <c r="BG1073" s="12" t="b">
        <f>EXACT(Tabla4[[#This Row],[TOTAL DESEMBOLSOS]],Tabla4[[#This Row],[VALOR ATENCIÓN (8 MESES)]])</f>
        <v>1</v>
      </c>
      <c r="BH1073" s="29">
        <f>Tabla4[[#This Row],[TOTAL DESEMBOLSOS]]-Tabla4[[#This Row],[VALOR ATENCIÓN (8 MESES)]]</f>
        <v>0</v>
      </c>
      <c r="BI1073" t="s">
        <v>98</v>
      </c>
    </row>
    <row r="1074" spans="1:61">
      <c r="A1074" s="13">
        <v>2001</v>
      </c>
      <c r="B1074" s="13" t="s">
        <v>2353</v>
      </c>
      <c r="C1074" s="12" t="s">
        <v>87</v>
      </c>
      <c r="D1074" s="12" t="s">
        <v>1534</v>
      </c>
      <c r="E1074" s="12" t="s">
        <v>2354</v>
      </c>
      <c r="F1074" s="12" t="s">
        <v>18</v>
      </c>
      <c r="G1074" s="12" t="s">
        <v>90</v>
      </c>
      <c r="H1074" s="12" t="s">
        <v>2360</v>
      </c>
      <c r="I1074" s="12">
        <v>50421136509</v>
      </c>
      <c r="J1074" s="12" t="s">
        <v>2361</v>
      </c>
      <c r="K1074" s="12">
        <v>1</v>
      </c>
      <c r="L1074" s="12">
        <v>23</v>
      </c>
      <c r="M1074" s="12"/>
      <c r="N1074" s="13">
        <v>2001</v>
      </c>
      <c r="O1074" s="12" t="s">
        <v>93</v>
      </c>
      <c r="P1074" s="12"/>
      <c r="Q1074" s="12"/>
      <c r="R1074" s="12" t="s">
        <v>94</v>
      </c>
      <c r="S1074" s="12">
        <v>10</v>
      </c>
      <c r="T1074" s="12" t="s">
        <v>1407</v>
      </c>
      <c r="U1074" s="12" t="s">
        <v>1408</v>
      </c>
      <c r="V1074" s="12">
        <f>VLOOKUP(Tabla4[[#This Row],[ZONA DEFINITIVO]],Hoja1!$A$1:$D$121,3,0)</f>
        <v>229155</v>
      </c>
      <c r="W1074" s="12">
        <f>VLOOKUP(Tabla4[[#This Row],[ZONA DEFINITIVO]],Hoja1!$A$1:$D$121,2,0)</f>
        <v>15247</v>
      </c>
      <c r="X1074" s="12">
        <f>VLOOKUP(Tabla4[[#This Row],[ZONA DEFINITIVO]],Hoja1!$A$1:$D$121,4,0)</f>
        <v>89025</v>
      </c>
      <c r="Y1074" s="12" t="str">
        <f>+IF(Tabla4[[#This Row],[AGRUPACIONES]]=1,SUMIFS(Tabla4[UDS],Tabla4[ZONA DEFINITIVO],Tabla4[[#This Row],[ZONA DEFINITIVO]])," ")</f>
        <v xml:space="preserve"> </v>
      </c>
      <c r="Z1074" s="12" t="str">
        <f>+IF(Tabla4[[#This Row],[AGRUPACIONES]]=1,SUMIFS(Tabla4[TOTAL COBERTURA],Tabla4[ZONA DEFINITIVO],Tabla4[[#This Row],[ZONA DEFINITIVO]])," ")</f>
        <v xml:space="preserve"> </v>
      </c>
      <c r="AA1074" s="12"/>
      <c r="AB1074" s="38">
        <v>50144439</v>
      </c>
      <c r="AC1074" s="37">
        <v>0.02</v>
      </c>
      <c r="AD1074" s="38">
        <f t="shared" si="17"/>
        <v>1002888.78</v>
      </c>
      <c r="AE1074" s="12"/>
      <c r="AF1074" s="12">
        <f>COUNTIF($A$20:A1074,A1074)</f>
        <v>4</v>
      </c>
      <c r="AG1074" s="38">
        <v>50144439</v>
      </c>
      <c r="AH1074" s="38">
        <f>Tabla4[[#This Row],[VALOR CONTRAPARTIDA]]+Tabla4[[#This Row],[TOTAL APORTES ICBF]]</f>
        <v>51147327.780000001</v>
      </c>
      <c r="AI1074" s="35"/>
      <c r="AJ1074" s="38"/>
      <c r="AK1074" s="38"/>
      <c r="AL1074" s="23"/>
      <c r="AM1074" s="35">
        <f>VLOOKUP(Tabla4[[#This Row],[SERVICIO 2025]],$J$2:$V$14,5,0)*Tabla4[[#This Row],[TOTAL COBERTURA]]</f>
        <v>1135648</v>
      </c>
      <c r="AN1074" s="35">
        <f>VLOOKUP(Tabla4[[#This Row],[SERVICIO 2025]],$J$2:$V$14,6,0)*Tabla4[[#This Row],[TOTAL COBERTURA]]</f>
        <v>943667</v>
      </c>
      <c r="AO1074" s="35">
        <f>VLOOKUP(Tabla4[[#This Row],[SERVICIO 2025]],$J$2:$V$14,8,0)*Tabla4[[#This Row],[TOTAL COBERTURA]]</f>
        <v>669300</v>
      </c>
      <c r="AP1074" s="35">
        <f>VLOOKUP(Tabla4[[#This Row],[SERVICIO 2025]],$J$2:$V$14,3,0)*Tabla4[[#This Row],[TOTAL COBERTURA]]*8</f>
        <v>47395824</v>
      </c>
      <c r="AQ1074" s="35"/>
      <c r="AR1074" s="35">
        <f>Tabla4[[#This Row],[VALOR FASE PREPARATORIA DE ALISTAMIENTO]]+Tabla4[[#This Row],[VALOR FASE PREPARATORIA DE CIERRE]]+Tabla4[[#This Row],[DOTACIÓN ÚNICA]]+Tabla4[[#This Row],[VALOR ATENCIÓN]]+Tabla4[[#This Row],[VALOR RACION PREPARADA]]</f>
        <v>50144439</v>
      </c>
      <c r="AS1074" s="35" t="str">
        <f>+IF(Tabla4[[#This Row],[AGRUPACIONES]]=1,SUMIFS(Tabla4[VALOR TOTAL],Tabla4[ZONA DEFINITIVO],Tabla4[[#This Row],[ZONA DEFINITIVO]])," ")</f>
        <v xml:space="preserve"> </v>
      </c>
      <c r="AT1074" s="27">
        <f>(VLOOKUP(Tabla4[[#This Row],[SERVICIO 2025]],$J$2:$V$14,3,0)*Tabla4[[#This Row],[TOTAL COBERTURA]])+Tabla4[[#This Row],[VALOR FASE PREPARATORIA DE ALISTAMIENTO]]+Tabla4[[#This Row],[DOTACIÓN ÚNICA]]</f>
        <v>7729426</v>
      </c>
      <c r="AU1074" s="35">
        <f>(VLOOKUP(Tabla4[[#This Row],[SERVICIO 2025]],$J$2:$V$14,3,0)*Tabla4[[#This Row],[TOTAL COBERTURA]])</f>
        <v>5924478</v>
      </c>
      <c r="AV1074" s="35">
        <f>(VLOOKUP(Tabla4[[#This Row],[SERVICIO 2025]],$J$2:$V$14,3,0)*Tabla4[[#This Row],[TOTAL COBERTURA]])</f>
        <v>5924478</v>
      </c>
      <c r="AW1074" s="35">
        <f>(VLOOKUP(Tabla4[[#This Row],[SERVICIO 2025]],$J$2:$V$14,3,0)*Tabla4[[#This Row],[TOTAL COBERTURA]])</f>
        <v>5924478</v>
      </c>
      <c r="AX1074" s="35">
        <f>(VLOOKUP(Tabla4[[#This Row],[SERVICIO 2025]],$J$2:$V$14,3,0)*Tabla4[[#This Row],[TOTAL COBERTURA]])</f>
        <v>5924478</v>
      </c>
      <c r="AY1074" s="35">
        <f>(VLOOKUP(Tabla4[[#This Row],[SERVICIO 2025]],$J$2:$V$14,3,0)*Tabla4[[#This Row],[TOTAL COBERTURA]])</f>
        <v>5924478</v>
      </c>
      <c r="AZ1074" s="35">
        <f>(VLOOKUP(Tabla4[[#This Row],[SERVICIO 2025]],$J$2:$V$14,3,0)*Tabla4[[#This Row],[TOTAL COBERTURA]])</f>
        <v>5924478</v>
      </c>
      <c r="BA1074" s="35">
        <f>(VLOOKUP(Tabla4[[#This Row],[SERVICIO 2025]],$J$2:$V$14,3,0)*Tabla4[[#This Row],[TOTAL COBERTURA]])+Tabla4[[#This Row],[VALOR FASE PREPARATORIA DE CIERRE]]</f>
        <v>6868145</v>
      </c>
      <c r="BB1074" s="35">
        <f>SUM(Tabla4[[#This Row],[DESEMBOLSO 1]:[DESEMBOLSO 8]])</f>
        <v>50144439</v>
      </c>
      <c r="BC1074" s="35"/>
      <c r="BD1074" s="47" t="s">
        <v>97</v>
      </c>
      <c r="BE1074" s="12" t="b">
        <f>EXACT(Tabla4[[#This Row],[VALOR ATENCIÓN (8 MESES)]],Tabla4[[#This Row],[VALOR TOTAL]])</f>
        <v>1</v>
      </c>
      <c r="BF1074" s="23">
        <f>Tabla4[[#This Row],[VALOR ATENCIÓN (8 MESES)]]-Tabla4[[#This Row],[VALOR TOTAL]]</f>
        <v>0</v>
      </c>
      <c r="BG1074" s="12" t="b">
        <f>EXACT(Tabla4[[#This Row],[TOTAL DESEMBOLSOS]],Tabla4[[#This Row],[VALOR ATENCIÓN (8 MESES)]])</f>
        <v>1</v>
      </c>
      <c r="BH1074" s="29">
        <f>Tabla4[[#This Row],[TOTAL DESEMBOLSOS]]-Tabla4[[#This Row],[VALOR ATENCIÓN (8 MESES)]]</f>
        <v>0</v>
      </c>
      <c r="BI1074" t="s">
        <v>98</v>
      </c>
    </row>
    <row r="1075" spans="1:61">
      <c r="A1075" s="13">
        <v>2001</v>
      </c>
      <c r="B1075" s="13" t="s">
        <v>2353</v>
      </c>
      <c r="C1075" s="12" t="s">
        <v>87</v>
      </c>
      <c r="D1075" s="12" t="s">
        <v>1534</v>
      </c>
      <c r="E1075" s="12" t="s">
        <v>2354</v>
      </c>
      <c r="F1075" s="12" t="s">
        <v>18</v>
      </c>
      <c r="G1075" s="12" t="s">
        <v>90</v>
      </c>
      <c r="H1075" s="12" t="s">
        <v>2362</v>
      </c>
      <c r="I1075" s="12">
        <v>50421136521</v>
      </c>
      <c r="J1075" s="12" t="s">
        <v>2363</v>
      </c>
      <c r="K1075" s="12">
        <v>1</v>
      </c>
      <c r="L1075" s="12">
        <v>15</v>
      </c>
      <c r="M1075" s="12"/>
      <c r="N1075" s="13">
        <v>2001</v>
      </c>
      <c r="O1075" s="12" t="s">
        <v>93</v>
      </c>
      <c r="P1075" s="12"/>
      <c r="Q1075" s="12"/>
      <c r="R1075" s="12" t="s">
        <v>94</v>
      </c>
      <c r="S1075" s="12">
        <v>10</v>
      </c>
      <c r="T1075" s="12" t="s">
        <v>1407</v>
      </c>
      <c r="U1075" s="12" t="s">
        <v>1408</v>
      </c>
      <c r="V1075" s="12">
        <f>VLOOKUP(Tabla4[[#This Row],[ZONA DEFINITIVO]],Hoja1!$A$1:$D$121,3,0)</f>
        <v>229155</v>
      </c>
      <c r="W1075" s="12">
        <f>VLOOKUP(Tabla4[[#This Row],[ZONA DEFINITIVO]],Hoja1!$A$1:$D$121,2,0)</f>
        <v>15247</v>
      </c>
      <c r="X1075" s="12">
        <f>VLOOKUP(Tabla4[[#This Row],[ZONA DEFINITIVO]],Hoja1!$A$1:$D$121,4,0)</f>
        <v>89025</v>
      </c>
      <c r="Y1075" s="12" t="str">
        <f>+IF(Tabla4[[#This Row],[AGRUPACIONES]]=1,SUMIFS(Tabla4[UDS],Tabla4[ZONA DEFINITIVO],Tabla4[[#This Row],[ZONA DEFINITIVO]])," ")</f>
        <v xml:space="preserve"> </v>
      </c>
      <c r="Z1075" s="12" t="str">
        <f>+IF(Tabla4[[#This Row],[AGRUPACIONES]]=1,SUMIFS(Tabla4[TOTAL COBERTURA],Tabla4[ZONA DEFINITIVO],Tabla4[[#This Row],[ZONA DEFINITIVO]])," ")</f>
        <v xml:space="preserve"> </v>
      </c>
      <c r="AA1075" s="12"/>
      <c r="AB1075" s="38">
        <v>32702895</v>
      </c>
      <c r="AC1075" s="37">
        <v>0.02</v>
      </c>
      <c r="AD1075" s="38">
        <f t="shared" si="17"/>
        <v>654057.9</v>
      </c>
      <c r="AE1075" s="12"/>
      <c r="AF1075" s="12">
        <f>COUNTIF($A$20:A1075,A1075)</f>
        <v>5</v>
      </c>
      <c r="AG1075" s="38">
        <v>32702895</v>
      </c>
      <c r="AH1075" s="38">
        <f>Tabla4[[#This Row],[VALOR CONTRAPARTIDA]]+Tabla4[[#This Row],[TOTAL APORTES ICBF]]</f>
        <v>33356952.899999999</v>
      </c>
      <c r="AI1075" s="35"/>
      <c r="AJ1075" s="38"/>
      <c r="AK1075" s="38"/>
      <c r="AL1075" s="23"/>
      <c r="AM1075" s="35">
        <f>VLOOKUP(Tabla4[[#This Row],[SERVICIO 2025]],$J$2:$V$14,5,0)*Tabla4[[#This Row],[TOTAL COBERTURA]]</f>
        <v>740640</v>
      </c>
      <c r="AN1075" s="35">
        <f>VLOOKUP(Tabla4[[#This Row],[SERVICIO 2025]],$J$2:$V$14,6,0)*Tabla4[[#This Row],[TOTAL COBERTURA]]</f>
        <v>615435</v>
      </c>
      <c r="AO1075" s="35">
        <f>VLOOKUP(Tabla4[[#This Row],[SERVICIO 2025]],$J$2:$V$14,8,0)*Tabla4[[#This Row],[TOTAL COBERTURA]]</f>
        <v>436500</v>
      </c>
      <c r="AP1075" s="35">
        <f>VLOOKUP(Tabla4[[#This Row],[SERVICIO 2025]],$J$2:$V$14,3,0)*Tabla4[[#This Row],[TOTAL COBERTURA]]*8</f>
        <v>30910320</v>
      </c>
      <c r="AQ1075" s="35"/>
      <c r="AR1075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075" s="35" t="str">
        <f>+IF(Tabla4[[#This Row],[AGRUPACIONES]]=1,SUMIFS(Tabla4[VALOR TOTAL],Tabla4[ZONA DEFINITIVO],Tabla4[[#This Row],[ZONA DEFINITIVO]])," ")</f>
        <v xml:space="preserve"> </v>
      </c>
      <c r="AT1075" s="27">
        <f>(VLOOKUP(Tabla4[[#This Row],[SERVICIO 2025]],$J$2:$V$14,3,0)*Tabla4[[#This Row],[TOTAL COBERTURA]])+Tabla4[[#This Row],[VALOR FASE PREPARATORIA DE ALISTAMIENTO]]+Tabla4[[#This Row],[DOTACIÓN ÚNICA]]</f>
        <v>5040930</v>
      </c>
      <c r="AU1075" s="35">
        <f>(VLOOKUP(Tabla4[[#This Row],[SERVICIO 2025]],$J$2:$V$14,3,0)*Tabla4[[#This Row],[TOTAL COBERTURA]])</f>
        <v>3863790</v>
      </c>
      <c r="AV1075" s="35">
        <f>(VLOOKUP(Tabla4[[#This Row],[SERVICIO 2025]],$J$2:$V$14,3,0)*Tabla4[[#This Row],[TOTAL COBERTURA]])</f>
        <v>3863790</v>
      </c>
      <c r="AW1075" s="35">
        <f>(VLOOKUP(Tabla4[[#This Row],[SERVICIO 2025]],$J$2:$V$14,3,0)*Tabla4[[#This Row],[TOTAL COBERTURA]])</f>
        <v>3863790</v>
      </c>
      <c r="AX1075" s="35">
        <f>(VLOOKUP(Tabla4[[#This Row],[SERVICIO 2025]],$J$2:$V$14,3,0)*Tabla4[[#This Row],[TOTAL COBERTURA]])</f>
        <v>3863790</v>
      </c>
      <c r="AY1075" s="35">
        <f>(VLOOKUP(Tabla4[[#This Row],[SERVICIO 2025]],$J$2:$V$14,3,0)*Tabla4[[#This Row],[TOTAL COBERTURA]])</f>
        <v>3863790</v>
      </c>
      <c r="AZ1075" s="35">
        <f>(VLOOKUP(Tabla4[[#This Row],[SERVICIO 2025]],$J$2:$V$14,3,0)*Tabla4[[#This Row],[TOTAL COBERTURA]])</f>
        <v>3863790</v>
      </c>
      <c r="BA1075" s="35">
        <f>(VLOOKUP(Tabla4[[#This Row],[SERVICIO 2025]],$J$2:$V$14,3,0)*Tabla4[[#This Row],[TOTAL COBERTURA]])+Tabla4[[#This Row],[VALOR FASE PREPARATORIA DE CIERRE]]</f>
        <v>4479225</v>
      </c>
      <c r="BB1075" s="35">
        <f>SUM(Tabla4[[#This Row],[DESEMBOLSO 1]:[DESEMBOLSO 8]])</f>
        <v>32702895</v>
      </c>
      <c r="BC1075" s="35"/>
      <c r="BD1075" s="47" t="s">
        <v>97</v>
      </c>
      <c r="BE1075" s="12" t="b">
        <f>EXACT(Tabla4[[#This Row],[VALOR ATENCIÓN (8 MESES)]],Tabla4[[#This Row],[VALOR TOTAL]])</f>
        <v>1</v>
      </c>
      <c r="BF1075" s="23">
        <f>Tabla4[[#This Row],[VALOR ATENCIÓN (8 MESES)]]-Tabla4[[#This Row],[VALOR TOTAL]]</f>
        <v>0</v>
      </c>
      <c r="BG1075" s="12" t="b">
        <f>EXACT(Tabla4[[#This Row],[TOTAL DESEMBOLSOS]],Tabla4[[#This Row],[VALOR ATENCIÓN (8 MESES)]])</f>
        <v>1</v>
      </c>
      <c r="BH1075" s="29">
        <f>Tabla4[[#This Row],[TOTAL DESEMBOLSOS]]-Tabla4[[#This Row],[VALOR ATENCIÓN (8 MESES)]]</f>
        <v>0</v>
      </c>
      <c r="BI1075" t="s">
        <v>98</v>
      </c>
    </row>
    <row r="1076" spans="1:61">
      <c r="A1076" s="13">
        <v>2001</v>
      </c>
      <c r="B1076" s="13" t="s">
        <v>2353</v>
      </c>
      <c r="C1076" s="12" t="s">
        <v>87</v>
      </c>
      <c r="D1076" s="12" t="s">
        <v>1534</v>
      </c>
      <c r="E1076" s="12" t="s">
        <v>2354</v>
      </c>
      <c r="F1076" s="12" t="s">
        <v>15</v>
      </c>
      <c r="G1076" s="12" t="s">
        <v>90</v>
      </c>
      <c r="H1076" s="12" t="s">
        <v>2364</v>
      </c>
      <c r="I1076" s="12">
        <v>50421139879</v>
      </c>
      <c r="J1076" s="12" t="s">
        <v>2365</v>
      </c>
      <c r="K1076" s="12">
        <v>1</v>
      </c>
      <c r="L1076" s="12">
        <v>238</v>
      </c>
      <c r="M1076" s="12"/>
      <c r="N1076" s="13">
        <v>2001</v>
      </c>
      <c r="O1076" s="12" t="s">
        <v>93</v>
      </c>
      <c r="P1076" s="12"/>
      <c r="Q1076" s="12"/>
      <c r="R1076" s="12" t="s">
        <v>94</v>
      </c>
      <c r="S1076" s="12">
        <v>10</v>
      </c>
      <c r="T1076" s="12" t="s">
        <v>1407</v>
      </c>
      <c r="U1076" s="12" t="s">
        <v>1408</v>
      </c>
      <c r="V1076" s="12">
        <f>VLOOKUP(Tabla4[[#This Row],[ZONA DEFINITIVO]],Hoja1!$A$1:$D$121,3,0)</f>
        <v>229155</v>
      </c>
      <c r="W1076" s="12">
        <f>VLOOKUP(Tabla4[[#This Row],[ZONA DEFINITIVO]],Hoja1!$A$1:$D$121,2,0)</f>
        <v>15247</v>
      </c>
      <c r="X1076" s="12">
        <f>VLOOKUP(Tabla4[[#This Row],[ZONA DEFINITIVO]],Hoja1!$A$1:$D$121,4,0)</f>
        <v>89025</v>
      </c>
      <c r="Y1076" s="12" t="str">
        <f>+IF(Tabla4[[#This Row],[AGRUPACIONES]]=1,SUMIFS(Tabla4[UDS],Tabla4[ZONA DEFINITIVO],Tabla4[[#This Row],[ZONA DEFINITIVO]])," ")</f>
        <v xml:space="preserve"> </v>
      </c>
      <c r="Z1076" s="12" t="str">
        <f>+IF(Tabla4[[#This Row],[AGRUPACIONES]]=1,SUMIFS(Tabla4[TOTAL COBERTURA],Tabla4[ZONA DEFINITIVO],Tabla4[[#This Row],[ZONA DEFINITIVO]])," ")</f>
        <v xml:space="preserve"> </v>
      </c>
      <c r="AA1076" s="12"/>
      <c r="AB1076" s="38">
        <v>1030397676</v>
      </c>
      <c r="AC1076" s="37">
        <v>0.02</v>
      </c>
      <c r="AD1076" s="38">
        <f t="shared" si="17"/>
        <v>20607953.52</v>
      </c>
      <c r="AE1076" s="12"/>
      <c r="AF1076" s="12">
        <f>COUNTIF($A$20:A1076,A1076)</f>
        <v>6</v>
      </c>
      <c r="AG1076" s="38">
        <v>1030397676</v>
      </c>
      <c r="AH1076" s="38">
        <f>Tabla4[[#This Row],[VALOR CONTRAPARTIDA]]+Tabla4[[#This Row],[TOTAL APORTES ICBF]]</f>
        <v>1051005629.52</v>
      </c>
      <c r="AI1076" s="35"/>
      <c r="AJ1076" s="38"/>
      <c r="AK1076" s="38"/>
      <c r="AL1076" s="23"/>
      <c r="AM1076" s="35">
        <f>VLOOKUP(Tabla4[[#This Row],[SERVICIO 2025]],$J$2:$V$14,5,0)*Tabla4[[#This Row],[TOTAL COBERTURA]]</f>
        <v>20978034</v>
      </c>
      <c r="AN1076" s="35">
        <f>VLOOKUP(Tabla4[[#This Row],[SERVICIO 2025]],$J$2:$V$14,6,0)*Tabla4[[#This Row],[TOTAL COBERTURA]]</f>
        <v>17860234</v>
      </c>
      <c r="AO1076" s="35">
        <f>VLOOKUP(Tabla4[[#This Row],[SERVICIO 2025]],$J$2:$V$14,8,0)*Tabla4[[#This Row],[TOTAL COBERTURA]]</f>
        <v>0</v>
      </c>
      <c r="AP1076" s="35">
        <f>VLOOKUP(Tabla4[[#This Row],[SERVICIO 2025]],$J$2:$V$14,3,0)*Tabla4[[#This Row],[TOTAL COBERTURA]]*8</f>
        <v>991559408</v>
      </c>
      <c r="AQ1076" s="35"/>
      <c r="AR1076" s="35">
        <f>Tabla4[[#This Row],[VALOR FASE PREPARATORIA DE ALISTAMIENTO]]+Tabla4[[#This Row],[VALOR FASE PREPARATORIA DE CIERRE]]+Tabla4[[#This Row],[DOTACIÓN ÚNICA]]+Tabla4[[#This Row],[VALOR ATENCIÓN]]+Tabla4[[#This Row],[VALOR RACION PREPARADA]]</f>
        <v>1030397676</v>
      </c>
      <c r="AS1076" s="35" t="str">
        <f>+IF(Tabla4[[#This Row],[AGRUPACIONES]]=1,SUMIFS(Tabla4[VALOR TOTAL],Tabla4[ZONA DEFINITIVO],Tabla4[[#This Row],[ZONA DEFINITIVO]])," ")</f>
        <v xml:space="preserve"> </v>
      </c>
      <c r="AT1076" s="27">
        <f>(VLOOKUP(Tabla4[[#This Row],[SERVICIO 2025]],$J$2:$V$14,3,0)*Tabla4[[#This Row],[TOTAL COBERTURA]])+Tabla4[[#This Row],[VALOR FASE PREPARATORIA DE ALISTAMIENTO]]+Tabla4[[#This Row],[DOTACIÓN ÚNICA]]</f>
        <v>144922960</v>
      </c>
      <c r="AU1076" s="35">
        <f>(VLOOKUP(Tabla4[[#This Row],[SERVICIO 2025]],$J$2:$V$14,3,0)*Tabla4[[#This Row],[TOTAL COBERTURA]])</f>
        <v>123944926</v>
      </c>
      <c r="AV1076" s="35">
        <f>(VLOOKUP(Tabla4[[#This Row],[SERVICIO 2025]],$J$2:$V$14,3,0)*Tabla4[[#This Row],[TOTAL COBERTURA]])</f>
        <v>123944926</v>
      </c>
      <c r="AW1076" s="35">
        <f>(VLOOKUP(Tabla4[[#This Row],[SERVICIO 2025]],$J$2:$V$14,3,0)*Tabla4[[#This Row],[TOTAL COBERTURA]])</f>
        <v>123944926</v>
      </c>
      <c r="AX1076" s="35">
        <f>(VLOOKUP(Tabla4[[#This Row],[SERVICIO 2025]],$J$2:$V$14,3,0)*Tabla4[[#This Row],[TOTAL COBERTURA]])</f>
        <v>123944926</v>
      </c>
      <c r="AY1076" s="35">
        <f>(VLOOKUP(Tabla4[[#This Row],[SERVICIO 2025]],$J$2:$V$14,3,0)*Tabla4[[#This Row],[TOTAL COBERTURA]])</f>
        <v>123944926</v>
      </c>
      <c r="AZ1076" s="35">
        <f>(VLOOKUP(Tabla4[[#This Row],[SERVICIO 2025]],$J$2:$V$14,3,0)*Tabla4[[#This Row],[TOTAL COBERTURA]])</f>
        <v>123944926</v>
      </c>
      <c r="BA1076" s="35">
        <f>(VLOOKUP(Tabla4[[#This Row],[SERVICIO 2025]],$J$2:$V$14,3,0)*Tabla4[[#This Row],[TOTAL COBERTURA]])+Tabla4[[#This Row],[VALOR FASE PREPARATORIA DE CIERRE]]</f>
        <v>141805160</v>
      </c>
      <c r="BB1076" s="35">
        <f>SUM(Tabla4[[#This Row],[DESEMBOLSO 1]:[DESEMBOLSO 8]])</f>
        <v>1030397676</v>
      </c>
      <c r="BC1076" s="35">
        <f>VLOOKUP(Tabla4[[#This Row],[SERVICIO 2025]],$J$2:$V$14,10,0)*Tabla4[[#This Row],[TOTAL COBERTURA]]*$W$3</f>
        <v>0</v>
      </c>
      <c r="BD1076" s="47" t="s">
        <v>145</v>
      </c>
      <c r="BE1076" s="12" t="b">
        <f>EXACT(Tabla4[[#This Row],[VALOR ATENCIÓN (8 MESES)]],Tabla4[[#This Row],[VALOR TOTAL]])</f>
        <v>1</v>
      </c>
      <c r="BF1076" s="23">
        <f>Tabla4[[#This Row],[VALOR ATENCIÓN (8 MESES)]]-Tabla4[[#This Row],[VALOR TOTAL]]</f>
        <v>0</v>
      </c>
      <c r="BG1076" s="12" t="b">
        <f>EXACT(Tabla4[[#This Row],[TOTAL DESEMBOLSOS]],Tabla4[[#This Row],[VALOR ATENCIÓN (8 MESES)]])</f>
        <v>1</v>
      </c>
      <c r="BH1076" s="29">
        <f>Tabla4[[#This Row],[TOTAL DESEMBOLSOS]]-Tabla4[[#This Row],[VALOR ATENCIÓN (8 MESES)]]</f>
        <v>0</v>
      </c>
      <c r="BI1076" t="s">
        <v>98</v>
      </c>
    </row>
    <row r="1077" spans="1:61">
      <c r="A1077" s="13">
        <v>2001</v>
      </c>
      <c r="B1077" s="13" t="s">
        <v>2353</v>
      </c>
      <c r="C1077" s="12" t="s">
        <v>87</v>
      </c>
      <c r="D1077" s="12" t="s">
        <v>1534</v>
      </c>
      <c r="E1077" s="12" t="s">
        <v>2354</v>
      </c>
      <c r="F1077" s="12" t="s">
        <v>18</v>
      </c>
      <c r="G1077" s="12" t="s">
        <v>90</v>
      </c>
      <c r="H1077" s="12" t="s">
        <v>2366</v>
      </c>
      <c r="I1077" s="12">
        <v>50421150340</v>
      </c>
      <c r="J1077" s="12" t="s">
        <v>2367</v>
      </c>
      <c r="K1077" s="12">
        <v>1</v>
      </c>
      <c r="L1077" s="12">
        <v>18</v>
      </c>
      <c r="M1077" s="12"/>
      <c r="N1077" s="13">
        <v>2001</v>
      </c>
      <c r="O1077" s="12" t="s">
        <v>93</v>
      </c>
      <c r="P1077" s="12"/>
      <c r="Q1077" s="12"/>
      <c r="R1077" s="12" t="s">
        <v>94</v>
      </c>
      <c r="S1077" s="12">
        <v>10</v>
      </c>
      <c r="T1077" s="12" t="s">
        <v>1407</v>
      </c>
      <c r="U1077" s="12" t="s">
        <v>1408</v>
      </c>
      <c r="V1077" s="12">
        <f>VLOOKUP(Tabla4[[#This Row],[ZONA DEFINITIVO]],Hoja1!$A$1:$D$121,3,0)</f>
        <v>229155</v>
      </c>
      <c r="W1077" s="12">
        <f>VLOOKUP(Tabla4[[#This Row],[ZONA DEFINITIVO]],Hoja1!$A$1:$D$121,2,0)</f>
        <v>15247</v>
      </c>
      <c r="X1077" s="12">
        <f>VLOOKUP(Tabla4[[#This Row],[ZONA DEFINITIVO]],Hoja1!$A$1:$D$121,4,0)</f>
        <v>89025</v>
      </c>
      <c r="Y1077" s="12" t="str">
        <f>+IF(Tabla4[[#This Row],[AGRUPACIONES]]=1,SUMIFS(Tabla4[UDS],Tabla4[ZONA DEFINITIVO],Tabla4[[#This Row],[ZONA DEFINITIVO]])," ")</f>
        <v xml:space="preserve"> </v>
      </c>
      <c r="Z1077" s="12" t="str">
        <f>+IF(Tabla4[[#This Row],[AGRUPACIONES]]=1,SUMIFS(Tabla4[TOTAL COBERTURA],Tabla4[ZONA DEFINITIVO],Tabla4[[#This Row],[ZONA DEFINITIVO]])," ")</f>
        <v xml:space="preserve"> </v>
      </c>
      <c r="AA1077" s="12"/>
      <c r="AB1077" s="38">
        <v>39243474</v>
      </c>
      <c r="AC1077" s="37">
        <v>0.02</v>
      </c>
      <c r="AD1077" s="38">
        <f t="shared" si="17"/>
        <v>784869.48</v>
      </c>
      <c r="AE1077" s="12"/>
      <c r="AF1077" s="12">
        <f>COUNTIF($A$20:A1077,A1077)</f>
        <v>7</v>
      </c>
      <c r="AG1077" s="38">
        <v>39243474</v>
      </c>
      <c r="AH1077" s="38">
        <f>Tabla4[[#This Row],[VALOR CONTRAPARTIDA]]+Tabla4[[#This Row],[TOTAL APORTES ICBF]]</f>
        <v>40028343.479999997</v>
      </c>
      <c r="AI1077" s="35"/>
      <c r="AJ1077" s="38"/>
      <c r="AK1077" s="38"/>
      <c r="AL1077" s="23"/>
      <c r="AM1077" s="35">
        <f>VLOOKUP(Tabla4[[#This Row],[SERVICIO 2025]],$J$2:$V$14,5,0)*Tabla4[[#This Row],[TOTAL COBERTURA]]</f>
        <v>888768</v>
      </c>
      <c r="AN1077" s="35">
        <f>VLOOKUP(Tabla4[[#This Row],[SERVICIO 2025]],$J$2:$V$14,6,0)*Tabla4[[#This Row],[TOTAL COBERTURA]]</f>
        <v>738522</v>
      </c>
      <c r="AO1077" s="35">
        <f>VLOOKUP(Tabla4[[#This Row],[SERVICIO 2025]],$J$2:$V$14,8,0)*Tabla4[[#This Row],[TOTAL COBERTURA]]</f>
        <v>523800</v>
      </c>
      <c r="AP1077" s="35">
        <f>VLOOKUP(Tabla4[[#This Row],[SERVICIO 2025]],$J$2:$V$14,3,0)*Tabla4[[#This Row],[TOTAL COBERTURA]]*8</f>
        <v>37092384</v>
      </c>
      <c r="AQ1077" s="35"/>
      <c r="AR1077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1077" s="35" t="str">
        <f>+IF(Tabla4[[#This Row],[AGRUPACIONES]]=1,SUMIFS(Tabla4[VALOR TOTAL],Tabla4[ZONA DEFINITIVO],Tabla4[[#This Row],[ZONA DEFINITIVO]])," ")</f>
        <v xml:space="preserve"> </v>
      </c>
      <c r="AT1077" s="27">
        <f>(VLOOKUP(Tabla4[[#This Row],[SERVICIO 2025]],$J$2:$V$14,3,0)*Tabla4[[#This Row],[TOTAL COBERTURA]])+Tabla4[[#This Row],[VALOR FASE PREPARATORIA DE ALISTAMIENTO]]+Tabla4[[#This Row],[DOTACIÓN ÚNICA]]</f>
        <v>6049116</v>
      </c>
      <c r="AU1077" s="35">
        <f>(VLOOKUP(Tabla4[[#This Row],[SERVICIO 2025]],$J$2:$V$14,3,0)*Tabla4[[#This Row],[TOTAL COBERTURA]])</f>
        <v>4636548</v>
      </c>
      <c r="AV1077" s="35">
        <f>(VLOOKUP(Tabla4[[#This Row],[SERVICIO 2025]],$J$2:$V$14,3,0)*Tabla4[[#This Row],[TOTAL COBERTURA]])</f>
        <v>4636548</v>
      </c>
      <c r="AW1077" s="35">
        <f>(VLOOKUP(Tabla4[[#This Row],[SERVICIO 2025]],$J$2:$V$14,3,0)*Tabla4[[#This Row],[TOTAL COBERTURA]])</f>
        <v>4636548</v>
      </c>
      <c r="AX1077" s="35">
        <f>(VLOOKUP(Tabla4[[#This Row],[SERVICIO 2025]],$J$2:$V$14,3,0)*Tabla4[[#This Row],[TOTAL COBERTURA]])</f>
        <v>4636548</v>
      </c>
      <c r="AY1077" s="35">
        <f>(VLOOKUP(Tabla4[[#This Row],[SERVICIO 2025]],$J$2:$V$14,3,0)*Tabla4[[#This Row],[TOTAL COBERTURA]])</f>
        <v>4636548</v>
      </c>
      <c r="AZ1077" s="35">
        <f>(VLOOKUP(Tabla4[[#This Row],[SERVICIO 2025]],$J$2:$V$14,3,0)*Tabla4[[#This Row],[TOTAL COBERTURA]])</f>
        <v>4636548</v>
      </c>
      <c r="BA1077" s="35">
        <f>(VLOOKUP(Tabla4[[#This Row],[SERVICIO 2025]],$J$2:$V$14,3,0)*Tabla4[[#This Row],[TOTAL COBERTURA]])+Tabla4[[#This Row],[VALOR FASE PREPARATORIA DE CIERRE]]</f>
        <v>5375070</v>
      </c>
      <c r="BB1077" s="35">
        <f>SUM(Tabla4[[#This Row],[DESEMBOLSO 1]:[DESEMBOLSO 8]])</f>
        <v>39243474</v>
      </c>
      <c r="BC1077" s="35"/>
      <c r="BD1077" s="47" t="s">
        <v>97</v>
      </c>
      <c r="BE1077" s="12" t="b">
        <f>EXACT(Tabla4[[#This Row],[VALOR ATENCIÓN (8 MESES)]],Tabla4[[#This Row],[VALOR TOTAL]])</f>
        <v>1</v>
      </c>
      <c r="BF1077" s="23">
        <f>Tabla4[[#This Row],[VALOR ATENCIÓN (8 MESES)]]-Tabla4[[#This Row],[VALOR TOTAL]]</f>
        <v>0</v>
      </c>
      <c r="BG1077" s="12" t="b">
        <f>EXACT(Tabla4[[#This Row],[TOTAL DESEMBOLSOS]],Tabla4[[#This Row],[VALOR ATENCIÓN (8 MESES)]])</f>
        <v>1</v>
      </c>
      <c r="BH1077" s="29">
        <f>Tabla4[[#This Row],[TOTAL DESEMBOLSOS]]-Tabla4[[#This Row],[VALOR ATENCIÓN (8 MESES)]]</f>
        <v>0</v>
      </c>
      <c r="BI1077" t="s">
        <v>98</v>
      </c>
    </row>
    <row r="1078" spans="1:61">
      <c r="A1078" s="13">
        <v>2001</v>
      </c>
      <c r="B1078" s="13" t="s">
        <v>2353</v>
      </c>
      <c r="C1078" s="12" t="s">
        <v>87</v>
      </c>
      <c r="D1078" s="12" t="s">
        <v>1534</v>
      </c>
      <c r="E1078" s="12" t="s">
        <v>2354</v>
      </c>
      <c r="F1078" s="12" t="s">
        <v>18</v>
      </c>
      <c r="G1078" s="12" t="s">
        <v>90</v>
      </c>
      <c r="H1078" s="12" t="s">
        <v>2368</v>
      </c>
      <c r="I1078" s="12">
        <v>50421150341</v>
      </c>
      <c r="J1078" s="12" t="s">
        <v>2369</v>
      </c>
      <c r="K1078" s="12">
        <v>1</v>
      </c>
      <c r="L1078" s="12">
        <v>19</v>
      </c>
      <c r="M1078" s="12"/>
      <c r="N1078" s="13">
        <v>2001</v>
      </c>
      <c r="O1078" s="12" t="s">
        <v>93</v>
      </c>
      <c r="P1078" s="12"/>
      <c r="Q1078" s="12"/>
      <c r="R1078" s="12" t="s">
        <v>94</v>
      </c>
      <c r="S1078" s="12">
        <v>10</v>
      </c>
      <c r="T1078" s="12" t="s">
        <v>1407</v>
      </c>
      <c r="U1078" s="12" t="s">
        <v>1408</v>
      </c>
      <c r="V1078" s="12">
        <f>VLOOKUP(Tabla4[[#This Row],[ZONA DEFINITIVO]],Hoja1!$A$1:$D$121,3,0)</f>
        <v>229155</v>
      </c>
      <c r="W1078" s="12">
        <f>VLOOKUP(Tabla4[[#This Row],[ZONA DEFINITIVO]],Hoja1!$A$1:$D$121,2,0)</f>
        <v>15247</v>
      </c>
      <c r="X1078" s="12">
        <f>VLOOKUP(Tabla4[[#This Row],[ZONA DEFINITIVO]],Hoja1!$A$1:$D$121,4,0)</f>
        <v>89025</v>
      </c>
      <c r="Y1078" s="12" t="str">
        <f>+IF(Tabla4[[#This Row],[AGRUPACIONES]]=1,SUMIFS(Tabla4[UDS],Tabla4[ZONA DEFINITIVO],Tabla4[[#This Row],[ZONA DEFINITIVO]])," ")</f>
        <v xml:space="preserve"> </v>
      </c>
      <c r="Z1078" s="12" t="str">
        <f>+IF(Tabla4[[#This Row],[AGRUPACIONES]]=1,SUMIFS(Tabla4[TOTAL COBERTURA],Tabla4[ZONA DEFINITIVO],Tabla4[[#This Row],[ZONA DEFINITIVO]])," ")</f>
        <v xml:space="preserve"> </v>
      </c>
      <c r="AA1078" s="12"/>
      <c r="AB1078" s="38">
        <v>41423667</v>
      </c>
      <c r="AC1078" s="37">
        <v>0.02</v>
      </c>
      <c r="AD1078" s="38">
        <f t="shared" si="17"/>
        <v>828473.34</v>
      </c>
      <c r="AE1078" s="12"/>
      <c r="AF1078" s="12">
        <f>COUNTIF($A$20:A1078,A1078)</f>
        <v>8</v>
      </c>
      <c r="AG1078" s="38">
        <v>41423667</v>
      </c>
      <c r="AH1078" s="38">
        <f>Tabla4[[#This Row],[VALOR CONTRAPARTIDA]]+Tabla4[[#This Row],[TOTAL APORTES ICBF]]</f>
        <v>42252140.340000004</v>
      </c>
      <c r="AI1078" s="35"/>
      <c r="AJ1078" s="38"/>
      <c r="AK1078" s="38"/>
      <c r="AL1078" s="23"/>
      <c r="AM1078" s="35">
        <f>VLOOKUP(Tabla4[[#This Row],[SERVICIO 2025]],$J$2:$V$14,5,0)*Tabla4[[#This Row],[TOTAL COBERTURA]]</f>
        <v>938144</v>
      </c>
      <c r="AN1078" s="35">
        <f>VLOOKUP(Tabla4[[#This Row],[SERVICIO 2025]],$J$2:$V$14,6,0)*Tabla4[[#This Row],[TOTAL COBERTURA]]</f>
        <v>779551</v>
      </c>
      <c r="AO1078" s="35">
        <f>VLOOKUP(Tabla4[[#This Row],[SERVICIO 2025]],$J$2:$V$14,8,0)*Tabla4[[#This Row],[TOTAL COBERTURA]]</f>
        <v>552900</v>
      </c>
      <c r="AP1078" s="35">
        <f>VLOOKUP(Tabla4[[#This Row],[SERVICIO 2025]],$J$2:$V$14,3,0)*Tabla4[[#This Row],[TOTAL COBERTURA]]*8</f>
        <v>39153072</v>
      </c>
      <c r="AQ1078" s="35"/>
      <c r="AR1078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1078" s="35" t="str">
        <f>+IF(Tabla4[[#This Row],[AGRUPACIONES]]=1,SUMIFS(Tabla4[VALOR TOTAL],Tabla4[ZONA DEFINITIVO],Tabla4[[#This Row],[ZONA DEFINITIVO]])," ")</f>
        <v xml:space="preserve"> </v>
      </c>
      <c r="AT1078" s="27">
        <f>(VLOOKUP(Tabla4[[#This Row],[SERVICIO 2025]],$J$2:$V$14,3,0)*Tabla4[[#This Row],[TOTAL COBERTURA]])+Tabla4[[#This Row],[VALOR FASE PREPARATORIA DE ALISTAMIENTO]]+Tabla4[[#This Row],[DOTACIÓN ÚNICA]]</f>
        <v>6385178</v>
      </c>
      <c r="AU1078" s="35">
        <f>(VLOOKUP(Tabla4[[#This Row],[SERVICIO 2025]],$J$2:$V$14,3,0)*Tabla4[[#This Row],[TOTAL COBERTURA]])</f>
        <v>4894134</v>
      </c>
      <c r="AV1078" s="35">
        <f>(VLOOKUP(Tabla4[[#This Row],[SERVICIO 2025]],$J$2:$V$14,3,0)*Tabla4[[#This Row],[TOTAL COBERTURA]])</f>
        <v>4894134</v>
      </c>
      <c r="AW1078" s="35">
        <f>(VLOOKUP(Tabla4[[#This Row],[SERVICIO 2025]],$J$2:$V$14,3,0)*Tabla4[[#This Row],[TOTAL COBERTURA]])</f>
        <v>4894134</v>
      </c>
      <c r="AX1078" s="35">
        <f>(VLOOKUP(Tabla4[[#This Row],[SERVICIO 2025]],$J$2:$V$14,3,0)*Tabla4[[#This Row],[TOTAL COBERTURA]])</f>
        <v>4894134</v>
      </c>
      <c r="AY1078" s="35">
        <f>(VLOOKUP(Tabla4[[#This Row],[SERVICIO 2025]],$J$2:$V$14,3,0)*Tabla4[[#This Row],[TOTAL COBERTURA]])</f>
        <v>4894134</v>
      </c>
      <c r="AZ1078" s="35">
        <f>(VLOOKUP(Tabla4[[#This Row],[SERVICIO 2025]],$J$2:$V$14,3,0)*Tabla4[[#This Row],[TOTAL COBERTURA]])</f>
        <v>4894134</v>
      </c>
      <c r="BA1078" s="35">
        <f>(VLOOKUP(Tabla4[[#This Row],[SERVICIO 2025]],$J$2:$V$14,3,0)*Tabla4[[#This Row],[TOTAL COBERTURA]])+Tabla4[[#This Row],[VALOR FASE PREPARATORIA DE CIERRE]]</f>
        <v>5673685</v>
      </c>
      <c r="BB1078" s="35">
        <f>SUM(Tabla4[[#This Row],[DESEMBOLSO 1]:[DESEMBOLSO 8]])</f>
        <v>41423667</v>
      </c>
      <c r="BC1078" s="35"/>
      <c r="BD1078" s="47" t="s">
        <v>97</v>
      </c>
      <c r="BE1078" s="12" t="b">
        <f>EXACT(Tabla4[[#This Row],[VALOR ATENCIÓN (8 MESES)]],Tabla4[[#This Row],[VALOR TOTAL]])</f>
        <v>1</v>
      </c>
      <c r="BF1078" s="23">
        <f>Tabla4[[#This Row],[VALOR ATENCIÓN (8 MESES)]]-Tabla4[[#This Row],[VALOR TOTAL]]</f>
        <v>0</v>
      </c>
      <c r="BG1078" s="12" t="b">
        <f>EXACT(Tabla4[[#This Row],[TOTAL DESEMBOLSOS]],Tabla4[[#This Row],[VALOR ATENCIÓN (8 MESES)]])</f>
        <v>1</v>
      </c>
      <c r="BH1078" s="29">
        <f>Tabla4[[#This Row],[TOTAL DESEMBOLSOS]]-Tabla4[[#This Row],[VALOR ATENCIÓN (8 MESES)]]</f>
        <v>0</v>
      </c>
      <c r="BI1078" t="s">
        <v>98</v>
      </c>
    </row>
    <row r="1079" spans="1:61">
      <c r="A1079" s="13">
        <v>2001</v>
      </c>
      <c r="B1079" s="13" t="s">
        <v>2353</v>
      </c>
      <c r="C1079" s="12" t="s">
        <v>87</v>
      </c>
      <c r="D1079" s="12" t="s">
        <v>1534</v>
      </c>
      <c r="E1079" s="12" t="s">
        <v>2354</v>
      </c>
      <c r="F1079" s="12" t="s">
        <v>18</v>
      </c>
      <c r="G1079" s="12" t="s">
        <v>90</v>
      </c>
      <c r="H1079" s="12" t="s">
        <v>2370</v>
      </c>
      <c r="I1079" s="12">
        <v>50421150342</v>
      </c>
      <c r="J1079" s="12" t="s">
        <v>2371</v>
      </c>
      <c r="K1079" s="12">
        <v>1</v>
      </c>
      <c r="L1079" s="12">
        <v>15</v>
      </c>
      <c r="M1079" s="12"/>
      <c r="N1079" s="13">
        <v>2001</v>
      </c>
      <c r="O1079" s="12" t="s">
        <v>93</v>
      </c>
      <c r="P1079" s="12"/>
      <c r="Q1079" s="12"/>
      <c r="R1079" s="12" t="s">
        <v>94</v>
      </c>
      <c r="S1079" s="12">
        <v>10</v>
      </c>
      <c r="T1079" s="12" t="s">
        <v>1407</v>
      </c>
      <c r="U1079" s="12" t="s">
        <v>1408</v>
      </c>
      <c r="V1079" s="12">
        <f>VLOOKUP(Tabla4[[#This Row],[ZONA DEFINITIVO]],Hoja1!$A$1:$D$121,3,0)</f>
        <v>229155</v>
      </c>
      <c r="W1079" s="12">
        <f>VLOOKUP(Tabla4[[#This Row],[ZONA DEFINITIVO]],Hoja1!$A$1:$D$121,2,0)</f>
        <v>15247</v>
      </c>
      <c r="X1079" s="12">
        <f>VLOOKUP(Tabla4[[#This Row],[ZONA DEFINITIVO]],Hoja1!$A$1:$D$121,4,0)</f>
        <v>89025</v>
      </c>
      <c r="Y1079" s="12" t="str">
        <f>+IF(Tabla4[[#This Row],[AGRUPACIONES]]=1,SUMIFS(Tabla4[UDS],Tabla4[ZONA DEFINITIVO],Tabla4[[#This Row],[ZONA DEFINITIVO]])," ")</f>
        <v xml:space="preserve"> </v>
      </c>
      <c r="Z1079" s="12" t="str">
        <f>+IF(Tabla4[[#This Row],[AGRUPACIONES]]=1,SUMIFS(Tabla4[TOTAL COBERTURA],Tabla4[ZONA DEFINITIVO],Tabla4[[#This Row],[ZONA DEFINITIVO]])," ")</f>
        <v xml:space="preserve"> </v>
      </c>
      <c r="AA1079" s="12"/>
      <c r="AB1079" s="38">
        <v>32702895</v>
      </c>
      <c r="AC1079" s="37">
        <v>0.02</v>
      </c>
      <c r="AD1079" s="38">
        <f t="shared" si="17"/>
        <v>654057.9</v>
      </c>
      <c r="AE1079" s="12"/>
      <c r="AF1079" s="12">
        <f>COUNTIF($A$20:A1079,A1079)</f>
        <v>9</v>
      </c>
      <c r="AG1079" s="38">
        <v>32702895</v>
      </c>
      <c r="AH1079" s="38">
        <f>Tabla4[[#This Row],[VALOR CONTRAPARTIDA]]+Tabla4[[#This Row],[TOTAL APORTES ICBF]]</f>
        <v>33356952.899999999</v>
      </c>
      <c r="AI1079" s="35"/>
      <c r="AJ1079" s="38"/>
      <c r="AK1079" s="38"/>
      <c r="AL1079" s="23"/>
      <c r="AM1079" s="35">
        <f>VLOOKUP(Tabla4[[#This Row],[SERVICIO 2025]],$J$2:$V$14,5,0)*Tabla4[[#This Row],[TOTAL COBERTURA]]</f>
        <v>740640</v>
      </c>
      <c r="AN1079" s="35">
        <f>VLOOKUP(Tabla4[[#This Row],[SERVICIO 2025]],$J$2:$V$14,6,0)*Tabla4[[#This Row],[TOTAL COBERTURA]]</f>
        <v>615435</v>
      </c>
      <c r="AO1079" s="35">
        <f>VLOOKUP(Tabla4[[#This Row],[SERVICIO 2025]],$J$2:$V$14,8,0)*Tabla4[[#This Row],[TOTAL COBERTURA]]</f>
        <v>436500</v>
      </c>
      <c r="AP1079" s="35">
        <f>VLOOKUP(Tabla4[[#This Row],[SERVICIO 2025]],$J$2:$V$14,3,0)*Tabla4[[#This Row],[TOTAL COBERTURA]]*8</f>
        <v>30910320</v>
      </c>
      <c r="AQ1079" s="35"/>
      <c r="AR1079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079" s="35" t="str">
        <f>+IF(Tabla4[[#This Row],[AGRUPACIONES]]=1,SUMIFS(Tabla4[VALOR TOTAL],Tabla4[ZONA DEFINITIVO],Tabla4[[#This Row],[ZONA DEFINITIVO]])," ")</f>
        <v xml:space="preserve"> </v>
      </c>
      <c r="AT1079" s="27">
        <f>(VLOOKUP(Tabla4[[#This Row],[SERVICIO 2025]],$J$2:$V$14,3,0)*Tabla4[[#This Row],[TOTAL COBERTURA]])+Tabla4[[#This Row],[VALOR FASE PREPARATORIA DE ALISTAMIENTO]]+Tabla4[[#This Row],[DOTACIÓN ÚNICA]]</f>
        <v>5040930</v>
      </c>
      <c r="AU1079" s="35">
        <f>(VLOOKUP(Tabla4[[#This Row],[SERVICIO 2025]],$J$2:$V$14,3,0)*Tabla4[[#This Row],[TOTAL COBERTURA]])</f>
        <v>3863790</v>
      </c>
      <c r="AV1079" s="35">
        <f>(VLOOKUP(Tabla4[[#This Row],[SERVICIO 2025]],$J$2:$V$14,3,0)*Tabla4[[#This Row],[TOTAL COBERTURA]])</f>
        <v>3863790</v>
      </c>
      <c r="AW1079" s="35">
        <f>(VLOOKUP(Tabla4[[#This Row],[SERVICIO 2025]],$J$2:$V$14,3,0)*Tabla4[[#This Row],[TOTAL COBERTURA]])</f>
        <v>3863790</v>
      </c>
      <c r="AX1079" s="35">
        <f>(VLOOKUP(Tabla4[[#This Row],[SERVICIO 2025]],$J$2:$V$14,3,0)*Tabla4[[#This Row],[TOTAL COBERTURA]])</f>
        <v>3863790</v>
      </c>
      <c r="AY1079" s="35">
        <f>(VLOOKUP(Tabla4[[#This Row],[SERVICIO 2025]],$J$2:$V$14,3,0)*Tabla4[[#This Row],[TOTAL COBERTURA]])</f>
        <v>3863790</v>
      </c>
      <c r="AZ1079" s="35">
        <f>(VLOOKUP(Tabla4[[#This Row],[SERVICIO 2025]],$J$2:$V$14,3,0)*Tabla4[[#This Row],[TOTAL COBERTURA]])</f>
        <v>3863790</v>
      </c>
      <c r="BA1079" s="35">
        <f>(VLOOKUP(Tabla4[[#This Row],[SERVICIO 2025]],$J$2:$V$14,3,0)*Tabla4[[#This Row],[TOTAL COBERTURA]])+Tabla4[[#This Row],[VALOR FASE PREPARATORIA DE CIERRE]]</f>
        <v>4479225</v>
      </c>
      <c r="BB1079" s="35">
        <f>SUM(Tabla4[[#This Row],[DESEMBOLSO 1]:[DESEMBOLSO 8]])</f>
        <v>32702895</v>
      </c>
      <c r="BC1079" s="35"/>
      <c r="BD1079" s="47" t="s">
        <v>97</v>
      </c>
      <c r="BE1079" s="12" t="b">
        <f>EXACT(Tabla4[[#This Row],[VALOR ATENCIÓN (8 MESES)]],Tabla4[[#This Row],[VALOR TOTAL]])</f>
        <v>1</v>
      </c>
      <c r="BF1079" s="23">
        <f>Tabla4[[#This Row],[VALOR ATENCIÓN (8 MESES)]]-Tabla4[[#This Row],[VALOR TOTAL]]</f>
        <v>0</v>
      </c>
      <c r="BG1079" s="12" t="b">
        <f>EXACT(Tabla4[[#This Row],[TOTAL DESEMBOLSOS]],Tabla4[[#This Row],[VALOR ATENCIÓN (8 MESES)]])</f>
        <v>1</v>
      </c>
      <c r="BH1079" s="29">
        <f>Tabla4[[#This Row],[TOTAL DESEMBOLSOS]]-Tabla4[[#This Row],[VALOR ATENCIÓN (8 MESES)]]</f>
        <v>0</v>
      </c>
      <c r="BI1079" t="s">
        <v>98</v>
      </c>
    </row>
    <row r="1080" spans="1:61">
      <c r="A1080" s="13">
        <v>2001</v>
      </c>
      <c r="B1080" s="13" t="s">
        <v>2353</v>
      </c>
      <c r="C1080" s="12" t="s">
        <v>87</v>
      </c>
      <c r="D1080" s="12" t="s">
        <v>1534</v>
      </c>
      <c r="E1080" s="12" t="s">
        <v>2354</v>
      </c>
      <c r="F1080" s="12" t="s">
        <v>18</v>
      </c>
      <c r="G1080" s="12" t="s">
        <v>90</v>
      </c>
      <c r="H1080" s="12" t="s">
        <v>2372</v>
      </c>
      <c r="I1080" s="12">
        <v>50421152196</v>
      </c>
      <c r="J1080" s="12" t="s">
        <v>430</v>
      </c>
      <c r="K1080" s="12">
        <v>1</v>
      </c>
      <c r="L1080" s="12">
        <v>16</v>
      </c>
      <c r="M1080" s="12"/>
      <c r="N1080" s="13">
        <v>2001</v>
      </c>
      <c r="O1080" s="12" t="s">
        <v>93</v>
      </c>
      <c r="P1080" s="12"/>
      <c r="Q1080" s="12"/>
      <c r="R1080" s="12" t="s">
        <v>94</v>
      </c>
      <c r="S1080" s="12">
        <v>10</v>
      </c>
      <c r="T1080" s="12" t="s">
        <v>1407</v>
      </c>
      <c r="U1080" s="12" t="s">
        <v>1408</v>
      </c>
      <c r="V1080" s="12">
        <f>VLOOKUP(Tabla4[[#This Row],[ZONA DEFINITIVO]],Hoja1!$A$1:$D$121,3,0)</f>
        <v>229155</v>
      </c>
      <c r="W1080" s="12">
        <f>VLOOKUP(Tabla4[[#This Row],[ZONA DEFINITIVO]],Hoja1!$A$1:$D$121,2,0)</f>
        <v>15247</v>
      </c>
      <c r="X1080" s="12">
        <f>VLOOKUP(Tabla4[[#This Row],[ZONA DEFINITIVO]],Hoja1!$A$1:$D$121,4,0)</f>
        <v>89025</v>
      </c>
      <c r="Y1080" s="12" t="str">
        <f>+IF(Tabla4[[#This Row],[AGRUPACIONES]]=1,SUMIFS(Tabla4[UDS],Tabla4[ZONA DEFINITIVO],Tabla4[[#This Row],[ZONA DEFINITIVO]])," ")</f>
        <v xml:space="preserve"> </v>
      </c>
      <c r="Z1080" s="12" t="str">
        <f>+IF(Tabla4[[#This Row],[AGRUPACIONES]]=1,SUMIFS(Tabla4[TOTAL COBERTURA],Tabla4[ZONA DEFINITIVO],Tabla4[[#This Row],[ZONA DEFINITIVO]])," ")</f>
        <v xml:space="preserve"> </v>
      </c>
      <c r="AA1080" s="12"/>
      <c r="AB1080" s="38">
        <v>34883088</v>
      </c>
      <c r="AC1080" s="37">
        <v>0.02</v>
      </c>
      <c r="AD1080" s="38">
        <f t="shared" si="17"/>
        <v>697661.76</v>
      </c>
      <c r="AE1080" s="12"/>
      <c r="AF1080" s="12">
        <f>COUNTIF($A$20:A1080,A1080)</f>
        <v>10</v>
      </c>
      <c r="AG1080" s="38">
        <v>34883088</v>
      </c>
      <c r="AH1080" s="38">
        <f>Tabla4[[#This Row],[VALOR CONTRAPARTIDA]]+Tabla4[[#This Row],[TOTAL APORTES ICBF]]</f>
        <v>35580749.759999998</v>
      </c>
      <c r="AI1080" s="35"/>
      <c r="AJ1080" s="38"/>
      <c r="AK1080" s="38"/>
      <c r="AL1080" s="23"/>
      <c r="AM1080" s="35">
        <f>VLOOKUP(Tabla4[[#This Row],[SERVICIO 2025]],$J$2:$V$14,5,0)*Tabla4[[#This Row],[TOTAL COBERTURA]]</f>
        <v>790016</v>
      </c>
      <c r="AN1080" s="35">
        <f>VLOOKUP(Tabla4[[#This Row],[SERVICIO 2025]],$J$2:$V$14,6,0)*Tabla4[[#This Row],[TOTAL COBERTURA]]</f>
        <v>656464</v>
      </c>
      <c r="AO1080" s="35">
        <f>VLOOKUP(Tabla4[[#This Row],[SERVICIO 2025]],$J$2:$V$14,8,0)*Tabla4[[#This Row],[TOTAL COBERTURA]]</f>
        <v>465600</v>
      </c>
      <c r="AP1080" s="35">
        <f>VLOOKUP(Tabla4[[#This Row],[SERVICIO 2025]],$J$2:$V$14,3,0)*Tabla4[[#This Row],[TOTAL COBERTURA]]*8</f>
        <v>32971008</v>
      </c>
      <c r="AQ1080" s="35"/>
      <c r="AR1080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080" s="35" t="str">
        <f>+IF(Tabla4[[#This Row],[AGRUPACIONES]]=1,SUMIFS(Tabla4[VALOR TOTAL],Tabla4[ZONA DEFINITIVO],Tabla4[[#This Row],[ZONA DEFINITIVO]])," ")</f>
        <v xml:space="preserve"> </v>
      </c>
      <c r="AT1080" s="27">
        <f>(VLOOKUP(Tabla4[[#This Row],[SERVICIO 2025]],$J$2:$V$14,3,0)*Tabla4[[#This Row],[TOTAL COBERTURA]])+Tabla4[[#This Row],[VALOR FASE PREPARATORIA DE ALISTAMIENTO]]+Tabla4[[#This Row],[DOTACIÓN ÚNICA]]</f>
        <v>5376992</v>
      </c>
      <c r="AU1080" s="35">
        <f>(VLOOKUP(Tabla4[[#This Row],[SERVICIO 2025]],$J$2:$V$14,3,0)*Tabla4[[#This Row],[TOTAL COBERTURA]])</f>
        <v>4121376</v>
      </c>
      <c r="AV1080" s="35">
        <f>(VLOOKUP(Tabla4[[#This Row],[SERVICIO 2025]],$J$2:$V$14,3,0)*Tabla4[[#This Row],[TOTAL COBERTURA]])</f>
        <v>4121376</v>
      </c>
      <c r="AW1080" s="35">
        <f>(VLOOKUP(Tabla4[[#This Row],[SERVICIO 2025]],$J$2:$V$14,3,0)*Tabla4[[#This Row],[TOTAL COBERTURA]])</f>
        <v>4121376</v>
      </c>
      <c r="AX1080" s="35">
        <f>(VLOOKUP(Tabla4[[#This Row],[SERVICIO 2025]],$J$2:$V$14,3,0)*Tabla4[[#This Row],[TOTAL COBERTURA]])</f>
        <v>4121376</v>
      </c>
      <c r="AY1080" s="35">
        <f>(VLOOKUP(Tabla4[[#This Row],[SERVICIO 2025]],$J$2:$V$14,3,0)*Tabla4[[#This Row],[TOTAL COBERTURA]])</f>
        <v>4121376</v>
      </c>
      <c r="AZ1080" s="35">
        <f>(VLOOKUP(Tabla4[[#This Row],[SERVICIO 2025]],$J$2:$V$14,3,0)*Tabla4[[#This Row],[TOTAL COBERTURA]])</f>
        <v>4121376</v>
      </c>
      <c r="BA1080" s="35">
        <f>(VLOOKUP(Tabla4[[#This Row],[SERVICIO 2025]],$J$2:$V$14,3,0)*Tabla4[[#This Row],[TOTAL COBERTURA]])+Tabla4[[#This Row],[VALOR FASE PREPARATORIA DE CIERRE]]</f>
        <v>4777840</v>
      </c>
      <c r="BB1080" s="35">
        <f>SUM(Tabla4[[#This Row],[DESEMBOLSO 1]:[DESEMBOLSO 8]])</f>
        <v>34883088</v>
      </c>
      <c r="BC1080" s="35"/>
      <c r="BD1080" s="47" t="s">
        <v>97</v>
      </c>
      <c r="BE1080" s="12" t="b">
        <f>EXACT(Tabla4[[#This Row],[VALOR ATENCIÓN (8 MESES)]],Tabla4[[#This Row],[VALOR TOTAL]])</f>
        <v>1</v>
      </c>
      <c r="BF1080" s="23">
        <f>Tabla4[[#This Row],[VALOR ATENCIÓN (8 MESES)]]-Tabla4[[#This Row],[VALOR TOTAL]]</f>
        <v>0</v>
      </c>
      <c r="BG1080" s="12" t="b">
        <f>EXACT(Tabla4[[#This Row],[TOTAL DESEMBOLSOS]],Tabla4[[#This Row],[VALOR ATENCIÓN (8 MESES)]])</f>
        <v>1</v>
      </c>
      <c r="BH1080" s="29">
        <f>Tabla4[[#This Row],[TOTAL DESEMBOLSOS]]-Tabla4[[#This Row],[VALOR ATENCIÓN (8 MESES)]]</f>
        <v>0</v>
      </c>
      <c r="BI1080" t="s">
        <v>98</v>
      </c>
    </row>
    <row r="1081" spans="1:61">
      <c r="A1081" s="13">
        <v>2001</v>
      </c>
      <c r="B1081" s="13" t="s">
        <v>2353</v>
      </c>
      <c r="C1081" s="12" t="s">
        <v>87</v>
      </c>
      <c r="D1081" s="12" t="s">
        <v>1534</v>
      </c>
      <c r="E1081" s="12" t="s">
        <v>2354</v>
      </c>
      <c r="F1081" s="12" t="s">
        <v>18</v>
      </c>
      <c r="G1081" s="12" t="s">
        <v>90</v>
      </c>
      <c r="H1081" s="12" t="s">
        <v>2373</v>
      </c>
      <c r="I1081" s="12">
        <v>50421152198</v>
      </c>
      <c r="J1081" s="12" t="s">
        <v>2374</v>
      </c>
      <c r="K1081" s="12">
        <v>1</v>
      </c>
      <c r="L1081" s="12">
        <v>16</v>
      </c>
      <c r="M1081" s="12"/>
      <c r="N1081" s="13">
        <v>2001</v>
      </c>
      <c r="O1081" s="12" t="s">
        <v>93</v>
      </c>
      <c r="P1081" s="12"/>
      <c r="Q1081" s="12"/>
      <c r="R1081" s="12" t="s">
        <v>94</v>
      </c>
      <c r="S1081" s="12">
        <v>10</v>
      </c>
      <c r="T1081" s="12" t="s">
        <v>1407</v>
      </c>
      <c r="U1081" s="12" t="s">
        <v>1408</v>
      </c>
      <c r="V1081" s="12">
        <f>VLOOKUP(Tabla4[[#This Row],[ZONA DEFINITIVO]],Hoja1!$A$1:$D$121,3,0)</f>
        <v>229155</v>
      </c>
      <c r="W1081" s="12">
        <f>VLOOKUP(Tabla4[[#This Row],[ZONA DEFINITIVO]],Hoja1!$A$1:$D$121,2,0)</f>
        <v>15247</v>
      </c>
      <c r="X1081" s="12">
        <f>VLOOKUP(Tabla4[[#This Row],[ZONA DEFINITIVO]],Hoja1!$A$1:$D$121,4,0)</f>
        <v>89025</v>
      </c>
      <c r="Y1081" s="12" t="str">
        <f>+IF(Tabla4[[#This Row],[AGRUPACIONES]]=1,SUMIFS(Tabla4[UDS],Tabla4[ZONA DEFINITIVO],Tabla4[[#This Row],[ZONA DEFINITIVO]])," ")</f>
        <v xml:space="preserve"> </v>
      </c>
      <c r="Z1081" s="12" t="str">
        <f>+IF(Tabla4[[#This Row],[AGRUPACIONES]]=1,SUMIFS(Tabla4[TOTAL COBERTURA],Tabla4[ZONA DEFINITIVO],Tabla4[[#This Row],[ZONA DEFINITIVO]])," ")</f>
        <v xml:space="preserve"> </v>
      </c>
      <c r="AA1081" s="12"/>
      <c r="AB1081" s="38">
        <v>34883088</v>
      </c>
      <c r="AC1081" s="37">
        <v>0.02</v>
      </c>
      <c r="AD1081" s="38">
        <f t="shared" si="17"/>
        <v>697661.76</v>
      </c>
      <c r="AE1081" s="12"/>
      <c r="AF1081" s="12">
        <f>COUNTIF($A$20:A1081,A1081)</f>
        <v>11</v>
      </c>
      <c r="AG1081" s="38">
        <v>34883088</v>
      </c>
      <c r="AH1081" s="38">
        <f>Tabla4[[#This Row],[VALOR CONTRAPARTIDA]]+Tabla4[[#This Row],[TOTAL APORTES ICBF]]</f>
        <v>35580749.759999998</v>
      </c>
      <c r="AI1081" s="35"/>
      <c r="AJ1081" s="38"/>
      <c r="AK1081" s="38"/>
      <c r="AL1081" s="23"/>
      <c r="AM1081" s="35">
        <f>VLOOKUP(Tabla4[[#This Row],[SERVICIO 2025]],$J$2:$V$14,5,0)*Tabla4[[#This Row],[TOTAL COBERTURA]]</f>
        <v>790016</v>
      </c>
      <c r="AN1081" s="35">
        <f>VLOOKUP(Tabla4[[#This Row],[SERVICIO 2025]],$J$2:$V$14,6,0)*Tabla4[[#This Row],[TOTAL COBERTURA]]</f>
        <v>656464</v>
      </c>
      <c r="AO1081" s="35">
        <f>VLOOKUP(Tabla4[[#This Row],[SERVICIO 2025]],$J$2:$V$14,8,0)*Tabla4[[#This Row],[TOTAL COBERTURA]]</f>
        <v>465600</v>
      </c>
      <c r="AP1081" s="35">
        <f>VLOOKUP(Tabla4[[#This Row],[SERVICIO 2025]],$J$2:$V$14,3,0)*Tabla4[[#This Row],[TOTAL COBERTURA]]*8</f>
        <v>32971008</v>
      </c>
      <c r="AQ1081" s="35"/>
      <c r="AR1081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081" s="35" t="str">
        <f>+IF(Tabla4[[#This Row],[AGRUPACIONES]]=1,SUMIFS(Tabla4[VALOR TOTAL],Tabla4[ZONA DEFINITIVO],Tabla4[[#This Row],[ZONA DEFINITIVO]])," ")</f>
        <v xml:space="preserve"> </v>
      </c>
      <c r="AT1081" s="27">
        <f>(VLOOKUP(Tabla4[[#This Row],[SERVICIO 2025]],$J$2:$V$14,3,0)*Tabla4[[#This Row],[TOTAL COBERTURA]])+Tabla4[[#This Row],[VALOR FASE PREPARATORIA DE ALISTAMIENTO]]+Tabla4[[#This Row],[DOTACIÓN ÚNICA]]</f>
        <v>5376992</v>
      </c>
      <c r="AU1081" s="35">
        <f>(VLOOKUP(Tabla4[[#This Row],[SERVICIO 2025]],$J$2:$V$14,3,0)*Tabla4[[#This Row],[TOTAL COBERTURA]])</f>
        <v>4121376</v>
      </c>
      <c r="AV1081" s="35">
        <f>(VLOOKUP(Tabla4[[#This Row],[SERVICIO 2025]],$J$2:$V$14,3,0)*Tabla4[[#This Row],[TOTAL COBERTURA]])</f>
        <v>4121376</v>
      </c>
      <c r="AW1081" s="35">
        <f>(VLOOKUP(Tabla4[[#This Row],[SERVICIO 2025]],$J$2:$V$14,3,0)*Tabla4[[#This Row],[TOTAL COBERTURA]])</f>
        <v>4121376</v>
      </c>
      <c r="AX1081" s="35">
        <f>(VLOOKUP(Tabla4[[#This Row],[SERVICIO 2025]],$J$2:$V$14,3,0)*Tabla4[[#This Row],[TOTAL COBERTURA]])</f>
        <v>4121376</v>
      </c>
      <c r="AY1081" s="35">
        <f>(VLOOKUP(Tabla4[[#This Row],[SERVICIO 2025]],$J$2:$V$14,3,0)*Tabla4[[#This Row],[TOTAL COBERTURA]])</f>
        <v>4121376</v>
      </c>
      <c r="AZ1081" s="35">
        <f>(VLOOKUP(Tabla4[[#This Row],[SERVICIO 2025]],$J$2:$V$14,3,0)*Tabla4[[#This Row],[TOTAL COBERTURA]])</f>
        <v>4121376</v>
      </c>
      <c r="BA1081" s="35">
        <f>(VLOOKUP(Tabla4[[#This Row],[SERVICIO 2025]],$J$2:$V$14,3,0)*Tabla4[[#This Row],[TOTAL COBERTURA]])+Tabla4[[#This Row],[VALOR FASE PREPARATORIA DE CIERRE]]</f>
        <v>4777840</v>
      </c>
      <c r="BB1081" s="35">
        <f>SUM(Tabla4[[#This Row],[DESEMBOLSO 1]:[DESEMBOLSO 8]])</f>
        <v>34883088</v>
      </c>
      <c r="BC1081" s="35"/>
      <c r="BD1081" s="47" t="s">
        <v>97</v>
      </c>
      <c r="BE1081" s="12" t="b">
        <f>EXACT(Tabla4[[#This Row],[VALOR ATENCIÓN (8 MESES)]],Tabla4[[#This Row],[VALOR TOTAL]])</f>
        <v>1</v>
      </c>
      <c r="BF1081" s="23">
        <f>Tabla4[[#This Row],[VALOR ATENCIÓN (8 MESES)]]-Tabla4[[#This Row],[VALOR TOTAL]]</f>
        <v>0</v>
      </c>
      <c r="BG1081" s="12" t="b">
        <f>EXACT(Tabla4[[#This Row],[TOTAL DESEMBOLSOS]],Tabla4[[#This Row],[VALOR ATENCIÓN (8 MESES)]])</f>
        <v>1</v>
      </c>
      <c r="BH1081" s="29">
        <f>Tabla4[[#This Row],[TOTAL DESEMBOLSOS]]-Tabla4[[#This Row],[VALOR ATENCIÓN (8 MESES)]]</f>
        <v>0</v>
      </c>
      <c r="BI1081" t="s">
        <v>98</v>
      </c>
    </row>
    <row r="1082" spans="1:61">
      <c r="A1082" s="13">
        <v>2001</v>
      </c>
      <c r="B1082" s="13" t="s">
        <v>2353</v>
      </c>
      <c r="C1082" s="12" t="s">
        <v>87</v>
      </c>
      <c r="D1082" s="12" t="s">
        <v>1534</v>
      </c>
      <c r="E1082" s="12" t="s">
        <v>2354</v>
      </c>
      <c r="F1082" s="12" t="s">
        <v>18</v>
      </c>
      <c r="G1082" s="12" t="s">
        <v>90</v>
      </c>
      <c r="H1082" s="12" t="s">
        <v>2375</v>
      </c>
      <c r="I1082" s="12">
        <v>50421152973</v>
      </c>
      <c r="J1082" s="12" t="s">
        <v>2376</v>
      </c>
      <c r="K1082" s="12">
        <v>1</v>
      </c>
      <c r="L1082" s="12">
        <v>21</v>
      </c>
      <c r="M1082" s="12"/>
      <c r="N1082" s="13">
        <v>2001</v>
      </c>
      <c r="O1082" s="12" t="s">
        <v>93</v>
      </c>
      <c r="P1082" s="12"/>
      <c r="Q1082" s="12"/>
      <c r="R1082" s="12" t="s">
        <v>94</v>
      </c>
      <c r="S1082" s="12">
        <v>10</v>
      </c>
      <c r="T1082" s="12" t="s">
        <v>1407</v>
      </c>
      <c r="U1082" s="12" t="s">
        <v>1408</v>
      </c>
      <c r="V1082" s="12">
        <f>VLOOKUP(Tabla4[[#This Row],[ZONA DEFINITIVO]],Hoja1!$A$1:$D$121,3,0)</f>
        <v>229155</v>
      </c>
      <c r="W1082" s="12">
        <f>VLOOKUP(Tabla4[[#This Row],[ZONA DEFINITIVO]],Hoja1!$A$1:$D$121,2,0)</f>
        <v>15247</v>
      </c>
      <c r="X1082" s="12">
        <f>VLOOKUP(Tabla4[[#This Row],[ZONA DEFINITIVO]],Hoja1!$A$1:$D$121,4,0)</f>
        <v>89025</v>
      </c>
      <c r="Y1082" s="12" t="str">
        <f>+IF(Tabla4[[#This Row],[AGRUPACIONES]]=1,SUMIFS(Tabla4[UDS],Tabla4[ZONA DEFINITIVO],Tabla4[[#This Row],[ZONA DEFINITIVO]])," ")</f>
        <v xml:space="preserve"> </v>
      </c>
      <c r="Z1082" s="12" t="str">
        <f>+IF(Tabla4[[#This Row],[AGRUPACIONES]]=1,SUMIFS(Tabla4[TOTAL COBERTURA],Tabla4[ZONA DEFINITIVO],Tabla4[[#This Row],[ZONA DEFINITIVO]])," ")</f>
        <v xml:space="preserve"> </v>
      </c>
      <c r="AA1082" s="12"/>
      <c r="AB1082" s="38">
        <v>45784053</v>
      </c>
      <c r="AC1082" s="37">
        <v>0.02</v>
      </c>
      <c r="AD1082" s="38">
        <f t="shared" si="17"/>
        <v>915681.06</v>
      </c>
      <c r="AE1082" s="12"/>
      <c r="AF1082" s="12">
        <f>COUNTIF($A$20:A1082,A1082)</f>
        <v>12</v>
      </c>
      <c r="AG1082" s="38">
        <v>45784053</v>
      </c>
      <c r="AH1082" s="38">
        <f>Tabla4[[#This Row],[VALOR CONTRAPARTIDA]]+Tabla4[[#This Row],[TOTAL APORTES ICBF]]</f>
        <v>46699734.060000002</v>
      </c>
      <c r="AI1082" s="35"/>
      <c r="AJ1082" s="38"/>
      <c r="AK1082" s="38"/>
      <c r="AL1082" s="23"/>
      <c r="AM1082" s="35">
        <f>VLOOKUP(Tabla4[[#This Row],[SERVICIO 2025]],$J$2:$V$14,5,0)*Tabla4[[#This Row],[TOTAL COBERTURA]]</f>
        <v>1036896</v>
      </c>
      <c r="AN1082" s="35">
        <f>VLOOKUP(Tabla4[[#This Row],[SERVICIO 2025]],$J$2:$V$14,6,0)*Tabla4[[#This Row],[TOTAL COBERTURA]]</f>
        <v>861609</v>
      </c>
      <c r="AO1082" s="35">
        <f>VLOOKUP(Tabla4[[#This Row],[SERVICIO 2025]],$J$2:$V$14,8,0)*Tabla4[[#This Row],[TOTAL COBERTURA]]</f>
        <v>611100</v>
      </c>
      <c r="AP1082" s="35">
        <f>VLOOKUP(Tabla4[[#This Row],[SERVICIO 2025]],$J$2:$V$14,3,0)*Tabla4[[#This Row],[TOTAL COBERTURA]]*8</f>
        <v>43274448</v>
      </c>
      <c r="AQ1082" s="35"/>
      <c r="AR1082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1082" s="35" t="str">
        <f>+IF(Tabla4[[#This Row],[AGRUPACIONES]]=1,SUMIFS(Tabla4[VALOR TOTAL],Tabla4[ZONA DEFINITIVO],Tabla4[[#This Row],[ZONA DEFINITIVO]])," ")</f>
        <v xml:space="preserve"> </v>
      </c>
      <c r="AT1082" s="27">
        <f>(VLOOKUP(Tabla4[[#This Row],[SERVICIO 2025]],$J$2:$V$14,3,0)*Tabla4[[#This Row],[TOTAL COBERTURA]])+Tabla4[[#This Row],[VALOR FASE PREPARATORIA DE ALISTAMIENTO]]+Tabla4[[#This Row],[DOTACIÓN ÚNICA]]</f>
        <v>7057302</v>
      </c>
      <c r="AU1082" s="35">
        <f>(VLOOKUP(Tabla4[[#This Row],[SERVICIO 2025]],$J$2:$V$14,3,0)*Tabla4[[#This Row],[TOTAL COBERTURA]])</f>
        <v>5409306</v>
      </c>
      <c r="AV1082" s="35">
        <f>(VLOOKUP(Tabla4[[#This Row],[SERVICIO 2025]],$J$2:$V$14,3,0)*Tabla4[[#This Row],[TOTAL COBERTURA]])</f>
        <v>5409306</v>
      </c>
      <c r="AW1082" s="35">
        <f>(VLOOKUP(Tabla4[[#This Row],[SERVICIO 2025]],$J$2:$V$14,3,0)*Tabla4[[#This Row],[TOTAL COBERTURA]])</f>
        <v>5409306</v>
      </c>
      <c r="AX1082" s="35">
        <f>(VLOOKUP(Tabla4[[#This Row],[SERVICIO 2025]],$J$2:$V$14,3,0)*Tabla4[[#This Row],[TOTAL COBERTURA]])</f>
        <v>5409306</v>
      </c>
      <c r="AY1082" s="35">
        <f>(VLOOKUP(Tabla4[[#This Row],[SERVICIO 2025]],$J$2:$V$14,3,0)*Tabla4[[#This Row],[TOTAL COBERTURA]])</f>
        <v>5409306</v>
      </c>
      <c r="AZ1082" s="35">
        <f>(VLOOKUP(Tabla4[[#This Row],[SERVICIO 2025]],$J$2:$V$14,3,0)*Tabla4[[#This Row],[TOTAL COBERTURA]])</f>
        <v>5409306</v>
      </c>
      <c r="BA1082" s="35">
        <f>(VLOOKUP(Tabla4[[#This Row],[SERVICIO 2025]],$J$2:$V$14,3,0)*Tabla4[[#This Row],[TOTAL COBERTURA]])+Tabla4[[#This Row],[VALOR FASE PREPARATORIA DE CIERRE]]</f>
        <v>6270915</v>
      </c>
      <c r="BB1082" s="35">
        <f>SUM(Tabla4[[#This Row],[DESEMBOLSO 1]:[DESEMBOLSO 8]])</f>
        <v>45784053</v>
      </c>
      <c r="BC1082" s="35"/>
      <c r="BD1082" s="47" t="s">
        <v>97</v>
      </c>
      <c r="BE1082" s="12" t="b">
        <f>EXACT(Tabla4[[#This Row],[VALOR ATENCIÓN (8 MESES)]],Tabla4[[#This Row],[VALOR TOTAL]])</f>
        <v>1</v>
      </c>
      <c r="BF1082" s="23">
        <f>Tabla4[[#This Row],[VALOR ATENCIÓN (8 MESES)]]-Tabla4[[#This Row],[VALOR TOTAL]]</f>
        <v>0</v>
      </c>
      <c r="BG1082" s="12" t="b">
        <f>EXACT(Tabla4[[#This Row],[TOTAL DESEMBOLSOS]],Tabla4[[#This Row],[VALOR ATENCIÓN (8 MESES)]])</f>
        <v>1</v>
      </c>
      <c r="BH1082" s="29">
        <f>Tabla4[[#This Row],[TOTAL DESEMBOLSOS]]-Tabla4[[#This Row],[VALOR ATENCIÓN (8 MESES)]]</f>
        <v>0</v>
      </c>
      <c r="BI1082" t="s">
        <v>98</v>
      </c>
    </row>
    <row r="1083" spans="1:61">
      <c r="A1083" s="13">
        <v>2001</v>
      </c>
      <c r="B1083" s="13" t="s">
        <v>2353</v>
      </c>
      <c r="C1083" s="12" t="s">
        <v>87</v>
      </c>
      <c r="D1083" s="12" t="s">
        <v>1534</v>
      </c>
      <c r="E1083" s="12" t="s">
        <v>2354</v>
      </c>
      <c r="F1083" s="12" t="s">
        <v>14</v>
      </c>
      <c r="G1083" s="12" t="s">
        <v>90</v>
      </c>
      <c r="H1083" s="12" t="s">
        <v>2377</v>
      </c>
      <c r="I1083" s="12">
        <v>50421153560</v>
      </c>
      <c r="J1083" s="12" t="s">
        <v>2378</v>
      </c>
      <c r="K1083" s="12">
        <v>1</v>
      </c>
      <c r="L1083" s="12">
        <v>59</v>
      </c>
      <c r="M1083" s="12"/>
      <c r="N1083" s="13">
        <v>2001</v>
      </c>
      <c r="O1083" s="12" t="s">
        <v>93</v>
      </c>
      <c r="P1083" s="12"/>
      <c r="Q1083" s="12"/>
      <c r="R1083" s="12" t="s">
        <v>94</v>
      </c>
      <c r="S1083" s="12">
        <v>10</v>
      </c>
      <c r="T1083" s="12" t="s">
        <v>1407</v>
      </c>
      <c r="U1083" s="12" t="s">
        <v>1408</v>
      </c>
      <c r="V1083" s="12">
        <f>VLOOKUP(Tabla4[[#This Row],[ZONA DEFINITIVO]],Hoja1!$A$1:$D$121,3,0)</f>
        <v>229155</v>
      </c>
      <c r="W1083" s="12">
        <f>VLOOKUP(Tabla4[[#This Row],[ZONA DEFINITIVO]],Hoja1!$A$1:$D$121,2,0)</f>
        <v>15247</v>
      </c>
      <c r="X1083" s="12">
        <f>VLOOKUP(Tabla4[[#This Row],[ZONA DEFINITIVO]],Hoja1!$A$1:$D$121,4,0)</f>
        <v>89025</v>
      </c>
      <c r="Y1083" s="12" t="str">
        <f>+IF(Tabla4[[#This Row],[AGRUPACIONES]]=1,SUMIFS(Tabla4[UDS],Tabla4[ZONA DEFINITIVO],Tabla4[[#This Row],[ZONA DEFINITIVO]])," ")</f>
        <v xml:space="preserve"> </v>
      </c>
      <c r="Z1083" s="12" t="str">
        <f>+IF(Tabla4[[#This Row],[AGRUPACIONES]]=1,SUMIFS(Tabla4[TOTAL COBERTURA],Tabla4[ZONA DEFINITIVO],Tabla4[[#This Row],[ZONA DEFINITIVO]])," ")</f>
        <v xml:space="preserve"> </v>
      </c>
      <c r="AA1083" s="12"/>
      <c r="AB1083" s="38">
        <v>247142150</v>
      </c>
      <c r="AC1083" s="37">
        <v>0.02</v>
      </c>
      <c r="AD1083" s="38">
        <f t="shared" si="17"/>
        <v>4942843</v>
      </c>
      <c r="AE1083" s="12"/>
      <c r="AF1083" s="12">
        <f>COUNTIF($A$20:A1083,A1083)</f>
        <v>13</v>
      </c>
      <c r="AG1083" s="38">
        <v>247142150</v>
      </c>
      <c r="AH1083" s="38">
        <f>Tabla4[[#This Row],[VALOR CONTRAPARTIDA]]+Tabla4[[#This Row],[TOTAL APORTES ICBF]]</f>
        <v>252084993</v>
      </c>
      <c r="AI1083" s="35"/>
      <c r="AJ1083" s="38"/>
      <c r="AK1083" s="38"/>
      <c r="AL1083" s="23"/>
      <c r="AM1083" s="35">
        <f>VLOOKUP(Tabla4[[#This Row],[SERVICIO 2025]],$J$2:$V$14,5,0)*Tabla4[[#This Row],[TOTAL COBERTURA]]</f>
        <v>5200437</v>
      </c>
      <c r="AN1083" s="35">
        <f>VLOOKUP(Tabla4[[#This Row],[SERVICIO 2025]],$J$2:$V$14,6,0)*Tabla4[[#This Row],[TOTAL COBERTURA]]</f>
        <v>4427537</v>
      </c>
      <c r="AO1083" s="35">
        <f>VLOOKUP(Tabla4[[#This Row],[SERVICIO 2025]],$J$2:$V$14,8,0)*Tabla4[[#This Row],[TOTAL COBERTURA]]</f>
        <v>0</v>
      </c>
      <c r="AP1083" s="35">
        <f>VLOOKUP(Tabla4[[#This Row],[SERVICIO 2025]],$J$2:$V$14,3,0)*Tabla4[[#This Row],[TOTAL COBERTURA]]*8</f>
        <v>237514176</v>
      </c>
      <c r="AQ1083" s="35"/>
      <c r="AR1083" s="35">
        <f>Tabla4[[#This Row],[VALOR FASE PREPARATORIA DE ALISTAMIENTO]]+Tabla4[[#This Row],[VALOR FASE PREPARATORIA DE CIERRE]]+Tabla4[[#This Row],[DOTACIÓN ÚNICA]]+Tabla4[[#This Row],[VALOR ATENCIÓN]]+Tabla4[[#This Row],[VALOR RACION PREPARADA]]</f>
        <v>247142150</v>
      </c>
      <c r="AS1083" s="35" t="str">
        <f>+IF(Tabla4[[#This Row],[AGRUPACIONES]]=1,SUMIFS(Tabla4[VALOR TOTAL],Tabla4[ZONA DEFINITIVO],Tabla4[[#This Row],[ZONA DEFINITIVO]])," ")</f>
        <v xml:space="preserve"> </v>
      </c>
      <c r="AT1083" s="27">
        <f>(VLOOKUP(Tabla4[[#This Row],[SERVICIO 2025]],$J$2:$V$14,3,0)*Tabla4[[#This Row],[TOTAL COBERTURA]])+Tabla4[[#This Row],[VALOR FASE PREPARATORIA DE ALISTAMIENTO]]+Tabla4[[#This Row],[DOTACIÓN ÚNICA]]</f>
        <v>34889709</v>
      </c>
      <c r="AU1083" s="35">
        <f>(VLOOKUP(Tabla4[[#This Row],[SERVICIO 2025]],$J$2:$V$14,3,0)*Tabla4[[#This Row],[TOTAL COBERTURA]])</f>
        <v>29689272</v>
      </c>
      <c r="AV1083" s="35">
        <f>(VLOOKUP(Tabla4[[#This Row],[SERVICIO 2025]],$J$2:$V$14,3,0)*Tabla4[[#This Row],[TOTAL COBERTURA]])</f>
        <v>29689272</v>
      </c>
      <c r="AW1083" s="35">
        <f>(VLOOKUP(Tabla4[[#This Row],[SERVICIO 2025]],$J$2:$V$14,3,0)*Tabla4[[#This Row],[TOTAL COBERTURA]])</f>
        <v>29689272</v>
      </c>
      <c r="AX1083" s="35">
        <f>(VLOOKUP(Tabla4[[#This Row],[SERVICIO 2025]],$J$2:$V$14,3,0)*Tabla4[[#This Row],[TOTAL COBERTURA]])</f>
        <v>29689272</v>
      </c>
      <c r="AY1083" s="35">
        <f>(VLOOKUP(Tabla4[[#This Row],[SERVICIO 2025]],$J$2:$V$14,3,0)*Tabla4[[#This Row],[TOTAL COBERTURA]])</f>
        <v>29689272</v>
      </c>
      <c r="AZ1083" s="35">
        <f>(VLOOKUP(Tabla4[[#This Row],[SERVICIO 2025]],$J$2:$V$14,3,0)*Tabla4[[#This Row],[TOTAL COBERTURA]])</f>
        <v>29689272</v>
      </c>
      <c r="BA1083" s="35">
        <f>(VLOOKUP(Tabla4[[#This Row],[SERVICIO 2025]],$J$2:$V$14,3,0)*Tabla4[[#This Row],[TOTAL COBERTURA]])+Tabla4[[#This Row],[VALOR FASE PREPARATORIA DE CIERRE]]</f>
        <v>34116809</v>
      </c>
      <c r="BB1083" s="35">
        <f>SUM(Tabla4[[#This Row],[DESEMBOLSO 1]:[DESEMBOLSO 8]])</f>
        <v>247142150</v>
      </c>
      <c r="BC1083" s="35">
        <f>VLOOKUP(Tabla4[[#This Row],[SERVICIO 2025]],$J$2:$V$14,10,0)*Tabla4[[#This Row],[TOTAL COBERTURA]]*$W$3</f>
        <v>0</v>
      </c>
      <c r="BD1083" s="47" t="s">
        <v>145</v>
      </c>
      <c r="BE1083" s="12" t="b">
        <f>EXACT(Tabla4[[#This Row],[VALOR ATENCIÓN (8 MESES)]],Tabla4[[#This Row],[VALOR TOTAL]])</f>
        <v>1</v>
      </c>
      <c r="BF1083" s="23">
        <f>Tabla4[[#This Row],[VALOR ATENCIÓN (8 MESES)]]-Tabla4[[#This Row],[VALOR TOTAL]]</f>
        <v>0</v>
      </c>
      <c r="BG1083" s="12" t="b">
        <f>EXACT(Tabla4[[#This Row],[TOTAL DESEMBOLSOS]],Tabla4[[#This Row],[VALOR ATENCIÓN (8 MESES)]])</f>
        <v>1</v>
      </c>
      <c r="BH1083" s="29">
        <f>Tabla4[[#This Row],[TOTAL DESEMBOLSOS]]-Tabla4[[#This Row],[VALOR ATENCIÓN (8 MESES)]]</f>
        <v>0</v>
      </c>
      <c r="BI1083" t="s">
        <v>98</v>
      </c>
    </row>
    <row r="1084" spans="1:61">
      <c r="A1084" s="13">
        <v>2001</v>
      </c>
      <c r="B1084" s="13" t="s">
        <v>2353</v>
      </c>
      <c r="C1084" s="12" t="s">
        <v>87</v>
      </c>
      <c r="D1084" s="12" t="s">
        <v>1534</v>
      </c>
      <c r="E1084" s="12" t="s">
        <v>2354</v>
      </c>
      <c r="F1084" s="12" t="s">
        <v>22</v>
      </c>
      <c r="G1084" s="12" t="s">
        <v>90</v>
      </c>
      <c r="H1084" s="12" t="s">
        <v>2379</v>
      </c>
      <c r="I1084" s="12">
        <v>504200074634</v>
      </c>
      <c r="J1084" s="12" t="s">
        <v>2380</v>
      </c>
      <c r="K1084" s="12">
        <v>1</v>
      </c>
      <c r="L1084" s="12">
        <v>170</v>
      </c>
      <c r="M1084" s="12"/>
      <c r="N1084" s="13">
        <v>2001</v>
      </c>
      <c r="O1084" s="12" t="s">
        <v>93</v>
      </c>
      <c r="P1084" s="12"/>
      <c r="Q1084" s="12"/>
      <c r="R1084" s="12" t="s">
        <v>94</v>
      </c>
      <c r="S1084" s="12">
        <v>10</v>
      </c>
      <c r="T1084" s="12" t="s">
        <v>1407</v>
      </c>
      <c r="U1084" s="12" t="s">
        <v>1408</v>
      </c>
      <c r="V1084" s="12">
        <f>VLOOKUP(Tabla4[[#This Row],[ZONA DEFINITIVO]],Hoja1!$A$1:$D$121,3,0)</f>
        <v>229155</v>
      </c>
      <c r="W1084" s="12">
        <f>VLOOKUP(Tabla4[[#This Row],[ZONA DEFINITIVO]],Hoja1!$A$1:$D$121,2,0)</f>
        <v>15247</v>
      </c>
      <c r="X1084" s="12">
        <f>VLOOKUP(Tabla4[[#This Row],[ZONA DEFINITIVO]],Hoja1!$A$1:$D$121,4,0)</f>
        <v>89025</v>
      </c>
      <c r="Y1084" s="12" t="str">
        <f>+IF(Tabla4[[#This Row],[AGRUPACIONES]]=1,SUMIFS(Tabla4[UDS],Tabla4[ZONA DEFINITIVO],Tabla4[[#This Row],[ZONA DEFINITIVO]])," ")</f>
        <v xml:space="preserve"> </v>
      </c>
      <c r="Z1084" s="12" t="str">
        <f>+IF(Tabla4[[#This Row],[AGRUPACIONES]]=1,SUMIFS(Tabla4[TOTAL COBERTURA],Tabla4[ZONA DEFINITIVO],Tabla4[[#This Row],[ZONA DEFINITIVO]])," ")</f>
        <v xml:space="preserve"> </v>
      </c>
      <c r="AA1084" s="12"/>
      <c r="AB1084" s="38">
        <v>712104500</v>
      </c>
      <c r="AC1084" s="37">
        <v>0.02</v>
      </c>
      <c r="AD1084" s="38">
        <f t="shared" si="17"/>
        <v>14242090</v>
      </c>
      <c r="AE1084" s="12"/>
      <c r="AF1084" s="12">
        <f>COUNTIF($A$20:A1084,A1084)</f>
        <v>14</v>
      </c>
      <c r="AG1084" s="38">
        <v>712104500</v>
      </c>
      <c r="AH1084" s="38">
        <f>Tabla4[[#This Row],[VALOR CONTRAPARTIDA]]+Tabla4[[#This Row],[TOTAL APORTES ICBF]]</f>
        <v>726346590</v>
      </c>
      <c r="AI1084" s="35"/>
      <c r="AJ1084" s="38"/>
      <c r="AK1084" s="38"/>
      <c r="AL1084" s="23"/>
      <c r="AM1084" s="35">
        <f>VLOOKUP(Tabla4[[#This Row],[SERVICIO 2025]],$J$2:$V$14,5,0)*Tabla4[[#This Row],[TOTAL COBERTURA]]</f>
        <v>14984310</v>
      </c>
      <c r="AN1084" s="35">
        <f>VLOOKUP(Tabla4[[#This Row],[SERVICIO 2025]],$J$2:$V$14,6,0)*Tabla4[[#This Row],[TOTAL COBERTURA]]</f>
        <v>12757310</v>
      </c>
      <c r="AO1084" s="35">
        <f>VLOOKUP(Tabla4[[#This Row],[SERVICIO 2025]],$J$2:$V$14,8,0)*Tabla4[[#This Row],[TOTAL COBERTURA]]</f>
        <v>0</v>
      </c>
      <c r="AP1084" s="35">
        <f>VLOOKUP(Tabla4[[#This Row],[SERVICIO 2025]],$J$2:$V$14,3,0)*Tabla4[[#This Row],[TOTAL COBERTURA]]*8</f>
        <v>684362880</v>
      </c>
      <c r="AQ1084" s="35"/>
      <c r="AR1084" s="35">
        <f>Tabla4[[#This Row],[VALOR FASE PREPARATORIA DE ALISTAMIENTO]]+Tabla4[[#This Row],[VALOR FASE PREPARATORIA DE CIERRE]]+Tabla4[[#This Row],[DOTACIÓN ÚNICA]]+Tabla4[[#This Row],[VALOR ATENCIÓN]]+Tabla4[[#This Row],[VALOR RACION PREPARADA]]</f>
        <v>712104500</v>
      </c>
      <c r="AS1084" s="35" t="str">
        <f>+IF(Tabla4[[#This Row],[AGRUPACIONES]]=1,SUMIFS(Tabla4[VALOR TOTAL],Tabla4[ZONA DEFINITIVO],Tabla4[[#This Row],[ZONA DEFINITIVO]])," ")</f>
        <v xml:space="preserve"> </v>
      </c>
      <c r="AT1084" s="27">
        <f>(VLOOKUP(Tabla4[[#This Row],[SERVICIO 2025]],$J$2:$V$14,3,0)*Tabla4[[#This Row],[TOTAL COBERTURA]])+Tabla4[[#This Row],[VALOR FASE PREPARATORIA DE ALISTAMIENTO]]+Tabla4[[#This Row],[DOTACIÓN ÚNICA]]</f>
        <v>100529670</v>
      </c>
      <c r="AU1084" s="35">
        <f>(VLOOKUP(Tabla4[[#This Row],[SERVICIO 2025]],$J$2:$V$14,3,0)*Tabla4[[#This Row],[TOTAL COBERTURA]])</f>
        <v>85545360</v>
      </c>
      <c r="AV1084" s="35">
        <f>(VLOOKUP(Tabla4[[#This Row],[SERVICIO 2025]],$J$2:$V$14,3,0)*Tabla4[[#This Row],[TOTAL COBERTURA]])</f>
        <v>85545360</v>
      </c>
      <c r="AW1084" s="35">
        <f>(VLOOKUP(Tabla4[[#This Row],[SERVICIO 2025]],$J$2:$V$14,3,0)*Tabla4[[#This Row],[TOTAL COBERTURA]])</f>
        <v>85545360</v>
      </c>
      <c r="AX1084" s="35">
        <f>(VLOOKUP(Tabla4[[#This Row],[SERVICIO 2025]],$J$2:$V$14,3,0)*Tabla4[[#This Row],[TOTAL COBERTURA]])</f>
        <v>85545360</v>
      </c>
      <c r="AY1084" s="35">
        <f>(VLOOKUP(Tabla4[[#This Row],[SERVICIO 2025]],$J$2:$V$14,3,0)*Tabla4[[#This Row],[TOTAL COBERTURA]])</f>
        <v>85545360</v>
      </c>
      <c r="AZ1084" s="35">
        <f>(VLOOKUP(Tabla4[[#This Row],[SERVICIO 2025]],$J$2:$V$14,3,0)*Tabla4[[#This Row],[TOTAL COBERTURA]])</f>
        <v>85545360</v>
      </c>
      <c r="BA1084" s="35">
        <f>(VLOOKUP(Tabla4[[#This Row],[SERVICIO 2025]],$J$2:$V$14,3,0)*Tabla4[[#This Row],[TOTAL COBERTURA]])+Tabla4[[#This Row],[VALOR FASE PREPARATORIA DE CIERRE]]</f>
        <v>98302670</v>
      </c>
      <c r="BB1084" s="35">
        <f>SUM(Tabla4[[#This Row],[DESEMBOLSO 1]:[DESEMBOLSO 8]])</f>
        <v>712104500</v>
      </c>
      <c r="BC1084" s="35">
        <f>VLOOKUP(Tabla4[[#This Row],[SERVICIO 2025]],$J$2:$V$14,10,0)*Tabla4[[#This Row],[TOTAL COBERTURA]]*$W$3</f>
        <v>0</v>
      </c>
      <c r="BD1084" s="47" t="s">
        <v>145</v>
      </c>
      <c r="BE1084" s="12" t="b">
        <f>EXACT(Tabla4[[#This Row],[VALOR ATENCIÓN (8 MESES)]],Tabla4[[#This Row],[VALOR TOTAL]])</f>
        <v>1</v>
      </c>
      <c r="BF1084" s="23">
        <f>Tabla4[[#This Row],[VALOR ATENCIÓN (8 MESES)]]-Tabla4[[#This Row],[VALOR TOTAL]]</f>
        <v>0</v>
      </c>
      <c r="BG1084" s="12" t="b">
        <f>EXACT(Tabla4[[#This Row],[TOTAL DESEMBOLSOS]],Tabla4[[#This Row],[VALOR ATENCIÓN (8 MESES)]])</f>
        <v>1</v>
      </c>
      <c r="BH1084" s="29">
        <f>Tabla4[[#This Row],[TOTAL DESEMBOLSOS]]-Tabla4[[#This Row],[VALOR ATENCIÓN (8 MESES)]]</f>
        <v>0</v>
      </c>
      <c r="BI1084" t="s">
        <v>98</v>
      </c>
    </row>
    <row r="1085" spans="1:61">
      <c r="A1085" s="13">
        <v>2003</v>
      </c>
      <c r="B1085" s="13" t="s">
        <v>2381</v>
      </c>
      <c r="C1085" s="12" t="s">
        <v>87</v>
      </c>
      <c r="D1085" s="12" t="s">
        <v>673</v>
      </c>
      <c r="E1085" s="12" t="s">
        <v>2382</v>
      </c>
      <c r="F1085" s="12" t="s">
        <v>15</v>
      </c>
      <c r="G1085" s="12" t="s">
        <v>90</v>
      </c>
      <c r="H1085" s="12" t="s">
        <v>2383</v>
      </c>
      <c r="I1085" s="12">
        <v>57361151911</v>
      </c>
      <c r="J1085" s="12" t="s">
        <v>2384</v>
      </c>
      <c r="K1085" s="12">
        <v>1</v>
      </c>
      <c r="L1085" s="12">
        <v>201</v>
      </c>
      <c r="M1085" s="12"/>
      <c r="N1085" s="13">
        <v>2003</v>
      </c>
      <c r="O1085" s="12" t="s">
        <v>93</v>
      </c>
      <c r="P1085" s="12"/>
      <c r="Q1085" s="12"/>
      <c r="R1085" s="12" t="s">
        <v>94</v>
      </c>
      <c r="S1085" s="12">
        <v>10</v>
      </c>
      <c r="T1085" s="12" t="s">
        <v>1477</v>
      </c>
      <c r="U1085" s="12" t="s">
        <v>1478</v>
      </c>
      <c r="V1085" s="12">
        <f>VLOOKUP(Tabla4[[#This Row],[ZONA DEFINITIVO]],Hoja1!$A$1:$D$121,3,0)</f>
        <v>229156</v>
      </c>
      <c r="W1085" s="12">
        <f>VLOOKUP(Tabla4[[#This Row],[ZONA DEFINITIVO]],Hoja1!$A$1:$D$121,2,0)</f>
        <v>15253</v>
      </c>
      <c r="X1085" s="12">
        <f>VLOOKUP(Tabla4[[#This Row],[ZONA DEFINITIVO]],Hoja1!$A$1:$D$121,4,0)</f>
        <v>89625</v>
      </c>
      <c r="Y1085" s="12">
        <f>+IF(Tabla4[[#This Row],[AGRUPACIONES]]=1,SUMIFS(Tabla4[UDS],Tabla4[ZONA DEFINITIVO],Tabla4[[#This Row],[ZONA DEFINITIVO]])," ")</f>
        <v>9</v>
      </c>
      <c r="Z1085" s="12">
        <f>+IF(Tabla4[[#This Row],[AGRUPACIONES]]=1,SUMIFS(Tabla4[TOTAL COBERTURA],Tabla4[ZONA DEFINITIVO],Tabla4[[#This Row],[ZONA DEFINITIVO]])," ")</f>
        <v>797</v>
      </c>
      <c r="AA1085" s="12"/>
      <c r="AB1085" s="38">
        <v>870209802</v>
      </c>
      <c r="AC1085" s="37">
        <v>0.02</v>
      </c>
      <c r="AD1085" s="38">
        <f t="shared" si="17"/>
        <v>17404196.039999999</v>
      </c>
      <c r="AE1085" s="12"/>
      <c r="AF1085" s="12">
        <f>COUNTIF($A$20:A1085,A1085)</f>
        <v>1</v>
      </c>
      <c r="AG1085" s="38">
        <v>870209802</v>
      </c>
      <c r="AH1085" s="38">
        <f>Tabla4[[#This Row],[VALOR CONTRAPARTIDA]]+Tabla4[[#This Row],[TOTAL APORTES ICBF]]</f>
        <v>887613998.03999996</v>
      </c>
      <c r="AI1085" s="35">
        <f>ROUND(+IF(Tabla4[[#This Row],[AGRUPACIONES]]=1,SUMIFS(Tabla4[TOTAL APORTES ICBF],Tabla4[ZONA DEFINITIVO],Tabla4[[#This Row],[ZONA DEFINITIVO]])," "),0)</f>
        <v>3405837858</v>
      </c>
      <c r="AJ1085" s="38">
        <f>ROUND(+IF(Tabla4[[#This Row],[AGRUPACIONES]]=1,SUMIFS(Tabla4[VALOR CONTRAPARTIDA],Tabla4[ZONA DEFINITIVO],Tabla4[[#This Row],[ZONA DEFINITIVO]])," "),0)</f>
        <v>68116757</v>
      </c>
      <c r="AK1085" s="38">
        <f>Tabla4[[#This Row],[TOTAL APORTES ICBF AGRUPADO]]+Tabla4[[#This Row],[TOTAL CONTRAPARTIDA AGRUPADO]]</f>
        <v>3473954615</v>
      </c>
      <c r="AL1085" s="23">
        <f>Tabla4[[#This Row],[TOTAL APORTES ICBF AGRUPADO]]/$AL$18</f>
        <v>2392.5801601685985</v>
      </c>
      <c r="AM1085" s="35">
        <f>VLOOKUP(Tabla4[[#This Row],[SERVICIO 2025]],$J$2:$V$14,5,0)*Tabla4[[#This Row],[TOTAL COBERTURA]]</f>
        <v>17716743</v>
      </c>
      <c r="AN1085" s="35">
        <f>VLOOKUP(Tabla4[[#This Row],[SERVICIO 2025]],$J$2:$V$14,6,0)*Tabla4[[#This Row],[TOTAL COBERTURA]]</f>
        <v>15083643</v>
      </c>
      <c r="AO1085" s="35">
        <f>VLOOKUP(Tabla4[[#This Row],[SERVICIO 2025]],$J$2:$V$14,8,0)*Tabla4[[#This Row],[TOTAL COBERTURA]]</f>
        <v>0</v>
      </c>
      <c r="AP1085" s="35">
        <f>VLOOKUP(Tabla4[[#This Row],[SERVICIO 2025]],$J$2:$V$14,3,0)*Tabla4[[#This Row],[TOTAL COBERTURA]]*8</f>
        <v>837409416</v>
      </c>
      <c r="AQ1085" s="35"/>
      <c r="AR1085" s="35">
        <f>Tabla4[[#This Row],[VALOR FASE PREPARATORIA DE ALISTAMIENTO]]+Tabla4[[#This Row],[VALOR FASE PREPARATORIA DE CIERRE]]+Tabla4[[#This Row],[DOTACIÓN ÚNICA]]+Tabla4[[#This Row],[VALOR ATENCIÓN]]+Tabla4[[#This Row],[VALOR RACION PREPARADA]]</f>
        <v>870209802</v>
      </c>
      <c r="AS1085" s="35">
        <f>+IF(Tabla4[[#This Row],[AGRUPACIONES]]=1,SUMIFS(Tabla4[VALOR TOTAL],Tabla4[ZONA DEFINITIVO],Tabla4[[#This Row],[ZONA DEFINITIVO]])," ")</f>
        <v>3405837858</v>
      </c>
      <c r="AT1085" s="27">
        <f>(VLOOKUP(Tabla4[[#This Row],[SERVICIO 2025]],$J$2:$V$14,3,0)*Tabla4[[#This Row],[TOTAL COBERTURA]])+Tabla4[[#This Row],[VALOR FASE PREPARATORIA DE ALISTAMIENTO]]+Tabla4[[#This Row],[DOTACIÓN ÚNICA]]</f>
        <v>122392920</v>
      </c>
      <c r="AU1085" s="35">
        <f>(VLOOKUP(Tabla4[[#This Row],[SERVICIO 2025]],$J$2:$V$14,3,0)*Tabla4[[#This Row],[TOTAL COBERTURA]])</f>
        <v>104676177</v>
      </c>
      <c r="AV1085" s="35">
        <f>(VLOOKUP(Tabla4[[#This Row],[SERVICIO 2025]],$J$2:$V$14,3,0)*Tabla4[[#This Row],[TOTAL COBERTURA]])</f>
        <v>104676177</v>
      </c>
      <c r="AW1085" s="35">
        <f>(VLOOKUP(Tabla4[[#This Row],[SERVICIO 2025]],$J$2:$V$14,3,0)*Tabla4[[#This Row],[TOTAL COBERTURA]])</f>
        <v>104676177</v>
      </c>
      <c r="AX1085" s="35">
        <f>(VLOOKUP(Tabla4[[#This Row],[SERVICIO 2025]],$J$2:$V$14,3,0)*Tabla4[[#This Row],[TOTAL COBERTURA]])</f>
        <v>104676177</v>
      </c>
      <c r="AY1085" s="35">
        <f>(VLOOKUP(Tabla4[[#This Row],[SERVICIO 2025]],$J$2:$V$14,3,0)*Tabla4[[#This Row],[TOTAL COBERTURA]])</f>
        <v>104676177</v>
      </c>
      <c r="AZ1085" s="35">
        <f>(VLOOKUP(Tabla4[[#This Row],[SERVICIO 2025]],$J$2:$V$14,3,0)*Tabla4[[#This Row],[TOTAL COBERTURA]])</f>
        <v>104676177</v>
      </c>
      <c r="BA1085" s="35">
        <f>(VLOOKUP(Tabla4[[#This Row],[SERVICIO 2025]],$J$2:$V$14,3,0)*Tabla4[[#This Row],[TOTAL COBERTURA]])+Tabla4[[#This Row],[VALOR FASE PREPARATORIA DE CIERRE]]</f>
        <v>119759820</v>
      </c>
      <c r="BB1085" s="35">
        <f>SUM(Tabla4[[#This Row],[DESEMBOLSO 1]:[DESEMBOLSO 8]])</f>
        <v>870209802</v>
      </c>
      <c r="BC1085" s="35">
        <f>VLOOKUP(Tabla4[[#This Row],[SERVICIO 2025]],$J$2:$V$14,10,0)*Tabla4[[#This Row],[TOTAL COBERTURA]]*$W$3</f>
        <v>0</v>
      </c>
      <c r="BD1085" s="47" t="s">
        <v>145</v>
      </c>
      <c r="BE1085" s="12" t="b">
        <f>EXACT(Tabla4[[#This Row],[VALOR ATENCIÓN (8 MESES)]],Tabla4[[#This Row],[VALOR TOTAL]])</f>
        <v>1</v>
      </c>
      <c r="BF1085" s="23">
        <f>Tabla4[[#This Row],[VALOR ATENCIÓN (8 MESES)]]-Tabla4[[#This Row],[VALOR TOTAL]]</f>
        <v>0</v>
      </c>
      <c r="BG1085" s="12" t="b">
        <f>EXACT(Tabla4[[#This Row],[TOTAL DESEMBOLSOS]],Tabla4[[#This Row],[VALOR ATENCIÓN (8 MESES)]])</f>
        <v>1</v>
      </c>
      <c r="BH1085" s="29">
        <f>Tabla4[[#This Row],[TOTAL DESEMBOLSOS]]-Tabla4[[#This Row],[VALOR ATENCIÓN (8 MESES)]]</f>
        <v>0</v>
      </c>
      <c r="BI1085" t="s">
        <v>98</v>
      </c>
    </row>
    <row r="1086" spans="1:61">
      <c r="A1086" s="13">
        <v>2003</v>
      </c>
      <c r="B1086" s="13" t="s">
        <v>2381</v>
      </c>
      <c r="C1086" s="12" t="s">
        <v>87</v>
      </c>
      <c r="D1086" s="12" t="s">
        <v>673</v>
      </c>
      <c r="E1086" s="12" t="s">
        <v>2382</v>
      </c>
      <c r="F1086" s="12" t="s">
        <v>14</v>
      </c>
      <c r="G1086" s="12" t="s">
        <v>90</v>
      </c>
      <c r="H1086" s="12" t="s">
        <v>2385</v>
      </c>
      <c r="I1086" s="12">
        <v>560400051357</v>
      </c>
      <c r="J1086" s="12" t="s">
        <v>2386</v>
      </c>
      <c r="K1086" s="12">
        <v>1</v>
      </c>
      <c r="L1086" s="12">
        <v>42</v>
      </c>
      <c r="M1086" s="12"/>
      <c r="N1086" s="13">
        <v>2003</v>
      </c>
      <c r="O1086" s="12" t="s">
        <v>93</v>
      </c>
      <c r="P1086" s="12"/>
      <c r="Q1086" s="12"/>
      <c r="R1086" s="12" t="s">
        <v>94</v>
      </c>
      <c r="S1086" s="12">
        <v>10</v>
      </c>
      <c r="T1086" s="12" t="s">
        <v>1477</v>
      </c>
      <c r="U1086" s="12" t="s">
        <v>1478</v>
      </c>
      <c r="V1086" s="12">
        <f>VLOOKUP(Tabla4[[#This Row],[ZONA DEFINITIVO]],Hoja1!$A$1:$D$121,3,0)</f>
        <v>229156</v>
      </c>
      <c r="W1086" s="12">
        <f>VLOOKUP(Tabla4[[#This Row],[ZONA DEFINITIVO]],Hoja1!$A$1:$D$121,2,0)</f>
        <v>15253</v>
      </c>
      <c r="X1086" s="12">
        <f>VLOOKUP(Tabla4[[#This Row],[ZONA DEFINITIVO]],Hoja1!$A$1:$D$121,4,0)</f>
        <v>89625</v>
      </c>
      <c r="Y1086" s="12" t="str">
        <f>+IF(Tabla4[[#This Row],[AGRUPACIONES]]=1,SUMIFS(Tabla4[UDS],Tabla4[ZONA DEFINITIVO],Tabla4[[#This Row],[ZONA DEFINITIVO]])," ")</f>
        <v xml:space="preserve"> </v>
      </c>
      <c r="Z1086" s="12" t="str">
        <f>+IF(Tabla4[[#This Row],[AGRUPACIONES]]=1,SUMIFS(Tabla4[TOTAL COBERTURA],Tabla4[ZONA DEFINITIVO],Tabla4[[#This Row],[ZONA DEFINITIVO]])," ")</f>
        <v xml:space="preserve"> </v>
      </c>
      <c r="AA1086" s="12"/>
      <c r="AB1086" s="38">
        <v>175931700</v>
      </c>
      <c r="AC1086" s="37">
        <v>0.02</v>
      </c>
      <c r="AD1086" s="38">
        <f t="shared" si="17"/>
        <v>3518634</v>
      </c>
      <c r="AE1086" s="12"/>
      <c r="AF1086" s="12">
        <f>COUNTIF($A$20:A1086,A1086)</f>
        <v>2</v>
      </c>
      <c r="AG1086" s="38">
        <v>175931700</v>
      </c>
      <c r="AH1086" s="38">
        <f>Tabla4[[#This Row],[VALOR CONTRAPARTIDA]]+Tabla4[[#This Row],[TOTAL APORTES ICBF]]</f>
        <v>179450334</v>
      </c>
      <c r="AI1086" s="35"/>
      <c r="AJ1086" s="38"/>
      <c r="AK1086" s="38"/>
      <c r="AL1086" s="23"/>
      <c r="AM1086" s="35">
        <f>VLOOKUP(Tabla4[[#This Row],[SERVICIO 2025]],$J$2:$V$14,5,0)*Tabla4[[#This Row],[TOTAL COBERTURA]]</f>
        <v>3702006</v>
      </c>
      <c r="AN1086" s="35">
        <f>VLOOKUP(Tabla4[[#This Row],[SERVICIO 2025]],$J$2:$V$14,6,0)*Tabla4[[#This Row],[TOTAL COBERTURA]]</f>
        <v>3151806</v>
      </c>
      <c r="AO1086" s="35">
        <f>VLOOKUP(Tabla4[[#This Row],[SERVICIO 2025]],$J$2:$V$14,8,0)*Tabla4[[#This Row],[TOTAL COBERTURA]]</f>
        <v>0</v>
      </c>
      <c r="AP1086" s="35">
        <f>VLOOKUP(Tabla4[[#This Row],[SERVICIO 2025]],$J$2:$V$14,3,0)*Tabla4[[#This Row],[TOTAL COBERTURA]]*8</f>
        <v>169077888</v>
      </c>
      <c r="AQ1086" s="35"/>
      <c r="AR1086" s="35">
        <f>Tabla4[[#This Row],[VALOR FASE PREPARATORIA DE ALISTAMIENTO]]+Tabla4[[#This Row],[VALOR FASE PREPARATORIA DE CIERRE]]+Tabla4[[#This Row],[DOTACIÓN ÚNICA]]+Tabla4[[#This Row],[VALOR ATENCIÓN]]+Tabla4[[#This Row],[VALOR RACION PREPARADA]]</f>
        <v>175931700</v>
      </c>
      <c r="AS1086" s="35" t="str">
        <f>+IF(Tabla4[[#This Row],[AGRUPACIONES]]=1,SUMIFS(Tabla4[VALOR TOTAL],Tabla4[ZONA DEFINITIVO],Tabla4[[#This Row],[ZONA DEFINITIVO]])," ")</f>
        <v xml:space="preserve"> </v>
      </c>
      <c r="AT1086" s="27">
        <f>(VLOOKUP(Tabla4[[#This Row],[SERVICIO 2025]],$J$2:$V$14,3,0)*Tabla4[[#This Row],[TOTAL COBERTURA]])+Tabla4[[#This Row],[VALOR FASE PREPARATORIA DE ALISTAMIENTO]]+Tabla4[[#This Row],[DOTACIÓN ÚNICA]]</f>
        <v>24836742</v>
      </c>
      <c r="AU1086" s="35">
        <f>(VLOOKUP(Tabla4[[#This Row],[SERVICIO 2025]],$J$2:$V$14,3,0)*Tabla4[[#This Row],[TOTAL COBERTURA]])</f>
        <v>21134736</v>
      </c>
      <c r="AV1086" s="35">
        <f>(VLOOKUP(Tabla4[[#This Row],[SERVICIO 2025]],$J$2:$V$14,3,0)*Tabla4[[#This Row],[TOTAL COBERTURA]])</f>
        <v>21134736</v>
      </c>
      <c r="AW1086" s="35">
        <f>(VLOOKUP(Tabla4[[#This Row],[SERVICIO 2025]],$J$2:$V$14,3,0)*Tabla4[[#This Row],[TOTAL COBERTURA]])</f>
        <v>21134736</v>
      </c>
      <c r="AX1086" s="35">
        <f>(VLOOKUP(Tabla4[[#This Row],[SERVICIO 2025]],$J$2:$V$14,3,0)*Tabla4[[#This Row],[TOTAL COBERTURA]])</f>
        <v>21134736</v>
      </c>
      <c r="AY1086" s="35">
        <f>(VLOOKUP(Tabla4[[#This Row],[SERVICIO 2025]],$J$2:$V$14,3,0)*Tabla4[[#This Row],[TOTAL COBERTURA]])</f>
        <v>21134736</v>
      </c>
      <c r="AZ1086" s="35">
        <f>(VLOOKUP(Tabla4[[#This Row],[SERVICIO 2025]],$J$2:$V$14,3,0)*Tabla4[[#This Row],[TOTAL COBERTURA]])</f>
        <v>21134736</v>
      </c>
      <c r="BA1086" s="35">
        <f>(VLOOKUP(Tabla4[[#This Row],[SERVICIO 2025]],$J$2:$V$14,3,0)*Tabla4[[#This Row],[TOTAL COBERTURA]])+Tabla4[[#This Row],[VALOR FASE PREPARATORIA DE CIERRE]]</f>
        <v>24286542</v>
      </c>
      <c r="BB1086" s="35">
        <f>SUM(Tabla4[[#This Row],[DESEMBOLSO 1]:[DESEMBOLSO 8]])</f>
        <v>175931700</v>
      </c>
      <c r="BC1086" s="35">
        <f>VLOOKUP(Tabla4[[#This Row],[SERVICIO 2025]],$J$2:$V$14,10,0)*Tabla4[[#This Row],[TOTAL COBERTURA]]*$W$3</f>
        <v>0</v>
      </c>
      <c r="BD1086" s="47" t="s">
        <v>145</v>
      </c>
      <c r="BE1086" s="12" t="b">
        <f>EXACT(Tabla4[[#This Row],[VALOR ATENCIÓN (8 MESES)]],Tabla4[[#This Row],[VALOR TOTAL]])</f>
        <v>1</v>
      </c>
      <c r="BF1086" s="23">
        <f>Tabla4[[#This Row],[VALOR ATENCIÓN (8 MESES)]]-Tabla4[[#This Row],[VALOR TOTAL]]</f>
        <v>0</v>
      </c>
      <c r="BG1086" s="12" t="b">
        <f>EXACT(Tabla4[[#This Row],[TOTAL DESEMBOLSOS]],Tabla4[[#This Row],[VALOR ATENCIÓN (8 MESES)]])</f>
        <v>1</v>
      </c>
      <c r="BH1086" s="29">
        <f>Tabla4[[#This Row],[TOTAL DESEMBOLSOS]]-Tabla4[[#This Row],[VALOR ATENCIÓN (8 MESES)]]</f>
        <v>0</v>
      </c>
      <c r="BI1086" t="s">
        <v>98</v>
      </c>
    </row>
    <row r="1087" spans="1:61">
      <c r="A1087" s="13">
        <v>2003</v>
      </c>
      <c r="B1087" s="13" t="s">
        <v>2381</v>
      </c>
      <c r="C1087" s="12" t="s">
        <v>87</v>
      </c>
      <c r="D1087" s="12" t="s">
        <v>673</v>
      </c>
      <c r="E1087" s="12" t="s">
        <v>2382</v>
      </c>
      <c r="F1087" s="12" t="s">
        <v>14</v>
      </c>
      <c r="G1087" s="12" t="s">
        <v>90</v>
      </c>
      <c r="H1087" s="12" t="s">
        <v>2387</v>
      </c>
      <c r="I1087" s="12">
        <v>573600054826</v>
      </c>
      <c r="J1087" s="12" t="s">
        <v>2388</v>
      </c>
      <c r="K1087" s="12">
        <v>1</v>
      </c>
      <c r="L1087" s="12">
        <v>199</v>
      </c>
      <c r="M1087" s="12"/>
      <c r="N1087" s="13">
        <v>2003</v>
      </c>
      <c r="O1087" s="12" t="s">
        <v>93</v>
      </c>
      <c r="P1087" s="12"/>
      <c r="Q1087" s="12"/>
      <c r="R1087" s="12" t="s">
        <v>94</v>
      </c>
      <c r="S1087" s="12">
        <v>10</v>
      </c>
      <c r="T1087" s="12" t="s">
        <v>1477</v>
      </c>
      <c r="U1087" s="12" t="s">
        <v>1478</v>
      </c>
      <c r="V1087" s="12">
        <f>VLOOKUP(Tabla4[[#This Row],[ZONA DEFINITIVO]],Hoja1!$A$1:$D$121,3,0)</f>
        <v>229156</v>
      </c>
      <c r="W1087" s="12">
        <f>VLOOKUP(Tabla4[[#This Row],[ZONA DEFINITIVO]],Hoja1!$A$1:$D$121,2,0)</f>
        <v>15253</v>
      </c>
      <c r="X1087" s="12">
        <f>VLOOKUP(Tabla4[[#This Row],[ZONA DEFINITIVO]],Hoja1!$A$1:$D$121,4,0)</f>
        <v>89625</v>
      </c>
      <c r="Y1087" s="12" t="str">
        <f>+IF(Tabla4[[#This Row],[AGRUPACIONES]]=1,SUMIFS(Tabla4[UDS],Tabla4[ZONA DEFINITIVO],Tabla4[[#This Row],[ZONA DEFINITIVO]])," ")</f>
        <v xml:space="preserve"> </v>
      </c>
      <c r="Z1087" s="12" t="str">
        <f>+IF(Tabla4[[#This Row],[AGRUPACIONES]]=1,SUMIFS(Tabla4[TOTAL COBERTURA],Tabla4[ZONA DEFINITIVO],Tabla4[[#This Row],[ZONA DEFINITIVO]])," ")</f>
        <v xml:space="preserve"> </v>
      </c>
      <c r="AA1087" s="12"/>
      <c r="AB1087" s="38">
        <v>833581150</v>
      </c>
      <c r="AC1087" s="37">
        <v>0.02</v>
      </c>
      <c r="AD1087" s="38">
        <f t="shared" si="17"/>
        <v>16671623</v>
      </c>
      <c r="AE1087" s="12"/>
      <c r="AF1087" s="12">
        <f>COUNTIF($A$20:A1087,A1087)</f>
        <v>3</v>
      </c>
      <c r="AG1087" s="38">
        <v>833581150</v>
      </c>
      <c r="AH1087" s="38">
        <f>Tabla4[[#This Row],[VALOR CONTRAPARTIDA]]+Tabla4[[#This Row],[TOTAL APORTES ICBF]]</f>
        <v>850252773</v>
      </c>
      <c r="AI1087" s="35"/>
      <c r="AJ1087" s="38"/>
      <c r="AK1087" s="38"/>
      <c r="AL1087" s="23"/>
      <c r="AM1087" s="35">
        <f>VLOOKUP(Tabla4[[#This Row],[SERVICIO 2025]],$J$2:$V$14,5,0)*Tabla4[[#This Row],[TOTAL COBERTURA]]</f>
        <v>17540457</v>
      </c>
      <c r="AN1087" s="35">
        <f>VLOOKUP(Tabla4[[#This Row],[SERVICIO 2025]],$J$2:$V$14,6,0)*Tabla4[[#This Row],[TOTAL COBERTURA]]</f>
        <v>14933557</v>
      </c>
      <c r="AO1087" s="35">
        <f>VLOOKUP(Tabla4[[#This Row],[SERVICIO 2025]],$J$2:$V$14,8,0)*Tabla4[[#This Row],[TOTAL COBERTURA]]</f>
        <v>0</v>
      </c>
      <c r="AP1087" s="35">
        <f>VLOOKUP(Tabla4[[#This Row],[SERVICIO 2025]],$J$2:$V$14,3,0)*Tabla4[[#This Row],[TOTAL COBERTURA]]*8</f>
        <v>801107136</v>
      </c>
      <c r="AQ1087" s="35"/>
      <c r="AR1087" s="35">
        <f>Tabla4[[#This Row],[VALOR FASE PREPARATORIA DE ALISTAMIENTO]]+Tabla4[[#This Row],[VALOR FASE PREPARATORIA DE CIERRE]]+Tabla4[[#This Row],[DOTACIÓN ÚNICA]]+Tabla4[[#This Row],[VALOR ATENCIÓN]]+Tabla4[[#This Row],[VALOR RACION PREPARADA]]</f>
        <v>833581150</v>
      </c>
      <c r="AS1087" s="35" t="str">
        <f>+IF(Tabla4[[#This Row],[AGRUPACIONES]]=1,SUMIFS(Tabla4[VALOR TOTAL],Tabla4[ZONA DEFINITIVO],Tabla4[[#This Row],[ZONA DEFINITIVO]])," ")</f>
        <v xml:space="preserve"> </v>
      </c>
      <c r="AT1087" s="27">
        <f>(VLOOKUP(Tabla4[[#This Row],[SERVICIO 2025]],$J$2:$V$14,3,0)*Tabla4[[#This Row],[TOTAL COBERTURA]])+Tabla4[[#This Row],[VALOR FASE PREPARATORIA DE ALISTAMIENTO]]+Tabla4[[#This Row],[DOTACIÓN ÚNICA]]</f>
        <v>117678849</v>
      </c>
      <c r="AU1087" s="35">
        <f>(VLOOKUP(Tabla4[[#This Row],[SERVICIO 2025]],$J$2:$V$14,3,0)*Tabla4[[#This Row],[TOTAL COBERTURA]])</f>
        <v>100138392</v>
      </c>
      <c r="AV1087" s="35">
        <f>(VLOOKUP(Tabla4[[#This Row],[SERVICIO 2025]],$J$2:$V$14,3,0)*Tabla4[[#This Row],[TOTAL COBERTURA]])</f>
        <v>100138392</v>
      </c>
      <c r="AW1087" s="35">
        <f>(VLOOKUP(Tabla4[[#This Row],[SERVICIO 2025]],$J$2:$V$14,3,0)*Tabla4[[#This Row],[TOTAL COBERTURA]])</f>
        <v>100138392</v>
      </c>
      <c r="AX1087" s="35">
        <f>(VLOOKUP(Tabla4[[#This Row],[SERVICIO 2025]],$J$2:$V$14,3,0)*Tabla4[[#This Row],[TOTAL COBERTURA]])</f>
        <v>100138392</v>
      </c>
      <c r="AY1087" s="35">
        <f>(VLOOKUP(Tabla4[[#This Row],[SERVICIO 2025]],$J$2:$V$14,3,0)*Tabla4[[#This Row],[TOTAL COBERTURA]])</f>
        <v>100138392</v>
      </c>
      <c r="AZ1087" s="35">
        <f>(VLOOKUP(Tabla4[[#This Row],[SERVICIO 2025]],$J$2:$V$14,3,0)*Tabla4[[#This Row],[TOTAL COBERTURA]])</f>
        <v>100138392</v>
      </c>
      <c r="BA1087" s="35">
        <f>(VLOOKUP(Tabla4[[#This Row],[SERVICIO 2025]],$J$2:$V$14,3,0)*Tabla4[[#This Row],[TOTAL COBERTURA]])+Tabla4[[#This Row],[VALOR FASE PREPARATORIA DE CIERRE]]</f>
        <v>115071949</v>
      </c>
      <c r="BB1087" s="35">
        <f>SUM(Tabla4[[#This Row],[DESEMBOLSO 1]:[DESEMBOLSO 8]])</f>
        <v>833581150</v>
      </c>
      <c r="BC1087" s="35">
        <f>VLOOKUP(Tabla4[[#This Row],[SERVICIO 2025]],$J$2:$V$14,10,0)*Tabla4[[#This Row],[TOTAL COBERTURA]]*$W$3</f>
        <v>0</v>
      </c>
      <c r="BD1087" s="47" t="s">
        <v>145</v>
      </c>
      <c r="BE1087" s="12" t="b">
        <f>EXACT(Tabla4[[#This Row],[VALOR ATENCIÓN (8 MESES)]],Tabla4[[#This Row],[VALOR TOTAL]])</f>
        <v>1</v>
      </c>
      <c r="BF1087" s="23">
        <f>Tabla4[[#This Row],[VALOR ATENCIÓN (8 MESES)]]-Tabla4[[#This Row],[VALOR TOTAL]]</f>
        <v>0</v>
      </c>
      <c r="BG1087" s="12" t="b">
        <f>EXACT(Tabla4[[#This Row],[TOTAL DESEMBOLSOS]],Tabla4[[#This Row],[VALOR ATENCIÓN (8 MESES)]])</f>
        <v>1</v>
      </c>
      <c r="BH1087" s="29">
        <f>Tabla4[[#This Row],[TOTAL DESEMBOLSOS]]-Tabla4[[#This Row],[VALOR ATENCIÓN (8 MESES)]]</f>
        <v>0</v>
      </c>
      <c r="BI1087" t="s">
        <v>98</v>
      </c>
    </row>
    <row r="1088" spans="1:61">
      <c r="A1088" s="13">
        <v>2003</v>
      </c>
      <c r="B1088" s="13" t="s">
        <v>2381</v>
      </c>
      <c r="C1088" s="12" t="s">
        <v>87</v>
      </c>
      <c r="D1088" s="12" t="s">
        <v>673</v>
      </c>
      <c r="E1088" s="12" t="s">
        <v>2382</v>
      </c>
      <c r="F1088" s="12" t="s">
        <v>14</v>
      </c>
      <c r="G1088" s="12" t="s">
        <v>90</v>
      </c>
      <c r="H1088" s="12" t="s">
        <v>2389</v>
      </c>
      <c r="I1088" s="12">
        <v>573600081622</v>
      </c>
      <c r="J1088" s="12" t="s">
        <v>2390</v>
      </c>
      <c r="K1088" s="12">
        <v>1</v>
      </c>
      <c r="L1088" s="12">
        <v>28</v>
      </c>
      <c r="M1088" s="12"/>
      <c r="N1088" s="13">
        <v>2003</v>
      </c>
      <c r="O1088" s="12" t="s">
        <v>93</v>
      </c>
      <c r="P1088" s="12"/>
      <c r="Q1088" s="12"/>
      <c r="R1088" s="12" t="s">
        <v>94</v>
      </c>
      <c r="S1088" s="12">
        <v>10</v>
      </c>
      <c r="T1088" s="12" t="s">
        <v>1477</v>
      </c>
      <c r="U1088" s="12" t="s">
        <v>1478</v>
      </c>
      <c r="V1088" s="12">
        <f>VLOOKUP(Tabla4[[#This Row],[ZONA DEFINITIVO]],Hoja1!$A$1:$D$121,3,0)</f>
        <v>229156</v>
      </c>
      <c r="W1088" s="12">
        <f>VLOOKUP(Tabla4[[#This Row],[ZONA DEFINITIVO]],Hoja1!$A$1:$D$121,2,0)</f>
        <v>15253</v>
      </c>
      <c r="X1088" s="12">
        <f>VLOOKUP(Tabla4[[#This Row],[ZONA DEFINITIVO]],Hoja1!$A$1:$D$121,4,0)</f>
        <v>89625</v>
      </c>
      <c r="Y1088" s="12" t="str">
        <f>+IF(Tabla4[[#This Row],[AGRUPACIONES]]=1,SUMIFS(Tabla4[UDS],Tabla4[ZONA DEFINITIVO],Tabla4[[#This Row],[ZONA DEFINITIVO]])," ")</f>
        <v xml:space="preserve"> </v>
      </c>
      <c r="Z1088" s="12" t="str">
        <f>+IF(Tabla4[[#This Row],[AGRUPACIONES]]=1,SUMIFS(Tabla4[TOTAL COBERTURA],Tabla4[ZONA DEFINITIVO],Tabla4[[#This Row],[ZONA DEFINITIVO]])," ")</f>
        <v xml:space="preserve"> </v>
      </c>
      <c r="AA1088" s="12"/>
      <c r="AB1088" s="38">
        <v>117287800</v>
      </c>
      <c r="AC1088" s="37">
        <v>0.02</v>
      </c>
      <c r="AD1088" s="38">
        <f t="shared" si="17"/>
        <v>2345756</v>
      </c>
      <c r="AE1088" s="12"/>
      <c r="AF1088" s="12">
        <f>COUNTIF($A$20:A1088,A1088)</f>
        <v>4</v>
      </c>
      <c r="AG1088" s="38">
        <v>117287800</v>
      </c>
      <c r="AH1088" s="38">
        <f>Tabla4[[#This Row],[VALOR CONTRAPARTIDA]]+Tabla4[[#This Row],[TOTAL APORTES ICBF]]</f>
        <v>119633556</v>
      </c>
      <c r="AI1088" s="35"/>
      <c r="AJ1088" s="38"/>
      <c r="AK1088" s="38"/>
      <c r="AL1088" s="23"/>
      <c r="AM1088" s="35">
        <f>VLOOKUP(Tabla4[[#This Row],[SERVICIO 2025]],$J$2:$V$14,5,0)*Tabla4[[#This Row],[TOTAL COBERTURA]]</f>
        <v>2468004</v>
      </c>
      <c r="AN1088" s="35">
        <f>VLOOKUP(Tabla4[[#This Row],[SERVICIO 2025]],$J$2:$V$14,6,0)*Tabla4[[#This Row],[TOTAL COBERTURA]]</f>
        <v>2101204</v>
      </c>
      <c r="AO1088" s="35">
        <f>VLOOKUP(Tabla4[[#This Row],[SERVICIO 2025]],$J$2:$V$14,8,0)*Tabla4[[#This Row],[TOTAL COBERTURA]]</f>
        <v>0</v>
      </c>
      <c r="AP1088" s="35">
        <f>VLOOKUP(Tabla4[[#This Row],[SERVICIO 2025]],$J$2:$V$14,3,0)*Tabla4[[#This Row],[TOTAL COBERTURA]]*8</f>
        <v>112718592</v>
      </c>
      <c r="AQ1088" s="35"/>
      <c r="AR1088" s="35">
        <f>Tabla4[[#This Row],[VALOR FASE PREPARATORIA DE ALISTAMIENTO]]+Tabla4[[#This Row],[VALOR FASE PREPARATORIA DE CIERRE]]+Tabla4[[#This Row],[DOTACIÓN ÚNICA]]+Tabla4[[#This Row],[VALOR ATENCIÓN]]+Tabla4[[#This Row],[VALOR RACION PREPARADA]]</f>
        <v>117287800</v>
      </c>
      <c r="AS1088" s="35" t="str">
        <f>+IF(Tabla4[[#This Row],[AGRUPACIONES]]=1,SUMIFS(Tabla4[VALOR TOTAL],Tabla4[ZONA DEFINITIVO],Tabla4[[#This Row],[ZONA DEFINITIVO]])," ")</f>
        <v xml:space="preserve"> </v>
      </c>
      <c r="AT1088" s="27">
        <f>(VLOOKUP(Tabla4[[#This Row],[SERVICIO 2025]],$J$2:$V$14,3,0)*Tabla4[[#This Row],[TOTAL COBERTURA]])+Tabla4[[#This Row],[VALOR FASE PREPARATORIA DE ALISTAMIENTO]]+Tabla4[[#This Row],[DOTACIÓN ÚNICA]]</f>
        <v>16557828</v>
      </c>
      <c r="AU1088" s="35">
        <f>(VLOOKUP(Tabla4[[#This Row],[SERVICIO 2025]],$J$2:$V$14,3,0)*Tabla4[[#This Row],[TOTAL COBERTURA]])</f>
        <v>14089824</v>
      </c>
      <c r="AV1088" s="35">
        <f>(VLOOKUP(Tabla4[[#This Row],[SERVICIO 2025]],$J$2:$V$14,3,0)*Tabla4[[#This Row],[TOTAL COBERTURA]])</f>
        <v>14089824</v>
      </c>
      <c r="AW1088" s="35">
        <f>(VLOOKUP(Tabla4[[#This Row],[SERVICIO 2025]],$J$2:$V$14,3,0)*Tabla4[[#This Row],[TOTAL COBERTURA]])</f>
        <v>14089824</v>
      </c>
      <c r="AX1088" s="35">
        <f>(VLOOKUP(Tabla4[[#This Row],[SERVICIO 2025]],$J$2:$V$14,3,0)*Tabla4[[#This Row],[TOTAL COBERTURA]])</f>
        <v>14089824</v>
      </c>
      <c r="AY1088" s="35">
        <f>(VLOOKUP(Tabla4[[#This Row],[SERVICIO 2025]],$J$2:$V$14,3,0)*Tabla4[[#This Row],[TOTAL COBERTURA]])</f>
        <v>14089824</v>
      </c>
      <c r="AZ1088" s="35">
        <f>(VLOOKUP(Tabla4[[#This Row],[SERVICIO 2025]],$J$2:$V$14,3,0)*Tabla4[[#This Row],[TOTAL COBERTURA]])</f>
        <v>14089824</v>
      </c>
      <c r="BA1088" s="35">
        <f>(VLOOKUP(Tabla4[[#This Row],[SERVICIO 2025]],$J$2:$V$14,3,0)*Tabla4[[#This Row],[TOTAL COBERTURA]])+Tabla4[[#This Row],[VALOR FASE PREPARATORIA DE CIERRE]]</f>
        <v>16191028</v>
      </c>
      <c r="BB1088" s="35">
        <f>SUM(Tabla4[[#This Row],[DESEMBOLSO 1]:[DESEMBOLSO 8]])</f>
        <v>117287800</v>
      </c>
      <c r="BC1088" s="35">
        <f>VLOOKUP(Tabla4[[#This Row],[SERVICIO 2025]],$J$2:$V$14,10,0)*Tabla4[[#This Row],[TOTAL COBERTURA]]*$W$3</f>
        <v>0</v>
      </c>
      <c r="BD1088" s="47" t="s">
        <v>145</v>
      </c>
      <c r="BE1088" s="12" t="b">
        <f>EXACT(Tabla4[[#This Row],[VALOR ATENCIÓN (8 MESES)]],Tabla4[[#This Row],[VALOR TOTAL]])</f>
        <v>1</v>
      </c>
      <c r="BF1088" s="23">
        <f>Tabla4[[#This Row],[VALOR ATENCIÓN (8 MESES)]]-Tabla4[[#This Row],[VALOR TOTAL]]</f>
        <v>0</v>
      </c>
      <c r="BG1088" s="12" t="b">
        <f>EXACT(Tabla4[[#This Row],[TOTAL DESEMBOLSOS]],Tabla4[[#This Row],[VALOR ATENCIÓN (8 MESES)]])</f>
        <v>1</v>
      </c>
      <c r="BH1088" s="29">
        <f>Tabla4[[#This Row],[TOTAL DESEMBOLSOS]]-Tabla4[[#This Row],[VALOR ATENCIÓN (8 MESES)]]</f>
        <v>0</v>
      </c>
      <c r="BI1088" t="s">
        <v>98</v>
      </c>
    </row>
    <row r="1089" spans="1:62">
      <c r="A1089" s="13">
        <v>2003</v>
      </c>
      <c r="B1089" s="13" t="s">
        <v>2381</v>
      </c>
      <c r="C1089" s="12" t="s">
        <v>87</v>
      </c>
      <c r="D1089" s="12" t="s">
        <v>673</v>
      </c>
      <c r="E1089" s="12" t="s">
        <v>2382</v>
      </c>
      <c r="F1089" s="12" t="s">
        <v>15</v>
      </c>
      <c r="G1089" s="12" t="s">
        <v>90</v>
      </c>
      <c r="H1089" s="12" t="s">
        <v>2391</v>
      </c>
      <c r="I1089" s="12">
        <v>573600081753</v>
      </c>
      <c r="J1089" s="12" t="s">
        <v>2392</v>
      </c>
      <c r="K1089" s="12">
        <v>1</v>
      </c>
      <c r="L1089" s="12">
        <v>28</v>
      </c>
      <c r="M1089" s="12"/>
      <c r="N1089" s="13">
        <v>2003</v>
      </c>
      <c r="O1089" s="12" t="s">
        <v>93</v>
      </c>
      <c r="P1089" s="12"/>
      <c r="Q1089" s="12"/>
      <c r="R1089" s="12" t="s">
        <v>94</v>
      </c>
      <c r="S1089" s="12">
        <v>10</v>
      </c>
      <c r="T1089" s="12" t="s">
        <v>1477</v>
      </c>
      <c r="U1089" s="12" t="s">
        <v>1478</v>
      </c>
      <c r="V1089" s="12">
        <f>VLOOKUP(Tabla4[[#This Row],[ZONA DEFINITIVO]],Hoja1!$A$1:$D$121,3,0)</f>
        <v>229156</v>
      </c>
      <c r="W1089" s="12">
        <f>VLOOKUP(Tabla4[[#This Row],[ZONA DEFINITIVO]],Hoja1!$A$1:$D$121,2,0)</f>
        <v>15253</v>
      </c>
      <c r="X1089" s="12">
        <f>VLOOKUP(Tabla4[[#This Row],[ZONA DEFINITIVO]],Hoja1!$A$1:$D$121,4,0)</f>
        <v>89625</v>
      </c>
      <c r="Y1089" s="12" t="str">
        <f>+IF(Tabla4[[#This Row],[AGRUPACIONES]]=1,SUMIFS(Tabla4[UDS],Tabla4[ZONA DEFINITIVO],Tabla4[[#This Row],[ZONA DEFINITIVO]])," ")</f>
        <v xml:space="preserve"> </v>
      </c>
      <c r="Z1089" s="12" t="str">
        <f>+IF(Tabla4[[#This Row],[AGRUPACIONES]]=1,SUMIFS(Tabla4[TOTAL COBERTURA],Tabla4[ZONA DEFINITIVO],Tabla4[[#This Row],[ZONA DEFINITIVO]])," ")</f>
        <v xml:space="preserve"> </v>
      </c>
      <c r="AA1089" s="12"/>
      <c r="AB1089" s="38">
        <v>121223256</v>
      </c>
      <c r="AC1089" s="37">
        <v>0.02</v>
      </c>
      <c r="AD1089" s="38">
        <f t="shared" si="17"/>
        <v>2424465.12</v>
      </c>
      <c r="AE1089" s="12"/>
      <c r="AF1089" s="12">
        <f>COUNTIF($A$20:A1089,A1089)</f>
        <v>5</v>
      </c>
      <c r="AG1089" s="38">
        <v>121223256</v>
      </c>
      <c r="AH1089" s="38">
        <f>Tabla4[[#This Row],[VALOR CONTRAPARTIDA]]+Tabla4[[#This Row],[TOTAL APORTES ICBF]]</f>
        <v>123647721.12</v>
      </c>
      <c r="AI1089" s="35"/>
      <c r="AJ1089" s="38"/>
      <c r="AK1089" s="38"/>
      <c r="AL1089" s="23"/>
      <c r="AM1089" s="35">
        <f>VLOOKUP(Tabla4[[#This Row],[SERVICIO 2025]],$J$2:$V$14,5,0)*Tabla4[[#This Row],[TOTAL COBERTURA]]</f>
        <v>2468004</v>
      </c>
      <c r="AN1089" s="35">
        <f>VLOOKUP(Tabla4[[#This Row],[SERVICIO 2025]],$J$2:$V$14,6,0)*Tabla4[[#This Row],[TOTAL COBERTURA]]</f>
        <v>2101204</v>
      </c>
      <c r="AO1089" s="35">
        <f>VLOOKUP(Tabla4[[#This Row],[SERVICIO 2025]],$J$2:$V$14,8,0)*Tabla4[[#This Row],[TOTAL COBERTURA]]</f>
        <v>0</v>
      </c>
      <c r="AP1089" s="35">
        <f>VLOOKUP(Tabla4[[#This Row],[SERVICIO 2025]],$J$2:$V$14,3,0)*Tabla4[[#This Row],[TOTAL COBERTURA]]*8</f>
        <v>116654048</v>
      </c>
      <c r="AQ1089" s="35"/>
      <c r="AR1089" s="35">
        <f>Tabla4[[#This Row],[VALOR FASE PREPARATORIA DE ALISTAMIENTO]]+Tabla4[[#This Row],[VALOR FASE PREPARATORIA DE CIERRE]]+Tabla4[[#This Row],[DOTACIÓN ÚNICA]]+Tabla4[[#This Row],[VALOR ATENCIÓN]]+Tabla4[[#This Row],[VALOR RACION PREPARADA]]</f>
        <v>121223256</v>
      </c>
      <c r="AS1089" s="35" t="str">
        <f>+IF(Tabla4[[#This Row],[AGRUPACIONES]]=1,SUMIFS(Tabla4[VALOR TOTAL],Tabla4[ZONA DEFINITIVO],Tabla4[[#This Row],[ZONA DEFINITIVO]])," ")</f>
        <v xml:space="preserve"> </v>
      </c>
      <c r="AT1089" s="27">
        <f>(VLOOKUP(Tabla4[[#This Row],[SERVICIO 2025]],$J$2:$V$14,3,0)*Tabla4[[#This Row],[TOTAL COBERTURA]])+Tabla4[[#This Row],[VALOR FASE PREPARATORIA DE ALISTAMIENTO]]+Tabla4[[#This Row],[DOTACIÓN ÚNICA]]</f>
        <v>17049760</v>
      </c>
      <c r="AU1089" s="35">
        <f>(VLOOKUP(Tabla4[[#This Row],[SERVICIO 2025]],$J$2:$V$14,3,0)*Tabla4[[#This Row],[TOTAL COBERTURA]])</f>
        <v>14581756</v>
      </c>
      <c r="AV1089" s="35">
        <f>(VLOOKUP(Tabla4[[#This Row],[SERVICIO 2025]],$J$2:$V$14,3,0)*Tabla4[[#This Row],[TOTAL COBERTURA]])</f>
        <v>14581756</v>
      </c>
      <c r="AW1089" s="35">
        <f>(VLOOKUP(Tabla4[[#This Row],[SERVICIO 2025]],$J$2:$V$14,3,0)*Tabla4[[#This Row],[TOTAL COBERTURA]])</f>
        <v>14581756</v>
      </c>
      <c r="AX1089" s="35">
        <f>(VLOOKUP(Tabla4[[#This Row],[SERVICIO 2025]],$J$2:$V$14,3,0)*Tabla4[[#This Row],[TOTAL COBERTURA]])</f>
        <v>14581756</v>
      </c>
      <c r="AY1089" s="35">
        <f>(VLOOKUP(Tabla4[[#This Row],[SERVICIO 2025]],$J$2:$V$14,3,0)*Tabla4[[#This Row],[TOTAL COBERTURA]])</f>
        <v>14581756</v>
      </c>
      <c r="AZ1089" s="35">
        <f>(VLOOKUP(Tabla4[[#This Row],[SERVICIO 2025]],$J$2:$V$14,3,0)*Tabla4[[#This Row],[TOTAL COBERTURA]])</f>
        <v>14581756</v>
      </c>
      <c r="BA1089" s="35">
        <f>(VLOOKUP(Tabla4[[#This Row],[SERVICIO 2025]],$J$2:$V$14,3,0)*Tabla4[[#This Row],[TOTAL COBERTURA]])+Tabla4[[#This Row],[VALOR FASE PREPARATORIA DE CIERRE]]</f>
        <v>16682960</v>
      </c>
      <c r="BB1089" s="35">
        <f>SUM(Tabla4[[#This Row],[DESEMBOLSO 1]:[DESEMBOLSO 8]])</f>
        <v>121223256</v>
      </c>
      <c r="BC1089" s="35">
        <f>VLOOKUP(Tabla4[[#This Row],[SERVICIO 2025]],$J$2:$V$14,10,0)*Tabla4[[#This Row],[TOTAL COBERTURA]]*$W$3</f>
        <v>0</v>
      </c>
      <c r="BD1089" s="47" t="s">
        <v>145</v>
      </c>
      <c r="BE1089" s="12" t="b">
        <f>EXACT(Tabla4[[#This Row],[VALOR ATENCIÓN (8 MESES)]],Tabla4[[#This Row],[VALOR TOTAL]])</f>
        <v>1</v>
      </c>
      <c r="BF1089" s="23">
        <f>Tabla4[[#This Row],[VALOR ATENCIÓN (8 MESES)]]-Tabla4[[#This Row],[VALOR TOTAL]]</f>
        <v>0</v>
      </c>
      <c r="BG1089" s="12" t="b">
        <f>EXACT(Tabla4[[#This Row],[TOTAL DESEMBOLSOS]],Tabla4[[#This Row],[VALOR ATENCIÓN (8 MESES)]])</f>
        <v>1</v>
      </c>
      <c r="BH1089" s="29">
        <f>Tabla4[[#This Row],[TOTAL DESEMBOLSOS]]-Tabla4[[#This Row],[VALOR ATENCIÓN (8 MESES)]]</f>
        <v>0</v>
      </c>
      <c r="BI1089" t="s">
        <v>98</v>
      </c>
    </row>
    <row r="1090" spans="1:62">
      <c r="A1090" s="13">
        <v>2003</v>
      </c>
      <c r="B1090" s="13" t="s">
        <v>2381</v>
      </c>
      <c r="C1090" s="12" t="s">
        <v>87</v>
      </c>
      <c r="D1090" s="12" t="s">
        <v>673</v>
      </c>
      <c r="E1090" s="12" t="s">
        <v>2382</v>
      </c>
      <c r="F1090" s="12" t="s">
        <v>15</v>
      </c>
      <c r="G1090" s="12" t="s">
        <v>90</v>
      </c>
      <c r="H1090" s="12" t="s">
        <v>2393</v>
      </c>
      <c r="I1090" s="12">
        <v>573600084758</v>
      </c>
      <c r="J1090" s="12" t="s">
        <v>2394</v>
      </c>
      <c r="K1090" s="12">
        <v>1</v>
      </c>
      <c r="L1090" s="12">
        <v>150</v>
      </c>
      <c r="M1090" s="12"/>
      <c r="N1090" s="13">
        <v>2003</v>
      </c>
      <c r="O1090" s="12" t="s">
        <v>93</v>
      </c>
      <c r="P1090" s="12"/>
      <c r="Q1090" s="12"/>
      <c r="R1090" s="12" t="s">
        <v>94</v>
      </c>
      <c r="S1090" s="12">
        <v>10</v>
      </c>
      <c r="T1090" s="12" t="s">
        <v>1477</v>
      </c>
      <c r="U1090" s="12" t="s">
        <v>1478</v>
      </c>
      <c r="V1090" s="12">
        <f>VLOOKUP(Tabla4[[#This Row],[ZONA DEFINITIVO]],Hoja1!$A$1:$D$121,3,0)</f>
        <v>229156</v>
      </c>
      <c r="W1090" s="12">
        <f>VLOOKUP(Tabla4[[#This Row],[ZONA DEFINITIVO]],Hoja1!$A$1:$D$121,2,0)</f>
        <v>15253</v>
      </c>
      <c r="X1090" s="12">
        <f>VLOOKUP(Tabla4[[#This Row],[ZONA DEFINITIVO]],Hoja1!$A$1:$D$121,4,0)</f>
        <v>89625</v>
      </c>
      <c r="Y1090" s="12" t="str">
        <f>+IF(Tabla4[[#This Row],[AGRUPACIONES]]=1,SUMIFS(Tabla4[UDS],Tabla4[ZONA DEFINITIVO],Tabla4[[#This Row],[ZONA DEFINITIVO]])," ")</f>
        <v xml:space="preserve"> </v>
      </c>
      <c r="Z1090" s="12" t="str">
        <f>+IF(Tabla4[[#This Row],[AGRUPACIONES]]=1,SUMIFS(Tabla4[TOTAL COBERTURA],Tabla4[ZONA DEFINITIVO],Tabla4[[#This Row],[ZONA DEFINITIVO]])," ")</f>
        <v xml:space="preserve"> </v>
      </c>
      <c r="AA1090" s="12"/>
      <c r="AB1090" s="38">
        <v>649410300</v>
      </c>
      <c r="AC1090" s="37">
        <v>0.02</v>
      </c>
      <c r="AD1090" s="38">
        <f t="shared" si="17"/>
        <v>12988206</v>
      </c>
      <c r="AE1090" s="12"/>
      <c r="AF1090" s="12">
        <f>COUNTIF($A$20:A1090,A1090)</f>
        <v>6</v>
      </c>
      <c r="AG1090" s="38">
        <v>649410300</v>
      </c>
      <c r="AH1090" s="38">
        <f>Tabla4[[#This Row],[VALOR CONTRAPARTIDA]]+Tabla4[[#This Row],[TOTAL APORTES ICBF]]</f>
        <v>662398506</v>
      </c>
      <c r="AI1090" s="35"/>
      <c r="AJ1090" s="38"/>
      <c r="AK1090" s="38"/>
      <c r="AL1090" s="23"/>
      <c r="AM1090" s="35">
        <f>VLOOKUP(Tabla4[[#This Row],[SERVICIO 2025]],$J$2:$V$14,5,0)*Tabla4[[#This Row],[TOTAL COBERTURA]]</f>
        <v>13221450</v>
      </c>
      <c r="AN1090" s="35">
        <f>VLOOKUP(Tabla4[[#This Row],[SERVICIO 2025]],$J$2:$V$14,6,0)*Tabla4[[#This Row],[TOTAL COBERTURA]]</f>
        <v>11256450</v>
      </c>
      <c r="AO1090" s="35">
        <f>VLOOKUP(Tabla4[[#This Row],[SERVICIO 2025]],$J$2:$V$14,8,0)*Tabla4[[#This Row],[TOTAL COBERTURA]]</f>
        <v>0</v>
      </c>
      <c r="AP1090" s="35">
        <f>VLOOKUP(Tabla4[[#This Row],[SERVICIO 2025]],$J$2:$V$14,3,0)*Tabla4[[#This Row],[TOTAL COBERTURA]]*8</f>
        <v>624932400</v>
      </c>
      <c r="AQ1090" s="35"/>
      <c r="AR1090" s="35">
        <f>Tabla4[[#This Row],[VALOR FASE PREPARATORIA DE ALISTAMIENTO]]+Tabla4[[#This Row],[VALOR FASE PREPARATORIA DE CIERRE]]+Tabla4[[#This Row],[DOTACIÓN ÚNICA]]+Tabla4[[#This Row],[VALOR ATENCIÓN]]+Tabla4[[#This Row],[VALOR RACION PREPARADA]]</f>
        <v>649410300</v>
      </c>
      <c r="AS1090" s="35" t="str">
        <f>+IF(Tabla4[[#This Row],[AGRUPACIONES]]=1,SUMIFS(Tabla4[VALOR TOTAL],Tabla4[ZONA DEFINITIVO],Tabla4[[#This Row],[ZONA DEFINITIVO]])," ")</f>
        <v xml:space="preserve"> </v>
      </c>
      <c r="AT1090" s="27">
        <f>(VLOOKUP(Tabla4[[#This Row],[SERVICIO 2025]],$J$2:$V$14,3,0)*Tabla4[[#This Row],[TOTAL COBERTURA]])+Tabla4[[#This Row],[VALOR FASE PREPARATORIA DE ALISTAMIENTO]]+Tabla4[[#This Row],[DOTACIÓN ÚNICA]]</f>
        <v>91338000</v>
      </c>
      <c r="AU1090" s="35">
        <f>(VLOOKUP(Tabla4[[#This Row],[SERVICIO 2025]],$J$2:$V$14,3,0)*Tabla4[[#This Row],[TOTAL COBERTURA]])</f>
        <v>78116550</v>
      </c>
      <c r="AV1090" s="35">
        <f>(VLOOKUP(Tabla4[[#This Row],[SERVICIO 2025]],$J$2:$V$14,3,0)*Tabla4[[#This Row],[TOTAL COBERTURA]])</f>
        <v>78116550</v>
      </c>
      <c r="AW1090" s="35">
        <f>(VLOOKUP(Tabla4[[#This Row],[SERVICIO 2025]],$J$2:$V$14,3,0)*Tabla4[[#This Row],[TOTAL COBERTURA]])</f>
        <v>78116550</v>
      </c>
      <c r="AX1090" s="35">
        <f>(VLOOKUP(Tabla4[[#This Row],[SERVICIO 2025]],$J$2:$V$14,3,0)*Tabla4[[#This Row],[TOTAL COBERTURA]])</f>
        <v>78116550</v>
      </c>
      <c r="AY1090" s="35">
        <f>(VLOOKUP(Tabla4[[#This Row],[SERVICIO 2025]],$J$2:$V$14,3,0)*Tabla4[[#This Row],[TOTAL COBERTURA]])</f>
        <v>78116550</v>
      </c>
      <c r="AZ1090" s="35">
        <f>(VLOOKUP(Tabla4[[#This Row],[SERVICIO 2025]],$J$2:$V$14,3,0)*Tabla4[[#This Row],[TOTAL COBERTURA]])</f>
        <v>78116550</v>
      </c>
      <c r="BA1090" s="35">
        <f>(VLOOKUP(Tabla4[[#This Row],[SERVICIO 2025]],$J$2:$V$14,3,0)*Tabla4[[#This Row],[TOTAL COBERTURA]])+Tabla4[[#This Row],[VALOR FASE PREPARATORIA DE CIERRE]]</f>
        <v>89373000</v>
      </c>
      <c r="BB1090" s="35">
        <f>SUM(Tabla4[[#This Row],[DESEMBOLSO 1]:[DESEMBOLSO 8]])</f>
        <v>649410300</v>
      </c>
      <c r="BC1090" s="35">
        <f>VLOOKUP(Tabla4[[#This Row],[SERVICIO 2025]],$J$2:$V$14,10,0)*Tabla4[[#This Row],[TOTAL COBERTURA]]*$W$3</f>
        <v>0</v>
      </c>
      <c r="BD1090" s="47" t="s">
        <v>145</v>
      </c>
      <c r="BE1090" s="12" t="b">
        <f>EXACT(Tabla4[[#This Row],[VALOR ATENCIÓN (8 MESES)]],Tabla4[[#This Row],[VALOR TOTAL]])</f>
        <v>1</v>
      </c>
      <c r="BF1090" s="23">
        <f>Tabla4[[#This Row],[VALOR ATENCIÓN (8 MESES)]]-Tabla4[[#This Row],[VALOR TOTAL]]</f>
        <v>0</v>
      </c>
      <c r="BG1090" s="12" t="b">
        <f>EXACT(Tabla4[[#This Row],[TOTAL DESEMBOLSOS]],Tabla4[[#This Row],[VALOR ATENCIÓN (8 MESES)]])</f>
        <v>1</v>
      </c>
      <c r="BH1090" s="29">
        <f>Tabla4[[#This Row],[TOTAL DESEMBOLSOS]]-Tabla4[[#This Row],[VALOR ATENCIÓN (8 MESES)]]</f>
        <v>0</v>
      </c>
      <c r="BI1090" t="s">
        <v>98</v>
      </c>
    </row>
    <row r="1091" spans="1:62">
      <c r="A1091" s="13">
        <v>2003</v>
      </c>
      <c r="B1091" s="13" t="s">
        <v>2381</v>
      </c>
      <c r="C1091" s="12" t="s">
        <v>87</v>
      </c>
      <c r="D1091" s="12" t="s">
        <v>673</v>
      </c>
      <c r="E1091" s="12" t="s">
        <v>2382</v>
      </c>
      <c r="F1091" s="12" t="s">
        <v>15</v>
      </c>
      <c r="G1091" s="12" t="s">
        <v>90</v>
      </c>
      <c r="H1091" s="12" t="s">
        <v>2395</v>
      </c>
      <c r="I1091" s="12">
        <v>573600111686</v>
      </c>
      <c r="J1091" s="12" t="s">
        <v>2396</v>
      </c>
      <c r="K1091" s="12">
        <v>1</v>
      </c>
      <c r="L1091" s="12">
        <v>100</v>
      </c>
      <c r="M1091" s="12"/>
      <c r="N1091" s="13">
        <v>2003</v>
      </c>
      <c r="O1091" s="12" t="s">
        <v>93</v>
      </c>
      <c r="P1091" s="12"/>
      <c r="Q1091" s="12"/>
      <c r="R1091" s="12" t="s">
        <v>94</v>
      </c>
      <c r="S1091" s="12">
        <v>10</v>
      </c>
      <c r="T1091" s="12" t="s">
        <v>1477</v>
      </c>
      <c r="U1091" s="12" t="s">
        <v>1478</v>
      </c>
      <c r="V1091" s="12">
        <f>VLOOKUP(Tabla4[[#This Row],[ZONA DEFINITIVO]],Hoja1!$A$1:$D$121,3,0)</f>
        <v>229156</v>
      </c>
      <c r="W1091" s="12">
        <f>VLOOKUP(Tabla4[[#This Row],[ZONA DEFINITIVO]],Hoja1!$A$1:$D$121,2,0)</f>
        <v>15253</v>
      </c>
      <c r="X1091" s="12">
        <f>VLOOKUP(Tabla4[[#This Row],[ZONA DEFINITIVO]],Hoja1!$A$1:$D$121,4,0)</f>
        <v>89625</v>
      </c>
      <c r="Y1091" s="12" t="str">
        <f>+IF(Tabla4[[#This Row],[AGRUPACIONES]]=1,SUMIFS(Tabla4[UDS],Tabla4[ZONA DEFINITIVO],Tabla4[[#This Row],[ZONA DEFINITIVO]])," ")</f>
        <v xml:space="preserve"> </v>
      </c>
      <c r="Z1091" s="12" t="str">
        <f>+IF(Tabla4[[#This Row],[AGRUPACIONES]]=1,SUMIFS(Tabla4[TOTAL COBERTURA],Tabla4[ZONA DEFINITIVO],Tabla4[[#This Row],[ZONA DEFINITIVO]])," ")</f>
        <v xml:space="preserve"> </v>
      </c>
      <c r="AA1091" s="12"/>
      <c r="AB1091" s="38">
        <v>432940200</v>
      </c>
      <c r="AC1091" s="37">
        <v>0.02</v>
      </c>
      <c r="AD1091" s="38">
        <f t="shared" si="17"/>
        <v>8658804</v>
      </c>
      <c r="AE1091" s="12"/>
      <c r="AF1091" s="12">
        <f>COUNTIF($A$20:A1091,A1091)</f>
        <v>7</v>
      </c>
      <c r="AG1091" s="38">
        <v>432940200</v>
      </c>
      <c r="AH1091" s="38">
        <f>Tabla4[[#This Row],[VALOR CONTRAPARTIDA]]+Tabla4[[#This Row],[TOTAL APORTES ICBF]]</f>
        <v>441599004</v>
      </c>
      <c r="AI1091" s="35"/>
      <c r="AJ1091" s="38"/>
      <c r="AK1091" s="38"/>
      <c r="AL1091" s="23"/>
      <c r="AM1091" s="35">
        <f>VLOOKUP(Tabla4[[#This Row],[SERVICIO 2025]],$J$2:$V$14,5,0)*Tabla4[[#This Row],[TOTAL COBERTURA]]</f>
        <v>8814300</v>
      </c>
      <c r="AN1091" s="35">
        <f>VLOOKUP(Tabla4[[#This Row],[SERVICIO 2025]],$J$2:$V$14,6,0)*Tabla4[[#This Row],[TOTAL COBERTURA]]</f>
        <v>7504300</v>
      </c>
      <c r="AO1091" s="35">
        <f>VLOOKUP(Tabla4[[#This Row],[SERVICIO 2025]],$J$2:$V$14,8,0)*Tabla4[[#This Row],[TOTAL COBERTURA]]</f>
        <v>0</v>
      </c>
      <c r="AP1091" s="35">
        <f>VLOOKUP(Tabla4[[#This Row],[SERVICIO 2025]],$J$2:$V$14,3,0)*Tabla4[[#This Row],[TOTAL COBERTURA]]*8</f>
        <v>416621600</v>
      </c>
      <c r="AQ1091" s="35"/>
      <c r="AR1091" s="35">
        <f>Tabla4[[#This Row],[VALOR FASE PREPARATORIA DE ALISTAMIENTO]]+Tabla4[[#This Row],[VALOR FASE PREPARATORIA DE CIERRE]]+Tabla4[[#This Row],[DOTACIÓN ÚNICA]]+Tabla4[[#This Row],[VALOR ATENCIÓN]]+Tabla4[[#This Row],[VALOR RACION PREPARADA]]</f>
        <v>432940200</v>
      </c>
      <c r="AS1091" s="35" t="str">
        <f>+IF(Tabla4[[#This Row],[AGRUPACIONES]]=1,SUMIFS(Tabla4[VALOR TOTAL],Tabla4[ZONA DEFINITIVO],Tabla4[[#This Row],[ZONA DEFINITIVO]])," ")</f>
        <v xml:space="preserve"> </v>
      </c>
      <c r="AT1091" s="27">
        <f>(VLOOKUP(Tabla4[[#This Row],[SERVICIO 2025]],$J$2:$V$14,3,0)*Tabla4[[#This Row],[TOTAL COBERTURA]])+Tabla4[[#This Row],[VALOR FASE PREPARATORIA DE ALISTAMIENTO]]+Tabla4[[#This Row],[DOTACIÓN ÚNICA]]</f>
        <v>60892000</v>
      </c>
      <c r="AU1091" s="35">
        <f>(VLOOKUP(Tabla4[[#This Row],[SERVICIO 2025]],$J$2:$V$14,3,0)*Tabla4[[#This Row],[TOTAL COBERTURA]])</f>
        <v>52077700</v>
      </c>
      <c r="AV1091" s="35">
        <f>(VLOOKUP(Tabla4[[#This Row],[SERVICIO 2025]],$J$2:$V$14,3,0)*Tabla4[[#This Row],[TOTAL COBERTURA]])</f>
        <v>52077700</v>
      </c>
      <c r="AW1091" s="35">
        <f>(VLOOKUP(Tabla4[[#This Row],[SERVICIO 2025]],$J$2:$V$14,3,0)*Tabla4[[#This Row],[TOTAL COBERTURA]])</f>
        <v>52077700</v>
      </c>
      <c r="AX1091" s="35">
        <f>(VLOOKUP(Tabla4[[#This Row],[SERVICIO 2025]],$J$2:$V$14,3,0)*Tabla4[[#This Row],[TOTAL COBERTURA]])</f>
        <v>52077700</v>
      </c>
      <c r="AY1091" s="35">
        <f>(VLOOKUP(Tabla4[[#This Row],[SERVICIO 2025]],$J$2:$V$14,3,0)*Tabla4[[#This Row],[TOTAL COBERTURA]])</f>
        <v>52077700</v>
      </c>
      <c r="AZ1091" s="35">
        <f>(VLOOKUP(Tabla4[[#This Row],[SERVICIO 2025]],$J$2:$V$14,3,0)*Tabla4[[#This Row],[TOTAL COBERTURA]])</f>
        <v>52077700</v>
      </c>
      <c r="BA1091" s="35">
        <f>(VLOOKUP(Tabla4[[#This Row],[SERVICIO 2025]],$J$2:$V$14,3,0)*Tabla4[[#This Row],[TOTAL COBERTURA]])+Tabla4[[#This Row],[VALOR FASE PREPARATORIA DE CIERRE]]</f>
        <v>59582000</v>
      </c>
      <c r="BB1091" s="35">
        <f>SUM(Tabla4[[#This Row],[DESEMBOLSO 1]:[DESEMBOLSO 8]])</f>
        <v>432940200</v>
      </c>
      <c r="BC1091" s="35">
        <f>VLOOKUP(Tabla4[[#This Row],[SERVICIO 2025]],$J$2:$V$14,10,0)*Tabla4[[#This Row],[TOTAL COBERTURA]]*$W$3</f>
        <v>0</v>
      </c>
      <c r="BD1091" s="47" t="s">
        <v>145</v>
      </c>
      <c r="BE1091" s="12" t="b">
        <f>EXACT(Tabla4[[#This Row],[VALOR ATENCIÓN (8 MESES)]],Tabla4[[#This Row],[VALOR TOTAL]])</f>
        <v>1</v>
      </c>
      <c r="BF1091" s="23">
        <f>Tabla4[[#This Row],[VALOR ATENCIÓN (8 MESES)]]-Tabla4[[#This Row],[VALOR TOTAL]]</f>
        <v>0</v>
      </c>
      <c r="BG1091" s="12" t="b">
        <f>EXACT(Tabla4[[#This Row],[TOTAL DESEMBOLSOS]],Tabla4[[#This Row],[VALOR ATENCIÓN (8 MESES)]])</f>
        <v>1</v>
      </c>
      <c r="BH1091" s="29">
        <f>Tabla4[[#This Row],[TOTAL DESEMBOLSOS]]-Tabla4[[#This Row],[VALOR ATENCIÓN (8 MESES)]]</f>
        <v>0</v>
      </c>
      <c r="BI1091" t="s">
        <v>98</v>
      </c>
    </row>
    <row r="1092" spans="1:62">
      <c r="A1092" s="13">
        <v>2003</v>
      </c>
      <c r="B1092" s="13" t="s">
        <v>2381</v>
      </c>
      <c r="C1092" s="12" t="s">
        <v>87</v>
      </c>
      <c r="D1092" s="12" t="s">
        <v>673</v>
      </c>
      <c r="E1092" s="12" t="s">
        <v>2382</v>
      </c>
      <c r="F1092" s="12" t="s">
        <v>14</v>
      </c>
      <c r="G1092" s="12" t="s">
        <v>90</v>
      </c>
      <c r="H1092" s="12" t="s">
        <v>1279</v>
      </c>
      <c r="I1092" s="12">
        <v>573600114718</v>
      </c>
      <c r="J1092" s="12" t="s">
        <v>2397</v>
      </c>
      <c r="K1092" s="12">
        <v>1</v>
      </c>
      <c r="L1092" s="12">
        <v>30</v>
      </c>
      <c r="M1092" s="12"/>
      <c r="N1092" s="13">
        <v>2003</v>
      </c>
      <c r="O1092" s="12" t="s">
        <v>93</v>
      </c>
      <c r="P1092" s="12"/>
      <c r="Q1092" s="12"/>
      <c r="R1092" s="12" t="s">
        <v>94</v>
      </c>
      <c r="S1092" s="12">
        <v>10</v>
      </c>
      <c r="T1092" s="12" t="s">
        <v>1477</v>
      </c>
      <c r="U1092" s="12" t="s">
        <v>1478</v>
      </c>
      <c r="V1092" s="12">
        <f>VLOOKUP(Tabla4[[#This Row],[ZONA DEFINITIVO]],Hoja1!$A$1:$D$121,3,0)</f>
        <v>229156</v>
      </c>
      <c r="W1092" s="12">
        <f>VLOOKUP(Tabla4[[#This Row],[ZONA DEFINITIVO]],Hoja1!$A$1:$D$121,2,0)</f>
        <v>15253</v>
      </c>
      <c r="X1092" s="12">
        <f>VLOOKUP(Tabla4[[#This Row],[ZONA DEFINITIVO]],Hoja1!$A$1:$D$121,4,0)</f>
        <v>89625</v>
      </c>
      <c r="Y1092" s="12" t="str">
        <f>+IF(Tabla4[[#This Row],[AGRUPACIONES]]=1,SUMIFS(Tabla4[UDS],Tabla4[ZONA DEFINITIVO],Tabla4[[#This Row],[ZONA DEFINITIVO]])," ")</f>
        <v xml:space="preserve"> </v>
      </c>
      <c r="Z1092" s="12" t="str">
        <f>+IF(Tabla4[[#This Row],[AGRUPACIONES]]=1,SUMIFS(Tabla4[TOTAL COBERTURA],Tabla4[ZONA DEFINITIVO],Tabla4[[#This Row],[ZONA DEFINITIVO]])," ")</f>
        <v xml:space="preserve"> </v>
      </c>
      <c r="AA1092" s="12"/>
      <c r="AB1092" s="38">
        <v>125665500</v>
      </c>
      <c r="AC1092" s="37">
        <v>0.02</v>
      </c>
      <c r="AD1092" s="38">
        <f t="shared" si="17"/>
        <v>2513310</v>
      </c>
      <c r="AE1092" s="12"/>
      <c r="AF1092" s="12">
        <f>COUNTIF($A$20:A1092,A1092)</f>
        <v>8</v>
      </c>
      <c r="AG1092" s="38">
        <v>125665500</v>
      </c>
      <c r="AH1092" s="38">
        <f>Tabla4[[#This Row],[VALOR CONTRAPARTIDA]]+Tabla4[[#This Row],[TOTAL APORTES ICBF]]</f>
        <v>128178810</v>
      </c>
      <c r="AI1092" s="35"/>
      <c r="AJ1092" s="38"/>
      <c r="AK1092" s="38"/>
      <c r="AL1092" s="23"/>
      <c r="AM1092" s="35">
        <f>VLOOKUP(Tabla4[[#This Row],[SERVICIO 2025]],$J$2:$V$14,5,0)*Tabla4[[#This Row],[TOTAL COBERTURA]]</f>
        <v>2644290</v>
      </c>
      <c r="AN1092" s="35">
        <f>VLOOKUP(Tabla4[[#This Row],[SERVICIO 2025]],$J$2:$V$14,6,0)*Tabla4[[#This Row],[TOTAL COBERTURA]]</f>
        <v>2251290</v>
      </c>
      <c r="AO1092" s="35">
        <f>VLOOKUP(Tabla4[[#This Row],[SERVICIO 2025]],$J$2:$V$14,8,0)*Tabla4[[#This Row],[TOTAL COBERTURA]]</f>
        <v>0</v>
      </c>
      <c r="AP1092" s="35">
        <f>VLOOKUP(Tabla4[[#This Row],[SERVICIO 2025]],$J$2:$V$14,3,0)*Tabla4[[#This Row],[TOTAL COBERTURA]]*8</f>
        <v>120769920</v>
      </c>
      <c r="AQ1092" s="35"/>
      <c r="AR1092" s="35">
        <f>Tabla4[[#This Row],[VALOR FASE PREPARATORIA DE ALISTAMIENTO]]+Tabla4[[#This Row],[VALOR FASE PREPARATORIA DE CIERRE]]+Tabla4[[#This Row],[DOTACIÓN ÚNICA]]+Tabla4[[#This Row],[VALOR ATENCIÓN]]+Tabla4[[#This Row],[VALOR RACION PREPARADA]]</f>
        <v>125665500</v>
      </c>
      <c r="AS1092" s="35" t="str">
        <f>+IF(Tabla4[[#This Row],[AGRUPACIONES]]=1,SUMIFS(Tabla4[VALOR TOTAL],Tabla4[ZONA DEFINITIVO],Tabla4[[#This Row],[ZONA DEFINITIVO]])," ")</f>
        <v xml:space="preserve"> </v>
      </c>
      <c r="AT1092" s="27">
        <f>(VLOOKUP(Tabla4[[#This Row],[SERVICIO 2025]],$J$2:$V$14,3,0)*Tabla4[[#This Row],[TOTAL COBERTURA]])+Tabla4[[#This Row],[VALOR FASE PREPARATORIA DE ALISTAMIENTO]]+Tabla4[[#This Row],[DOTACIÓN ÚNICA]]</f>
        <v>17740530</v>
      </c>
      <c r="AU1092" s="35">
        <f>(VLOOKUP(Tabla4[[#This Row],[SERVICIO 2025]],$J$2:$V$14,3,0)*Tabla4[[#This Row],[TOTAL COBERTURA]])</f>
        <v>15096240</v>
      </c>
      <c r="AV1092" s="35">
        <f>(VLOOKUP(Tabla4[[#This Row],[SERVICIO 2025]],$J$2:$V$14,3,0)*Tabla4[[#This Row],[TOTAL COBERTURA]])</f>
        <v>15096240</v>
      </c>
      <c r="AW1092" s="35">
        <f>(VLOOKUP(Tabla4[[#This Row],[SERVICIO 2025]],$J$2:$V$14,3,0)*Tabla4[[#This Row],[TOTAL COBERTURA]])</f>
        <v>15096240</v>
      </c>
      <c r="AX1092" s="35">
        <f>(VLOOKUP(Tabla4[[#This Row],[SERVICIO 2025]],$J$2:$V$14,3,0)*Tabla4[[#This Row],[TOTAL COBERTURA]])</f>
        <v>15096240</v>
      </c>
      <c r="AY1092" s="35">
        <f>(VLOOKUP(Tabla4[[#This Row],[SERVICIO 2025]],$J$2:$V$14,3,0)*Tabla4[[#This Row],[TOTAL COBERTURA]])</f>
        <v>15096240</v>
      </c>
      <c r="AZ1092" s="35">
        <f>(VLOOKUP(Tabla4[[#This Row],[SERVICIO 2025]],$J$2:$V$14,3,0)*Tabla4[[#This Row],[TOTAL COBERTURA]])</f>
        <v>15096240</v>
      </c>
      <c r="BA1092" s="35">
        <f>(VLOOKUP(Tabla4[[#This Row],[SERVICIO 2025]],$J$2:$V$14,3,0)*Tabla4[[#This Row],[TOTAL COBERTURA]])+Tabla4[[#This Row],[VALOR FASE PREPARATORIA DE CIERRE]]</f>
        <v>17347530</v>
      </c>
      <c r="BB1092" s="35">
        <f>SUM(Tabla4[[#This Row],[DESEMBOLSO 1]:[DESEMBOLSO 8]])</f>
        <v>125665500</v>
      </c>
      <c r="BC1092" s="35">
        <f>VLOOKUP(Tabla4[[#This Row],[SERVICIO 2025]],$J$2:$V$14,10,0)*Tabla4[[#This Row],[TOTAL COBERTURA]]*$W$3</f>
        <v>0</v>
      </c>
      <c r="BD1092" s="47" t="s">
        <v>145</v>
      </c>
      <c r="BE1092" s="12" t="b">
        <f>EXACT(Tabla4[[#This Row],[VALOR ATENCIÓN (8 MESES)]],Tabla4[[#This Row],[VALOR TOTAL]])</f>
        <v>1</v>
      </c>
      <c r="BF1092" s="23">
        <f>Tabla4[[#This Row],[VALOR ATENCIÓN (8 MESES)]]-Tabla4[[#This Row],[VALOR TOTAL]]</f>
        <v>0</v>
      </c>
      <c r="BG1092" s="12" t="b">
        <f>EXACT(Tabla4[[#This Row],[TOTAL DESEMBOLSOS]],Tabla4[[#This Row],[VALOR ATENCIÓN (8 MESES)]])</f>
        <v>1</v>
      </c>
      <c r="BH1092" s="29">
        <f>Tabla4[[#This Row],[TOTAL DESEMBOLSOS]]-Tabla4[[#This Row],[VALOR ATENCIÓN (8 MESES)]]</f>
        <v>0</v>
      </c>
      <c r="BI1092" t="s">
        <v>98</v>
      </c>
    </row>
    <row r="1093" spans="1:62">
      <c r="A1093" s="13">
        <v>2003</v>
      </c>
      <c r="B1093" s="13" t="s">
        <v>2381</v>
      </c>
      <c r="C1093" s="12" t="s">
        <v>87</v>
      </c>
      <c r="D1093" s="12" t="s">
        <v>673</v>
      </c>
      <c r="E1093" s="12" t="s">
        <v>2382</v>
      </c>
      <c r="F1093" s="12" t="s">
        <v>14</v>
      </c>
      <c r="G1093" s="12" t="s">
        <v>90</v>
      </c>
      <c r="H1093" s="12" t="s">
        <v>2398</v>
      </c>
      <c r="I1093" s="12">
        <v>573600125380</v>
      </c>
      <c r="J1093" s="12" t="s">
        <v>2399</v>
      </c>
      <c r="K1093" s="12">
        <v>1</v>
      </c>
      <c r="L1093" s="12">
        <v>19</v>
      </c>
      <c r="M1093" s="12"/>
      <c r="N1093" s="13">
        <v>2003</v>
      </c>
      <c r="O1093" s="12" t="s">
        <v>93</v>
      </c>
      <c r="P1093" s="12"/>
      <c r="Q1093" s="12"/>
      <c r="R1093" s="12" t="s">
        <v>94</v>
      </c>
      <c r="S1093" s="12">
        <v>10</v>
      </c>
      <c r="T1093" s="12" t="s">
        <v>1477</v>
      </c>
      <c r="U1093" s="12" t="s">
        <v>1478</v>
      </c>
      <c r="V1093" s="12">
        <f>VLOOKUP(Tabla4[[#This Row],[ZONA DEFINITIVO]],Hoja1!$A$1:$D$121,3,0)</f>
        <v>229156</v>
      </c>
      <c r="W1093" s="12">
        <f>VLOOKUP(Tabla4[[#This Row],[ZONA DEFINITIVO]],Hoja1!$A$1:$D$121,2,0)</f>
        <v>15253</v>
      </c>
      <c r="X1093" s="12">
        <f>VLOOKUP(Tabla4[[#This Row],[ZONA DEFINITIVO]],Hoja1!$A$1:$D$121,4,0)</f>
        <v>89625</v>
      </c>
      <c r="Y1093" s="12" t="str">
        <f>+IF(Tabla4[[#This Row],[AGRUPACIONES]]=1,SUMIFS(Tabla4[UDS],Tabla4[ZONA DEFINITIVO],Tabla4[[#This Row],[ZONA DEFINITIVO]])," ")</f>
        <v xml:space="preserve"> </v>
      </c>
      <c r="Z1093" s="12" t="str">
        <f>+IF(Tabla4[[#This Row],[AGRUPACIONES]]=1,SUMIFS(Tabla4[TOTAL COBERTURA],Tabla4[ZONA DEFINITIVO],Tabla4[[#This Row],[ZONA DEFINITIVO]])," ")</f>
        <v xml:space="preserve"> </v>
      </c>
      <c r="AA1093" s="12"/>
      <c r="AB1093" s="38">
        <v>79588150</v>
      </c>
      <c r="AC1093" s="37">
        <v>0.02</v>
      </c>
      <c r="AD1093" s="38">
        <f t="shared" si="17"/>
        <v>1591763</v>
      </c>
      <c r="AE1093" s="12"/>
      <c r="AF1093" s="12">
        <f>COUNTIF($A$20:A1093,A1093)</f>
        <v>9</v>
      </c>
      <c r="AG1093" s="38">
        <v>79588150</v>
      </c>
      <c r="AH1093" s="38">
        <f>Tabla4[[#This Row],[VALOR CONTRAPARTIDA]]+Tabla4[[#This Row],[TOTAL APORTES ICBF]]</f>
        <v>81179913</v>
      </c>
      <c r="AI1093" s="35"/>
      <c r="AJ1093" s="38"/>
      <c r="AK1093" s="38"/>
      <c r="AL1093" s="23"/>
      <c r="AM1093" s="35">
        <f>VLOOKUP(Tabla4[[#This Row],[SERVICIO 2025]],$J$2:$V$14,5,0)*Tabla4[[#This Row],[TOTAL COBERTURA]]</f>
        <v>1674717</v>
      </c>
      <c r="AN1093" s="35">
        <f>VLOOKUP(Tabla4[[#This Row],[SERVICIO 2025]],$J$2:$V$14,6,0)*Tabla4[[#This Row],[TOTAL COBERTURA]]</f>
        <v>1425817</v>
      </c>
      <c r="AO1093" s="35">
        <f>VLOOKUP(Tabla4[[#This Row],[SERVICIO 2025]],$J$2:$V$14,8,0)*Tabla4[[#This Row],[TOTAL COBERTURA]]</f>
        <v>0</v>
      </c>
      <c r="AP1093" s="35">
        <f>VLOOKUP(Tabla4[[#This Row],[SERVICIO 2025]],$J$2:$V$14,3,0)*Tabla4[[#This Row],[TOTAL COBERTURA]]*8</f>
        <v>76487616</v>
      </c>
      <c r="AQ1093" s="35"/>
      <c r="AR1093" s="35">
        <f>Tabla4[[#This Row],[VALOR FASE PREPARATORIA DE ALISTAMIENTO]]+Tabla4[[#This Row],[VALOR FASE PREPARATORIA DE CIERRE]]+Tabla4[[#This Row],[DOTACIÓN ÚNICA]]+Tabla4[[#This Row],[VALOR ATENCIÓN]]+Tabla4[[#This Row],[VALOR RACION PREPARADA]]</f>
        <v>79588150</v>
      </c>
      <c r="AS1093" s="35" t="str">
        <f>+IF(Tabla4[[#This Row],[AGRUPACIONES]]=1,SUMIFS(Tabla4[VALOR TOTAL],Tabla4[ZONA DEFINITIVO],Tabla4[[#This Row],[ZONA DEFINITIVO]])," ")</f>
        <v xml:space="preserve"> </v>
      </c>
      <c r="AT1093" s="27">
        <f>(VLOOKUP(Tabla4[[#This Row],[SERVICIO 2025]],$J$2:$V$14,3,0)*Tabla4[[#This Row],[TOTAL COBERTURA]])+Tabla4[[#This Row],[VALOR FASE PREPARATORIA DE ALISTAMIENTO]]+Tabla4[[#This Row],[DOTACIÓN ÚNICA]]</f>
        <v>11235669</v>
      </c>
      <c r="AU1093" s="35">
        <f>(VLOOKUP(Tabla4[[#This Row],[SERVICIO 2025]],$J$2:$V$14,3,0)*Tabla4[[#This Row],[TOTAL COBERTURA]])</f>
        <v>9560952</v>
      </c>
      <c r="AV1093" s="35">
        <f>(VLOOKUP(Tabla4[[#This Row],[SERVICIO 2025]],$J$2:$V$14,3,0)*Tabla4[[#This Row],[TOTAL COBERTURA]])</f>
        <v>9560952</v>
      </c>
      <c r="AW1093" s="35">
        <f>(VLOOKUP(Tabla4[[#This Row],[SERVICIO 2025]],$J$2:$V$14,3,0)*Tabla4[[#This Row],[TOTAL COBERTURA]])</f>
        <v>9560952</v>
      </c>
      <c r="AX1093" s="35">
        <f>(VLOOKUP(Tabla4[[#This Row],[SERVICIO 2025]],$J$2:$V$14,3,0)*Tabla4[[#This Row],[TOTAL COBERTURA]])</f>
        <v>9560952</v>
      </c>
      <c r="AY1093" s="35">
        <f>(VLOOKUP(Tabla4[[#This Row],[SERVICIO 2025]],$J$2:$V$14,3,0)*Tabla4[[#This Row],[TOTAL COBERTURA]])</f>
        <v>9560952</v>
      </c>
      <c r="AZ1093" s="35">
        <f>(VLOOKUP(Tabla4[[#This Row],[SERVICIO 2025]],$J$2:$V$14,3,0)*Tabla4[[#This Row],[TOTAL COBERTURA]])</f>
        <v>9560952</v>
      </c>
      <c r="BA1093" s="35">
        <f>(VLOOKUP(Tabla4[[#This Row],[SERVICIO 2025]],$J$2:$V$14,3,0)*Tabla4[[#This Row],[TOTAL COBERTURA]])+Tabla4[[#This Row],[VALOR FASE PREPARATORIA DE CIERRE]]</f>
        <v>10986769</v>
      </c>
      <c r="BB1093" s="35">
        <f>SUM(Tabla4[[#This Row],[DESEMBOLSO 1]:[DESEMBOLSO 8]])</f>
        <v>79588150</v>
      </c>
      <c r="BC1093" s="35">
        <f>VLOOKUP(Tabla4[[#This Row],[SERVICIO 2025]],$J$2:$V$14,10,0)*Tabla4[[#This Row],[TOTAL COBERTURA]]*$W$3</f>
        <v>0</v>
      </c>
      <c r="BD1093" s="47" t="s">
        <v>145</v>
      </c>
      <c r="BE1093" s="12" t="b">
        <f>EXACT(Tabla4[[#This Row],[VALOR ATENCIÓN (8 MESES)]],Tabla4[[#This Row],[VALOR TOTAL]])</f>
        <v>1</v>
      </c>
      <c r="BF1093" s="23">
        <f>Tabla4[[#This Row],[VALOR ATENCIÓN (8 MESES)]]-Tabla4[[#This Row],[VALOR TOTAL]]</f>
        <v>0</v>
      </c>
      <c r="BG1093" s="12" t="b">
        <f>EXACT(Tabla4[[#This Row],[TOTAL DESEMBOLSOS]],Tabla4[[#This Row],[VALOR ATENCIÓN (8 MESES)]])</f>
        <v>1</v>
      </c>
      <c r="BH1093" s="29">
        <f>Tabla4[[#This Row],[TOTAL DESEMBOLSOS]]-Tabla4[[#This Row],[VALOR ATENCIÓN (8 MESES)]]</f>
        <v>0</v>
      </c>
      <c r="BI1093" t="s">
        <v>98</v>
      </c>
    </row>
    <row r="1094" spans="1:62">
      <c r="A1094" s="13">
        <v>2005</v>
      </c>
      <c r="B1094" s="13" t="s">
        <v>2400</v>
      </c>
      <c r="C1094" s="12" t="s">
        <v>87</v>
      </c>
      <c r="D1094" s="12" t="s">
        <v>673</v>
      </c>
      <c r="E1094" s="12" t="s">
        <v>2382</v>
      </c>
      <c r="F1094" s="12" t="s">
        <v>19</v>
      </c>
      <c r="G1094" s="12" t="s">
        <v>90</v>
      </c>
      <c r="H1094" s="12" t="s">
        <v>2401</v>
      </c>
      <c r="I1094" s="12">
        <v>57361119000</v>
      </c>
      <c r="J1094" s="12" t="s">
        <v>2402</v>
      </c>
      <c r="K1094" s="12">
        <v>1</v>
      </c>
      <c r="L1094" s="12">
        <v>72</v>
      </c>
      <c r="M1094" s="12"/>
      <c r="N1094" s="13">
        <v>2005</v>
      </c>
      <c r="O1094" s="12" t="s">
        <v>93</v>
      </c>
      <c r="P1094" s="12"/>
      <c r="Q1094" s="12"/>
      <c r="R1094" s="12" t="s">
        <v>94</v>
      </c>
      <c r="S1094" s="12">
        <v>10</v>
      </c>
      <c r="T1094" s="12" t="s">
        <v>2403</v>
      </c>
      <c r="U1094" s="12" t="s">
        <v>2404</v>
      </c>
      <c r="V1094" s="12">
        <f>VLOOKUP(Tabla4[[#This Row],[ZONA DEFINITIVO]],Hoja1!$A$1:$D$121,3,0)</f>
        <v>229157</v>
      </c>
      <c r="W1094" s="12">
        <f>VLOOKUP(Tabla4[[#This Row],[ZONA DEFINITIVO]],Hoja1!$A$1:$D$121,2,0)</f>
        <v>15221</v>
      </c>
      <c r="X1094" s="12">
        <f>VLOOKUP(Tabla4[[#This Row],[ZONA DEFINITIVO]],Hoja1!$A$1:$D$121,4,0)</f>
        <v>86825</v>
      </c>
      <c r="Y1094" s="12">
        <f>+IF(Tabla4[[#This Row],[AGRUPACIONES]]=1,SUMIFS(Tabla4[UDS],Tabla4[ZONA DEFINITIVO],Tabla4[[#This Row],[ZONA DEFINITIVO]])," ")</f>
        <v>14</v>
      </c>
      <c r="Z1094" s="12">
        <f>+IF(Tabla4[[#This Row],[AGRUPACIONES]]=1,SUMIFS(Tabla4[TOTAL COBERTURA],Tabla4[ZONA DEFINITIVO],Tabla4[[#This Row],[ZONA DEFINITIVO]])," ")</f>
        <v>382</v>
      </c>
      <c r="AA1094" s="12"/>
      <c r="AB1094" s="38">
        <v>162082872</v>
      </c>
      <c r="AC1094" s="37">
        <v>0.02</v>
      </c>
      <c r="AD1094" s="38">
        <f t="shared" si="17"/>
        <v>3241657.44</v>
      </c>
      <c r="AE1094" s="12"/>
      <c r="AF1094" s="12">
        <f>COUNTIF($A$20:A1094,A1094)</f>
        <v>1</v>
      </c>
      <c r="AG1094" s="38">
        <v>162082872</v>
      </c>
      <c r="AH1094" s="38">
        <f>Tabla4[[#This Row],[VALOR CONTRAPARTIDA]]+Tabla4[[#This Row],[TOTAL APORTES ICBF]]</f>
        <v>165324529.44</v>
      </c>
      <c r="AI1094" s="35">
        <f>ROUND(+IF(Tabla4[[#This Row],[AGRUPACIONES]]=1,SUMIFS(Tabla4[TOTAL APORTES ICBF],Tabla4[ZONA DEFINITIVO],Tabla4[[#This Row],[ZONA DEFINITIVO]])," "),0)</f>
        <v>859939682</v>
      </c>
      <c r="AJ1094" s="38">
        <f>ROUND(+IF(Tabla4[[#This Row],[AGRUPACIONES]]=1,SUMIFS(Tabla4[VALOR CONTRAPARTIDA],Tabla4[ZONA DEFINITIVO],Tabla4[[#This Row],[ZONA DEFINITIVO]])," "),0)</f>
        <v>17198794</v>
      </c>
      <c r="AK1094" s="38">
        <f>Tabla4[[#This Row],[TOTAL APORTES ICBF AGRUPADO]]+Tabla4[[#This Row],[TOTAL CONTRAPARTIDA AGRUPADO]]</f>
        <v>877138476</v>
      </c>
      <c r="AL1094" s="23">
        <f>Tabla4[[#This Row],[TOTAL APORTES ICBF AGRUPADO]]/$AL$18</f>
        <v>604.10234070951878</v>
      </c>
      <c r="AM1094" s="35">
        <f>VLOOKUP(Tabla4[[#This Row],[SERVICIO 2025]],$J$2:$V$14,5,0)*Tabla4[[#This Row],[TOTAL COBERTURA]]</f>
        <v>3705336</v>
      </c>
      <c r="AN1094" s="35">
        <f>VLOOKUP(Tabla4[[#This Row],[SERVICIO 2025]],$J$2:$V$14,6,0)*Tabla4[[#This Row],[TOTAL COBERTURA]]</f>
        <v>3104352</v>
      </c>
      <c r="AO1094" s="35">
        <f>VLOOKUP(Tabla4[[#This Row],[SERVICIO 2025]],$J$2:$V$14,8,0)*Tabla4[[#This Row],[TOTAL COBERTURA]]</f>
        <v>2095200</v>
      </c>
      <c r="AP1094" s="35">
        <f>VLOOKUP(Tabla4[[#This Row],[SERVICIO 2025]],$J$2:$V$14,3,0)*Tabla4[[#This Row],[TOTAL COBERTURA]]*8</f>
        <v>153177984</v>
      </c>
      <c r="AQ1094" s="35"/>
      <c r="AR1094" s="35">
        <f>Tabla4[[#This Row],[VALOR FASE PREPARATORIA DE ALISTAMIENTO]]+Tabla4[[#This Row],[VALOR FASE PREPARATORIA DE CIERRE]]+Tabla4[[#This Row],[DOTACIÓN ÚNICA]]+Tabla4[[#This Row],[VALOR ATENCIÓN]]+Tabla4[[#This Row],[VALOR RACION PREPARADA]]</f>
        <v>162082872</v>
      </c>
      <c r="AS1094" s="35">
        <f>+IF(Tabla4[[#This Row],[AGRUPACIONES]]=1,SUMIFS(Tabla4[VALOR TOTAL],Tabla4[ZONA DEFINITIVO],Tabla4[[#This Row],[ZONA DEFINITIVO]])," ")</f>
        <v>859939682</v>
      </c>
      <c r="AT1094" s="27">
        <f>(VLOOKUP(Tabla4[[#This Row],[SERVICIO 2025]],$J$2:$V$14,3,0)*Tabla4[[#This Row],[TOTAL COBERTURA]])+Tabla4[[#This Row],[VALOR FASE PREPARATORIA DE ALISTAMIENTO]]+Tabla4[[#This Row],[DOTACIÓN ÚNICA]]</f>
        <v>24947784</v>
      </c>
      <c r="AU1094" s="35">
        <f>(VLOOKUP(Tabla4[[#This Row],[SERVICIO 2025]],$J$2:$V$14,3,0)*Tabla4[[#This Row],[TOTAL COBERTURA]])</f>
        <v>19147248</v>
      </c>
      <c r="AV1094" s="35">
        <f>(VLOOKUP(Tabla4[[#This Row],[SERVICIO 2025]],$J$2:$V$14,3,0)*Tabla4[[#This Row],[TOTAL COBERTURA]])</f>
        <v>19147248</v>
      </c>
      <c r="AW1094" s="35">
        <f>(VLOOKUP(Tabla4[[#This Row],[SERVICIO 2025]],$J$2:$V$14,3,0)*Tabla4[[#This Row],[TOTAL COBERTURA]])</f>
        <v>19147248</v>
      </c>
      <c r="AX1094" s="35">
        <f>(VLOOKUP(Tabla4[[#This Row],[SERVICIO 2025]],$J$2:$V$14,3,0)*Tabla4[[#This Row],[TOTAL COBERTURA]])</f>
        <v>19147248</v>
      </c>
      <c r="AY1094" s="35">
        <f>(VLOOKUP(Tabla4[[#This Row],[SERVICIO 2025]],$J$2:$V$14,3,0)*Tabla4[[#This Row],[TOTAL COBERTURA]])</f>
        <v>19147248</v>
      </c>
      <c r="AZ1094" s="35">
        <f>(VLOOKUP(Tabla4[[#This Row],[SERVICIO 2025]],$J$2:$V$14,3,0)*Tabla4[[#This Row],[TOTAL COBERTURA]])</f>
        <v>19147248</v>
      </c>
      <c r="BA1094" s="35">
        <f>(VLOOKUP(Tabla4[[#This Row],[SERVICIO 2025]],$J$2:$V$14,3,0)*Tabla4[[#This Row],[TOTAL COBERTURA]])+Tabla4[[#This Row],[VALOR FASE PREPARATORIA DE CIERRE]]</f>
        <v>22251600</v>
      </c>
      <c r="BB1094" s="35">
        <f>SUM(Tabla4[[#This Row],[DESEMBOLSO 1]:[DESEMBOLSO 8]])</f>
        <v>162082872</v>
      </c>
      <c r="BC1094" s="35">
        <f>VLOOKUP(Tabla4[[#This Row],[SERVICIO 2025]],$J$2:$V$14,10,0)*Tabla4[[#This Row],[TOTAL COBERTURA]]*$W$3</f>
        <v>103900608</v>
      </c>
      <c r="BD1094" s="47" t="s">
        <v>211</v>
      </c>
      <c r="BE1094" s="12" t="b">
        <f>EXACT(Tabla4[[#This Row],[VALOR ATENCIÓN (8 MESES)]],Tabla4[[#This Row],[VALOR TOTAL]])</f>
        <v>1</v>
      </c>
      <c r="BF1094" s="23">
        <f>Tabla4[[#This Row],[VALOR ATENCIÓN (8 MESES)]]-Tabla4[[#This Row],[VALOR TOTAL]]</f>
        <v>0</v>
      </c>
      <c r="BG1094" s="12" t="b">
        <f>EXACT(Tabla4[[#This Row],[TOTAL DESEMBOLSOS]],Tabla4[[#This Row],[VALOR ATENCIÓN (8 MESES)]])</f>
        <v>1</v>
      </c>
      <c r="BH1094" s="29">
        <f>Tabla4[[#This Row],[TOTAL DESEMBOLSOS]]-Tabla4[[#This Row],[VALOR ATENCIÓN (8 MESES)]]</f>
        <v>0</v>
      </c>
      <c r="BI1094" t="s">
        <v>98</v>
      </c>
      <c r="BJ1094">
        <v>2005</v>
      </c>
    </row>
    <row r="1095" spans="1:62">
      <c r="A1095" s="13">
        <v>2005</v>
      </c>
      <c r="B1095" s="13" t="s">
        <v>2400</v>
      </c>
      <c r="C1095" s="12" t="s">
        <v>87</v>
      </c>
      <c r="D1095" s="12" t="s">
        <v>673</v>
      </c>
      <c r="E1095" s="12" t="s">
        <v>2382</v>
      </c>
      <c r="F1095" s="12" t="s">
        <v>19</v>
      </c>
      <c r="G1095" s="12" t="s">
        <v>90</v>
      </c>
      <c r="H1095" s="12" t="s">
        <v>2405</v>
      </c>
      <c r="I1095" s="12">
        <v>57361137218</v>
      </c>
      <c r="J1095" s="12" t="s">
        <v>2406</v>
      </c>
      <c r="K1095" s="12">
        <v>1</v>
      </c>
      <c r="L1095" s="12">
        <v>50</v>
      </c>
      <c r="M1095" s="12"/>
      <c r="N1095" s="13">
        <v>2005</v>
      </c>
      <c r="O1095" s="12" t="s">
        <v>93</v>
      </c>
      <c r="P1095" s="12"/>
      <c r="Q1095" s="12"/>
      <c r="R1095" s="12" t="s">
        <v>94</v>
      </c>
      <c r="S1095" s="12">
        <v>10</v>
      </c>
      <c r="T1095" s="12" t="s">
        <v>2403</v>
      </c>
      <c r="U1095" s="12" t="s">
        <v>2404</v>
      </c>
      <c r="V1095" s="12">
        <f>VLOOKUP(Tabla4[[#This Row],[ZONA DEFINITIVO]],Hoja1!$A$1:$D$121,3,0)</f>
        <v>229157</v>
      </c>
      <c r="W1095" s="12">
        <f>VLOOKUP(Tabla4[[#This Row],[ZONA DEFINITIVO]],Hoja1!$A$1:$D$121,2,0)</f>
        <v>15221</v>
      </c>
      <c r="X1095" s="12">
        <f>VLOOKUP(Tabla4[[#This Row],[ZONA DEFINITIVO]],Hoja1!$A$1:$D$121,4,0)</f>
        <v>86825</v>
      </c>
      <c r="Y1095" s="12" t="str">
        <f>+IF(Tabla4[[#This Row],[AGRUPACIONES]]=1,SUMIFS(Tabla4[UDS],Tabla4[ZONA DEFINITIVO],Tabla4[[#This Row],[ZONA DEFINITIVO]])," ")</f>
        <v xml:space="preserve"> </v>
      </c>
      <c r="Z1095" s="12" t="str">
        <f>+IF(Tabla4[[#This Row],[AGRUPACIONES]]=1,SUMIFS(Tabla4[TOTAL COBERTURA],Tabla4[ZONA DEFINITIVO],Tabla4[[#This Row],[ZONA DEFINITIVO]])," ")</f>
        <v xml:space="preserve"> </v>
      </c>
      <c r="AA1095" s="12"/>
      <c r="AB1095" s="38">
        <v>112557550</v>
      </c>
      <c r="AC1095" s="37">
        <v>0.02</v>
      </c>
      <c r="AD1095" s="38">
        <f t="shared" si="17"/>
        <v>2251151</v>
      </c>
      <c r="AE1095" s="12"/>
      <c r="AF1095" s="12">
        <f>COUNTIF($A$20:A1095,A1095)</f>
        <v>2</v>
      </c>
      <c r="AG1095" s="38">
        <v>112557550</v>
      </c>
      <c r="AH1095" s="38">
        <f>Tabla4[[#This Row],[VALOR CONTRAPARTIDA]]+Tabla4[[#This Row],[TOTAL APORTES ICBF]]</f>
        <v>114808701</v>
      </c>
      <c r="AI1095" s="35"/>
      <c r="AJ1095" s="38"/>
      <c r="AK1095" s="38"/>
      <c r="AL1095" s="23"/>
      <c r="AM1095" s="35">
        <f>VLOOKUP(Tabla4[[#This Row],[SERVICIO 2025]],$J$2:$V$14,5,0)*Tabla4[[#This Row],[TOTAL COBERTURA]]</f>
        <v>2573150</v>
      </c>
      <c r="AN1095" s="35">
        <f>VLOOKUP(Tabla4[[#This Row],[SERVICIO 2025]],$J$2:$V$14,6,0)*Tabla4[[#This Row],[TOTAL COBERTURA]]</f>
        <v>2155800</v>
      </c>
      <c r="AO1095" s="35">
        <f>VLOOKUP(Tabla4[[#This Row],[SERVICIO 2025]],$J$2:$V$14,8,0)*Tabla4[[#This Row],[TOTAL COBERTURA]]</f>
        <v>1455000</v>
      </c>
      <c r="AP1095" s="35">
        <f>VLOOKUP(Tabla4[[#This Row],[SERVICIO 2025]],$J$2:$V$14,3,0)*Tabla4[[#This Row],[TOTAL COBERTURA]]*8</f>
        <v>106373600</v>
      </c>
      <c r="AQ1095" s="35"/>
      <c r="AR1095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1095" s="35" t="str">
        <f>+IF(Tabla4[[#This Row],[AGRUPACIONES]]=1,SUMIFS(Tabla4[VALOR TOTAL],Tabla4[ZONA DEFINITIVO],Tabla4[[#This Row],[ZONA DEFINITIVO]])," ")</f>
        <v xml:space="preserve"> </v>
      </c>
      <c r="AT1095" s="27">
        <f>(VLOOKUP(Tabla4[[#This Row],[SERVICIO 2025]],$J$2:$V$14,3,0)*Tabla4[[#This Row],[TOTAL COBERTURA]])+Tabla4[[#This Row],[VALOR FASE PREPARATORIA DE ALISTAMIENTO]]+Tabla4[[#This Row],[DOTACIÓN ÚNICA]]</f>
        <v>17324850</v>
      </c>
      <c r="AU1095" s="35">
        <f>(VLOOKUP(Tabla4[[#This Row],[SERVICIO 2025]],$J$2:$V$14,3,0)*Tabla4[[#This Row],[TOTAL COBERTURA]])</f>
        <v>13296700</v>
      </c>
      <c r="AV1095" s="35">
        <f>(VLOOKUP(Tabla4[[#This Row],[SERVICIO 2025]],$J$2:$V$14,3,0)*Tabla4[[#This Row],[TOTAL COBERTURA]])</f>
        <v>13296700</v>
      </c>
      <c r="AW1095" s="35">
        <f>(VLOOKUP(Tabla4[[#This Row],[SERVICIO 2025]],$J$2:$V$14,3,0)*Tabla4[[#This Row],[TOTAL COBERTURA]])</f>
        <v>13296700</v>
      </c>
      <c r="AX1095" s="35">
        <f>(VLOOKUP(Tabla4[[#This Row],[SERVICIO 2025]],$J$2:$V$14,3,0)*Tabla4[[#This Row],[TOTAL COBERTURA]])</f>
        <v>13296700</v>
      </c>
      <c r="AY1095" s="35">
        <f>(VLOOKUP(Tabla4[[#This Row],[SERVICIO 2025]],$J$2:$V$14,3,0)*Tabla4[[#This Row],[TOTAL COBERTURA]])</f>
        <v>13296700</v>
      </c>
      <c r="AZ1095" s="35">
        <f>(VLOOKUP(Tabla4[[#This Row],[SERVICIO 2025]],$J$2:$V$14,3,0)*Tabla4[[#This Row],[TOTAL COBERTURA]])</f>
        <v>13296700</v>
      </c>
      <c r="BA1095" s="35">
        <f>(VLOOKUP(Tabla4[[#This Row],[SERVICIO 2025]],$J$2:$V$14,3,0)*Tabla4[[#This Row],[TOTAL COBERTURA]])+Tabla4[[#This Row],[VALOR FASE PREPARATORIA DE CIERRE]]</f>
        <v>15452500</v>
      </c>
      <c r="BB1095" s="35">
        <f>SUM(Tabla4[[#This Row],[DESEMBOLSO 1]:[DESEMBOLSO 8]])</f>
        <v>112557550</v>
      </c>
      <c r="BC1095" s="35">
        <f>VLOOKUP(Tabla4[[#This Row],[SERVICIO 2025]],$J$2:$V$14,10,0)*Tabla4[[#This Row],[TOTAL COBERTURA]]*$W$3</f>
        <v>72153200</v>
      </c>
      <c r="BD1095" s="47" t="s">
        <v>211</v>
      </c>
      <c r="BE1095" s="12" t="b">
        <f>EXACT(Tabla4[[#This Row],[VALOR ATENCIÓN (8 MESES)]],Tabla4[[#This Row],[VALOR TOTAL]])</f>
        <v>1</v>
      </c>
      <c r="BF1095" s="23">
        <f>Tabla4[[#This Row],[VALOR ATENCIÓN (8 MESES)]]-Tabla4[[#This Row],[VALOR TOTAL]]</f>
        <v>0</v>
      </c>
      <c r="BG1095" s="12" t="b">
        <f>EXACT(Tabla4[[#This Row],[TOTAL DESEMBOLSOS]],Tabla4[[#This Row],[VALOR ATENCIÓN (8 MESES)]])</f>
        <v>1</v>
      </c>
      <c r="BH1095" s="29">
        <f>Tabla4[[#This Row],[TOTAL DESEMBOLSOS]]-Tabla4[[#This Row],[VALOR ATENCIÓN (8 MESES)]]</f>
        <v>0</v>
      </c>
      <c r="BI1095" t="s">
        <v>98</v>
      </c>
      <c r="BJ1095">
        <v>2005</v>
      </c>
    </row>
    <row r="1096" spans="1:62">
      <c r="A1096" s="13">
        <v>2005</v>
      </c>
      <c r="B1096" s="13" t="s">
        <v>2400</v>
      </c>
      <c r="C1096" s="12" t="s">
        <v>87</v>
      </c>
      <c r="D1096" s="12" t="s">
        <v>673</v>
      </c>
      <c r="E1096" s="12" t="s">
        <v>2382</v>
      </c>
      <c r="F1096" s="12" t="s">
        <v>19</v>
      </c>
      <c r="G1096" s="12" t="s">
        <v>90</v>
      </c>
      <c r="H1096" s="12" t="s">
        <v>2407</v>
      </c>
      <c r="I1096" s="12">
        <v>57361137238</v>
      </c>
      <c r="J1096" s="12" t="s">
        <v>2408</v>
      </c>
      <c r="K1096" s="12">
        <v>1</v>
      </c>
      <c r="L1096" s="12">
        <v>19</v>
      </c>
      <c r="M1096" s="12"/>
      <c r="N1096" s="13">
        <v>2005</v>
      </c>
      <c r="O1096" s="12" t="s">
        <v>93</v>
      </c>
      <c r="P1096" s="12"/>
      <c r="Q1096" s="12"/>
      <c r="R1096" s="12" t="s">
        <v>94</v>
      </c>
      <c r="S1096" s="12">
        <v>10</v>
      </c>
      <c r="T1096" s="12" t="s">
        <v>2403</v>
      </c>
      <c r="U1096" s="12" t="s">
        <v>2404</v>
      </c>
      <c r="V1096" s="12">
        <f>VLOOKUP(Tabla4[[#This Row],[ZONA DEFINITIVO]],Hoja1!$A$1:$D$121,3,0)</f>
        <v>229157</v>
      </c>
      <c r="W1096" s="12">
        <f>VLOOKUP(Tabla4[[#This Row],[ZONA DEFINITIVO]],Hoja1!$A$1:$D$121,2,0)</f>
        <v>15221</v>
      </c>
      <c r="X1096" s="12">
        <f>VLOOKUP(Tabla4[[#This Row],[ZONA DEFINITIVO]],Hoja1!$A$1:$D$121,4,0)</f>
        <v>86825</v>
      </c>
      <c r="Y1096" s="12" t="str">
        <f>+IF(Tabla4[[#This Row],[AGRUPACIONES]]=1,SUMIFS(Tabla4[UDS],Tabla4[ZONA DEFINITIVO],Tabla4[[#This Row],[ZONA DEFINITIVO]])," ")</f>
        <v xml:space="preserve"> </v>
      </c>
      <c r="Z1096" s="12" t="str">
        <f>+IF(Tabla4[[#This Row],[AGRUPACIONES]]=1,SUMIFS(Tabla4[TOTAL COBERTURA],Tabla4[ZONA DEFINITIVO],Tabla4[[#This Row],[ZONA DEFINITIVO]])," ")</f>
        <v xml:space="preserve"> </v>
      </c>
      <c r="AA1096" s="12"/>
      <c r="AB1096" s="38">
        <v>42771869</v>
      </c>
      <c r="AC1096" s="37">
        <v>0.02</v>
      </c>
      <c r="AD1096" s="38">
        <f t="shared" si="17"/>
        <v>855437.38</v>
      </c>
      <c r="AE1096" s="12"/>
      <c r="AF1096" s="12">
        <f>COUNTIF($A$20:A1096,A1096)</f>
        <v>3</v>
      </c>
      <c r="AG1096" s="38">
        <v>42771869</v>
      </c>
      <c r="AH1096" s="38">
        <f>Tabla4[[#This Row],[VALOR CONTRAPARTIDA]]+Tabla4[[#This Row],[TOTAL APORTES ICBF]]</f>
        <v>43627306.380000003</v>
      </c>
      <c r="AI1096" s="35"/>
      <c r="AJ1096" s="38"/>
      <c r="AK1096" s="38"/>
      <c r="AL1096" s="23"/>
      <c r="AM1096" s="35">
        <f>VLOOKUP(Tabla4[[#This Row],[SERVICIO 2025]],$J$2:$V$14,5,0)*Tabla4[[#This Row],[TOTAL COBERTURA]]</f>
        <v>977797</v>
      </c>
      <c r="AN1096" s="35">
        <f>VLOOKUP(Tabla4[[#This Row],[SERVICIO 2025]],$J$2:$V$14,6,0)*Tabla4[[#This Row],[TOTAL COBERTURA]]</f>
        <v>819204</v>
      </c>
      <c r="AO1096" s="35">
        <f>VLOOKUP(Tabla4[[#This Row],[SERVICIO 2025]],$J$2:$V$14,8,0)*Tabla4[[#This Row],[TOTAL COBERTURA]]</f>
        <v>552900</v>
      </c>
      <c r="AP1096" s="35">
        <f>VLOOKUP(Tabla4[[#This Row],[SERVICIO 2025]],$J$2:$V$14,3,0)*Tabla4[[#This Row],[TOTAL COBERTURA]]*8</f>
        <v>40421968</v>
      </c>
      <c r="AQ1096" s="35"/>
      <c r="AR1096" s="35">
        <f>Tabla4[[#This Row],[VALOR FASE PREPARATORIA DE ALISTAMIENTO]]+Tabla4[[#This Row],[VALOR FASE PREPARATORIA DE CIERRE]]+Tabla4[[#This Row],[DOTACIÓN ÚNICA]]+Tabla4[[#This Row],[VALOR ATENCIÓN]]+Tabla4[[#This Row],[VALOR RACION PREPARADA]]</f>
        <v>42771869</v>
      </c>
      <c r="AS1096" s="35" t="str">
        <f>+IF(Tabla4[[#This Row],[AGRUPACIONES]]=1,SUMIFS(Tabla4[VALOR TOTAL],Tabla4[ZONA DEFINITIVO],Tabla4[[#This Row],[ZONA DEFINITIVO]])," ")</f>
        <v xml:space="preserve"> </v>
      </c>
      <c r="AT1096" s="27">
        <f>(VLOOKUP(Tabla4[[#This Row],[SERVICIO 2025]],$J$2:$V$14,3,0)*Tabla4[[#This Row],[TOTAL COBERTURA]])+Tabla4[[#This Row],[VALOR FASE PREPARATORIA DE ALISTAMIENTO]]+Tabla4[[#This Row],[DOTACIÓN ÚNICA]]</f>
        <v>6583443</v>
      </c>
      <c r="AU1096" s="35">
        <f>(VLOOKUP(Tabla4[[#This Row],[SERVICIO 2025]],$J$2:$V$14,3,0)*Tabla4[[#This Row],[TOTAL COBERTURA]])</f>
        <v>5052746</v>
      </c>
      <c r="AV1096" s="35">
        <f>(VLOOKUP(Tabla4[[#This Row],[SERVICIO 2025]],$J$2:$V$14,3,0)*Tabla4[[#This Row],[TOTAL COBERTURA]])</f>
        <v>5052746</v>
      </c>
      <c r="AW1096" s="35">
        <f>(VLOOKUP(Tabla4[[#This Row],[SERVICIO 2025]],$J$2:$V$14,3,0)*Tabla4[[#This Row],[TOTAL COBERTURA]])</f>
        <v>5052746</v>
      </c>
      <c r="AX1096" s="35">
        <f>(VLOOKUP(Tabla4[[#This Row],[SERVICIO 2025]],$J$2:$V$14,3,0)*Tabla4[[#This Row],[TOTAL COBERTURA]])</f>
        <v>5052746</v>
      </c>
      <c r="AY1096" s="35">
        <f>(VLOOKUP(Tabla4[[#This Row],[SERVICIO 2025]],$J$2:$V$14,3,0)*Tabla4[[#This Row],[TOTAL COBERTURA]])</f>
        <v>5052746</v>
      </c>
      <c r="AZ1096" s="35">
        <f>(VLOOKUP(Tabla4[[#This Row],[SERVICIO 2025]],$J$2:$V$14,3,0)*Tabla4[[#This Row],[TOTAL COBERTURA]])</f>
        <v>5052746</v>
      </c>
      <c r="BA1096" s="35">
        <f>(VLOOKUP(Tabla4[[#This Row],[SERVICIO 2025]],$J$2:$V$14,3,0)*Tabla4[[#This Row],[TOTAL COBERTURA]])+Tabla4[[#This Row],[VALOR FASE PREPARATORIA DE CIERRE]]</f>
        <v>5871950</v>
      </c>
      <c r="BB1096" s="35">
        <f>SUM(Tabla4[[#This Row],[DESEMBOLSO 1]:[DESEMBOLSO 8]])</f>
        <v>42771869</v>
      </c>
      <c r="BC1096" s="35">
        <f>VLOOKUP(Tabla4[[#This Row],[SERVICIO 2025]],$J$2:$V$14,10,0)*Tabla4[[#This Row],[TOTAL COBERTURA]]*$W$3</f>
        <v>27418216</v>
      </c>
      <c r="BD1096" s="47" t="s">
        <v>211</v>
      </c>
      <c r="BE1096" s="12" t="b">
        <f>EXACT(Tabla4[[#This Row],[VALOR ATENCIÓN (8 MESES)]],Tabla4[[#This Row],[VALOR TOTAL]])</f>
        <v>1</v>
      </c>
      <c r="BF1096" s="23">
        <f>Tabla4[[#This Row],[VALOR ATENCIÓN (8 MESES)]]-Tabla4[[#This Row],[VALOR TOTAL]]</f>
        <v>0</v>
      </c>
      <c r="BG1096" s="12" t="b">
        <f>EXACT(Tabla4[[#This Row],[TOTAL DESEMBOLSOS]],Tabla4[[#This Row],[VALOR ATENCIÓN (8 MESES)]])</f>
        <v>1</v>
      </c>
      <c r="BH1096" s="29">
        <f>Tabla4[[#This Row],[TOTAL DESEMBOLSOS]]-Tabla4[[#This Row],[VALOR ATENCIÓN (8 MESES)]]</f>
        <v>0</v>
      </c>
      <c r="BI1096" t="s">
        <v>98</v>
      </c>
      <c r="BJ1096">
        <v>2005</v>
      </c>
    </row>
    <row r="1097" spans="1:62">
      <c r="A1097" s="13">
        <v>2005</v>
      </c>
      <c r="B1097" s="13" t="s">
        <v>2400</v>
      </c>
      <c r="C1097" s="12" t="s">
        <v>87</v>
      </c>
      <c r="D1097" s="12" t="s">
        <v>673</v>
      </c>
      <c r="E1097" s="12" t="s">
        <v>2382</v>
      </c>
      <c r="F1097" s="12" t="s">
        <v>19</v>
      </c>
      <c r="G1097" s="12" t="s">
        <v>90</v>
      </c>
      <c r="H1097" s="12" t="s">
        <v>2409</v>
      </c>
      <c r="I1097" s="12">
        <v>57361137323</v>
      </c>
      <c r="J1097" s="12" t="s">
        <v>2410</v>
      </c>
      <c r="K1097" s="12">
        <v>1</v>
      </c>
      <c r="L1097" s="12">
        <v>13</v>
      </c>
      <c r="M1097" s="12"/>
      <c r="N1097" s="13">
        <v>2005</v>
      </c>
      <c r="O1097" s="12" t="s">
        <v>93</v>
      </c>
      <c r="P1097" s="12"/>
      <c r="Q1097" s="12"/>
      <c r="R1097" s="12" t="s">
        <v>94</v>
      </c>
      <c r="S1097" s="12">
        <v>10</v>
      </c>
      <c r="T1097" s="12" t="s">
        <v>2403</v>
      </c>
      <c r="U1097" s="12" t="s">
        <v>2404</v>
      </c>
      <c r="V1097" s="12">
        <f>VLOOKUP(Tabla4[[#This Row],[ZONA DEFINITIVO]],Hoja1!$A$1:$D$121,3,0)</f>
        <v>229157</v>
      </c>
      <c r="W1097" s="12">
        <f>VLOOKUP(Tabla4[[#This Row],[ZONA DEFINITIVO]],Hoja1!$A$1:$D$121,2,0)</f>
        <v>15221</v>
      </c>
      <c r="X1097" s="12">
        <f>VLOOKUP(Tabla4[[#This Row],[ZONA DEFINITIVO]],Hoja1!$A$1:$D$121,4,0)</f>
        <v>86825</v>
      </c>
      <c r="Y1097" s="12" t="str">
        <f>+IF(Tabla4[[#This Row],[AGRUPACIONES]]=1,SUMIFS(Tabla4[UDS],Tabla4[ZONA DEFINITIVO],Tabla4[[#This Row],[ZONA DEFINITIVO]])," ")</f>
        <v xml:space="preserve"> </v>
      </c>
      <c r="Z1097" s="12" t="str">
        <f>+IF(Tabla4[[#This Row],[AGRUPACIONES]]=1,SUMIFS(Tabla4[TOTAL COBERTURA],Tabla4[ZONA DEFINITIVO],Tabla4[[#This Row],[ZONA DEFINITIVO]])," ")</f>
        <v xml:space="preserve"> </v>
      </c>
      <c r="AA1097" s="12"/>
      <c r="AB1097" s="38">
        <v>29264963</v>
      </c>
      <c r="AC1097" s="37">
        <v>0.02</v>
      </c>
      <c r="AD1097" s="38">
        <f t="shared" si="17"/>
        <v>585299.26</v>
      </c>
      <c r="AE1097" s="12"/>
      <c r="AF1097" s="12">
        <f>COUNTIF($A$20:A1097,A1097)</f>
        <v>4</v>
      </c>
      <c r="AG1097" s="38">
        <v>29264963</v>
      </c>
      <c r="AH1097" s="38">
        <f>Tabla4[[#This Row],[VALOR CONTRAPARTIDA]]+Tabla4[[#This Row],[TOTAL APORTES ICBF]]</f>
        <v>29850262.260000002</v>
      </c>
      <c r="AI1097" s="35"/>
      <c r="AJ1097" s="38"/>
      <c r="AK1097" s="38"/>
      <c r="AL1097" s="23"/>
      <c r="AM1097" s="35">
        <f>VLOOKUP(Tabla4[[#This Row],[SERVICIO 2025]],$J$2:$V$14,5,0)*Tabla4[[#This Row],[TOTAL COBERTURA]]</f>
        <v>669019</v>
      </c>
      <c r="AN1097" s="35">
        <f>VLOOKUP(Tabla4[[#This Row],[SERVICIO 2025]],$J$2:$V$14,6,0)*Tabla4[[#This Row],[TOTAL COBERTURA]]</f>
        <v>560508</v>
      </c>
      <c r="AO1097" s="35">
        <f>VLOOKUP(Tabla4[[#This Row],[SERVICIO 2025]],$J$2:$V$14,8,0)*Tabla4[[#This Row],[TOTAL COBERTURA]]</f>
        <v>378300</v>
      </c>
      <c r="AP1097" s="35">
        <f>VLOOKUP(Tabla4[[#This Row],[SERVICIO 2025]],$J$2:$V$14,3,0)*Tabla4[[#This Row],[TOTAL COBERTURA]]*8</f>
        <v>27657136</v>
      </c>
      <c r="AQ1097" s="35"/>
      <c r="AR1097" s="35">
        <f>Tabla4[[#This Row],[VALOR FASE PREPARATORIA DE ALISTAMIENTO]]+Tabla4[[#This Row],[VALOR FASE PREPARATORIA DE CIERRE]]+Tabla4[[#This Row],[DOTACIÓN ÚNICA]]+Tabla4[[#This Row],[VALOR ATENCIÓN]]+Tabla4[[#This Row],[VALOR RACION PREPARADA]]</f>
        <v>29264963</v>
      </c>
      <c r="AS1097" s="35" t="str">
        <f>+IF(Tabla4[[#This Row],[AGRUPACIONES]]=1,SUMIFS(Tabla4[VALOR TOTAL],Tabla4[ZONA DEFINITIVO],Tabla4[[#This Row],[ZONA DEFINITIVO]])," ")</f>
        <v xml:space="preserve"> </v>
      </c>
      <c r="AT1097" s="27">
        <f>(VLOOKUP(Tabla4[[#This Row],[SERVICIO 2025]],$J$2:$V$14,3,0)*Tabla4[[#This Row],[TOTAL COBERTURA]])+Tabla4[[#This Row],[VALOR FASE PREPARATORIA DE ALISTAMIENTO]]+Tabla4[[#This Row],[DOTACIÓN ÚNICA]]</f>
        <v>4504461</v>
      </c>
      <c r="AU1097" s="35">
        <f>(VLOOKUP(Tabla4[[#This Row],[SERVICIO 2025]],$J$2:$V$14,3,0)*Tabla4[[#This Row],[TOTAL COBERTURA]])</f>
        <v>3457142</v>
      </c>
      <c r="AV1097" s="35">
        <f>(VLOOKUP(Tabla4[[#This Row],[SERVICIO 2025]],$J$2:$V$14,3,0)*Tabla4[[#This Row],[TOTAL COBERTURA]])</f>
        <v>3457142</v>
      </c>
      <c r="AW1097" s="35">
        <f>(VLOOKUP(Tabla4[[#This Row],[SERVICIO 2025]],$J$2:$V$14,3,0)*Tabla4[[#This Row],[TOTAL COBERTURA]])</f>
        <v>3457142</v>
      </c>
      <c r="AX1097" s="35">
        <f>(VLOOKUP(Tabla4[[#This Row],[SERVICIO 2025]],$J$2:$V$14,3,0)*Tabla4[[#This Row],[TOTAL COBERTURA]])</f>
        <v>3457142</v>
      </c>
      <c r="AY1097" s="35">
        <f>(VLOOKUP(Tabla4[[#This Row],[SERVICIO 2025]],$J$2:$V$14,3,0)*Tabla4[[#This Row],[TOTAL COBERTURA]])</f>
        <v>3457142</v>
      </c>
      <c r="AZ1097" s="35">
        <f>(VLOOKUP(Tabla4[[#This Row],[SERVICIO 2025]],$J$2:$V$14,3,0)*Tabla4[[#This Row],[TOTAL COBERTURA]])</f>
        <v>3457142</v>
      </c>
      <c r="BA1097" s="35">
        <f>(VLOOKUP(Tabla4[[#This Row],[SERVICIO 2025]],$J$2:$V$14,3,0)*Tabla4[[#This Row],[TOTAL COBERTURA]])+Tabla4[[#This Row],[VALOR FASE PREPARATORIA DE CIERRE]]</f>
        <v>4017650</v>
      </c>
      <c r="BB1097" s="35">
        <f>SUM(Tabla4[[#This Row],[DESEMBOLSO 1]:[DESEMBOLSO 8]])</f>
        <v>29264963</v>
      </c>
      <c r="BC1097" s="35">
        <f>VLOOKUP(Tabla4[[#This Row],[SERVICIO 2025]],$J$2:$V$14,10,0)*Tabla4[[#This Row],[TOTAL COBERTURA]]*$W$3</f>
        <v>18759832</v>
      </c>
      <c r="BD1097" s="47" t="s">
        <v>211</v>
      </c>
      <c r="BE1097" s="12" t="b">
        <f>EXACT(Tabla4[[#This Row],[VALOR ATENCIÓN (8 MESES)]],Tabla4[[#This Row],[VALOR TOTAL]])</f>
        <v>1</v>
      </c>
      <c r="BF1097" s="23">
        <f>Tabla4[[#This Row],[VALOR ATENCIÓN (8 MESES)]]-Tabla4[[#This Row],[VALOR TOTAL]]</f>
        <v>0</v>
      </c>
      <c r="BG1097" s="12" t="b">
        <f>EXACT(Tabla4[[#This Row],[TOTAL DESEMBOLSOS]],Tabla4[[#This Row],[VALOR ATENCIÓN (8 MESES)]])</f>
        <v>1</v>
      </c>
      <c r="BH1097" s="29">
        <f>Tabla4[[#This Row],[TOTAL DESEMBOLSOS]]-Tabla4[[#This Row],[VALOR ATENCIÓN (8 MESES)]]</f>
        <v>0</v>
      </c>
      <c r="BI1097" t="s">
        <v>98</v>
      </c>
      <c r="BJ1097">
        <v>2005</v>
      </c>
    </row>
    <row r="1098" spans="1:62">
      <c r="A1098" s="13">
        <v>2005</v>
      </c>
      <c r="B1098" s="13" t="s">
        <v>2400</v>
      </c>
      <c r="C1098" s="12" t="s">
        <v>87</v>
      </c>
      <c r="D1098" s="12" t="s">
        <v>673</v>
      </c>
      <c r="E1098" s="12" t="s">
        <v>2382</v>
      </c>
      <c r="F1098" s="12" t="s">
        <v>19</v>
      </c>
      <c r="G1098" s="12" t="s">
        <v>90</v>
      </c>
      <c r="H1098" s="12" t="s">
        <v>2411</v>
      </c>
      <c r="I1098" s="12">
        <v>57361137325</v>
      </c>
      <c r="J1098" s="12" t="s">
        <v>2412</v>
      </c>
      <c r="K1098" s="12">
        <v>1</v>
      </c>
      <c r="L1098" s="12">
        <v>31</v>
      </c>
      <c r="M1098" s="12"/>
      <c r="N1098" s="13">
        <v>2005</v>
      </c>
      <c r="O1098" s="12" t="s">
        <v>93</v>
      </c>
      <c r="P1098" s="12"/>
      <c r="Q1098" s="12"/>
      <c r="R1098" s="12" t="s">
        <v>94</v>
      </c>
      <c r="S1098" s="12">
        <v>10</v>
      </c>
      <c r="T1098" s="12" t="s">
        <v>2403</v>
      </c>
      <c r="U1098" s="12" t="s">
        <v>2404</v>
      </c>
      <c r="V1098" s="12">
        <f>VLOOKUP(Tabla4[[#This Row],[ZONA DEFINITIVO]],Hoja1!$A$1:$D$121,3,0)</f>
        <v>229157</v>
      </c>
      <c r="W1098" s="12">
        <f>VLOOKUP(Tabla4[[#This Row],[ZONA DEFINITIVO]],Hoja1!$A$1:$D$121,2,0)</f>
        <v>15221</v>
      </c>
      <c r="X1098" s="12">
        <f>VLOOKUP(Tabla4[[#This Row],[ZONA DEFINITIVO]],Hoja1!$A$1:$D$121,4,0)</f>
        <v>86825</v>
      </c>
      <c r="Y1098" s="12" t="str">
        <f>+IF(Tabla4[[#This Row],[AGRUPACIONES]]=1,SUMIFS(Tabla4[UDS],Tabla4[ZONA DEFINITIVO],Tabla4[[#This Row],[ZONA DEFINITIVO]])," ")</f>
        <v xml:space="preserve"> </v>
      </c>
      <c r="Z1098" s="12" t="str">
        <f>+IF(Tabla4[[#This Row],[AGRUPACIONES]]=1,SUMIFS(Tabla4[TOTAL COBERTURA],Tabla4[ZONA DEFINITIVO],Tabla4[[#This Row],[ZONA DEFINITIVO]])," ")</f>
        <v xml:space="preserve"> </v>
      </c>
      <c r="AA1098" s="12"/>
      <c r="AB1098" s="38">
        <v>69785681</v>
      </c>
      <c r="AC1098" s="37">
        <v>0.02</v>
      </c>
      <c r="AD1098" s="38">
        <f t="shared" si="17"/>
        <v>1395713.62</v>
      </c>
      <c r="AE1098" s="12"/>
      <c r="AF1098" s="12">
        <f>COUNTIF($A$20:A1098,A1098)</f>
        <v>5</v>
      </c>
      <c r="AG1098" s="38">
        <v>69785681</v>
      </c>
      <c r="AH1098" s="38">
        <f>Tabla4[[#This Row],[VALOR CONTRAPARTIDA]]+Tabla4[[#This Row],[TOTAL APORTES ICBF]]</f>
        <v>71181394.620000005</v>
      </c>
      <c r="AI1098" s="35"/>
      <c r="AJ1098" s="38"/>
      <c r="AK1098" s="38"/>
      <c r="AL1098" s="23"/>
      <c r="AM1098" s="35">
        <f>VLOOKUP(Tabla4[[#This Row],[SERVICIO 2025]],$J$2:$V$14,5,0)*Tabla4[[#This Row],[TOTAL COBERTURA]]</f>
        <v>1595353</v>
      </c>
      <c r="AN1098" s="35">
        <f>VLOOKUP(Tabla4[[#This Row],[SERVICIO 2025]],$J$2:$V$14,6,0)*Tabla4[[#This Row],[TOTAL COBERTURA]]</f>
        <v>1336596</v>
      </c>
      <c r="AO1098" s="35">
        <f>VLOOKUP(Tabla4[[#This Row],[SERVICIO 2025]],$J$2:$V$14,8,0)*Tabla4[[#This Row],[TOTAL COBERTURA]]</f>
        <v>902100</v>
      </c>
      <c r="AP1098" s="35">
        <f>VLOOKUP(Tabla4[[#This Row],[SERVICIO 2025]],$J$2:$V$14,3,0)*Tabla4[[#This Row],[TOTAL COBERTURA]]*8</f>
        <v>65951632</v>
      </c>
      <c r="AQ1098" s="35"/>
      <c r="AR1098" s="35">
        <f>Tabla4[[#This Row],[VALOR FASE PREPARATORIA DE ALISTAMIENTO]]+Tabla4[[#This Row],[VALOR FASE PREPARATORIA DE CIERRE]]+Tabla4[[#This Row],[DOTACIÓN ÚNICA]]+Tabla4[[#This Row],[VALOR ATENCIÓN]]+Tabla4[[#This Row],[VALOR RACION PREPARADA]]</f>
        <v>69785681</v>
      </c>
      <c r="AS1098" s="35" t="str">
        <f>+IF(Tabla4[[#This Row],[AGRUPACIONES]]=1,SUMIFS(Tabla4[VALOR TOTAL],Tabla4[ZONA DEFINITIVO],Tabla4[[#This Row],[ZONA DEFINITIVO]])," ")</f>
        <v xml:space="preserve"> </v>
      </c>
      <c r="AT1098" s="27">
        <f>(VLOOKUP(Tabla4[[#This Row],[SERVICIO 2025]],$J$2:$V$14,3,0)*Tabla4[[#This Row],[TOTAL COBERTURA]])+Tabla4[[#This Row],[VALOR FASE PREPARATORIA DE ALISTAMIENTO]]+Tabla4[[#This Row],[DOTACIÓN ÚNICA]]</f>
        <v>10741407</v>
      </c>
      <c r="AU1098" s="35">
        <f>(VLOOKUP(Tabla4[[#This Row],[SERVICIO 2025]],$J$2:$V$14,3,0)*Tabla4[[#This Row],[TOTAL COBERTURA]])</f>
        <v>8243954</v>
      </c>
      <c r="AV1098" s="35">
        <f>(VLOOKUP(Tabla4[[#This Row],[SERVICIO 2025]],$J$2:$V$14,3,0)*Tabla4[[#This Row],[TOTAL COBERTURA]])</f>
        <v>8243954</v>
      </c>
      <c r="AW1098" s="35">
        <f>(VLOOKUP(Tabla4[[#This Row],[SERVICIO 2025]],$J$2:$V$14,3,0)*Tabla4[[#This Row],[TOTAL COBERTURA]])</f>
        <v>8243954</v>
      </c>
      <c r="AX1098" s="35">
        <f>(VLOOKUP(Tabla4[[#This Row],[SERVICIO 2025]],$J$2:$V$14,3,0)*Tabla4[[#This Row],[TOTAL COBERTURA]])</f>
        <v>8243954</v>
      </c>
      <c r="AY1098" s="35">
        <f>(VLOOKUP(Tabla4[[#This Row],[SERVICIO 2025]],$J$2:$V$14,3,0)*Tabla4[[#This Row],[TOTAL COBERTURA]])</f>
        <v>8243954</v>
      </c>
      <c r="AZ1098" s="35">
        <f>(VLOOKUP(Tabla4[[#This Row],[SERVICIO 2025]],$J$2:$V$14,3,0)*Tabla4[[#This Row],[TOTAL COBERTURA]])</f>
        <v>8243954</v>
      </c>
      <c r="BA1098" s="35">
        <f>(VLOOKUP(Tabla4[[#This Row],[SERVICIO 2025]],$J$2:$V$14,3,0)*Tabla4[[#This Row],[TOTAL COBERTURA]])+Tabla4[[#This Row],[VALOR FASE PREPARATORIA DE CIERRE]]</f>
        <v>9580550</v>
      </c>
      <c r="BB1098" s="35">
        <f>SUM(Tabla4[[#This Row],[DESEMBOLSO 1]:[DESEMBOLSO 8]])</f>
        <v>69785681</v>
      </c>
      <c r="BC1098" s="35">
        <f>VLOOKUP(Tabla4[[#This Row],[SERVICIO 2025]],$J$2:$V$14,10,0)*Tabla4[[#This Row],[TOTAL COBERTURA]]*$W$3</f>
        <v>44734984</v>
      </c>
      <c r="BD1098" s="47" t="s">
        <v>211</v>
      </c>
      <c r="BE1098" s="12" t="b">
        <f>EXACT(Tabla4[[#This Row],[VALOR ATENCIÓN (8 MESES)]],Tabla4[[#This Row],[VALOR TOTAL]])</f>
        <v>1</v>
      </c>
      <c r="BF1098" s="23">
        <f>Tabla4[[#This Row],[VALOR ATENCIÓN (8 MESES)]]-Tabla4[[#This Row],[VALOR TOTAL]]</f>
        <v>0</v>
      </c>
      <c r="BG1098" s="12" t="b">
        <f>EXACT(Tabla4[[#This Row],[TOTAL DESEMBOLSOS]],Tabla4[[#This Row],[VALOR ATENCIÓN (8 MESES)]])</f>
        <v>1</v>
      </c>
      <c r="BH1098" s="29">
        <f>Tabla4[[#This Row],[TOTAL DESEMBOLSOS]]-Tabla4[[#This Row],[VALOR ATENCIÓN (8 MESES)]]</f>
        <v>0</v>
      </c>
      <c r="BI1098" t="s">
        <v>98</v>
      </c>
      <c r="BJ1098">
        <v>2005</v>
      </c>
    </row>
    <row r="1099" spans="1:62">
      <c r="A1099" s="13">
        <v>2005</v>
      </c>
      <c r="B1099" s="13" t="s">
        <v>2400</v>
      </c>
      <c r="C1099" s="12" t="s">
        <v>87</v>
      </c>
      <c r="D1099" s="12" t="s">
        <v>673</v>
      </c>
      <c r="E1099" s="12" t="s">
        <v>2382</v>
      </c>
      <c r="F1099" s="12" t="s">
        <v>19</v>
      </c>
      <c r="G1099" s="12" t="s">
        <v>90</v>
      </c>
      <c r="H1099" s="12" t="s">
        <v>2413</v>
      </c>
      <c r="I1099" s="12">
        <v>57361147063</v>
      </c>
      <c r="J1099" s="12" t="s">
        <v>2414</v>
      </c>
      <c r="K1099" s="12">
        <v>1</v>
      </c>
      <c r="L1099" s="12">
        <v>28</v>
      </c>
      <c r="M1099" s="12"/>
      <c r="N1099" s="13">
        <v>2005</v>
      </c>
      <c r="O1099" s="12" t="s">
        <v>93</v>
      </c>
      <c r="P1099" s="12"/>
      <c r="Q1099" s="12"/>
      <c r="R1099" s="12" t="s">
        <v>94</v>
      </c>
      <c r="S1099" s="12">
        <v>10</v>
      </c>
      <c r="T1099" s="12" t="s">
        <v>2403</v>
      </c>
      <c r="U1099" s="12" t="s">
        <v>2404</v>
      </c>
      <c r="V1099" s="12">
        <f>VLOOKUP(Tabla4[[#This Row],[ZONA DEFINITIVO]],Hoja1!$A$1:$D$121,3,0)</f>
        <v>229157</v>
      </c>
      <c r="W1099" s="12">
        <f>VLOOKUP(Tabla4[[#This Row],[ZONA DEFINITIVO]],Hoja1!$A$1:$D$121,2,0)</f>
        <v>15221</v>
      </c>
      <c r="X1099" s="12">
        <f>VLOOKUP(Tabla4[[#This Row],[ZONA DEFINITIVO]],Hoja1!$A$1:$D$121,4,0)</f>
        <v>86825</v>
      </c>
      <c r="Y1099" s="12" t="str">
        <f>+IF(Tabla4[[#This Row],[AGRUPACIONES]]=1,SUMIFS(Tabla4[UDS],Tabla4[ZONA DEFINITIVO],Tabla4[[#This Row],[ZONA DEFINITIVO]])," ")</f>
        <v xml:space="preserve"> </v>
      </c>
      <c r="Z1099" s="12" t="str">
        <f>+IF(Tabla4[[#This Row],[AGRUPACIONES]]=1,SUMIFS(Tabla4[TOTAL COBERTURA],Tabla4[ZONA DEFINITIVO],Tabla4[[#This Row],[ZONA DEFINITIVO]])," ")</f>
        <v xml:space="preserve"> </v>
      </c>
      <c r="AA1099" s="12"/>
      <c r="AB1099" s="38">
        <v>63032228</v>
      </c>
      <c r="AC1099" s="37">
        <v>0.02</v>
      </c>
      <c r="AD1099" s="38">
        <f t="shared" si="17"/>
        <v>1260644.56</v>
      </c>
      <c r="AE1099" s="12"/>
      <c r="AF1099" s="12">
        <f>COUNTIF($A$20:A1099,A1099)</f>
        <v>6</v>
      </c>
      <c r="AG1099" s="38">
        <v>63032228</v>
      </c>
      <c r="AH1099" s="38">
        <f>Tabla4[[#This Row],[VALOR CONTRAPARTIDA]]+Tabla4[[#This Row],[TOTAL APORTES ICBF]]</f>
        <v>64292872.560000002</v>
      </c>
      <c r="AI1099" s="35"/>
      <c r="AJ1099" s="38"/>
      <c r="AK1099" s="38"/>
      <c r="AL1099" s="23"/>
      <c r="AM1099" s="35">
        <f>VLOOKUP(Tabla4[[#This Row],[SERVICIO 2025]],$J$2:$V$14,5,0)*Tabla4[[#This Row],[TOTAL COBERTURA]]</f>
        <v>1440964</v>
      </c>
      <c r="AN1099" s="35">
        <f>VLOOKUP(Tabla4[[#This Row],[SERVICIO 2025]],$J$2:$V$14,6,0)*Tabla4[[#This Row],[TOTAL COBERTURA]]</f>
        <v>1207248</v>
      </c>
      <c r="AO1099" s="35">
        <f>VLOOKUP(Tabla4[[#This Row],[SERVICIO 2025]],$J$2:$V$14,8,0)*Tabla4[[#This Row],[TOTAL COBERTURA]]</f>
        <v>814800</v>
      </c>
      <c r="AP1099" s="35">
        <f>VLOOKUP(Tabla4[[#This Row],[SERVICIO 2025]],$J$2:$V$14,3,0)*Tabla4[[#This Row],[TOTAL COBERTURA]]*8</f>
        <v>59569216</v>
      </c>
      <c r="AQ1099" s="35"/>
      <c r="AR1099" s="35">
        <f>Tabla4[[#This Row],[VALOR FASE PREPARATORIA DE ALISTAMIENTO]]+Tabla4[[#This Row],[VALOR FASE PREPARATORIA DE CIERRE]]+Tabla4[[#This Row],[DOTACIÓN ÚNICA]]+Tabla4[[#This Row],[VALOR ATENCIÓN]]+Tabla4[[#This Row],[VALOR RACION PREPARADA]]</f>
        <v>63032228</v>
      </c>
      <c r="AS1099" s="35" t="str">
        <f>+IF(Tabla4[[#This Row],[AGRUPACIONES]]=1,SUMIFS(Tabla4[VALOR TOTAL],Tabla4[ZONA DEFINITIVO],Tabla4[[#This Row],[ZONA DEFINITIVO]])," ")</f>
        <v xml:space="preserve"> </v>
      </c>
      <c r="AT1099" s="27">
        <f>(VLOOKUP(Tabla4[[#This Row],[SERVICIO 2025]],$J$2:$V$14,3,0)*Tabla4[[#This Row],[TOTAL COBERTURA]])+Tabla4[[#This Row],[VALOR FASE PREPARATORIA DE ALISTAMIENTO]]+Tabla4[[#This Row],[DOTACIÓN ÚNICA]]</f>
        <v>9701916</v>
      </c>
      <c r="AU1099" s="35">
        <f>(VLOOKUP(Tabla4[[#This Row],[SERVICIO 2025]],$J$2:$V$14,3,0)*Tabla4[[#This Row],[TOTAL COBERTURA]])</f>
        <v>7446152</v>
      </c>
      <c r="AV1099" s="35">
        <f>(VLOOKUP(Tabla4[[#This Row],[SERVICIO 2025]],$J$2:$V$14,3,0)*Tabla4[[#This Row],[TOTAL COBERTURA]])</f>
        <v>7446152</v>
      </c>
      <c r="AW1099" s="35">
        <f>(VLOOKUP(Tabla4[[#This Row],[SERVICIO 2025]],$J$2:$V$14,3,0)*Tabla4[[#This Row],[TOTAL COBERTURA]])</f>
        <v>7446152</v>
      </c>
      <c r="AX1099" s="35">
        <f>(VLOOKUP(Tabla4[[#This Row],[SERVICIO 2025]],$J$2:$V$14,3,0)*Tabla4[[#This Row],[TOTAL COBERTURA]])</f>
        <v>7446152</v>
      </c>
      <c r="AY1099" s="35">
        <f>(VLOOKUP(Tabla4[[#This Row],[SERVICIO 2025]],$J$2:$V$14,3,0)*Tabla4[[#This Row],[TOTAL COBERTURA]])</f>
        <v>7446152</v>
      </c>
      <c r="AZ1099" s="35">
        <f>(VLOOKUP(Tabla4[[#This Row],[SERVICIO 2025]],$J$2:$V$14,3,0)*Tabla4[[#This Row],[TOTAL COBERTURA]])</f>
        <v>7446152</v>
      </c>
      <c r="BA1099" s="35">
        <f>(VLOOKUP(Tabla4[[#This Row],[SERVICIO 2025]],$J$2:$V$14,3,0)*Tabla4[[#This Row],[TOTAL COBERTURA]])+Tabla4[[#This Row],[VALOR FASE PREPARATORIA DE CIERRE]]</f>
        <v>8653400</v>
      </c>
      <c r="BB1099" s="35">
        <f>SUM(Tabla4[[#This Row],[DESEMBOLSO 1]:[DESEMBOLSO 8]])</f>
        <v>63032228</v>
      </c>
      <c r="BC1099" s="35">
        <f>VLOOKUP(Tabla4[[#This Row],[SERVICIO 2025]],$J$2:$V$14,10,0)*Tabla4[[#This Row],[TOTAL COBERTURA]]*$W$3</f>
        <v>40405792</v>
      </c>
      <c r="BD1099" s="47" t="s">
        <v>211</v>
      </c>
      <c r="BE1099" s="12" t="b">
        <f>EXACT(Tabla4[[#This Row],[VALOR ATENCIÓN (8 MESES)]],Tabla4[[#This Row],[VALOR TOTAL]])</f>
        <v>1</v>
      </c>
      <c r="BF1099" s="23">
        <f>Tabla4[[#This Row],[VALOR ATENCIÓN (8 MESES)]]-Tabla4[[#This Row],[VALOR TOTAL]]</f>
        <v>0</v>
      </c>
      <c r="BG1099" s="12" t="b">
        <f>EXACT(Tabla4[[#This Row],[TOTAL DESEMBOLSOS]],Tabla4[[#This Row],[VALOR ATENCIÓN (8 MESES)]])</f>
        <v>1</v>
      </c>
      <c r="BH1099" s="29">
        <f>Tabla4[[#This Row],[TOTAL DESEMBOLSOS]]-Tabla4[[#This Row],[VALOR ATENCIÓN (8 MESES)]]</f>
        <v>0</v>
      </c>
      <c r="BI1099" t="s">
        <v>98</v>
      </c>
      <c r="BJ1099">
        <v>2005</v>
      </c>
    </row>
    <row r="1100" spans="1:62">
      <c r="A1100" s="13">
        <v>2005</v>
      </c>
      <c r="B1100" s="13" t="s">
        <v>2400</v>
      </c>
      <c r="C1100" s="12" t="s">
        <v>87</v>
      </c>
      <c r="D1100" s="12" t="s">
        <v>673</v>
      </c>
      <c r="E1100" s="12" t="s">
        <v>2382</v>
      </c>
      <c r="F1100" s="12" t="s">
        <v>19</v>
      </c>
      <c r="G1100" s="12" t="s">
        <v>90</v>
      </c>
      <c r="H1100" s="12" t="s">
        <v>2415</v>
      </c>
      <c r="I1100" s="12">
        <v>57361150448</v>
      </c>
      <c r="J1100" s="12" t="s">
        <v>2416</v>
      </c>
      <c r="K1100" s="12">
        <v>1</v>
      </c>
      <c r="L1100" s="12">
        <v>18</v>
      </c>
      <c r="M1100" s="12"/>
      <c r="N1100" s="13">
        <v>2005</v>
      </c>
      <c r="O1100" s="12" t="s">
        <v>93</v>
      </c>
      <c r="P1100" s="12"/>
      <c r="Q1100" s="12"/>
      <c r="R1100" s="12" t="s">
        <v>94</v>
      </c>
      <c r="S1100" s="12">
        <v>10</v>
      </c>
      <c r="T1100" s="12" t="s">
        <v>2403</v>
      </c>
      <c r="U1100" s="12" t="s">
        <v>2404</v>
      </c>
      <c r="V1100" s="12">
        <f>VLOOKUP(Tabla4[[#This Row],[ZONA DEFINITIVO]],Hoja1!$A$1:$D$121,3,0)</f>
        <v>229157</v>
      </c>
      <c r="W1100" s="12">
        <f>VLOOKUP(Tabla4[[#This Row],[ZONA DEFINITIVO]],Hoja1!$A$1:$D$121,2,0)</f>
        <v>15221</v>
      </c>
      <c r="X1100" s="12">
        <f>VLOOKUP(Tabla4[[#This Row],[ZONA DEFINITIVO]],Hoja1!$A$1:$D$121,4,0)</f>
        <v>86825</v>
      </c>
      <c r="Y1100" s="12" t="str">
        <f>+IF(Tabla4[[#This Row],[AGRUPACIONES]]=1,SUMIFS(Tabla4[UDS],Tabla4[ZONA DEFINITIVO],Tabla4[[#This Row],[ZONA DEFINITIVO]])," ")</f>
        <v xml:space="preserve"> </v>
      </c>
      <c r="Z1100" s="12" t="str">
        <f>+IF(Tabla4[[#This Row],[AGRUPACIONES]]=1,SUMIFS(Tabla4[TOTAL COBERTURA],Tabla4[ZONA DEFINITIVO],Tabla4[[#This Row],[ZONA DEFINITIVO]])," ")</f>
        <v xml:space="preserve"> </v>
      </c>
      <c r="AA1100" s="12"/>
      <c r="AB1100" s="38">
        <v>40520718</v>
      </c>
      <c r="AC1100" s="37">
        <v>0.02</v>
      </c>
      <c r="AD1100" s="38">
        <f t="shared" si="17"/>
        <v>810414.36</v>
      </c>
      <c r="AE1100" s="12"/>
      <c r="AF1100" s="12">
        <f>COUNTIF($A$20:A1100,A1100)</f>
        <v>7</v>
      </c>
      <c r="AG1100" s="38">
        <v>40520718</v>
      </c>
      <c r="AH1100" s="38">
        <f>Tabla4[[#This Row],[VALOR CONTRAPARTIDA]]+Tabla4[[#This Row],[TOTAL APORTES ICBF]]</f>
        <v>41331132.359999999</v>
      </c>
      <c r="AI1100" s="35"/>
      <c r="AJ1100" s="38"/>
      <c r="AK1100" s="38"/>
      <c r="AL1100" s="23"/>
      <c r="AM1100" s="35">
        <f>VLOOKUP(Tabla4[[#This Row],[SERVICIO 2025]],$J$2:$V$14,5,0)*Tabla4[[#This Row],[TOTAL COBERTURA]]</f>
        <v>926334</v>
      </c>
      <c r="AN1100" s="35">
        <f>VLOOKUP(Tabla4[[#This Row],[SERVICIO 2025]],$J$2:$V$14,6,0)*Tabla4[[#This Row],[TOTAL COBERTURA]]</f>
        <v>776088</v>
      </c>
      <c r="AO1100" s="35">
        <f>VLOOKUP(Tabla4[[#This Row],[SERVICIO 2025]],$J$2:$V$14,8,0)*Tabla4[[#This Row],[TOTAL COBERTURA]]</f>
        <v>523800</v>
      </c>
      <c r="AP1100" s="35">
        <f>VLOOKUP(Tabla4[[#This Row],[SERVICIO 2025]],$J$2:$V$14,3,0)*Tabla4[[#This Row],[TOTAL COBERTURA]]*8</f>
        <v>38294496</v>
      </c>
      <c r="AQ1100" s="35"/>
      <c r="AR1100" s="35">
        <f>Tabla4[[#This Row],[VALOR FASE PREPARATORIA DE ALISTAMIENTO]]+Tabla4[[#This Row],[VALOR FASE PREPARATORIA DE CIERRE]]+Tabla4[[#This Row],[DOTACIÓN ÚNICA]]+Tabla4[[#This Row],[VALOR ATENCIÓN]]+Tabla4[[#This Row],[VALOR RACION PREPARADA]]</f>
        <v>40520718</v>
      </c>
      <c r="AS1100" s="35" t="str">
        <f>+IF(Tabla4[[#This Row],[AGRUPACIONES]]=1,SUMIFS(Tabla4[VALOR TOTAL],Tabla4[ZONA DEFINITIVO],Tabla4[[#This Row],[ZONA DEFINITIVO]])," ")</f>
        <v xml:space="preserve"> </v>
      </c>
      <c r="AT1100" s="27">
        <f>(VLOOKUP(Tabla4[[#This Row],[SERVICIO 2025]],$J$2:$V$14,3,0)*Tabla4[[#This Row],[TOTAL COBERTURA]])+Tabla4[[#This Row],[VALOR FASE PREPARATORIA DE ALISTAMIENTO]]+Tabla4[[#This Row],[DOTACIÓN ÚNICA]]</f>
        <v>6236946</v>
      </c>
      <c r="AU1100" s="35">
        <f>(VLOOKUP(Tabla4[[#This Row],[SERVICIO 2025]],$J$2:$V$14,3,0)*Tabla4[[#This Row],[TOTAL COBERTURA]])</f>
        <v>4786812</v>
      </c>
      <c r="AV1100" s="35">
        <f>(VLOOKUP(Tabla4[[#This Row],[SERVICIO 2025]],$J$2:$V$14,3,0)*Tabla4[[#This Row],[TOTAL COBERTURA]])</f>
        <v>4786812</v>
      </c>
      <c r="AW1100" s="35">
        <f>(VLOOKUP(Tabla4[[#This Row],[SERVICIO 2025]],$J$2:$V$14,3,0)*Tabla4[[#This Row],[TOTAL COBERTURA]])</f>
        <v>4786812</v>
      </c>
      <c r="AX1100" s="35">
        <f>(VLOOKUP(Tabla4[[#This Row],[SERVICIO 2025]],$J$2:$V$14,3,0)*Tabla4[[#This Row],[TOTAL COBERTURA]])</f>
        <v>4786812</v>
      </c>
      <c r="AY1100" s="35">
        <f>(VLOOKUP(Tabla4[[#This Row],[SERVICIO 2025]],$J$2:$V$14,3,0)*Tabla4[[#This Row],[TOTAL COBERTURA]])</f>
        <v>4786812</v>
      </c>
      <c r="AZ1100" s="35">
        <f>(VLOOKUP(Tabla4[[#This Row],[SERVICIO 2025]],$J$2:$V$14,3,0)*Tabla4[[#This Row],[TOTAL COBERTURA]])</f>
        <v>4786812</v>
      </c>
      <c r="BA1100" s="35">
        <f>(VLOOKUP(Tabla4[[#This Row],[SERVICIO 2025]],$J$2:$V$14,3,0)*Tabla4[[#This Row],[TOTAL COBERTURA]])+Tabla4[[#This Row],[VALOR FASE PREPARATORIA DE CIERRE]]</f>
        <v>5562900</v>
      </c>
      <c r="BB1100" s="35">
        <f>SUM(Tabla4[[#This Row],[DESEMBOLSO 1]:[DESEMBOLSO 8]])</f>
        <v>40520718</v>
      </c>
      <c r="BC1100" s="35">
        <f>VLOOKUP(Tabla4[[#This Row],[SERVICIO 2025]],$J$2:$V$14,10,0)*Tabla4[[#This Row],[TOTAL COBERTURA]]*$W$3</f>
        <v>25975152</v>
      </c>
      <c r="BD1100" s="47" t="s">
        <v>211</v>
      </c>
      <c r="BE1100" s="12" t="b">
        <f>EXACT(Tabla4[[#This Row],[VALOR ATENCIÓN (8 MESES)]],Tabla4[[#This Row],[VALOR TOTAL]])</f>
        <v>1</v>
      </c>
      <c r="BF1100" s="23">
        <f>Tabla4[[#This Row],[VALOR ATENCIÓN (8 MESES)]]-Tabla4[[#This Row],[VALOR TOTAL]]</f>
        <v>0</v>
      </c>
      <c r="BG1100" s="12" t="b">
        <f>EXACT(Tabla4[[#This Row],[TOTAL DESEMBOLSOS]],Tabla4[[#This Row],[VALOR ATENCIÓN (8 MESES)]])</f>
        <v>1</v>
      </c>
      <c r="BH1100" s="29">
        <f>Tabla4[[#This Row],[TOTAL DESEMBOLSOS]]-Tabla4[[#This Row],[VALOR ATENCIÓN (8 MESES)]]</f>
        <v>0</v>
      </c>
      <c r="BI1100" t="s">
        <v>98</v>
      </c>
      <c r="BJ1100">
        <v>2005</v>
      </c>
    </row>
    <row r="1101" spans="1:62">
      <c r="A1101" s="13">
        <v>2005</v>
      </c>
      <c r="B1101" s="13" t="s">
        <v>2400</v>
      </c>
      <c r="C1101" s="12" t="s">
        <v>87</v>
      </c>
      <c r="D1101" s="12" t="s">
        <v>673</v>
      </c>
      <c r="E1101" s="12" t="s">
        <v>2382</v>
      </c>
      <c r="F1101" s="12" t="s">
        <v>19</v>
      </c>
      <c r="G1101" s="12" t="s">
        <v>90</v>
      </c>
      <c r="H1101" s="12" t="s">
        <v>2417</v>
      </c>
      <c r="I1101" s="12">
        <v>57361152811</v>
      </c>
      <c r="J1101" s="12" t="s">
        <v>2418</v>
      </c>
      <c r="K1101" s="12">
        <v>1</v>
      </c>
      <c r="L1101" s="12">
        <v>34</v>
      </c>
      <c r="M1101" s="12"/>
      <c r="N1101" s="13">
        <v>2005</v>
      </c>
      <c r="O1101" s="12" t="s">
        <v>93</v>
      </c>
      <c r="P1101" s="12"/>
      <c r="Q1101" s="12"/>
      <c r="R1101" s="12" t="s">
        <v>94</v>
      </c>
      <c r="S1101" s="12">
        <v>10</v>
      </c>
      <c r="T1101" s="12" t="s">
        <v>2403</v>
      </c>
      <c r="U1101" s="12" t="s">
        <v>2404</v>
      </c>
      <c r="V1101" s="12">
        <f>VLOOKUP(Tabla4[[#This Row],[ZONA DEFINITIVO]],Hoja1!$A$1:$D$121,3,0)</f>
        <v>229157</v>
      </c>
      <c r="W1101" s="12">
        <f>VLOOKUP(Tabla4[[#This Row],[ZONA DEFINITIVO]],Hoja1!$A$1:$D$121,2,0)</f>
        <v>15221</v>
      </c>
      <c r="X1101" s="12">
        <f>VLOOKUP(Tabla4[[#This Row],[ZONA DEFINITIVO]],Hoja1!$A$1:$D$121,4,0)</f>
        <v>86825</v>
      </c>
      <c r="Y1101" s="12" t="str">
        <f>+IF(Tabla4[[#This Row],[AGRUPACIONES]]=1,SUMIFS(Tabla4[UDS],Tabla4[ZONA DEFINITIVO],Tabla4[[#This Row],[ZONA DEFINITIVO]])," ")</f>
        <v xml:space="preserve"> </v>
      </c>
      <c r="Z1101" s="12" t="str">
        <f>+IF(Tabla4[[#This Row],[AGRUPACIONES]]=1,SUMIFS(Tabla4[TOTAL COBERTURA],Tabla4[ZONA DEFINITIVO],Tabla4[[#This Row],[ZONA DEFINITIVO]])," ")</f>
        <v xml:space="preserve"> </v>
      </c>
      <c r="AA1101" s="12"/>
      <c r="AB1101" s="38">
        <v>76539134</v>
      </c>
      <c r="AC1101" s="37">
        <v>0.02</v>
      </c>
      <c r="AD1101" s="38">
        <f t="shared" si="17"/>
        <v>1530782.68</v>
      </c>
      <c r="AE1101" s="12"/>
      <c r="AF1101" s="12">
        <f>COUNTIF($A$20:A1101,A1101)</f>
        <v>8</v>
      </c>
      <c r="AG1101" s="38">
        <v>76539134</v>
      </c>
      <c r="AH1101" s="38">
        <f>Tabla4[[#This Row],[VALOR CONTRAPARTIDA]]+Tabla4[[#This Row],[TOTAL APORTES ICBF]]</f>
        <v>78069916.680000007</v>
      </c>
      <c r="AI1101" s="35"/>
      <c r="AJ1101" s="38"/>
      <c r="AK1101" s="38"/>
      <c r="AL1101" s="23"/>
      <c r="AM1101" s="35">
        <f>VLOOKUP(Tabla4[[#This Row],[SERVICIO 2025]],$J$2:$V$14,5,0)*Tabla4[[#This Row],[TOTAL COBERTURA]]</f>
        <v>1749742</v>
      </c>
      <c r="AN1101" s="35">
        <f>VLOOKUP(Tabla4[[#This Row],[SERVICIO 2025]],$J$2:$V$14,6,0)*Tabla4[[#This Row],[TOTAL COBERTURA]]</f>
        <v>1465944</v>
      </c>
      <c r="AO1101" s="35">
        <f>VLOOKUP(Tabla4[[#This Row],[SERVICIO 2025]],$J$2:$V$14,8,0)*Tabla4[[#This Row],[TOTAL COBERTURA]]</f>
        <v>989400</v>
      </c>
      <c r="AP1101" s="35">
        <f>VLOOKUP(Tabla4[[#This Row],[SERVICIO 2025]],$J$2:$V$14,3,0)*Tabla4[[#This Row],[TOTAL COBERTURA]]*8</f>
        <v>72334048</v>
      </c>
      <c r="AQ1101" s="35"/>
      <c r="AR1101" s="35">
        <f>Tabla4[[#This Row],[VALOR FASE PREPARATORIA DE ALISTAMIENTO]]+Tabla4[[#This Row],[VALOR FASE PREPARATORIA DE CIERRE]]+Tabla4[[#This Row],[DOTACIÓN ÚNICA]]+Tabla4[[#This Row],[VALOR ATENCIÓN]]+Tabla4[[#This Row],[VALOR RACION PREPARADA]]</f>
        <v>76539134</v>
      </c>
      <c r="AS1101" s="35" t="str">
        <f>+IF(Tabla4[[#This Row],[AGRUPACIONES]]=1,SUMIFS(Tabla4[VALOR TOTAL],Tabla4[ZONA DEFINITIVO],Tabla4[[#This Row],[ZONA DEFINITIVO]])," ")</f>
        <v xml:space="preserve"> </v>
      </c>
      <c r="AT1101" s="27">
        <f>(VLOOKUP(Tabla4[[#This Row],[SERVICIO 2025]],$J$2:$V$14,3,0)*Tabla4[[#This Row],[TOTAL COBERTURA]])+Tabla4[[#This Row],[VALOR FASE PREPARATORIA DE ALISTAMIENTO]]+Tabla4[[#This Row],[DOTACIÓN ÚNICA]]</f>
        <v>11780898</v>
      </c>
      <c r="AU1101" s="35">
        <f>(VLOOKUP(Tabla4[[#This Row],[SERVICIO 2025]],$J$2:$V$14,3,0)*Tabla4[[#This Row],[TOTAL COBERTURA]])</f>
        <v>9041756</v>
      </c>
      <c r="AV1101" s="35">
        <f>(VLOOKUP(Tabla4[[#This Row],[SERVICIO 2025]],$J$2:$V$14,3,0)*Tabla4[[#This Row],[TOTAL COBERTURA]])</f>
        <v>9041756</v>
      </c>
      <c r="AW1101" s="35">
        <f>(VLOOKUP(Tabla4[[#This Row],[SERVICIO 2025]],$J$2:$V$14,3,0)*Tabla4[[#This Row],[TOTAL COBERTURA]])</f>
        <v>9041756</v>
      </c>
      <c r="AX1101" s="35">
        <f>(VLOOKUP(Tabla4[[#This Row],[SERVICIO 2025]],$J$2:$V$14,3,0)*Tabla4[[#This Row],[TOTAL COBERTURA]])</f>
        <v>9041756</v>
      </c>
      <c r="AY1101" s="35">
        <f>(VLOOKUP(Tabla4[[#This Row],[SERVICIO 2025]],$J$2:$V$14,3,0)*Tabla4[[#This Row],[TOTAL COBERTURA]])</f>
        <v>9041756</v>
      </c>
      <c r="AZ1101" s="35">
        <f>(VLOOKUP(Tabla4[[#This Row],[SERVICIO 2025]],$J$2:$V$14,3,0)*Tabla4[[#This Row],[TOTAL COBERTURA]])</f>
        <v>9041756</v>
      </c>
      <c r="BA1101" s="35">
        <f>(VLOOKUP(Tabla4[[#This Row],[SERVICIO 2025]],$J$2:$V$14,3,0)*Tabla4[[#This Row],[TOTAL COBERTURA]])+Tabla4[[#This Row],[VALOR FASE PREPARATORIA DE CIERRE]]</f>
        <v>10507700</v>
      </c>
      <c r="BB1101" s="35">
        <f>SUM(Tabla4[[#This Row],[DESEMBOLSO 1]:[DESEMBOLSO 8]])</f>
        <v>76539134</v>
      </c>
      <c r="BC1101" s="35">
        <f>VLOOKUP(Tabla4[[#This Row],[SERVICIO 2025]],$J$2:$V$14,10,0)*Tabla4[[#This Row],[TOTAL COBERTURA]]*$W$3</f>
        <v>49064176</v>
      </c>
      <c r="BD1101" s="47" t="s">
        <v>211</v>
      </c>
      <c r="BE1101" s="12" t="b">
        <f>EXACT(Tabla4[[#This Row],[VALOR ATENCIÓN (8 MESES)]],Tabla4[[#This Row],[VALOR TOTAL]])</f>
        <v>1</v>
      </c>
      <c r="BF1101" s="23">
        <f>Tabla4[[#This Row],[VALOR ATENCIÓN (8 MESES)]]-Tabla4[[#This Row],[VALOR TOTAL]]</f>
        <v>0</v>
      </c>
      <c r="BG1101" s="12" t="b">
        <f>EXACT(Tabla4[[#This Row],[TOTAL DESEMBOLSOS]],Tabla4[[#This Row],[VALOR ATENCIÓN (8 MESES)]])</f>
        <v>1</v>
      </c>
      <c r="BH1101" s="29">
        <f>Tabla4[[#This Row],[TOTAL DESEMBOLSOS]]-Tabla4[[#This Row],[VALOR ATENCIÓN (8 MESES)]]</f>
        <v>0</v>
      </c>
      <c r="BI1101" t="s">
        <v>98</v>
      </c>
      <c r="BJ1101">
        <v>2005</v>
      </c>
    </row>
    <row r="1102" spans="1:62">
      <c r="A1102" s="13">
        <v>2005</v>
      </c>
      <c r="B1102" s="13" t="s">
        <v>2400</v>
      </c>
      <c r="C1102" s="12" t="s">
        <v>87</v>
      </c>
      <c r="D1102" s="12" t="s">
        <v>673</v>
      </c>
      <c r="E1102" s="12" t="s">
        <v>2382</v>
      </c>
      <c r="F1102" s="12" t="s">
        <v>19</v>
      </c>
      <c r="G1102" s="12" t="s">
        <v>90</v>
      </c>
      <c r="H1102" s="12" t="s">
        <v>2419</v>
      </c>
      <c r="I1102" s="12">
        <v>57361152812</v>
      </c>
      <c r="J1102" s="12" t="s">
        <v>2420</v>
      </c>
      <c r="K1102" s="12">
        <v>1</v>
      </c>
      <c r="L1102" s="12">
        <v>2</v>
      </c>
      <c r="M1102" s="12"/>
      <c r="N1102" s="13">
        <v>2005</v>
      </c>
      <c r="O1102" s="12" t="s">
        <v>93</v>
      </c>
      <c r="P1102" s="12"/>
      <c r="Q1102" s="12"/>
      <c r="R1102" s="12" t="s">
        <v>94</v>
      </c>
      <c r="S1102" s="12">
        <v>10</v>
      </c>
      <c r="T1102" s="12" t="s">
        <v>2403</v>
      </c>
      <c r="U1102" s="12" t="s">
        <v>2404</v>
      </c>
      <c r="V1102" s="12">
        <f>VLOOKUP(Tabla4[[#This Row],[ZONA DEFINITIVO]],Hoja1!$A$1:$D$121,3,0)</f>
        <v>229157</v>
      </c>
      <c r="W1102" s="12">
        <f>VLOOKUP(Tabla4[[#This Row],[ZONA DEFINITIVO]],Hoja1!$A$1:$D$121,2,0)</f>
        <v>15221</v>
      </c>
      <c r="X1102" s="12">
        <f>VLOOKUP(Tabla4[[#This Row],[ZONA DEFINITIVO]],Hoja1!$A$1:$D$121,4,0)</f>
        <v>86825</v>
      </c>
      <c r="Y1102" s="12" t="str">
        <f>+IF(Tabla4[[#This Row],[AGRUPACIONES]]=1,SUMIFS(Tabla4[UDS],Tabla4[ZONA DEFINITIVO],Tabla4[[#This Row],[ZONA DEFINITIVO]])," ")</f>
        <v xml:space="preserve"> </v>
      </c>
      <c r="Z1102" s="12" t="str">
        <f>+IF(Tabla4[[#This Row],[AGRUPACIONES]]=1,SUMIFS(Tabla4[TOTAL COBERTURA],Tabla4[ZONA DEFINITIVO],Tabla4[[#This Row],[ZONA DEFINITIVO]])," ")</f>
        <v xml:space="preserve"> </v>
      </c>
      <c r="AA1102" s="12"/>
      <c r="AB1102" s="38">
        <v>4502302</v>
      </c>
      <c r="AC1102" s="37">
        <v>0.02</v>
      </c>
      <c r="AD1102" s="38">
        <f t="shared" si="17"/>
        <v>90046.040000000008</v>
      </c>
      <c r="AE1102" s="12"/>
      <c r="AF1102" s="12">
        <f>COUNTIF($A$20:A1102,A1102)</f>
        <v>9</v>
      </c>
      <c r="AG1102" s="38">
        <v>4502302</v>
      </c>
      <c r="AH1102" s="38">
        <f>Tabla4[[#This Row],[VALOR CONTRAPARTIDA]]+Tabla4[[#This Row],[TOTAL APORTES ICBF]]</f>
        <v>4592348.04</v>
      </c>
      <c r="AI1102" s="35"/>
      <c r="AJ1102" s="38"/>
      <c r="AK1102" s="38"/>
      <c r="AL1102" s="23"/>
      <c r="AM1102" s="35">
        <f>VLOOKUP(Tabla4[[#This Row],[SERVICIO 2025]],$J$2:$V$14,5,0)*Tabla4[[#This Row],[TOTAL COBERTURA]]</f>
        <v>102926</v>
      </c>
      <c r="AN1102" s="35">
        <f>VLOOKUP(Tabla4[[#This Row],[SERVICIO 2025]],$J$2:$V$14,6,0)*Tabla4[[#This Row],[TOTAL COBERTURA]]</f>
        <v>86232</v>
      </c>
      <c r="AO1102" s="35">
        <f>VLOOKUP(Tabla4[[#This Row],[SERVICIO 2025]],$J$2:$V$14,8,0)*Tabla4[[#This Row],[TOTAL COBERTURA]]</f>
        <v>58200</v>
      </c>
      <c r="AP1102" s="35">
        <f>VLOOKUP(Tabla4[[#This Row],[SERVICIO 2025]],$J$2:$V$14,3,0)*Tabla4[[#This Row],[TOTAL COBERTURA]]*8</f>
        <v>4254944</v>
      </c>
      <c r="AQ1102" s="35"/>
      <c r="AR1102" s="35">
        <f>Tabla4[[#This Row],[VALOR FASE PREPARATORIA DE ALISTAMIENTO]]+Tabla4[[#This Row],[VALOR FASE PREPARATORIA DE CIERRE]]+Tabla4[[#This Row],[DOTACIÓN ÚNICA]]+Tabla4[[#This Row],[VALOR ATENCIÓN]]+Tabla4[[#This Row],[VALOR RACION PREPARADA]]</f>
        <v>4502302</v>
      </c>
      <c r="AS1102" s="35" t="str">
        <f>+IF(Tabla4[[#This Row],[AGRUPACIONES]]=1,SUMIFS(Tabla4[VALOR TOTAL],Tabla4[ZONA DEFINITIVO],Tabla4[[#This Row],[ZONA DEFINITIVO]])," ")</f>
        <v xml:space="preserve"> </v>
      </c>
      <c r="AT1102" s="27">
        <f>(VLOOKUP(Tabla4[[#This Row],[SERVICIO 2025]],$J$2:$V$14,3,0)*Tabla4[[#This Row],[TOTAL COBERTURA]])+Tabla4[[#This Row],[VALOR FASE PREPARATORIA DE ALISTAMIENTO]]+Tabla4[[#This Row],[DOTACIÓN ÚNICA]]</f>
        <v>692994</v>
      </c>
      <c r="AU1102" s="35">
        <f>(VLOOKUP(Tabla4[[#This Row],[SERVICIO 2025]],$J$2:$V$14,3,0)*Tabla4[[#This Row],[TOTAL COBERTURA]])</f>
        <v>531868</v>
      </c>
      <c r="AV1102" s="35">
        <f>(VLOOKUP(Tabla4[[#This Row],[SERVICIO 2025]],$J$2:$V$14,3,0)*Tabla4[[#This Row],[TOTAL COBERTURA]])</f>
        <v>531868</v>
      </c>
      <c r="AW1102" s="35">
        <f>(VLOOKUP(Tabla4[[#This Row],[SERVICIO 2025]],$J$2:$V$14,3,0)*Tabla4[[#This Row],[TOTAL COBERTURA]])</f>
        <v>531868</v>
      </c>
      <c r="AX1102" s="35">
        <f>(VLOOKUP(Tabla4[[#This Row],[SERVICIO 2025]],$J$2:$V$14,3,0)*Tabla4[[#This Row],[TOTAL COBERTURA]])</f>
        <v>531868</v>
      </c>
      <c r="AY1102" s="35">
        <f>(VLOOKUP(Tabla4[[#This Row],[SERVICIO 2025]],$J$2:$V$14,3,0)*Tabla4[[#This Row],[TOTAL COBERTURA]])</f>
        <v>531868</v>
      </c>
      <c r="AZ1102" s="35">
        <f>(VLOOKUP(Tabla4[[#This Row],[SERVICIO 2025]],$J$2:$V$14,3,0)*Tabla4[[#This Row],[TOTAL COBERTURA]])</f>
        <v>531868</v>
      </c>
      <c r="BA1102" s="35">
        <f>(VLOOKUP(Tabla4[[#This Row],[SERVICIO 2025]],$J$2:$V$14,3,0)*Tabla4[[#This Row],[TOTAL COBERTURA]])+Tabla4[[#This Row],[VALOR FASE PREPARATORIA DE CIERRE]]</f>
        <v>618100</v>
      </c>
      <c r="BB1102" s="35">
        <f>SUM(Tabla4[[#This Row],[DESEMBOLSO 1]:[DESEMBOLSO 8]])</f>
        <v>4502302</v>
      </c>
      <c r="BC1102" s="35">
        <f>VLOOKUP(Tabla4[[#This Row],[SERVICIO 2025]],$J$2:$V$14,10,0)*Tabla4[[#This Row],[TOTAL COBERTURA]]*$W$3</f>
        <v>2886128</v>
      </c>
      <c r="BD1102" s="47" t="s">
        <v>211</v>
      </c>
      <c r="BE1102" s="12" t="b">
        <f>EXACT(Tabla4[[#This Row],[VALOR ATENCIÓN (8 MESES)]],Tabla4[[#This Row],[VALOR TOTAL]])</f>
        <v>1</v>
      </c>
      <c r="BF1102" s="23">
        <f>Tabla4[[#This Row],[VALOR ATENCIÓN (8 MESES)]]-Tabla4[[#This Row],[VALOR TOTAL]]</f>
        <v>0</v>
      </c>
      <c r="BG1102" s="12" t="b">
        <f>EXACT(Tabla4[[#This Row],[TOTAL DESEMBOLSOS]],Tabla4[[#This Row],[VALOR ATENCIÓN (8 MESES)]])</f>
        <v>1</v>
      </c>
      <c r="BH1102" s="29">
        <f>Tabla4[[#This Row],[TOTAL DESEMBOLSOS]]-Tabla4[[#This Row],[VALOR ATENCIÓN (8 MESES)]]</f>
        <v>0</v>
      </c>
      <c r="BI1102" t="s">
        <v>98</v>
      </c>
      <c r="BJ1102">
        <v>2005</v>
      </c>
    </row>
    <row r="1103" spans="1:62">
      <c r="A1103" s="13">
        <v>2005</v>
      </c>
      <c r="B1103" s="13" t="s">
        <v>2400</v>
      </c>
      <c r="C1103" s="12" t="s">
        <v>87</v>
      </c>
      <c r="D1103" s="12" t="s">
        <v>673</v>
      </c>
      <c r="E1103" s="12" t="s">
        <v>2382</v>
      </c>
      <c r="F1103" s="12" t="s">
        <v>19</v>
      </c>
      <c r="G1103" s="12" t="s">
        <v>90</v>
      </c>
      <c r="H1103" s="12" t="s">
        <v>2421</v>
      </c>
      <c r="I1103" s="12">
        <v>57361153475</v>
      </c>
      <c r="J1103" s="12" t="s">
        <v>2422</v>
      </c>
      <c r="K1103" s="12">
        <v>1</v>
      </c>
      <c r="L1103" s="12">
        <v>2</v>
      </c>
      <c r="M1103" s="12"/>
      <c r="N1103" s="13">
        <v>2005</v>
      </c>
      <c r="O1103" s="12" t="s">
        <v>93</v>
      </c>
      <c r="P1103" s="12"/>
      <c r="Q1103" s="12"/>
      <c r="R1103" s="12" t="s">
        <v>94</v>
      </c>
      <c r="S1103" s="12">
        <v>10</v>
      </c>
      <c r="T1103" s="12" t="s">
        <v>2403</v>
      </c>
      <c r="U1103" s="12" t="s">
        <v>2404</v>
      </c>
      <c r="V1103" s="12">
        <f>VLOOKUP(Tabla4[[#This Row],[ZONA DEFINITIVO]],Hoja1!$A$1:$D$121,3,0)</f>
        <v>229157</v>
      </c>
      <c r="W1103" s="12">
        <f>VLOOKUP(Tabla4[[#This Row],[ZONA DEFINITIVO]],Hoja1!$A$1:$D$121,2,0)</f>
        <v>15221</v>
      </c>
      <c r="X1103" s="12">
        <f>VLOOKUP(Tabla4[[#This Row],[ZONA DEFINITIVO]],Hoja1!$A$1:$D$121,4,0)</f>
        <v>86825</v>
      </c>
      <c r="Y1103" s="12" t="str">
        <f>+IF(Tabla4[[#This Row],[AGRUPACIONES]]=1,SUMIFS(Tabla4[UDS],Tabla4[ZONA DEFINITIVO],Tabla4[[#This Row],[ZONA DEFINITIVO]])," ")</f>
        <v xml:space="preserve"> </v>
      </c>
      <c r="Z1103" s="12" t="str">
        <f>+IF(Tabla4[[#This Row],[AGRUPACIONES]]=1,SUMIFS(Tabla4[TOTAL COBERTURA],Tabla4[ZONA DEFINITIVO],Tabla4[[#This Row],[ZONA DEFINITIVO]])," ")</f>
        <v xml:space="preserve"> </v>
      </c>
      <c r="AA1103" s="12"/>
      <c r="AB1103" s="38">
        <v>4502302</v>
      </c>
      <c r="AC1103" s="37">
        <v>0.02</v>
      </c>
      <c r="AD1103" s="38">
        <f t="shared" si="17"/>
        <v>90046.040000000008</v>
      </c>
      <c r="AE1103" s="12"/>
      <c r="AF1103" s="12">
        <f>COUNTIF($A$20:A1103,A1103)</f>
        <v>10</v>
      </c>
      <c r="AG1103" s="38">
        <v>4502302</v>
      </c>
      <c r="AH1103" s="38">
        <f>Tabla4[[#This Row],[VALOR CONTRAPARTIDA]]+Tabla4[[#This Row],[TOTAL APORTES ICBF]]</f>
        <v>4592348.04</v>
      </c>
      <c r="AI1103" s="35"/>
      <c r="AJ1103" s="38"/>
      <c r="AK1103" s="38"/>
      <c r="AL1103" s="23"/>
      <c r="AM1103" s="35">
        <f>VLOOKUP(Tabla4[[#This Row],[SERVICIO 2025]],$J$2:$V$14,5,0)*Tabla4[[#This Row],[TOTAL COBERTURA]]</f>
        <v>102926</v>
      </c>
      <c r="AN1103" s="35">
        <f>VLOOKUP(Tabla4[[#This Row],[SERVICIO 2025]],$J$2:$V$14,6,0)*Tabla4[[#This Row],[TOTAL COBERTURA]]</f>
        <v>86232</v>
      </c>
      <c r="AO1103" s="35">
        <f>VLOOKUP(Tabla4[[#This Row],[SERVICIO 2025]],$J$2:$V$14,8,0)*Tabla4[[#This Row],[TOTAL COBERTURA]]</f>
        <v>58200</v>
      </c>
      <c r="AP1103" s="35">
        <f>VLOOKUP(Tabla4[[#This Row],[SERVICIO 2025]],$J$2:$V$14,3,0)*Tabla4[[#This Row],[TOTAL COBERTURA]]*8</f>
        <v>4254944</v>
      </c>
      <c r="AQ1103" s="35"/>
      <c r="AR1103" s="35">
        <f>Tabla4[[#This Row],[VALOR FASE PREPARATORIA DE ALISTAMIENTO]]+Tabla4[[#This Row],[VALOR FASE PREPARATORIA DE CIERRE]]+Tabla4[[#This Row],[DOTACIÓN ÚNICA]]+Tabla4[[#This Row],[VALOR ATENCIÓN]]+Tabla4[[#This Row],[VALOR RACION PREPARADA]]</f>
        <v>4502302</v>
      </c>
      <c r="AS1103" s="35" t="str">
        <f>+IF(Tabla4[[#This Row],[AGRUPACIONES]]=1,SUMIFS(Tabla4[VALOR TOTAL],Tabla4[ZONA DEFINITIVO],Tabla4[[#This Row],[ZONA DEFINITIVO]])," ")</f>
        <v xml:space="preserve"> </v>
      </c>
      <c r="AT1103" s="27">
        <f>(VLOOKUP(Tabla4[[#This Row],[SERVICIO 2025]],$J$2:$V$14,3,0)*Tabla4[[#This Row],[TOTAL COBERTURA]])+Tabla4[[#This Row],[VALOR FASE PREPARATORIA DE ALISTAMIENTO]]+Tabla4[[#This Row],[DOTACIÓN ÚNICA]]</f>
        <v>692994</v>
      </c>
      <c r="AU1103" s="35">
        <f>(VLOOKUP(Tabla4[[#This Row],[SERVICIO 2025]],$J$2:$V$14,3,0)*Tabla4[[#This Row],[TOTAL COBERTURA]])</f>
        <v>531868</v>
      </c>
      <c r="AV1103" s="35">
        <f>(VLOOKUP(Tabla4[[#This Row],[SERVICIO 2025]],$J$2:$V$14,3,0)*Tabla4[[#This Row],[TOTAL COBERTURA]])</f>
        <v>531868</v>
      </c>
      <c r="AW1103" s="35">
        <f>(VLOOKUP(Tabla4[[#This Row],[SERVICIO 2025]],$J$2:$V$14,3,0)*Tabla4[[#This Row],[TOTAL COBERTURA]])</f>
        <v>531868</v>
      </c>
      <c r="AX1103" s="35">
        <f>(VLOOKUP(Tabla4[[#This Row],[SERVICIO 2025]],$J$2:$V$14,3,0)*Tabla4[[#This Row],[TOTAL COBERTURA]])</f>
        <v>531868</v>
      </c>
      <c r="AY1103" s="35">
        <f>(VLOOKUP(Tabla4[[#This Row],[SERVICIO 2025]],$J$2:$V$14,3,0)*Tabla4[[#This Row],[TOTAL COBERTURA]])</f>
        <v>531868</v>
      </c>
      <c r="AZ1103" s="35">
        <f>(VLOOKUP(Tabla4[[#This Row],[SERVICIO 2025]],$J$2:$V$14,3,0)*Tabla4[[#This Row],[TOTAL COBERTURA]])</f>
        <v>531868</v>
      </c>
      <c r="BA1103" s="35">
        <f>(VLOOKUP(Tabla4[[#This Row],[SERVICIO 2025]],$J$2:$V$14,3,0)*Tabla4[[#This Row],[TOTAL COBERTURA]])+Tabla4[[#This Row],[VALOR FASE PREPARATORIA DE CIERRE]]</f>
        <v>618100</v>
      </c>
      <c r="BB1103" s="35">
        <f>SUM(Tabla4[[#This Row],[DESEMBOLSO 1]:[DESEMBOLSO 8]])</f>
        <v>4502302</v>
      </c>
      <c r="BC1103" s="35">
        <f>VLOOKUP(Tabla4[[#This Row],[SERVICIO 2025]],$J$2:$V$14,10,0)*Tabla4[[#This Row],[TOTAL COBERTURA]]*$W$3</f>
        <v>2886128</v>
      </c>
      <c r="BD1103" s="47" t="s">
        <v>211</v>
      </c>
      <c r="BE1103" s="12" t="b">
        <f>EXACT(Tabla4[[#This Row],[VALOR ATENCIÓN (8 MESES)]],Tabla4[[#This Row],[VALOR TOTAL]])</f>
        <v>1</v>
      </c>
      <c r="BF1103" s="23">
        <f>Tabla4[[#This Row],[VALOR ATENCIÓN (8 MESES)]]-Tabla4[[#This Row],[VALOR TOTAL]]</f>
        <v>0</v>
      </c>
      <c r="BG1103" s="12" t="b">
        <f>EXACT(Tabla4[[#This Row],[TOTAL DESEMBOLSOS]],Tabla4[[#This Row],[VALOR ATENCIÓN (8 MESES)]])</f>
        <v>1</v>
      </c>
      <c r="BH1103" s="29">
        <f>Tabla4[[#This Row],[TOTAL DESEMBOLSOS]]-Tabla4[[#This Row],[VALOR ATENCIÓN (8 MESES)]]</f>
        <v>0</v>
      </c>
      <c r="BI1103" t="s">
        <v>98</v>
      </c>
      <c r="BJ1103">
        <v>2005</v>
      </c>
    </row>
    <row r="1104" spans="1:62">
      <c r="A1104" s="13">
        <v>2005</v>
      </c>
      <c r="B1104" s="13" t="s">
        <v>2400</v>
      </c>
      <c r="C1104" s="12" t="s">
        <v>87</v>
      </c>
      <c r="D1104" s="12" t="s">
        <v>673</v>
      </c>
      <c r="E1104" s="12" t="s">
        <v>2382</v>
      </c>
      <c r="F1104" s="12" t="s">
        <v>19</v>
      </c>
      <c r="G1104" s="12" t="s">
        <v>90</v>
      </c>
      <c r="H1104" s="12" t="s">
        <v>2423</v>
      </c>
      <c r="I1104" s="12">
        <v>57361153476</v>
      </c>
      <c r="J1104" s="12" t="s">
        <v>2424</v>
      </c>
      <c r="K1104" s="12">
        <v>1</v>
      </c>
      <c r="L1104" s="12">
        <v>19</v>
      </c>
      <c r="M1104" s="12"/>
      <c r="N1104" s="13">
        <v>2005</v>
      </c>
      <c r="O1104" s="12" t="s">
        <v>93</v>
      </c>
      <c r="P1104" s="12"/>
      <c r="Q1104" s="12"/>
      <c r="R1104" s="12" t="s">
        <v>94</v>
      </c>
      <c r="S1104" s="12">
        <v>10</v>
      </c>
      <c r="T1104" s="12" t="s">
        <v>2403</v>
      </c>
      <c r="U1104" s="12" t="s">
        <v>2404</v>
      </c>
      <c r="V1104" s="12">
        <f>VLOOKUP(Tabla4[[#This Row],[ZONA DEFINITIVO]],Hoja1!$A$1:$D$121,3,0)</f>
        <v>229157</v>
      </c>
      <c r="W1104" s="12">
        <f>VLOOKUP(Tabla4[[#This Row],[ZONA DEFINITIVO]],Hoja1!$A$1:$D$121,2,0)</f>
        <v>15221</v>
      </c>
      <c r="X1104" s="12">
        <f>VLOOKUP(Tabla4[[#This Row],[ZONA DEFINITIVO]],Hoja1!$A$1:$D$121,4,0)</f>
        <v>86825</v>
      </c>
      <c r="Y1104" s="12" t="str">
        <f>+IF(Tabla4[[#This Row],[AGRUPACIONES]]=1,SUMIFS(Tabla4[UDS],Tabla4[ZONA DEFINITIVO],Tabla4[[#This Row],[ZONA DEFINITIVO]])," ")</f>
        <v xml:space="preserve"> </v>
      </c>
      <c r="Z1104" s="12" t="str">
        <f>+IF(Tabla4[[#This Row],[AGRUPACIONES]]=1,SUMIFS(Tabla4[TOTAL COBERTURA],Tabla4[ZONA DEFINITIVO],Tabla4[[#This Row],[ZONA DEFINITIVO]])," ")</f>
        <v xml:space="preserve"> </v>
      </c>
      <c r="AA1104" s="12"/>
      <c r="AB1104" s="38">
        <v>42771869</v>
      </c>
      <c r="AC1104" s="37">
        <v>0.02</v>
      </c>
      <c r="AD1104" s="38">
        <f t="shared" si="17"/>
        <v>855437.38</v>
      </c>
      <c r="AE1104" s="12"/>
      <c r="AF1104" s="12">
        <f>COUNTIF($A$20:A1104,A1104)</f>
        <v>11</v>
      </c>
      <c r="AG1104" s="38">
        <v>42771869</v>
      </c>
      <c r="AH1104" s="38">
        <f>Tabla4[[#This Row],[VALOR CONTRAPARTIDA]]+Tabla4[[#This Row],[TOTAL APORTES ICBF]]</f>
        <v>43627306.380000003</v>
      </c>
      <c r="AI1104" s="35"/>
      <c r="AJ1104" s="38"/>
      <c r="AK1104" s="38"/>
      <c r="AL1104" s="23"/>
      <c r="AM1104" s="35">
        <f>VLOOKUP(Tabla4[[#This Row],[SERVICIO 2025]],$J$2:$V$14,5,0)*Tabla4[[#This Row],[TOTAL COBERTURA]]</f>
        <v>977797</v>
      </c>
      <c r="AN1104" s="35">
        <f>VLOOKUP(Tabla4[[#This Row],[SERVICIO 2025]],$J$2:$V$14,6,0)*Tabla4[[#This Row],[TOTAL COBERTURA]]</f>
        <v>819204</v>
      </c>
      <c r="AO1104" s="35">
        <f>VLOOKUP(Tabla4[[#This Row],[SERVICIO 2025]],$J$2:$V$14,8,0)*Tabla4[[#This Row],[TOTAL COBERTURA]]</f>
        <v>552900</v>
      </c>
      <c r="AP1104" s="35">
        <f>VLOOKUP(Tabla4[[#This Row],[SERVICIO 2025]],$J$2:$V$14,3,0)*Tabla4[[#This Row],[TOTAL COBERTURA]]*8</f>
        <v>40421968</v>
      </c>
      <c r="AQ1104" s="35"/>
      <c r="AR1104" s="35">
        <f>Tabla4[[#This Row],[VALOR FASE PREPARATORIA DE ALISTAMIENTO]]+Tabla4[[#This Row],[VALOR FASE PREPARATORIA DE CIERRE]]+Tabla4[[#This Row],[DOTACIÓN ÚNICA]]+Tabla4[[#This Row],[VALOR ATENCIÓN]]+Tabla4[[#This Row],[VALOR RACION PREPARADA]]</f>
        <v>42771869</v>
      </c>
      <c r="AS1104" s="35" t="str">
        <f>+IF(Tabla4[[#This Row],[AGRUPACIONES]]=1,SUMIFS(Tabla4[VALOR TOTAL],Tabla4[ZONA DEFINITIVO],Tabla4[[#This Row],[ZONA DEFINITIVO]])," ")</f>
        <v xml:space="preserve"> </v>
      </c>
      <c r="AT1104" s="27">
        <f>(VLOOKUP(Tabla4[[#This Row],[SERVICIO 2025]],$J$2:$V$14,3,0)*Tabla4[[#This Row],[TOTAL COBERTURA]])+Tabla4[[#This Row],[VALOR FASE PREPARATORIA DE ALISTAMIENTO]]+Tabla4[[#This Row],[DOTACIÓN ÚNICA]]</f>
        <v>6583443</v>
      </c>
      <c r="AU1104" s="35">
        <f>(VLOOKUP(Tabla4[[#This Row],[SERVICIO 2025]],$J$2:$V$14,3,0)*Tabla4[[#This Row],[TOTAL COBERTURA]])</f>
        <v>5052746</v>
      </c>
      <c r="AV1104" s="35">
        <f>(VLOOKUP(Tabla4[[#This Row],[SERVICIO 2025]],$J$2:$V$14,3,0)*Tabla4[[#This Row],[TOTAL COBERTURA]])</f>
        <v>5052746</v>
      </c>
      <c r="AW1104" s="35">
        <f>(VLOOKUP(Tabla4[[#This Row],[SERVICIO 2025]],$J$2:$V$14,3,0)*Tabla4[[#This Row],[TOTAL COBERTURA]])</f>
        <v>5052746</v>
      </c>
      <c r="AX1104" s="35">
        <f>(VLOOKUP(Tabla4[[#This Row],[SERVICIO 2025]],$J$2:$V$14,3,0)*Tabla4[[#This Row],[TOTAL COBERTURA]])</f>
        <v>5052746</v>
      </c>
      <c r="AY1104" s="35">
        <f>(VLOOKUP(Tabla4[[#This Row],[SERVICIO 2025]],$J$2:$V$14,3,0)*Tabla4[[#This Row],[TOTAL COBERTURA]])</f>
        <v>5052746</v>
      </c>
      <c r="AZ1104" s="35">
        <f>(VLOOKUP(Tabla4[[#This Row],[SERVICIO 2025]],$J$2:$V$14,3,0)*Tabla4[[#This Row],[TOTAL COBERTURA]])</f>
        <v>5052746</v>
      </c>
      <c r="BA1104" s="35">
        <f>(VLOOKUP(Tabla4[[#This Row],[SERVICIO 2025]],$J$2:$V$14,3,0)*Tabla4[[#This Row],[TOTAL COBERTURA]])+Tabla4[[#This Row],[VALOR FASE PREPARATORIA DE CIERRE]]</f>
        <v>5871950</v>
      </c>
      <c r="BB1104" s="35">
        <f>SUM(Tabla4[[#This Row],[DESEMBOLSO 1]:[DESEMBOLSO 8]])</f>
        <v>42771869</v>
      </c>
      <c r="BC1104" s="35">
        <f>VLOOKUP(Tabla4[[#This Row],[SERVICIO 2025]],$J$2:$V$14,10,0)*Tabla4[[#This Row],[TOTAL COBERTURA]]*$W$3</f>
        <v>27418216</v>
      </c>
      <c r="BD1104" s="47" t="s">
        <v>211</v>
      </c>
      <c r="BE1104" s="12" t="b">
        <f>EXACT(Tabla4[[#This Row],[VALOR ATENCIÓN (8 MESES)]],Tabla4[[#This Row],[VALOR TOTAL]])</f>
        <v>1</v>
      </c>
      <c r="BF1104" s="23">
        <f>Tabla4[[#This Row],[VALOR ATENCIÓN (8 MESES)]]-Tabla4[[#This Row],[VALOR TOTAL]]</f>
        <v>0</v>
      </c>
      <c r="BG1104" s="12" t="b">
        <f>EXACT(Tabla4[[#This Row],[TOTAL DESEMBOLSOS]],Tabla4[[#This Row],[VALOR ATENCIÓN (8 MESES)]])</f>
        <v>1</v>
      </c>
      <c r="BH1104" s="29">
        <f>Tabla4[[#This Row],[TOTAL DESEMBOLSOS]]-Tabla4[[#This Row],[VALOR ATENCIÓN (8 MESES)]]</f>
        <v>0</v>
      </c>
      <c r="BI1104" t="s">
        <v>98</v>
      </c>
      <c r="BJ1104">
        <v>2005</v>
      </c>
    </row>
    <row r="1105" spans="1:62">
      <c r="A1105" s="13">
        <v>2005</v>
      </c>
      <c r="B1105" s="13" t="s">
        <v>2400</v>
      </c>
      <c r="C1105" s="12" t="s">
        <v>87</v>
      </c>
      <c r="D1105" s="12" t="s">
        <v>673</v>
      </c>
      <c r="E1105" s="12" t="s">
        <v>2382</v>
      </c>
      <c r="F1105" s="12" t="s">
        <v>19</v>
      </c>
      <c r="G1105" s="12" t="s">
        <v>90</v>
      </c>
      <c r="H1105" s="12" t="s">
        <v>2425</v>
      </c>
      <c r="I1105" s="12">
        <v>57361153477</v>
      </c>
      <c r="J1105" s="12" t="s">
        <v>2426</v>
      </c>
      <c r="K1105" s="12">
        <v>1</v>
      </c>
      <c r="L1105" s="12">
        <v>2</v>
      </c>
      <c r="M1105" s="12"/>
      <c r="N1105" s="13">
        <v>2005</v>
      </c>
      <c r="O1105" s="12" t="s">
        <v>93</v>
      </c>
      <c r="P1105" s="12"/>
      <c r="Q1105" s="12"/>
      <c r="R1105" s="12" t="s">
        <v>94</v>
      </c>
      <c r="S1105" s="12">
        <v>10</v>
      </c>
      <c r="T1105" s="12" t="s">
        <v>2403</v>
      </c>
      <c r="U1105" s="12" t="s">
        <v>2404</v>
      </c>
      <c r="V1105" s="12">
        <f>VLOOKUP(Tabla4[[#This Row],[ZONA DEFINITIVO]],Hoja1!$A$1:$D$121,3,0)</f>
        <v>229157</v>
      </c>
      <c r="W1105" s="12">
        <f>VLOOKUP(Tabla4[[#This Row],[ZONA DEFINITIVO]],Hoja1!$A$1:$D$121,2,0)</f>
        <v>15221</v>
      </c>
      <c r="X1105" s="12">
        <f>VLOOKUP(Tabla4[[#This Row],[ZONA DEFINITIVO]],Hoja1!$A$1:$D$121,4,0)</f>
        <v>86825</v>
      </c>
      <c r="Y1105" s="12" t="str">
        <f>+IF(Tabla4[[#This Row],[AGRUPACIONES]]=1,SUMIFS(Tabla4[UDS],Tabla4[ZONA DEFINITIVO],Tabla4[[#This Row],[ZONA DEFINITIVO]])," ")</f>
        <v xml:space="preserve"> </v>
      </c>
      <c r="Z1105" s="12" t="str">
        <f>+IF(Tabla4[[#This Row],[AGRUPACIONES]]=1,SUMIFS(Tabla4[TOTAL COBERTURA],Tabla4[ZONA DEFINITIVO],Tabla4[[#This Row],[ZONA DEFINITIVO]])," ")</f>
        <v xml:space="preserve"> </v>
      </c>
      <c r="AA1105" s="12"/>
      <c r="AB1105" s="38">
        <v>4502302</v>
      </c>
      <c r="AC1105" s="37">
        <v>0.02</v>
      </c>
      <c r="AD1105" s="38">
        <f t="shared" si="17"/>
        <v>90046.040000000008</v>
      </c>
      <c r="AE1105" s="12"/>
      <c r="AF1105" s="12">
        <f>COUNTIF($A$20:A1105,A1105)</f>
        <v>12</v>
      </c>
      <c r="AG1105" s="38">
        <v>4502302</v>
      </c>
      <c r="AH1105" s="38">
        <f>Tabla4[[#This Row],[VALOR CONTRAPARTIDA]]+Tabla4[[#This Row],[TOTAL APORTES ICBF]]</f>
        <v>4592348.04</v>
      </c>
      <c r="AI1105" s="35"/>
      <c r="AJ1105" s="38"/>
      <c r="AK1105" s="38"/>
      <c r="AL1105" s="23"/>
      <c r="AM1105" s="35">
        <f>VLOOKUP(Tabla4[[#This Row],[SERVICIO 2025]],$J$2:$V$14,5,0)*Tabla4[[#This Row],[TOTAL COBERTURA]]</f>
        <v>102926</v>
      </c>
      <c r="AN1105" s="35">
        <f>VLOOKUP(Tabla4[[#This Row],[SERVICIO 2025]],$J$2:$V$14,6,0)*Tabla4[[#This Row],[TOTAL COBERTURA]]</f>
        <v>86232</v>
      </c>
      <c r="AO1105" s="35">
        <f>VLOOKUP(Tabla4[[#This Row],[SERVICIO 2025]],$J$2:$V$14,8,0)*Tabla4[[#This Row],[TOTAL COBERTURA]]</f>
        <v>58200</v>
      </c>
      <c r="AP1105" s="35">
        <f>VLOOKUP(Tabla4[[#This Row],[SERVICIO 2025]],$J$2:$V$14,3,0)*Tabla4[[#This Row],[TOTAL COBERTURA]]*8</f>
        <v>4254944</v>
      </c>
      <c r="AQ1105" s="35"/>
      <c r="AR1105" s="35">
        <f>Tabla4[[#This Row],[VALOR FASE PREPARATORIA DE ALISTAMIENTO]]+Tabla4[[#This Row],[VALOR FASE PREPARATORIA DE CIERRE]]+Tabla4[[#This Row],[DOTACIÓN ÚNICA]]+Tabla4[[#This Row],[VALOR ATENCIÓN]]+Tabla4[[#This Row],[VALOR RACION PREPARADA]]</f>
        <v>4502302</v>
      </c>
      <c r="AS1105" s="35" t="str">
        <f>+IF(Tabla4[[#This Row],[AGRUPACIONES]]=1,SUMIFS(Tabla4[VALOR TOTAL],Tabla4[ZONA DEFINITIVO],Tabla4[[#This Row],[ZONA DEFINITIVO]])," ")</f>
        <v xml:space="preserve"> </v>
      </c>
      <c r="AT1105" s="27">
        <f>(VLOOKUP(Tabla4[[#This Row],[SERVICIO 2025]],$J$2:$V$14,3,0)*Tabla4[[#This Row],[TOTAL COBERTURA]])+Tabla4[[#This Row],[VALOR FASE PREPARATORIA DE ALISTAMIENTO]]+Tabla4[[#This Row],[DOTACIÓN ÚNICA]]</f>
        <v>692994</v>
      </c>
      <c r="AU1105" s="35">
        <f>(VLOOKUP(Tabla4[[#This Row],[SERVICIO 2025]],$J$2:$V$14,3,0)*Tabla4[[#This Row],[TOTAL COBERTURA]])</f>
        <v>531868</v>
      </c>
      <c r="AV1105" s="35">
        <f>(VLOOKUP(Tabla4[[#This Row],[SERVICIO 2025]],$J$2:$V$14,3,0)*Tabla4[[#This Row],[TOTAL COBERTURA]])</f>
        <v>531868</v>
      </c>
      <c r="AW1105" s="35">
        <f>(VLOOKUP(Tabla4[[#This Row],[SERVICIO 2025]],$J$2:$V$14,3,0)*Tabla4[[#This Row],[TOTAL COBERTURA]])</f>
        <v>531868</v>
      </c>
      <c r="AX1105" s="35">
        <f>(VLOOKUP(Tabla4[[#This Row],[SERVICIO 2025]],$J$2:$V$14,3,0)*Tabla4[[#This Row],[TOTAL COBERTURA]])</f>
        <v>531868</v>
      </c>
      <c r="AY1105" s="35">
        <f>(VLOOKUP(Tabla4[[#This Row],[SERVICIO 2025]],$J$2:$V$14,3,0)*Tabla4[[#This Row],[TOTAL COBERTURA]])</f>
        <v>531868</v>
      </c>
      <c r="AZ1105" s="35">
        <f>(VLOOKUP(Tabla4[[#This Row],[SERVICIO 2025]],$J$2:$V$14,3,0)*Tabla4[[#This Row],[TOTAL COBERTURA]])</f>
        <v>531868</v>
      </c>
      <c r="BA1105" s="35">
        <f>(VLOOKUP(Tabla4[[#This Row],[SERVICIO 2025]],$J$2:$V$14,3,0)*Tabla4[[#This Row],[TOTAL COBERTURA]])+Tabla4[[#This Row],[VALOR FASE PREPARATORIA DE CIERRE]]</f>
        <v>618100</v>
      </c>
      <c r="BB1105" s="35">
        <f>SUM(Tabla4[[#This Row],[DESEMBOLSO 1]:[DESEMBOLSO 8]])</f>
        <v>4502302</v>
      </c>
      <c r="BC1105" s="35">
        <f>VLOOKUP(Tabla4[[#This Row],[SERVICIO 2025]],$J$2:$V$14,10,0)*Tabla4[[#This Row],[TOTAL COBERTURA]]*$W$3</f>
        <v>2886128</v>
      </c>
      <c r="BD1105" s="47" t="s">
        <v>211</v>
      </c>
      <c r="BE1105" s="12" t="b">
        <f>EXACT(Tabla4[[#This Row],[VALOR ATENCIÓN (8 MESES)]],Tabla4[[#This Row],[VALOR TOTAL]])</f>
        <v>1</v>
      </c>
      <c r="BF1105" s="23">
        <f>Tabla4[[#This Row],[VALOR ATENCIÓN (8 MESES)]]-Tabla4[[#This Row],[VALOR TOTAL]]</f>
        <v>0</v>
      </c>
      <c r="BG1105" s="12" t="b">
        <f>EXACT(Tabla4[[#This Row],[TOTAL DESEMBOLSOS]],Tabla4[[#This Row],[VALOR ATENCIÓN (8 MESES)]])</f>
        <v>1</v>
      </c>
      <c r="BH1105" s="29">
        <f>Tabla4[[#This Row],[TOTAL DESEMBOLSOS]]-Tabla4[[#This Row],[VALOR ATENCIÓN (8 MESES)]]</f>
        <v>0</v>
      </c>
      <c r="BI1105" t="s">
        <v>98</v>
      </c>
      <c r="BJ1105">
        <v>2005</v>
      </c>
    </row>
    <row r="1106" spans="1:62">
      <c r="A1106" s="13">
        <v>2005</v>
      </c>
      <c r="B1106" s="13" t="s">
        <v>2400</v>
      </c>
      <c r="C1106" s="12" t="s">
        <v>87</v>
      </c>
      <c r="D1106" s="12" t="s">
        <v>673</v>
      </c>
      <c r="E1106" s="12" t="s">
        <v>2382</v>
      </c>
      <c r="F1106" s="12" t="s">
        <v>19</v>
      </c>
      <c r="G1106" s="12" t="s">
        <v>90</v>
      </c>
      <c r="H1106" s="12" t="s">
        <v>2387</v>
      </c>
      <c r="I1106" s="12">
        <v>573600084754</v>
      </c>
      <c r="J1106" s="12" t="s">
        <v>2427</v>
      </c>
      <c r="K1106" s="12">
        <v>1</v>
      </c>
      <c r="L1106" s="12">
        <v>59</v>
      </c>
      <c r="M1106" s="12"/>
      <c r="N1106" s="13">
        <v>2005</v>
      </c>
      <c r="O1106" s="12" t="s">
        <v>93</v>
      </c>
      <c r="P1106" s="12"/>
      <c r="Q1106" s="12"/>
      <c r="R1106" s="12" t="s">
        <v>94</v>
      </c>
      <c r="S1106" s="12">
        <v>10</v>
      </c>
      <c r="T1106" s="12" t="s">
        <v>2403</v>
      </c>
      <c r="U1106" s="12" t="s">
        <v>2404</v>
      </c>
      <c r="V1106" s="12">
        <f>VLOOKUP(Tabla4[[#This Row],[ZONA DEFINITIVO]],Hoja1!$A$1:$D$121,3,0)</f>
        <v>229157</v>
      </c>
      <c r="W1106" s="12">
        <f>VLOOKUP(Tabla4[[#This Row],[ZONA DEFINITIVO]],Hoja1!$A$1:$D$121,2,0)</f>
        <v>15221</v>
      </c>
      <c r="X1106" s="12">
        <f>VLOOKUP(Tabla4[[#This Row],[ZONA DEFINITIVO]],Hoja1!$A$1:$D$121,4,0)</f>
        <v>86825</v>
      </c>
      <c r="Y1106" s="12" t="str">
        <f>+IF(Tabla4[[#This Row],[AGRUPACIONES]]=1,SUMIFS(Tabla4[UDS],Tabla4[ZONA DEFINITIVO],Tabla4[[#This Row],[ZONA DEFINITIVO]])," ")</f>
        <v xml:space="preserve"> </v>
      </c>
      <c r="Z1106" s="12" t="str">
        <f>+IF(Tabla4[[#This Row],[AGRUPACIONES]]=1,SUMIFS(Tabla4[TOTAL COBERTURA],Tabla4[ZONA DEFINITIVO],Tabla4[[#This Row],[ZONA DEFINITIVO]])," ")</f>
        <v xml:space="preserve"> </v>
      </c>
      <c r="AA1106" s="12"/>
      <c r="AB1106" s="38">
        <v>132817909</v>
      </c>
      <c r="AC1106" s="37">
        <v>0.02</v>
      </c>
      <c r="AD1106" s="38">
        <f t="shared" si="17"/>
        <v>2656358.1800000002</v>
      </c>
      <c r="AE1106" s="12"/>
      <c r="AF1106" s="12">
        <f>COUNTIF($A$20:A1106,A1106)</f>
        <v>13</v>
      </c>
      <c r="AG1106" s="38">
        <v>132817909</v>
      </c>
      <c r="AH1106" s="38">
        <f>Tabla4[[#This Row],[VALOR CONTRAPARTIDA]]+Tabla4[[#This Row],[TOTAL APORTES ICBF]]</f>
        <v>135474267.18000001</v>
      </c>
      <c r="AI1106" s="35"/>
      <c r="AJ1106" s="38"/>
      <c r="AK1106" s="38"/>
      <c r="AL1106" s="23"/>
      <c r="AM1106" s="35">
        <f>VLOOKUP(Tabla4[[#This Row],[SERVICIO 2025]],$J$2:$V$14,5,0)*Tabla4[[#This Row],[TOTAL COBERTURA]]</f>
        <v>3036317</v>
      </c>
      <c r="AN1106" s="35">
        <f>VLOOKUP(Tabla4[[#This Row],[SERVICIO 2025]],$J$2:$V$14,6,0)*Tabla4[[#This Row],[TOTAL COBERTURA]]</f>
        <v>2543844</v>
      </c>
      <c r="AO1106" s="35">
        <f>VLOOKUP(Tabla4[[#This Row],[SERVICIO 2025]],$J$2:$V$14,8,0)*Tabla4[[#This Row],[TOTAL COBERTURA]]</f>
        <v>1716900</v>
      </c>
      <c r="AP1106" s="35">
        <f>VLOOKUP(Tabla4[[#This Row],[SERVICIO 2025]],$J$2:$V$14,3,0)*Tabla4[[#This Row],[TOTAL COBERTURA]]*8</f>
        <v>125520848</v>
      </c>
      <c r="AQ1106" s="35"/>
      <c r="AR1106" s="35">
        <f>Tabla4[[#This Row],[VALOR FASE PREPARATORIA DE ALISTAMIENTO]]+Tabla4[[#This Row],[VALOR FASE PREPARATORIA DE CIERRE]]+Tabla4[[#This Row],[DOTACIÓN ÚNICA]]+Tabla4[[#This Row],[VALOR ATENCIÓN]]+Tabla4[[#This Row],[VALOR RACION PREPARADA]]</f>
        <v>132817909</v>
      </c>
      <c r="AS1106" s="35" t="str">
        <f>+IF(Tabla4[[#This Row],[AGRUPACIONES]]=1,SUMIFS(Tabla4[VALOR TOTAL],Tabla4[ZONA DEFINITIVO],Tabla4[[#This Row],[ZONA DEFINITIVO]])," ")</f>
        <v xml:space="preserve"> </v>
      </c>
      <c r="AT1106" s="27">
        <f>(VLOOKUP(Tabla4[[#This Row],[SERVICIO 2025]],$J$2:$V$14,3,0)*Tabla4[[#This Row],[TOTAL COBERTURA]])+Tabla4[[#This Row],[VALOR FASE PREPARATORIA DE ALISTAMIENTO]]+Tabla4[[#This Row],[DOTACIÓN ÚNICA]]</f>
        <v>20443323</v>
      </c>
      <c r="AU1106" s="35">
        <f>(VLOOKUP(Tabla4[[#This Row],[SERVICIO 2025]],$J$2:$V$14,3,0)*Tabla4[[#This Row],[TOTAL COBERTURA]])</f>
        <v>15690106</v>
      </c>
      <c r="AV1106" s="35">
        <f>(VLOOKUP(Tabla4[[#This Row],[SERVICIO 2025]],$J$2:$V$14,3,0)*Tabla4[[#This Row],[TOTAL COBERTURA]])</f>
        <v>15690106</v>
      </c>
      <c r="AW1106" s="35">
        <f>(VLOOKUP(Tabla4[[#This Row],[SERVICIO 2025]],$J$2:$V$14,3,0)*Tabla4[[#This Row],[TOTAL COBERTURA]])</f>
        <v>15690106</v>
      </c>
      <c r="AX1106" s="35">
        <f>(VLOOKUP(Tabla4[[#This Row],[SERVICIO 2025]],$J$2:$V$14,3,0)*Tabla4[[#This Row],[TOTAL COBERTURA]])</f>
        <v>15690106</v>
      </c>
      <c r="AY1106" s="35">
        <f>(VLOOKUP(Tabla4[[#This Row],[SERVICIO 2025]],$J$2:$V$14,3,0)*Tabla4[[#This Row],[TOTAL COBERTURA]])</f>
        <v>15690106</v>
      </c>
      <c r="AZ1106" s="35">
        <f>(VLOOKUP(Tabla4[[#This Row],[SERVICIO 2025]],$J$2:$V$14,3,0)*Tabla4[[#This Row],[TOTAL COBERTURA]])</f>
        <v>15690106</v>
      </c>
      <c r="BA1106" s="35">
        <f>(VLOOKUP(Tabla4[[#This Row],[SERVICIO 2025]],$J$2:$V$14,3,0)*Tabla4[[#This Row],[TOTAL COBERTURA]])+Tabla4[[#This Row],[VALOR FASE PREPARATORIA DE CIERRE]]</f>
        <v>18233950</v>
      </c>
      <c r="BB1106" s="35">
        <f>SUM(Tabla4[[#This Row],[DESEMBOLSO 1]:[DESEMBOLSO 8]])</f>
        <v>132817909</v>
      </c>
      <c r="BC1106" s="35">
        <f>VLOOKUP(Tabla4[[#This Row],[SERVICIO 2025]],$J$2:$V$14,10,0)*Tabla4[[#This Row],[TOTAL COBERTURA]]*$W$3</f>
        <v>85140776</v>
      </c>
      <c r="BD1106" s="47" t="s">
        <v>211</v>
      </c>
      <c r="BE1106" s="12" t="b">
        <f>EXACT(Tabla4[[#This Row],[VALOR ATENCIÓN (8 MESES)]],Tabla4[[#This Row],[VALOR TOTAL]])</f>
        <v>1</v>
      </c>
      <c r="BF1106" s="23">
        <f>Tabla4[[#This Row],[VALOR ATENCIÓN (8 MESES)]]-Tabla4[[#This Row],[VALOR TOTAL]]</f>
        <v>0</v>
      </c>
      <c r="BG1106" s="12" t="b">
        <f>EXACT(Tabla4[[#This Row],[TOTAL DESEMBOLSOS]],Tabla4[[#This Row],[VALOR ATENCIÓN (8 MESES)]])</f>
        <v>1</v>
      </c>
      <c r="BH1106" s="29">
        <f>Tabla4[[#This Row],[TOTAL DESEMBOLSOS]]-Tabla4[[#This Row],[VALOR ATENCIÓN (8 MESES)]]</f>
        <v>0</v>
      </c>
      <c r="BI1106" t="s">
        <v>98</v>
      </c>
      <c r="BJ1106">
        <v>2005</v>
      </c>
    </row>
    <row r="1107" spans="1:62">
      <c r="A1107" s="13">
        <v>2005</v>
      </c>
      <c r="B1107" s="13" t="s">
        <v>2400</v>
      </c>
      <c r="C1107" s="12" t="s">
        <v>87</v>
      </c>
      <c r="D1107" s="12" t="s">
        <v>673</v>
      </c>
      <c r="E1107" s="12" t="s">
        <v>2382</v>
      </c>
      <c r="F1107" s="12" t="s">
        <v>19</v>
      </c>
      <c r="G1107" s="12" t="s">
        <v>90</v>
      </c>
      <c r="H1107" s="12" t="s">
        <v>2428</v>
      </c>
      <c r="I1107" s="12">
        <v>573600104776</v>
      </c>
      <c r="J1107" s="12" t="s">
        <v>2429</v>
      </c>
      <c r="K1107" s="12">
        <v>1</v>
      </c>
      <c r="L1107" s="12">
        <v>33</v>
      </c>
      <c r="M1107" s="12"/>
      <c r="N1107" s="13">
        <v>2005</v>
      </c>
      <c r="O1107" s="12" t="s">
        <v>93</v>
      </c>
      <c r="P1107" s="12"/>
      <c r="Q1107" s="12"/>
      <c r="R1107" s="12" t="s">
        <v>94</v>
      </c>
      <c r="S1107" s="12">
        <v>10</v>
      </c>
      <c r="T1107" s="12" t="s">
        <v>2403</v>
      </c>
      <c r="U1107" s="12" t="s">
        <v>2404</v>
      </c>
      <c r="V1107" s="12">
        <f>VLOOKUP(Tabla4[[#This Row],[ZONA DEFINITIVO]],Hoja1!$A$1:$D$121,3,0)</f>
        <v>229157</v>
      </c>
      <c r="W1107" s="12">
        <f>VLOOKUP(Tabla4[[#This Row],[ZONA DEFINITIVO]],Hoja1!$A$1:$D$121,2,0)</f>
        <v>15221</v>
      </c>
      <c r="X1107" s="12">
        <f>VLOOKUP(Tabla4[[#This Row],[ZONA DEFINITIVO]],Hoja1!$A$1:$D$121,4,0)</f>
        <v>86825</v>
      </c>
      <c r="Y1107" s="12" t="str">
        <f>+IF(Tabla4[[#This Row],[AGRUPACIONES]]=1,SUMIFS(Tabla4[UDS],Tabla4[ZONA DEFINITIVO],Tabla4[[#This Row],[ZONA DEFINITIVO]])," ")</f>
        <v xml:space="preserve"> </v>
      </c>
      <c r="Z1107" s="12" t="str">
        <f>+IF(Tabla4[[#This Row],[AGRUPACIONES]]=1,SUMIFS(Tabla4[TOTAL COBERTURA],Tabla4[ZONA DEFINITIVO],Tabla4[[#This Row],[ZONA DEFINITIVO]])," ")</f>
        <v xml:space="preserve"> </v>
      </c>
      <c r="AA1107" s="12"/>
      <c r="AB1107" s="38">
        <v>74287983</v>
      </c>
      <c r="AC1107" s="37">
        <v>0.02</v>
      </c>
      <c r="AD1107" s="38">
        <f t="shared" si="17"/>
        <v>1485759.66</v>
      </c>
      <c r="AE1107" s="12"/>
      <c r="AF1107" s="12">
        <f>COUNTIF($A$20:A1107,A1107)</f>
        <v>14</v>
      </c>
      <c r="AG1107" s="38">
        <v>74287983</v>
      </c>
      <c r="AH1107" s="38">
        <f>Tabla4[[#This Row],[VALOR CONTRAPARTIDA]]+Tabla4[[#This Row],[TOTAL APORTES ICBF]]</f>
        <v>75773742.659999996</v>
      </c>
      <c r="AI1107" s="35"/>
      <c r="AJ1107" s="38"/>
      <c r="AK1107" s="38"/>
      <c r="AL1107" s="23"/>
      <c r="AM1107" s="35">
        <f>VLOOKUP(Tabla4[[#This Row],[SERVICIO 2025]],$J$2:$V$14,5,0)*Tabla4[[#This Row],[TOTAL COBERTURA]]</f>
        <v>1698279</v>
      </c>
      <c r="AN1107" s="35">
        <f>VLOOKUP(Tabla4[[#This Row],[SERVICIO 2025]],$J$2:$V$14,6,0)*Tabla4[[#This Row],[TOTAL COBERTURA]]</f>
        <v>1422828</v>
      </c>
      <c r="AO1107" s="35">
        <f>VLOOKUP(Tabla4[[#This Row],[SERVICIO 2025]],$J$2:$V$14,8,0)*Tabla4[[#This Row],[TOTAL COBERTURA]]</f>
        <v>960300</v>
      </c>
      <c r="AP1107" s="35">
        <f>VLOOKUP(Tabla4[[#This Row],[SERVICIO 2025]],$J$2:$V$14,3,0)*Tabla4[[#This Row],[TOTAL COBERTURA]]*8</f>
        <v>70206576</v>
      </c>
      <c r="AQ1107" s="35"/>
      <c r="AR1107" s="35">
        <f>Tabla4[[#This Row],[VALOR FASE PREPARATORIA DE ALISTAMIENTO]]+Tabla4[[#This Row],[VALOR FASE PREPARATORIA DE CIERRE]]+Tabla4[[#This Row],[DOTACIÓN ÚNICA]]+Tabla4[[#This Row],[VALOR ATENCIÓN]]+Tabla4[[#This Row],[VALOR RACION PREPARADA]]</f>
        <v>74287983</v>
      </c>
      <c r="AS1107" s="35" t="str">
        <f>+IF(Tabla4[[#This Row],[AGRUPACIONES]]=1,SUMIFS(Tabla4[VALOR TOTAL],Tabla4[ZONA DEFINITIVO],Tabla4[[#This Row],[ZONA DEFINITIVO]])," ")</f>
        <v xml:space="preserve"> </v>
      </c>
      <c r="AT1107" s="27">
        <f>(VLOOKUP(Tabla4[[#This Row],[SERVICIO 2025]],$J$2:$V$14,3,0)*Tabla4[[#This Row],[TOTAL COBERTURA]])+Tabla4[[#This Row],[VALOR FASE PREPARATORIA DE ALISTAMIENTO]]+Tabla4[[#This Row],[DOTACIÓN ÚNICA]]</f>
        <v>11434401</v>
      </c>
      <c r="AU1107" s="35">
        <f>(VLOOKUP(Tabla4[[#This Row],[SERVICIO 2025]],$J$2:$V$14,3,0)*Tabla4[[#This Row],[TOTAL COBERTURA]])</f>
        <v>8775822</v>
      </c>
      <c r="AV1107" s="35">
        <f>(VLOOKUP(Tabla4[[#This Row],[SERVICIO 2025]],$J$2:$V$14,3,0)*Tabla4[[#This Row],[TOTAL COBERTURA]])</f>
        <v>8775822</v>
      </c>
      <c r="AW1107" s="35">
        <f>(VLOOKUP(Tabla4[[#This Row],[SERVICIO 2025]],$J$2:$V$14,3,0)*Tabla4[[#This Row],[TOTAL COBERTURA]])</f>
        <v>8775822</v>
      </c>
      <c r="AX1107" s="35">
        <f>(VLOOKUP(Tabla4[[#This Row],[SERVICIO 2025]],$J$2:$V$14,3,0)*Tabla4[[#This Row],[TOTAL COBERTURA]])</f>
        <v>8775822</v>
      </c>
      <c r="AY1107" s="35">
        <f>(VLOOKUP(Tabla4[[#This Row],[SERVICIO 2025]],$J$2:$V$14,3,0)*Tabla4[[#This Row],[TOTAL COBERTURA]])</f>
        <v>8775822</v>
      </c>
      <c r="AZ1107" s="35">
        <f>(VLOOKUP(Tabla4[[#This Row],[SERVICIO 2025]],$J$2:$V$14,3,0)*Tabla4[[#This Row],[TOTAL COBERTURA]])</f>
        <v>8775822</v>
      </c>
      <c r="BA1107" s="35">
        <f>(VLOOKUP(Tabla4[[#This Row],[SERVICIO 2025]],$J$2:$V$14,3,0)*Tabla4[[#This Row],[TOTAL COBERTURA]])+Tabla4[[#This Row],[VALOR FASE PREPARATORIA DE CIERRE]]</f>
        <v>10198650</v>
      </c>
      <c r="BB1107" s="35">
        <f>SUM(Tabla4[[#This Row],[DESEMBOLSO 1]:[DESEMBOLSO 8]])</f>
        <v>74287983</v>
      </c>
      <c r="BC1107" s="35">
        <f>VLOOKUP(Tabla4[[#This Row],[SERVICIO 2025]],$J$2:$V$14,10,0)*Tabla4[[#This Row],[TOTAL COBERTURA]]*$W$3</f>
        <v>47621112</v>
      </c>
      <c r="BD1107" s="47" t="s">
        <v>211</v>
      </c>
      <c r="BE1107" s="12" t="b">
        <f>EXACT(Tabla4[[#This Row],[VALOR ATENCIÓN (8 MESES)]],Tabla4[[#This Row],[VALOR TOTAL]])</f>
        <v>1</v>
      </c>
      <c r="BF1107" s="23">
        <f>Tabla4[[#This Row],[VALOR ATENCIÓN (8 MESES)]]-Tabla4[[#This Row],[VALOR TOTAL]]</f>
        <v>0</v>
      </c>
      <c r="BG1107" s="12" t="b">
        <f>EXACT(Tabla4[[#This Row],[TOTAL DESEMBOLSOS]],Tabla4[[#This Row],[VALOR ATENCIÓN (8 MESES)]])</f>
        <v>1</v>
      </c>
      <c r="BH1107" s="29">
        <f>Tabla4[[#This Row],[TOTAL DESEMBOLSOS]]-Tabla4[[#This Row],[VALOR ATENCIÓN (8 MESES)]]</f>
        <v>0</v>
      </c>
      <c r="BI1107" t="s">
        <v>98</v>
      </c>
      <c r="BJ1107">
        <v>2005</v>
      </c>
    </row>
    <row r="1108" spans="1:62">
      <c r="A1108" s="13">
        <v>2006</v>
      </c>
      <c r="B1108" s="13" t="s">
        <v>2430</v>
      </c>
      <c r="C1108" s="12" t="s">
        <v>87</v>
      </c>
      <c r="D1108" s="12" t="s">
        <v>527</v>
      </c>
      <c r="E1108" s="12" t="s">
        <v>2431</v>
      </c>
      <c r="F1108" s="12" t="s">
        <v>18</v>
      </c>
      <c r="G1108" s="12" t="s">
        <v>90</v>
      </c>
      <c r="H1108" s="12" t="s">
        <v>2432</v>
      </c>
      <c r="I1108" s="12">
        <v>57561118933</v>
      </c>
      <c r="J1108" s="12" t="s">
        <v>574</v>
      </c>
      <c r="K1108" s="12">
        <v>1</v>
      </c>
      <c r="L1108" s="12">
        <v>50</v>
      </c>
      <c r="M1108" s="12"/>
      <c r="N1108" s="13">
        <v>2006</v>
      </c>
      <c r="O1108" s="12" t="s">
        <v>93</v>
      </c>
      <c r="P1108" s="12"/>
      <c r="Q1108" s="12"/>
      <c r="R1108" s="12" t="s">
        <v>94</v>
      </c>
      <c r="S1108" s="12">
        <v>10</v>
      </c>
      <c r="T1108" s="12" t="s">
        <v>762</v>
      </c>
      <c r="U1108" s="12" t="s">
        <v>763</v>
      </c>
      <c r="V1108" s="12">
        <f>VLOOKUP(Tabla4[[#This Row],[ZONA DEFINITIVO]],Hoja1!$A$1:$D$121,3,0)</f>
        <v>229159</v>
      </c>
      <c r="W1108" s="12">
        <f>VLOOKUP(Tabla4[[#This Row],[ZONA DEFINITIVO]],Hoja1!$A$1:$D$121,2,0)</f>
        <v>15249</v>
      </c>
      <c r="X1108" s="12">
        <f>VLOOKUP(Tabla4[[#This Row],[ZONA DEFINITIVO]],Hoja1!$A$1:$D$121,4,0)</f>
        <v>89225</v>
      </c>
      <c r="Y1108" s="12">
        <f>+IF(Tabla4[[#This Row],[AGRUPACIONES]]=1,SUMIFS(Tabla4[UDS],Tabla4[ZONA DEFINITIVO],Tabla4[[#This Row],[ZONA DEFINITIVO]])," ")</f>
        <v>14</v>
      </c>
      <c r="Z1108" s="12">
        <f>+IF(Tabla4[[#This Row],[AGRUPACIONES]]=1,SUMIFS(Tabla4[TOTAL COBERTURA],Tabla4[ZONA DEFINITIVO],Tabla4[[#This Row],[ZONA DEFINITIVO]])," ")</f>
        <v>883</v>
      </c>
      <c r="AA1108" s="12"/>
      <c r="AB1108" s="38">
        <v>109009650</v>
      </c>
      <c r="AC1108" s="37">
        <v>0.02</v>
      </c>
      <c r="AD1108" s="38">
        <f t="shared" ref="AD1108:AD1171" si="18">AB1108*AC1108</f>
        <v>2180193</v>
      </c>
      <c r="AE1108" s="12"/>
      <c r="AF1108" s="12">
        <f>COUNTIF($A$20:A1108,A1108)</f>
        <v>1</v>
      </c>
      <c r="AG1108" s="38">
        <v>109009650</v>
      </c>
      <c r="AH1108" s="38">
        <f>Tabla4[[#This Row],[VALOR CONTRAPARTIDA]]+Tabla4[[#This Row],[TOTAL APORTES ICBF]]</f>
        <v>111189843</v>
      </c>
      <c r="AI1108" s="35">
        <f>ROUND(+IF(Tabla4[[#This Row],[AGRUPACIONES]]=1,SUMIFS(Tabla4[TOTAL APORTES ICBF],Tabla4[ZONA DEFINITIVO],Tabla4[[#This Row],[ZONA DEFINITIVO]])," "),0)</f>
        <v>2593993200</v>
      </c>
      <c r="AJ1108" s="38">
        <f>ROUND(+IF(Tabla4[[#This Row],[AGRUPACIONES]]=1,SUMIFS(Tabla4[VALOR CONTRAPARTIDA],Tabla4[ZONA DEFINITIVO],Tabla4[[#This Row],[ZONA DEFINITIVO]])," "),0)</f>
        <v>51879864</v>
      </c>
      <c r="AK1108" s="38">
        <f>Tabla4[[#This Row],[TOTAL APORTES ICBF AGRUPADO]]+Tabla4[[#This Row],[TOTAL CONTRAPARTIDA AGRUPADO]]</f>
        <v>2645873064</v>
      </c>
      <c r="AL1108" s="23">
        <f>Tabla4[[#This Row],[TOTAL APORTES ICBF AGRUPADO]]/$AL$18</f>
        <v>1822.2642781875659</v>
      </c>
      <c r="AM1108" s="35">
        <f>VLOOKUP(Tabla4[[#This Row],[SERVICIO 2025]],$J$2:$V$14,5,0)*Tabla4[[#This Row],[TOTAL COBERTURA]]</f>
        <v>2468800</v>
      </c>
      <c r="AN1108" s="35">
        <f>VLOOKUP(Tabla4[[#This Row],[SERVICIO 2025]],$J$2:$V$14,6,0)*Tabla4[[#This Row],[TOTAL COBERTURA]]</f>
        <v>2051450</v>
      </c>
      <c r="AO1108" s="35">
        <f>VLOOKUP(Tabla4[[#This Row],[SERVICIO 2025]],$J$2:$V$14,8,0)*Tabla4[[#This Row],[TOTAL COBERTURA]]</f>
        <v>1455000</v>
      </c>
      <c r="AP1108" s="35">
        <f>VLOOKUP(Tabla4[[#This Row],[SERVICIO 2025]],$J$2:$V$14,3,0)*Tabla4[[#This Row],[TOTAL COBERTURA]]*8</f>
        <v>103034400</v>
      </c>
      <c r="AQ1108" s="35"/>
      <c r="AR1108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08" s="35">
        <f>+IF(Tabla4[[#This Row],[AGRUPACIONES]]=1,SUMIFS(Tabla4[VALOR TOTAL],Tabla4[ZONA DEFINITIVO],Tabla4[[#This Row],[ZONA DEFINITIVO]])," ")</f>
        <v>2593993200</v>
      </c>
      <c r="AT1108" s="27">
        <f>(VLOOKUP(Tabla4[[#This Row],[SERVICIO 2025]],$J$2:$V$14,3,0)*Tabla4[[#This Row],[TOTAL COBERTURA]])+Tabla4[[#This Row],[VALOR FASE PREPARATORIA DE ALISTAMIENTO]]+Tabla4[[#This Row],[DOTACIÓN ÚNICA]]</f>
        <v>16803100</v>
      </c>
      <c r="AU1108" s="35">
        <f>(VLOOKUP(Tabla4[[#This Row],[SERVICIO 2025]],$J$2:$V$14,3,0)*Tabla4[[#This Row],[TOTAL COBERTURA]])</f>
        <v>12879300</v>
      </c>
      <c r="AV1108" s="35">
        <f>(VLOOKUP(Tabla4[[#This Row],[SERVICIO 2025]],$J$2:$V$14,3,0)*Tabla4[[#This Row],[TOTAL COBERTURA]])</f>
        <v>12879300</v>
      </c>
      <c r="AW1108" s="35">
        <f>(VLOOKUP(Tabla4[[#This Row],[SERVICIO 2025]],$J$2:$V$14,3,0)*Tabla4[[#This Row],[TOTAL COBERTURA]])</f>
        <v>12879300</v>
      </c>
      <c r="AX1108" s="35">
        <f>(VLOOKUP(Tabla4[[#This Row],[SERVICIO 2025]],$J$2:$V$14,3,0)*Tabla4[[#This Row],[TOTAL COBERTURA]])</f>
        <v>12879300</v>
      </c>
      <c r="AY1108" s="35">
        <f>(VLOOKUP(Tabla4[[#This Row],[SERVICIO 2025]],$J$2:$V$14,3,0)*Tabla4[[#This Row],[TOTAL COBERTURA]])</f>
        <v>12879300</v>
      </c>
      <c r="AZ1108" s="35">
        <f>(VLOOKUP(Tabla4[[#This Row],[SERVICIO 2025]],$J$2:$V$14,3,0)*Tabla4[[#This Row],[TOTAL COBERTURA]])</f>
        <v>12879300</v>
      </c>
      <c r="BA1108" s="35">
        <f>(VLOOKUP(Tabla4[[#This Row],[SERVICIO 2025]],$J$2:$V$14,3,0)*Tabla4[[#This Row],[TOTAL COBERTURA]])+Tabla4[[#This Row],[VALOR FASE PREPARATORIA DE CIERRE]]</f>
        <v>14930750</v>
      </c>
      <c r="BB1108" s="35">
        <f>SUM(Tabla4[[#This Row],[DESEMBOLSO 1]:[DESEMBOLSO 8]])</f>
        <v>109009650</v>
      </c>
      <c r="BC1108" s="35">
        <f>VLOOKUP(Tabla4[[#This Row],[SERVICIO 2025]],$J$2:$V$14,10,0)*Tabla4[[#This Row],[TOTAL COBERTURA]]*$W$3</f>
        <v>72153200</v>
      </c>
      <c r="BD1108" s="47" t="s">
        <v>211</v>
      </c>
      <c r="BE1108" s="12" t="b">
        <f>EXACT(Tabla4[[#This Row],[VALOR ATENCIÓN (8 MESES)]],Tabla4[[#This Row],[VALOR TOTAL]])</f>
        <v>1</v>
      </c>
      <c r="BF1108" s="23">
        <f>Tabla4[[#This Row],[VALOR ATENCIÓN (8 MESES)]]-Tabla4[[#This Row],[VALOR TOTAL]]</f>
        <v>0</v>
      </c>
      <c r="BG1108" s="12" t="b">
        <f>EXACT(Tabla4[[#This Row],[TOTAL DESEMBOLSOS]],Tabla4[[#This Row],[VALOR ATENCIÓN (8 MESES)]])</f>
        <v>1</v>
      </c>
      <c r="BH1108" s="29">
        <f>Tabla4[[#This Row],[TOTAL DESEMBOLSOS]]-Tabla4[[#This Row],[VALOR ATENCIÓN (8 MESES)]]</f>
        <v>0</v>
      </c>
      <c r="BI1108" t="s">
        <v>98</v>
      </c>
      <c r="BJ1108">
        <v>2006</v>
      </c>
    </row>
    <row r="1109" spans="1:62">
      <c r="A1109" s="13">
        <v>2006</v>
      </c>
      <c r="B1109" s="13" t="s">
        <v>2430</v>
      </c>
      <c r="C1109" s="12" t="s">
        <v>87</v>
      </c>
      <c r="D1109" s="12" t="s">
        <v>527</v>
      </c>
      <c r="E1109" s="12" t="s">
        <v>2431</v>
      </c>
      <c r="F1109" s="12" t="s">
        <v>18</v>
      </c>
      <c r="G1109" s="12" t="s">
        <v>90</v>
      </c>
      <c r="H1109" s="12" t="s">
        <v>2433</v>
      </c>
      <c r="I1109" s="12">
        <v>57561137476</v>
      </c>
      <c r="J1109" s="12" t="s">
        <v>2434</v>
      </c>
      <c r="K1109" s="12">
        <v>1</v>
      </c>
      <c r="L1109" s="12">
        <v>50</v>
      </c>
      <c r="M1109" s="12"/>
      <c r="N1109" s="13">
        <v>2006</v>
      </c>
      <c r="O1109" s="12" t="s">
        <v>93</v>
      </c>
      <c r="P1109" s="12"/>
      <c r="Q1109" s="12"/>
      <c r="R1109" s="12" t="s">
        <v>94</v>
      </c>
      <c r="S1109" s="12">
        <v>10</v>
      </c>
      <c r="T1109" s="12" t="s">
        <v>762</v>
      </c>
      <c r="U1109" s="12" t="s">
        <v>763</v>
      </c>
      <c r="V1109" s="12">
        <f>VLOOKUP(Tabla4[[#This Row],[ZONA DEFINITIVO]],Hoja1!$A$1:$D$121,3,0)</f>
        <v>229159</v>
      </c>
      <c r="W1109" s="12">
        <f>VLOOKUP(Tabla4[[#This Row],[ZONA DEFINITIVO]],Hoja1!$A$1:$D$121,2,0)</f>
        <v>15249</v>
      </c>
      <c r="X1109" s="12">
        <f>VLOOKUP(Tabla4[[#This Row],[ZONA DEFINITIVO]],Hoja1!$A$1:$D$121,4,0)</f>
        <v>89225</v>
      </c>
      <c r="Y1109" s="12" t="str">
        <f>+IF(Tabla4[[#This Row],[AGRUPACIONES]]=1,SUMIFS(Tabla4[UDS],Tabla4[ZONA DEFINITIVO],Tabla4[[#This Row],[ZONA DEFINITIVO]])," ")</f>
        <v xml:space="preserve"> </v>
      </c>
      <c r="Z1109" s="12" t="str">
        <f>+IF(Tabla4[[#This Row],[AGRUPACIONES]]=1,SUMIFS(Tabla4[TOTAL COBERTURA],Tabla4[ZONA DEFINITIVO],Tabla4[[#This Row],[ZONA DEFINITIVO]])," ")</f>
        <v xml:space="preserve"> </v>
      </c>
      <c r="AA1109" s="12"/>
      <c r="AB1109" s="38">
        <v>109009650</v>
      </c>
      <c r="AC1109" s="37">
        <v>0.02</v>
      </c>
      <c r="AD1109" s="38">
        <f t="shared" si="18"/>
        <v>2180193</v>
      </c>
      <c r="AE1109" s="12"/>
      <c r="AF1109" s="12">
        <f>COUNTIF($A$20:A1109,A1109)</f>
        <v>2</v>
      </c>
      <c r="AG1109" s="38">
        <v>109009650</v>
      </c>
      <c r="AH1109" s="38">
        <f>Tabla4[[#This Row],[VALOR CONTRAPARTIDA]]+Tabla4[[#This Row],[TOTAL APORTES ICBF]]</f>
        <v>111189843</v>
      </c>
      <c r="AI1109" s="35"/>
      <c r="AJ1109" s="38"/>
      <c r="AK1109" s="38"/>
      <c r="AL1109" s="23"/>
      <c r="AM1109" s="35">
        <f>VLOOKUP(Tabla4[[#This Row],[SERVICIO 2025]],$J$2:$V$14,5,0)*Tabla4[[#This Row],[TOTAL COBERTURA]]</f>
        <v>2468800</v>
      </c>
      <c r="AN1109" s="35">
        <f>VLOOKUP(Tabla4[[#This Row],[SERVICIO 2025]],$J$2:$V$14,6,0)*Tabla4[[#This Row],[TOTAL COBERTURA]]</f>
        <v>2051450</v>
      </c>
      <c r="AO1109" s="35">
        <f>VLOOKUP(Tabla4[[#This Row],[SERVICIO 2025]],$J$2:$V$14,8,0)*Tabla4[[#This Row],[TOTAL COBERTURA]]</f>
        <v>1455000</v>
      </c>
      <c r="AP1109" s="35">
        <f>VLOOKUP(Tabla4[[#This Row],[SERVICIO 2025]],$J$2:$V$14,3,0)*Tabla4[[#This Row],[TOTAL COBERTURA]]*8</f>
        <v>103034400</v>
      </c>
      <c r="AQ1109" s="35"/>
      <c r="AR1109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09" s="35" t="str">
        <f>+IF(Tabla4[[#This Row],[AGRUPACIONES]]=1,SUMIFS(Tabla4[VALOR TOTAL],Tabla4[ZONA DEFINITIVO],Tabla4[[#This Row],[ZONA DEFINITIVO]])," ")</f>
        <v xml:space="preserve"> </v>
      </c>
      <c r="AT1109" s="27">
        <f>(VLOOKUP(Tabla4[[#This Row],[SERVICIO 2025]],$J$2:$V$14,3,0)*Tabla4[[#This Row],[TOTAL COBERTURA]])+Tabla4[[#This Row],[VALOR FASE PREPARATORIA DE ALISTAMIENTO]]+Tabla4[[#This Row],[DOTACIÓN ÚNICA]]</f>
        <v>16803100</v>
      </c>
      <c r="AU1109" s="35">
        <f>(VLOOKUP(Tabla4[[#This Row],[SERVICIO 2025]],$J$2:$V$14,3,0)*Tabla4[[#This Row],[TOTAL COBERTURA]])</f>
        <v>12879300</v>
      </c>
      <c r="AV1109" s="35">
        <f>(VLOOKUP(Tabla4[[#This Row],[SERVICIO 2025]],$J$2:$V$14,3,0)*Tabla4[[#This Row],[TOTAL COBERTURA]])</f>
        <v>12879300</v>
      </c>
      <c r="AW1109" s="35">
        <f>(VLOOKUP(Tabla4[[#This Row],[SERVICIO 2025]],$J$2:$V$14,3,0)*Tabla4[[#This Row],[TOTAL COBERTURA]])</f>
        <v>12879300</v>
      </c>
      <c r="AX1109" s="35">
        <f>(VLOOKUP(Tabla4[[#This Row],[SERVICIO 2025]],$J$2:$V$14,3,0)*Tabla4[[#This Row],[TOTAL COBERTURA]])</f>
        <v>12879300</v>
      </c>
      <c r="AY1109" s="35">
        <f>(VLOOKUP(Tabla4[[#This Row],[SERVICIO 2025]],$J$2:$V$14,3,0)*Tabla4[[#This Row],[TOTAL COBERTURA]])</f>
        <v>12879300</v>
      </c>
      <c r="AZ1109" s="35">
        <f>(VLOOKUP(Tabla4[[#This Row],[SERVICIO 2025]],$J$2:$V$14,3,0)*Tabla4[[#This Row],[TOTAL COBERTURA]])</f>
        <v>12879300</v>
      </c>
      <c r="BA1109" s="35">
        <f>(VLOOKUP(Tabla4[[#This Row],[SERVICIO 2025]],$J$2:$V$14,3,0)*Tabla4[[#This Row],[TOTAL COBERTURA]])+Tabla4[[#This Row],[VALOR FASE PREPARATORIA DE CIERRE]]</f>
        <v>14930750</v>
      </c>
      <c r="BB1109" s="35">
        <f>SUM(Tabla4[[#This Row],[DESEMBOLSO 1]:[DESEMBOLSO 8]])</f>
        <v>109009650</v>
      </c>
      <c r="BC1109" s="35">
        <f>VLOOKUP(Tabla4[[#This Row],[SERVICIO 2025]],$J$2:$V$14,10,0)*Tabla4[[#This Row],[TOTAL COBERTURA]]*$W$3</f>
        <v>72153200</v>
      </c>
      <c r="BD1109" s="47" t="s">
        <v>211</v>
      </c>
      <c r="BE1109" s="12" t="b">
        <f>EXACT(Tabla4[[#This Row],[VALOR ATENCIÓN (8 MESES)]],Tabla4[[#This Row],[VALOR TOTAL]])</f>
        <v>1</v>
      </c>
      <c r="BF1109" s="23">
        <f>Tabla4[[#This Row],[VALOR ATENCIÓN (8 MESES)]]-Tabla4[[#This Row],[VALOR TOTAL]]</f>
        <v>0</v>
      </c>
      <c r="BG1109" s="12" t="b">
        <f>EXACT(Tabla4[[#This Row],[TOTAL DESEMBOLSOS]],Tabla4[[#This Row],[VALOR ATENCIÓN (8 MESES)]])</f>
        <v>1</v>
      </c>
      <c r="BH1109" s="29">
        <f>Tabla4[[#This Row],[TOTAL DESEMBOLSOS]]-Tabla4[[#This Row],[VALOR ATENCIÓN (8 MESES)]]</f>
        <v>0</v>
      </c>
      <c r="BI1109" t="s">
        <v>98</v>
      </c>
      <c r="BJ1109">
        <v>2006</v>
      </c>
    </row>
    <row r="1110" spans="1:62">
      <c r="A1110" s="13">
        <v>2006</v>
      </c>
      <c r="B1110" s="13" t="s">
        <v>2430</v>
      </c>
      <c r="C1110" s="12" t="s">
        <v>87</v>
      </c>
      <c r="D1110" s="12" t="s">
        <v>527</v>
      </c>
      <c r="E1110" s="12" t="s">
        <v>2431</v>
      </c>
      <c r="F1110" s="12" t="s">
        <v>18</v>
      </c>
      <c r="G1110" s="12" t="s">
        <v>90</v>
      </c>
      <c r="H1110" s="12" t="s">
        <v>2435</v>
      </c>
      <c r="I1110" s="12">
        <v>57561137487</v>
      </c>
      <c r="J1110" s="12" t="s">
        <v>2436</v>
      </c>
      <c r="K1110" s="12">
        <v>1</v>
      </c>
      <c r="L1110" s="12">
        <v>50</v>
      </c>
      <c r="M1110" s="12"/>
      <c r="N1110" s="13">
        <v>2006</v>
      </c>
      <c r="O1110" s="12" t="s">
        <v>93</v>
      </c>
      <c r="P1110" s="12"/>
      <c r="Q1110" s="12"/>
      <c r="R1110" s="12" t="s">
        <v>94</v>
      </c>
      <c r="S1110" s="12">
        <v>10</v>
      </c>
      <c r="T1110" s="12" t="s">
        <v>762</v>
      </c>
      <c r="U1110" s="12" t="s">
        <v>763</v>
      </c>
      <c r="V1110" s="12">
        <f>VLOOKUP(Tabla4[[#This Row],[ZONA DEFINITIVO]],Hoja1!$A$1:$D$121,3,0)</f>
        <v>229159</v>
      </c>
      <c r="W1110" s="12">
        <f>VLOOKUP(Tabla4[[#This Row],[ZONA DEFINITIVO]],Hoja1!$A$1:$D$121,2,0)</f>
        <v>15249</v>
      </c>
      <c r="X1110" s="12">
        <f>VLOOKUP(Tabla4[[#This Row],[ZONA DEFINITIVO]],Hoja1!$A$1:$D$121,4,0)</f>
        <v>89225</v>
      </c>
      <c r="Y1110" s="12" t="str">
        <f>+IF(Tabla4[[#This Row],[AGRUPACIONES]]=1,SUMIFS(Tabla4[UDS],Tabla4[ZONA DEFINITIVO],Tabla4[[#This Row],[ZONA DEFINITIVO]])," ")</f>
        <v xml:space="preserve"> </v>
      </c>
      <c r="Z1110" s="12" t="str">
        <f>+IF(Tabla4[[#This Row],[AGRUPACIONES]]=1,SUMIFS(Tabla4[TOTAL COBERTURA],Tabla4[ZONA DEFINITIVO],Tabla4[[#This Row],[ZONA DEFINITIVO]])," ")</f>
        <v xml:space="preserve"> </v>
      </c>
      <c r="AA1110" s="12"/>
      <c r="AB1110" s="38">
        <v>109009650</v>
      </c>
      <c r="AC1110" s="37">
        <v>0.02</v>
      </c>
      <c r="AD1110" s="38">
        <f t="shared" si="18"/>
        <v>2180193</v>
      </c>
      <c r="AE1110" s="12"/>
      <c r="AF1110" s="12">
        <f>COUNTIF($A$20:A1110,A1110)</f>
        <v>3</v>
      </c>
      <c r="AG1110" s="38">
        <v>109009650</v>
      </c>
      <c r="AH1110" s="38">
        <f>Tabla4[[#This Row],[VALOR CONTRAPARTIDA]]+Tabla4[[#This Row],[TOTAL APORTES ICBF]]</f>
        <v>111189843</v>
      </c>
      <c r="AI1110" s="35"/>
      <c r="AJ1110" s="38"/>
      <c r="AK1110" s="38"/>
      <c r="AL1110" s="23"/>
      <c r="AM1110" s="35">
        <f>VLOOKUP(Tabla4[[#This Row],[SERVICIO 2025]],$J$2:$V$14,5,0)*Tabla4[[#This Row],[TOTAL COBERTURA]]</f>
        <v>2468800</v>
      </c>
      <c r="AN1110" s="35">
        <f>VLOOKUP(Tabla4[[#This Row],[SERVICIO 2025]],$J$2:$V$14,6,0)*Tabla4[[#This Row],[TOTAL COBERTURA]]</f>
        <v>2051450</v>
      </c>
      <c r="AO1110" s="35">
        <f>VLOOKUP(Tabla4[[#This Row],[SERVICIO 2025]],$J$2:$V$14,8,0)*Tabla4[[#This Row],[TOTAL COBERTURA]]</f>
        <v>1455000</v>
      </c>
      <c r="AP1110" s="35">
        <f>VLOOKUP(Tabla4[[#This Row],[SERVICIO 2025]],$J$2:$V$14,3,0)*Tabla4[[#This Row],[TOTAL COBERTURA]]*8</f>
        <v>103034400</v>
      </c>
      <c r="AQ1110" s="35"/>
      <c r="AR1110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10" s="35" t="str">
        <f>+IF(Tabla4[[#This Row],[AGRUPACIONES]]=1,SUMIFS(Tabla4[VALOR TOTAL],Tabla4[ZONA DEFINITIVO],Tabla4[[#This Row],[ZONA DEFINITIVO]])," ")</f>
        <v xml:space="preserve"> </v>
      </c>
      <c r="AT1110" s="27">
        <f>(VLOOKUP(Tabla4[[#This Row],[SERVICIO 2025]],$J$2:$V$14,3,0)*Tabla4[[#This Row],[TOTAL COBERTURA]])+Tabla4[[#This Row],[VALOR FASE PREPARATORIA DE ALISTAMIENTO]]+Tabla4[[#This Row],[DOTACIÓN ÚNICA]]</f>
        <v>16803100</v>
      </c>
      <c r="AU1110" s="35">
        <f>(VLOOKUP(Tabla4[[#This Row],[SERVICIO 2025]],$J$2:$V$14,3,0)*Tabla4[[#This Row],[TOTAL COBERTURA]])</f>
        <v>12879300</v>
      </c>
      <c r="AV1110" s="35">
        <f>(VLOOKUP(Tabla4[[#This Row],[SERVICIO 2025]],$J$2:$V$14,3,0)*Tabla4[[#This Row],[TOTAL COBERTURA]])</f>
        <v>12879300</v>
      </c>
      <c r="AW1110" s="35">
        <f>(VLOOKUP(Tabla4[[#This Row],[SERVICIO 2025]],$J$2:$V$14,3,0)*Tabla4[[#This Row],[TOTAL COBERTURA]])</f>
        <v>12879300</v>
      </c>
      <c r="AX1110" s="35">
        <f>(VLOOKUP(Tabla4[[#This Row],[SERVICIO 2025]],$J$2:$V$14,3,0)*Tabla4[[#This Row],[TOTAL COBERTURA]])</f>
        <v>12879300</v>
      </c>
      <c r="AY1110" s="35">
        <f>(VLOOKUP(Tabla4[[#This Row],[SERVICIO 2025]],$J$2:$V$14,3,0)*Tabla4[[#This Row],[TOTAL COBERTURA]])</f>
        <v>12879300</v>
      </c>
      <c r="AZ1110" s="35">
        <f>(VLOOKUP(Tabla4[[#This Row],[SERVICIO 2025]],$J$2:$V$14,3,0)*Tabla4[[#This Row],[TOTAL COBERTURA]])</f>
        <v>12879300</v>
      </c>
      <c r="BA1110" s="35">
        <f>(VLOOKUP(Tabla4[[#This Row],[SERVICIO 2025]],$J$2:$V$14,3,0)*Tabla4[[#This Row],[TOTAL COBERTURA]])+Tabla4[[#This Row],[VALOR FASE PREPARATORIA DE CIERRE]]</f>
        <v>14930750</v>
      </c>
      <c r="BB1110" s="35">
        <f>SUM(Tabla4[[#This Row],[DESEMBOLSO 1]:[DESEMBOLSO 8]])</f>
        <v>109009650</v>
      </c>
      <c r="BC1110" s="35">
        <f>VLOOKUP(Tabla4[[#This Row],[SERVICIO 2025]],$J$2:$V$14,10,0)*Tabla4[[#This Row],[TOTAL COBERTURA]]*$W$3</f>
        <v>72153200</v>
      </c>
      <c r="BD1110" s="47" t="s">
        <v>211</v>
      </c>
      <c r="BE1110" s="12" t="b">
        <f>EXACT(Tabla4[[#This Row],[VALOR ATENCIÓN (8 MESES)]],Tabla4[[#This Row],[VALOR TOTAL]])</f>
        <v>1</v>
      </c>
      <c r="BF1110" s="23">
        <f>Tabla4[[#This Row],[VALOR ATENCIÓN (8 MESES)]]-Tabla4[[#This Row],[VALOR TOTAL]]</f>
        <v>0</v>
      </c>
      <c r="BG1110" s="12" t="b">
        <f>EXACT(Tabla4[[#This Row],[TOTAL DESEMBOLSOS]],Tabla4[[#This Row],[VALOR ATENCIÓN (8 MESES)]])</f>
        <v>1</v>
      </c>
      <c r="BH1110" s="29">
        <f>Tabla4[[#This Row],[TOTAL DESEMBOLSOS]]-Tabla4[[#This Row],[VALOR ATENCIÓN (8 MESES)]]</f>
        <v>0</v>
      </c>
      <c r="BI1110" t="s">
        <v>98</v>
      </c>
      <c r="BJ1110">
        <v>2006</v>
      </c>
    </row>
    <row r="1111" spans="1:62">
      <c r="A1111" s="13">
        <v>2006</v>
      </c>
      <c r="B1111" s="13" t="s">
        <v>2430</v>
      </c>
      <c r="C1111" s="12" t="s">
        <v>87</v>
      </c>
      <c r="D1111" s="12" t="s">
        <v>527</v>
      </c>
      <c r="E1111" s="12" t="s">
        <v>2431</v>
      </c>
      <c r="F1111" s="12" t="s">
        <v>18</v>
      </c>
      <c r="G1111" s="12" t="s">
        <v>90</v>
      </c>
      <c r="H1111" s="12" t="s">
        <v>2437</v>
      </c>
      <c r="I1111" s="12">
        <v>57561139742</v>
      </c>
      <c r="J1111" s="12" t="s">
        <v>2438</v>
      </c>
      <c r="K1111" s="12">
        <v>1</v>
      </c>
      <c r="L1111" s="12">
        <v>50</v>
      </c>
      <c r="M1111" s="12"/>
      <c r="N1111" s="13">
        <v>2006</v>
      </c>
      <c r="O1111" s="12" t="s">
        <v>93</v>
      </c>
      <c r="P1111" s="12"/>
      <c r="Q1111" s="12"/>
      <c r="R1111" s="12" t="s">
        <v>94</v>
      </c>
      <c r="S1111" s="12">
        <v>10</v>
      </c>
      <c r="T1111" s="12" t="s">
        <v>762</v>
      </c>
      <c r="U1111" s="12" t="s">
        <v>763</v>
      </c>
      <c r="V1111" s="12">
        <f>VLOOKUP(Tabla4[[#This Row],[ZONA DEFINITIVO]],Hoja1!$A$1:$D$121,3,0)</f>
        <v>229159</v>
      </c>
      <c r="W1111" s="12">
        <f>VLOOKUP(Tabla4[[#This Row],[ZONA DEFINITIVO]],Hoja1!$A$1:$D$121,2,0)</f>
        <v>15249</v>
      </c>
      <c r="X1111" s="12">
        <f>VLOOKUP(Tabla4[[#This Row],[ZONA DEFINITIVO]],Hoja1!$A$1:$D$121,4,0)</f>
        <v>89225</v>
      </c>
      <c r="Y1111" s="12" t="str">
        <f>+IF(Tabla4[[#This Row],[AGRUPACIONES]]=1,SUMIFS(Tabla4[UDS],Tabla4[ZONA DEFINITIVO],Tabla4[[#This Row],[ZONA DEFINITIVO]])," ")</f>
        <v xml:space="preserve"> </v>
      </c>
      <c r="Z1111" s="12" t="str">
        <f>+IF(Tabla4[[#This Row],[AGRUPACIONES]]=1,SUMIFS(Tabla4[TOTAL COBERTURA],Tabla4[ZONA DEFINITIVO],Tabla4[[#This Row],[ZONA DEFINITIVO]])," ")</f>
        <v xml:space="preserve"> </v>
      </c>
      <c r="AA1111" s="12"/>
      <c r="AB1111" s="38">
        <v>109009650</v>
      </c>
      <c r="AC1111" s="37">
        <v>0.02</v>
      </c>
      <c r="AD1111" s="38">
        <f t="shared" si="18"/>
        <v>2180193</v>
      </c>
      <c r="AE1111" s="12"/>
      <c r="AF1111" s="12">
        <f>COUNTIF($A$20:A1111,A1111)</f>
        <v>4</v>
      </c>
      <c r="AG1111" s="38">
        <v>109009650</v>
      </c>
      <c r="AH1111" s="38">
        <f>Tabla4[[#This Row],[VALOR CONTRAPARTIDA]]+Tabla4[[#This Row],[TOTAL APORTES ICBF]]</f>
        <v>111189843</v>
      </c>
      <c r="AI1111" s="35"/>
      <c r="AJ1111" s="38"/>
      <c r="AK1111" s="38"/>
      <c r="AL1111" s="23"/>
      <c r="AM1111" s="35">
        <f>VLOOKUP(Tabla4[[#This Row],[SERVICIO 2025]],$J$2:$V$14,5,0)*Tabla4[[#This Row],[TOTAL COBERTURA]]</f>
        <v>2468800</v>
      </c>
      <c r="AN1111" s="35">
        <f>VLOOKUP(Tabla4[[#This Row],[SERVICIO 2025]],$J$2:$V$14,6,0)*Tabla4[[#This Row],[TOTAL COBERTURA]]</f>
        <v>2051450</v>
      </c>
      <c r="AO1111" s="35">
        <f>VLOOKUP(Tabla4[[#This Row],[SERVICIO 2025]],$J$2:$V$14,8,0)*Tabla4[[#This Row],[TOTAL COBERTURA]]</f>
        <v>1455000</v>
      </c>
      <c r="AP1111" s="35">
        <f>VLOOKUP(Tabla4[[#This Row],[SERVICIO 2025]],$J$2:$V$14,3,0)*Tabla4[[#This Row],[TOTAL COBERTURA]]*8</f>
        <v>103034400</v>
      </c>
      <c r="AQ1111" s="35"/>
      <c r="AR1111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11" s="35" t="str">
        <f>+IF(Tabla4[[#This Row],[AGRUPACIONES]]=1,SUMIFS(Tabla4[VALOR TOTAL],Tabla4[ZONA DEFINITIVO],Tabla4[[#This Row],[ZONA DEFINITIVO]])," ")</f>
        <v xml:space="preserve"> </v>
      </c>
      <c r="AT1111" s="27">
        <f>(VLOOKUP(Tabla4[[#This Row],[SERVICIO 2025]],$J$2:$V$14,3,0)*Tabla4[[#This Row],[TOTAL COBERTURA]])+Tabla4[[#This Row],[VALOR FASE PREPARATORIA DE ALISTAMIENTO]]+Tabla4[[#This Row],[DOTACIÓN ÚNICA]]</f>
        <v>16803100</v>
      </c>
      <c r="AU1111" s="35">
        <f>(VLOOKUP(Tabla4[[#This Row],[SERVICIO 2025]],$J$2:$V$14,3,0)*Tabla4[[#This Row],[TOTAL COBERTURA]])</f>
        <v>12879300</v>
      </c>
      <c r="AV1111" s="35">
        <f>(VLOOKUP(Tabla4[[#This Row],[SERVICIO 2025]],$J$2:$V$14,3,0)*Tabla4[[#This Row],[TOTAL COBERTURA]])</f>
        <v>12879300</v>
      </c>
      <c r="AW1111" s="35">
        <f>(VLOOKUP(Tabla4[[#This Row],[SERVICIO 2025]],$J$2:$V$14,3,0)*Tabla4[[#This Row],[TOTAL COBERTURA]])</f>
        <v>12879300</v>
      </c>
      <c r="AX1111" s="35">
        <f>(VLOOKUP(Tabla4[[#This Row],[SERVICIO 2025]],$J$2:$V$14,3,0)*Tabla4[[#This Row],[TOTAL COBERTURA]])</f>
        <v>12879300</v>
      </c>
      <c r="AY1111" s="35">
        <f>(VLOOKUP(Tabla4[[#This Row],[SERVICIO 2025]],$J$2:$V$14,3,0)*Tabla4[[#This Row],[TOTAL COBERTURA]])</f>
        <v>12879300</v>
      </c>
      <c r="AZ1111" s="35">
        <f>(VLOOKUP(Tabla4[[#This Row],[SERVICIO 2025]],$J$2:$V$14,3,0)*Tabla4[[#This Row],[TOTAL COBERTURA]])</f>
        <v>12879300</v>
      </c>
      <c r="BA1111" s="35">
        <f>(VLOOKUP(Tabla4[[#This Row],[SERVICIO 2025]],$J$2:$V$14,3,0)*Tabla4[[#This Row],[TOTAL COBERTURA]])+Tabla4[[#This Row],[VALOR FASE PREPARATORIA DE CIERRE]]</f>
        <v>14930750</v>
      </c>
      <c r="BB1111" s="35">
        <f>SUM(Tabla4[[#This Row],[DESEMBOLSO 1]:[DESEMBOLSO 8]])</f>
        <v>109009650</v>
      </c>
      <c r="BC1111" s="35">
        <f>VLOOKUP(Tabla4[[#This Row],[SERVICIO 2025]],$J$2:$V$14,10,0)*Tabla4[[#This Row],[TOTAL COBERTURA]]*$W$3</f>
        <v>72153200</v>
      </c>
      <c r="BD1111" s="47" t="s">
        <v>211</v>
      </c>
      <c r="BE1111" s="12" t="b">
        <f>EXACT(Tabla4[[#This Row],[VALOR ATENCIÓN (8 MESES)]],Tabla4[[#This Row],[VALOR TOTAL]])</f>
        <v>1</v>
      </c>
      <c r="BF1111" s="23">
        <f>Tabla4[[#This Row],[VALOR ATENCIÓN (8 MESES)]]-Tabla4[[#This Row],[VALOR TOTAL]]</f>
        <v>0</v>
      </c>
      <c r="BG1111" s="12" t="b">
        <f>EXACT(Tabla4[[#This Row],[TOTAL DESEMBOLSOS]],Tabla4[[#This Row],[VALOR ATENCIÓN (8 MESES)]])</f>
        <v>1</v>
      </c>
      <c r="BH1111" s="29">
        <f>Tabla4[[#This Row],[TOTAL DESEMBOLSOS]]-Tabla4[[#This Row],[VALOR ATENCIÓN (8 MESES)]]</f>
        <v>0</v>
      </c>
      <c r="BI1111" t="s">
        <v>98</v>
      </c>
      <c r="BJ1111">
        <v>2006</v>
      </c>
    </row>
    <row r="1112" spans="1:62">
      <c r="A1112" s="13">
        <v>2006</v>
      </c>
      <c r="B1112" s="13" t="s">
        <v>2430</v>
      </c>
      <c r="C1112" s="12" t="s">
        <v>87</v>
      </c>
      <c r="D1112" s="12" t="s">
        <v>527</v>
      </c>
      <c r="E1112" s="12" t="s">
        <v>2431</v>
      </c>
      <c r="F1112" s="12" t="s">
        <v>18</v>
      </c>
      <c r="G1112" s="12" t="s">
        <v>90</v>
      </c>
      <c r="H1112" s="12" t="s">
        <v>2437</v>
      </c>
      <c r="I1112" s="12">
        <v>57561142100</v>
      </c>
      <c r="J1112" s="12" t="s">
        <v>2439</v>
      </c>
      <c r="K1112" s="12">
        <v>1</v>
      </c>
      <c r="L1112" s="12">
        <v>50</v>
      </c>
      <c r="M1112" s="12"/>
      <c r="N1112" s="13">
        <v>2006</v>
      </c>
      <c r="O1112" s="12" t="s">
        <v>93</v>
      </c>
      <c r="P1112" s="12"/>
      <c r="Q1112" s="12"/>
      <c r="R1112" s="12" t="s">
        <v>94</v>
      </c>
      <c r="S1112" s="12">
        <v>10</v>
      </c>
      <c r="T1112" s="12" t="s">
        <v>762</v>
      </c>
      <c r="U1112" s="12" t="s">
        <v>763</v>
      </c>
      <c r="V1112" s="12">
        <f>VLOOKUP(Tabla4[[#This Row],[ZONA DEFINITIVO]],Hoja1!$A$1:$D$121,3,0)</f>
        <v>229159</v>
      </c>
      <c r="W1112" s="12">
        <f>VLOOKUP(Tabla4[[#This Row],[ZONA DEFINITIVO]],Hoja1!$A$1:$D$121,2,0)</f>
        <v>15249</v>
      </c>
      <c r="X1112" s="12">
        <f>VLOOKUP(Tabla4[[#This Row],[ZONA DEFINITIVO]],Hoja1!$A$1:$D$121,4,0)</f>
        <v>89225</v>
      </c>
      <c r="Y1112" s="12" t="str">
        <f>+IF(Tabla4[[#This Row],[AGRUPACIONES]]=1,SUMIFS(Tabla4[UDS],Tabla4[ZONA DEFINITIVO],Tabla4[[#This Row],[ZONA DEFINITIVO]])," ")</f>
        <v xml:space="preserve"> </v>
      </c>
      <c r="Z1112" s="12" t="str">
        <f>+IF(Tabla4[[#This Row],[AGRUPACIONES]]=1,SUMIFS(Tabla4[TOTAL COBERTURA],Tabla4[ZONA DEFINITIVO],Tabla4[[#This Row],[ZONA DEFINITIVO]])," ")</f>
        <v xml:space="preserve"> </v>
      </c>
      <c r="AA1112" s="12"/>
      <c r="AB1112" s="38">
        <v>109009650</v>
      </c>
      <c r="AC1112" s="37">
        <v>0.02</v>
      </c>
      <c r="AD1112" s="38">
        <f t="shared" si="18"/>
        <v>2180193</v>
      </c>
      <c r="AE1112" s="12"/>
      <c r="AF1112" s="12">
        <f>COUNTIF($A$20:A1112,A1112)</f>
        <v>5</v>
      </c>
      <c r="AG1112" s="38">
        <v>109009650</v>
      </c>
      <c r="AH1112" s="38">
        <f>Tabla4[[#This Row],[VALOR CONTRAPARTIDA]]+Tabla4[[#This Row],[TOTAL APORTES ICBF]]</f>
        <v>111189843</v>
      </c>
      <c r="AI1112" s="35"/>
      <c r="AJ1112" s="38"/>
      <c r="AK1112" s="38"/>
      <c r="AL1112" s="23"/>
      <c r="AM1112" s="35">
        <f>VLOOKUP(Tabla4[[#This Row],[SERVICIO 2025]],$J$2:$V$14,5,0)*Tabla4[[#This Row],[TOTAL COBERTURA]]</f>
        <v>2468800</v>
      </c>
      <c r="AN1112" s="35">
        <f>VLOOKUP(Tabla4[[#This Row],[SERVICIO 2025]],$J$2:$V$14,6,0)*Tabla4[[#This Row],[TOTAL COBERTURA]]</f>
        <v>2051450</v>
      </c>
      <c r="AO1112" s="35">
        <f>VLOOKUP(Tabla4[[#This Row],[SERVICIO 2025]],$J$2:$V$14,8,0)*Tabla4[[#This Row],[TOTAL COBERTURA]]</f>
        <v>1455000</v>
      </c>
      <c r="AP1112" s="35">
        <f>VLOOKUP(Tabla4[[#This Row],[SERVICIO 2025]],$J$2:$V$14,3,0)*Tabla4[[#This Row],[TOTAL COBERTURA]]*8</f>
        <v>103034400</v>
      </c>
      <c r="AQ1112" s="35"/>
      <c r="AR1112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12" s="35" t="str">
        <f>+IF(Tabla4[[#This Row],[AGRUPACIONES]]=1,SUMIFS(Tabla4[VALOR TOTAL],Tabla4[ZONA DEFINITIVO],Tabla4[[#This Row],[ZONA DEFINITIVO]])," ")</f>
        <v xml:space="preserve"> </v>
      </c>
      <c r="AT1112" s="27">
        <f>(VLOOKUP(Tabla4[[#This Row],[SERVICIO 2025]],$J$2:$V$14,3,0)*Tabla4[[#This Row],[TOTAL COBERTURA]])+Tabla4[[#This Row],[VALOR FASE PREPARATORIA DE ALISTAMIENTO]]+Tabla4[[#This Row],[DOTACIÓN ÚNICA]]</f>
        <v>16803100</v>
      </c>
      <c r="AU1112" s="35">
        <f>(VLOOKUP(Tabla4[[#This Row],[SERVICIO 2025]],$J$2:$V$14,3,0)*Tabla4[[#This Row],[TOTAL COBERTURA]])</f>
        <v>12879300</v>
      </c>
      <c r="AV1112" s="35">
        <f>(VLOOKUP(Tabla4[[#This Row],[SERVICIO 2025]],$J$2:$V$14,3,0)*Tabla4[[#This Row],[TOTAL COBERTURA]])</f>
        <v>12879300</v>
      </c>
      <c r="AW1112" s="35">
        <f>(VLOOKUP(Tabla4[[#This Row],[SERVICIO 2025]],$J$2:$V$14,3,0)*Tabla4[[#This Row],[TOTAL COBERTURA]])</f>
        <v>12879300</v>
      </c>
      <c r="AX1112" s="35">
        <f>(VLOOKUP(Tabla4[[#This Row],[SERVICIO 2025]],$J$2:$V$14,3,0)*Tabla4[[#This Row],[TOTAL COBERTURA]])</f>
        <v>12879300</v>
      </c>
      <c r="AY1112" s="35">
        <f>(VLOOKUP(Tabla4[[#This Row],[SERVICIO 2025]],$J$2:$V$14,3,0)*Tabla4[[#This Row],[TOTAL COBERTURA]])</f>
        <v>12879300</v>
      </c>
      <c r="AZ1112" s="35">
        <f>(VLOOKUP(Tabla4[[#This Row],[SERVICIO 2025]],$J$2:$V$14,3,0)*Tabla4[[#This Row],[TOTAL COBERTURA]])</f>
        <v>12879300</v>
      </c>
      <c r="BA1112" s="35">
        <f>(VLOOKUP(Tabla4[[#This Row],[SERVICIO 2025]],$J$2:$V$14,3,0)*Tabla4[[#This Row],[TOTAL COBERTURA]])+Tabla4[[#This Row],[VALOR FASE PREPARATORIA DE CIERRE]]</f>
        <v>14930750</v>
      </c>
      <c r="BB1112" s="35">
        <f>SUM(Tabla4[[#This Row],[DESEMBOLSO 1]:[DESEMBOLSO 8]])</f>
        <v>109009650</v>
      </c>
      <c r="BC1112" s="35">
        <f>VLOOKUP(Tabla4[[#This Row],[SERVICIO 2025]],$J$2:$V$14,10,0)*Tabla4[[#This Row],[TOTAL COBERTURA]]*$W$3</f>
        <v>72153200</v>
      </c>
      <c r="BD1112" s="47" t="s">
        <v>211</v>
      </c>
      <c r="BE1112" s="12" t="b">
        <f>EXACT(Tabla4[[#This Row],[VALOR ATENCIÓN (8 MESES)]],Tabla4[[#This Row],[VALOR TOTAL]])</f>
        <v>1</v>
      </c>
      <c r="BF1112" s="23">
        <f>Tabla4[[#This Row],[VALOR ATENCIÓN (8 MESES)]]-Tabla4[[#This Row],[VALOR TOTAL]]</f>
        <v>0</v>
      </c>
      <c r="BG1112" s="12" t="b">
        <f>EXACT(Tabla4[[#This Row],[TOTAL DESEMBOLSOS]],Tabla4[[#This Row],[VALOR ATENCIÓN (8 MESES)]])</f>
        <v>1</v>
      </c>
      <c r="BH1112" s="29">
        <f>Tabla4[[#This Row],[TOTAL DESEMBOLSOS]]-Tabla4[[#This Row],[VALOR ATENCIÓN (8 MESES)]]</f>
        <v>0</v>
      </c>
      <c r="BI1112" t="s">
        <v>98</v>
      </c>
      <c r="BJ1112">
        <v>2006</v>
      </c>
    </row>
    <row r="1113" spans="1:62">
      <c r="A1113" s="13">
        <v>2006</v>
      </c>
      <c r="B1113" s="13" t="s">
        <v>2430</v>
      </c>
      <c r="C1113" s="12" t="s">
        <v>87</v>
      </c>
      <c r="D1113" s="12" t="s">
        <v>527</v>
      </c>
      <c r="E1113" s="12" t="s">
        <v>2431</v>
      </c>
      <c r="F1113" s="12" t="s">
        <v>18</v>
      </c>
      <c r="G1113" s="12" t="s">
        <v>90</v>
      </c>
      <c r="H1113" s="12" t="s">
        <v>2440</v>
      </c>
      <c r="I1113" s="12">
        <v>57561142102</v>
      </c>
      <c r="J1113" s="12" t="s">
        <v>2441</v>
      </c>
      <c r="K1113" s="12">
        <v>1</v>
      </c>
      <c r="L1113" s="12">
        <v>50</v>
      </c>
      <c r="M1113" s="12"/>
      <c r="N1113" s="13">
        <v>2006</v>
      </c>
      <c r="O1113" s="12" t="s">
        <v>93</v>
      </c>
      <c r="P1113" s="12"/>
      <c r="Q1113" s="12"/>
      <c r="R1113" s="12" t="s">
        <v>94</v>
      </c>
      <c r="S1113" s="12">
        <v>10</v>
      </c>
      <c r="T1113" s="12" t="s">
        <v>762</v>
      </c>
      <c r="U1113" s="12" t="s">
        <v>763</v>
      </c>
      <c r="V1113" s="12">
        <f>VLOOKUP(Tabla4[[#This Row],[ZONA DEFINITIVO]],Hoja1!$A$1:$D$121,3,0)</f>
        <v>229159</v>
      </c>
      <c r="W1113" s="12">
        <f>VLOOKUP(Tabla4[[#This Row],[ZONA DEFINITIVO]],Hoja1!$A$1:$D$121,2,0)</f>
        <v>15249</v>
      </c>
      <c r="X1113" s="12">
        <f>VLOOKUP(Tabla4[[#This Row],[ZONA DEFINITIVO]],Hoja1!$A$1:$D$121,4,0)</f>
        <v>89225</v>
      </c>
      <c r="Y1113" s="12" t="str">
        <f>+IF(Tabla4[[#This Row],[AGRUPACIONES]]=1,SUMIFS(Tabla4[UDS],Tabla4[ZONA DEFINITIVO],Tabla4[[#This Row],[ZONA DEFINITIVO]])," ")</f>
        <v xml:space="preserve"> </v>
      </c>
      <c r="Z1113" s="12" t="str">
        <f>+IF(Tabla4[[#This Row],[AGRUPACIONES]]=1,SUMIFS(Tabla4[TOTAL COBERTURA],Tabla4[ZONA DEFINITIVO],Tabla4[[#This Row],[ZONA DEFINITIVO]])," ")</f>
        <v xml:space="preserve"> </v>
      </c>
      <c r="AA1113" s="12"/>
      <c r="AB1113" s="38">
        <v>109009650</v>
      </c>
      <c r="AC1113" s="37">
        <v>0.02</v>
      </c>
      <c r="AD1113" s="38">
        <f t="shared" si="18"/>
        <v>2180193</v>
      </c>
      <c r="AE1113" s="12"/>
      <c r="AF1113" s="12">
        <f>COUNTIF($A$20:A1113,A1113)</f>
        <v>6</v>
      </c>
      <c r="AG1113" s="38">
        <v>109009650</v>
      </c>
      <c r="AH1113" s="38">
        <f>Tabla4[[#This Row],[VALOR CONTRAPARTIDA]]+Tabla4[[#This Row],[TOTAL APORTES ICBF]]</f>
        <v>111189843</v>
      </c>
      <c r="AI1113" s="35"/>
      <c r="AJ1113" s="38"/>
      <c r="AK1113" s="38"/>
      <c r="AL1113" s="23"/>
      <c r="AM1113" s="35">
        <f>VLOOKUP(Tabla4[[#This Row],[SERVICIO 2025]],$J$2:$V$14,5,0)*Tabla4[[#This Row],[TOTAL COBERTURA]]</f>
        <v>2468800</v>
      </c>
      <c r="AN1113" s="35">
        <f>VLOOKUP(Tabla4[[#This Row],[SERVICIO 2025]],$J$2:$V$14,6,0)*Tabla4[[#This Row],[TOTAL COBERTURA]]</f>
        <v>2051450</v>
      </c>
      <c r="AO1113" s="35">
        <f>VLOOKUP(Tabla4[[#This Row],[SERVICIO 2025]],$J$2:$V$14,8,0)*Tabla4[[#This Row],[TOTAL COBERTURA]]</f>
        <v>1455000</v>
      </c>
      <c r="AP1113" s="35">
        <f>VLOOKUP(Tabla4[[#This Row],[SERVICIO 2025]],$J$2:$V$14,3,0)*Tabla4[[#This Row],[TOTAL COBERTURA]]*8</f>
        <v>103034400</v>
      </c>
      <c r="AQ1113" s="35"/>
      <c r="AR1113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13" s="35" t="str">
        <f>+IF(Tabla4[[#This Row],[AGRUPACIONES]]=1,SUMIFS(Tabla4[VALOR TOTAL],Tabla4[ZONA DEFINITIVO],Tabla4[[#This Row],[ZONA DEFINITIVO]])," ")</f>
        <v xml:space="preserve"> </v>
      </c>
      <c r="AT1113" s="27">
        <f>(VLOOKUP(Tabla4[[#This Row],[SERVICIO 2025]],$J$2:$V$14,3,0)*Tabla4[[#This Row],[TOTAL COBERTURA]])+Tabla4[[#This Row],[VALOR FASE PREPARATORIA DE ALISTAMIENTO]]+Tabla4[[#This Row],[DOTACIÓN ÚNICA]]</f>
        <v>16803100</v>
      </c>
      <c r="AU1113" s="35">
        <f>(VLOOKUP(Tabla4[[#This Row],[SERVICIO 2025]],$J$2:$V$14,3,0)*Tabla4[[#This Row],[TOTAL COBERTURA]])</f>
        <v>12879300</v>
      </c>
      <c r="AV1113" s="35">
        <f>(VLOOKUP(Tabla4[[#This Row],[SERVICIO 2025]],$J$2:$V$14,3,0)*Tabla4[[#This Row],[TOTAL COBERTURA]])</f>
        <v>12879300</v>
      </c>
      <c r="AW1113" s="35">
        <f>(VLOOKUP(Tabla4[[#This Row],[SERVICIO 2025]],$J$2:$V$14,3,0)*Tabla4[[#This Row],[TOTAL COBERTURA]])</f>
        <v>12879300</v>
      </c>
      <c r="AX1113" s="35">
        <f>(VLOOKUP(Tabla4[[#This Row],[SERVICIO 2025]],$J$2:$V$14,3,0)*Tabla4[[#This Row],[TOTAL COBERTURA]])</f>
        <v>12879300</v>
      </c>
      <c r="AY1113" s="35">
        <f>(VLOOKUP(Tabla4[[#This Row],[SERVICIO 2025]],$J$2:$V$14,3,0)*Tabla4[[#This Row],[TOTAL COBERTURA]])</f>
        <v>12879300</v>
      </c>
      <c r="AZ1113" s="35">
        <f>(VLOOKUP(Tabla4[[#This Row],[SERVICIO 2025]],$J$2:$V$14,3,0)*Tabla4[[#This Row],[TOTAL COBERTURA]])</f>
        <v>12879300</v>
      </c>
      <c r="BA1113" s="35">
        <f>(VLOOKUP(Tabla4[[#This Row],[SERVICIO 2025]],$J$2:$V$14,3,0)*Tabla4[[#This Row],[TOTAL COBERTURA]])+Tabla4[[#This Row],[VALOR FASE PREPARATORIA DE CIERRE]]</f>
        <v>14930750</v>
      </c>
      <c r="BB1113" s="35">
        <f>SUM(Tabla4[[#This Row],[DESEMBOLSO 1]:[DESEMBOLSO 8]])</f>
        <v>109009650</v>
      </c>
      <c r="BC1113" s="35">
        <f>VLOOKUP(Tabla4[[#This Row],[SERVICIO 2025]],$J$2:$V$14,10,0)*Tabla4[[#This Row],[TOTAL COBERTURA]]*$W$3</f>
        <v>72153200</v>
      </c>
      <c r="BD1113" s="47" t="s">
        <v>211</v>
      </c>
      <c r="BE1113" s="12" t="b">
        <f>EXACT(Tabla4[[#This Row],[VALOR ATENCIÓN (8 MESES)]],Tabla4[[#This Row],[VALOR TOTAL]])</f>
        <v>1</v>
      </c>
      <c r="BF1113" s="23">
        <f>Tabla4[[#This Row],[VALOR ATENCIÓN (8 MESES)]]-Tabla4[[#This Row],[VALOR TOTAL]]</f>
        <v>0</v>
      </c>
      <c r="BG1113" s="12" t="b">
        <f>EXACT(Tabla4[[#This Row],[TOTAL DESEMBOLSOS]],Tabla4[[#This Row],[VALOR ATENCIÓN (8 MESES)]])</f>
        <v>1</v>
      </c>
      <c r="BH1113" s="29">
        <f>Tabla4[[#This Row],[TOTAL DESEMBOLSOS]]-Tabla4[[#This Row],[VALOR ATENCIÓN (8 MESES)]]</f>
        <v>0</v>
      </c>
      <c r="BI1113" t="s">
        <v>98</v>
      </c>
      <c r="BJ1113">
        <v>2006</v>
      </c>
    </row>
    <row r="1114" spans="1:62">
      <c r="A1114" s="13">
        <v>2006</v>
      </c>
      <c r="B1114" s="13" t="s">
        <v>2430</v>
      </c>
      <c r="C1114" s="12" t="s">
        <v>87</v>
      </c>
      <c r="D1114" s="12" t="s">
        <v>527</v>
      </c>
      <c r="E1114" s="12" t="s">
        <v>2431</v>
      </c>
      <c r="F1114" s="12" t="s">
        <v>18</v>
      </c>
      <c r="G1114" s="12" t="s">
        <v>90</v>
      </c>
      <c r="H1114" s="12" t="s">
        <v>2442</v>
      </c>
      <c r="I1114" s="12">
        <v>57561142103</v>
      </c>
      <c r="J1114" s="12" t="s">
        <v>2443</v>
      </c>
      <c r="K1114" s="12">
        <v>1</v>
      </c>
      <c r="L1114" s="12">
        <v>50</v>
      </c>
      <c r="M1114" s="12"/>
      <c r="N1114" s="13">
        <v>2006</v>
      </c>
      <c r="O1114" s="12" t="s">
        <v>93</v>
      </c>
      <c r="P1114" s="12"/>
      <c r="Q1114" s="12"/>
      <c r="R1114" s="12" t="s">
        <v>94</v>
      </c>
      <c r="S1114" s="12">
        <v>10</v>
      </c>
      <c r="T1114" s="12" t="s">
        <v>762</v>
      </c>
      <c r="U1114" s="12" t="s">
        <v>763</v>
      </c>
      <c r="V1114" s="12">
        <f>VLOOKUP(Tabla4[[#This Row],[ZONA DEFINITIVO]],Hoja1!$A$1:$D$121,3,0)</f>
        <v>229159</v>
      </c>
      <c r="W1114" s="12">
        <f>VLOOKUP(Tabla4[[#This Row],[ZONA DEFINITIVO]],Hoja1!$A$1:$D$121,2,0)</f>
        <v>15249</v>
      </c>
      <c r="X1114" s="12">
        <f>VLOOKUP(Tabla4[[#This Row],[ZONA DEFINITIVO]],Hoja1!$A$1:$D$121,4,0)</f>
        <v>89225</v>
      </c>
      <c r="Y1114" s="12" t="str">
        <f>+IF(Tabla4[[#This Row],[AGRUPACIONES]]=1,SUMIFS(Tabla4[UDS],Tabla4[ZONA DEFINITIVO],Tabla4[[#This Row],[ZONA DEFINITIVO]])," ")</f>
        <v xml:space="preserve"> </v>
      </c>
      <c r="Z1114" s="12" t="str">
        <f>+IF(Tabla4[[#This Row],[AGRUPACIONES]]=1,SUMIFS(Tabla4[TOTAL COBERTURA],Tabla4[ZONA DEFINITIVO],Tabla4[[#This Row],[ZONA DEFINITIVO]])," ")</f>
        <v xml:space="preserve"> </v>
      </c>
      <c r="AA1114" s="12"/>
      <c r="AB1114" s="38">
        <v>109009650</v>
      </c>
      <c r="AC1114" s="37">
        <v>0.02</v>
      </c>
      <c r="AD1114" s="38">
        <f t="shared" si="18"/>
        <v>2180193</v>
      </c>
      <c r="AE1114" s="12"/>
      <c r="AF1114" s="12">
        <f>COUNTIF($A$20:A1114,A1114)</f>
        <v>7</v>
      </c>
      <c r="AG1114" s="38">
        <v>109009650</v>
      </c>
      <c r="AH1114" s="38">
        <f>Tabla4[[#This Row],[VALOR CONTRAPARTIDA]]+Tabla4[[#This Row],[TOTAL APORTES ICBF]]</f>
        <v>111189843</v>
      </c>
      <c r="AI1114" s="35"/>
      <c r="AJ1114" s="38"/>
      <c r="AK1114" s="38"/>
      <c r="AL1114" s="23"/>
      <c r="AM1114" s="35">
        <f>VLOOKUP(Tabla4[[#This Row],[SERVICIO 2025]],$J$2:$V$14,5,0)*Tabla4[[#This Row],[TOTAL COBERTURA]]</f>
        <v>2468800</v>
      </c>
      <c r="AN1114" s="35">
        <f>VLOOKUP(Tabla4[[#This Row],[SERVICIO 2025]],$J$2:$V$14,6,0)*Tabla4[[#This Row],[TOTAL COBERTURA]]</f>
        <v>2051450</v>
      </c>
      <c r="AO1114" s="35">
        <f>VLOOKUP(Tabla4[[#This Row],[SERVICIO 2025]],$J$2:$V$14,8,0)*Tabla4[[#This Row],[TOTAL COBERTURA]]</f>
        <v>1455000</v>
      </c>
      <c r="AP1114" s="35">
        <f>VLOOKUP(Tabla4[[#This Row],[SERVICIO 2025]],$J$2:$V$14,3,0)*Tabla4[[#This Row],[TOTAL COBERTURA]]*8</f>
        <v>103034400</v>
      </c>
      <c r="AQ1114" s="35"/>
      <c r="AR1114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14" s="35" t="str">
        <f>+IF(Tabla4[[#This Row],[AGRUPACIONES]]=1,SUMIFS(Tabla4[VALOR TOTAL],Tabla4[ZONA DEFINITIVO],Tabla4[[#This Row],[ZONA DEFINITIVO]])," ")</f>
        <v xml:space="preserve"> </v>
      </c>
      <c r="AT1114" s="27">
        <f>(VLOOKUP(Tabla4[[#This Row],[SERVICIO 2025]],$J$2:$V$14,3,0)*Tabla4[[#This Row],[TOTAL COBERTURA]])+Tabla4[[#This Row],[VALOR FASE PREPARATORIA DE ALISTAMIENTO]]+Tabla4[[#This Row],[DOTACIÓN ÚNICA]]</f>
        <v>16803100</v>
      </c>
      <c r="AU1114" s="35">
        <f>(VLOOKUP(Tabla4[[#This Row],[SERVICIO 2025]],$J$2:$V$14,3,0)*Tabla4[[#This Row],[TOTAL COBERTURA]])</f>
        <v>12879300</v>
      </c>
      <c r="AV1114" s="35">
        <f>(VLOOKUP(Tabla4[[#This Row],[SERVICIO 2025]],$J$2:$V$14,3,0)*Tabla4[[#This Row],[TOTAL COBERTURA]])</f>
        <v>12879300</v>
      </c>
      <c r="AW1114" s="35">
        <f>(VLOOKUP(Tabla4[[#This Row],[SERVICIO 2025]],$J$2:$V$14,3,0)*Tabla4[[#This Row],[TOTAL COBERTURA]])</f>
        <v>12879300</v>
      </c>
      <c r="AX1114" s="35">
        <f>(VLOOKUP(Tabla4[[#This Row],[SERVICIO 2025]],$J$2:$V$14,3,0)*Tabla4[[#This Row],[TOTAL COBERTURA]])</f>
        <v>12879300</v>
      </c>
      <c r="AY1114" s="35">
        <f>(VLOOKUP(Tabla4[[#This Row],[SERVICIO 2025]],$J$2:$V$14,3,0)*Tabla4[[#This Row],[TOTAL COBERTURA]])</f>
        <v>12879300</v>
      </c>
      <c r="AZ1114" s="35">
        <f>(VLOOKUP(Tabla4[[#This Row],[SERVICIO 2025]],$J$2:$V$14,3,0)*Tabla4[[#This Row],[TOTAL COBERTURA]])</f>
        <v>12879300</v>
      </c>
      <c r="BA1114" s="35">
        <f>(VLOOKUP(Tabla4[[#This Row],[SERVICIO 2025]],$J$2:$V$14,3,0)*Tabla4[[#This Row],[TOTAL COBERTURA]])+Tabla4[[#This Row],[VALOR FASE PREPARATORIA DE CIERRE]]</f>
        <v>14930750</v>
      </c>
      <c r="BB1114" s="35">
        <f>SUM(Tabla4[[#This Row],[DESEMBOLSO 1]:[DESEMBOLSO 8]])</f>
        <v>109009650</v>
      </c>
      <c r="BC1114" s="35">
        <f>VLOOKUP(Tabla4[[#This Row],[SERVICIO 2025]],$J$2:$V$14,10,0)*Tabla4[[#This Row],[TOTAL COBERTURA]]*$W$3</f>
        <v>72153200</v>
      </c>
      <c r="BD1114" s="47" t="s">
        <v>211</v>
      </c>
      <c r="BE1114" s="12" t="b">
        <f>EXACT(Tabla4[[#This Row],[VALOR ATENCIÓN (8 MESES)]],Tabla4[[#This Row],[VALOR TOTAL]])</f>
        <v>1</v>
      </c>
      <c r="BF1114" s="23">
        <f>Tabla4[[#This Row],[VALOR ATENCIÓN (8 MESES)]]-Tabla4[[#This Row],[VALOR TOTAL]]</f>
        <v>0</v>
      </c>
      <c r="BG1114" s="12" t="b">
        <f>EXACT(Tabla4[[#This Row],[TOTAL DESEMBOLSOS]],Tabla4[[#This Row],[VALOR ATENCIÓN (8 MESES)]])</f>
        <v>1</v>
      </c>
      <c r="BH1114" s="29">
        <f>Tabla4[[#This Row],[TOTAL DESEMBOLSOS]]-Tabla4[[#This Row],[VALOR ATENCIÓN (8 MESES)]]</f>
        <v>0</v>
      </c>
      <c r="BI1114" t="s">
        <v>98</v>
      </c>
      <c r="BJ1114">
        <v>2006</v>
      </c>
    </row>
    <row r="1115" spans="1:62">
      <c r="A1115" s="13">
        <v>2006</v>
      </c>
      <c r="B1115" s="13" t="s">
        <v>2430</v>
      </c>
      <c r="C1115" s="12" t="s">
        <v>87</v>
      </c>
      <c r="D1115" s="12" t="s">
        <v>527</v>
      </c>
      <c r="E1115" s="12" t="s">
        <v>2431</v>
      </c>
      <c r="F1115" s="12" t="s">
        <v>18</v>
      </c>
      <c r="G1115" s="12" t="s">
        <v>90</v>
      </c>
      <c r="H1115" s="12" t="s">
        <v>2444</v>
      </c>
      <c r="I1115" s="12">
        <v>57561142104</v>
      </c>
      <c r="J1115" s="12" t="s">
        <v>2445</v>
      </c>
      <c r="K1115" s="12">
        <v>1</v>
      </c>
      <c r="L1115" s="12">
        <v>50</v>
      </c>
      <c r="M1115" s="12"/>
      <c r="N1115" s="13">
        <v>2006</v>
      </c>
      <c r="O1115" s="12" t="s">
        <v>93</v>
      </c>
      <c r="P1115" s="12"/>
      <c r="Q1115" s="12"/>
      <c r="R1115" s="12" t="s">
        <v>94</v>
      </c>
      <c r="S1115" s="12">
        <v>10</v>
      </c>
      <c r="T1115" s="12" t="s">
        <v>762</v>
      </c>
      <c r="U1115" s="12" t="s">
        <v>763</v>
      </c>
      <c r="V1115" s="12">
        <f>VLOOKUP(Tabla4[[#This Row],[ZONA DEFINITIVO]],Hoja1!$A$1:$D$121,3,0)</f>
        <v>229159</v>
      </c>
      <c r="W1115" s="12">
        <f>VLOOKUP(Tabla4[[#This Row],[ZONA DEFINITIVO]],Hoja1!$A$1:$D$121,2,0)</f>
        <v>15249</v>
      </c>
      <c r="X1115" s="12">
        <f>VLOOKUP(Tabla4[[#This Row],[ZONA DEFINITIVO]],Hoja1!$A$1:$D$121,4,0)</f>
        <v>89225</v>
      </c>
      <c r="Y1115" s="12" t="str">
        <f>+IF(Tabla4[[#This Row],[AGRUPACIONES]]=1,SUMIFS(Tabla4[UDS],Tabla4[ZONA DEFINITIVO],Tabla4[[#This Row],[ZONA DEFINITIVO]])," ")</f>
        <v xml:space="preserve"> </v>
      </c>
      <c r="Z1115" s="12" t="str">
        <f>+IF(Tabla4[[#This Row],[AGRUPACIONES]]=1,SUMIFS(Tabla4[TOTAL COBERTURA],Tabla4[ZONA DEFINITIVO],Tabla4[[#This Row],[ZONA DEFINITIVO]])," ")</f>
        <v xml:space="preserve"> </v>
      </c>
      <c r="AA1115" s="12"/>
      <c r="AB1115" s="38">
        <v>109009650</v>
      </c>
      <c r="AC1115" s="37">
        <v>0.02</v>
      </c>
      <c r="AD1115" s="38">
        <f t="shared" si="18"/>
        <v>2180193</v>
      </c>
      <c r="AE1115" s="12"/>
      <c r="AF1115" s="12">
        <f>COUNTIF($A$20:A1115,A1115)</f>
        <v>8</v>
      </c>
      <c r="AG1115" s="38">
        <v>109009650</v>
      </c>
      <c r="AH1115" s="38">
        <f>Tabla4[[#This Row],[VALOR CONTRAPARTIDA]]+Tabla4[[#This Row],[TOTAL APORTES ICBF]]</f>
        <v>111189843</v>
      </c>
      <c r="AI1115" s="35"/>
      <c r="AJ1115" s="38"/>
      <c r="AK1115" s="38"/>
      <c r="AL1115" s="23"/>
      <c r="AM1115" s="35">
        <f>VLOOKUP(Tabla4[[#This Row],[SERVICIO 2025]],$J$2:$V$14,5,0)*Tabla4[[#This Row],[TOTAL COBERTURA]]</f>
        <v>2468800</v>
      </c>
      <c r="AN1115" s="35">
        <f>VLOOKUP(Tabla4[[#This Row],[SERVICIO 2025]],$J$2:$V$14,6,0)*Tabla4[[#This Row],[TOTAL COBERTURA]]</f>
        <v>2051450</v>
      </c>
      <c r="AO1115" s="35">
        <f>VLOOKUP(Tabla4[[#This Row],[SERVICIO 2025]],$J$2:$V$14,8,0)*Tabla4[[#This Row],[TOTAL COBERTURA]]</f>
        <v>1455000</v>
      </c>
      <c r="AP1115" s="35">
        <f>VLOOKUP(Tabla4[[#This Row],[SERVICIO 2025]],$J$2:$V$14,3,0)*Tabla4[[#This Row],[TOTAL COBERTURA]]*8</f>
        <v>103034400</v>
      </c>
      <c r="AQ1115" s="35"/>
      <c r="AR1115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15" s="35" t="str">
        <f>+IF(Tabla4[[#This Row],[AGRUPACIONES]]=1,SUMIFS(Tabla4[VALOR TOTAL],Tabla4[ZONA DEFINITIVO],Tabla4[[#This Row],[ZONA DEFINITIVO]])," ")</f>
        <v xml:space="preserve"> </v>
      </c>
      <c r="AT1115" s="27">
        <f>(VLOOKUP(Tabla4[[#This Row],[SERVICIO 2025]],$J$2:$V$14,3,0)*Tabla4[[#This Row],[TOTAL COBERTURA]])+Tabla4[[#This Row],[VALOR FASE PREPARATORIA DE ALISTAMIENTO]]+Tabla4[[#This Row],[DOTACIÓN ÚNICA]]</f>
        <v>16803100</v>
      </c>
      <c r="AU1115" s="35">
        <f>(VLOOKUP(Tabla4[[#This Row],[SERVICIO 2025]],$J$2:$V$14,3,0)*Tabla4[[#This Row],[TOTAL COBERTURA]])</f>
        <v>12879300</v>
      </c>
      <c r="AV1115" s="35">
        <f>(VLOOKUP(Tabla4[[#This Row],[SERVICIO 2025]],$J$2:$V$14,3,0)*Tabla4[[#This Row],[TOTAL COBERTURA]])</f>
        <v>12879300</v>
      </c>
      <c r="AW1115" s="35">
        <f>(VLOOKUP(Tabla4[[#This Row],[SERVICIO 2025]],$J$2:$V$14,3,0)*Tabla4[[#This Row],[TOTAL COBERTURA]])</f>
        <v>12879300</v>
      </c>
      <c r="AX1115" s="35">
        <f>(VLOOKUP(Tabla4[[#This Row],[SERVICIO 2025]],$J$2:$V$14,3,0)*Tabla4[[#This Row],[TOTAL COBERTURA]])</f>
        <v>12879300</v>
      </c>
      <c r="AY1115" s="35">
        <f>(VLOOKUP(Tabla4[[#This Row],[SERVICIO 2025]],$J$2:$V$14,3,0)*Tabla4[[#This Row],[TOTAL COBERTURA]])</f>
        <v>12879300</v>
      </c>
      <c r="AZ1115" s="35">
        <f>(VLOOKUP(Tabla4[[#This Row],[SERVICIO 2025]],$J$2:$V$14,3,0)*Tabla4[[#This Row],[TOTAL COBERTURA]])</f>
        <v>12879300</v>
      </c>
      <c r="BA1115" s="35">
        <f>(VLOOKUP(Tabla4[[#This Row],[SERVICIO 2025]],$J$2:$V$14,3,0)*Tabla4[[#This Row],[TOTAL COBERTURA]])+Tabla4[[#This Row],[VALOR FASE PREPARATORIA DE CIERRE]]</f>
        <v>14930750</v>
      </c>
      <c r="BB1115" s="35">
        <f>SUM(Tabla4[[#This Row],[DESEMBOLSO 1]:[DESEMBOLSO 8]])</f>
        <v>109009650</v>
      </c>
      <c r="BC1115" s="35">
        <f>VLOOKUP(Tabla4[[#This Row],[SERVICIO 2025]],$J$2:$V$14,10,0)*Tabla4[[#This Row],[TOTAL COBERTURA]]*$W$3</f>
        <v>72153200</v>
      </c>
      <c r="BD1115" s="47" t="s">
        <v>211</v>
      </c>
      <c r="BE1115" s="12" t="b">
        <f>EXACT(Tabla4[[#This Row],[VALOR ATENCIÓN (8 MESES)]],Tabla4[[#This Row],[VALOR TOTAL]])</f>
        <v>1</v>
      </c>
      <c r="BF1115" s="23">
        <f>Tabla4[[#This Row],[VALOR ATENCIÓN (8 MESES)]]-Tabla4[[#This Row],[VALOR TOTAL]]</f>
        <v>0</v>
      </c>
      <c r="BG1115" s="12" t="b">
        <f>EXACT(Tabla4[[#This Row],[TOTAL DESEMBOLSOS]],Tabla4[[#This Row],[VALOR ATENCIÓN (8 MESES)]])</f>
        <v>1</v>
      </c>
      <c r="BH1115" s="29">
        <f>Tabla4[[#This Row],[TOTAL DESEMBOLSOS]]-Tabla4[[#This Row],[VALOR ATENCIÓN (8 MESES)]]</f>
        <v>0</v>
      </c>
      <c r="BI1115" t="s">
        <v>98</v>
      </c>
      <c r="BJ1115">
        <v>2006</v>
      </c>
    </row>
    <row r="1116" spans="1:62">
      <c r="A1116" s="13">
        <v>2006</v>
      </c>
      <c r="B1116" s="13" t="s">
        <v>2430</v>
      </c>
      <c r="C1116" s="12" t="s">
        <v>87</v>
      </c>
      <c r="D1116" s="12" t="s">
        <v>527</v>
      </c>
      <c r="E1116" s="12" t="s">
        <v>2431</v>
      </c>
      <c r="F1116" s="12" t="s">
        <v>18</v>
      </c>
      <c r="G1116" s="12" t="s">
        <v>90</v>
      </c>
      <c r="H1116" s="12" t="s">
        <v>2446</v>
      </c>
      <c r="I1116" s="12">
        <v>57561142112</v>
      </c>
      <c r="J1116" s="12" t="s">
        <v>2447</v>
      </c>
      <c r="K1116" s="12">
        <v>1</v>
      </c>
      <c r="L1116" s="12">
        <v>50</v>
      </c>
      <c r="M1116" s="12"/>
      <c r="N1116" s="13">
        <v>2006</v>
      </c>
      <c r="O1116" s="12" t="s">
        <v>93</v>
      </c>
      <c r="P1116" s="12"/>
      <c r="Q1116" s="12"/>
      <c r="R1116" s="12" t="s">
        <v>94</v>
      </c>
      <c r="S1116" s="12">
        <v>10</v>
      </c>
      <c r="T1116" s="12" t="s">
        <v>762</v>
      </c>
      <c r="U1116" s="12" t="s">
        <v>763</v>
      </c>
      <c r="V1116" s="12">
        <f>VLOOKUP(Tabla4[[#This Row],[ZONA DEFINITIVO]],Hoja1!$A$1:$D$121,3,0)</f>
        <v>229159</v>
      </c>
      <c r="W1116" s="12">
        <f>VLOOKUP(Tabla4[[#This Row],[ZONA DEFINITIVO]],Hoja1!$A$1:$D$121,2,0)</f>
        <v>15249</v>
      </c>
      <c r="X1116" s="12">
        <f>VLOOKUP(Tabla4[[#This Row],[ZONA DEFINITIVO]],Hoja1!$A$1:$D$121,4,0)</f>
        <v>89225</v>
      </c>
      <c r="Y1116" s="12" t="str">
        <f>+IF(Tabla4[[#This Row],[AGRUPACIONES]]=1,SUMIFS(Tabla4[UDS],Tabla4[ZONA DEFINITIVO],Tabla4[[#This Row],[ZONA DEFINITIVO]])," ")</f>
        <v xml:space="preserve"> </v>
      </c>
      <c r="Z1116" s="12" t="str">
        <f>+IF(Tabla4[[#This Row],[AGRUPACIONES]]=1,SUMIFS(Tabla4[TOTAL COBERTURA],Tabla4[ZONA DEFINITIVO],Tabla4[[#This Row],[ZONA DEFINITIVO]])," ")</f>
        <v xml:space="preserve"> </v>
      </c>
      <c r="AA1116" s="12"/>
      <c r="AB1116" s="38">
        <v>109009650</v>
      </c>
      <c r="AC1116" s="37">
        <v>0.02</v>
      </c>
      <c r="AD1116" s="38">
        <f t="shared" si="18"/>
        <v>2180193</v>
      </c>
      <c r="AE1116" s="12"/>
      <c r="AF1116" s="12">
        <f>COUNTIF($A$20:A1116,A1116)</f>
        <v>9</v>
      </c>
      <c r="AG1116" s="38">
        <v>109009650</v>
      </c>
      <c r="AH1116" s="38">
        <f>Tabla4[[#This Row],[VALOR CONTRAPARTIDA]]+Tabla4[[#This Row],[TOTAL APORTES ICBF]]</f>
        <v>111189843</v>
      </c>
      <c r="AI1116" s="35"/>
      <c r="AJ1116" s="38"/>
      <c r="AK1116" s="38"/>
      <c r="AL1116" s="23"/>
      <c r="AM1116" s="35">
        <f>VLOOKUP(Tabla4[[#This Row],[SERVICIO 2025]],$J$2:$V$14,5,0)*Tabla4[[#This Row],[TOTAL COBERTURA]]</f>
        <v>2468800</v>
      </c>
      <c r="AN1116" s="35">
        <f>VLOOKUP(Tabla4[[#This Row],[SERVICIO 2025]],$J$2:$V$14,6,0)*Tabla4[[#This Row],[TOTAL COBERTURA]]</f>
        <v>2051450</v>
      </c>
      <c r="AO1116" s="35">
        <f>VLOOKUP(Tabla4[[#This Row],[SERVICIO 2025]],$J$2:$V$14,8,0)*Tabla4[[#This Row],[TOTAL COBERTURA]]</f>
        <v>1455000</v>
      </c>
      <c r="AP1116" s="35">
        <f>VLOOKUP(Tabla4[[#This Row],[SERVICIO 2025]],$J$2:$V$14,3,0)*Tabla4[[#This Row],[TOTAL COBERTURA]]*8</f>
        <v>103034400</v>
      </c>
      <c r="AQ1116" s="35"/>
      <c r="AR1116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16" s="35" t="str">
        <f>+IF(Tabla4[[#This Row],[AGRUPACIONES]]=1,SUMIFS(Tabla4[VALOR TOTAL],Tabla4[ZONA DEFINITIVO],Tabla4[[#This Row],[ZONA DEFINITIVO]])," ")</f>
        <v xml:space="preserve"> </v>
      </c>
      <c r="AT1116" s="27">
        <f>(VLOOKUP(Tabla4[[#This Row],[SERVICIO 2025]],$J$2:$V$14,3,0)*Tabla4[[#This Row],[TOTAL COBERTURA]])+Tabla4[[#This Row],[VALOR FASE PREPARATORIA DE ALISTAMIENTO]]+Tabla4[[#This Row],[DOTACIÓN ÚNICA]]</f>
        <v>16803100</v>
      </c>
      <c r="AU1116" s="35">
        <f>(VLOOKUP(Tabla4[[#This Row],[SERVICIO 2025]],$J$2:$V$14,3,0)*Tabla4[[#This Row],[TOTAL COBERTURA]])</f>
        <v>12879300</v>
      </c>
      <c r="AV1116" s="35">
        <f>(VLOOKUP(Tabla4[[#This Row],[SERVICIO 2025]],$J$2:$V$14,3,0)*Tabla4[[#This Row],[TOTAL COBERTURA]])</f>
        <v>12879300</v>
      </c>
      <c r="AW1116" s="35">
        <f>(VLOOKUP(Tabla4[[#This Row],[SERVICIO 2025]],$J$2:$V$14,3,0)*Tabla4[[#This Row],[TOTAL COBERTURA]])</f>
        <v>12879300</v>
      </c>
      <c r="AX1116" s="35">
        <f>(VLOOKUP(Tabla4[[#This Row],[SERVICIO 2025]],$J$2:$V$14,3,0)*Tabla4[[#This Row],[TOTAL COBERTURA]])</f>
        <v>12879300</v>
      </c>
      <c r="AY1116" s="35">
        <f>(VLOOKUP(Tabla4[[#This Row],[SERVICIO 2025]],$J$2:$V$14,3,0)*Tabla4[[#This Row],[TOTAL COBERTURA]])</f>
        <v>12879300</v>
      </c>
      <c r="AZ1116" s="35">
        <f>(VLOOKUP(Tabla4[[#This Row],[SERVICIO 2025]],$J$2:$V$14,3,0)*Tabla4[[#This Row],[TOTAL COBERTURA]])</f>
        <v>12879300</v>
      </c>
      <c r="BA1116" s="35">
        <f>(VLOOKUP(Tabla4[[#This Row],[SERVICIO 2025]],$J$2:$V$14,3,0)*Tabla4[[#This Row],[TOTAL COBERTURA]])+Tabla4[[#This Row],[VALOR FASE PREPARATORIA DE CIERRE]]</f>
        <v>14930750</v>
      </c>
      <c r="BB1116" s="35">
        <f>SUM(Tabla4[[#This Row],[DESEMBOLSO 1]:[DESEMBOLSO 8]])</f>
        <v>109009650</v>
      </c>
      <c r="BC1116" s="35">
        <f>VLOOKUP(Tabla4[[#This Row],[SERVICIO 2025]],$J$2:$V$14,10,0)*Tabla4[[#This Row],[TOTAL COBERTURA]]*$W$3</f>
        <v>72153200</v>
      </c>
      <c r="BD1116" s="47" t="s">
        <v>211</v>
      </c>
      <c r="BE1116" s="12" t="b">
        <f>EXACT(Tabla4[[#This Row],[VALOR ATENCIÓN (8 MESES)]],Tabla4[[#This Row],[VALOR TOTAL]])</f>
        <v>1</v>
      </c>
      <c r="BF1116" s="23">
        <f>Tabla4[[#This Row],[VALOR ATENCIÓN (8 MESES)]]-Tabla4[[#This Row],[VALOR TOTAL]]</f>
        <v>0</v>
      </c>
      <c r="BG1116" s="12" t="b">
        <f>EXACT(Tabla4[[#This Row],[TOTAL DESEMBOLSOS]],Tabla4[[#This Row],[VALOR ATENCIÓN (8 MESES)]])</f>
        <v>1</v>
      </c>
      <c r="BH1116" s="29">
        <f>Tabla4[[#This Row],[TOTAL DESEMBOLSOS]]-Tabla4[[#This Row],[VALOR ATENCIÓN (8 MESES)]]</f>
        <v>0</v>
      </c>
      <c r="BI1116" t="s">
        <v>98</v>
      </c>
      <c r="BJ1116">
        <v>2006</v>
      </c>
    </row>
    <row r="1117" spans="1:62">
      <c r="A1117" s="13">
        <v>2006</v>
      </c>
      <c r="B1117" s="13" t="s">
        <v>2430</v>
      </c>
      <c r="C1117" s="12" t="s">
        <v>87</v>
      </c>
      <c r="D1117" s="12" t="s">
        <v>527</v>
      </c>
      <c r="E1117" s="12" t="s">
        <v>2431</v>
      </c>
      <c r="F1117" s="12" t="s">
        <v>18</v>
      </c>
      <c r="G1117" s="12" t="s">
        <v>90</v>
      </c>
      <c r="H1117" s="12" t="s">
        <v>2448</v>
      </c>
      <c r="I1117" s="12">
        <v>57561144198</v>
      </c>
      <c r="J1117" s="12" t="s">
        <v>2449</v>
      </c>
      <c r="K1117" s="12">
        <v>1</v>
      </c>
      <c r="L1117" s="12">
        <v>50</v>
      </c>
      <c r="M1117" s="12"/>
      <c r="N1117" s="13">
        <v>2006</v>
      </c>
      <c r="O1117" s="12" t="s">
        <v>93</v>
      </c>
      <c r="P1117" s="12"/>
      <c r="Q1117" s="12"/>
      <c r="R1117" s="12" t="s">
        <v>94</v>
      </c>
      <c r="S1117" s="12">
        <v>10</v>
      </c>
      <c r="T1117" s="12" t="s">
        <v>762</v>
      </c>
      <c r="U1117" s="12" t="s">
        <v>763</v>
      </c>
      <c r="V1117" s="12">
        <f>VLOOKUP(Tabla4[[#This Row],[ZONA DEFINITIVO]],Hoja1!$A$1:$D$121,3,0)</f>
        <v>229159</v>
      </c>
      <c r="W1117" s="12">
        <f>VLOOKUP(Tabla4[[#This Row],[ZONA DEFINITIVO]],Hoja1!$A$1:$D$121,2,0)</f>
        <v>15249</v>
      </c>
      <c r="X1117" s="12">
        <f>VLOOKUP(Tabla4[[#This Row],[ZONA DEFINITIVO]],Hoja1!$A$1:$D$121,4,0)</f>
        <v>89225</v>
      </c>
      <c r="Y1117" s="12" t="str">
        <f>+IF(Tabla4[[#This Row],[AGRUPACIONES]]=1,SUMIFS(Tabla4[UDS],Tabla4[ZONA DEFINITIVO],Tabla4[[#This Row],[ZONA DEFINITIVO]])," ")</f>
        <v xml:space="preserve"> </v>
      </c>
      <c r="Z1117" s="12" t="str">
        <f>+IF(Tabla4[[#This Row],[AGRUPACIONES]]=1,SUMIFS(Tabla4[TOTAL COBERTURA],Tabla4[ZONA DEFINITIVO],Tabla4[[#This Row],[ZONA DEFINITIVO]])," ")</f>
        <v xml:space="preserve"> </v>
      </c>
      <c r="AA1117" s="12"/>
      <c r="AB1117" s="38">
        <v>109009650</v>
      </c>
      <c r="AC1117" s="37">
        <v>0.02</v>
      </c>
      <c r="AD1117" s="38">
        <f t="shared" si="18"/>
        <v>2180193</v>
      </c>
      <c r="AE1117" s="12"/>
      <c r="AF1117" s="12">
        <f>COUNTIF($A$20:A1117,A1117)</f>
        <v>10</v>
      </c>
      <c r="AG1117" s="38">
        <v>109009650</v>
      </c>
      <c r="AH1117" s="38">
        <f>Tabla4[[#This Row],[VALOR CONTRAPARTIDA]]+Tabla4[[#This Row],[TOTAL APORTES ICBF]]</f>
        <v>111189843</v>
      </c>
      <c r="AI1117" s="35"/>
      <c r="AJ1117" s="38"/>
      <c r="AK1117" s="38"/>
      <c r="AL1117" s="23"/>
      <c r="AM1117" s="35">
        <f>VLOOKUP(Tabla4[[#This Row],[SERVICIO 2025]],$J$2:$V$14,5,0)*Tabla4[[#This Row],[TOTAL COBERTURA]]</f>
        <v>2468800</v>
      </c>
      <c r="AN1117" s="35">
        <f>VLOOKUP(Tabla4[[#This Row],[SERVICIO 2025]],$J$2:$V$14,6,0)*Tabla4[[#This Row],[TOTAL COBERTURA]]</f>
        <v>2051450</v>
      </c>
      <c r="AO1117" s="35">
        <f>VLOOKUP(Tabla4[[#This Row],[SERVICIO 2025]],$J$2:$V$14,8,0)*Tabla4[[#This Row],[TOTAL COBERTURA]]</f>
        <v>1455000</v>
      </c>
      <c r="AP1117" s="35">
        <f>VLOOKUP(Tabla4[[#This Row],[SERVICIO 2025]],$J$2:$V$14,3,0)*Tabla4[[#This Row],[TOTAL COBERTURA]]*8</f>
        <v>103034400</v>
      </c>
      <c r="AQ1117" s="35"/>
      <c r="AR1117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17" s="35" t="str">
        <f>+IF(Tabla4[[#This Row],[AGRUPACIONES]]=1,SUMIFS(Tabla4[VALOR TOTAL],Tabla4[ZONA DEFINITIVO],Tabla4[[#This Row],[ZONA DEFINITIVO]])," ")</f>
        <v xml:space="preserve"> </v>
      </c>
      <c r="AT1117" s="27">
        <f>(VLOOKUP(Tabla4[[#This Row],[SERVICIO 2025]],$J$2:$V$14,3,0)*Tabla4[[#This Row],[TOTAL COBERTURA]])+Tabla4[[#This Row],[VALOR FASE PREPARATORIA DE ALISTAMIENTO]]+Tabla4[[#This Row],[DOTACIÓN ÚNICA]]</f>
        <v>16803100</v>
      </c>
      <c r="AU1117" s="35">
        <f>(VLOOKUP(Tabla4[[#This Row],[SERVICIO 2025]],$J$2:$V$14,3,0)*Tabla4[[#This Row],[TOTAL COBERTURA]])</f>
        <v>12879300</v>
      </c>
      <c r="AV1117" s="35">
        <f>(VLOOKUP(Tabla4[[#This Row],[SERVICIO 2025]],$J$2:$V$14,3,0)*Tabla4[[#This Row],[TOTAL COBERTURA]])</f>
        <v>12879300</v>
      </c>
      <c r="AW1117" s="35">
        <f>(VLOOKUP(Tabla4[[#This Row],[SERVICIO 2025]],$J$2:$V$14,3,0)*Tabla4[[#This Row],[TOTAL COBERTURA]])</f>
        <v>12879300</v>
      </c>
      <c r="AX1117" s="35">
        <f>(VLOOKUP(Tabla4[[#This Row],[SERVICIO 2025]],$J$2:$V$14,3,0)*Tabla4[[#This Row],[TOTAL COBERTURA]])</f>
        <v>12879300</v>
      </c>
      <c r="AY1117" s="35">
        <f>(VLOOKUP(Tabla4[[#This Row],[SERVICIO 2025]],$J$2:$V$14,3,0)*Tabla4[[#This Row],[TOTAL COBERTURA]])</f>
        <v>12879300</v>
      </c>
      <c r="AZ1117" s="35">
        <f>(VLOOKUP(Tabla4[[#This Row],[SERVICIO 2025]],$J$2:$V$14,3,0)*Tabla4[[#This Row],[TOTAL COBERTURA]])</f>
        <v>12879300</v>
      </c>
      <c r="BA1117" s="35">
        <f>(VLOOKUP(Tabla4[[#This Row],[SERVICIO 2025]],$J$2:$V$14,3,0)*Tabla4[[#This Row],[TOTAL COBERTURA]])+Tabla4[[#This Row],[VALOR FASE PREPARATORIA DE CIERRE]]</f>
        <v>14930750</v>
      </c>
      <c r="BB1117" s="35">
        <f>SUM(Tabla4[[#This Row],[DESEMBOLSO 1]:[DESEMBOLSO 8]])</f>
        <v>109009650</v>
      </c>
      <c r="BC1117" s="35">
        <f>VLOOKUP(Tabla4[[#This Row],[SERVICIO 2025]],$J$2:$V$14,10,0)*Tabla4[[#This Row],[TOTAL COBERTURA]]*$W$3</f>
        <v>72153200</v>
      </c>
      <c r="BD1117" s="47" t="s">
        <v>211</v>
      </c>
      <c r="BE1117" s="12" t="b">
        <f>EXACT(Tabla4[[#This Row],[VALOR ATENCIÓN (8 MESES)]],Tabla4[[#This Row],[VALOR TOTAL]])</f>
        <v>1</v>
      </c>
      <c r="BF1117" s="23">
        <f>Tabla4[[#This Row],[VALOR ATENCIÓN (8 MESES)]]-Tabla4[[#This Row],[VALOR TOTAL]]</f>
        <v>0</v>
      </c>
      <c r="BG1117" s="12" t="b">
        <f>EXACT(Tabla4[[#This Row],[TOTAL DESEMBOLSOS]],Tabla4[[#This Row],[VALOR ATENCIÓN (8 MESES)]])</f>
        <v>1</v>
      </c>
      <c r="BH1117" s="29">
        <f>Tabla4[[#This Row],[TOTAL DESEMBOLSOS]]-Tabla4[[#This Row],[VALOR ATENCIÓN (8 MESES)]]</f>
        <v>0</v>
      </c>
      <c r="BI1117" t="s">
        <v>98</v>
      </c>
      <c r="BJ1117">
        <v>2006</v>
      </c>
    </row>
    <row r="1118" spans="1:62">
      <c r="A1118" s="13">
        <v>2006</v>
      </c>
      <c r="B1118" s="13" t="s">
        <v>2430</v>
      </c>
      <c r="C1118" s="12" t="s">
        <v>87</v>
      </c>
      <c r="D1118" s="12" t="s">
        <v>527</v>
      </c>
      <c r="E1118" s="12" t="s">
        <v>2431</v>
      </c>
      <c r="F1118" s="12" t="s">
        <v>18</v>
      </c>
      <c r="G1118" s="12" t="s">
        <v>90</v>
      </c>
      <c r="H1118" s="12" t="s">
        <v>2450</v>
      </c>
      <c r="I1118" s="12">
        <v>57561155762</v>
      </c>
      <c r="J1118" s="12" t="s">
        <v>2451</v>
      </c>
      <c r="K1118" s="12">
        <v>1</v>
      </c>
      <c r="L1118" s="12">
        <v>50</v>
      </c>
      <c r="M1118" s="12"/>
      <c r="N1118" s="13">
        <v>2006</v>
      </c>
      <c r="O1118" s="12" t="s">
        <v>93</v>
      </c>
      <c r="P1118" s="12"/>
      <c r="Q1118" s="12"/>
      <c r="R1118" s="12" t="s">
        <v>94</v>
      </c>
      <c r="S1118" s="12">
        <v>10</v>
      </c>
      <c r="T1118" s="12" t="s">
        <v>762</v>
      </c>
      <c r="U1118" s="12" t="s">
        <v>763</v>
      </c>
      <c r="V1118" s="12">
        <f>VLOOKUP(Tabla4[[#This Row],[ZONA DEFINITIVO]],Hoja1!$A$1:$D$121,3,0)</f>
        <v>229159</v>
      </c>
      <c r="W1118" s="12">
        <f>VLOOKUP(Tabla4[[#This Row],[ZONA DEFINITIVO]],Hoja1!$A$1:$D$121,2,0)</f>
        <v>15249</v>
      </c>
      <c r="X1118" s="12">
        <f>VLOOKUP(Tabla4[[#This Row],[ZONA DEFINITIVO]],Hoja1!$A$1:$D$121,4,0)</f>
        <v>89225</v>
      </c>
      <c r="Y1118" s="12" t="str">
        <f>+IF(Tabla4[[#This Row],[AGRUPACIONES]]=1,SUMIFS(Tabla4[UDS],Tabla4[ZONA DEFINITIVO],Tabla4[[#This Row],[ZONA DEFINITIVO]])," ")</f>
        <v xml:space="preserve"> </v>
      </c>
      <c r="Z1118" s="12" t="str">
        <f>+IF(Tabla4[[#This Row],[AGRUPACIONES]]=1,SUMIFS(Tabla4[TOTAL COBERTURA],Tabla4[ZONA DEFINITIVO],Tabla4[[#This Row],[ZONA DEFINITIVO]])," ")</f>
        <v xml:space="preserve"> </v>
      </c>
      <c r="AA1118" s="12"/>
      <c r="AB1118" s="38">
        <v>109009650</v>
      </c>
      <c r="AC1118" s="37">
        <v>0.02</v>
      </c>
      <c r="AD1118" s="38">
        <f t="shared" si="18"/>
        <v>2180193</v>
      </c>
      <c r="AE1118" s="12"/>
      <c r="AF1118" s="12">
        <f>COUNTIF($A$20:A1118,A1118)</f>
        <v>11</v>
      </c>
      <c r="AG1118" s="38">
        <v>109009650</v>
      </c>
      <c r="AH1118" s="38">
        <f>Tabla4[[#This Row],[VALOR CONTRAPARTIDA]]+Tabla4[[#This Row],[TOTAL APORTES ICBF]]</f>
        <v>111189843</v>
      </c>
      <c r="AI1118" s="35"/>
      <c r="AJ1118" s="38"/>
      <c r="AK1118" s="38"/>
      <c r="AL1118" s="23"/>
      <c r="AM1118" s="35">
        <f>VLOOKUP(Tabla4[[#This Row],[SERVICIO 2025]],$J$2:$V$14,5,0)*Tabla4[[#This Row],[TOTAL COBERTURA]]</f>
        <v>2468800</v>
      </c>
      <c r="AN1118" s="35">
        <f>VLOOKUP(Tabla4[[#This Row],[SERVICIO 2025]],$J$2:$V$14,6,0)*Tabla4[[#This Row],[TOTAL COBERTURA]]</f>
        <v>2051450</v>
      </c>
      <c r="AO1118" s="35">
        <f>VLOOKUP(Tabla4[[#This Row],[SERVICIO 2025]],$J$2:$V$14,8,0)*Tabla4[[#This Row],[TOTAL COBERTURA]]</f>
        <v>1455000</v>
      </c>
      <c r="AP1118" s="35">
        <f>VLOOKUP(Tabla4[[#This Row],[SERVICIO 2025]],$J$2:$V$14,3,0)*Tabla4[[#This Row],[TOTAL COBERTURA]]*8</f>
        <v>103034400</v>
      </c>
      <c r="AQ1118" s="35"/>
      <c r="AR1118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18" s="35" t="str">
        <f>+IF(Tabla4[[#This Row],[AGRUPACIONES]]=1,SUMIFS(Tabla4[VALOR TOTAL],Tabla4[ZONA DEFINITIVO],Tabla4[[#This Row],[ZONA DEFINITIVO]])," ")</f>
        <v xml:space="preserve"> </v>
      </c>
      <c r="AT1118" s="27">
        <f>(VLOOKUP(Tabla4[[#This Row],[SERVICIO 2025]],$J$2:$V$14,3,0)*Tabla4[[#This Row],[TOTAL COBERTURA]])+Tabla4[[#This Row],[VALOR FASE PREPARATORIA DE ALISTAMIENTO]]+Tabla4[[#This Row],[DOTACIÓN ÚNICA]]</f>
        <v>16803100</v>
      </c>
      <c r="AU1118" s="35">
        <f>(VLOOKUP(Tabla4[[#This Row],[SERVICIO 2025]],$J$2:$V$14,3,0)*Tabla4[[#This Row],[TOTAL COBERTURA]])</f>
        <v>12879300</v>
      </c>
      <c r="AV1118" s="35">
        <f>(VLOOKUP(Tabla4[[#This Row],[SERVICIO 2025]],$J$2:$V$14,3,0)*Tabla4[[#This Row],[TOTAL COBERTURA]])</f>
        <v>12879300</v>
      </c>
      <c r="AW1118" s="35">
        <f>(VLOOKUP(Tabla4[[#This Row],[SERVICIO 2025]],$J$2:$V$14,3,0)*Tabla4[[#This Row],[TOTAL COBERTURA]])</f>
        <v>12879300</v>
      </c>
      <c r="AX1118" s="35">
        <f>(VLOOKUP(Tabla4[[#This Row],[SERVICIO 2025]],$J$2:$V$14,3,0)*Tabla4[[#This Row],[TOTAL COBERTURA]])</f>
        <v>12879300</v>
      </c>
      <c r="AY1118" s="35">
        <f>(VLOOKUP(Tabla4[[#This Row],[SERVICIO 2025]],$J$2:$V$14,3,0)*Tabla4[[#This Row],[TOTAL COBERTURA]])</f>
        <v>12879300</v>
      </c>
      <c r="AZ1118" s="35">
        <f>(VLOOKUP(Tabla4[[#This Row],[SERVICIO 2025]],$J$2:$V$14,3,0)*Tabla4[[#This Row],[TOTAL COBERTURA]])</f>
        <v>12879300</v>
      </c>
      <c r="BA1118" s="35">
        <f>(VLOOKUP(Tabla4[[#This Row],[SERVICIO 2025]],$J$2:$V$14,3,0)*Tabla4[[#This Row],[TOTAL COBERTURA]])+Tabla4[[#This Row],[VALOR FASE PREPARATORIA DE CIERRE]]</f>
        <v>14930750</v>
      </c>
      <c r="BB1118" s="35">
        <f>SUM(Tabla4[[#This Row],[DESEMBOLSO 1]:[DESEMBOLSO 8]])</f>
        <v>109009650</v>
      </c>
      <c r="BC1118" s="35">
        <f>VLOOKUP(Tabla4[[#This Row],[SERVICIO 2025]],$J$2:$V$14,10,0)*Tabla4[[#This Row],[TOTAL COBERTURA]]*$W$3</f>
        <v>72153200</v>
      </c>
      <c r="BD1118" s="47" t="s">
        <v>211</v>
      </c>
      <c r="BE1118" s="12" t="b">
        <f>EXACT(Tabla4[[#This Row],[VALOR ATENCIÓN (8 MESES)]],Tabla4[[#This Row],[VALOR TOTAL]])</f>
        <v>1</v>
      </c>
      <c r="BF1118" s="23">
        <f>Tabla4[[#This Row],[VALOR ATENCIÓN (8 MESES)]]-Tabla4[[#This Row],[VALOR TOTAL]]</f>
        <v>0</v>
      </c>
      <c r="BG1118" s="12" t="b">
        <f>EXACT(Tabla4[[#This Row],[TOTAL DESEMBOLSOS]],Tabla4[[#This Row],[VALOR ATENCIÓN (8 MESES)]])</f>
        <v>1</v>
      </c>
      <c r="BH1118" s="29">
        <f>Tabla4[[#This Row],[TOTAL DESEMBOLSOS]]-Tabla4[[#This Row],[VALOR ATENCIÓN (8 MESES)]]</f>
        <v>0</v>
      </c>
      <c r="BI1118" t="s">
        <v>98</v>
      </c>
      <c r="BJ1118">
        <v>2006</v>
      </c>
    </row>
    <row r="1119" spans="1:62">
      <c r="A1119" s="13">
        <v>2006</v>
      </c>
      <c r="B1119" s="13" t="s">
        <v>2430</v>
      </c>
      <c r="C1119" s="12" t="s">
        <v>87</v>
      </c>
      <c r="D1119" s="12" t="s">
        <v>527</v>
      </c>
      <c r="E1119" s="12" t="s">
        <v>2431</v>
      </c>
      <c r="F1119" s="12" t="s">
        <v>14</v>
      </c>
      <c r="G1119" s="12" t="s">
        <v>90</v>
      </c>
      <c r="H1119" s="12" t="s">
        <v>2452</v>
      </c>
      <c r="I1119" s="12">
        <v>575600033013</v>
      </c>
      <c r="J1119" s="12" t="s">
        <v>2453</v>
      </c>
      <c r="K1119" s="12">
        <v>1</v>
      </c>
      <c r="L1119" s="12">
        <v>57</v>
      </c>
      <c r="M1119" s="12"/>
      <c r="N1119" s="13">
        <v>2006</v>
      </c>
      <c r="O1119" s="12" t="s">
        <v>93</v>
      </c>
      <c r="P1119" s="12"/>
      <c r="Q1119" s="12"/>
      <c r="R1119" s="12" t="s">
        <v>94</v>
      </c>
      <c r="S1119" s="12">
        <v>10</v>
      </c>
      <c r="T1119" s="12" t="s">
        <v>762</v>
      </c>
      <c r="U1119" s="12" t="s">
        <v>763</v>
      </c>
      <c r="V1119" s="12">
        <f>VLOOKUP(Tabla4[[#This Row],[ZONA DEFINITIVO]],Hoja1!$A$1:$D$121,3,0)</f>
        <v>229159</v>
      </c>
      <c r="W1119" s="12">
        <f>VLOOKUP(Tabla4[[#This Row],[ZONA DEFINITIVO]],Hoja1!$A$1:$D$121,2,0)</f>
        <v>15249</v>
      </c>
      <c r="X1119" s="12">
        <f>VLOOKUP(Tabla4[[#This Row],[ZONA DEFINITIVO]],Hoja1!$A$1:$D$121,4,0)</f>
        <v>89225</v>
      </c>
      <c r="Y1119" s="12" t="str">
        <f>+IF(Tabla4[[#This Row],[AGRUPACIONES]]=1,SUMIFS(Tabla4[UDS],Tabla4[ZONA DEFINITIVO],Tabla4[[#This Row],[ZONA DEFINITIVO]])," ")</f>
        <v xml:space="preserve"> </v>
      </c>
      <c r="Z1119" s="12" t="str">
        <f>+IF(Tabla4[[#This Row],[AGRUPACIONES]]=1,SUMIFS(Tabla4[TOTAL COBERTURA],Tabla4[ZONA DEFINITIVO],Tabla4[[#This Row],[ZONA DEFINITIVO]])," ")</f>
        <v xml:space="preserve"> </v>
      </c>
      <c r="AA1119" s="12"/>
      <c r="AB1119" s="38">
        <v>238764450</v>
      </c>
      <c r="AC1119" s="37">
        <v>0.02</v>
      </c>
      <c r="AD1119" s="38">
        <f t="shared" si="18"/>
        <v>4775289</v>
      </c>
      <c r="AE1119" s="12"/>
      <c r="AF1119" s="12">
        <f>COUNTIF($A$20:A1119,A1119)</f>
        <v>12</v>
      </c>
      <c r="AG1119" s="38">
        <v>238764450</v>
      </c>
      <c r="AH1119" s="38">
        <f>Tabla4[[#This Row],[VALOR CONTRAPARTIDA]]+Tabla4[[#This Row],[TOTAL APORTES ICBF]]</f>
        <v>243539739</v>
      </c>
      <c r="AI1119" s="35"/>
      <c r="AJ1119" s="38"/>
      <c r="AK1119" s="38"/>
      <c r="AL1119" s="23"/>
      <c r="AM1119" s="35">
        <f>VLOOKUP(Tabla4[[#This Row],[SERVICIO 2025]],$J$2:$V$14,5,0)*Tabla4[[#This Row],[TOTAL COBERTURA]]</f>
        <v>5024151</v>
      </c>
      <c r="AN1119" s="35">
        <f>VLOOKUP(Tabla4[[#This Row],[SERVICIO 2025]],$J$2:$V$14,6,0)*Tabla4[[#This Row],[TOTAL COBERTURA]]</f>
        <v>4277451</v>
      </c>
      <c r="AO1119" s="35">
        <f>VLOOKUP(Tabla4[[#This Row],[SERVICIO 2025]],$J$2:$V$14,8,0)*Tabla4[[#This Row],[TOTAL COBERTURA]]</f>
        <v>0</v>
      </c>
      <c r="AP1119" s="35">
        <f>VLOOKUP(Tabla4[[#This Row],[SERVICIO 2025]],$J$2:$V$14,3,0)*Tabla4[[#This Row],[TOTAL COBERTURA]]*8</f>
        <v>229462848</v>
      </c>
      <c r="AQ1119" s="35"/>
      <c r="AR1119" s="35">
        <f>Tabla4[[#This Row],[VALOR FASE PREPARATORIA DE ALISTAMIENTO]]+Tabla4[[#This Row],[VALOR FASE PREPARATORIA DE CIERRE]]+Tabla4[[#This Row],[DOTACIÓN ÚNICA]]+Tabla4[[#This Row],[VALOR ATENCIÓN]]+Tabla4[[#This Row],[VALOR RACION PREPARADA]]</f>
        <v>238764450</v>
      </c>
      <c r="AS1119" s="35" t="str">
        <f>+IF(Tabla4[[#This Row],[AGRUPACIONES]]=1,SUMIFS(Tabla4[VALOR TOTAL],Tabla4[ZONA DEFINITIVO],Tabla4[[#This Row],[ZONA DEFINITIVO]])," ")</f>
        <v xml:space="preserve"> </v>
      </c>
      <c r="AT1119" s="27">
        <f>(VLOOKUP(Tabla4[[#This Row],[SERVICIO 2025]],$J$2:$V$14,3,0)*Tabla4[[#This Row],[TOTAL COBERTURA]])+Tabla4[[#This Row],[VALOR FASE PREPARATORIA DE ALISTAMIENTO]]+Tabla4[[#This Row],[DOTACIÓN ÚNICA]]</f>
        <v>33707007</v>
      </c>
      <c r="AU1119" s="35">
        <f>(VLOOKUP(Tabla4[[#This Row],[SERVICIO 2025]],$J$2:$V$14,3,0)*Tabla4[[#This Row],[TOTAL COBERTURA]])</f>
        <v>28682856</v>
      </c>
      <c r="AV1119" s="35">
        <f>(VLOOKUP(Tabla4[[#This Row],[SERVICIO 2025]],$J$2:$V$14,3,0)*Tabla4[[#This Row],[TOTAL COBERTURA]])</f>
        <v>28682856</v>
      </c>
      <c r="AW1119" s="35">
        <f>(VLOOKUP(Tabla4[[#This Row],[SERVICIO 2025]],$J$2:$V$14,3,0)*Tabla4[[#This Row],[TOTAL COBERTURA]])</f>
        <v>28682856</v>
      </c>
      <c r="AX1119" s="35">
        <f>(VLOOKUP(Tabla4[[#This Row],[SERVICIO 2025]],$J$2:$V$14,3,0)*Tabla4[[#This Row],[TOTAL COBERTURA]])</f>
        <v>28682856</v>
      </c>
      <c r="AY1119" s="35">
        <f>(VLOOKUP(Tabla4[[#This Row],[SERVICIO 2025]],$J$2:$V$14,3,0)*Tabla4[[#This Row],[TOTAL COBERTURA]])</f>
        <v>28682856</v>
      </c>
      <c r="AZ1119" s="35">
        <f>(VLOOKUP(Tabla4[[#This Row],[SERVICIO 2025]],$J$2:$V$14,3,0)*Tabla4[[#This Row],[TOTAL COBERTURA]])</f>
        <v>28682856</v>
      </c>
      <c r="BA1119" s="35">
        <f>(VLOOKUP(Tabla4[[#This Row],[SERVICIO 2025]],$J$2:$V$14,3,0)*Tabla4[[#This Row],[TOTAL COBERTURA]])+Tabla4[[#This Row],[VALOR FASE PREPARATORIA DE CIERRE]]</f>
        <v>32960307</v>
      </c>
      <c r="BB1119" s="35">
        <f>SUM(Tabla4[[#This Row],[DESEMBOLSO 1]:[DESEMBOLSO 8]])</f>
        <v>238764450</v>
      </c>
      <c r="BC1119" s="35">
        <f>VLOOKUP(Tabla4[[#This Row],[SERVICIO 2025]],$J$2:$V$14,10,0)*Tabla4[[#This Row],[TOTAL COBERTURA]]*$W$3</f>
        <v>0</v>
      </c>
      <c r="BD1119" s="47" t="s">
        <v>145</v>
      </c>
      <c r="BE1119" s="12" t="b">
        <f>EXACT(Tabla4[[#This Row],[VALOR ATENCIÓN (8 MESES)]],Tabla4[[#This Row],[VALOR TOTAL]])</f>
        <v>1</v>
      </c>
      <c r="BF1119" s="23">
        <f>Tabla4[[#This Row],[VALOR ATENCIÓN (8 MESES)]]-Tabla4[[#This Row],[VALOR TOTAL]]</f>
        <v>0</v>
      </c>
      <c r="BG1119" s="12" t="b">
        <f>EXACT(Tabla4[[#This Row],[TOTAL DESEMBOLSOS]],Tabla4[[#This Row],[VALOR ATENCIÓN (8 MESES)]])</f>
        <v>1</v>
      </c>
      <c r="BH1119" s="29">
        <f>Tabla4[[#This Row],[TOTAL DESEMBOLSOS]]-Tabla4[[#This Row],[VALOR ATENCIÓN (8 MESES)]]</f>
        <v>0</v>
      </c>
      <c r="BI1119" t="s">
        <v>98</v>
      </c>
      <c r="BJ1119">
        <v>2006</v>
      </c>
    </row>
    <row r="1120" spans="1:62">
      <c r="A1120" s="13">
        <v>2006</v>
      </c>
      <c r="B1120" s="13" t="s">
        <v>2430</v>
      </c>
      <c r="C1120" s="12" t="s">
        <v>87</v>
      </c>
      <c r="D1120" s="12" t="s">
        <v>527</v>
      </c>
      <c r="E1120" s="12" t="s">
        <v>2431</v>
      </c>
      <c r="F1120" s="12" t="s">
        <v>14</v>
      </c>
      <c r="G1120" s="12" t="s">
        <v>90</v>
      </c>
      <c r="H1120" s="12" t="s">
        <v>2454</v>
      </c>
      <c r="I1120" s="12">
        <v>575600033029</v>
      </c>
      <c r="J1120" s="12" t="s">
        <v>2455</v>
      </c>
      <c r="K1120" s="12">
        <v>1</v>
      </c>
      <c r="L1120" s="12">
        <v>76</v>
      </c>
      <c r="M1120" s="12"/>
      <c r="N1120" s="13">
        <v>2006</v>
      </c>
      <c r="O1120" s="12" t="s">
        <v>93</v>
      </c>
      <c r="P1120" s="12"/>
      <c r="Q1120" s="12"/>
      <c r="R1120" s="12" t="s">
        <v>94</v>
      </c>
      <c r="S1120" s="12">
        <v>10</v>
      </c>
      <c r="T1120" s="12" t="s">
        <v>762</v>
      </c>
      <c r="U1120" s="12" t="s">
        <v>763</v>
      </c>
      <c r="V1120" s="12">
        <f>VLOOKUP(Tabla4[[#This Row],[ZONA DEFINITIVO]],Hoja1!$A$1:$D$121,3,0)</f>
        <v>229159</v>
      </c>
      <c r="W1120" s="12">
        <f>VLOOKUP(Tabla4[[#This Row],[ZONA DEFINITIVO]],Hoja1!$A$1:$D$121,2,0)</f>
        <v>15249</v>
      </c>
      <c r="X1120" s="12">
        <f>VLOOKUP(Tabla4[[#This Row],[ZONA DEFINITIVO]],Hoja1!$A$1:$D$121,4,0)</f>
        <v>89225</v>
      </c>
      <c r="Y1120" s="12" t="str">
        <f>+IF(Tabla4[[#This Row],[AGRUPACIONES]]=1,SUMIFS(Tabla4[UDS],Tabla4[ZONA DEFINITIVO],Tabla4[[#This Row],[ZONA DEFINITIVO]])," ")</f>
        <v xml:space="preserve"> </v>
      </c>
      <c r="Z1120" s="12" t="str">
        <f>+IF(Tabla4[[#This Row],[AGRUPACIONES]]=1,SUMIFS(Tabla4[TOTAL COBERTURA],Tabla4[ZONA DEFINITIVO],Tabla4[[#This Row],[ZONA DEFINITIVO]])," ")</f>
        <v xml:space="preserve"> </v>
      </c>
      <c r="AA1120" s="12"/>
      <c r="AB1120" s="38">
        <v>318352600</v>
      </c>
      <c r="AC1120" s="37">
        <v>0.02</v>
      </c>
      <c r="AD1120" s="38">
        <f t="shared" si="18"/>
        <v>6367052</v>
      </c>
      <c r="AE1120" s="12"/>
      <c r="AF1120" s="12">
        <f>COUNTIF($A$20:A1120,A1120)</f>
        <v>13</v>
      </c>
      <c r="AG1120" s="38">
        <v>318352600</v>
      </c>
      <c r="AH1120" s="38">
        <f>Tabla4[[#This Row],[VALOR CONTRAPARTIDA]]+Tabla4[[#This Row],[TOTAL APORTES ICBF]]</f>
        <v>324719652</v>
      </c>
      <c r="AI1120" s="35"/>
      <c r="AJ1120" s="38"/>
      <c r="AK1120" s="38"/>
      <c r="AL1120" s="23"/>
      <c r="AM1120" s="35">
        <f>VLOOKUP(Tabla4[[#This Row],[SERVICIO 2025]],$J$2:$V$14,5,0)*Tabla4[[#This Row],[TOTAL COBERTURA]]</f>
        <v>6698868</v>
      </c>
      <c r="AN1120" s="35">
        <f>VLOOKUP(Tabla4[[#This Row],[SERVICIO 2025]],$J$2:$V$14,6,0)*Tabla4[[#This Row],[TOTAL COBERTURA]]</f>
        <v>5703268</v>
      </c>
      <c r="AO1120" s="35">
        <f>VLOOKUP(Tabla4[[#This Row],[SERVICIO 2025]],$J$2:$V$14,8,0)*Tabla4[[#This Row],[TOTAL COBERTURA]]</f>
        <v>0</v>
      </c>
      <c r="AP1120" s="35">
        <f>VLOOKUP(Tabla4[[#This Row],[SERVICIO 2025]],$J$2:$V$14,3,0)*Tabla4[[#This Row],[TOTAL COBERTURA]]*8</f>
        <v>305950464</v>
      </c>
      <c r="AQ1120" s="35"/>
      <c r="AR1120" s="35">
        <f>Tabla4[[#This Row],[VALOR FASE PREPARATORIA DE ALISTAMIENTO]]+Tabla4[[#This Row],[VALOR FASE PREPARATORIA DE CIERRE]]+Tabla4[[#This Row],[DOTACIÓN ÚNICA]]+Tabla4[[#This Row],[VALOR ATENCIÓN]]+Tabla4[[#This Row],[VALOR RACION PREPARADA]]</f>
        <v>318352600</v>
      </c>
      <c r="AS1120" s="35" t="str">
        <f>+IF(Tabla4[[#This Row],[AGRUPACIONES]]=1,SUMIFS(Tabla4[VALOR TOTAL],Tabla4[ZONA DEFINITIVO],Tabla4[[#This Row],[ZONA DEFINITIVO]])," ")</f>
        <v xml:space="preserve"> </v>
      </c>
      <c r="AT1120" s="27">
        <f>(VLOOKUP(Tabla4[[#This Row],[SERVICIO 2025]],$J$2:$V$14,3,0)*Tabla4[[#This Row],[TOTAL COBERTURA]])+Tabla4[[#This Row],[VALOR FASE PREPARATORIA DE ALISTAMIENTO]]+Tabla4[[#This Row],[DOTACIÓN ÚNICA]]</f>
        <v>44942676</v>
      </c>
      <c r="AU1120" s="35">
        <f>(VLOOKUP(Tabla4[[#This Row],[SERVICIO 2025]],$J$2:$V$14,3,0)*Tabla4[[#This Row],[TOTAL COBERTURA]])</f>
        <v>38243808</v>
      </c>
      <c r="AV1120" s="35">
        <f>(VLOOKUP(Tabla4[[#This Row],[SERVICIO 2025]],$J$2:$V$14,3,0)*Tabla4[[#This Row],[TOTAL COBERTURA]])</f>
        <v>38243808</v>
      </c>
      <c r="AW1120" s="35">
        <f>(VLOOKUP(Tabla4[[#This Row],[SERVICIO 2025]],$J$2:$V$14,3,0)*Tabla4[[#This Row],[TOTAL COBERTURA]])</f>
        <v>38243808</v>
      </c>
      <c r="AX1120" s="35">
        <f>(VLOOKUP(Tabla4[[#This Row],[SERVICIO 2025]],$J$2:$V$14,3,0)*Tabla4[[#This Row],[TOTAL COBERTURA]])</f>
        <v>38243808</v>
      </c>
      <c r="AY1120" s="35">
        <f>(VLOOKUP(Tabla4[[#This Row],[SERVICIO 2025]],$J$2:$V$14,3,0)*Tabla4[[#This Row],[TOTAL COBERTURA]])</f>
        <v>38243808</v>
      </c>
      <c r="AZ1120" s="35">
        <f>(VLOOKUP(Tabla4[[#This Row],[SERVICIO 2025]],$J$2:$V$14,3,0)*Tabla4[[#This Row],[TOTAL COBERTURA]])</f>
        <v>38243808</v>
      </c>
      <c r="BA1120" s="35">
        <f>(VLOOKUP(Tabla4[[#This Row],[SERVICIO 2025]],$J$2:$V$14,3,0)*Tabla4[[#This Row],[TOTAL COBERTURA]])+Tabla4[[#This Row],[VALOR FASE PREPARATORIA DE CIERRE]]</f>
        <v>43947076</v>
      </c>
      <c r="BB1120" s="35">
        <f>SUM(Tabla4[[#This Row],[DESEMBOLSO 1]:[DESEMBOLSO 8]])</f>
        <v>318352600</v>
      </c>
      <c r="BC1120" s="35">
        <f>VLOOKUP(Tabla4[[#This Row],[SERVICIO 2025]],$J$2:$V$14,10,0)*Tabla4[[#This Row],[TOTAL COBERTURA]]*$W$3</f>
        <v>0</v>
      </c>
      <c r="BD1120" s="47" t="s">
        <v>145</v>
      </c>
      <c r="BE1120" s="12" t="b">
        <f>EXACT(Tabla4[[#This Row],[VALOR ATENCIÓN (8 MESES)]],Tabla4[[#This Row],[VALOR TOTAL]])</f>
        <v>1</v>
      </c>
      <c r="BF1120" s="23">
        <f>Tabla4[[#This Row],[VALOR ATENCIÓN (8 MESES)]]-Tabla4[[#This Row],[VALOR TOTAL]]</f>
        <v>0</v>
      </c>
      <c r="BG1120" s="12" t="b">
        <f>EXACT(Tabla4[[#This Row],[TOTAL DESEMBOLSOS]],Tabla4[[#This Row],[VALOR ATENCIÓN (8 MESES)]])</f>
        <v>1</v>
      </c>
      <c r="BH1120" s="29">
        <f>Tabla4[[#This Row],[TOTAL DESEMBOLSOS]]-Tabla4[[#This Row],[VALOR ATENCIÓN (8 MESES)]]</f>
        <v>0</v>
      </c>
      <c r="BI1120" t="s">
        <v>98</v>
      </c>
      <c r="BJ1120">
        <v>2006</v>
      </c>
    </row>
    <row r="1121" spans="1:62">
      <c r="A1121" s="13">
        <v>2006</v>
      </c>
      <c r="B1121" s="13" t="s">
        <v>2430</v>
      </c>
      <c r="C1121" s="12" t="s">
        <v>87</v>
      </c>
      <c r="D1121" s="12" t="s">
        <v>527</v>
      </c>
      <c r="E1121" s="12" t="s">
        <v>2431</v>
      </c>
      <c r="F1121" s="12" t="s">
        <v>14</v>
      </c>
      <c r="G1121" s="12" t="s">
        <v>90</v>
      </c>
      <c r="H1121" s="12" t="s">
        <v>2456</v>
      </c>
      <c r="I1121" s="12">
        <v>575600102505</v>
      </c>
      <c r="J1121" s="12" t="s">
        <v>2457</v>
      </c>
      <c r="K1121" s="12">
        <v>1</v>
      </c>
      <c r="L1121" s="12">
        <v>200</v>
      </c>
      <c r="M1121" s="12"/>
      <c r="N1121" s="13">
        <v>2006</v>
      </c>
      <c r="O1121" s="12" t="s">
        <v>93</v>
      </c>
      <c r="P1121" s="12"/>
      <c r="Q1121" s="12"/>
      <c r="R1121" s="12" t="s">
        <v>94</v>
      </c>
      <c r="S1121" s="12">
        <v>10</v>
      </c>
      <c r="T1121" s="12" t="s">
        <v>762</v>
      </c>
      <c r="U1121" s="12" t="s">
        <v>763</v>
      </c>
      <c r="V1121" s="12">
        <f>VLOOKUP(Tabla4[[#This Row],[ZONA DEFINITIVO]],Hoja1!$A$1:$D$121,3,0)</f>
        <v>229159</v>
      </c>
      <c r="W1121" s="12">
        <f>VLOOKUP(Tabla4[[#This Row],[ZONA DEFINITIVO]],Hoja1!$A$1:$D$121,2,0)</f>
        <v>15249</v>
      </c>
      <c r="X1121" s="12">
        <f>VLOOKUP(Tabla4[[#This Row],[ZONA DEFINITIVO]],Hoja1!$A$1:$D$121,4,0)</f>
        <v>89225</v>
      </c>
      <c r="Y1121" s="12" t="str">
        <f>+IF(Tabla4[[#This Row],[AGRUPACIONES]]=1,SUMIFS(Tabla4[UDS],Tabla4[ZONA DEFINITIVO],Tabla4[[#This Row],[ZONA DEFINITIVO]])," ")</f>
        <v xml:space="preserve"> </v>
      </c>
      <c r="Z1121" s="12" t="str">
        <f>+IF(Tabla4[[#This Row],[AGRUPACIONES]]=1,SUMIFS(Tabla4[TOTAL COBERTURA],Tabla4[ZONA DEFINITIVO],Tabla4[[#This Row],[ZONA DEFINITIVO]])," ")</f>
        <v xml:space="preserve"> </v>
      </c>
      <c r="AA1121" s="12"/>
      <c r="AB1121" s="38">
        <v>837770000</v>
      </c>
      <c r="AC1121" s="37">
        <v>0.02</v>
      </c>
      <c r="AD1121" s="38">
        <f t="shared" si="18"/>
        <v>16755400</v>
      </c>
      <c r="AE1121" s="12"/>
      <c r="AF1121" s="12">
        <f>COUNTIF($A$20:A1121,A1121)</f>
        <v>14</v>
      </c>
      <c r="AG1121" s="38">
        <v>837770000</v>
      </c>
      <c r="AH1121" s="38">
        <f>Tabla4[[#This Row],[VALOR CONTRAPARTIDA]]+Tabla4[[#This Row],[TOTAL APORTES ICBF]]</f>
        <v>854525400</v>
      </c>
      <c r="AI1121" s="35"/>
      <c r="AJ1121" s="38"/>
      <c r="AK1121" s="38"/>
      <c r="AL1121" s="23"/>
      <c r="AM1121" s="35">
        <f>VLOOKUP(Tabla4[[#This Row],[SERVICIO 2025]],$J$2:$V$14,5,0)*Tabla4[[#This Row],[TOTAL COBERTURA]]</f>
        <v>17628600</v>
      </c>
      <c r="AN1121" s="35">
        <f>VLOOKUP(Tabla4[[#This Row],[SERVICIO 2025]],$J$2:$V$14,6,0)*Tabla4[[#This Row],[TOTAL COBERTURA]]</f>
        <v>15008600</v>
      </c>
      <c r="AO1121" s="35">
        <f>VLOOKUP(Tabla4[[#This Row],[SERVICIO 2025]],$J$2:$V$14,8,0)*Tabla4[[#This Row],[TOTAL COBERTURA]]</f>
        <v>0</v>
      </c>
      <c r="AP1121" s="35">
        <f>VLOOKUP(Tabla4[[#This Row],[SERVICIO 2025]],$J$2:$V$14,3,0)*Tabla4[[#This Row],[TOTAL COBERTURA]]*8</f>
        <v>805132800</v>
      </c>
      <c r="AQ1121" s="35"/>
      <c r="AR1121" s="35">
        <f>Tabla4[[#This Row],[VALOR FASE PREPARATORIA DE ALISTAMIENTO]]+Tabla4[[#This Row],[VALOR FASE PREPARATORIA DE CIERRE]]+Tabla4[[#This Row],[DOTACIÓN ÚNICA]]+Tabla4[[#This Row],[VALOR ATENCIÓN]]+Tabla4[[#This Row],[VALOR RACION PREPARADA]]</f>
        <v>837770000</v>
      </c>
      <c r="AS1121" s="35" t="str">
        <f>+IF(Tabla4[[#This Row],[AGRUPACIONES]]=1,SUMIFS(Tabla4[VALOR TOTAL],Tabla4[ZONA DEFINITIVO],Tabla4[[#This Row],[ZONA DEFINITIVO]])," ")</f>
        <v xml:space="preserve"> </v>
      </c>
      <c r="AT1121" s="27">
        <f>(VLOOKUP(Tabla4[[#This Row],[SERVICIO 2025]],$J$2:$V$14,3,0)*Tabla4[[#This Row],[TOTAL COBERTURA]])+Tabla4[[#This Row],[VALOR FASE PREPARATORIA DE ALISTAMIENTO]]+Tabla4[[#This Row],[DOTACIÓN ÚNICA]]</f>
        <v>118270200</v>
      </c>
      <c r="AU1121" s="35">
        <f>(VLOOKUP(Tabla4[[#This Row],[SERVICIO 2025]],$J$2:$V$14,3,0)*Tabla4[[#This Row],[TOTAL COBERTURA]])</f>
        <v>100641600</v>
      </c>
      <c r="AV1121" s="35">
        <f>(VLOOKUP(Tabla4[[#This Row],[SERVICIO 2025]],$J$2:$V$14,3,0)*Tabla4[[#This Row],[TOTAL COBERTURA]])</f>
        <v>100641600</v>
      </c>
      <c r="AW1121" s="35">
        <f>(VLOOKUP(Tabla4[[#This Row],[SERVICIO 2025]],$J$2:$V$14,3,0)*Tabla4[[#This Row],[TOTAL COBERTURA]])</f>
        <v>100641600</v>
      </c>
      <c r="AX1121" s="35">
        <f>(VLOOKUP(Tabla4[[#This Row],[SERVICIO 2025]],$J$2:$V$14,3,0)*Tabla4[[#This Row],[TOTAL COBERTURA]])</f>
        <v>100641600</v>
      </c>
      <c r="AY1121" s="35">
        <f>(VLOOKUP(Tabla4[[#This Row],[SERVICIO 2025]],$J$2:$V$14,3,0)*Tabla4[[#This Row],[TOTAL COBERTURA]])</f>
        <v>100641600</v>
      </c>
      <c r="AZ1121" s="35">
        <f>(VLOOKUP(Tabla4[[#This Row],[SERVICIO 2025]],$J$2:$V$14,3,0)*Tabla4[[#This Row],[TOTAL COBERTURA]])</f>
        <v>100641600</v>
      </c>
      <c r="BA1121" s="35">
        <f>(VLOOKUP(Tabla4[[#This Row],[SERVICIO 2025]],$J$2:$V$14,3,0)*Tabla4[[#This Row],[TOTAL COBERTURA]])+Tabla4[[#This Row],[VALOR FASE PREPARATORIA DE CIERRE]]</f>
        <v>115650200</v>
      </c>
      <c r="BB1121" s="35">
        <f>SUM(Tabla4[[#This Row],[DESEMBOLSO 1]:[DESEMBOLSO 8]])</f>
        <v>837770000</v>
      </c>
      <c r="BC1121" s="35">
        <f>VLOOKUP(Tabla4[[#This Row],[SERVICIO 2025]],$J$2:$V$14,10,0)*Tabla4[[#This Row],[TOTAL COBERTURA]]*$W$3</f>
        <v>0</v>
      </c>
      <c r="BD1121" s="47" t="s">
        <v>145</v>
      </c>
      <c r="BE1121" s="12" t="b">
        <f>EXACT(Tabla4[[#This Row],[VALOR ATENCIÓN (8 MESES)]],Tabla4[[#This Row],[VALOR TOTAL]])</f>
        <v>1</v>
      </c>
      <c r="BF1121" s="23">
        <f>Tabla4[[#This Row],[VALOR ATENCIÓN (8 MESES)]]-Tabla4[[#This Row],[VALOR TOTAL]]</f>
        <v>0</v>
      </c>
      <c r="BG1121" s="12" t="b">
        <f>EXACT(Tabla4[[#This Row],[TOTAL DESEMBOLSOS]],Tabla4[[#This Row],[VALOR ATENCIÓN (8 MESES)]])</f>
        <v>1</v>
      </c>
      <c r="BH1121" s="29">
        <f>Tabla4[[#This Row],[TOTAL DESEMBOLSOS]]-Tabla4[[#This Row],[VALOR ATENCIÓN (8 MESES)]]</f>
        <v>0</v>
      </c>
      <c r="BI1121" t="s">
        <v>98</v>
      </c>
      <c r="BJ1121">
        <v>2006</v>
      </c>
    </row>
    <row r="1122" spans="1:62">
      <c r="A1122" s="13">
        <v>2007</v>
      </c>
      <c r="B1122" s="13" t="s">
        <v>2458</v>
      </c>
      <c r="C1122" s="12" t="s">
        <v>87</v>
      </c>
      <c r="D1122" s="12" t="s">
        <v>527</v>
      </c>
      <c r="E1122" s="12" t="s">
        <v>2431</v>
      </c>
      <c r="F1122" s="12" t="s">
        <v>19</v>
      </c>
      <c r="G1122" s="12" t="s">
        <v>90</v>
      </c>
      <c r="H1122" s="12" t="s">
        <v>2459</v>
      </c>
      <c r="I1122" s="12">
        <v>57561118927</v>
      </c>
      <c r="J1122" s="12" t="s">
        <v>2460</v>
      </c>
      <c r="K1122" s="12">
        <v>1</v>
      </c>
      <c r="L1122" s="12">
        <v>50</v>
      </c>
      <c r="M1122" s="12"/>
      <c r="N1122" s="13">
        <v>2007</v>
      </c>
      <c r="O1122" s="12" t="s">
        <v>93</v>
      </c>
      <c r="P1122" s="12"/>
      <c r="Q1122" s="12"/>
      <c r="R1122" s="12" t="s">
        <v>94</v>
      </c>
      <c r="S1122" s="12">
        <v>10</v>
      </c>
      <c r="T1122" s="12" t="s">
        <v>2203</v>
      </c>
      <c r="U1122" s="12" t="s">
        <v>2204</v>
      </c>
      <c r="V1122" s="12">
        <f>VLOOKUP(Tabla4[[#This Row],[ZONA DEFINITIVO]],Hoja1!$A$1:$D$121,3,0)</f>
        <v>229160</v>
      </c>
      <c r="W1122" s="12">
        <f>VLOOKUP(Tabla4[[#This Row],[ZONA DEFINITIVO]],Hoja1!$A$1:$D$121,2,0)</f>
        <v>15255</v>
      </c>
      <c r="X1122" s="12">
        <f>VLOOKUP(Tabla4[[#This Row],[ZONA DEFINITIVO]],Hoja1!$A$1:$D$121,4,0)</f>
        <v>89825</v>
      </c>
      <c r="Y1122" s="12">
        <f>+IF(Tabla4[[#This Row],[AGRUPACIONES]]=1,SUMIFS(Tabla4[UDS],Tabla4[ZONA DEFINITIVO],Tabla4[[#This Row],[ZONA DEFINITIVO]])," ")</f>
        <v>7</v>
      </c>
      <c r="Z1122" s="12">
        <f>+IF(Tabla4[[#This Row],[AGRUPACIONES]]=1,SUMIFS(Tabla4[TOTAL COBERTURA],Tabla4[ZONA DEFINITIVO],Tabla4[[#This Row],[ZONA DEFINITIVO]])," ")</f>
        <v>350</v>
      </c>
      <c r="AA1122" s="12"/>
      <c r="AB1122" s="38">
        <v>112557550</v>
      </c>
      <c r="AC1122" s="37">
        <v>0.02</v>
      </c>
      <c r="AD1122" s="38">
        <f t="shared" si="18"/>
        <v>2251151</v>
      </c>
      <c r="AE1122" s="12"/>
      <c r="AF1122" s="12">
        <f>COUNTIF($A$20:A1122,A1122)</f>
        <v>1</v>
      </c>
      <c r="AG1122" s="38">
        <v>112557550</v>
      </c>
      <c r="AH1122" s="38">
        <f>Tabla4[[#This Row],[VALOR CONTRAPARTIDA]]+Tabla4[[#This Row],[TOTAL APORTES ICBF]]</f>
        <v>114808701</v>
      </c>
      <c r="AI1122" s="35">
        <f>ROUND(+IF(Tabla4[[#This Row],[AGRUPACIONES]]=1,SUMIFS(Tabla4[TOTAL APORTES ICBF],Tabla4[ZONA DEFINITIVO],Tabla4[[#This Row],[ZONA DEFINITIVO]])," "),0)</f>
        <v>787902850</v>
      </c>
      <c r="AJ1122" s="38">
        <f>ROUND(+IF(Tabla4[[#This Row],[AGRUPACIONES]]=1,SUMIFS(Tabla4[VALOR CONTRAPARTIDA],Tabla4[ZONA DEFINITIVO],Tabla4[[#This Row],[ZONA DEFINITIVO]])," "),0)</f>
        <v>15758057</v>
      </c>
      <c r="AK1122" s="38">
        <f>Tabla4[[#This Row],[TOTAL APORTES ICBF AGRUPADO]]+Tabla4[[#This Row],[TOTAL CONTRAPARTIDA AGRUPADO]]</f>
        <v>803660907</v>
      </c>
      <c r="AL1122" s="23">
        <f>Tabla4[[#This Row],[TOTAL APORTES ICBF AGRUPADO]]/$AL$18</f>
        <v>553.49690902704606</v>
      </c>
      <c r="AM1122" s="35">
        <f>VLOOKUP(Tabla4[[#This Row],[SERVICIO 2025]],$J$2:$V$14,5,0)*Tabla4[[#This Row],[TOTAL COBERTURA]]</f>
        <v>2573150</v>
      </c>
      <c r="AN1122" s="35">
        <f>VLOOKUP(Tabla4[[#This Row],[SERVICIO 2025]],$J$2:$V$14,6,0)*Tabla4[[#This Row],[TOTAL COBERTURA]]</f>
        <v>2155800</v>
      </c>
      <c r="AO1122" s="35">
        <f>VLOOKUP(Tabla4[[#This Row],[SERVICIO 2025]],$J$2:$V$14,8,0)*Tabla4[[#This Row],[TOTAL COBERTURA]]</f>
        <v>1455000</v>
      </c>
      <c r="AP1122" s="35">
        <f>VLOOKUP(Tabla4[[#This Row],[SERVICIO 2025]],$J$2:$V$14,3,0)*Tabla4[[#This Row],[TOTAL COBERTURA]]*8</f>
        <v>106373600</v>
      </c>
      <c r="AQ1122" s="35"/>
      <c r="AR1122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1122" s="35">
        <f>+IF(Tabla4[[#This Row],[AGRUPACIONES]]=1,SUMIFS(Tabla4[VALOR TOTAL],Tabla4[ZONA DEFINITIVO],Tabla4[[#This Row],[ZONA DEFINITIVO]])," ")</f>
        <v>787902850</v>
      </c>
      <c r="AT1122" s="27">
        <f>(VLOOKUP(Tabla4[[#This Row],[SERVICIO 2025]],$J$2:$V$14,3,0)*Tabla4[[#This Row],[TOTAL COBERTURA]])+Tabla4[[#This Row],[VALOR FASE PREPARATORIA DE ALISTAMIENTO]]+Tabla4[[#This Row],[DOTACIÓN ÚNICA]]</f>
        <v>17324850</v>
      </c>
      <c r="AU1122" s="35">
        <f>(VLOOKUP(Tabla4[[#This Row],[SERVICIO 2025]],$J$2:$V$14,3,0)*Tabla4[[#This Row],[TOTAL COBERTURA]])</f>
        <v>13296700</v>
      </c>
      <c r="AV1122" s="35">
        <f>(VLOOKUP(Tabla4[[#This Row],[SERVICIO 2025]],$J$2:$V$14,3,0)*Tabla4[[#This Row],[TOTAL COBERTURA]])</f>
        <v>13296700</v>
      </c>
      <c r="AW1122" s="35">
        <f>(VLOOKUP(Tabla4[[#This Row],[SERVICIO 2025]],$J$2:$V$14,3,0)*Tabla4[[#This Row],[TOTAL COBERTURA]])</f>
        <v>13296700</v>
      </c>
      <c r="AX1122" s="35">
        <f>(VLOOKUP(Tabla4[[#This Row],[SERVICIO 2025]],$J$2:$V$14,3,0)*Tabla4[[#This Row],[TOTAL COBERTURA]])</f>
        <v>13296700</v>
      </c>
      <c r="AY1122" s="35">
        <f>(VLOOKUP(Tabla4[[#This Row],[SERVICIO 2025]],$J$2:$V$14,3,0)*Tabla4[[#This Row],[TOTAL COBERTURA]])</f>
        <v>13296700</v>
      </c>
      <c r="AZ1122" s="35">
        <f>(VLOOKUP(Tabla4[[#This Row],[SERVICIO 2025]],$J$2:$V$14,3,0)*Tabla4[[#This Row],[TOTAL COBERTURA]])</f>
        <v>13296700</v>
      </c>
      <c r="BA1122" s="35">
        <f>(VLOOKUP(Tabla4[[#This Row],[SERVICIO 2025]],$J$2:$V$14,3,0)*Tabla4[[#This Row],[TOTAL COBERTURA]])+Tabla4[[#This Row],[VALOR FASE PREPARATORIA DE CIERRE]]</f>
        <v>15452500</v>
      </c>
      <c r="BB1122" s="35">
        <f>SUM(Tabla4[[#This Row],[DESEMBOLSO 1]:[DESEMBOLSO 8]])</f>
        <v>112557550</v>
      </c>
      <c r="BC1122" s="35">
        <f>VLOOKUP(Tabla4[[#This Row],[SERVICIO 2025]],$J$2:$V$14,10,0)*Tabla4[[#This Row],[TOTAL COBERTURA]]*$W$3</f>
        <v>72153200</v>
      </c>
      <c r="BD1122" s="47" t="s">
        <v>211</v>
      </c>
      <c r="BE1122" s="12" t="b">
        <f>EXACT(Tabla4[[#This Row],[VALOR ATENCIÓN (8 MESES)]],Tabla4[[#This Row],[VALOR TOTAL]])</f>
        <v>1</v>
      </c>
      <c r="BF1122" s="23">
        <f>Tabla4[[#This Row],[VALOR ATENCIÓN (8 MESES)]]-Tabla4[[#This Row],[VALOR TOTAL]]</f>
        <v>0</v>
      </c>
      <c r="BG1122" s="12" t="b">
        <f>EXACT(Tabla4[[#This Row],[TOTAL DESEMBOLSOS]],Tabla4[[#This Row],[VALOR ATENCIÓN (8 MESES)]])</f>
        <v>1</v>
      </c>
      <c r="BH1122" s="29">
        <f>Tabla4[[#This Row],[TOTAL DESEMBOLSOS]]-Tabla4[[#This Row],[VALOR ATENCIÓN (8 MESES)]]</f>
        <v>0</v>
      </c>
      <c r="BI1122" t="s">
        <v>98</v>
      </c>
      <c r="BJ1122">
        <v>2007</v>
      </c>
    </row>
    <row r="1123" spans="1:62">
      <c r="A1123" s="13">
        <v>2007</v>
      </c>
      <c r="B1123" s="13" t="s">
        <v>2458</v>
      </c>
      <c r="C1123" s="12" t="s">
        <v>87</v>
      </c>
      <c r="D1123" s="12" t="s">
        <v>527</v>
      </c>
      <c r="E1123" s="12" t="s">
        <v>2431</v>
      </c>
      <c r="F1123" s="12" t="s">
        <v>19</v>
      </c>
      <c r="G1123" s="12" t="s">
        <v>90</v>
      </c>
      <c r="H1123" s="12" t="s">
        <v>2459</v>
      </c>
      <c r="I1123" s="12">
        <v>57561137480</v>
      </c>
      <c r="J1123" s="12" t="s">
        <v>2461</v>
      </c>
      <c r="K1123" s="12">
        <v>1</v>
      </c>
      <c r="L1123" s="12">
        <v>50</v>
      </c>
      <c r="M1123" s="12"/>
      <c r="N1123" s="13">
        <v>2007</v>
      </c>
      <c r="O1123" s="12" t="s">
        <v>93</v>
      </c>
      <c r="P1123" s="12"/>
      <c r="Q1123" s="12"/>
      <c r="R1123" s="12" t="s">
        <v>94</v>
      </c>
      <c r="S1123" s="12">
        <v>10</v>
      </c>
      <c r="T1123" s="12" t="s">
        <v>2203</v>
      </c>
      <c r="U1123" s="12" t="s">
        <v>2204</v>
      </c>
      <c r="V1123" s="12">
        <f>VLOOKUP(Tabla4[[#This Row],[ZONA DEFINITIVO]],Hoja1!$A$1:$D$121,3,0)</f>
        <v>229160</v>
      </c>
      <c r="W1123" s="12">
        <f>VLOOKUP(Tabla4[[#This Row],[ZONA DEFINITIVO]],Hoja1!$A$1:$D$121,2,0)</f>
        <v>15255</v>
      </c>
      <c r="X1123" s="12">
        <f>VLOOKUP(Tabla4[[#This Row],[ZONA DEFINITIVO]],Hoja1!$A$1:$D$121,4,0)</f>
        <v>89825</v>
      </c>
      <c r="Y1123" s="12" t="str">
        <f>+IF(Tabla4[[#This Row],[AGRUPACIONES]]=1,SUMIFS(Tabla4[UDS],Tabla4[ZONA DEFINITIVO],Tabla4[[#This Row],[ZONA DEFINITIVO]])," ")</f>
        <v xml:space="preserve"> </v>
      </c>
      <c r="Z1123" s="12" t="str">
        <f>+IF(Tabla4[[#This Row],[AGRUPACIONES]]=1,SUMIFS(Tabla4[TOTAL COBERTURA],Tabla4[ZONA DEFINITIVO],Tabla4[[#This Row],[ZONA DEFINITIVO]])," ")</f>
        <v xml:space="preserve"> </v>
      </c>
      <c r="AA1123" s="12"/>
      <c r="AB1123" s="38">
        <v>112557550</v>
      </c>
      <c r="AC1123" s="37">
        <v>0.02</v>
      </c>
      <c r="AD1123" s="38">
        <f t="shared" si="18"/>
        <v>2251151</v>
      </c>
      <c r="AE1123" s="12"/>
      <c r="AF1123" s="12">
        <f>COUNTIF($A$20:A1123,A1123)</f>
        <v>2</v>
      </c>
      <c r="AG1123" s="38">
        <v>112557550</v>
      </c>
      <c r="AH1123" s="38">
        <f>Tabla4[[#This Row],[VALOR CONTRAPARTIDA]]+Tabla4[[#This Row],[TOTAL APORTES ICBF]]</f>
        <v>114808701</v>
      </c>
      <c r="AI1123" s="35"/>
      <c r="AJ1123" s="38"/>
      <c r="AK1123" s="38"/>
      <c r="AL1123" s="23"/>
      <c r="AM1123" s="35">
        <f>VLOOKUP(Tabla4[[#This Row],[SERVICIO 2025]],$J$2:$V$14,5,0)*Tabla4[[#This Row],[TOTAL COBERTURA]]</f>
        <v>2573150</v>
      </c>
      <c r="AN1123" s="35">
        <f>VLOOKUP(Tabla4[[#This Row],[SERVICIO 2025]],$J$2:$V$14,6,0)*Tabla4[[#This Row],[TOTAL COBERTURA]]</f>
        <v>2155800</v>
      </c>
      <c r="AO1123" s="35">
        <f>VLOOKUP(Tabla4[[#This Row],[SERVICIO 2025]],$J$2:$V$14,8,0)*Tabla4[[#This Row],[TOTAL COBERTURA]]</f>
        <v>1455000</v>
      </c>
      <c r="AP1123" s="35">
        <f>VLOOKUP(Tabla4[[#This Row],[SERVICIO 2025]],$J$2:$V$14,3,0)*Tabla4[[#This Row],[TOTAL COBERTURA]]*8</f>
        <v>106373600</v>
      </c>
      <c r="AQ1123" s="35"/>
      <c r="AR1123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1123" s="35" t="str">
        <f>+IF(Tabla4[[#This Row],[AGRUPACIONES]]=1,SUMIFS(Tabla4[VALOR TOTAL],Tabla4[ZONA DEFINITIVO],Tabla4[[#This Row],[ZONA DEFINITIVO]])," ")</f>
        <v xml:space="preserve"> </v>
      </c>
      <c r="AT1123" s="27">
        <f>(VLOOKUP(Tabla4[[#This Row],[SERVICIO 2025]],$J$2:$V$14,3,0)*Tabla4[[#This Row],[TOTAL COBERTURA]])+Tabla4[[#This Row],[VALOR FASE PREPARATORIA DE ALISTAMIENTO]]+Tabla4[[#This Row],[DOTACIÓN ÚNICA]]</f>
        <v>17324850</v>
      </c>
      <c r="AU1123" s="35">
        <f>(VLOOKUP(Tabla4[[#This Row],[SERVICIO 2025]],$J$2:$V$14,3,0)*Tabla4[[#This Row],[TOTAL COBERTURA]])</f>
        <v>13296700</v>
      </c>
      <c r="AV1123" s="35">
        <f>(VLOOKUP(Tabla4[[#This Row],[SERVICIO 2025]],$J$2:$V$14,3,0)*Tabla4[[#This Row],[TOTAL COBERTURA]])</f>
        <v>13296700</v>
      </c>
      <c r="AW1123" s="35">
        <f>(VLOOKUP(Tabla4[[#This Row],[SERVICIO 2025]],$J$2:$V$14,3,0)*Tabla4[[#This Row],[TOTAL COBERTURA]])</f>
        <v>13296700</v>
      </c>
      <c r="AX1123" s="35">
        <f>(VLOOKUP(Tabla4[[#This Row],[SERVICIO 2025]],$J$2:$V$14,3,0)*Tabla4[[#This Row],[TOTAL COBERTURA]])</f>
        <v>13296700</v>
      </c>
      <c r="AY1123" s="35">
        <f>(VLOOKUP(Tabla4[[#This Row],[SERVICIO 2025]],$J$2:$V$14,3,0)*Tabla4[[#This Row],[TOTAL COBERTURA]])</f>
        <v>13296700</v>
      </c>
      <c r="AZ1123" s="35">
        <f>(VLOOKUP(Tabla4[[#This Row],[SERVICIO 2025]],$J$2:$V$14,3,0)*Tabla4[[#This Row],[TOTAL COBERTURA]])</f>
        <v>13296700</v>
      </c>
      <c r="BA1123" s="35">
        <f>(VLOOKUP(Tabla4[[#This Row],[SERVICIO 2025]],$J$2:$V$14,3,0)*Tabla4[[#This Row],[TOTAL COBERTURA]])+Tabla4[[#This Row],[VALOR FASE PREPARATORIA DE CIERRE]]</f>
        <v>15452500</v>
      </c>
      <c r="BB1123" s="35">
        <f>SUM(Tabla4[[#This Row],[DESEMBOLSO 1]:[DESEMBOLSO 8]])</f>
        <v>112557550</v>
      </c>
      <c r="BC1123" s="35">
        <f>VLOOKUP(Tabla4[[#This Row],[SERVICIO 2025]],$J$2:$V$14,10,0)*Tabla4[[#This Row],[TOTAL COBERTURA]]*$W$3</f>
        <v>72153200</v>
      </c>
      <c r="BD1123" s="47" t="s">
        <v>211</v>
      </c>
      <c r="BE1123" s="12" t="b">
        <f>EXACT(Tabla4[[#This Row],[VALOR ATENCIÓN (8 MESES)]],Tabla4[[#This Row],[VALOR TOTAL]])</f>
        <v>1</v>
      </c>
      <c r="BF1123" s="23">
        <f>Tabla4[[#This Row],[VALOR ATENCIÓN (8 MESES)]]-Tabla4[[#This Row],[VALOR TOTAL]]</f>
        <v>0</v>
      </c>
      <c r="BG1123" s="12" t="b">
        <f>EXACT(Tabla4[[#This Row],[TOTAL DESEMBOLSOS]],Tabla4[[#This Row],[VALOR ATENCIÓN (8 MESES)]])</f>
        <v>1</v>
      </c>
      <c r="BH1123" s="29">
        <f>Tabla4[[#This Row],[TOTAL DESEMBOLSOS]]-Tabla4[[#This Row],[VALOR ATENCIÓN (8 MESES)]]</f>
        <v>0</v>
      </c>
      <c r="BI1123" t="s">
        <v>98</v>
      </c>
      <c r="BJ1123">
        <v>2007</v>
      </c>
    </row>
    <row r="1124" spans="1:62">
      <c r="A1124" s="13">
        <v>2007</v>
      </c>
      <c r="B1124" s="13" t="s">
        <v>2458</v>
      </c>
      <c r="C1124" s="12" t="s">
        <v>87</v>
      </c>
      <c r="D1124" s="12" t="s">
        <v>527</v>
      </c>
      <c r="E1124" s="12" t="s">
        <v>2431</v>
      </c>
      <c r="F1124" s="12" t="s">
        <v>19</v>
      </c>
      <c r="G1124" s="12" t="s">
        <v>90</v>
      </c>
      <c r="H1124" s="12" t="s">
        <v>2459</v>
      </c>
      <c r="I1124" s="12">
        <v>57561137804</v>
      </c>
      <c r="J1124" s="12" t="s">
        <v>2462</v>
      </c>
      <c r="K1124" s="12">
        <v>1</v>
      </c>
      <c r="L1124" s="12">
        <v>50</v>
      </c>
      <c r="M1124" s="12"/>
      <c r="N1124" s="13">
        <v>2007</v>
      </c>
      <c r="O1124" s="12" t="s">
        <v>93</v>
      </c>
      <c r="P1124" s="12"/>
      <c r="Q1124" s="12"/>
      <c r="R1124" s="12" t="s">
        <v>94</v>
      </c>
      <c r="S1124" s="12">
        <v>10</v>
      </c>
      <c r="T1124" s="12" t="s">
        <v>2203</v>
      </c>
      <c r="U1124" s="12" t="s">
        <v>2204</v>
      </c>
      <c r="V1124" s="12">
        <f>VLOOKUP(Tabla4[[#This Row],[ZONA DEFINITIVO]],Hoja1!$A$1:$D$121,3,0)</f>
        <v>229160</v>
      </c>
      <c r="W1124" s="12">
        <f>VLOOKUP(Tabla4[[#This Row],[ZONA DEFINITIVO]],Hoja1!$A$1:$D$121,2,0)</f>
        <v>15255</v>
      </c>
      <c r="X1124" s="12">
        <f>VLOOKUP(Tabla4[[#This Row],[ZONA DEFINITIVO]],Hoja1!$A$1:$D$121,4,0)</f>
        <v>89825</v>
      </c>
      <c r="Y1124" s="12" t="str">
        <f>+IF(Tabla4[[#This Row],[AGRUPACIONES]]=1,SUMIFS(Tabla4[UDS],Tabla4[ZONA DEFINITIVO],Tabla4[[#This Row],[ZONA DEFINITIVO]])," ")</f>
        <v xml:space="preserve"> </v>
      </c>
      <c r="Z1124" s="12" t="str">
        <f>+IF(Tabla4[[#This Row],[AGRUPACIONES]]=1,SUMIFS(Tabla4[TOTAL COBERTURA],Tabla4[ZONA DEFINITIVO],Tabla4[[#This Row],[ZONA DEFINITIVO]])," ")</f>
        <v xml:space="preserve"> </v>
      </c>
      <c r="AA1124" s="12"/>
      <c r="AB1124" s="38">
        <v>112557550</v>
      </c>
      <c r="AC1124" s="37">
        <v>0.02</v>
      </c>
      <c r="AD1124" s="38">
        <f t="shared" si="18"/>
        <v>2251151</v>
      </c>
      <c r="AE1124" s="12"/>
      <c r="AF1124" s="12">
        <f>COUNTIF($A$20:A1124,A1124)</f>
        <v>3</v>
      </c>
      <c r="AG1124" s="38">
        <v>112557550</v>
      </c>
      <c r="AH1124" s="38">
        <f>Tabla4[[#This Row],[VALOR CONTRAPARTIDA]]+Tabla4[[#This Row],[TOTAL APORTES ICBF]]</f>
        <v>114808701</v>
      </c>
      <c r="AI1124" s="35"/>
      <c r="AJ1124" s="38"/>
      <c r="AK1124" s="38"/>
      <c r="AL1124" s="23"/>
      <c r="AM1124" s="35">
        <f>VLOOKUP(Tabla4[[#This Row],[SERVICIO 2025]],$J$2:$V$14,5,0)*Tabla4[[#This Row],[TOTAL COBERTURA]]</f>
        <v>2573150</v>
      </c>
      <c r="AN1124" s="35">
        <f>VLOOKUP(Tabla4[[#This Row],[SERVICIO 2025]],$J$2:$V$14,6,0)*Tabla4[[#This Row],[TOTAL COBERTURA]]</f>
        <v>2155800</v>
      </c>
      <c r="AO1124" s="35">
        <f>VLOOKUP(Tabla4[[#This Row],[SERVICIO 2025]],$J$2:$V$14,8,0)*Tabla4[[#This Row],[TOTAL COBERTURA]]</f>
        <v>1455000</v>
      </c>
      <c r="AP1124" s="35">
        <f>VLOOKUP(Tabla4[[#This Row],[SERVICIO 2025]],$J$2:$V$14,3,0)*Tabla4[[#This Row],[TOTAL COBERTURA]]*8</f>
        <v>106373600</v>
      </c>
      <c r="AQ1124" s="35"/>
      <c r="AR1124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1124" s="35" t="str">
        <f>+IF(Tabla4[[#This Row],[AGRUPACIONES]]=1,SUMIFS(Tabla4[VALOR TOTAL],Tabla4[ZONA DEFINITIVO],Tabla4[[#This Row],[ZONA DEFINITIVO]])," ")</f>
        <v xml:space="preserve"> </v>
      </c>
      <c r="AT1124" s="27">
        <f>(VLOOKUP(Tabla4[[#This Row],[SERVICIO 2025]],$J$2:$V$14,3,0)*Tabla4[[#This Row],[TOTAL COBERTURA]])+Tabla4[[#This Row],[VALOR FASE PREPARATORIA DE ALISTAMIENTO]]+Tabla4[[#This Row],[DOTACIÓN ÚNICA]]</f>
        <v>17324850</v>
      </c>
      <c r="AU1124" s="35">
        <f>(VLOOKUP(Tabla4[[#This Row],[SERVICIO 2025]],$J$2:$V$14,3,0)*Tabla4[[#This Row],[TOTAL COBERTURA]])</f>
        <v>13296700</v>
      </c>
      <c r="AV1124" s="35">
        <f>(VLOOKUP(Tabla4[[#This Row],[SERVICIO 2025]],$J$2:$V$14,3,0)*Tabla4[[#This Row],[TOTAL COBERTURA]])</f>
        <v>13296700</v>
      </c>
      <c r="AW1124" s="35">
        <f>(VLOOKUP(Tabla4[[#This Row],[SERVICIO 2025]],$J$2:$V$14,3,0)*Tabla4[[#This Row],[TOTAL COBERTURA]])</f>
        <v>13296700</v>
      </c>
      <c r="AX1124" s="35">
        <f>(VLOOKUP(Tabla4[[#This Row],[SERVICIO 2025]],$J$2:$V$14,3,0)*Tabla4[[#This Row],[TOTAL COBERTURA]])</f>
        <v>13296700</v>
      </c>
      <c r="AY1124" s="35">
        <f>(VLOOKUP(Tabla4[[#This Row],[SERVICIO 2025]],$J$2:$V$14,3,0)*Tabla4[[#This Row],[TOTAL COBERTURA]])</f>
        <v>13296700</v>
      </c>
      <c r="AZ1124" s="35">
        <f>(VLOOKUP(Tabla4[[#This Row],[SERVICIO 2025]],$J$2:$V$14,3,0)*Tabla4[[#This Row],[TOTAL COBERTURA]])</f>
        <v>13296700</v>
      </c>
      <c r="BA1124" s="35">
        <f>(VLOOKUP(Tabla4[[#This Row],[SERVICIO 2025]],$J$2:$V$14,3,0)*Tabla4[[#This Row],[TOTAL COBERTURA]])+Tabla4[[#This Row],[VALOR FASE PREPARATORIA DE CIERRE]]</f>
        <v>15452500</v>
      </c>
      <c r="BB1124" s="35">
        <f>SUM(Tabla4[[#This Row],[DESEMBOLSO 1]:[DESEMBOLSO 8]])</f>
        <v>112557550</v>
      </c>
      <c r="BC1124" s="35">
        <f>VLOOKUP(Tabla4[[#This Row],[SERVICIO 2025]],$J$2:$V$14,10,0)*Tabla4[[#This Row],[TOTAL COBERTURA]]*$W$3</f>
        <v>72153200</v>
      </c>
      <c r="BD1124" s="47" t="s">
        <v>211</v>
      </c>
      <c r="BE1124" s="12" t="b">
        <f>EXACT(Tabla4[[#This Row],[VALOR ATENCIÓN (8 MESES)]],Tabla4[[#This Row],[VALOR TOTAL]])</f>
        <v>1</v>
      </c>
      <c r="BF1124" s="23">
        <f>Tabla4[[#This Row],[VALOR ATENCIÓN (8 MESES)]]-Tabla4[[#This Row],[VALOR TOTAL]]</f>
        <v>0</v>
      </c>
      <c r="BG1124" s="12" t="b">
        <f>EXACT(Tabla4[[#This Row],[TOTAL DESEMBOLSOS]],Tabla4[[#This Row],[VALOR ATENCIÓN (8 MESES)]])</f>
        <v>1</v>
      </c>
      <c r="BH1124" s="29">
        <f>Tabla4[[#This Row],[TOTAL DESEMBOLSOS]]-Tabla4[[#This Row],[VALOR ATENCIÓN (8 MESES)]]</f>
        <v>0</v>
      </c>
      <c r="BI1124" t="s">
        <v>98</v>
      </c>
      <c r="BJ1124">
        <v>2007</v>
      </c>
    </row>
    <row r="1125" spans="1:62">
      <c r="A1125" s="13">
        <v>2007</v>
      </c>
      <c r="B1125" s="13" t="s">
        <v>2458</v>
      </c>
      <c r="C1125" s="12" t="s">
        <v>87</v>
      </c>
      <c r="D1125" s="12" t="s">
        <v>527</v>
      </c>
      <c r="E1125" s="12" t="s">
        <v>2431</v>
      </c>
      <c r="F1125" s="12" t="s">
        <v>19</v>
      </c>
      <c r="G1125" s="12" t="s">
        <v>90</v>
      </c>
      <c r="H1125" s="12" t="s">
        <v>2463</v>
      </c>
      <c r="I1125" s="12">
        <v>57561137835</v>
      </c>
      <c r="J1125" s="12" t="s">
        <v>2464</v>
      </c>
      <c r="K1125" s="12">
        <v>1</v>
      </c>
      <c r="L1125" s="12">
        <v>50</v>
      </c>
      <c r="M1125" s="12"/>
      <c r="N1125" s="13">
        <v>2007</v>
      </c>
      <c r="O1125" s="12" t="s">
        <v>93</v>
      </c>
      <c r="P1125" s="12"/>
      <c r="Q1125" s="12"/>
      <c r="R1125" s="12" t="s">
        <v>94</v>
      </c>
      <c r="S1125" s="12">
        <v>10</v>
      </c>
      <c r="T1125" s="12" t="s">
        <v>2203</v>
      </c>
      <c r="U1125" s="12" t="s">
        <v>2204</v>
      </c>
      <c r="V1125" s="12">
        <f>VLOOKUP(Tabla4[[#This Row],[ZONA DEFINITIVO]],Hoja1!$A$1:$D$121,3,0)</f>
        <v>229160</v>
      </c>
      <c r="W1125" s="12">
        <f>VLOOKUP(Tabla4[[#This Row],[ZONA DEFINITIVO]],Hoja1!$A$1:$D$121,2,0)</f>
        <v>15255</v>
      </c>
      <c r="X1125" s="12">
        <f>VLOOKUP(Tabla4[[#This Row],[ZONA DEFINITIVO]],Hoja1!$A$1:$D$121,4,0)</f>
        <v>89825</v>
      </c>
      <c r="Y1125" s="12" t="str">
        <f>+IF(Tabla4[[#This Row],[AGRUPACIONES]]=1,SUMIFS(Tabla4[UDS],Tabla4[ZONA DEFINITIVO],Tabla4[[#This Row],[ZONA DEFINITIVO]])," ")</f>
        <v xml:space="preserve"> </v>
      </c>
      <c r="Z1125" s="12" t="str">
        <f>+IF(Tabla4[[#This Row],[AGRUPACIONES]]=1,SUMIFS(Tabla4[TOTAL COBERTURA],Tabla4[ZONA DEFINITIVO],Tabla4[[#This Row],[ZONA DEFINITIVO]])," ")</f>
        <v xml:space="preserve"> </v>
      </c>
      <c r="AA1125" s="12"/>
      <c r="AB1125" s="38">
        <v>112557550</v>
      </c>
      <c r="AC1125" s="37">
        <v>0.02</v>
      </c>
      <c r="AD1125" s="38">
        <f t="shared" si="18"/>
        <v>2251151</v>
      </c>
      <c r="AE1125" s="12"/>
      <c r="AF1125" s="12">
        <f>COUNTIF($A$20:A1125,A1125)</f>
        <v>4</v>
      </c>
      <c r="AG1125" s="38">
        <v>112557550</v>
      </c>
      <c r="AH1125" s="38">
        <f>Tabla4[[#This Row],[VALOR CONTRAPARTIDA]]+Tabla4[[#This Row],[TOTAL APORTES ICBF]]</f>
        <v>114808701</v>
      </c>
      <c r="AI1125" s="35"/>
      <c r="AJ1125" s="38"/>
      <c r="AK1125" s="38"/>
      <c r="AL1125" s="23"/>
      <c r="AM1125" s="35">
        <f>VLOOKUP(Tabla4[[#This Row],[SERVICIO 2025]],$J$2:$V$14,5,0)*Tabla4[[#This Row],[TOTAL COBERTURA]]</f>
        <v>2573150</v>
      </c>
      <c r="AN1125" s="35">
        <f>VLOOKUP(Tabla4[[#This Row],[SERVICIO 2025]],$J$2:$V$14,6,0)*Tabla4[[#This Row],[TOTAL COBERTURA]]</f>
        <v>2155800</v>
      </c>
      <c r="AO1125" s="35">
        <f>VLOOKUP(Tabla4[[#This Row],[SERVICIO 2025]],$J$2:$V$14,8,0)*Tabla4[[#This Row],[TOTAL COBERTURA]]</f>
        <v>1455000</v>
      </c>
      <c r="AP1125" s="35">
        <f>VLOOKUP(Tabla4[[#This Row],[SERVICIO 2025]],$J$2:$V$14,3,0)*Tabla4[[#This Row],[TOTAL COBERTURA]]*8</f>
        <v>106373600</v>
      </c>
      <c r="AQ1125" s="35"/>
      <c r="AR1125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1125" s="35" t="str">
        <f>+IF(Tabla4[[#This Row],[AGRUPACIONES]]=1,SUMIFS(Tabla4[VALOR TOTAL],Tabla4[ZONA DEFINITIVO],Tabla4[[#This Row],[ZONA DEFINITIVO]])," ")</f>
        <v xml:space="preserve"> </v>
      </c>
      <c r="AT1125" s="27">
        <f>(VLOOKUP(Tabla4[[#This Row],[SERVICIO 2025]],$J$2:$V$14,3,0)*Tabla4[[#This Row],[TOTAL COBERTURA]])+Tabla4[[#This Row],[VALOR FASE PREPARATORIA DE ALISTAMIENTO]]+Tabla4[[#This Row],[DOTACIÓN ÚNICA]]</f>
        <v>17324850</v>
      </c>
      <c r="AU1125" s="35">
        <f>(VLOOKUP(Tabla4[[#This Row],[SERVICIO 2025]],$J$2:$V$14,3,0)*Tabla4[[#This Row],[TOTAL COBERTURA]])</f>
        <v>13296700</v>
      </c>
      <c r="AV1125" s="35">
        <f>(VLOOKUP(Tabla4[[#This Row],[SERVICIO 2025]],$J$2:$V$14,3,0)*Tabla4[[#This Row],[TOTAL COBERTURA]])</f>
        <v>13296700</v>
      </c>
      <c r="AW1125" s="35">
        <f>(VLOOKUP(Tabla4[[#This Row],[SERVICIO 2025]],$J$2:$V$14,3,0)*Tabla4[[#This Row],[TOTAL COBERTURA]])</f>
        <v>13296700</v>
      </c>
      <c r="AX1125" s="35">
        <f>(VLOOKUP(Tabla4[[#This Row],[SERVICIO 2025]],$J$2:$V$14,3,0)*Tabla4[[#This Row],[TOTAL COBERTURA]])</f>
        <v>13296700</v>
      </c>
      <c r="AY1125" s="35">
        <f>(VLOOKUP(Tabla4[[#This Row],[SERVICIO 2025]],$J$2:$V$14,3,0)*Tabla4[[#This Row],[TOTAL COBERTURA]])</f>
        <v>13296700</v>
      </c>
      <c r="AZ1125" s="35">
        <f>(VLOOKUP(Tabla4[[#This Row],[SERVICIO 2025]],$J$2:$V$14,3,0)*Tabla4[[#This Row],[TOTAL COBERTURA]])</f>
        <v>13296700</v>
      </c>
      <c r="BA1125" s="35">
        <f>(VLOOKUP(Tabla4[[#This Row],[SERVICIO 2025]],$J$2:$V$14,3,0)*Tabla4[[#This Row],[TOTAL COBERTURA]])+Tabla4[[#This Row],[VALOR FASE PREPARATORIA DE CIERRE]]</f>
        <v>15452500</v>
      </c>
      <c r="BB1125" s="35">
        <f>SUM(Tabla4[[#This Row],[DESEMBOLSO 1]:[DESEMBOLSO 8]])</f>
        <v>112557550</v>
      </c>
      <c r="BC1125" s="35">
        <f>VLOOKUP(Tabla4[[#This Row],[SERVICIO 2025]],$J$2:$V$14,10,0)*Tabla4[[#This Row],[TOTAL COBERTURA]]*$W$3</f>
        <v>72153200</v>
      </c>
      <c r="BD1125" s="47" t="s">
        <v>211</v>
      </c>
      <c r="BE1125" s="12" t="b">
        <f>EXACT(Tabla4[[#This Row],[VALOR ATENCIÓN (8 MESES)]],Tabla4[[#This Row],[VALOR TOTAL]])</f>
        <v>1</v>
      </c>
      <c r="BF1125" s="23">
        <f>Tabla4[[#This Row],[VALOR ATENCIÓN (8 MESES)]]-Tabla4[[#This Row],[VALOR TOTAL]]</f>
        <v>0</v>
      </c>
      <c r="BG1125" s="12" t="b">
        <f>EXACT(Tabla4[[#This Row],[TOTAL DESEMBOLSOS]],Tabla4[[#This Row],[VALOR ATENCIÓN (8 MESES)]])</f>
        <v>1</v>
      </c>
      <c r="BH1125" s="29">
        <f>Tabla4[[#This Row],[TOTAL DESEMBOLSOS]]-Tabla4[[#This Row],[VALOR ATENCIÓN (8 MESES)]]</f>
        <v>0</v>
      </c>
      <c r="BI1125" t="s">
        <v>98</v>
      </c>
      <c r="BJ1125">
        <v>2007</v>
      </c>
    </row>
    <row r="1126" spans="1:62">
      <c r="A1126" s="13">
        <v>2007</v>
      </c>
      <c r="B1126" s="13" t="s">
        <v>2458</v>
      </c>
      <c r="C1126" s="12" t="s">
        <v>87</v>
      </c>
      <c r="D1126" s="12" t="s">
        <v>527</v>
      </c>
      <c r="E1126" s="12" t="s">
        <v>2431</v>
      </c>
      <c r="F1126" s="12" t="s">
        <v>19</v>
      </c>
      <c r="G1126" s="12" t="s">
        <v>90</v>
      </c>
      <c r="H1126" s="12" t="s">
        <v>2465</v>
      </c>
      <c r="I1126" s="12">
        <v>57561140951</v>
      </c>
      <c r="J1126" s="12" t="s">
        <v>2466</v>
      </c>
      <c r="K1126" s="12">
        <v>1</v>
      </c>
      <c r="L1126" s="12">
        <v>50</v>
      </c>
      <c r="M1126" s="12"/>
      <c r="N1126" s="13">
        <v>2007</v>
      </c>
      <c r="O1126" s="12" t="s">
        <v>93</v>
      </c>
      <c r="P1126" s="12"/>
      <c r="Q1126" s="12"/>
      <c r="R1126" s="12" t="s">
        <v>94</v>
      </c>
      <c r="S1126" s="12">
        <v>10</v>
      </c>
      <c r="T1126" s="12" t="s">
        <v>2203</v>
      </c>
      <c r="U1126" s="12" t="s">
        <v>2204</v>
      </c>
      <c r="V1126" s="12">
        <f>VLOOKUP(Tabla4[[#This Row],[ZONA DEFINITIVO]],Hoja1!$A$1:$D$121,3,0)</f>
        <v>229160</v>
      </c>
      <c r="W1126" s="12">
        <f>VLOOKUP(Tabla4[[#This Row],[ZONA DEFINITIVO]],Hoja1!$A$1:$D$121,2,0)</f>
        <v>15255</v>
      </c>
      <c r="X1126" s="12">
        <f>VLOOKUP(Tabla4[[#This Row],[ZONA DEFINITIVO]],Hoja1!$A$1:$D$121,4,0)</f>
        <v>89825</v>
      </c>
      <c r="Y1126" s="12" t="str">
        <f>+IF(Tabla4[[#This Row],[AGRUPACIONES]]=1,SUMIFS(Tabla4[UDS],Tabla4[ZONA DEFINITIVO],Tabla4[[#This Row],[ZONA DEFINITIVO]])," ")</f>
        <v xml:space="preserve"> </v>
      </c>
      <c r="Z1126" s="12" t="str">
        <f>+IF(Tabla4[[#This Row],[AGRUPACIONES]]=1,SUMIFS(Tabla4[TOTAL COBERTURA],Tabla4[ZONA DEFINITIVO],Tabla4[[#This Row],[ZONA DEFINITIVO]])," ")</f>
        <v xml:space="preserve"> </v>
      </c>
      <c r="AA1126" s="12"/>
      <c r="AB1126" s="38">
        <v>112557550</v>
      </c>
      <c r="AC1126" s="37">
        <v>0.02</v>
      </c>
      <c r="AD1126" s="38">
        <f t="shared" si="18"/>
        <v>2251151</v>
      </c>
      <c r="AE1126" s="12"/>
      <c r="AF1126" s="12">
        <f>COUNTIF($A$20:A1126,A1126)</f>
        <v>5</v>
      </c>
      <c r="AG1126" s="38">
        <v>112557550</v>
      </c>
      <c r="AH1126" s="38">
        <f>Tabla4[[#This Row],[VALOR CONTRAPARTIDA]]+Tabla4[[#This Row],[TOTAL APORTES ICBF]]</f>
        <v>114808701</v>
      </c>
      <c r="AI1126" s="35"/>
      <c r="AJ1126" s="38"/>
      <c r="AK1126" s="38"/>
      <c r="AL1126" s="23"/>
      <c r="AM1126" s="35">
        <f>VLOOKUP(Tabla4[[#This Row],[SERVICIO 2025]],$J$2:$V$14,5,0)*Tabla4[[#This Row],[TOTAL COBERTURA]]</f>
        <v>2573150</v>
      </c>
      <c r="AN1126" s="35">
        <f>VLOOKUP(Tabla4[[#This Row],[SERVICIO 2025]],$J$2:$V$14,6,0)*Tabla4[[#This Row],[TOTAL COBERTURA]]</f>
        <v>2155800</v>
      </c>
      <c r="AO1126" s="35">
        <f>VLOOKUP(Tabla4[[#This Row],[SERVICIO 2025]],$J$2:$V$14,8,0)*Tabla4[[#This Row],[TOTAL COBERTURA]]</f>
        <v>1455000</v>
      </c>
      <c r="AP1126" s="35">
        <f>VLOOKUP(Tabla4[[#This Row],[SERVICIO 2025]],$J$2:$V$14,3,0)*Tabla4[[#This Row],[TOTAL COBERTURA]]*8</f>
        <v>106373600</v>
      </c>
      <c r="AQ1126" s="35"/>
      <c r="AR1126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1126" s="35" t="str">
        <f>+IF(Tabla4[[#This Row],[AGRUPACIONES]]=1,SUMIFS(Tabla4[VALOR TOTAL],Tabla4[ZONA DEFINITIVO],Tabla4[[#This Row],[ZONA DEFINITIVO]])," ")</f>
        <v xml:space="preserve"> </v>
      </c>
      <c r="AT1126" s="27">
        <f>(VLOOKUP(Tabla4[[#This Row],[SERVICIO 2025]],$J$2:$V$14,3,0)*Tabla4[[#This Row],[TOTAL COBERTURA]])+Tabla4[[#This Row],[VALOR FASE PREPARATORIA DE ALISTAMIENTO]]+Tabla4[[#This Row],[DOTACIÓN ÚNICA]]</f>
        <v>17324850</v>
      </c>
      <c r="AU1126" s="35">
        <f>(VLOOKUP(Tabla4[[#This Row],[SERVICIO 2025]],$J$2:$V$14,3,0)*Tabla4[[#This Row],[TOTAL COBERTURA]])</f>
        <v>13296700</v>
      </c>
      <c r="AV1126" s="35">
        <f>(VLOOKUP(Tabla4[[#This Row],[SERVICIO 2025]],$J$2:$V$14,3,0)*Tabla4[[#This Row],[TOTAL COBERTURA]])</f>
        <v>13296700</v>
      </c>
      <c r="AW1126" s="35">
        <f>(VLOOKUP(Tabla4[[#This Row],[SERVICIO 2025]],$J$2:$V$14,3,0)*Tabla4[[#This Row],[TOTAL COBERTURA]])</f>
        <v>13296700</v>
      </c>
      <c r="AX1126" s="35">
        <f>(VLOOKUP(Tabla4[[#This Row],[SERVICIO 2025]],$J$2:$V$14,3,0)*Tabla4[[#This Row],[TOTAL COBERTURA]])</f>
        <v>13296700</v>
      </c>
      <c r="AY1126" s="35">
        <f>(VLOOKUP(Tabla4[[#This Row],[SERVICIO 2025]],$J$2:$V$14,3,0)*Tabla4[[#This Row],[TOTAL COBERTURA]])</f>
        <v>13296700</v>
      </c>
      <c r="AZ1126" s="35">
        <f>(VLOOKUP(Tabla4[[#This Row],[SERVICIO 2025]],$J$2:$V$14,3,0)*Tabla4[[#This Row],[TOTAL COBERTURA]])</f>
        <v>13296700</v>
      </c>
      <c r="BA1126" s="35">
        <f>(VLOOKUP(Tabla4[[#This Row],[SERVICIO 2025]],$J$2:$V$14,3,0)*Tabla4[[#This Row],[TOTAL COBERTURA]])+Tabla4[[#This Row],[VALOR FASE PREPARATORIA DE CIERRE]]</f>
        <v>15452500</v>
      </c>
      <c r="BB1126" s="35">
        <f>SUM(Tabla4[[#This Row],[DESEMBOLSO 1]:[DESEMBOLSO 8]])</f>
        <v>112557550</v>
      </c>
      <c r="BC1126" s="35">
        <f>VLOOKUP(Tabla4[[#This Row],[SERVICIO 2025]],$J$2:$V$14,10,0)*Tabla4[[#This Row],[TOTAL COBERTURA]]*$W$3</f>
        <v>72153200</v>
      </c>
      <c r="BD1126" s="47" t="s">
        <v>211</v>
      </c>
      <c r="BE1126" s="12" t="b">
        <f>EXACT(Tabla4[[#This Row],[VALOR ATENCIÓN (8 MESES)]],Tabla4[[#This Row],[VALOR TOTAL]])</f>
        <v>1</v>
      </c>
      <c r="BF1126" s="23">
        <f>Tabla4[[#This Row],[VALOR ATENCIÓN (8 MESES)]]-Tabla4[[#This Row],[VALOR TOTAL]]</f>
        <v>0</v>
      </c>
      <c r="BG1126" s="12" t="b">
        <f>EXACT(Tabla4[[#This Row],[TOTAL DESEMBOLSOS]],Tabla4[[#This Row],[VALOR ATENCIÓN (8 MESES)]])</f>
        <v>1</v>
      </c>
      <c r="BH1126" s="29">
        <f>Tabla4[[#This Row],[TOTAL DESEMBOLSOS]]-Tabla4[[#This Row],[VALOR ATENCIÓN (8 MESES)]]</f>
        <v>0</v>
      </c>
      <c r="BI1126" t="s">
        <v>98</v>
      </c>
      <c r="BJ1126">
        <v>2007</v>
      </c>
    </row>
    <row r="1127" spans="1:62">
      <c r="A1127" s="13">
        <v>2007</v>
      </c>
      <c r="B1127" s="13" t="s">
        <v>2458</v>
      </c>
      <c r="C1127" s="12" t="s">
        <v>87</v>
      </c>
      <c r="D1127" s="12" t="s">
        <v>527</v>
      </c>
      <c r="E1127" s="12" t="s">
        <v>2431</v>
      </c>
      <c r="F1127" s="12" t="s">
        <v>19</v>
      </c>
      <c r="G1127" s="12" t="s">
        <v>90</v>
      </c>
      <c r="H1127" s="12" t="s">
        <v>2465</v>
      </c>
      <c r="I1127" s="12">
        <v>57561142007</v>
      </c>
      <c r="J1127" s="12" t="s">
        <v>2467</v>
      </c>
      <c r="K1127" s="12">
        <v>1</v>
      </c>
      <c r="L1127" s="12">
        <v>50</v>
      </c>
      <c r="M1127" s="12"/>
      <c r="N1127" s="13">
        <v>2007</v>
      </c>
      <c r="O1127" s="12" t="s">
        <v>93</v>
      </c>
      <c r="P1127" s="12"/>
      <c r="Q1127" s="12"/>
      <c r="R1127" s="12" t="s">
        <v>94</v>
      </c>
      <c r="S1127" s="12">
        <v>10</v>
      </c>
      <c r="T1127" s="12" t="s">
        <v>2203</v>
      </c>
      <c r="U1127" s="12" t="s">
        <v>2204</v>
      </c>
      <c r="V1127" s="12">
        <f>VLOOKUP(Tabla4[[#This Row],[ZONA DEFINITIVO]],Hoja1!$A$1:$D$121,3,0)</f>
        <v>229160</v>
      </c>
      <c r="W1127" s="12">
        <f>VLOOKUP(Tabla4[[#This Row],[ZONA DEFINITIVO]],Hoja1!$A$1:$D$121,2,0)</f>
        <v>15255</v>
      </c>
      <c r="X1127" s="12">
        <f>VLOOKUP(Tabla4[[#This Row],[ZONA DEFINITIVO]],Hoja1!$A$1:$D$121,4,0)</f>
        <v>89825</v>
      </c>
      <c r="Y1127" s="12" t="str">
        <f>+IF(Tabla4[[#This Row],[AGRUPACIONES]]=1,SUMIFS(Tabla4[UDS],Tabla4[ZONA DEFINITIVO],Tabla4[[#This Row],[ZONA DEFINITIVO]])," ")</f>
        <v xml:space="preserve"> </v>
      </c>
      <c r="Z1127" s="12" t="str">
        <f>+IF(Tabla4[[#This Row],[AGRUPACIONES]]=1,SUMIFS(Tabla4[TOTAL COBERTURA],Tabla4[ZONA DEFINITIVO],Tabla4[[#This Row],[ZONA DEFINITIVO]])," ")</f>
        <v xml:space="preserve"> </v>
      </c>
      <c r="AA1127" s="12"/>
      <c r="AB1127" s="38">
        <v>112557550</v>
      </c>
      <c r="AC1127" s="37">
        <v>0.02</v>
      </c>
      <c r="AD1127" s="38">
        <f t="shared" si="18"/>
        <v>2251151</v>
      </c>
      <c r="AE1127" s="12"/>
      <c r="AF1127" s="12">
        <f>COUNTIF($A$20:A1127,A1127)</f>
        <v>6</v>
      </c>
      <c r="AG1127" s="38">
        <v>112557550</v>
      </c>
      <c r="AH1127" s="38">
        <f>Tabla4[[#This Row],[VALOR CONTRAPARTIDA]]+Tabla4[[#This Row],[TOTAL APORTES ICBF]]</f>
        <v>114808701</v>
      </c>
      <c r="AI1127" s="35"/>
      <c r="AJ1127" s="38"/>
      <c r="AK1127" s="38"/>
      <c r="AL1127" s="23"/>
      <c r="AM1127" s="35">
        <f>VLOOKUP(Tabla4[[#This Row],[SERVICIO 2025]],$J$2:$V$14,5,0)*Tabla4[[#This Row],[TOTAL COBERTURA]]</f>
        <v>2573150</v>
      </c>
      <c r="AN1127" s="35">
        <f>VLOOKUP(Tabla4[[#This Row],[SERVICIO 2025]],$J$2:$V$14,6,0)*Tabla4[[#This Row],[TOTAL COBERTURA]]</f>
        <v>2155800</v>
      </c>
      <c r="AO1127" s="35">
        <f>VLOOKUP(Tabla4[[#This Row],[SERVICIO 2025]],$J$2:$V$14,8,0)*Tabla4[[#This Row],[TOTAL COBERTURA]]</f>
        <v>1455000</v>
      </c>
      <c r="AP1127" s="35">
        <f>VLOOKUP(Tabla4[[#This Row],[SERVICIO 2025]],$J$2:$V$14,3,0)*Tabla4[[#This Row],[TOTAL COBERTURA]]*8</f>
        <v>106373600</v>
      </c>
      <c r="AQ1127" s="35"/>
      <c r="AR1127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1127" s="35" t="str">
        <f>+IF(Tabla4[[#This Row],[AGRUPACIONES]]=1,SUMIFS(Tabla4[VALOR TOTAL],Tabla4[ZONA DEFINITIVO],Tabla4[[#This Row],[ZONA DEFINITIVO]])," ")</f>
        <v xml:space="preserve"> </v>
      </c>
      <c r="AT1127" s="27">
        <f>(VLOOKUP(Tabla4[[#This Row],[SERVICIO 2025]],$J$2:$V$14,3,0)*Tabla4[[#This Row],[TOTAL COBERTURA]])+Tabla4[[#This Row],[VALOR FASE PREPARATORIA DE ALISTAMIENTO]]+Tabla4[[#This Row],[DOTACIÓN ÚNICA]]</f>
        <v>17324850</v>
      </c>
      <c r="AU1127" s="35">
        <f>(VLOOKUP(Tabla4[[#This Row],[SERVICIO 2025]],$J$2:$V$14,3,0)*Tabla4[[#This Row],[TOTAL COBERTURA]])</f>
        <v>13296700</v>
      </c>
      <c r="AV1127" s="35">
        <f>(VLOOKUP(Tabla4[[#This Row],[SERVICIO 2025]],$J$2:$V$14,3,0)*Tabla4[[#This Row],[TOTAL COBERTURA]])</f>
        <v>13296700</v>
      </c>
      <c r="AW1127" s="35">
        <f>(VLOOKUP(Tabla4[[#This Row],[SERVICIO 2025]],$J$2:$V$14,3,0)*Tabla4[[#This Row],[TOTAL COBERTURA]])</f>
        <v>13296700</v>
      </c>
      <c r="AX1127" s="35">
        <f>(VLOOKUP(Tabla4[[#This Row],[SERVICIO 2025]],$J$2:$V$14,3,0)*Tabla4[[#This Row],[TOTAL COBERTURA]])</f>
        <v>13296700</v>
      </c>
      <c r="AY1127" s="35">
        <f>(VLOOKUP(Tabla4[[#This Row],[SERVICIO 2025]],$J$2:$V$14,3,0)*Tabla4[[#This Row],[TOTAL COBERTURA]])</f>
        <v>13296700</v>
      </c>
      <c r="AZ1127" s="35">
        <f>(VLOOKUP(Tabla4[[#This Row],[SERVICIO 2025]],$J$2:$V$14,3,0)*Tabla4[[#This Row],[TOTAL COBERTURA]])</f>
        <v>13296700</v>
      </c>
      <c r="BA1127" s="35">
        <f>(VLOOKUP(Tabla4[[#This Row],[SERVICIO 2025]],$J$2:$V$14,3,0)*Tabla4[[#This Row],[TOTAL COBERTURA]])+Tabla4[[#This Row],[VALOR FASE PREPARATORIA DE CIERRE]]</f>
        <v>15452500</v>
      </c>
      <c r="BB1127" s="35">
        <f>SUM(Tabla4[[#This Row],[DESEMBOLSO 1]:[DESEMBOLSO 8]])</f>
        <v>112557550</v>
      </c>
      <c r="BC1127" s="35">
        <f>VLOOKUP(Tabla4[[#This Row],[SERVICIO 2025]],$J$2:$V$14,10,0)*Tabla4[[#This Row],[TOTAL COBERTURA]]*$W$3</f>
        <v>72153200</v>
      </c>
      <c r="BD1127" s="47" t="s">
        <v>211</v>
      </c>
      <c r="BE1127" s="12" t="b">
        <f>EXACT(Tabla4[[#This Row],[VALOR ATENCIÓN (8 MESES)]],Tabla4[[#This Row],[VALOR TOTAL]])</f>
        <v>1</v>
      </c>
      <c r="BF1127" s="23">
        <f>Tabla4[[#This Row],[VALOR ATENCIÓN (8 MESES)]]-Tabla4[[#This Row],[VALOR TOTAL]]</f>
        <v>0</v>
      </c>
      <c r="BG1127" s="12" t="b">
        <f>EXACT(Tabla4[[#This Row],[TOTAL DESEMBOLSOS]],Tabla4[[#This Row],[VALOR ATENCIÓN (8 MESES)]])</f>
        <v>1</v>
      </c>
      <c r="BH1127" s="29">
        <f>Tabla4[[#This Row],[TOTAL DESEMBOLSOS]]-Tabla4[[#This Row],[VALOR ATENCIÓN (8 MESES)]]</f>
        <v>0</v>
      </c>
      <c r="BI1127" t="s">
        <v>98</v>
      </c>
      <c r="BJ1127">
        <v>2007</v>
      </c>
    </row>
    <row r="1128" spans="1:62">
      <c r="A1128" s="13">
        <v>2007</v>
      </c>
      <c r="B1128" s="13" t="s">
        <v>2458</v>
      </c>
      <c r="C1128" s="12" t="s">
        <v>87</v>
      </c>
      <c r="D1128" s="12" t="s">
        <v>527</v>
      </c>
      <c r="E1128" s="12" t="s">
        <v>2431</v>
      </c>
      <c r="F1128" s="12" t="s">
        <v>19</v>
      </c>
      <c r="G1128" s="12" t="s">
        <v>90</v>
      </c>
      <c r="H1128" s="12" t="s">
        <v>2465</v>
      </c>
      <c r="I1128" s="12">
        <v>57561142105</v>
      </c>
      <c r="J1128" s="12" t="s">
        <v>2468</v>
      </c>
      <c r="K1128" s="12">
        <v>1</v>
      </c>
      <c r="L1128" s="12">
        <v>50</v>
      </c>
      <c r="M1128" s="12"/>
      <c r="N1128" s="13">
        <v>2007</v>
      </c>
      <c r="O1128" s="12" t="s">
        <v>93</v>
      </c>
      <c r="P1128" s="12"/>
      <c r="Q1128" s="12"/>
      <c r="R1128" s="12" t="s">
        <v>94</v>
      </c>
      <c r="S1128" s="12">
        <v>10</v>
      </c>
      <c r="T1128" s="12" t="s">
        <v>2203</v>
      </c>
      <c r="U1128" s="12" t="s">
        <v>2204</v>
      </c>
      <c r="V1128" s="12">
        <f>VLOOKUP(Tabla4[[#This Row],[ZONA DEFINITIVO]],Hoja1!$A$1:$D$121,3,0)</f>
        <v>229160</v>
      </c>
      <c r="W1128" s="12">
        <f>VLOOKUP(Tabla4[[#This Row],[ZONA DEFINITIVO]],Hoja1!$A$1:$D$121,2,0)</f>
        <v>15255</v>
      </c>
      <c r="X1128" s="12">
        <f>VLOOKUP(Tabla4[[#This Row],[ZONA DEFINITIVO]],Hoja1!$A$1:$D$121,4,0)</f>
        <v>89825</v>
      </c>
      <c r="Y1128" s="12" t="str">
        <f>+IF(Tabla4[[#This Row],[AGRUPACIONES]]=1,SUMIFS(Tabla4[UDS],Tabla4[ZONA DEFINITIVO],Tabla4[[#This Row],[ZONA DEFINITIVO]])," ")</f>
        <v xml:space="preserve"> </v>
      </c>
      <c r="Z1128" s="12" t="str">
        <f>+IF(Tabla4[[#This Row],[AGRUPACIONES]]=1,SUMIFS(Tabla4[TOTAL COBERTURA],Tabla4[ZONA DEFINITIVO],Tabla4[[#This Row],[ZONA DEFINITIVO]])," ")</f>
        <v xml:space="preserve"> </v>
      </c>
      <c r="AA1128" s="12"/>
      <c r="AB1128" s="38">
        <v>112557550</v>
      </c>
      <c r="AC1128" s="37">
        <v>0.02</v>
      </c>
      <c r="AD1128" s="38">
        <f t="shared" si="18"/>
        <v>2251151</v>
      </c>
      <c r="AE1128" s="12"/>
      <c r="AF1128" s="12">
        <f>COUNTIF($A$20:A1128,A1128)</f>
        <v>7</v>
      </c>
      <c r="AG1128" s="38">
        <v>112557550</v>
      </c>
      <c r="AH1128" s="38">
        <f>Tabla4[[#This Row],[VALOR CONTRAPARTIDA]]+Tabla4[[#This Row],[TOTAL APORTES ICBF]]</f>
        <v>114808701</v>
      </c>
      <c r="AI1128" s="35"/>
      <c r="AJ1128" s="38"/>
      <c r="AK1128" s="38"/>
      <c r="AL1128" s="23"/>
      <c r="AM1128" s="35">
        <f>VLOOKUP(Tabla4[[#This Row],[SERVICIO 2025]],$J$2:$V$14,5,0)*Tabla4[[#This Row],[TOTAL COBERTURA]]</f>
        <v>2573150</v>
      </c>
      <c r="AN1128" s="35">
        <f>VLOOKUP(Tabla4[[#This Row],[SERVICIO 2025]],$J$2:$V$14,6,0)*Tabla4[[#This Row],[TOTAL COBERTURA]]</f>
        <v>2155800</v>
      </c>
      <c r="AO1128" s="35">
        <f>VLOOKUP(Tabla4[[#This Row],[SERVICIO 2025]],$J$2:$V$14,8,0)*Tabla4[[#This Row],[TOTAL COBERTURA]]</f>
        <v>1455000</v>
      </c>
      <c r="AP1128" s="35">
        <f>VLOOKUP(Tabla4[[#This Row],[SERVICIO 2025]],$J$2:$V$14,3,0)*Tabla4[[#This Row],[TOTAL COBERTURA]]*8</f>
        <v>106373600</v>
      </c>
      <c r="AQ1128" s="35"/>
      <c r="AR1128" s="35">
        <f>Tabla4[[#This Row],[VALOR FASE PREPARATORIA DE ALISTAMIENTO]]+Tabla4[[#This Row],[VALOR FASE PREPARATORIA DE CIERRE]]+Tabla4[[#This Row],[DOTACIÓN ÚNICA]]+Tabla4[[#This Row],[VALOR ATENCIÓN]]+Tabla4[[#This Row],[VALOR RACION PREPARADA]]</f>
        <v>112557550</v>
      </c>
      <c r="AS1128" s="35" t="str">
        <f>+IF(Tabla4[[#This Row],[AGRUPACIONES]]=1,SUMIFS(Tabla4[VALOR TOTAL],Tabla4[ZONA DEFINITIVO],Tabla4[[#This Row],[ZONA DEFINITIVO]])," ")</f>
        <v xml:space="preserve"> </v>
      </c>
      <c r="AT1128" s="27">
        <f>(VLOOKUP(Tabla4[[#This Row],[SERVICIO 2025]],$J$2:$V$14,3,0)*Tabla4[[#This Row],[TOTAL COBERTURA]])+Tabla4[[#This Row],[VALOR FASE PREPARATORIA DE ALISTAMIENTO]]+Tabla4[[#This Row],[DOTACIÓN ÚNICA]]</f>
        <v>17324850</v>
      </c>
      <c r="AU1128" s="35">
        <f>(VLOOKUP(Tabla4[[#This Row],[SERVICIO 2025]],$J$2:$V$14,3,0)*Tabla4[[#This Row],[TOTAL COBERTURA]])</f>
        <v>13296700</v>
      </c>
      <c r="AV1128" s="35">
        <f>(VLOOKUP(Tabla4[[#This Row],[SERVICIO 2025]],$J$2:$V$14,3,0)*Tabla4[[#This Row],[TOTAL COBERTURA]])</f>
        <v>13296700</v>
      </c>
      <c r="AW1128" s="35">
        <f>(VLOOKUP(Tabla4[[#This Row],[SERVICIO 2025]],$J$2:$V$14,3,0)*Tabla4[[#This Row],[TOTAL COBERTURA]])</f>
        <v>13296700</v>
      </c>
      <c r="AX1128" s="35">
        <f>(VLOOKUP(Tabla4[[#This Row],[SERVICIO 2025]],$J$2:$V$14,3,0)*Tabla4[[#This Row],[TOTAL COBERTURA]])</f>
        <v>13296700</v>
      </c>
      <c r="AY1128" s="35">
        <f>(VLOOKUP(Tabla4[[#This Row],[SERVICIO 2025]],$J$2:$V$14,3,0)*Tabla4[[#This Row],[TOTAL COBERTURA]])</f>
        <v>13296700</v>
      </c>
      <c r="AZ1128" s="35">
        <f>(VLOOKUP(Tabla4[[#This Row],[SERVICIO 2025]],$J$2:$V$14,3,0)*Tabla4[[#This Row],[TOTAL COBERTURA]])</f>
        <v>13296700</v>
      </c>
      <c r="BA1128" s="35">
        <f>(VLOOKUP(Tabla4[[#This Row],[SERVICIO 2025]],$J$2:$V$14,3,0)*Tabla4[[#This Row],[TOTAL COBERTURA]])+Tabla4[[#This Row],[VALOR FASE PREPARATORIA DE CIERRE]]</f>
        <v>15452500</v>
      </c>
      <c r="BB1128" s="35">
        <f>SUM(Tabla4[[#This Row],[DESEMBOLSO 1]:[DESEMBOLSO 8]])</f>
        <v>112557550</v>
      </c>
      <c r="BC1128" s="35">
        <f>VLOOKUP(Tabla4[[#This Row],[SERVICIO 2025]],$J$2:$V$14,10,0)*Tabla4[[#This Row],[TOTAL COBERTURA]]*$W$3</f>
        <v>72153200</v>
      </c>
      <c r="BD1128" s="47" t="s">
        <v>211</v>
      </c>
      <c r="BE1128" s="12" t="b">
        <f>EXACT(Tabla4[[#This Row],[VALOR ATENCIÓN (8 MESES)]],Tabla4[[#This Row],[VALOR TOTAL]])</f>
        <v>1</v>
      </c>
      <c r="BF1128" s="23">
        <f>Tabla4[[#This Row],[VALOR ATENCIÓN (8 MESES)]]-Tabla4[[#This Row],[VALOR TOTAL]]</f>
        <v>0</v>
      </c>
      <c r="BG1128" s="12" t="b">
        <f>EXACT(Tabla4[[#This Row],[TOTAL DESEMBOLSOS]],Tabla4[[#This Row],[VALOR ATENCIÓN (8 MESES)]])</f>
        <v>1</v>
      </c>
      <c r="BH1128" s="29">
        <f>Tabla4[[#This Row],[TOTAL DESEMBOLSOS]]-Tabla4[[#This Row],[VALOR ATENCIÓN (8 MESES)]]</f>
        <v>0</v>
      </c>
      <c r="BI1128" t="s">
        <v>98</v>
      </c>
      <c r="BJ1128">
        <v>2007</v>
      </c>
    </row>
    <row r="1129" spans="1:62">
      <c r="A1129" s="13">
        <v>2009</v>
      </c>
      <c r="B1129" s="13" t="s">
        <v>2469</v>
      </c>
      <c r="C1129" s="12" t="s">
        <v>87</v>
      </c>
      <c r="D1129" s="12" t="s">
        <v>987</v>
      </c>
      <c r="E1129" s="12" t="s">
        <v>2470</v>
      </c>
      <c r="F1129" s="12" t="s">
        <v>18</v>
      </c>
      <c r="G1129" s="12" t="s">
        <v>90</v>
      </c>
      <c r="H1129" s="12" t="s">
        <v>2471</v>
      </c>
      <c r="I1129" s="12">
        <v>57901117376</v>
      </c>
      <c r="J1129" s="12" t="s">
        <v>2472</v>
      </c>
      <c r="K1129" s="12">
        <v>1</v>
      </c>
      <c r="L1129" s="12">
        <v>157</v>
      </c>
      <c r="M1129" s="12"/>
      <c r="N1129" s="13">
        <v>2009</v>
      </c>
      <c r="O1129" s="12" t="s">
        <v>93</v>
      </c>
      <c r="P1129" s="12"/>
      <c r="Q1129" s="12"/>
      <c r="R1129" s="12" t="s">
        <v>94</v>
      </c>
      <c r="S1129" s="12">
        <v>10</v>
      </c>
      <c r="T1129" s="12" t="s">
        <v>677</v>
      </c>
      <c r="U1129" s="12" t="s">
        <v>678</v>
      </c>
      <c r="V1129" s="12">
        <f>VLOOKUP(Tabla4[[#This Row],[ZONA DEFINITIVO]],Hoja1!$A$1:$D$121,3,0)</f>
        <v>229161</v>
      </c>
      <c r="W1129" s="12">
        <f>VLOOKUP(Tabla4[[#This Row],[ZONA DEFINITIVO]],Hoja1!$A$1:$D$121,2,0)</f>
        <v>15224</v>
      </c>
      <c r="X1129" s="12">
        <f>VLOOKUP(Tabla4[[#This Row],[ZONA DEFINITIVO]],Hoja1!$A$1:$D$121,4,0)</f>
        <v>86925</v>
      </c>
      <c r="Y1129" s="12">
        <f>+IF(Tabla4[[#This Row],[AGRUPACIONES]]=1,SUMIFS(Tabla4[UDS],Tabla4[ZONA DEFINITIVO],Tabla4[[#This Row],[ZONA DEFINITIVO]])," ")</f>
        <v>15</v>
      </c>
      <c r="Z1129" s="12">
        <f>+IF(Tabla4[[#This Row],[AGRUPACIONES]]=1,SUMIFS(Tabla4[TOTAL COBERTURA],Tabla4[ZONA DEFINITIVO],Tabla4[[#This Row],[ZONA DEFINITIVO]])," ")</f>
        <v>783</v>
      </c>
      <c r="AA1129" s="12"/>
      <c r="AB1129" s="38">
        <v>342290301</v>
      </c>
      <c r="AC1129" s="37">
        <v>0.02</v>
      </c>
      <c r="AD1129" s="38">
        <f t="shared" si="18"/>
        <v>6845806.0200000005</v>
      </c>
      <c r="AE1129" s="12"/>
      <c r="AF1129" s="12">
        <f>COUNTIF($A$20:A1129,A1129)</f>
        <v>1</v>
      </c>
      <c r="AG1129" s="38">
        <v>342290301</v>
      </c>
      <c r="AH1129" s="38">
        <f>Tabla4[[#This Row],[VALOR CONTRAPARTIDA]]+Tabla4[[#This Row],[TOTAL APORTES ICBF]]</f>
        <v>349136107.01999998</v>
      </c>
      <c r="AI1129" s="35">
        <f>ROUND(+IF(Tabla4[[#This Row],[AGRUPACIONES]]=1,SUMIFS(Tabla4[TOTAL APORTES ICBF],Tabla4[ZONA DEFINITIVO],Tabla4[[#This Row],[ZONA DEFINITIVO]])," "),0)</f>
        <v>1707091119</v>
      </c>
      <c r="AJ1129" s="38">
        <f>ROUND(+IF(Tabla4[[#This Row],[AGRUPACIONES]]=1,SUMIFS(Tabla4[VALOR CONTRAPARTIDA],Tabla4[ZONA DEFINITIVO],Tabla4[[#This Row],[ZONA DEFINITIVO]])," "),0)</f>
        <v>34141822</v>
      </c>
      <c r="AK1129" s="38">
        <f>Tabla4[[#This Row],[TOTAL APORTES ICBF AGRUPADO]]+Tabla4[[#This Row],[TOTAL CONTRAPARTIDA AGRUPADO]]</f>
        <v>1741232941</v>
      </c>
      <c r="AL1129" s="23">
        <f>Tabla4[[#This Row],[TOTAL APORTES ICBF AGRUPADO]]/$AL$18</f>
        <v>1199.2210179135932</v>
      </c>
      <c r="AM1129" s="35">
        <f>VLOOKUP(Tabla4[[#This Row],[SERVICIO 2025]],$J$2:$V$14,5,0)*Tabla4[[#This Row],[TOTAL COBERTURA]]</f>
        <v>7752032</v>
      </c>
      <c r="AN1129" s="35">
        <f>VLOOKUP(Tabla4[[#This Row],[SERVICIO 2025]],$J$2:$V$14,6,0)*Tabla4[[#This Row],[TOTAL COBERTURA]]</f>
        <v>6441553</v>
      </c>
      <c r="AO1129" s="35">
        <f>VLOOKUP(Tabla4[[#This Row],[SERVICIO 2025]],$J$2:$V$14,8,0)*Tabla4[[#This Row],[TOTAL COBERTURA]]</f>
        <v>4568700</v>
      </c>
      <c r="AP1129" s="35">
        <f>VLOOKUP(Tabla4[[#This Row],[SERVICIO 2025]],$J$2:$V$14,3,0)*Tabla4[[#This Row],[TOTAL COBERTURA]]*8</f>
        <v>323528016</v>
      </c>
      <c r="AQ1129" s="35"/>
      <c r="AR1129" s="35">
        <f>Tabla4[[#This Row],[VALOR FASE PREPARATORIA DE ALISTAMIENTO]]+Tabla4[[#This Row],[VALOR FASE PREPARATORIA DE CIERRE]]+Tabla4[[#This Row],[DOTACIÓN ÚNICA]]+Tabla4[[#This Row],[VALOR ATENCIÓN]]+Tabla4[[#This Row],[VALOR RACION PREPARADA]]</f>
        <v>342290301</v>
      </c>
      <c r="AS1129" s="35">
        <f>+IF(Tabla4[[#This Row],[AGRUPACIONES]]=1,SUMIFS(Tabla4[VALOR TOTAL],Tabla4[ZONA DEFINITIVO],Tabla4[[#This Row],[ZONA DEFINITIVO]])," ")</f>
        <v>1707091119</v>
      </c>
      <c r="AT1129" s="27">
        <f>(VLOOKUP(Tabla4[[#This Row],[SERVICIO 2025]],$J$2:$V$14,3,0)*Tabla4[[#This Row],[TOTAL COBERTURA]])+Tabla4[[#This Row],[VALOR FASE PREPARATORIA DE ALISTAMIENTO]]+Tabla4[[#This Row],[DOTACIÓN ÚNICA]]</f>
        <v>52761734</v>
      </c>
      <c r="AU1129" s="35">
        <f>(VLOOKUP(Tabla4[[#This Row],[SERVICIO 2025]],$J$2:$V$14,3,0)*Tabla4[[#This Row],[TOTAL COBERTURA]])</f>
        <v>40441002</v>
      </c>
      <c r="AV1129" s="35">
        <f>(VLOOKUP(Tabla4[[#This Row],[SERVICIO 2025]],$J$2:$V$14,3,0)*Tabla4[[#This Row],[TOTAL COBERTURA]])</f>
        <v>40441002</v>
      </c>
      <c r="AW1129" s="35">
        <f>(VLOOKUP(Tabla4[[#This Row],[SERVICIO 2025]],$J$2:$V$14,3,0)*Tabla4[[#This Row],[TOTAL COBERTURA]])</f>
        <v>40441002</v>
      </c>
      <c r="AX1129" s="35">
        <f>(VLOOKUP(Tabla4[[#This Row],[SERVICIO 2025]],$J$2:$V$14,3,0)*Tabla4[[#This Row],[TOTAL COBERTURA]])</f>
        <v>40441002</v>
      </c>
      <c r="AY1129" s="35">
        <f>(VLOOKUP(Tabla4[[#This Row],[SERVICIO 2025]],$J$2:$V$14,3,0)*Tabla4[[#This Row],[TOTAL COBERTURA]])</f>
        <v>40441002</v>
      </c>
      <c r="AZ1129" s="35">
        <f>(VLOOKUP(Tabla4[[#This Row],[SERVICIO 2025]],$J$2:$V$14,3,0)*Tabla4[[#This Row],[TOTAL COBERTURA]])</f>
        <v>40441002</v>
      </c>
      <c r="BA1129" s="35">
        <f>(VLOOKUP(Tabla4[[#This Row],[SERVICIO 2025]],$J$2:$V$14,3,0)*Tabla4[[#This Row],[TOTAL COBERTURA]])+Tabla4[[#This Row],[VALOR FASE PREPARATORIA DE CIERRE]]</f>
        <v>46882555</v>
      </c>
      <c r="BB1129" s="35">
        <f>SUM(Tabla4[[#This Row],[DESEMBOLSO 1]:[DESEMBOLSO 8]])</f>
        <v>342290301</v>
      </c>
      <c r="BC1129" s="35">
        <f>VLOOKUP(Tabla4[[#This Row],[SERVICIO 2025]],$J$2:$V$14,10,0)*Tabla4[[#This Row],[TOTAL COBERTURA]]*$W$3</f>
        <v>226561048</v>
      </c>
      <c r="BD1129" s="47" t="s">
        <v>211</v>
      </c>
      <c r="BE1129" s="12" t="b">
        <f>EXACT(Tabla4[[#This Row],[VALOR ATENCIÓN (8 MESES)]],Tabla4[[#This Row],[VALOR TOTAL]])</f>
        <v>1</v>
      </c>
      <c r="BF1129" s="23">
        <f>Tabla4[[#This Row],[VALOR ATENCIÓN (8 MESES)]]-Tabla4[[#This Row],[VALOR TOTAL]]</f>
        <v>0</v>
      </c>
      <c r="BG1129" s="12" t="b">
        <f>EXACT(Tabla4[[#This Row],[TOTAL DESEMBOLSOS]],Tabla4[[#This Row],[VALOR ATENCIÓN (8 MESES)]])</f>
        <v>1</v>
      </c>
      <c r="BH1129" s="29">
        <f>Tabla4[[#This Row],[TOTAL DESEMBOLSOS]]-Tabla4[[#This Row],[VALOR ATENCIÓN (8 MESES)]]</f>
        <v>0</v>
      </c>
      <c r="BI1129" t="s">
        <v>98</v>
      </c>
      <c r="BJ1129">
        <v>2009</v>
      </c>
    </row>
    <row r="1130" spans="1:62">
      <c r="A1130" s="13">
        <v>2009</v>
      </c>
      <c r="B1130" s="13" t="s">
        <v>2469</v>
      </c>
      <c r="C1130" s="12" t="s">
        <v>87</v>
      </c>
      <c r="D1130" s="12" t="s">
        <v>987</v>
      </c>
      <c r="E1130" s="12" t="s">
        <v>2470</v>
      </c>
      <c r="F1130" s="12" t="s">
        <v>18</v>
      </c>
      <c r="G1130" s="12" t="s">
        <v>90</v>
      </c>
      <c r="H1130" s="12" t="s">
        <v>2473</v>
      </c>
      <c r="I1130" s="12">
        <v>57901117398</v>
      </c>
      <c r="J1130" s="12" t="s">
        <v>2474</v>
      </c>
      <c r="K1130" s="12">
        <v>1</v>
      </c>
      <c r="L1130" s="12">
        <v>42</v>
      </c>
      <c r="M1130" s="12"/>
      <c r="N1130" s="13">
        <v>2009</v>
      </c>
      <c r="O1130" s="12" t="s">
        <v>93</v>
      </c>
      <c r="P1130" s="12"/>
      <c r="Q1130" s="12"/>
      <c r="R1130" s="12" t="s">
        <v>94</v>
      </c>
      <c r="S1130" s="12">
        <v>10</v>
      </c>
      <c r="T1130" s="12" t="s">
        <v>677</v>
      </c>
      <c r="U1130" s="12" t="s">
        <v>678</v>
      </c>
      <c r="V1130" s="12">
        <f>VLOOKUP(Tabla4[[#This Row],[ZONA DEFINITIVO]],Hoja1!$A$1:$D$121,3,0)</f>
        <v>229161</v>
      </c>
      <c r="W1130" s="12">
        <f>VLOOKUP(Tabla4[[#This Row],[ZONA DEFINITIVO]],Hoja1!$A$1:$D$121,2,0)</f>
        <v>15224</v>
      </c>
      <c r="X1130" s="12">
        <f>VLOOKUP(Tabla4[[#This Row],[ZONA DEFINITIVO]],Hoja1!$A$1:$D$121,4,0)</f>
        <v>86925</v>
      </c>
      <c r="Y1130" s="12" t="str">
        <f>+IF(Tabla4[[#This Row],[AGRUPACIONES]]=1,SUMIFS(Tabla4[UDS],Tabla4[ZONA DEFINITIVO],Tabla4[[#This Row],[ZONA DEFINITIVO]])," ")</f>
        <v xml:space="preserve"> </v>
      </c>
      <c r="Z1130" s="12" t="str">
        <f>+IF(Tabla4[[#This Row],[AGRUPACIONES]]=1,SUMIFS(Tabla4[TOTAL COBERTURA],Tabla4[ZONA DEFINITIVO],Tabla4[[#This Row],[ZONA DEFINITIVO]])," ")</f>
        <v xml:space="preserve"> </v>
      </c>
      <c r="AA1130" s="12"/>
      <c r="AB1130" s="38">
        <v>91568106</v>
      </c>
      <c r="AC1130" s="37">
        <v>0.02</v>
      </c>
      <c r="AD1130" s="38">
        <f t="shared" si="18"/>
        <v>1831362.12</v>
      </c>
      <c r="AE1130" s="12"/>
      <c r="AF1130" s="12">
        <f>COUNTIF($A$20:A1130,A1130)</f>
        <v>2</v>
      </c>
      <c r="AG1130" s="38">
        <v>91568106</v>
      </c>
      <c r="AH1130" s="38">
        <f>Tabla4[[#This Row],[VALOR CONTRAPARTIDA]]+Tabla4[[#This Row],[TOTAL APORTES ICBF]]</f>
        <v>93399468.120000005</v>
      </c>
      <c r="AI1130" s="35"/>
      <c r="AJ1130" s="38"/>
      <c r="AK1130" s="38"/>
      <c r="AL1130" s="23"/>
      <c r="AM1130" s="35">
        <f>VLOOKUP(Tabla4[[#This Row],[SERVICIO 2025]],$J$2:$V$14,5,0)*Tabla4[[#This Row],[TOTAL COBERTURA]]</f>
        <v>2073792</v>
      </c>
      <c r="AN1130" s="35">
        <f>VLOOKUP(Tabla4[[#This Row],[SERVICIO 2025]],$J$2:$V$14,6,0)*Tabla4[[#This Row],[TOTAL COBERTURA]]</f>
        <v>1723218</v>
      </c>
      <c r="AO1130" s="35">
        <f>VLOOKUP(Tabla4[[#This Row],[SERVICIO 2025]],$J$2:$V$14,8,0)*Tabla4[[#This Row],[TOTAL COBERTURA]]</f>
        <v>1222200</v>
      </c>
      <c r="AP1130" s="35">
        <f>VLOOKUP(Tabla4[[#This Row],[SERVICIO 2025]],$J$2:$V$14,3,0)*Tabla4[[#This Row],[TOTAL COBERTURA]]*8</f>
        <v>86548896</v>
      </c>
      <c r="AQ1130" s="35"/>
      <c r="AR1130" s="35">
        <f>Tabla4[[#This Row],[VALOR FASE PREPARATORIA DE ALISTAMIENTO]]+Tabla4[[#This Row],[VALOR FASE PREPARATORIA DE CIERRE]]+Tabla4[[#This Row],[DOTACIÓN ÚNICA]]+Tabla4[[#This Row],[VALOR ATENCIÓN]]+Tabla4[[#This Row],[VALOR RACION PREPARADA]]</f>
        <v>91568106</v>
      </c>
      <c r="AS1130" s="35" t="str">
        <f>+IF(Tabla4[[#This Row],[AGRUPACIONES]]=1,SUMIFS(Tabla4[VALOR TOTAL],Tabla4[ZONA DEFINITIVO],Tabla4[[#This Row],[ZONA DEFINITIVO]])," ")</f>
        <v xml:space="preserve"> </v>
      </c>
      <c r="AT1130" s="27">
        <f>(VLOOKUP(Tabla4[[#This Row],[SERVICIO 2025]],$J$2:$V$14,3,0)*Tabla4[[#This Row],[TOTAL COBERTURA]])+Tabla4[[#This Row],[VALOR FASE PREPARATORIA DE ALISTAMIENTO]]+Tabla4[[#This Row],[DOTACIÓN ÚNICA]]</f>
        <v>14114604</v>
      </c>
      <c r="AU1130" s="35">
        <f>(VLOOKUP(Tabla4[[#This Row],[SERVICIO 2025]],$J$2:$V$14,3,0)*Tabla4[[#This Row],[TOTAL COBERTURA]])</f>
        <v>10818612</v>
      </c>
      <c r="AV1130" s="35">
        <f>(VLOOKUP(Tabla4[[#This Row],[SERVICIO 2025]],$J$2:$V$14,3,0)*Tabla4[[#This Row],[TOTAL COBERTURA]])</f>
        <v>10818612</v>
      </c>
      <c r="AW1130" s="35">
        <f>(VLOOKUP(Tabla4[[#This Row],[SERVICIO 2025]],$J$2:$V$14,3,0)*Tabla4[[#This Row],[TOTAL COBERTURA]])</f>
        <v>10818612</v>
      </c>
      <c r="AX1130" s="35">
        <f>(VLOOKUP(Tabla4[[#This Row],[SERVICIO 2025]],$J$2:$V$14,3,0)*Tabla4[[#This Row],[TOTAL COBERTURA]])</f>
        <v>10818612</v>
      </c>
      <c r="AY1130" s="35">
        <f>(VLOOKUP(Tabla4[[#This Row],[SERVICIO 2025]],$J$2:$V$14,3,0)*Tabla4[[#This Row],[TOTAL COBERTURA]])</f>
        <v>10818612</v>
      </c>
      <c r="AZ1130" s="35">
        <f>(VLOOKUP(Tabla4[[#This Row],[SERVICIO 2025]],$J$2:$V$14,3,0)*Tabla4[[#This Row],[TOTAL COBERTURA]])</f>
        <v>10818612</v>
      </c>
      <c r="BA1130" s="35">
        <f>(VLOOKUP(Tabla4[[#This Row],[SERVICIO 2025]],$J$2:$V$14,3,0)*Tabla4[[#This Row],[TOTAL COBERTURA]])+Tabla4[[#This Row],[VALOR FASE PREPARATORIA DE CIERRE]]</f>
        <v>12541830</v>
      </c>
      <c r="BB1130" s="35">
        <f>SUM(Tabla4[[#This Row],[DESEMBOLSO 1]:[DESEMBOLSO 8]])</f>
        <v>91568106</v>
      </c>
      <c r="BC1130" s="35">
        <f>VLOOKUP(Tabla4[[#This Row],[SERVICIO 2025]],$J$2:$V$14,10,0)*Tabla4[[#This Row],[TOTAL COBERTURA]]*$W$3</f>
        <v>60608688</v>
      </c>
      <c r="BD1130" s="47" t="s">
        <v>211</v>
      </c>
      <c r="BE1130" s="12" t="b">
        <f>EXACT(Tabla4[[#This Row],[VALOR ATENCIÓN (8 MESES)]],Tabla4[[#This Row],[VALOR TOTAL]])</f>
        <v>1</v>
      </c>
      <c r="BF1130" s="23">
        <f>Tabla4[[#This Row],[VALOR ATENCIÓN (8 MESES)]]-Tabla4[[#This Row],[VALOR TOTAL]]</f>
        <v>0</v>
      </c>
      <c r="BG1130" s="12" t="b">
        <f>EXACT(Tabla4[[#This Row],[TOTAL DESEMBOLSOS]],Tabla4[[#This Row],[VALOR ATENCIÓN (8 MESES)]])</f>
        <v>1</v>
      </c>
      <c r="BH1130" s="29">
        <f>Tabla4[[#This Row],[TOTAL DESEMBOLSOS]]-Tabla4[[#This Row],[VALOR ATENCIÓN (8 MESES)]]</f>
        <v>0</v>
      </c>
      <c r="BI1130" t="s">
        <v>98</v>
      </c>
      <c r="BJ1130">
        <v>2009</v>
      </c>
    </row>
    <row r="1131" spans="1:62">
      <c r="A1131" s="13">
        <v>2009</v>
      </c>
      <c r="B1131" s="13" t="s">
        <v>2469</v>
      </c>
      <c r="C1131" s="12" t="s">
        <v>87</v>
      </c>
      <c r="D1131" s="12" t="s">
        <v>987</v>
      </c>
      <c r="E1131" s="12" t="s">
        <v>2470</v>
      </c>
      <c r="F1131" s="12" t="s">
        <v>18</v>
      </c>
      <c r="G1131" s="12" t="s">
        <v>90</v>
      </c>
      <c r="H1131" s="12" t="s">
        <v>2452</v>
      </c>
      <c r="I1131" s="12">
        <v>57901117415</v>
      </c>
      <c r="J1131" s="12" t="s">
        <v>2475</v>
      </c>
      <c r="K1131" s="12">
        <v>1</v>
      </c>
      <c r="L1131" s="12">
        <v>95</v>
      </c>
      <c r="M1131" s="12"/>
      <c r="N1131" s="13">
        <v>2009</v>
      </c>
      <c r="O1131" s="12" t="s">
        <v>93</v>
      </c>
      <c r="P1131" s="12"/>
      <c r="Q1131" s="12"/>
      <c r="R1131" s="12" t="s">
        <v>94</v>
      </c>
      <c r="S1131" s="12">
        <v>10</v>
      </c>
      <c r="T1131" s="12" t="s">
        <v>677</v>
      </c>
      <c r="U1131" s="12" t="s">
        <v>678</v>
      </c>
      <c r="V1131" s="12">
        <f>VLOOKUP(Tabla4[[#This Row],[ZONA DEFINITIVO]],Hoja1!$A$1:$D$121,3,0)</f>
        <v>229161</v>
      </c>
      <c r="W1131" s="12">
        <f>VLOOKUP(Tabla4[[#This Row],[ZONA DEFINITIVO]],Hoja1!$A$1:$D$121,2,0)</f>
        <v>15224</v>
      </c>
      <c r="X1131" s="12">
        <f>VLOOKUP(Tabla4[[#This Row],[ZONA DEFINITIVO]],Hoja1!$A$1:$D$121,4,0)</f>
        <v>86925</v>
      </c>
      <c r="Y1131" s="12" t="str">
        <f>+IF(Tabla4[[#This Row],[AGRUPACIONES]]=1,SUMIFS(Tabla4[UDS],Tabla4[ZONA DEFINITIVO],Tabla4[[#This Row],[ZONA DEFINITIVO]])," ")</f>
        <v xml:space="preserve"> </v>
      </c>
      <c r="Z1131" s="12" t="str">
        <f>+IF(Tabla4[[#This Row],[AGRUPACIONES]]=1,SUMIFS(Tabla4[TOTAL COBERTURA],Tabla4[ZONA DEFINITIVO],Tabla4[[#This Row],[ZONA DEFINITIVO]])," ")</f>
        <v xml:space="preserve"> </v>
      </c>
      <c r="AA1131" s="12"/>
      <c r="AB1131" s="38">
        <v>207118335</v>
      </c>
      <c r="AC1131" s="37">
        <v>0.02</v>
      </c>
      <c r="AD1131" s="38">
        <f t="shared" si="18"/>
        <v>4142366.7</v>
      </c>
      <c r="AE1131" s="12"/>
      <c r="AF1131" s="12">
        <f>COUNTIF($A$20:A1131,A1131)</f>
        <v>3</v>
      </c>
      <c r="AG1131" s="38">
        <v>207118335</v>
      </c>
      <c r="AH1131" s="38">
        <f>Tabla4[[#This Row],[VALOR CONTRAPARTIDA]]+Tabla4[[#This Row],[TOTAL APORTES ICBF]]</f>
        <v>211260701.69999999</v>
      </c>
      <c r="AI1131" s="35"/>
      <c r="AJ1131" s="38"/>
      <c r="AK1131" s="38"/>
      <c r="AL1131" s="23"/>
      <c r="AM1131" s="35">
        <f>VLOOKUP(Tabla4[[#This Row],[SERVICIO 2025]],$J$2:$V$14,5,0)*Tabla4[[#This Row],[TOTAL COBERTURA]]</f>
        <v>4690720</v>
      </c>
      <c r="AN1131" s="35">
        <f>VLOOKUP(Tabla4[[#This Row],[SERVICIO 2025]],$J$2:$V$14,6,0)*Tabla4[[#This Row],[TOTAL COBERTURA]]</f>
        <v>3897755</v>
      </c>
      <c r="AO1131" s="35">
        <f>VLOOKUP(Tabla4[[#This Row],[SERVICIO 2025]],$J$2:$V$14,8,0)*Tabla4[[#This Row],[TOTAL COBERTURA]]</f>
        <v>2764500</v>
      </c>
      <c r="AP1131" s="35">
        <f>VLOOKUP(Tabla4[[#This Row],[SERVICIO 2025]],$J$2:$V$14,3,0)*Tabla4[[#This Row],[TOTAL COBERTURA]]*8</f>
        <v>195765360</v>
      </c>
      <c r="AQ1131" s="35"/>
      <c r="AR1131" s="35">
        <f>Tabla4[[#This Row],[VALOR FASE PREPARATORIA DE ALISTAMIENTO]]+Tabla4[[#This Row],[VALOR FASE PREPARATORIA DE CIERRE]]+Tabla4[[#This Row],[DOTACIÓN ÚNICA]]+Tabla4[[#This Row],[VALOR ATENCIÓN]]+Tabla4[[#This Row],[VALOR RACION PREPARADA]]</f>
        <v>207118335</v>
      </c>
      <c r="AS1131" s="35" t="str">
        <f>+IF(Tabla4[[#This Row],[AGRUPACIONES]]=1,SUMIFS(Tabla4[VALOR TOTAL],Tabla4[ZONA DEFINITIVO],Tabla4[[#This Row],[ZONA DEFINITIVO]])," ")</f>
        <v xml:space="preserve"> </v>
      </c>
      <c r="AT1131" s="27">
        <f>(VLOOKUP(Tabla4[[#This Row],[SERVICIO 2025]],$J$2:$V$14,3,0)*Tabla4[[#This Row],[TOTAL COBERTURA]])+Tabla4[[#This Row],[VALOR FASE PREPARATORIA DE ALISTAMIENTO]]+Tabla4[[#This Row],[DOTACIÓN ÚNICA]]</f>
        <v>31925890</v>
      </c>
      <c r="AU1131" s="35">
        <f>(VLOOKUP(Tabla4[[#This Row],[SERVICIO 2025]],$J$2:$V$14,3,0)*Tabla4[[#This Row],[TOTAL COBERTURA]])</f>
        <v>24470670</v>
      </c>
      <c r="AV1131" s="35">
        <f>(VLOOKUP(Tabla4[[#This Row],[SERVICIO 2025]],$J$2:$V$14,3,0)*Tabla4[[#This Row],[TOTAL COBERTURA]])</f>
        <v>24470670</v>
      </c>
      <c r="AW1131" s="35">
        <f>(VLOOKUP(Tabla4[[#This Row],[SERVICIO 2025]],$J$2:$V$14,3,0)*Tabla4[[#This Row],[TOTAL COBERTURA]])</f>
        <v>24470670</v>
      </c>
      <c r="AX1131" s="35">
        <f>(VLOOKUP(Tabla4[[#This Row],[SERVICIO 2025]],$J$2:$V$14,3,0)*Tabla4[[#This Row],[TOTAL COBERTURA]])</f>
        <v>24470670</v>
      </c>
      <c r="AY1131" s="35">
        <f>(VLOOKUP(Tabla4[[#This Row],[SERVICIO 2025]],$J$2:$V$14,3,0)*Tabla4[[#This Row],[TOTAL COBERTURA]])</f>
        <v>24470670</v>
      </c>
      <c r="AZ1131" s="35">
        <f>(VLOOKUP(Tabla4[[#This Row],[SERVICIO 2025]],$J$2:$V$14,3,0)*Tabla4[[#This Row],[TOTAL COBERTURA]])</f>
        <v>24470670</v>
      </c>
      <c r="BA1131" s="35">
        <f>(VLOOKUP(Tabla4[[#This Row],[SERVICIO 2025]],$J$2:$V$14,3,0)*Tabla4[[#This Row],[TOTAL COBERTURA]])+Tabla4[[#This Row],[VALOR FASE PREPARATORIA DE CIERRE]]</f>
        <v>28368425</v>
      </c>
      <c r="BB1131" s="35">
        <f>SUM(Tabla4[[#This Row],[DESEMBOLSO 1]:[DESEMBOLSO 8]])</f>
        <v>207118335</v>
      </c>
      <c r="BC1131" s="35">
        <f>VLOOKUP(Tabla4[[#This Row],[SERVICIO 2025]],$J$2:$V$14,10,0)*Tabla4[[#This Row],[TOTAL COBERTURA]]*$W$3</f>
        <v>137091080</v>
      </c>
      <c r="BD1131" s="47" t="s">
        <v>211</v>
      </c>
      <c r="BE1131" s="12" t="b">
        <f>EXACT(Tabla4[[#This Row],[VALOR ATENCIÓN (8 MESES)]],Tabla4[[#This Row],[VALOR TOTAL]])</f>
        <v>1</v>
      </c>
      <c r="BF1131" s="23">
        <f>Tabla4[[#This Row],[VALOR ATENCIÓN (8 MESES)]]-Tabla4[[#This Row],[VALOR TOTAL]]</f>
        <v>0</v>
      </c>
      <c r="BG1131" s="12" t="b">
        <f>EXACT(Tabla4[[#This Row],[TOTAL DESEMBOLSOS]],Tabla4[[#This Row],[VALOR ATENCIÓN (8 MESES)]])</f>
        <v>1</v>
      </c>
      <c r="BH1131" s="29">
        <f>Tabla4[[#This Row],[TOTAL DESEMBOLSOS]]-Tabla4[[#This Row],[VALOR ATENCIÓN (8 MESES)]]</f>
        <v>0</v>
      </c>
      <c r="BI1131" t="s">
        <v>98</v>
      </c>
      <c r="BJ1131">
        <v>2009</v>
      </c>
    </row>
    <row r="1132" spans="1:62">
      <c r="A1132" s="13">
        <v>2009</v>
      </c>
      <c r="B1132" s="13" t="s">
        <v>2469</v>
      </c>
      <c r="C1132" s="12" t="s">
        <v>87</v>
      </c>
      <c r="D1132" s="12" t="s">
        <v>987</v>
      </c>
      <c r="E1132" s="12" t="s">
        <v>2470</v>
      </c>
      <c r="F1132" s="12" t="s">
        <v>18</v>
      </c>
      <c r="G1132" s="12" t="s">
        <v>90</v>
      </c>
      <c r="H1132" s="12" t="s">
        <v>2476</v>
      </c>
      <c r="I1132" s="12">
        <v>57901137166</v>
      </c>
      <c r="J1132" s="12" t="s">
        <v>2477</v>
      </c>
      <c r="K1132" s="12">
        <v>1</v>
      </c>
      <c r="L1132" s="12">
        <v>23</v>
      </c>
      <c r="M1132" s="12"/>
      <c r="N1132" s="13">
        <v>2009</v>
      </c>
      <c r="O1132" s="12" t="s">
        <v>93</v>
      </c>
      <c r="P1132" s="12"/>
      <c r="Q1132" s="12"/>
      <c r="R1132" s="12" t="s">
        <v>94</v>
      </c>
      <c r="S1132" s="12">
        <v>10</v>
      </c>
      <c r="T1132" s="12" t="s">
        <v>677</v>
      </c>
      <c r="U1132" s="12" t="s">
        <v>678</v>
      </c>
      <c r="V1132" s="12">
        <f>VLOOKUP(Tabla4[[#This Row],[ZONA DEFINITIVO]],Hoja1!$A$1:$D$121,3,0)</f>
        <v>229161</v>
      </c>
      <c r="W1132" s="12">
        <f>VLOOKUP(Tabla4[[#This Row],[ZONA DEFINITIVO]],Hoja1!$A$1:$D$121,2,0)</f>
        <v>15224</v>
      </c>
      <c r="X1132" s="12">
        <f>VLOOKUP(Tabla4[[#This Row],[ZONA DEFINITIVO]],Hoja1!$A$1:$D$121,4,0)</f>
        <v>86925</v>
      </c>
      <c r="Y1132" s="12" t="str">
        <f>+IF(Tabla4[[#This Row],[AGRUPACIONES]]=1,SUMIFS(Tabla4[UDS],Tabla4[ZONA DEFINITIVO],Tabla4[[#This Row],[ZONA DEFINITIVO]])," ")</f>
        <v xml:space="preserve"> </v>
      </c>
      <c r="Z1132" s="12" t="str">
        <f>+IF(Tabla4[[#This Row],[AGRUPACIONES]]=1,SUMIFS(Tabla4[TOTAL COBERTURA],Tabla4[ZONA DEFINITIVO],Tabla4[[#This Row],[ZONA DEFINITIVO]])," ")</f>
        <v xml:space="preserve"> </v>
      </c>
      <c r="AA1132" s="12"/>
      <c r="AB1132" s="38">
        <v>50144439</v>
      </c>
      <c r="AC1132" s="37">
        <v>0.02</v>
      </c>
      <c r="AD1132" s="38">
        <f t="shared" si="18"/>
        <v>1002888.78</v>
      </c>
      <c r="AE1132" s="12"/>
      <c r="AF1132" s="12">
        <f>COUNTIF($A$20:A1132,A1132)</f>
        <v>4</v>
      </c>
      <c r="AG1132" s="38">
        <v>50144439</v>
      </c>
      <c r="AH1132" s="38">
        <f>Tabla4[[#This Row],[VALOR CONTRAPARTIDA]]+Tabla4[[#This Row],[TOTAL APORTES ICBF]]</f>
        <v>51147327.780000001</v>
      </c>
      <c r="AI1132" s="35"/>
      <c r="AJ1132" s="38"/>
      <c r="AK1132" s="38"/>
      <c r="AL1132" s="23"/>
      <c r="AM1132" s="35">
        <f>VLOOKUP(Tabla4[[#This Row],[SERVICIO 2025]],$J$2:$V$14,5,0)*Tabla4[[#This Row],[TOTAL COBERTURA]]</f>
        <v>1135648</v>
      </c>
      <c r="AN1132" s="35">
        <f>VLOOKUP(Tabla4[[#This Row],[SERVICIO 2025]],$J$2:$V$14,6,0)*Tabla4[[#This Row],[TOTAL COBERTURA]]</f>
        <v>943667</v>
      </c>
      <c r="AO1132" s="35">
        <f>VLOOKUP(Tabla4[[#This Row],[SERVICIO 2025]],$J$2:$V$14,8,0)*Tabla4[[#This Row],[TOTAL COBERTURA]]</f>
        <v>669300</v>
      </c>
      <c r="AP1132" s="35">
        <f>VLOOKUP(Tabla4[[#This Row],[SERVICIO 2025]],$J$2:$V$14,3,0)*Tabla4[[#This Row],[TOTAL COBERTURA]]*8</f>
        <v>47395824</v>
      </c>
      <c r="AQ1132" s="35"/>
      <c r="AR1132" s="35">
        <f>Tabla4[[#This Row],[VALOR FASE PREPARATORIA DE ALISTAMIENTO]]+Tabla4[[#This Row],[VALOR FASE PREPARATORIA DE CIERRE]]+Tabla4[[#This Row],[DOTACIÓN ÚNICA]]+Tabla4[[#This Row],[VALOR ATENCIÓN]]+Tabla4[[#This Row],[VALOR RACION PREPARADA]]</f>
        <v>50144439</v>
      </c>
      <c r="AS1132" s="35" t="str">
        <f>+IF(Tabla4[[#This Row],[AGRUPACIONES]]=1,SUMIFS(Tabla4[VALOR TOTAL],Tabla4[ZONA DEFINITIVO],Tabla4[[#This Row],[ZONA DEFINITIVO]])," ")</f>
        <v xml:space="preserve"> </v>
      </c>
      <c r="AT1132" s="27">
        <f>(VLOOKUP(Tabla4[[#This Row],[SERVICIO 2025]],$J$2:$V$14,3,0)*Tabla4[[#This Row],[TOTAL COBERTURA]])+Tabla4[[#This Row],[VALOR FASE PREPARATORIA DE ALISTAMIENTO]]+Tabla4[[#This Row],[DOTACIÓN ÚNICA]]</f>
        <v>7729426</v>
      </c>
      <c r="AU1132" s="35">
        <f>(VLOOKUP(Tabla4[[#This Row],[SERVICIO 2025]],$J$2:$V$14,3,0)*Tabla4[[#This Row],[TOTAL COBERTURA]])</f>
        <v>5924478</v>
      </c>
      <c r="AV1132" s="35">
        <f>(VLOOKUP(Tabla4[[#This Row],[SERVICIO 2025]],$J$2:$V$14,3,0)*Tabla4[[#This Row],[TOTAL COBERTURA]])</f>
        <v>5924478</v>
      </c>
      <c r="AW1132" s="35">
        <f>(VLOOKUP(Tabla4[[#This Row],[SERVICIO 2025]],$J$2:$V$14,3,0)*Tabla4[[#This Row],[TOTAL COBERTURA]])</f>
        <v>5924478</v>
      </c>
      <c r="AX1132" s="35">
        <f>(VLOOKUP(Tabla4[[#This Row],[SERVICIO 2025]],$J$2:$V$14,3,0)*Tabla4[[#This Row],[TOTAL COBERTURA]])</f>
        <v>5924478</v>
      </c>
      <c r="AY1132" s="35">
        <f>(VLOOKUP(Tabla4[[#This Row],[SERVICIO 2025]],$J$2:$V$14,3,0)*Tabla4[[#This Row],[TOTAL COBERTURA]])</f>
        <v>5924478</v>
      </c>
      <c r="AZ1132" s="35">
        <f>(VLOOKUP(Tabla4[[#This Row],[SERVICIO 2025]],$J$2:$V$14,3,0)*Tabla4[[#This Row],[TOTAL COBERTURA]])</f>
        <v>5924478</v>
      </c>
      <c r="BA1132" s="35">
        <f>(VLOOKUP(Tabla4[[#This Row],[SERVICIO 2025]],$J$2:$V$14,3,0)*Tabla4[[#This Row],[TOTAL COBERTURA]])+Tabla4[[#This Row],[VALOR FASE PREPARATORIA DE CIERRE]]</f>
        <v>6868145</v>
      </c>
      <c r="BB1132" s="35">
        <f>SUM(Tabla4[[#This Row],[DESEMBOLSO 1]:[DESEMBOLSO 8]])</f>
        <v>50144439</v>
      </c>
      <c r="BC1132" s="35">
        <f>VLOOKUP(Tabla4[[#This Row],[SERVICIO 2025]],$J$2:$V$14,10,0)*Tabla4[[#This Row],[TOTAL COBERTURA]]*$W$3</f>
        <v>33190472</v>
      </c>
      <c r="BD1132" s="47" t="s">
        <v>211</v>
      </c>
      <c r="BE1132" s="12" t="b">
        <f>EXACT(Tabla4[[#This Row],[VALOR ATENCIÓN (8 MESES)]],Tabla4[[#This Row],[VALOR TOTAL]])</f>
        <v>1</v>
      </c>
      <c r="BF1132" s="23">
        <f>Tabla4[[#This Row],[VALOR ATENCIÓN (8 MESES)]]-Tabla4[[#This Row],[VALOR TOTAL]]</f>
        <v>0</v>
      </c>
      <c r="BG1132" s="12" t="b">
        <f>EXACT(Tabla4[[#This Row],[TOTAL DESEMBOLSOS]],Tabla4[[#This Row],[VALOR ATENCIÓN (8 MESES)]])</f>
        <v>1</v>
      </c>
      <c r="BH1132" s="29">
        <f>Tabla4[[#This Row],[TOTAL DESEMBOLSOS]]-Tabla4[[#This Row],[VALOR ATENCIÓN (8 MESES)]]</f>
        <v>0</v>
      </c>
      <c r="BI1132" t="s">
        <v>98</v>
      </c>
      <c r="BJ1132">
        <v>2009</v>
      </c>
    </row>
    <row r="1133" spans="1:62">
      <c r="A1133" s="13">
        <v>2009</v>
      </c>
      <c r="B1133" s="13" t="s">
        <v>2469</v>
      </c>
      <c r="C1133" s="12" t="s">
        <v>87</v>
      </c>
      <c r="D1133" s="12" t="s">
        <v>987</v>
      </c>
      <c r="E1133" s="12" t="s">
        <v>2470</v>
      </c>
      <c r="F1133" s="12" t="s">
        <v>18</v>
      </c>
      <c r="G1133" s="12" t="s">
        <v>90</v>
      </c>
      <c r="H1133" s="12" t="s">
        <v>2478</v>
      </c>
      <c r="I1133" s="12">
        <v>57901138038</v>
      </c>
      <c r="J1133" s="12" t="s">
        <v>2478</v>
      </c>
      <c r="K1133" s="12">
        <v>1</v>
      </c>
      <c r="L1133" s="12">
        <v>24</v>
      </c>
      <c r="M1133" s="12"/>
      <c r="N1133" s="13">
        <v>2009</v>
      </c>
      <c r="O1133" s="12" t="s">
        <v>93</v>
      </c>
      <c r="P1133" s="12"/>
      <c r="Q1133" s="12"/>
      <c r="R1133" s="12" t="s">
        <v>94</v>
      </c>
      <c r="S1133" s="12">
        <v>10</v>
      </c>
      <c r="T1133" s="12" t="s">
        <v>677</v>
      </c>
      <c r="U1133" s="12" t="s">
        <v>678</v>
      </c>
      <c r="V1133" s="12">
        <f>VLOOKUP(Tabla4[[#This Row],[ZONA DEFINITIVO]],Hoja1!$A$1:$D$121,3,0)</f>
        <v>229161</v>
      </c>
      <c r="W1133" s="12">
        <f>VLOOKUP(Tabla4[[#This Row],[ZONA DEFINITIVO]],Hoja1!$A$1:$D$121,2,0)</f>
        <v>15224</v>
      </c>
      <c r="X1133" s="12">
        <f>VLOOKUP(Tabla4[[#This Row],[ZONA DEFINITIVO]],Hoja1!$A$1:$D$121,4,0)</f>
        <v>86925</v>
      </c>
      <c r="Y1133" s="12" t="str">
        <f>+IF(Tabla4[[#This Row],[AGRUPACIONES]]=1,SUMIFS(Tabla4[UDS],Tabla4[ZONA DEFINITIVO],Tabla4[[#This Row],[ZONA DEFINITIVO]])," ")</f>
        <v xml:space="preserve"> </v>
      </c>
      <c r="Z1133" s="12" t="str">
        <f>+IF(Tabla4[[#This Row],[AGRUPACIONES]]=1,SUMIFS(Tabla4[TOTAL COBERTURA],Tabla4[ZONA DEFINITIVO],Tabla4[[#This Row],[ZONA DEFINITIVO]])," ")</f>
        <v xml:space="preserve"> </v>
      </c>
      <c r="AA1133" s="12"/>
      <c r="AB1133" s="38">
        <v>52324632</v>
      </c>
      <c r="AC1133" s="37">
        <v>0.02</v>
      </c>
      <c r="AD1133" s="38">
        <f t="shared" si="18"/>
        <v>1046492.64</v>
      </c>
      <c r="AE1133" s="12"/>
      <c r="AF1133" s="12">
        <f>COUNTIF($A$20:A1133,A1133)</f>
        <v>5</v>
      </c>
      <c r="AG1133" s="38">
        <v>52324632</v>
      </c>
      <c r="AH1133" s="38">
        <f>Tabla4[[#This Row],[VALOR CONTRAPARTIDA]]+Tabla4[[#This Row],[TOTAL APORTES ICBF]]</f>
        <v>53371124.640000001</v>
      </c>
      <c r="AI1133" s="35"/>
      <c r="AJ1133" s="38"/>
      <c r="AK1133" s="38"/>
      <c r="AL1133" s="23"/>
      <c r="AM1133" s="35">
        <f>VLOOKUP(Tabla4[[#This Row],[SERVICIO 2025]],$J$2:$V$14,5,0)*Tabla4[[#This Row],[TOTAL COBERTURA]]</f>
        <v>1185024</v>
      </c>
      <c r="AN1133" s="35">
        <f>VLOOKUP(Tabla4[[#This Row],[SERVICIO 2025]],$J$2:$V$14,6,0)*Tabla4[[#This Row],[TOTAL COBERTURA]]</f>
        <v>984696</v>
      </c>
      <c r="AO1133" s="35">
        <f>VLOOKUP(Tabla4[[#This Row],[SERVICIO 2025]],$J$2:$V$14,8,0)*Tabla4[[#This Row],[TOTAL COBERTURA]]</f>
        <v>698400</v>
      </c>
      <c r="AP1133" s="35">
        <f>VLOOKUP(Tabla4[[#This Row],[SERVICIO 2025]],$J$2:$V$14,3,0)*Tabla4[[#This Row],[TOTAL COBERTURA]]*8</f>
        <v>49456512</v>
      </c>
      <c r="AQ1133" s="35"/>
      <c r="AR1133" s="35">
        <f>Tabla4[[#This Row],[VALOR FASE PREPARATORIA DE ALISTAMIENTO]]+Tabla4[[#This Row],[VALOR FASE PREPARATORIA DE CIERRE]]+Tabla4[[#This Row],[DOTACIÓN ÚNICA]]+Tabla4[[#This Row],[VALOR ATENCIÓN]]+Tabla4[[#This Row],[VALOR RACION PREPARADA]]</f>
        <v>52324632</v>
      </c>
      <c r="AS1133" s="35" t="str">
        <f>+IF(Tabla4[[#This Row],[AGRUPACIONES]]=1,SUMIFS(Tabla4[VALOR TOTAL],Tabla4[ZONA DEFINITIVO],Tabla4[[#This Row],[ZONA DEFINITIVO]])," ")</f>
        <v xml:space="preserve"> </v>
      </c>
      <c r="AT1133" s="27">
        <f>(VLOOKUP(Tabla4[[#This Row],[SERVICIO 2025]],$J$2:$V$14,3,0)*Tabla4[[#This Row],[TOTAL COBERTURA]])+Tabla4[[#This Row],[VALOR FASE PREPARATORIA DE ALISTAMIENTO]]+Tabla4[[#This Row],[DOTACIÓN ÚNICA]]</f>
        <v>8065488</v>
      </c>
      <c r="AU1133" s="35">
        <f>(VLOOKUP(Tabla4[[#This Row],[SERVICIO 2025]],$J$2:$V$14,3,0)*Tabla4[[#This Row],[TOTAL COBERTURA]])</f>
        <v>6182064</v>
      </c>
      <c r="AV1133" s="35">
        <f>(VLOOKUP(Tabla4[[#This Row],[SERVICIO 2025]],$J$2:$V$14,3,0)*Tabla4[[#This Row],[TOTAL COBERTURA]])</f>
        <v>6182064</v>
      </c>
      <c r="AW1133" s="35">
        <f>(VLOOKUP(Tabla4[[#This Row],[SERVICIO 2025]],$J$2:$V$14,3,0)*Tabla4[[#This Row],[TOTAL COBERTURA]])</f>
        <v>6182064</v>
      </c>
      <c r="AX1133" s="35">
        <f>(VLOOKUP(Tabla4[[#This Row],[SERVICIO 2025]],$J$2:$V$14,3,0)*Tabla4[[#This Row],[TOTAL COBERTURA]])</f>
        <v>6182064</v>
      </c>
      <c r="AY1133" s="35">
        <f>(VLOOKUP(Tabla4[[#This Row],[SERVICIO 2025]],$J$2:$V$14,3,0)*Tabla4[[#This Row],[TOTAL COBERTURA]])</f>
        <v>6182064</v>
      </c>
      <c r="AZ1133" s="35">
        <f>(VLOOKUP(Tabla4[[#This Row],[SERVICIO 2025]],$J$2:$V$14,3,0)*Tabla4[[#This Row],[TOTAL COBERTURA]])</f>
        <v>6182064</v>
      </c>
      <c r="BA1133" s="35">
        <f>(VLOOKUP(Tabla4[[#This Row],[SERVICIO 2025]],$J$2:$V$14,3,0)*Tabla4[[#This Row],[TOTAL COBERTURA]])+Tabla4[[#This Row],[VALOR FASE PREPARATORIA DE CIERRE]]</f>
        <v>7166760</v>
      </c>
      <c r="BB1133" s="35">
        <f>SUM(Tabla4[[#This Row],[DESEMBOLSO 1]:[DESEMBOLSO 8]])</f>
        <v>52324632</v>
      </c>
      <c r="BC1133" s="35">
        <f>VLOOKUP(Tabla4[[#This Row],[SERVICIO 2025]],$J$2:$V$14,10,0)*Tabla4[[#This Row],[TOTAL COBERTURA]]*$W$3</f>
        <v>34633536</v>
      </c>
      <c r="BD1133" s="47" t="s">
        <v>211</v>
      </c>
      <c r="BE1133" s="12" t="b">
        <f>EXACT(Tabla4[[#This Row],[VALOR ATENCIÓN (8 MESES)]],Tabla4[[#This Row],[VALOR TOTAL]])</f>
        <v>1</v>
      </c>
      <c r="BF1133" s="23">
        <f>Tabla4[[#This Row],[VALOR ATENCIÓN (8 MESES)]]-Tabla4[[#This Row],[VALOR TOTAL]]</f>
        <v>0</v>
      </c>
      <c r="BG1133" s="12" t="b">
        <f>EXACT(Tabla4[[#This Row],[TOTAL DESEMBOLSOS]],Tabla4[[#This Row],[VALOR ATENCIÓN (8 MESES)]])</f>
        <v>1</v>
      </c>
      <c r="BH1133" s="29">
        <f>Tabla4[[#This Row],[TOTAL DESEMBOLSOS]]-Tabla4[[#This Row],[VALOR ATENCIÓN (8 MESES)]]</f>
        <v>0</v>
      </c>
      <c r="BI1133" t="s">
        <v>98</v>
      </c>
      <c r="BJ1133">
        <v>2009</v>
      </c>
    </row>
    <row r="1134" spans="1:62">
      <c r="A1134" s="13">
        <v>2009</v>
      </c>
      <c r="B1134" s="13" t="s">
        <v>2469</v>
      </c>
      <c r="C1134" s="12" t="s">
        <v>87</v>
      </c>
      <c r="D1134" s="12" t="s">
        <v>987</v>
      </c>
      <c r="E1134" s="12" t="s">
        <v>2470</v>
      </c>
      <c r="F1134" s="12" t="s">
        <v>18</v>
      </c>
      <c r="G1134" s="12" t="s">
        <v>90</v>
      </c>
      <c r="H1134" s="12" t="s">
        <v>2479</v>
      </c>
      <c r="I1134" s="12">
        <v>57901147302</v>
      </c>
      <c r="J1134" s="12" t="s">
        <v>2480</v>
      </c>
      <c r="K1134" s="12">
        <v>1</v>
      </c>
      <c r="L1134" s="12">
        <v>20</v>
      </c>
      <c r="M1134" s="12"/>
      <c r="N1134" s="13">
        <v>2009</v>
      </c>
      <c r="O1134" s="12" t="s">
        <v>93</v>
      </c>
      <c r="P1134" s="12"/>
      <c r="Q1134" s="12"/>
      <c r="R1134" s="12" t="s">
        <v>94</v>
      </c>
      <c r="S1134" s="12">
        <v>10</v>
      </c>
      <c r="T1134" s="12" t="s">
        <v>677</v>
      </c>
      <c r="U1134" s="12" t="s">
        <v>678</v>
      </c>
      <c r="V1134" s="12">
        <f>VLOOKUP(Tabla4[[#This Row],[ZONA DEFINITIVO]],Hoja1!$A$1:$D$121,3,0)</f>
        <v>229161</v>
      </c>
      <c r="W1134" s="12">
        <f>VLOOKUP(Tabla4[[#This Row],[ZONA DEFINITIVO]],Hoja1!$A$1:$D$121,2,0)</f>
        <v>15224</v>
      </c>
      <c r="X1134" s="12">
        <f>VLOOKUP(Tabla4[[#This Row],[ZONA DEFINITIVO]],Hoja1!$A$1:$D$121,4,0)</f>
        <v>86925</v>
      </c>
      <c r="Y1134" s="12" t="str">
        <f>+IF(Tabla4[[#This Row],[AGRUPACIONES]]=1,SUMIFS(Tabla4[UDS],Tabla4[ZONA DEFINITIVO],Tabla4[[#This Row],[ZONA DEFINITIVO]])," ")</f>
        <v xml:space="preserve"> </v>
      </c>
      <c r="Z1134" s="12" t="str">
        <f>+IF(Tabla4[[#This Row],[AGRUPACIONES]]=1,SUMIFS(Tabla4[TOTAL COBERTURA],Tabla4[ZONA DEFINITIVO],Tabla4[[#This Row],[ZONA DEFINITIVO]])," ")</f>
        <v xml:space="preserve"> </v>
      </c>
      <c r="AA1134" s="12"/>
      <c r="AB1134" s="38">
        <v>43603860</v>
      </c>
      <c r="AC1134" s="37">
        <v>0.02</v>
      </c>
      <c r="AD1134" s="38">
        <f t="shared" si="18"/>
        <v>872077.20000000007</v>
      </c>
      <c r="AE1134" s="12"/>
      <c r="AF1134" s="12">
        <f>COUNTIF($A$20:A1134,A1134)</f>
        <v>6</v>
      </c>
      <c r="AG1134" s="38">
        <v>43603860</v>
      </c>
      <c r="AH1134" s="38">
        <f>Tabla4[[#This Row],[VALOR CONTRAPARTIDA]]+Tabla4[[#This Row],[TOTAL APORTES ICBF]]</f>
        <v>44475937.200000003</v>
      </c>
      <c r="AI1134" s="35"/>
      <c r="AJ1134" s="38"/>
      <c r="AK1134" s="38"/>
      <c r="AL1134" s="23"/>
      <c r="AM1134" s="35">
        <f>VLOOKUP(Tabla4[[#This Row],[SERVICIO 2025]],$J$2:$V$14,5,0)*Tabla4[[#This Row],[TOTAL COBERTURA]]</f>
        <v>987520</v>
      </c>
      <c r="AN1134" s="35">
        <f>VLOOKUP(Tabla4[[#This Row],[SERVICIO 2025]],$J$2:$V$14,6,0)*Tabla4[[#This Row],[TOTAL COBERTURA]]</f>
        <v>820580</v>
      </c>
      <c r="AO1134" s="35">
        <f>VLOOKUP(Tabla4[[#This Row],[SERVICIO 2025]],$J$2:$V$14,8,0)*Tabla4[[#This Row],[TOTAL COBERTURA]]</f>
        <v>582000</v>
      </c>
      <c r="AP1134" s="35">
        <f>VLOOKUP(Tabla4[[#This Row],[SERVICIO 2025]],$J$2:$V$14,3,0)*Tabla4[[#This Row],[TOTAL COBERTURA]]*8</f>
        <v>41213760</v>
      </c>
      <c r="AQ1134" s="35"/>
      <c r="AR1134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134" s="35" t="str">
        <f>+IF(Tabla4[[#This Row],[AGRUPACIONES]]=1,SUMIFS(Tabla4[VALOR TOTAL],Tabla4[ZONA DEFINITIVO],Tabla4[[#This Row],[ZONA DEFINITIVO]])," ")</f>
        <v xml:space="preserve"> </v>
      </c>
      <c r="AT1134" s="27">
        <f>(VLOOKUP(Tabla4[[#This Row],[SERVICIO 2025]],$J$2:$V$14,3,0)*Tabla4[[#This Row],[TOTAL COBERTURA]])+Tabla4[[#This Row],[VALOR FASE PREPARATORIA DE ALISTAMIENTO]]+Tabla4[[#This Row],[DOTACIÓN ÚNICA]]</f>
        <v>6721240</v>
      </c>
      <c r="AU1134" s="35">
        <f>(VLOOKUP(Tabla4[[#This Row],[SERVICIO 2025]],$J$2:$V$14,3,0)*Tabla4[[#This Row],[TOTAL COBERTURA]])</f>
        <v>5151720</v>
      </c>
      <c r="AV1134" s="35">
        <f>(VLOOKUP(Tabla4[[#This Row],[SERVICIO 2025]],$J$2:$V$14,3,0)*Tabla4[[#This Row],[TOTAL COBERTURA]])</f>
        <v>5151720</v>
      </c>
      <c r="AW1134" s="35">
        <f>(VLOOKUP(Tabla4[[#This Row],[SERVICIO 2025]],$J$2:$V$14,3,0)*Tabla4[[#This Row],[TOTAL COBERTURA]])</f>
        <v>5151720</v>
      </c>
      <c r="AX1134" s="35">
        <f>(VLOOKUP(Tabla4[[#This Row],[SERVICIO 2025]],$J$2:$V$14,3,0)*Tabla4[[#This Row],[TOTAL COBERTURA]])</f>
        <v>5151720</v>
      </c>
      <c r="AY1134" s="35">
        <f>(VLOOKUP(Tabla4[[#This Row],[SERVICIO 2025]],$J$2:$V$14,3,0)*Tabla4[[#This Row],[TOTAL COBERTURA]])</f>
        <v>5151720</v>
      </c>
      <c r="AZ1134" s="35">
        <f>(VLOOKUP(Tabla4[[#This Row],[SERVICIO 2025]],$J$2:$V$14,3,0)*Tabla4[[#This Row],[TOTAL COBERTURA]])</f>
        <v>5151720</v>
      </c>
      <c r="BA1134" s="35">
        <f>(VLOOKUP(Tabla4[[#This Row],[SERVICIO 2025]],$J$2:$V$14,3,0)*Tabla4[[#This Row],[TOTAL COBERTURA]])+Tabla4[[#This Row],[VALOR FASE PREPARATORIA DE CIERRE]]</f>
        <v>5972300</v>
      </c>
      <c r="BB1134" s="35">
        <f>SUM(Tabla4[[#This Row],[DESEMBOLSO 1]:[DESEMBOLSO 8]])</f>
        <v>43603860</v>
      </c>
      <c r="BC1134" s="35">
        <f>VLOOKUP(Tabla4[[#This Row],[SERVICIO 2025]],$J$2:$V$14,10,0)*Tabla4[[#This Row],[TOTAL COBERTURA]]*$W$3</f>
        <v>28861280</v>
      </c>
      <c r="BD1134" s="47" t="s">
        <v>211</v>
      </c>
      <c r="BE1134" s="12" t="b">
        <f>EXACT(Tabla4[[#This Row],[VALOR ATENCIÓN (8 MESES)]],Tabla4[[#This Row],[VALOR TOTAL]])</f>
        <v>1</v>
      </c>
      <c r="BF1134" s="23">
        <f>Tabla4[[#This Row],[VALOR ATENCIÓN (8 MESES)]]-Tabla4[[#This Row],[VALOR TOTAL]]</f>
        <v>0</v>
      </c>
      <c r="BG1134" s="12" t="b">
        <f>EXACT(Tabla4[[#This Row],[TOTAL DESEMBOLSOS]],Tabla4[[#This Row],[VALOR ATENCIÓN (8 MESES)]])</f>
        <v>1</v>
      </c>
      <c r="BH1134" s="29">
        <f>Tabla4[[#This Row],[TOTAL DESEMBOLSOS]]-Tabla4[[#This Row],[VALOR ATENCIÓN (8 MESES)]]</f>
        <v>0</v>
      </c>
      <c r="BI1134" t="s">
        <v>98</v>
      </c>
      <c r="BJ1134">
        <v>2009</v>
      </c>
    </row>
    <row r="1135" spans="1:62">
      <c r="A1135" s="13">
        <v>2009</v>
      </c>
      <c r="B1135" s="13" t="s">
        <v>2469</v>
      </c>
      <c r="C1135" s="12" t="s">
        <v>87</v>
      </c>
      <c r="D1135" s="12" t="s">
        <v>987</v>
      </c>
      <c r="E1135" s="12" t="s">
        <v>2470</v>
      </c>
      <c r="F1135" s="12" t="s">
        <v>18</v>
      </c>
      <c r="G1135" s="12" t="s">
        <v>90</v>
      </c>
      <c r="H1135" s="12" t="s">
        <v>2481</v>
      </c>
      <c r="I1135" s="12">
        <v>57901147351</v>
      </c>
      <c r="J1135" s="12" t="s">
        <v>2482</v>
      </c>
      <c r="K1135" s="12">
        <v>1</v>
      </c>
      <c r="L1135" s="12">
        <v>25</v>
      </c>
      <c r="M1135" s="12"/>
      <c r="N1135" s="13">
        <v>2009</v>
      </c>
      <c r="O1135" s="12" t="s">
        <v>93</v>
      </c>
      <c r="P1135" s="12"/>
      <c r="Q1135" s="12"/>
      <c r="R1135" s="12" t="s">
        <v>94</v>
      </c>
      <c r="S1135" s="12">
        <v>10</v>
      </c>
      <c r="T1135" s="12" t="s">
        <v>677</v>
      </c>
      <c r="U1135" s="12" t="s">
        <v>678</v>
      </c>
      <c r="V1135" s="12">
        <f>VLOOKUP(Tabla4[[#This Row],[ZONA DEFINITIVO]],Hoja1!$A$1:$D$121,3,0)</f>
        <v>229161</v>
      </c>
      <c r="W1135" s="12">
        <f>VLOOKUP(Tabla4[[#This Row],[ZONA DEFINITIVO]],Hoja1!$A$1:$D$121,2,0)</f>
        <v>15224</v>
      </c>
      <c r="X1135" s="12">
        <f>VLOOKUP(Tabla4[[#This Row],[ZONA DEFINITIVO]],Hoja1!$A$1:$D$121,4,0)</f>
        <v>86925</v>
      </c>
      <c r="Y1135" s="12" t="str">
        <f>+IF(Tabla4[[#This Row],[AGRUPACIONES]]=1,SUMIFS(Tabla4[UDS],Tabla4[ZONA DEFINITIVO],Tabla4[[#This Row],[ZONA DEFINITIVO]])," ")</f>
        <v xml:space="preserve"> </v>
      </c>
      <c r="Z1135" s="12" t="str">
        <f>+IF(Tabla4[[#This Row],[AGRUPACIONES]]=1,SUMIFS(Tabla4[TOTAL COBERTURA],Tabla4[ZONA DEFINITIVO],Tabla4[[#This Row],[ZONA DEFINITIVO]])," ")</f>
        <v xml:space="preserve"> </v>
      </c>
      <c r="AA1135" s="12"/>
      <c r="AB1135" s="38">
        <v>54504825</v>
      </c>
      <c r="AC1135" s="37">
        <v>0.02</v>
      </c>
      <c r="AD1135" s="38">
        <f t="shared" si="18"/>
        <v>1090096.5</v>
      </c>
      <c r="AE1135" s="12"/>
      <c r="AF1135" s="12">
        <f>COUNTIF($A$20:A1135,A1135)</f>
        <v>7</v>
      </c>
      <c r="AG1135" s="38">
        <v>54504825</v>
      </c>
      <c r="AH1135" s="38">
        <f>Tabla4[[#This Row],[VALOR CONTRAPARTIDA]]+Tabla4[[#This Row],[TOTAL APORTES ICBF]]</f>
        <v>55594921.5</v>
      </c>
      <c r="AI1135" s="35"/>
      <c r="AJ1135" s="38"/>
      <c r="AK1135" s="38"/>
      <c r="AL1135" s="23"/>
      <c r="AM1135" s="35">
        <f>VLOOKUP(Tabla4[[#This Row],[SERVICIO 2025]],$J$2:$V$14,5,0)*Tabla4[[#This Row],[TOTAL COBERTURA]]</f>
        <v>1234400</v>
      </c>
      <c r="AN1135" s="35">
        <f>VLOOKUP(Tabla4[[#This Row],[SERVICIO 2025]],$J$2:$V$14,6,0)*Tabla4[[#This Row],[TOTAL COBERTURA]]</f>
        <v>1025725</v>
      </c>
      <c r="AO1135" s="35">
        <f>VLOOKUP(Tabla4[[#This Row],[SERVICIO 2025]],$J$2:$V$14,8,0)*Tabla4[[#This Row],[TOTAL COBERTURA]]</f>
        <v>727500</v>
      </c>
      <c r="AP1135" s="35">
        <f>VLOOKUP(Tabla4[[#This Row],[SERVICIO 2025]],$J$2:$V$14,3,0)*Tabla4[[#This Row],[TOTAL COBERTURA]]*8</f>
        <v>51517200</v>
      </c>
      <c r="AQ1135" s="35"/>
      <c r="AR1135" s="35">
        <f>Tabla4[[#This Row],[VALOR FASE PREPARATORIA DE ALISTAMIENTO]]+Tabla4[[#This Row],[VALOR FASE PREPARATORIA DE CIERRE]]+Tabla4[[#This Row],[DOTACIÓN ÚNICA]]+Tabla4[[#This Row],[VALOR ATENCIÓN]]+Tabla4[[#This Row],[VALOR RACION PREPARADA]]</f>
        <v>54504825</v>
      </c>
      <c r="AS1135" s="35" t="str">
        <f>+IF(Tabla4[[#This Row],[AGRUPACIONES]]=1,SUMIFS(Tabla4[VALOR TOTAL],Tabla4[ZONA DEFINITIVO],Tabla4[[#This Row],[ZONA DEFINITIVO]])," ")</f>
        <v xml:space="preserve"> </v>
      </c>
      <c r="AT1135" s="27">
        <f>(VLOOKUP(Tabla4[[#This Row],[SERVICIO 2025]],$J$2:$V$14,3,0)*Tabla4[[#This Row],[TOTAL COBERTURA]])+Tabla4[[#This Row],[VALOR FASE PREPARATORIA DE ALISTAMIENTO]]+Tabla4[[#This Row],[DOTACIÓN ÚNICA]]</f>
        <v>8401550</v>
      </c>
      <c r="AU1135" s="35">
        <f>(VLOOKUP(Tabla4[[#This Row],[SERVICIO 2025]],$J$2:$V$14,3,0)*Tabla4[[#This Row],[TOTAL COBERTURA]])</f>
        <v>6439650</v>
      </c>
      <c r="AV1135" s="35">
        <f>(VLOOKUP(Tabla4[[#This Row],[SERVICIO 2025]],$J$2:$V$14,3,0)*Tabla4[[#This Row],[TOTAL COBERTURA]])</f>
        <v>6439650</v>
      </c>
      <c r="AW1135" s="35">
        <f>(VLOOKUP(Tabla4[[#This Row],[SERVICIO 2025]],$J$2:$V$14,3,0)*Tabla4[[#This Row],[TOTAL COBERTURA]])</f>
        <v>6439650</v>
      </c>
      <c r="AX1135" s="35">
        <f>(VLOOKUP(Tabla4[[#This Row],[SERVICIO 2025]],$J$2:$V$14,3,0)*Tabla4[[#This Row],[TOTAL COBERTURA]])</f>
        <v>6439650</v>
      </c>
      <c r="AY1135" s="35">
        <f>(VLOOKUP(Tabla4[[#This Row],[SERVICIO 2025]],$J$2:$V$14,3,0)*Tabla4[[#This Row],[TOTAL COBERTURA]])</f>
        <v>6439650</v>
      </c>
      <c r="AZ1135" s="35">
        <f>(VLOOKUP(Tabla4[[#This Row],[SERVICIO 2025]],$J$2:$V$14,3,0)*Tabla4[[#This Row],[TOTAL COBERTURA]])</f>
        <v>6439650</v>
      </c>
      <c r="BA1135" s="35">
        <f>(VLOOKUP(Tabla4[[#This Row],[SERVICIO 2025]],$J$2:$V$14,3,0)*Tabla4[[#This Row],[TOTAL COBERTURA]])+Tabla4[[#This Row],[VALOR FASE PREPARATORIA DE CIERRE]]</f>
        <v>7465375</v>
      </c>
      <c r="BB1135" s="35">
        <f>SUM(Tabla4[[#This Row],[DESEMBOLSO 1]:[DESEMBOLSO 8]])</f>
        <v>54504825</v>
      </c>
      <c r="BC1135" s="35">
        <f>VLOOKUP(Tabla4[[#This Row],[SERVICIO 2025]],$J$2:$V$14,10,0)*Tabla4[[#This Row],[TOTAL COBERTURA]]*$W$3</f>
        <v>36076600</v>
      </c>
      <c r="BD1135" s="47" t="s">
        <v>211</v>
      </c>
      <c r="BE1135" s="12" t="b">
        <f>EXACT(Tabla4[[#This Row],[VALOR ATENCIÓN (8 MESES)]],Tabla4[[#This Row],[VALOR TOTAL]])</f>
        <v>1</v>
      </c>
      <c r="BF1135" s="23">
        <f>Tabla4[[#This Row],[VALOR ATENCIÓN (8 MESES)]]-Tabla4[[#This Row],[VALOR TOTAL]]</f>
        <v>0</v>
      </c>
      <c r="BG1135" s="12" t="b">
        <f>EXACT(Tabla4[[#This Row],[TOTAL DESEMBOLSOS]],Tabla4[[#This Row],[VALOR ATENCIÓN (8 MESES)]])</f>
        <v>1</v>
      </c>
      <c r="BH1135" s="29">
        <f>Tabla4[[#This Row],[TOTAL DESEMBOLSOS]]-Tabla4[[#This Row],[VALOR ATENCIÓN (8 MESES)]]</f>
        <v>0</v>
      </c>
      <c r="BI1135" t="s">
        <v>98</v>
      </c>
      <c r="BJ1135">
        <v>2009</v>
      </c>
    </row>
    <row r="1136" spans="1:62">
      <c r="A1136" s="13">
        <v>2009</v>
      </c>
      <c r="B1136" s="13" t="s">
        <v>2469</v>
      </c>
      <c r="C1136" s="12" t="s">
        <v>87</v>
      </c>
      <c r="D1136" s="12" t="s">
        <v>987</v>
      </c>
      <c r="E1136" s="12" t="s">
        <v>2470</v>
      </c>
      <c r="F1136" s="12" t="s">
        <v>18</v>
      </c>
      <c r="G1136" s="12" t="s">
        <v>90</v>
      </c>
      <c r="H1136" s="12" t="s">
        <v>2483</v>
      </c>
      <c r="I1136" s="12">
        <v>57901147356</v>
      </c>
      <c r="J1136" s="12" t="s">
        <v>2484</v>
      </c>
      <c r="K1136" s="12">
        <v>1</v>
      </c>
      <c r="L1136" s="12">
        <v>25</v>
      </c>
      <c r="M1136" s="12"/>
      <c r="N1136" s="13">
        <v>2009</v>
      </c>
      <c r="O1136" s="12" t="s">
        <v>93</v>
      </c>
      <c r="P1136" s="12"/>
      <c r="Q1136" s="12"/>
      <c r="R1136" s="12" t="s">
        <v>94</v>
      </c>
      <c r="S1136" s="12">
        <v>10</v>
      </c>
      <c r="T1136" s="12" t="s">
        <v>677</v>
      </c>
      <c r="U1136" s="12" t="s">
        <v>678</v>
      </c>
      <c r="V1136" s="12">
        <f>VLOOKUP(Tabla4[[#This Row],[ZONA DEFINITIVO]],Hoja1!$A$1:$D$121,3,0)</f>
        <v>229161</v>
      </c>
      <c r="W1136" s="12">
        <f>VLOOKUP(Tabla4[[#This Row],[ZONA DEFINITIVO]],Hoja1!$A$1:$D$121,2,0)</f>
        <v>15224</v>
      </c>
      <c r="X1136" s="12">
        <f>VLOOKUP(Tabla4[[#This Row],[ZONA DEFINITIVO]],Hoja1!$A$1:$D$121,4,0)</f>
        <v>86925</v>
      </c>
      <c r="Y1136" s="12" t="str">
        <f>+IF(Tabla4[[#This Row],[AGRUPACIONES]]=1,SUMIFS(Tabla4[UDS],Tabla4[ZONA DEFINITIVO],Tabla4[[#This Row],[ZONA DEFINITIVO]])," ")</f>
        <v xml:space="preserve"> </v>
      </c>
      <c r="Z1136" s="12" t="str">
        <f>+IF(Tabla4[[#This Row],[AGRUPACIONES]]=1,SUMIFS(Tabla4[TOTAL COBERTURA],Tabla4[ZONA DEFINITIVO],Tabla4[[#This Row],[ZONA DEFINITIVO]])," ")</f>
        <v xml:space="preserve"> </v>
      </c>
      <c r="AA1136" s="12"/>
      <c r="AB1136" s="38">
        <v>54504825</v>
      </c>
      <c r="AC1136" s="37">
        <v>0.02</v>
      </c>
      <c r="AD1136" s="38">
        <f t="shared" si="18"/>
        <v>1090096.5</v>
      </c>
      <c r="AE1136" s="12"/>
      <c r="AF1136" s="12">
        <f>COUNTIF($A$20:A1136,A1136)</f>
        <v>8</v>
      </c>
      <c r="AG1136" s="38">
        <v>54504825</v>
      </c>
      <c r="AH1136" s="38">
        <f>Tabla4[[#This Row],[VALOR CONTRAPARTIDA]]+Tabla4[[#This Row],[TOTAL APORTES ICBF]]</f>
        <v>55594921.5</v>
      </c>
      <c r="AI1136" s="35"/>
      <c r="AJ1136" s="38"/>
      <c r="AK1136" s="38"/>
      <c r="AL1136" s="23"/>
      <c r="AM1136" s="35">
        <f>VLOOKUP(Tabla4[[#This Row],[SERVICIO 2025]],$J$2:$V$14,5,0)*Tabla4[[#This Row],[TOTAL COBERTURA]]</f>
        <v>1234400</v>
      </c>
      <c r="AN1136" s="35">
        <f>VLOOKUP(Tabla4[[#This Row],[SERVICIO 2025]],$J$2:$V$14,6,0)*Tabla4[[#This Row],[TOTAL COBERTURA]]</f>
        <v>1025725</v>
      </c>
      <c r="AO1136" s="35">
        <f>VLOOKUP(Tabla4[[#This Row],[SERVICIO 2025]],$J$2:$V$14,8,0)*Tabla4[[#This Row],[TOTAL COBERTURA]]</f>
        <v>727500</v>
      </c>
      <c r="AP1136" s="35">
        <f>VLOOKUP(Tabla4[[#This Row],[SERVICIO 2025]],$J$2:$V$14,3,0)*Tabla4[[#This Row],[TOTAL COBERTURA]]*8</f>
        <v>51517200</v>
      </c>
      <c r="AQ1136" s="35"/>
      <c r="AR1136" s="35">
        <f>Tabla4[[#This Row],[VALOR FASE PREPARATORIA DE ALISTAMIENTO]]+Tabla4[[#This Row],[VALOR FASE PREPARATORIA DE CIERRE]]+Tabla4[[#This Row],[DOTACIÓN ÚNICA]]+Tabla4[[#This Row],[VALOR ATENCIÓN]]+Tabla4[[#This Row],[VALOR RACION PREPARADA]]</f>
        <v>54504825</v>
      </c>
      <c r="AS1136" s="35" t="str">
        <f>+IF(Tabla4[[#This Row],[AGRUPACIONES]]=1,SUMIFS(Tabla4[VALOR TOTAL],Tabla4[ZONA DEFINITIVO],Tabla4[[#This Row],[ZONA DEFINITIVO]])," ")</f>
        <v xml:space="preserve"> </v>
      </c>
      <c r="AT1136" s="27">
        <f>(VLOOKUP(Tabla4[[#This Row],[SERVICIO 2025]],$J$2:$V$14,3,0)*Tabla4[[#This Row],[TOTAL COBERTURA]])+Tabla4[[#This Row],[VALOR FASE PREPARATORIA DE ALISTAMIENTO]]+Tabla4[[#This Row],[DOTACIÓN ÚNICA]]</f>
        <v>8401550</v>
      </c>
      <c r="AU1136" s="35">
        <f>(VLOOKUP(Tabla4[[#This Row],[SERVICIO 2025]],$J$2:$V$14,3,0)*Tabla4[[#This Row],[TOTAL COBERTURA]])</f>
        <v>6439650</v>
      </c>
      <c r="AV1136" s="35">
        <f>(VLOOKUP(Tabla4[[#This Row],[SERVICIO 2025]],$J$2:$V$14,3,0)*Tabla4[[#This Row],[TOTAL COBERTURA]])</f>
        <v>6439650</v>
      </c>
      <c r="AW1136" s="35">
        <f>(VLOOKUP(Tabla4[[#This Row],[SERVICIO 2025]],$J$2:$V$14,3,0)*Tabla4[[#This Row],[TOTAL COBERTURA]])</f>
        <v>6439650</v>
      </c>
      <c r="AX1136" s="35">
        <f>(VLOOKUP(Tabla4[[#This Row],[SERVICIO 2025]],$J$2:$V$14,3,0)*Tabla4[[#This Row],[TOTAL COBERTURA]])</f>
        <v>6439650</v>
      </c>
      <c r="AY1136" s="35">
        <f>(VLOOKUP(Tabla4[[#This Row],[SERVICIO 2025]],$J$2:$V$14,3,0)*Tabla4[[#This Row],[TOTAL COBERTURA]])</f>
        <v>6439650</v>
      </c>
      <c r="AZ1136" s="35">
        <f>(VLOOKUP(Tabla4[[#This Row],[SERVICIO 2025]],$J$2:$V$14,3,0)*Tabla4[[#This Row],[TOTAL COBERTURA]])</f>
        <v>6439650</v>
      </c>
      <c r="BA1136" s="35">
        <f>(VLOOKUP(Tabla4[[#This Row],[SERVICIO 2025]],$J$2:$V$14,3,0)*Tabla4[[#This Row],[TOTAL COBERTURA]])+Tabla4[[#This Row],[VALOR FASE PREPARATORIA DE CIERRE]]</f>
        <v>7465375</v>
      </c>
      <c r="BB1136" s="35">
        <f>SUM(Tabla4[[#This Row],[DESEMBOLSO 1]:[DESEMBOLSO 8]])</f>
        <v>54504825</v>
      </c>
      <c r="BC1136" s="35">
        <f>VLOOKUP(Tabla4[[#This Row],[SERVICIO 2025]],$J$2:$V$14,10,0)*Tabla4[[#This Row],[TOTAL COBERTURA]]*$W$3</f>
        <v>36076600</v>
      </c>
      <c r="BD1136" s="47" t="s">
        <v>211</v>
      </c>
      <c r="BE1136" s="12" t="b">
        <f>EXACT(Tabla4[[#This Row],[VALOR ATENCIÓN (8 MESES)]],Tabla4[[#This Row],[VALOR TOTAL]])</f>
        <v>1</v>
      </c>
      <c r="BF1136" s="23">
        <f>Tabla4[[#This Row],[VALOR ATENCIÓN (8 MESES)]]-Tabla4[[#This Row],[VALOR TOTAL]]</f>
        <v>0</v>
      </c>
      <c r="BG1136" s="12" t="b">
        <f>EXACT(Tabla4[[#This Row],[TOTAL DESEMBOLSOS]],Tabla4[[#This Row],[VALOR ATENCIÓN (8 MESES)]])</f>
        <v>1</v>
      </c>
      <c r="BH1136" s="29">
        <f>Tabla4[[#This Row],[TOTAL DESEMBOLSOS]]-Tabla4[[#This Row],[VALOR ATENCIÓN (8 MESES)]]</f>
        <v>0</v>
      </c>
      <c r="BI1136" t="s">
        <v>98</v>
      </c>
      <c r="BJ1136">
        <v>2009</v>
      </c>
    </row>
    <row r="1137" spans="1:62">
      <c r="A1137" s="13">
        <v>2009</v>
      </c>
      <c r="B1137" s="13" t="s">
        <v>2469</v>
      </c>
      <c r="C1137" s="12" t="s">
        <v>87</v>
      </c>
      <c r="D1137" s="12" t="s">
        <v>987</v>
      </c>
      <c r="E1137" s="12" t="s">
        <v>2470</v>
      </c>
      <c r="F1137" s="12" t="s">
        <v>18</v>
      </c>
      <c r="G1137" s="12" t="s">
        <v>90</v>
      </c>
      <c r="H1137" s="12" t="s">
        <v>2485</v>
      </c>
      <c r="I1137" s="12">
        <v>57901147360</v>
      </c>
      <c r="J1137" s="12" t="s">
        <v>2486</v>
      </c>
      <c r="K1137" s="12">
        <v>1</v>
      </c>
      <c r="L1137" s="12">
        <v>25</v>
      </c>
      <c r="M1137" s="12"/>
      <c r="N1137" s="13">
        <v>2009</v>
      </c>
      <c r="O1137" s="12" t="s">
        <v>93</v>
      </c>
      <c r="P1137" s="12"/>
      <c r="Q1137" s="12"/>
      <c r="R1137" s="12" t="s">
        <v>94</v>
      </c>
      <c r="S1137" s="12">
        <v>10</v>
      </c>
      <c r="T1137" s="12" t="s">
        <v>677</v>
      </c>
      <c r="U1137" s="12" t="s">
        <v>678</v>
      </c>
      <c r="V1137" s="12">
        <f>VLOOKUP(Tabla4[[#This Row],[ZONA DEFINITIVO]],Hoja1!$A$1:$D$121,3,0)</f>
        <v>229161</v>
      </c>
      <c r="W1137" s="12">
        <f>VLOOKUP(Tabla4[[#This Row],[ZONA DEFINITIVO]],Hoja1!$A$1:$D$121,2,0)</f>
        <v>15224</v>
      </c>
      <c r="X1137" s="12">
        <f>VLOOKUP(Tabla4[[#This Row],[ZONA DEFINITIVO]],Hoja1!$A$1:$D$121,4,0)</f>
        <v>86925</v>
      </c>
      <c r="Y1137" s="12" t="str">
        <f>+IF(Tabla4[[#This Row],[AGRUPACIONES]]=1,SUMIFS(Tabla4[UDS],Tabla4[ZONA DEFINITIVO],Tabla4[[#This Row],[ZONA DEFINITIVO]])," ")</f>
        <v xml:space="preserve"> </v>
      </c>
      <c r="Z1137" s="12" t="str">
        <f>+IF(Tabla4[[#This Row],[AGRUPACIONES]]=1,SUMIFS(Tabla4[TOTAL COBERTURA],Tabla4[ZONA DEFINITIVO],Tabla4[[#This Row],[ZONA DEFINITIVO]])," ")</f>
        <v xml:space="preserve"> </v>
      </c>
      <c r="AA1137" s="12"/>
      <c r="AB1137" s="38">
        <v>54504825</v>
      </c>
      <c r="AC1137" s="37">
        <v>0.02</v>
      </c>
      <c r="AD1137" s="38">
        <f t="shared" si="18"/>
        <v>1090096.5</v>
      </c>
      <c r="AE1137" s="12"/>
      <c r="AF1137" s="12">
        <f>COUNTIF($A$20:A1137,A1137)</f>
        <v>9</v>
      </c>
      <c r="AG1137" s="38">
        <v>54504825</v>
      </c>
      <c r="AH1137" s="38">
        <f>Tabla4[[#This Row],[VALOR CONTRAPARTIDA]]+Tabla4[[#This Row],[TOTAL APORTES ICBF]]</f>
        <v>55594921.5</v>
      </c>
      <c r="AI1137" s="35"/>
      <c r="AJ1137" s="38"/>
      <c r="AK1137" s="38"/>
      <c r="AL1137" s="23"/>
      <c r="AM1137" s="35">
        <f>VLOOKUP(Tabla4[[#This Row],[SERVICIO 2025]],$J$2:$V$14,5,0)*Tabla4[[#This Row],[TOTAL COBERTURA]]</f>
        <v>1234400</v>
      </c>
      <c r="AN1137" s="35">
        <f>VLOOKUP(Tabla4[[#This Row],[SERVICIO 2025]],$J$2:$V$14,6,0)*Tabla4[[#This Row],[TOTAL COBERTURA]]</f>
        <v>1025725</v>
      </c>
      <c r="AO1137" s="35">
        <f>VLOOKUP(Tabla4[[#This Row],[SERVICIO 2025]],$J$2:$V$14,8,0)*Tabla4[[#This Row],[TOTAL COBERTURA]]</f>
        <v>727500</v>
      </c>
      <c r="AP1137" s="35">
        <f>VLOOKUP(Tabla4[[#This Row],[SERVICIO 2025]],$J$2:$V$14,3,0)*Tabla4[[#This Row],[TOTAL COBERTURA]]*8</f>
        <v>51517200</v>
      </c>
      <c r="AQ1137" s="35"/>
      <c r="AR1137" s="35">
        <f>Tabla4[[#This Row],[VALOR FASE PREPARATORIA DE ALISTAMIENTO]]+Tabla4[[#This Row],[VALOR FASE PREPARATORIA DE CIERRE]]+Tabla4[[#This Row],[DOTACIÓN ÚNICA]]+Tabla4[[#This Row],[VALOR ATENCIÓN]]+Tabla4[[#This Row],[VALOR RACION PREPARADA]]</f>
        <v>54504825</v>
      </c>
      <c r="AS1137" s="35" t="str">
        <f>+IF(Tabla4[[#This Row],[AGRUPACIONES]]=1,SUMIFS(Tabla4[VALOR TOTAL],Tabla4[ZONA DEFINITIVO],Tabla4[[#This Row],[ZONA DEFINITIVO]])," ")</f>
        <v xml:space="preserve"> </v>
      </c>
      <c r="AT1137" s="27">
        <f>(VLOOKUP(Tabla4[[#This Row],[SERVICIO 2025]],$J$2:$V$14,3,0)*Tabla4[[#This Row],[TOTAL COBERTURA]])+Tabla4[[#This Row],[VALOR FASE PREPARATORIA DE ALISTAMIENTO]]+Tabla4[[#This Row],[DOTACIÓN ÚNICA]]</f>
        <v>8401550</v>
      </c>
      <c r="AU1137" s="35">
        <f>(VLOOKUP(Tabla4[[#This Row],[SERVICIO 2025]],$J$2:$V$14,3,0)*Tabla4[[#This Row],[TOTAL COBERTURA]])</f>
        <v>6439650</v>
      </c>
      <c r="AV1137" s="35">
        <f>(VLOOKUP(Tabla4[[#This Row],[SERVICIO 2025]],$J$2:$V$14,3,0)*Tabla4[[#This Row],[TOTAL COBERTURA]])</f>
        <v>6439650</v>
      </c>
      <c r="AW1137" s="35">
        <f>(VLOOKUP(Tabla4[[#This Row],[SERVICIO 2025]],$J$2:$V$14,3,0)*Tabla4[[#This Row],[TOTAL COBERTURA]])</f>
        <v>6439650</v>
      </c>
      <c r="AX1137" s="35">
        <f>(VLOOKUP(Tabla4[[#This Row],[SERVICIO 2025]],$J$2:$V$14,3,0)*Tabla4[[#This Row],[TOTAL COBERTURA]])</f>
        <v>6439650</v>
      </c>
      <c r="AY1137" s="35">
        <f>(VLOOKUP(Tabla4[[#This Row],[SERVICIO 2025]],$J$2:$V$14,3,0)*Tabla4[[#This Row],[TOTAL COBERTURA]])</f>
        <v>6439650</v>
      </c>
      <c r="AZ1137" s="35">
        <f>(VLOOKUP(Tabla4[[#This Row],[SERVICIO 2025]],$J$2:$V$14,3,0)*Tabla4[[#This Row],[TOTAL COBERTURA]])</f>
        <v>6439650</v>
      </c>
      <c r="BA1137" s="35">
        <f>(VLOOKUP(Tabla4[[#This Row],[SERVICIO 2025]],$J$2:$V$14,3,0)*Tabla4[[#This Row],[TOTAL COBERTURA]])+Tabla4[[#This Row],[VALOR FASE PREPARATORIA DE CIERRE]]</f>
        <v>7465375</v>
      </c>
      <c r="BB1137" s="35">
        <f>SUM(Tabla4[[#This Row],[DESEMBOLSO 1]:[DESEMBOLSO 8]])</f>
        <v>54504825</v>
      </c>
      <c r="BC1137" s="35">
        <f>VLOOKUP(Tabla4[[#This Row],[SERVICIO 2025]],$J$2:$V$14,10,0)*Tabla4[[#This Row],[TOTAL COBERTURA]]*$W$3</f>
        <v>36076600</v>
      </c>
      <c r="BD1137" s="47" t="s">
        <v>211</v>
      </c>
      <c r="BE1137" s="12" t="b">
        <f>EXACT(Tabla4[[#This Row],[VALOR ATENCIÓN (8 MESES)]],Tabla4[[#This Row],[VALOR TOTAL]])</f>
        <v>1</v>
      </c>
      <c r="BF1137" s="23">
        <f>Tabla4[[#This Row],[VALOR ATENCIÓN (8 MESES)]]-Tabla4[[#This Row],[VALOR TOTAL]]</f>
        <v>0</v>
      </c>
      <c r="BG1137" s="12" t="b">
        <f>EXACT(Tabla4[[#This Row],[TOTAL DESEMBOLSOS]],Tabla4[[#This Row],[VALOR ATENCIÓN (8 MESES)]])</f>
        <v>1</v>
      </c>
      <c r="BH1137" s="29">
        <f>Tabla4[[#This Row],[TOTAL DESEMBOLSOS]]-Tabla4[[#This Row],[VALOR ATENCIÓN (8 MESES)]]</f>
        <v>0</v>
      </c>
      <c r="BI1137" t="s">
        <v>98</v>
      </c>
      <c r="BJ1137">
        <v>2009</v>
      </c>
    </row>
    <row r="1138" spans="1:62">
      <c r="A1138" s="13">
        <v>2009</v>
      </c>
      <c r="B1138" s="13" t="s">
        <v>2469</v>
      </c>
      <c r="C1138" s="12" t="s">
        <v>87</v>
      </c>
      <c r="D1138" s="12" t="s">
        <v>987</v>
      </c>
      <c r="E1138" s="12" t="s">
        <v>2470</v>
      </c>
      <c r="F1138" s="12" t="s">
        <v>18</v>
      </c>
      <c r="G1138" s="12" t="s">
        <v>90</v>
      </c>
      <c r="H1138" s="12" t="s">
        <v>2487</v>
      </c>
      <c r="I1138" s="12">
        <v>57901147364</v>
      </c>
      <c r="J1138" s="12" t="s">
        <v>2488</v>
      </c>
      <c r="K1138" s="12">
        <v>1</v>
      </c>
      <c r="L1138" s="12">
        <v>23</v>
      </c>
      <c r="M1138" s="12"/>
      <c r="N1138" s="13">
        <v>2009</v>
      </c>
      <c r="O1138" s="12" t="s">
        <v>93</v>
      </c>
      <c r="P1138" s="12"/>
      <c r="Q1138" s="12"/>
      <c r="R1138" s="12" t="s">
        <v>94</v>
      </c>
      <c r="S1138" s="12">
        <v>10</v>
      </c>
      <c r="T1138" s="12" t="s">
        <v>677</v>
      </c>
      <c r="U1138" s="12" t="s">
        <v>678</v>
      </c>
      <c r="V1138" s="12">
        <f>VLOOKUP(Tabla4[[#This Row],[ZONA DEFINITIVO]],Hoja1!$A$1:$D$121,3,0)</f>
        <v>229161</v>
      </c>
      <c r="W1138" s="12">
        <f>VLOOKUP(Tabla4[[#This Row],[ZONA DEFINITIVO]],Hoja1!$A$1:$D$121,2,0)</f>
        <v>15224</v>
      </c>
      <c r="X1138" s="12">
        <f>VLOOKUP(Tabla4[[#This Row],[ZONA DEFINITIVO]],Hoja1!$A$1:$D$121,4,0)</f>
        <v>86925</v>
      </c>
      <c r="Y1138" s="12" t="str">
        <f>+IF(Tabla4[[#This Row],[AGRUPACIONES]]=1,SUMIFS(Tabla4[UDS],Tabla4[ZONA DEFINITIVO],Tabla4[[#This Row],[ZONA DEFINITIVO]])," ")</f>
        <v xml:space="preserve"> </v>
      </c>
      <c r="Z1138" s="12" t="str">
        <f>+IF(Tabla4[[#This Row],[AGRUPACIONES]]=1,SUMIFS(Tabla4[TOTAL COBERTURA],Tabla4[ZONA DEFINITIVO],Tabla4[[#This Row],[ZONA DEFINITIVO]])," ")</f>
        <v xml:space="preserve"> </v>
      </c>
      <c r="AA1138" s="12"/>
      <c r="AB1138" s="38">
        <v>50144439</v>
      </c>
      <c r="AC1138" s="37">
        <v>0.02</v>
      </c>
      <c r="AD1138" s="38">
        <f t="shared" si="18"/>
        <v>1002888.78</v>
      </c>
      <c r="AE1138" s="12"/>
      <c r="AF1138" s="12">
        <f>COUNTIF($A$20:A1138,A1138)</f>
        <v>10</v>
      </c>
      <c r="AG1138" s="38">
        <v>50144439</v>
      </c>
      <c r="AH1138" s="38">
        <f>Tabla4[[#This Row],[VALOR CONTRAPARTIDA]]+Tabla4[[#This Row],[TOTAL APORTES ICBF]]</f>
        <v>51147327.780000001</v>
      </c>
      <c r="AI1138" s="35"/>
      <c r="AJ1138" s="38"/>
      <c r="AK1138" s="38"/>
      <c r="AL1138" s="23"/>
      <c r="AM1138" s="35">
        <f>VLOOKUP(Tabla4[[#This Row],[SERVICIO 2025]],$J$2:$V$14,5,0)*Tabla4[[#This Row],[TOTAL COBERTURA]]</f>
        <v>1135648</v>
      </c>
      <c r="AN1138" s="35">
        <f>VLOOKUP(Tabla4[[#This Row],[SERVICIO 2025]],$J$2:$V$14,6,0)*Tabla4[[#This Row],[TOTAL COBERTURA]]</f>
        <v>943667</v>
      </c>
      <c r="AO1138" s="35">
        <f>VLOOKUP(Tabla4[[#This Row],[SERVICIO 2025]],$J$2:$V$14,8,0)*Tabla4[[#This Row],[TOTAL COBERTURA]]</f>
        <v>669300</v>
      </c>
      <c r="AP1138" s="35">
        <f>VLOOKUP(Tabla4[[#This Row],[SERVICIO 2025]],$J$2:$V$14,3,0)*Tabla4[[#This Row],[TOTAL COBERTURA]]*8</f>
        <v>47395824</v>
      </c>
      <c r="AQ1138" s="35"/>
      <c r="AR1138" s="35">
        <f>Tabla4[[#This Row],[VALOR FASE PREPARATORIA DE ALISTAMIENTO]]+Tabla4[[#This Row],[VALOR FASE PREPARATORIA DE CIERRE]]+Tabla4[[#This Row],[DOTACIÓN ÚNICA]]+Tabla4[[#This Row],[VALOR ATENCIÓN]]+Tabla4[[#This Row],[VALOR RACION PREPARADA]]</f>
        <v>50144439</v>
      </c>
      <c r="AS1138" s="35" t="str">
        <f>+IF(Tabla4[[#This Row],[AGRUPACIONES]]=1,SUMIFS(Tabla4[VALOR TOTAL],Tabla4[ZONA DEFINITIVO],Tabla4[[#This Row],[ZONA DEFINITIVO]])," ")</f>
        <v xml:space="preserve"> </v>
      </c>
      <c r="AT1138" s="27">
        <f>(VLOOKUP(Tabla4[[#This Row],[SERVICIO 2025]],$J$2:$V$14,3,0)*Tabla4[[#This Row],[TOTAL COBERTURA]])+Tabla4[[#This Row],[VALOR FASE PREPARATORIA DE ALISTAMIENTO]]+Tabla4[[#This Row],[DOTACIÓN ÚNICA]]</f>
        <v>7729426</v>
      </c>
      <c r="AU1138" s="35">
        <f>(VLOOKUP(Tabla4[[#This Row],[SERVICIO 2025]],$J$2:$V$14,3,0)*Tabla4[[#This Row],[TOTAL COBERTURA]])</f>
        <v>5924478</v>
      </c>
      <c r="AV1138" s="35">
        <f>(VLOOKUP(Tabla4[[#This Row],[SERVICIO 2025]],$J$2:$V$14,3,0)*Tabla4[[#This Row],[TOTAL COBERTURA]])</f>
        <v>5924478</v>
      </c>
      <c r="AW1138" s="35">
        <f>(VLOOKUP(Tabla4[[#This Row],[SERVICIO 2025]],$J$2:$V$14,3,0)*Tabla4[[#This Row],[TOTAL COBERTURA]])</f>
        <v>5924478</v>
      </c>
      <c r="AX1138" s="35">
        <f>(VLOOKUP(Tabla4[[#This Row],[SERVICIO 2025]],$J$2:$V$14,3,0)*Tabla4[[#This Row],[TOTAL COBERTURA]])</f>
        <v>5924478</v>
      </c>
      <c r="AY1138" s="35">
        <f>(VLOOKUP(Tabla4[[#This Row],[SERVICIO 2025]],$J$2:$V$14,3,0)*Tabla4[[#This Row],[TOTAL COBERTURA]])</f>
        <v>5924478</v>
      </c>
      <c r="AZ1138" s="35">
        <f>(VLOOKUP(Tabla4[[#This Row],[SERVICIO 2025]],$J$2:$V$14,3,0)*Tabla4[[#This Row],[TOTAL COBERTURA]])</f>
        <v>5924478</v>
      </c>
      <c r="BA1138" s="35">
        <f>(VLOOKUP(Tabla4[[#This Row],[SERVICIO 2025]],$J$2:$V$14,3,0)*Tabla4[[#This Row],[TOTAL COBERTURA]])+Tabla4[[#This Row],[VALOR FASE PREPARATORIA DE CIERRE]]</f>
        <v>6868145</v>
      </c>
      <c r="BB1138" s="35">
        <f>SUM(Tabla4[[#This Row],[DESEMBOLSO 1]:[DESEMBOLSO 8]])</f>
        <v>50144439</v>
      </c>
      <c r="BC1138" s="35">
        <f>VLOOKUP(Tabla4[[#This Row],[SERVICIO 2025]],$J$2:$V$14,10,0)*Tabla4[[#This Row],[TOTAL COBERTURA]]*$W$3</f>
        <v>33190472</v>
      </c>
      <c r="BD1138" s="47" t="s">
        <v>211</v>
      </c>
      <c r="BE1138" s="12" t="b">
        <f>EXACT(Tabla4[[#This Row],[VALOR ATENCIÓN (8 MESES)]],Tabla4[[#This Row],[VALOR TOTAL]])</f>
        <v>1</v>
      </c>
      <c r="BF1138" s="23">
        <f>Tabla4[[#This Row],[VALOR ATENCIÓN (8 MESES)]]-Tabla4[[#This Row],[VALOR TOTAL]]</f>
        <v>0</v>
      </c>
      <c r="BG1138" s="12" t="b">
        <f>EXACT(Tabla4[[#This Row],[TOTAL DESEMBOLSOS]],Tabla4[[#This Row],[VALOR ATENCIÓN (8 MESES)]])</f>
        <v>1</v>
      </c>
      <c r="BH1138" s="29">
        <f>Tabla4[[#This Row],[TOTAL DESEMBOLSOS]]-Tabla4[[#This Row],[VALOR ATENCIÓN (8 MESES)]]</f>
        <v>0</v>
      </c>
      <c r="BI1138" t="s">
        <v>98</v>
      </c>
      <c r="BJ1138">
        <v>2009</v>
      </c>
    </row>
    <row r="1139" spans="1:62">
      <c r="A1139" s="13">
        <v>2009</v>
      </c>
      <c r="B1139" s="13" t="s">
        <v>2469</v>
      </c>
      <c r="C1139" s="12" t="s">
        <v>87</v>
      </c>
      <c r="D1139" s="12" t="s">
        <v>987</v>
      </c>
      <c r="E1139" s="12" t="s">
        <v>2470</v>
      </c>
      <c r="F1139" s="12" t="s">
        <v>18</v>
      </c>
      <c r="G1139" s="12" t="s">
        <v>90</v>
      </c>
      <c r="H1139" s="12" t="s">
        <v>2489</v>
      </c>
      <c r="I1139" s="12">
        <v>57901148723</v>
      </c>
      <c r="J1139" s="12" t="s">
        <v>2490</v>
      </c>
      <c r="K1139" s="12">
        <v>1</v>
      </c>
      <c r="L1139" s="12">
        <v>147</v>
      </c>
      <c r="M1139" s="12"/>
      <c r="N1139" s="13">
        <v>2009</v>
      </c>
      <c r="O1139" s="12" t="s">
        <v>93</v>
      </c>
      <c r="P1139" s="12"/>
      <c r="Q1139" s="12"/>
      <c r="R1139" s="12" t="s">
        <v>94</v>
      </c>
      <c r="S1139" s="12">
        <v>10</v>
      </c>
      <c r="T1139" s="12" t="s">
        <v>677</v>
      </c>
      <c r="U1139" s="12" t="s">
        <v>678</v>
      </c>
      <c r="V1139" s="12">
        <f>VLOOKUP(Tabla4[[#This Row],[ZONA DEFINITIVO]],Hoja1!$A$1:$D$121,3,0)</f>
        <v>229161</v>
      </c>
      <c r="W1139" s="12">
        <f>VLOOKUP(Tabla4[[#This Row],[ZONA DEFINITIVO]],Hoja1!$A$1:$D$121,2,0)</f>
        <v>15224</v>
      </c>
      <c r="X1139" s="12">
        <f>VLOOKUP(Tabla4[[#This Row],[ZONA DEFINITIVO]],Hoja1!$A$1:$D$121,4,0)</f>
        <v>86925</v>
      </c>
      <c r="Y1139" s="12" t="str">
        <f>+IF(Tabla4[[#This Row],[AGRUPACIONES]]=1,SUMIFS(Tabla4[UDS],Tabla4[ZONA DEFINITIVO],Tabla4[[#This Row],[ZONA DEFINITIVO]])," ")</f>
        <v xml:space="preserve"> </v>
      </c>
      <c r="Z1139" s="12" t="str">
        <f>+IF(Tabla4[[#This Row],[AGRUPACIONES]]=1,SUMIFS(Tabla4[TOTAL COBERTURA],Tabla4[ZONA DEFINITIVO],Tabla4[[#This Row],[ZONA DEFINITIVO]])," ")</f>
        <v xml:space="preserve"> </v>
      </c>
      <c r="AA1139" s="12"/>
      <c r="AB1139" s="38">
        <v>320488371</v>
      </c>
      <c r="AC1139" s="37">
        <v>0.02</v>
      </c>
      <c r="AD1139" s="38">
        <f t="shared" si="18"/>
        <v>6409767.4199999999</v>
      </c>
      <c r="AE1139" s="12"/>
      <c r="AF1139" s="12">
        <f>COUNTIF($A$20:A1139,A1139)</f>
        <v>11</v>
      </c>
      <c r="AG1139" s="38">
        <v>320488371</v>
      </c>
      <c r="AH1139" s="38">
        <f>Tabla4[[#This Row],[VALOR CONTRAPARTIDA]]+Tabla4[[#This Row],[TOTAL APORTES ICBF]]</f>
        <v>326898138.42000002</v>
      </c>
      <c r="AI1139" s="35"/>
      <c r="AJ1139" s="38"/>
      <c r="AK1139" s="38"/>
      <c r="AL1139" s="23"/>
      <c r="AM1139" s="35">
        <f>VLOOKUP(Tabla4[[#This Row],[SERVICIO 2025]],$J$2:$V$14,5,0)*Tabla4[[#This Row],[TOTAL COBERTURA]]</f>
        <v>7258272</v>
      </c>
      <c r="AN1139" s="35">
        <f>VLOOKUP(Tabla4[[#This Row],[SERVICIO 2025]],$J$2:$V$14,6,0)*Tabla4[[#This Row],[TOTAL COBERTURA]]</f>
        <v>6031263</v>
      </c>
      <c r="AO1139" s="35">
        <f>VLOOKUP(Tabla4[[#This Row],[SERVICIO 2025]],$J$2:$V$14,8,0)*Tabla4[[#This Row],[TOTAL COBERTURA]]</f>
        <v>4277700</v>
      </c>
      <c r="AP1139" s="35">
        <f>VLOOKUP(Tabla4[[#This Row],[SERVICIO 2025]],$J$2:$V$14,3,0)*Tabla4[[#This Row],[TOTAL COBERTURA]]*8</f>
        <v>302921136</v>
      </c>
      <c r="AQ1139" s="35"/>
      <c r="AR1139" s="35">
        <f>Tabla4[[#This Row],[VALOR FASE PREPARATORIA DE ALISTAMIENTO]]+Tabla4[[#This Row],[VALOR FASE PREPARATORIA DE CIERRE]]+Tabla4[[#This Row],[DOTACIÓN ÚNICA]]+Tabla4[[#This Row],[VALOR ATENCIÓN]]+Tabla4[[#This Row],[VALOR RACION PREPARADA]]</f>
        <v>320488371</v>
      </c>
      <c r="AS1139" s="35" t="str">
        <f>+IF(Tabla4[[#This Row],[AGRUPACIONES]]=1,SUMIFS(Tabla4[VALOR TOTAL],Tabla4[ZONA DEFINITIVO],Tabla4[[#This Row],[ZONA DEFINITIVO]])," ")</f>
        <v xml:space="preserve"> </v>
      </c>
      <c r="AT1139" s="27">
        <f>(VLOOKUP(Tabla4[[#This Row],[SERVICIO 2025]],$J$2:$V$14,3,0)*Tabla4[[#This Row],[TOTAL COBERTURA]])+Tabla4[[#This Row],[VALOR FASE PREPARATORIA DE ALISTAMIENTO]]+Tabla4[[#This Row],[DOTACIÓN ÚNICA]]</f>
        <v>49401114</v>
      </c>
      <c r="AU1139" s="35">
        <f>(VLOOKUP(Tabla4[[#This Row],[SERVICIO 2025]],$J$2:$V$14,3,0)*Tabla4[[#This Row],[TOTAL COBERTURA]])</f>
        <v>37865142</v>
      </c>
      <c r="AV1139" s="35">
        <f>(VLOOKUP(Tabla4[[#This Row],[SERVICIO 2025]],$J$2:$V$14,3,0)*Tabla4[[#This Row],[TOTAL COBERTURA]])</f>
        <v>37865142</v>
      </c>
      <c r="AW1139" s="35">
        <f>(VLOOKUP(Tabla4[[#This Row],[SERVICIO 2025]],$J$2:$V$14,3,0)*Tabla4[[#This Row],[TOTAL COBERTURA]])</f>
        <v>37865142</v>
      </c>
      <c r="AX1139" s="35">
        <f>(VLOOKUP(Tabla4[[#This Row],[SERVICIO 2025]],$J$2:$V$14,3,0)*Tabla4[[#This Row],[TOTAL COBERTURA]])</f>
        <v>37865142</v>
      </c>
      <c r="AY1139" s="35">
        <f>(VLOOKUP(Tabla4[[#This Row],[SERVICIO 2025]],$J$2:$V$14,3,0)*Tabla4[[#This Row],[TOTAL COBERTURA]])</f>
        <v>37865142</v>
      </c>
      <c r="AZ1139" s="35">
        <f>(VLOOKUP(Tabla4[[#This Row],[SERVICIO 2025]],$J$2:$V$14,3,0)*Tabla4[[#This Row],[TOTAL COBERTURA]])</f>
        <v>37865142</v>
      </c>
      <c r="BA1139" s="35">
        <f>(VLOOKUP(Tabla4[[#This Row],[SERVICIO 2025]],$J$2:$V$14,3,0)*Tabla4[[#This Row],[TOTAL COBERTURA]])+Tabla4[[#This Row],[VALOR FASE PREPARATORIA DE CIERRE]]</f>
        <v>43896405</v>
      </c>
      <c r="BB1139" s="35">
        <f>SUM(Tabla4[[#This Row],[DESEMBOLSO 1]:[DESEMBOLSO 8]])</f>
        <v>320488371</v>
      </c>
      <c r="BC1139" s="35">
        <f>VLOOKUP(Tabla4[[#This Row],[SERVICIO 2025]],$J$2:$V$14,10,0)*Tabla4[[#This Row],[TOTAL COBERTURA]]*$W$3</f>
        <v>212130408</v>
      </c>
      <c r="BD1139" s="47" t="s">
        <v>211</v>
      </c>
      <c r="BE1139" s="12" t="b">
        <f>EXACT(Tabla4[[#This Row],[VALOR ATENCIÓN (8 MESES)]],Tabla4[[#This Row],[VALOR TOTAL]])</f>
        <v>1</v>
      </c>
      <c r="BF1139" s="23">
        <f>Tabla4[[#This Row],[VALOR ATENCIÓN (8 MESES)]]-Tabla4[[#This Row],[VALOR TOTAL]]</f>
        <v>0</v>
      </c>
      <c r="BG1139" s="12" t="b">
        <f>EXACT(Tabla4[[#This Row],[TOTAL DESEMBOLSOS]],Tabla4[[#This Row],[VALOR ATENCIÓN (8 MESES)]])</f>
        <v>1</v>
      </c>
      <c r="BH1139" s="29">
        <f>Tabla4[[#This Row],[TOTAL DESEMBOLSOS]]-Tabla4[[#This Row],[VALOR ATENCIÓN (8 MESES)]]</f>
        <v>0</v>
      </c>
      <c r="BI1139" t="s">
        <v>98</v>
      </c>
      <c r="BJ1139">
        <v>2009</v>
      </c>
    </row>
    <row r="1140" spans="1:62">
      <c r="A1140" s="13">
        <v>2009</v>
      </c>
      <c r="B1140" s="13" t="s">
        <v>2469</v>
      </c>
      <c r="C1140" s="12" t="s">
        <v>87</v>
      </c>
      <c r="D1140" s="12" t="s">
        <v>987</v>
      </c>
      <c r="E1140" s="12" t="s">
        <v>2470</v>
      </c>
      <c r="F1140" s="12" t="s">
        <v>18</v>
      </c>
      <c r="G1140" s="12" t="s">
        <v>90</v>
      </c>
      <c r="H1140" s="12" t="s">
        <v>2491</v>
      </c>
      <c r="I1140" s="12">
        <v>57901148725</v>
      </c>
      <c r="J1140" s="12" t="s">
        <v>2492</v>
      </c>
      <c r="K1140" s="12">
        <v>1</v>
      </c>
      <c r="L1140" s="12">
        <v>23</v>
      </c>
      <c r="M1140" s="12"/>
      <c r="N1140" s="13">
        <v>2009</v>
      </c>
      <c r="O1140" s="12" t="s">
        <v>93</v>
      </c>
      <c r="P1140" s="12"/>
      <c r="Q1140" s="12"/>
      <c r="R1140" s="12" t="s">
        <v>94</v>
      </c>
      <c r="S1140" s="12">
        <v>10</v>
      </c>
      <c r="T1140" s="12" t="s">
        <v>677</v>
      </c>
      <c r="U1140" s="12" t="s">
        <v>678</v>
      </c>
      <c r="V1140" s="12">
        <f>VLOOKUP(Tabla4[[#This Row],[ZONA DEFINITIVO]],Hoja1!$A$1:$D$121,3,0)</f>
        <v>229161</v>
      </c>
      <c r="W1140" s="12">
        <f>VLOOKUP(Tabla4[[#This Row],[ZONA DEFINITIVO]],Hoja1!$A$1:$D$121,2,0)</f>
        <v>15224</v>
      </c>
      <c r="X1140" s="12">
        <f>VLOOKUP(Tabla4[[#This Row],[ZONA DEFINITIVO]],Hoja1!$A$1:$D$121,4,0)</f>
        <v>86925</v>
      </c>
      <c r="Y1140" s="12" t="str">
        <f>+IF(Tabla4[[#This Row],[AGRUPACIONES]]=1,SUMIFS(Tabla4[UDS],Tabla4[ZONA DEFINITIVO],Tabla4[[#This Row],[ZONA DEFINITIVO]])," ")</f>
        <v xml:space="preserve"> </v>
      </c>
      <c r="Z1140" s="12" t="str">
        <f>+IF(Tabla4[[#This Row],[AGRUPACIONES]]=1,SUMIFS(Tabla4[TOTAL COBERTURA],Tabla4[ZONA DEFINITIVO],Tabla4[[#This Row],[ZONA DEFINITIVO]])," ")</f>
        <v xml:space="preserve"> </v>
      </c>
      <c r="AA1140" s="12"/>
      <c r="AB1140" s="38">
        <v>50144439</v>
      </c>
      <c r="AC1140" s="37">
        <v>0.02</v>
      </c>
      <c r="AD1140" s="38">
        <f t="shared" si="18"/>
        <v>1002888.78</v>
      </c>
      <c r="AE1140" s="12"/>
      <c r="AF1140" s="12">
        <f>COUNTIF($A$20:A1140,A1140)</f>
        <v>12</v>
      </c>
      <c r="AG1140" s="38">
        <v>50144439</v>
      </c>
      <c r="AH1140" s="38">
        <f>Tabla4[[#This Row],[VALOR CONTRAPARTIDA]]+Tabla4[[#This Row],[TOTAL APORTES ICBF]]</f>
        <v>51147327.780000001</v>
      </c>
      <c r="AI1140" s="35"/>
      <c r="AJ1140" s="38"/>
      <c r="AK1140" s="38"/>
      <c r="AL1140" s="23"/>
      <c r="AM1140" s="35">
        <f>VLOOKUP(Tabla4[[#This Row],[SERVICIO 2025]],$J$2:$V$14,5,0)*Tabla4[[#This Row],[TOTAL COBERTURA]]</f>
        <v>1135648</v>
      </c>
      <c r="AN1140" s="35">
        <f>VLOOKUP(Tabla4[[#This Row],[SERVICIO 2025]],$J$2:$V$14,6,0)*Tabla4[[#This Row],[TOTAL COBERTURA]]</f>
        <v>943667</v>
      </c>
      <c r="AO1140" s="35">
        <f>VLOOKUP(Tabla4[[#This Row],[SERVICIO 2025]],$J$2:$V$14,8,0)*Tabla4[[#This Row],[TOTAL COBERTURA]]</f>
        <v>669300</v>
      </c>
      <c r="AP1140" s="35">
        <f>VLOOKUP(Tabla4[[#This Row],[SERVICIO 2025]],$J$2:$V$14,3,0)*Tabla4[[#This Row],[TOTAL COBERTURA]]*8</f>
        <v>47395824</v>
      </c>
      <c r="AQ1140" s="35"/>
      <c r="AR1140" s="35">
        <f>Tabla4[[#This Row],[VALOR FASE PREPARATORIA DE ALISTAMIENTO]]+Tabla4[[#This Row],[VALOR FASE PREPARATORIA DE CIERRE]]+Tabla4[[#This Row],[DOTACIÓN ÚNICA]]+Tabla4[[#This Row],[VALOR ATENCIÓN]]+Tabla4[[#This Row],[VALOR RACION PREPARADA]]</f>
        <v>50144439</v>
      </c>
      <c r="AS1140" s="35" t="str">
        <f>+IF(Tabla4[[#This Row],[AGRUPACIONES]]=1,SUMIFS(Tabla4[VALOR TOTAL],Tabla4[ZONA DEFINITIVO],Tabla4[[#This Row],[ZONA DEFINITIVO]])," ")</f>
        <v xml:space="preserve"> </v>
      </c>
      <c r="AT1140" s="27">
        <f>(VLOOKUP(Tabla4[[#This Row],[SERVICIO 2025]],$J$2:$V$14,3,0)*Tabla4[[#This Row],[TOTAL COBERTURA]])+Tabla4[[#This Row],[VALOR FASE PREPARATORIA DE ALISTAMIENTO]]+Tabla4[[#This Row],[DOTACIÓN ÚNICA]]</f>
        <v>7729426</v>
      </c>
      <c r="AU1140" s="35">
        <f>(VLOOKUP(Tabla4[[#This Row],[SERVICIO 2025]],$J$2:$V$14,3,0)*Tabla4[[#This Row],[TOTAL COBERTURA]])</f>
        <v>5924478</v>
      </c>
      <c r="AV1140" s="35">
        <f>(VLOOKUP(Tabla4[[#This Row],[SERVICIO 2025]],$J$2:$V$14,3,0)*Tabla4[[#This Row],[TOTAL COBERTURA]])</f>
        <v>5924478</v>
      </c>
      <c r="AW1140" s="35">
        <f>(VLOOKUP(Tabla4[[#This Row],[SERVICIO 2025]],$J$2:$V$14,3,0)*Tabla4[[#This Row],[TOTAL COBERTURA]])</f>
        <v>5924478</v>
      </c>
      <c r="AX1140" s="35">
        <f>(VLOOKUP(Tabla4[[#This Row],[SERVICIO 2025]],$J$2:$V$14,3,0)*Tabla4[[#This Row],[TOTAL COBERTURA]])</f>
        <v>5924478</v>
      </c>
      <c r="AY1140" s="35">
        <f>(VLOOKUP(Tabla4[[#This Row],[SERVICIO 2025]],$J$2:$V$14,3,0)*Tabla4[[#This Row],[TOTAL COBERTURA]])</f>
        <v>5924478</v>
      </c>
      <c r="AZ1140" s="35">
        <f>(VLOOKUP(Tabla4[[#This Row],[SERVICIO 2025]],$J$2:$V$14,3,0)*Tabla4[[#This Row],[TOTAL COBERTURA]])</f>
        <v>5924478</v>
      </c>
      <c r="BA1140" s="35">
        <f>(VLOOKUP(Tabla4[[#This Row],[SERVICIO 2025]],$J$2:$V$14,3,0)*Tabla4[[#This Row],[TOTAL COBERTURA]])+Tabla4[[#This Row],[VALOR FASE PREPARATORIA DE CIERRE]]</f>
        <v>6868145</v>
      </c>
      <c r="BB1140" s="35">
        <f>SUM(Tabla4[[#This Row],[DESEMBOLSO 1]:[DESEMBOLSO 8]])</f>
        <v>50144439</v>
      </c>
      <c r="BC1140" s="35">
        <f>VLOOKUP(Tabla4[[#This Row],[SERVICIO 2025]],$J$2:$V$14,10,0)*Tabla4[[#This Row],[TOTAL COBERTURA]]*$W$3</f>
        <v>33190472</v>
      </c>
      <c r="BD1140" s="47" t="s">
        <v>211</v>
      </c>
      <c r="BE1140" s="12" t="b">
        <f>EXACT(Tabla4[[#This Row],[VALOR ATENCIÓN (8 MESES)]],Tabla4[[#This Row],[VALOR TOTAL]])</f>
        <v>1</v>
      </c>
      <c r="BF1140" s="23">
        <f>Tabla4[[#This Row],[VALOR ATENCIÓN (8 MESES)]]-Tabla4[[#This Row],[VALOR TOTAL]]</f>
        <v>0</v>
      </c>
      <c r="BG1140" s="12" t="b">
        <f>EXACT(Tabla4[[#This Row],[TOTAL DESEMBOLSOS]],Tabla4[[#This Row],[VALOR ATENCIÓN (8 MESES)]])</f>
        <v>1</v>
      </c>
      <c r="BH1140" s="29">
        <f>Tabla4[[#This Row],[TOTAL DESEMBOLSOS]]-Tabla4[[#This Row],[VALOR ATENCIÓN (8 MESES)]]</f>
        <v>0</v>
      </c>
      <c r="BI1140" t="s">
        <v>98</v>
      </c>
      <c r="BJ1140">
        <v>2009</v>
      </c>
    </row>
    <row r="1141" spans="1:62">
      <c r="A1141" s="13">
        <v>2009</v>
      </c>
      <c r="B1141" s="13" t="s">
        <v>2469</v>
      </c>
      <c r="C1141" s="12" t="s">
        <v>87</v>
      </c>
      <c r="D1141" s="12" t="s">
        <v>987</v>
      </c>
      <c r="E1141" s="12" t="s">
        <v>2470</v>
      </c>
      <c r="F1141" s="12" t="s">
        <v>18</v>
      </c>
      <c r="G1141" s="12" t="s">
        <v>90</v>
      </c>
      <c r="H1141" s="12" t="s">
        <v>2493</v>
      </c>
      <c r="I1141" s="12">
        <v>57901151428</v>
      </c>
      <c r="J1141" s="12" t="s">
        <v>2494</v>
      </c>
      <c r="K1141" s="12">
        <v>1</v>
      </c>
      <c r="L1141" s="12">
        <v>19</v>
      </c>
      <c r="M1141" s="12"/>
      <c r="N1141" s="13">
        <v>2009</v>
      </c>
      <c r="O1141" s="12" t="s">
        <v>93</v>
      </c>
      <c r="P1141" s="12"/>
      <c r="Q1141" s="12"/>
      <c r="R1141" s="12" t="s">
        <v>94</v>
      </c>
      <c r="S1141" s="12">
        <v>10</v>
      </c>
      <c r="T1141" s="12" t="s">
        <v>677</v>
      </c>
      <c r="U1141" s="12" t="s">
        <v>678</v>
      </c>
      <c r="V1141" s="12">
        <f>VLOOKUP(Tabla4[[#This Row],[ZONA DEFINITIVO]],Hoja1!$A$1:$D$121,3,0)</f>
        <v>229161</v>
      </c>
      <c r="W1141" s="12">
        <f>VLOOKUP(Tabla4[[#This Row],[ZONA DEFINITIVO]],Hoja1!$A$1:$D$121,2,0)</f>
        <v>15224</v>
      </c>
      <c r="X1141" s="12">
        <f>VLOOKUP(Tabla4[[#This Row],[ZONA DEFINITIVO]],Hoja1!$A$1:$D$121,4,0)</f>
        <v>86925</v>
      </c>
      <c r="Y1141" s="12" t="str">
        <f>+IF(Tabla4[[#This Row],[AGRUPACIONES]]=1,SUMIFS(Tabla4[UDS],Tabla4[ZONA DEFINITIVO],Tabla4[[#This Row],[ZONA DEFINITIVO]])," ")</f>
        <v xml:space="preserve"> </v>
      </c>
      <c r="Z1141" s="12" t="str">
        <f>+IF(Tabla4[[#This Row],[AGRUPACIONES]]=1,SUMIFS(Tabla4[TOTAL COBERTURA],Tabla4[ZONA DEFINITIVO],Tabla4[[#This Row],[ZONA DEFINITIVO]])," ")</f>
        <v xml:space="preserve"> </v>
      </c>
      <c r="AA1141" s="12"/>
      <c r="AB1141" s="38">
        <v>41423667</v>
      </c>
      <c r="AC1141" s="37">
        <v>0.02</v>
      </c>
      <c r="AD1141" s="38">
        <f t="shared" si="18"/>
        <v>828473.34</v>
      </c>
      <c r="AE1141" s="12"/>
      <c r="AF1141" s="12">
        <f>COUNTIF($A$20:A1141,A1141)</f>
        <v>13</v>
      </c>
      <c r="AG1141" s="38">
        <v>41423667</v>
      </c>
      <c r="AH1141" s="38">
        <f>Tabla4[[#This Row],[VALOR CONTRAPARTIDA]]+Tabla4[[#This Row],[TOTAL APORTES ICBF]]</f>
        <v>42252140.340000004</v>
      </c>
      <c r="AI1141" s="35"/>
      <c r="AJ1141" s="38"/>
      <c r="AK1141" s="38"/>
      <c r="AL1141" s="23"/>
      <c r="AM1141" s="35">
        <f>VLOOKUP(Tabla4[[#This Row],[SERVICIO 2025]],$J$2:$V$14,5,0)*Tabla4[[#This Row],[TOTAL COBERTURA]]</f>
        <v>938144</v>
      </c>
      <c r="AN1141" s="35">
        <f>VLOOKUP(Tabla4[[#This Row],[SERVICIO 2025]],$J$2:$V$14,6,0)*Tabla4[[#This Row],[TOTAL COBERTURA]]</f>
        <v>779551</v>
      </c>
      <c r="AO1141" s="35">
        <f>VLOOKUP(Tabla4[[#This Row],[SERVICIO 2025]],$J$2:$V$14,8,0)*Tabla4[[#This Row],[TOTAL COBERTURA]]</f>
        <v>552900</v>
      </c>
      <c r="AP1141" s="35">
        <f>VLOOKUP(Tabla4[[#This Row],[SERVICIO 2025]],$J$2:$V$14,3,0)*Tabla4[[#This Row],[TOTAL COBERTURA]]*8</f>
        <v>39153072</v>
      </c>
      <c r="AQ1141" s="35"/>
      <c r="AR1141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1141" s="35" t="str">
        <f>+IF(Tabla4[[#This Row],[AGRUPACIONES]]=1,SUMIFS(Tabla4[VALOR TOTAL],Tabla4[ZONA DEFINITIVO],Tabla4[[#This Row],[ZONA DEFINITIVO]])," ")</f>
        <v xml:space="preserve"> </v>
      </c>
      <c r="AT1141" s="27">
        <f>(VLOOKUP(Tabla4[[#This Row],[SERVICIO 2025]],$J$2:$V$14,3,0)*Tabla4[[#This Row],[TOTAL COBERTURA]])+Tabla4[[#This Row],[VALOR FASE PREPARATORIA DE ALISTAMIENTO]]+Tabla4[[#This Row],[DOTACIÓN ÚNICA]]</f>
        <v>6385178</v>
      </c>
      <c r="AU1141" s="35">
        <f>(VLOOKUP(Tabla4[[#This Row],[SERVICIO 2025]],$J$2:$V$14,3,0)*Tabla4[[#This Row],[TOTAL COBERTURA]])</f>
        <v>4894134</v>
      </c>
      <c r="AV1141" s="35">
        <f>(VLOOKUP(Tabla4[[#This Row],[SERVICIO 2025]],$J$2:$V$14,3,0)*Tabla4[[#This Row],[TOTAL COBERTURA]])</f>
        <v>4894134</v>
      </c>
      <c r="AW1141" s="35">
        <f>(VLOOKUP(Tabla4[[#This Row],[SERVICIO 2025]],$J$2:$V$14,3,0)*Tabla4[[#This Row],[TOTAL COBERTURA]])</f>
        <v>4894134</v>
      </c>
      <c r="AX1141" s="35">
        <f>(VLOOKUP(Tabla4[[#This Row],[SERVICIO 2025]],$J$2:$V$14,3,0)*Tabla4[[#This Row],[TOTAL COBERTURA]])</f>
        <v>4894134</v>
      </c>
      <c r="AY1141" s="35">
        <f>(VLOOKUP(Tabla4[[#This Row],[SERVICIO 2025]],$J$2:$V$14,3,0)*Tabla4[[#This Row],[TOTAL COBERTURA]])</f>
        <v>4894134</v>
      </c>
      <c r="AZ1141" s="35">
        <f>(VLOOKUP(Tabla4[[#This Row],[SERVICIO 2025]],$J$2:$V$14,3,0)*Tabla4[[#This Row],[TOTAL COBERTURA]])</f>
        <v>4894134</v>
      </c>
      <c r="BA1141" s="35">
        <f>(VLOOKUP(Tabla4[[#This Row],[SERVICIO 2025]],$J$2:$V$14,3,0)*Tabla4[[#This Row],[TOTAL COBERTURA]])+Tabla4[[#This Row],[VALOR FASE PREPARATORIA DE CIERRE]]</f>
        <v>5673685</v>
      </c>
      <c r="BB1141" s="35">
        <f>SUM(Tabla4[[#This Row],[DESEMBOLSO 1]:[DESEMBOLSO 8]])</f>
        <v>41423667</v>
      </c>
      <c r="BC1141" s="35">
        <f>VLOOKUP(Tabla4[[#This Row],[SERVICIO 2025]],$J$2:$V$14,10,0)*Tabla4[[#This Row],[TOTAL COBERTURA]]*$W$3</f>
        <v>27418216</v>
      </c>
      <c r="BD1141" s="47" t="s">
        <v>211</v>
      </c>
      <c r="BE1141" s="12" t="b">
        <f>EXACT(Tabla4[[#This Row],[VALOR ATENCIÓN (8 MESES)]],Tabla4[[#This Row],[VALOR TOTAL]])</f>
        <v>1</v>
      </c>
      <c r="BF1141" s="23">
        <f>Tabla4[[#This Row],[VALOR ATENCIÓN (8 MESES)]]-Tabla4[[#This Row],[VALOR TOTAL]]</f>
        <v>0</v>
      </c>
      <c r="BG1141" s="12" t="b">
        <f>EXACT(Tabla4[[#This Row],[TOTAL DESEMBOLSOS]],Tabla4[[#This Row],[VALOR ATENCIÓN (8 MESES)]])</f>
        <v>1</v>
      </c>
      <c r="BH1141" s="29">
        <f>Tabla4[[#This Row],[TOTAL DESEMBOLSOS]]-Tabla4[[#This Row],[VALOR ATENCIÓN (8 MESES)]]</f>
        <v>0</v>
      </c>
      <c r="BI1141" t="s">
        <v>98</v>
      </c>
      <c r="BJ1141">
        <v>2009</v>
      </c>
    </row>
    <row r="1142" spans="1:62">
      <c r="A1142" s="13">
        <v>2009</v>
      </c>
      <c r="B1142" s="13" t="s">
        <v>2469</v>
      </c>
      <c r="C1142" s="12" t="s">
        <v>87</v>
      </c>
      <c r="D1142" s="12" t="s">
        <v>987</v>
      </c>
      <c r="E1142" s="12" t="s">
        <v>2470</v>
      </c>
      <c r="F1142" s="12" t="s">
        <v>18</v>
      </c>
      <c r="G1142" s="12" t="s">
        <v>90</v>
      </c>
      <c r="H1142" s="12" t="s">
        <v>2495</v>
      </c>
      <c r="I1142" s="12">
        <v>57901152079</v>
      </c>
      <c r="J1142" s="12" t="s">
        <v>2496</v>
      </c>
      <c r="K1142" s="12">
        <v>1</v>
      </c>
      <c r="L1142" s="12">
        <v>89</v>
      </c>
      <c r="M1142" s="12"/>
      <c r="N1142" s="13">
        <v>2009</v>
      </c>
      <c r="O1142" s="12" t="s">
        <v>93</v>
      </c>
      <c r="P1142" s="12"/>
      <c r="Q1142" s="12"/>
      <c r="R1142" s="12" t="s">
        <v>94</v>
      </c>
      <c r="S1142" s="12">
        <v>10</v>
      </c>
      <c r="T1142" s="12" t="s">
        <v>677</v>
      </c>
      <c r="U1142" s="12" t="s">
        <v>678</v>
      </c>
      <c r="V1142" s="12">
        <f>VLOOKUP(Tabla4[[#This Row],[ZONA DEFINITIVO]],Hoja1!$A$1:$D$121,3,0)</f>
        <v>229161</v>
      </c>
      <c r="W1142" s="12">
        <f>VLOOKUP(Tabla4[[#This Row],[ZONA DEFINITIVO]],Hoja1!$A$1:$D$121,2,0)</f>
        <v>15224</v>
      </c>
      <c r="X1142" s="12">
        <f>VLOOKUP(Tabla4[[#This Row],[ZONA DEFINITIVO]],Hoja1!$A$1:$D$121,4,0)</f>
        <v>86925</v>
      </c>
      <c r="Y1142" s="12" t="str">
        <f>+IF(Tabla4[[#This Row],[AGRUPACIONES]]=1,SUMIFS(Tabla4[UDS],Tabla4[ZONA DEFINITIVO],Tabla4[[#This Row],[ZONA DEFINITIVO]])," ")</f>
        <v xml:space="preserve"> </v>
      </c>
      <c r="Z1142" s="12" t="str">
        <f>+IF(Tabla4[[#This Row],[AGRUPACIONES]]=1,SUMIFS(Tabla4[TOTAL COBERTURA],Tabla4[ZONA DEFINITIVO],Tabla4[[#This Row],[ZONA DEFINITIVO]])," ")</f>
        <v xml:space="preserve"> </v>
      </c>
      <c r="AA1142" s="12"/>
      <c r="AB1142" s="38">
        <v>194037177</v>
      </c>
      <c r="AC1142" s="37">
        <v>0.02</v>
      </c>
      <c r="AD1142" s="38">
        <f t="shared" si="18"/>
        <v>3880743.54</v>
      </c>
      <c r="AE1142" s="12"/>
      <c r="AF1142" s="12">
        <f>COUNTIF($A$20:A1142,A1142)</f>
        <v>14</v>
      </c>
      <c r="AG1142" s="38">
        <v>194037177</v>
      </c>
      <c r="AH1142" s="38">
        <f>Tabla4[[#This Row],[VALOR CONTRAPARTIDA]]+Tabla4[[#This Row],[TOTAL APORTES ICBF]]</f>
        <v>197917920.53999999</v>
      </c>
      <c r="AI1142" s="35"/>
      <c r="AJ1142" s="38"/>
      <c r="AK1142" s="38"/>
      <c r="AL1142" s="23"/>
      <c r="AM1142" s="35">
        <f>VLOOKUP(Tabla4[[#This Row],[SERVICIO 2025]],$J$2:$V$14,5,0)*Tabla4[[#This Row],[TOTAL COBERTURA]]</f>
        <v>4394464</v>
      </c>
      <c r="AN1142" s="35">
        <f>VLOOKUP(Tabla4[[#This Row],[SERVICIO 2025]],$J$2:$V$14,6,0)*Tabla4[[#This Row],[TOTAL COBERTURA]]</f>
        <v>3651581</v>
      </c>
      <c r="AO1142" s="35">
        <f>VLOOKUP(Tabla4[[#This Row],[SERVICIO 2025]],$J$2:$V$14,8,0)*Tabla4[[#This Row],[TOTAL COBERTURA]]</f>
        <v>2589900</v>
      </c>
      <c r="AP1142" s="35">
        <f>VLOOKUP(Tabla4[[#This Row],[SERVICIO 2025]],$J$2:$V$14,3,0)*Tabla4[[#This Row],[TOTAL COBERTURA]]*8</f>
        <v>183401232</v>
      </c>
      <c r="AQ1142" s="35"/>
      <c r="AR1142" s="35">
        <f>Tabla4[[#This Row],[VALOR FASE PREPARATORIA DE ALISTAMIENTO]]+Tabla4[[#This Row],[VALOR FASE PREPARATORIA DE CIERRE]]+Tabla4[[#This Row],[DOTACIÓN ÚNICA]]+Tabla4[[#This Row],[VALOR ATENCIÓN]]+Tabla4[[#This Row],[VALOR RACION PREPARADA]]</f>
        <v>194037177</v>
      </c>
      <c r="AS1142" s="35" t="str">
        <f>+IF(Tabla4[[#This Row],[AGRUPACIONES]]=1,SUMIFS(Tabla4[VALOR TOTAL],Tabla4[ZONA DEFINITIVO],Tabla4[[#This Row],[ZONA DEFINITIVO]])," ")</f>
        <v xml:space="preserve"> </v>
      </c>
      <c r="AT1142" s="27">
        <f>(VLOOKUP(Tabla4[[#This Row],[SERVICIO 2025]],$J$2:$V$14,3,0)*Tabla4[[#This Row],[TOTAL COBERTURA]])+Tabla4[[#This Row],[VALOR FASE PREPARATORIA DE ALISTAMIENTO]]+Tabla4[[#This Row],[DOTACIÓN ÚNICA]]</f>
        <v>29909518</v>
      </c>
      <c r="AU1142" s="35">
        <f>(VLOOKUP(Tabla4[[#This Row],[SERVICIO 2025]],$J$2:$V$14,3,0)*Tabla4[[#This Row],[TOTAL COBERTURA]])</f>
        <v>22925154</v>
      </c>
      <c r="AV1142" s="35">
        <f>(VLOOKUP(Tabla4[[#This Row],[SERVICIO 2025]],$J$2:$V$14,3,0)*Tabla4[[#This Row],[TOTAL COBERTURA]])</f>
        <v>22925154</v>
      </c>
      <c r="AW1142" s="35">
        <f>(VLOOKUP(Tabla4[[#This Row],[SERVICIO 2025]],$J$2:$V$14,3,0)*Tabla4[[#This Row],[TOTAL COBERTURA]])</f>
        <v>22925154</v>
      </c>
      <c r="AX1142" s="35">
        <f>(VLOOKUP(Tabla4[[#This Row],[SERVICIO 2025]],$J$2:$V$14,3,0)*Tabla4[[#This Row],[TOTAL COBERTURA]])</f>
        <v>22925154</v>
      </c>
      <c r="AY1142" s="35">
        <f>(VLOOKUP(Tabla4[[#This Row],[SERVICIO 2025]],$J$2:$V$14,3,0)*Tabla4[[#This Row],[TOTAL COBERTURA]])</f>
        <v>22925154</v>
      </c>
      <c r="AZ1142" s="35">
        <f>(VLOOKUP(Tabla4[[#This Row],[SERVICIO 2025]],$J$2:$V$14,3,0)*Tabla4[[#This Row],[TOTAL COBERTURA]])</f>
        <v>22925154</v>
      </c>
      <c r="BA1142" s="35">
        <f>(VLOOKUP(Tabla4[[#This Row],[SERVICIO 2025]],$J$2:$V$14,3,0)*Tabla4[[#This Row],[TOTAL COBERTURA]])+Tabla4[[#This Row],[VALOR FASE PREPARATORIA DE CIERRE]]</f>
        <v>26576735</v>
      </c>
      <c r="BB1142" s="35">
        <f>SUM(Tabla4[[#This Row],[DESEMBOLSO 1]:[DESEMBOLSO 8]])</f>
        <v>194037177</v>
      </c>
      <c r="BC1142" s="35">
        <f>VLOOKUP(Tabla4[[#This Row],[SERVICIO 2025]],$J$2:$V$14,10,0)*Tabla4[[#This Row],[TOTAL COBERTURA]]*$W$3</f>
        <v>128432696</v>
      </c>
      <c r="BD1142" s="47" t="s">
        <v>211</v>
      </c>
      <c r="BE1142" s="12" t="b">
        <f>EXACT(Tabla4[[#This Row],[VALOR ATENCIÓN (8 MESES)]],Tabla4[[#This Row],[VALOR TOTAL]])</f>
        <v>1</v>
      </c>
      <c r="BF1142" s="23">
        <f>Tabla4[[#This Row],[VALOR ATENCIÓN (8 MESES)]]-Tabla4[[#This Row],[VALOR TOTAL]]</f>
        <v>0</v>
      </c>
      <c r="BG1142" s="12" t="b">
        <f>EXACT(Tabla4[[#This Row],[TOTAL DESEMBOLSOS]],Tabla4[[#This Row],[VALOR ATENCIÓN (8 MESES)]])</f>
        <v>1</v>
      </c>
      <c r="BH1142" s="29">
        <f>Tabla4[[#This Row],[TOTAL DESEMBOLSOS]]-Tabla4[[#This Row],[VALOR ATENCIÓN (8 MESES)]]</f>
        <v>0</v>
      </c>
      <c r="BI1142" t="s">
        <v>98</v>
      </c>
      <c r="BJ1142">
        <v>2009</v>
      </c>
    </row>
    <row r="1143" spans="1:62">
      <c r="A1143" s="13">
        <v>2009</v>
      </c>
      <c r="B1143" s="13" t="s">
        <v>2469</v>
      </c>
      <c r="C1143" s="12" t="s">
        <v>87</v>
      </c>
      <c r="D1143" s="12" t="s">
        <v>987</v>
      </c>
      <c r="E1143" s="12" t="s">
        <v>2470</v>
      </c>
      <c r="F1143" s="12" t="s">
        <v>18</v>
      </c>
      <c r="G1143" s="12" t="s">
        <v>90</v>
      </c>
      <c r="H1143" s="12" t="s">
        <v>2497</v>
      </c>
      <c r="I1143" s="12">
        <v>57901152080</v>
      </c>
      <c r="J1143" s="12" t="s">
        <v>2498</v>
      </c>
      <c r="K1143" s="12">
        <v>1</v>
      </c>
      <c r="L1143" s="12">
        <v>46</v>
      </c>
      <c r="M1143" s="12"/>
      <c r="N1143" s="13">
        <v>2009</v>
      </c>
      <c r="O1143" s="12" t="s">
        <v>93</v>
      </c>
      <c r="P1143" s="12"/>
      <c r="Q1143" s="12"/>
      <c r="R1143" s="12" t="s">
        <v>94</v>
      </c>
      <c r="S1143" s="12">
        <v>10</v>
      </c>
      <c r="T1143" s="12" t="s">
        <v>677</v>
      </c>
      <c r="U1143" s="12" t="s">
        <v>678</v>
      </c>
      <c r="V1143" s="12">
        <f>VLOOKUP(Tabla4[[#This Row],[ZONA DEFINITIVO]],Hoja1!$A$1:$D$121,3,0)</f>
        <v>229161</v>
      </c>
      <c r="W1143" s="12">
        <f>VLOOKUP(Tabla4[[#This Row],[ZONA DEFINITIVO]],Hoja1!$A$1:$D$121,2,0)</f>
        <v>15224</v>
      </c>
      <c r="X1143" s="12">
        <f>VLOOKUP(Tabla4[[#This Row],[ZONA DEFINITIVO]],Hoja1!$A$1:$D$121,4,0)</f>
        <v>86925</v>
      </c>
      <c r="Y1143" s="12" t="str">
        <f>+IF(Tabla4[[#This Row],[AGRUPACIONES]]=1,SUMIFS(Tabla4[UDS],Tabla4[ZONA DEFINITIVO],Tabla4[[#This Row],[ZONA DEFINITIVO]])," ")</f>
        <v xml:space="preserve"> </v>
      </c>
      <c r="Z1143" s="12" t="str">
        <f>+IF(Tabla4[[#This Row],[AGRUPACIONES]]=1,SUMIFS(Tabla4[TOTAL COBERTURA],Tabla4[ZONA DEFINITIVO],Tabla4[[#This Row],[ZONA DEFINITIVO]])," ")</f>
        <v xml:space="preserve"> </v>
      </c>
      <c r="AA1143" s="12"/>
      <c r="AB1143" s="38">
        <v>100288878</v>
      </c>
      <c r="AC1143" s="37">
        <v>0.02</v>
      </c>
      <c r="AD1143" s="38">
        <f t="shared" si="18"/>
        <v>2005777.56</v>
      </c>
      <c r="AE1143" s="12"/>
      <c r="AF1143" s="12">
        <f>COUNTIF($A$20:A1143,A1143)</f>
        <v>15</v>
      </c>
      <c r="AG1143" s="38">
        <v>100288878</v>
      </c>
      <c r="AH1143" s="38">
        <f>Tabla4[[#This Row],[VALOR CONTRAPARTIDA]]+Tabla4[[#This Row],[TOTAL APORTES ICBF]]</f>
        <v>102294655.56</v>
      </c>
      <c r="AI1143" s="35"/>
      <c r="AJ1143" s="38"/>
      <c r="AK1143" s="38"/>
      <c r="AL1143" s="23"/>
      <c r="AM1143" s="35">
        <f>VLOOKUP(Tabla4[[#This Row],[SERVICIO 2025]],$J$2:$V$14,5,0)*Tabla4[[#This Row],[TOTAL COBERTURA]]</f>
        <v>2271296</v>
      </c>
      <c r="AN1143" s="35">
        <f>VLOOKUP(Tabla4[[#This Row],[SERVICIO 2025]],$J$2:$V$14,6,0)*Tabla4[[#This Row],[TOTAL COBERTURA]]</f>
        <v>1887334</v>
      </c>
      <c r="AO1143" s="35">
        <f>VLOOKUP(Tabla4[[#This Row],[SERVICIO 2025]],$J$2:$V$14,8,0)*Tabla4[[#This Row],[TOTAL COBERTURA]]</f>
        <v>1338600</v>
      </c>
      <c r="AP1143" s="35">
        <f>VLOOKUP(Tabla4[[#This Row],[SERVICIO 2025]],$J$2:$V$14,3,0)*Tabla4[[#This Row],[TOTAL COBERTURA]]*8</f>
        <v>94791648</v>
      </c>
      <c r="AQ1143" s="35"/>
      <c r="AR1143" s="35">
        <f>Tabla4[[#This Row],[VALOR FASE PREPARATORIA DE ALISTAMIENTO]]+Tabla4[[#This Row],[VALOR FASE PREPARATORIA DE CIERRE]]+Tabla4[[#This Row],[DOTACIÓN ÚNICA]]+Tabla4[[#This Row],[VALOR ATENCIÓN]]+Tabla4[[#This Row],[VALOR RACION PREPARADA]]</f>
        <v>100288878</v>
      </c>
      <c r="AS1143" s="35" t="str">
        <f>+IF(Tabla4[[#This Row],[AGRUPACIONES]]=1,SUMIFS(Tabla4[VALOR TOTAL],Tabla4[ZONA DEFINITIVO],Tabla4[[#This Row],[ZONA DEFINITIVO]])," ")</f>
        <v xml:space="preserve"> </v>
      </c>
      <c r="AT1143" s="27">
        <f>(VLOOKUP(Tabla4[[#This Row],[SERVICIO 2025]],$J$2:$V$14,3,0)*Tabla4[[#This Row],[TOTAL COBERTURA]])+Tabla4[[#This Row],[VALOR FASE PREPARATORIA DE ALISTAMIENTO]]+Tabla4[[#This Row],[DOTACIÓN ÚNICA]]</f>
        <v>15458852</v>
      </c>
      <c r="AU1143" s="35">
        <f>(VLOOKUP(Tabla4[[#This Row],[SERVICIO 2025]],$J$2:$V$14,3,0)*Tabla4[[#This Row],[TOTAL COBERTURA]])</f>
        <v>11848956</v>
      </c>
      <c r="AV1143" s="35">
        <f>(VLOOKUP(Tabla4[[#This Row],[SERVICIO 2025]],$J$2:$V$14,3,0)*Tabla4[[#This Row],[TOTAL COBERTURA]])</f>
        <v>11848956</v>
      </c>
      <c r="AW1143" s="35">
        <f>(VLOOKUP(Tabla4[[#This Row],[SERVICIO 2025]],$J$2:$V$14,3,0)*Tabla4[[#This Row],[TOTAL COBERTURA]])</f>
        <v>11848956</v>
      </c>
      <c r="AX1143" s="35">
        <f>(VLOOKUP(Tabla4[[#This Row],[SERVICIO 2025]],$J$2:$V$14,3,0)*Tabla4[[#This Row],[TOTAL COBERTURA]])</f>
        <v>11848956</v>
      </c>
      <c r="AY1143" s="35">
        <f>(VLOOKUP(Tabla4[[#This Row],[SERVICIO 2025]],$J$2:$V$14,3,0)*Tabla4[[#This Row],[TOTAL COBERTURA]])</f>
        <v>11848956</v>
      </c>
      <c r="AZ1143" s="35">
        <f>(VLOOKUP(Tabla4[[#This Row],[SERVICIO 2025]],$J$2:$V$14,3,0)*Tabla4[[#This Row],[TOTAL COBERTURA]])</f>
        <v>11848956</v>
      </c>
      <c r="BA1143" s="35">
        <f>(VLOOKUP(Tabla4[[#This Row],[SERVICIO 2025]],$J$2:$V$14,3,0)*Tabla4[[#This Row],[TOTAL COBERTURA]])+Tabla4[[#This Row],[VALOR FASE PREPARATORIA DE CIERRE]]</f>
        <v>13736290</v>
      </c>
      <c r="BB1143" s="35">
        <f>SUM(Tabla4[[#This Row],[DESEMBOLSO 1]:[DESEMBOLSO 8]])</f>
        <v>100288878</v>
      </c>
      <c r="BC1143" s="35">
        <f>VLOOKUP(Tabla4[[#This Row],[SERVICIO 2025]],$J$2:$V$14,10,0)*Tabla4[[#This Row],[TOTAL COBERTURA]]*$W$3</f>
        <v>66380944</v>
      </c>
      <c r="BD1143" s="47" t="s">
        <v>211</v>
      </c>
      <c r="BE1143" s="12" t="b">
        <f>EXACT(Tabla4[[#This Row],[VALOR ATENCIÓN (8 MESES)]],Tabla4[[#This Row],[VALOR TOTAL]])</f>
        <v>1</v>
      </c>
      <c r="BF1143" s="23">
        <f>Tabla4[[#This Row],[VALOR ATENCIÓN (8 MESES)]]-Tabla4[[#This Row],[VALOR TOTAL]]</f>
        <v>0</v>
      </c>
      <c r="BG1143" s="12" t="b">
        <f>EXACT(Tabla4[[#This Row],[TOTAL DESEMBOLSOS]],Tabla4[[#This Row],[VALOR ATENCIÓN (8 MESES)]])</f>
        <v>1</v>
      </c>
      <c r="BH1143" s="29">
        <f>Tabla4[[#This Row],[TOTAL DESEMBOLSOS]]-Tabla4[[#This Row],[VALOR ATENCIÓN (8 MESES)]]</f>
        <v>0</v>
      </c>
      <c r="BI1143" t="s">
        <v>98</v>
      </c>
      <c r="BJ1143">
        <v>2009</v>
      </c>
    </row>
    <row r="1144" spans="1:62">
      <c r="A1144" s="13">
        <v>2012</v>
      </c>
      <c r="B1144" s="13" t="e">
        <v>#N/A</v>
      </c>
      <c r="C1144" s="12" t="s">
        <v>87</v>
      </c>
      <c r="D1144" s="12" t="s">
        <v>462</v>
      </c>
      <c r="E1144" s="12" t="s">
        <v>2499</v>
      </c>
      <c r="F1144" s="12" t="s">
        <v>15</v>
      </c>
      <c r="G1144" s="12" t="s">
        <v>90</v>
      </c>
      <c r="H1144" s="12" t="s">
        <v>2500</v>
      </c>
      <c r="I1144" s="12">
        <v>58371121804</v>
      </c>
      <c r="J1144" s="12" t="s">
        <v>2501</v>
      </c>
      <c r="K1144" s="12">
        <v>1</v>
      </c>
      <c r="L1144" s="12">
        <v>100</v>
      </c>
      <c r="M1144" s="12"/>
      <c r="N1144" s="13">
        <v>2012</v>
      </c>
      <c r="O1144" s="12" t="s">
        <v>93</v>
      </c>
      <c r="P1144" s="12"/>
      <c r="Q1144" s="12"/>
      <c r="R1144" s="12" t="s">
        <v>94</v>
      </c>
      <c r="S1144" s="12">
        <v>10</v>
      </c>
      <c r="T1144" s="12" t="s">
        <v>2502</v>
      </c>
      <c r="U1144" s="12" t="s">
        <v>2503</v>
      </c>
      <c r="V1144" s="12">
        <f>VLOOKUP(Tabla4[[#This Row],[ZONA DEFINITIVO]],Hoja1!$A$1:$D$121,3,0)</f>
        <v>229960</v>
      </c>
      <c r="W1144" s="12">
        <f>VLOOKUP(Tabla4[[#This Row],[ZONA DEFINITIVO]],Hoja1!$A$1:$D$121,2,0)</f>
        <v>17469</v>
      </c>
      <c r="X1144" s="12">
        <f>VLOOKUP(Tabla4[[#This Row],[ZONA DEFINITIVO]],Hoja1!$A$1:$D$121,4,0)</f>
        <v>107925</v>
      </c>
      <c r="Y1144" s="12">
        <f>+IF(Tabla4[[#This Row],[AGRUPACIONES]]=1,SUMIFS(Tabla4[UDS],Tabla4[ZONA DEFINITIVO],Tabla4[[#This Row],[ZONA DEFINITIVO]])," ")</f>
        <v>6</v>
      </c>
      <c r="Z1144" s="12">
        <f>+IF(Tabla4[[#This Row],[AGRUPACIONES]]=1,SUMIFS(Tabla4[TOTAL COBERTURA],Tabla4[ZONA DEFINITIVO],Tabla4[[#This Row],[ZONA DEFINITIVO]])," ")</f>
        <v>510</v>
      </c>
      <c r="AA1144" s="12"/>
      <c r="AB1144" s="38">
        <v>432940200</v>
      </c>
      <c r="AC1144" s="37">
        <v>0.02</v>
      </c>
      <c r="AD1144" s="38">
        <f t="shared" si="18"/>
        <v>8658804</v>
      </c>
      <c r="AE1144" s="12"/>
      <c r="AF1144" s="12">
        <f>COUNTIF($A$20:A1144,A1144)</f>
        <v>1</v>
      </c>
      <c r="AG1144" s="38">
        <v>432940200</v>
      </c>
      <c r="AH1144" s="38">
        <f>Tabla4[[#This Row],[VALOR CONTRAPARTIDA]]+Tabla4[[#This Row],[TOTAL APORTES ICBF]]</f>
        <v>441599004</v>
      </c>
      <c r="AI1144" s="35">
        <f>ROUND(+IF(Tabla4[[#This Row],[AGRUPACIONES]]=1,SUMIFS(Tabla4[TOTAL APORTES ICBF],Tabla4[ZONA DEFINITIVO],Tabla4[[#This Row],[ZONA DEFINITIVO]])," "),0)</f>
        <v>2048776140</v>
      </c>
      <c r="AJ1144" s="38">
        <f>ROUND(+IF(Tabla4[[#This Row],[AGRUPACIONES]]=1,SUMIFS(Tabla4[VALOR CONTRAPARTIDA],Tabla4[ZONA DEFINITIVO],Tabla4[[#This Row],[ZONA DEFINITIVO]])," "),0)</f>
        <v>40975523</v>
      </c>
      <c r="AK1144" s="38">
        <f>Tabla4[[#This Row],[TOTAL APORTES ICBF AGRUPADO]]+Tabla4[[#This Row],[TOTAL CONTRAPARTIDA AGRUPADO]]</f>
        <v>2089751663</v>
      </c>
      <c r="AL1144" s="23">
        <f>Tabla4[[#This Row],[TOTAL APORTES ICBF AGRUPADO]]/$AL$18</f>
        <v>1439.2526448893573</v>
      </c>
      <c r="AM1144" s="35">
        <f>VLOOKUP(Tabla4[[#This Row],[SERVICIO 2025]],$J$2:$V$14,5,0)*Tabla4[[#This Row],[TOTAL COBERTURA]]</f>
        <v>8814300</v>
      </c>
      <c r="AN1144" s="35">
        <f>VLOOKUP(Tabla4[[#This Row],[SERVICIO 2025]],$J$2:$V$14,6,0)*Tabla4[[#This Row],[TOTAL COBERTURA]]</f>
        <v>7504300</v>
      </c>
      <c r="AO1144" s="35">
        <f>VLOOKUP(Tabla4[[#This Row],[SERVICIO 2025]],$J$2:$V$14,8,0)*Tabla4[[#This Row],[TOTAL COBERTURA]]</f>
        <v>0</v>
      </c>
      <c r="AP1144" s="35">
        <f>VLOOKUP(Tabla4[[#This Row],[SERVICIO 2025]],$J$2:$V$14,3,0)*Tabla4[[#This Row],[TOTAL COBERTURA]]*8</f>
        <v>416621600</v>
      </c>
      <c r="AQ1144" s="35"/>
      <c r="AR1144" s="35">
        <f>Tabla4[[#This Row],[VALOR FASE PREPARATORIA DE ALISTAMIENTO]]+Tabla4[[#This Row],[VALOR FASE PREPARATORIA DE CIERRE]]+Tabla4[[#This Row],[DOTACIÓN ÚNICA]]+Tabla4[[#This Row],[VALOR ATENCIÓN]]+Tabla4[[#This Row],[VALOR RACION PREPARADA]]</f>
        <v>432940200</v>
      </c>
      <c r="AS1144" s="35">
        <f>+IF(Tabla4[[#This Row],[AGRUPACIONES]]=1,SUMIFS(Tabla4[VALOR TOTAL],Tabla4[ZONA DEFINITIVO],Tabla4[[#This Row],[ZONA DEFINITIVO]])," ")</f>
        <v>2048776140</v>
      </c>
      <c r="AT1144" s="27">
        <f>(VLOOKUP(Tabla4[[#This Row],[SERVICIO 2025]],$J$2:$V$14,3,0)*Tabla4[[#This Row],[TOTAL COBERTURA]])+Tabla4[[#This Row],[VALOR FASE PREPARATORIA DE ALISTAMIENTO]]+Tabla4[[#This Row],[DOTACIÓN ÚNICA]]</f>
        <v>60892000</v>
      </c>
      <c r="AU1144" s="35">
        <f>(VLOOKUP(Tabla4[[#This Row],[SERVICIO 2025]],$J$2:$V$14,3,0)*Tabla4[[#This Row],[TOTAL COBERTURA]])</f>
        <v>52077700</v>
      </c>
      <c r="AV1144" s="35">
        <f>(VLOOKUP(Tabla4[[#This Row],[SERVICIO 2025]],$J$2:$V$14,3,0)*Tabla4[[#This Row],[TOTAL COBERTURA]])</f>
        <v>52077700</v>
      </c>
      <c r="AW1144" s="35">
        <f>(VLOOKUP(Tabla4[[#This Row],[SERVICIO 2025]],$J$2:$V$14,3,0)*Tabla4[[#This Row],[TOTAL COBERTURA]])</f>
        <v>52077700</v>
      </c>
      <c r="AX1144" s="35">
        <f>(VLOOKUP(Tabla4[[#This Row],[SERVICIO 2025]],$J$2:$V$14,3,0)*Tabla4[[#This Row],[TOTAL COBERTURA]])</f>
        <v>52077700</v>
      </c>
      <c r="AY1144" s="35">
        <f>(VLOOKUP(Tabla4[[#This Row],[SERVICIO 2025]],$J$2:$V$14,3,0)*Tabla4[[#This Row],[TOTAL COBERTURA]])</f>
        <v>52077700</v>
      </c>
      <c r="AZ1144" s="35">
        <f>(VLOOKUP(Tabla4[[#This Row],[SERVICIO 2025]],$J$2:$V$14,3,0)*Tabla4[[#This Row],[TOTAL COBERTURA]])</f>
        <v>52077700</v>
      </c>
      <c r="BA1144" s="35">
        <f>(VLOOKUP(Tabla4[[#This Row],[SERVICIO 2025]],$J$2:$V$14,3,0)*Tabla4[[#This Row],[TOTAL COBERTURA]])+Tabla4[[#This Row],[VALOR FASE PREPARATORIA DE CIERRE]]</f>
        <v>59582000</v>
      </c>
      <c r="BB1144" s="35">
        <f>SUM(Tabla4[[#This Row],[DESEMBOLSO 1]:[DESEMBOLSO 8]])</f>
        <v>432940200</v>
      </c>
      <c r="BC1144" s="35">
        <f>VLOOKUP(Tabla4[[#This Row],[SERVICIO 2025]],$J$2:$V$14,10,0)*Tabla4[[#This Row],[TOTAL COBERTURA]]*$W$3</f>
        <v>0</v>
      </c>
      <c r="BD1144" s="47" t="s">
        <v>145</v>
      </c>
      <c r="BE1144" s="12" t="b">
        <f>EXACT(Tabla4[[#This Row],[VALOR ATENCIÓN (8 MESES)]],Tabla4[[#This Row],[VALOR TOTAL]])</f>
        <v>1</v>
      </c>
      <c r="BF1144" s="23">
        <f>Tabla4[[#This Row],[VALOR ATENCIÓN (8 MESES)]]-Tabla4[[#This Row],[VALOR TOTAL]]</f>
        <v>0</v>
      </c>
      <c r="BG1144" s="12" t="b">
        <f>EXACT(Tabla4[[#This Row],[TOTAL DESEMBOLSOS]],Tabla4[[#This Row],[VALOR ATENCIÓN (8 MESES)]])</f>
        <v>1</v>
      </c>
      <c r="BH1144" s="29">
        <f>Tabla4[[#This Row],[TOTAL DESEMBOLSOS]]-Tabla4[[#This Row],[VALOR ATENCIÓN (8 MESES)]]</f>
        <v>0</v>
      </c>
      <c r="BI1144" t="s">
        <v>392</v>
      </c>
    </row>
    <row r="1145" spans="1:62">
      <c r="A1145" s="13">
        <v>2012</v>
      </c>
      <c r="B1145" s="13" t="e">
        <v>#N/A</v>
      </c>
      <c r="C1145" s="12" t="s">
        <v>87</v>
      </c>
      <c r="D1145" s="12" t="s">
        <v>462</v>
      </c>
      <c r="E1145" s="12" t="s">
        <v>2499</v>
      </c>
      <c r="F1145" s="12" t="s">
        <v>16</v>
      </c>
      <c r="G1145" s="12" t="s">
        <v>90</v>
      </c>
      <c r="H1145" s="12" t="s">
        <v>2504</v>
      </c>
      <c r="I1145" s="12">
        <v>58371126886</v>
      </c>
      <c r="J1145" s="12" t="s">
        <v>2505</v>
      </c>
      <c r="K1145" s="12">
        <v>1</v>
      </c>
      <c r="L1145" s="12">
        <v>120</v>
      </c>
      <c r="M1145" s="12"/>
      <c r="N1145" s="13">
        <v>2012</v>
      </c>
      <c r="O1145" s="12" t="s">
        <v>93</v>
      </c>
      <c r="P1145" s="12"/>
      <c r="Q1145" s="12"/>
      <c r="R1145" s="12" t="s">
        <v>94</v>
      </c>
      <c r="S1145" s="12">
        <v>10</v>
      </c>
      <c r="T1145" s="12" t="s">
        <v>2502</v>
      </c>
      <c r="U1145" s="12" t="s">
        <v>2503</v>
      </c>
      <c r="V1145" s="12">
        <f>VLOOKUP(Tabla4[[#This Row],[ZONA DEFINITIVO]],Hoja1!$A$1:$D$121,3,0)</f>
        <v>229960</v>
      </c>
      <c r="W1145" s="12">
        <f>VLOOKUP(Tabla4[[#This Row],[ZONA DEFINITIVO]],Hoja1!$A$1:$D$121,2,0)</f>
        <v>17469</v>
      </c>
      <c r="X1145" s="12">
        <f>VLOOKUP(Tabla4[[#This Row],[ZONA DEFINITIVO]],Hoja1!$A$1:$D$121,4,0)</f>
        <v>107925</v>
      </c>
      <c r="Y1145" s="12" t="str">
        <f>+IF(Tabla4[[#This Row],[AGRUPACIONES]]=1,SUMIFS(Tabla4[UDS],Tabla4[ZONA DEFINITIVO],Tabla4[[#This Row],[ZONA DEFINITIVO]])," ")</f>
        <v xml:space="preserve"> </v>
      </c>
      <c r="Z1145" s="12" t="str">
        <f>+IF(Tabla4[[#This Row],[AGRUPACIONES]]=1,SUMIFS(Tabla4[TOTAL COBERTURA],Tabla4[ZONA DEFINITIVO],Tabla4[[#This Row],[ZONA DEFINITIVO]])," ")</f>
        <v xml:space="preserve"> </v>
      </c>
      <c r="AA1145" s="12"/>
      <c r="AB1145" s="38">
        <v>459821160</v>
      </c>
      <c r="AC1145" s="37">
        <v>0.02</v>
      </c>
      <c r="AD1145" s="38">
        <f t="shared" si="18"/>
        <v>9196423.2000000011</v>
      </c>
      <c r="AE1145" s="12"/>
      <c r="AF1145" s="12">
        <f>COUNTIF($A$20:A1145,A1145)</f>
        <v>2</v>
      </c>
      <c r="AG1145" s="38">
        <v>459821160</v>
      </c>
      <c r="AH1145" s="38">
        <f>Tabla4[[#This Row],[VALOR CONTRAPARTIDA]]+Tabla4[[#This Row],[TOTAL APORTES ICBF]]</f>
        <v>469017583.19999999</v>
      </c>
      <c r="AI1145" s="35"/>
      <c r="AJ1145" s="38"/>
      <c r="AK1145" s="38"/>
      <c r="AL1145" s="23"/>
      <c r="AM1145" s="35">
        <f>VLOOKUP(Tabla4[[#This Row],[SERVICIO 2025]],$J$2:$V$14,5,0)*Tabla4[[#This Row],[TOTAL COBERTURA]]</f>
        <v>8875800</v>
      </c>
      <c r="AN1145" s="35">
        <f>VLOOKUP(Tabla4[[#This Row],[SERVICIO 2025]],$J$2:$V$14,6,0)*Tabla4[[#This Row],[TOTAL COBERTURA]]</f>
        <v>3918120</v>
      </c>
      <c r="AO1145" s="35">
        <f>VLOOKUP(Tabla4[[#This Row],[SERVICIO 2025]],$J$2:$V$14,8,0)*Tabla4[[#This Row],[TOTAL COBERTURA]]</f>
        <v>3491880</v>
      </c>
      <c r="AP1145" s="35">
        <f>VLOOKUP(Tabla4[[#This Row],[SERVICIO 2025]],$J$2:$V$14,3,0)*Tabla4[[#This Row],[TOTAL COBERTURA]]*8</f>
        <v>443535360</v>
      </c>
      <c r="AQ1145" s="35"/>
      <c r="AR1145" s="35">
        <f>Tabla4[[#This Row],[VALOR FASE PREPARATORIA DE ALISTAMIENTO]]+Tabla4[[#This Row],[VALOR FASE PREPARATORIA DE CIERRE]]+Tabla4[[#This Row],[DOTACIÓN ÚNICA]]+Tabla4[[#This Row],[VALOR ATENCIÓN]]+Tabla4[[#This Row],[VALOR RACION PREPARADA]]</f>
        <v>459821160</v>
      </c>
      <c r="AS1145" s="35" t="str">
        <f>+IF(Tabla4[[#This Row],[AGRUPACIONES]]=1,SUMIFS(Tabla4[VALOR TOTAL],Tabla4[ZONA DEFINITIVO],Tabla4[[#This Row],[ZONA DEFINITIVO]])," ")</f>
        <v xml:space="preserve"> </v>
      </c>
      <c r="AT1145" s="27">
        <f>(VLOOKUP(Tabla4[[#This Row],[SERVICIO 2025]],$J$2:$V$14,3,0)*Tabla4[[#This Row],[TOTAL COBERTURA]])+Tabla4[[#This Row],[VALOR FASE PREPARATORIA DE ALISTAMIENTO]]+Tabla4[[#This Row],[DOTACIÓN ÚNICA]]</f>
        <v>67809600</v>
      </c>
      <c r="AU1145" s="35">
        <f>(VLOOKUP(Tabla4[[#This Row],[SERVICIO 2025]],$J$2:$V$14,3,0)*Tabla4[[#This Row],[TOTAL COBERTURA]])</f>
        <v>55441920</v>
      </c>
      <c r="AV1145" s="35">
        <f>(VLOOKUP(Tabla4[[#This Row],[SERVICIO 2025]],$J$2:$V$14,3,0)*Tabla4[[#This Row],[TOTAL COBERTURA]])</f>
        <v>55441920</v>
      </c>
      <c r="AW1145" s="35">
        <f>(VLOOKUP(Tabla4[[#This Row],[SERVICIO 2025]],$J$2:$V$14,3,0)*Tabla4[[#This Row],[TOTAL COBERTURA]])</f>
        <v>55441920</v>
      </c>
      <c r="AX1145" s="35">
        <f>(VLOOKUP(Tabla4[[#This Row],[SERVICIO 2025]],$J$2:$V$14,3,0)*Tabla4[[#This Row],[TOTAL COBERTURA]])</f>
        <v>55441920</v>
      </c>
      <c r="AY1145" s="35">
        <f>(VLOOKUP(Tabla4[[#This Row],[SERVICIO 2025]],$J$2:$V$14,3,0)*Tabla4[[#This Row],[TOTAL COBERTURA]])</f>
        <v>55441920</v>
      </c>
      <c r="AZ1145" s="35">
        <f>(VLOOKUP(Tabla4[[#This Row],[SERVICIO 2025]],$J$2:$V$14,3,0)*Tabla4[[#This Row],[TOTAL COBERTURA]])</f>
        <v>55441920</v>
      </c>
      <c r="BA1145" s="35">
        <f>(VLOOKUP(Tabla4[[#This Row],[SERVICIO 2025]],$J$2:$V$14,3,0)*Tabla4[[#This Row],[TOTAL COBERTURA]])+Tabla4[[#This Row],[VALOR FASE PREPARATORIA DE CIERRE]]</f>
        <v>59360040</v>
      </c>
      <c r="BB1145" s="35">
        <f>SUM(Tabla4[[#This Row],[DESEMBOLSO 1]:[DESEMBOLSO 8]])</f>
        <v>459821160</v>
      </c>
      <c r="BC1145" s="35">
        <f>VLOOKUP(Tabla4[[#This Row],[SERVICIO 2025]],$J$2:$V$14,10,0)*Tabla4[[#This Row],[TOTAL COBERTURA]]*$W$3</f>
        <v>0</v>
      </c>
      <c r="BD1145" s="47" t="s">
        <v>145</v>
      </c>
      <c r="BE1145" s="12" t="b">
        <f>EXACT(Tabla4[[#This Row],[VALOR ATENCIÓN (8 MESES)]],Tabla4[[#This Row],[VALOR TOTAL]])</f>
        <v>1</v>
      </c>
      <c r="BF1145" s="23">
        <f>Tabla4[[#This Row],[VALOR ATENCIÓN (8 MESES)]]-Tabla4[[#This Row],[VALOR TOTAL]]</f>
        <v>0</v>
      </c>
      <c r="BG1145" s="12" t="b">
        <f>EXACT(Tabla4[[#This Row],[TOTAL DESEMBOLSOS]],Tabla4[[#This Row],[VALOR ATENCIÓN (8 MESES)]])</f>
        <v>1</v>
      </c>
      <c r="BH1145" s="29">
        <f>Tabla4[[#This Row],[TOTAL DESEMBOLSOS]]-Tabla4[[#This Row],[VALOR ATENCIÓN (8 MESES)]]</f>
        <v>0</v>
      </c>
      <c r="BI1145" t="s">
        <v>392</v>
      </c>
    </row>
    <row r="1146" spans="1:62">
      <c r="A1146" s="13">
        <v>2012</v>
      </c>
      <c r="B1146" s="13" t="e">
        <v>#N/A</v>
      </c>
      <c r="C1146" s="12" t="s">
        <v>87</v>
      </c>
      <c r="D1146" s="12" t="s">
        <v>462</v>
      </c>
      <c r="E1146" s="12" t="s">
        <v>2499</v>
      </c>
      <c r="F1146" s="12" t="s">
        <v>16</v>
      </c>
      <c r="G1146" s="12" t="s">
        <v>90</v>
      </c>
      <c r="H1146" s="12" t="s">
        <v>2506</v>
      </c>
      <c r="I1146" s="12">
        <v>58371126888</v>
      </c>
      <c r="J1146" s="12" t="s">
        <v>2507</v>
      </c>
      <c r="K1146" s="12">
        <v>1</v>
      </c>
      <c r="L1146" s="12">
        <v>60</v>
      </c>
      <c r="M1146" s="12"/>
      <c r="N1146" s="13">
        <v>2012</v>
      </c>
      <c r="O1146" s="12" t="s">
        <v>93</v>
      </c>
      <c r="P1146" s="12"/>
      <c r="Q1146" s="12"/>
      <c r="R1146" s="12" t="s">
        <v>94</v>
      </c>
      <c r="S1146" s="12">
        <v>10</v>
      </c>
      <c r="T1146" s="12">
        <v>800068367</v>
      </c>
      <c r="U1146" s="12" t="s">
        <v>2503</v>
      </c>
      <c r="V1146" s="12">
        <f>VLOOKUP(Tabla4[[#This Row],[ZONA DEFINITIVO]],Hoja1!$A$1:$D$121,3,0)</f>
        <v>229960</v>
      </c>
      <c r="W1146" s="12">
        <f>VLOOKUP(Tabla4[[#This Row],[ZONA DEFINITIVO]],Hoja1!$A$1:$D$121,2,0)</f>
        <v>17469</v>
      </c>
      <c r="X1146" s="12">
        <f>VLOOKUP(Tabla4[[#This Row],[ZONA DEFINITIVO]],Hoja1!$A$1:$D$121,4,0)</f>
        <v>107925</v>
      </c>
      <c r="Y1146" s="12" t="str">
        <f>+IF(Tabla4[[#This Row],[AGRUPACIONES]]=1,SUMIFS(Tabla4[UDS],Tabla4[ZONA DEFINITIVO],Tabla4[[#This Row],[ZONA DEFINITIVO]])," ")</f>
        <v xml:space="preserve"> </v>
      </c>
      <c r="Z1146" s="12" t="str">
        <f>+IF(Tabla4[[#This Row],[AGRUPACIONES]]=1,SUMIFS(Tabla4[TOTAL COBERTURA],Tabla4[ZONA DEFINITIVO],Tabla4[[#This Row],[ZONA DEFINITIVO]])," ")</f>
        <v xml:space="preserve"> </v>
      </c>
      <c r="AA1146" s="12"/>
      <c r="AB1146" s="38">
        <v>229910580</v>
      </c>
      <c r="AC1146" s="37">
        <v>0.02</v>
      </c>
      <c r="AD1146" s="38">
        <f t="shared" si="18"/>
        <v>4598211.6000000006</v>
      </c>
      <c r="AE1146" s="12"/>
      <c r="AF1146" s="12">
        <f>COUNTIF($A$20:A1146,A1146)</f>
        <v>3</v>
      </c>
      <c r="AG1146" s="38">
        <v>229910580</v>
      </c>
      <c r="AH1146" s="38">
        <f>Tabla4[[#This Row],[VALOR CONTRAPARTIDA]]+Tabla4[[#This Row],[TOTAL APORTES ICBF]]</f>
        <v>234508791.59999999</v>
      </c>
      <c r="AI1146" s="35"/>
      <c r="AJ1146" s="38"/>
      <c r="AK1146" s="38"/>
      <c r="AL1146" s="23"/>
      <c r="AM1146" s="35">
        <f>VLOOKUP(Tabla4[[#This Row],[SERVICIO 2025]],$J$2:$V$14,5,0)*Tabla4[[#This Row],[TOTAL COBERTURA]]</f>
        <v>4437900</v>
      </c>
      <c r="AN1146" s="35">
        <f>VLOOKUP(Tabla4[[#This Row],[SERVICIO 2025]],$J$2:$V$14,6,0)*Tabla4[[#This Row],[TOTAL COBERTURA]]</f>
        <v>1959060</v>
      </c>
      <c r="AO1146" s="35">
        <f>VLOOKUP(Tabla4[[#This Row],[SERVICIO 2025]],$J$2:$V$14,8,0)*Tabla4[[#This Row],[TOTAL COBERTURA]]</f>
        <v>1745940</v>
      </c>
      <c r="AP1146" s="35">
        <f>VLOOKUP(Tabla4[[#This Row],[SERVICIO 2025]],$J$2:$V$14,3,0)*Tabla4[[#This Row],[TOTAL COBERTURA]]*8</f>
        <v>221767680</v>
      </c>
      <c r="AQ1146" s="35"/>
      <c r="AR1146" s="35">
        <f>Tabla4[[#This Row],[VALOR FASE PREPARATORIA DE ALISTAMIENTO]]+Tabla4[[#This Row],[VALOR FASE PREPARATORIA DE CIERRE]]+Tabla4[[#This Row],[DOTACIÓN ÚNICA]]+Tabla4[[#This Row],[VALOR ATENCIÓN]]+Tabla4[[#This Row],[VALOR RACION PREPARADA]]</f>
        <v>229910580</v>
      </c>
      <c r="AS1146" s="35" t="str">
        <f>+IF(Tabla4[[#This Row],[AGRUPACIONES]]=1,SUMIFS(Tabla4[VALOR TOTAL],Tabla4[ZONA DEFINITIVO],Tabla4[[#This Row],[ZONA DEFINITIVO]])," ")</f>
        <v xml:space="preserve"> </v>
      </c>
      <c r="AT1146" s="27">
        <f>(VLOOKUP(Tabla4[[#This Row],[SERVICIO 2025]],$J$2:$V$14,3,0)*Tabla4[[#This Row],[TOTAL COBERTURA]])+Tabla4[[#This Row],[VALOR FASE PREPARATORIA DE ALISTAMIENTO]]+Tabla4[[#This Row],[DOTACIÓN ÚNICA]]</f>
        <v>33904800</v>
      </c>
      <c r="AU1146" s="35">
        <f>(VLOOKUP(Tabla4[[#This Row],[SERVICIO 2025]],$J$2:$V$14,3,0)*Tabla4[[#This Row],[TOTAL COBERTURA]])</f>
        <v>27720960</v>
      </c>
      <c r="AV1146" s="35">
        <f>(VLOOKUP(Tabla4[[#This Row],[SERVICIO 2025]],$J$2:$V$14,3,0)*Tabla4[[#This Row],[TOTAL COBERTURA]])</f>
        <v>27720960</v>
      </c>
      <c r="AW1146" s="35">
        <f>(VLOOKUP(Tabla4[[#This Row],[SERVICIO 2025]],$J$2:$V$14,3,0)*Tabla4[[#This Row],[TOTAL COBERTURA]])</f>
        <v>27720960</v>
      </c>
      <c r="AX1146" s="35">
        <f>(VLOOKUP(Tabla4[[#This Row],[SERVICIO 2025]],$J$2:$V$14,3,0)*Tabla4[[#This Row],[TOTAL COBERTURA]])</f>
        <v>27720960</v>
      </c>
      <c r="AY1146" s="35">
        <f>(VLOOKUP(Tabla4[[#This Row],[SERVICIO 2025]],$J$2:$V$14,3,0)*Tabla4[[#This Row],[TOTAL COBERTURA]])</f>
        <v>27720960</v>
      </c>
      <c r="AZ1146" s="35">
        <f>(VLOOKUP(Tabla4[[#This Row],[SERVICIO 2025]],$J$2:$V$14,3,0)*Tabla4[[#This Row],[TOTAL COBERTURA]])</f>
        <v>27720960</v>
      </c>
      <c r="BA1146" s="35">
        <f>(VLOOKUP(Tabla4[[#This Row],[SERVICIO 2025]],$J$2:$V$14,3,0)*Tabla4[[#This Row],[TOTAL COBERTURA]])+Tabla4[[#This Row],[VALOR FASE PREPARATORIA DE CIERRE]]</f>
        <v>29680020</v>
      </c>
      <c r="BB1146" s="35">
        <f>SUM(Tabla4[[#This Row],[DESEMBOLSO 1]:[DESEMBOLSO 8]])</f>
        <v>229910580</v>
      </c>
      <c r="BC1146" s="35">
        <f>VLOOKUP(Tabla4[[#This Row],[SERVICIO 2025]],$J$2:$V$14,10,0)*Tabla4[[#This Row],[TOTAL COBERTURA]]*$W$3</f>
        <v>0</v>
      </c>
      <c r="BD1146" s="47" t="s">
        <v>145</v>
      </c>
      <c r="BE1146" s="12" t="b">
        <f>EXACT(Tabla4[[#This Row],[VALOR ATENCIÓN (8 MESES)]],Tabla4[[#This Row],[VALOR TOTAL]])</f>
        <v>1</v>
      </c>
      <c r="BF1146" s="23">
        <f>Tabla4[[#This Row],[VALOR ATENCIÓN (8 MESES)]]-Tabla4[[#This Row],[VALOR TOTAL]]</f>
        <v>0</v>
      </c>
      <c r="BG1146" s="12" t="b">
        <f>EXACT(Tabla4[[#This Row],[TOTAL DESEMBOLSOS]],Tabla4[[#This Row],[VALOR ATENCIÓN (8 MESES)]])</f>
        <v>1</v>
      </c>
      <c r="BH1146" s="29">
        <f>Tabla4[[#This Row],[TOTAL DESEMBOLSOS]]-Tabla4[[#This Row],[VALOR ATENCIÓN (8 MESES)]]</f>
        <v>0</v>
      </c>
      <c r="BI1146" t="s">
        <v>392</v>
      </c>
    </row>
    <row r="1147" spans="1:62">
      <c r="A1147" s="13">
        <v>2012</v>
      </c>
      <c r="B1147" s="13" t="e">
        <v>#N/A</v>
      </c>
      <c r="C1147" s="12" t="s">
        <v>87</v>
      </c>
      <c r="D1147" s="12" t="s">
        <v>462</v>
      </c>
      <c r="E1147" s="12" t="s">
        <v>2499</v>
      </c>
      <c r="F1147" s="12" t="s">
        <v>16</v>
      </c>
      <c r="G1147" s="12" t="s">
        <v>90</v>
      </c>
      <c r="H1147" s="12" t="s">
        <v>2508</v>
      </c>
      <c r="I1147" s="12">
        <v>58371150101</v>
      </c>
      <c r="J1147" s="12" t="s">
        <v>2509</v>
      </c>
      <c r="K1147" s="12">
        <v>1</v>
      </c>
      <c r="L1147" s="12">
        <v>70</v>
      </c>
      <c r="M1147" s="12"/>
      <c r="N1147" s="13">
        <v>2012</v>
      </c>
      <c r="O1147" s="12" t="s">
        <v>93</v>
      </c>
      <c r="P1147" s="12"/>
      <c r="Q1147" s="12"/>
      <c r="R1147" s="12" t="s">
        <v>94</v>
      </c>
      <c r="S1147" s="12">
        <v>10</v>
      </c>
      <c r="T1147" s="12" t="s">
        <v>2502</v>
      </c>
      <c r="U1147" s="12" t="s">
        <v>2503</v>
      </c>
      <c r="V1147" s="12">
        <f>VLOOKUP(Tabla4[[#This Row],[ZONA DEFINITIVO]],Hoja1!$A$1:$D$121,3,0)</f>
        <v>229960</v>
      </c>
      <c r="W1147" s="12">
        <f>VLOOKUP(Tabla4[[#This Row],[ZONA DEFINITIVO]],Hoja1!$A$1:$D$121,2,0)</f>
        <v>17469</v>
      </c>
      <c r="X1147" s="12">
        <f>VLOOKUP(Tabla4[[#This Row],[ZONA DEFINITIVO]],Hoja1!$A$1:$D$121,4,0)</f>
        <v>107925</v>
      </c>
      <c r="Y1147" s="12" t="str">
        <f>+IF(Tabla4[[#This Row],[AGRUPACIONES]]=1,SUMIFS(Tabla4[UDS],Tabla4[ZONA DEFINITIVO],Tabla4[[#This Row],[ZONA DEFINITIVO]])," ")</f>
        <v xml:space="preserve"> </v>
      </c>
      <c r="Z1147" s="12" t="str">
        <f>+IF(Tabla4[[#This Row],[AGRUPACIONES]]=1,SUMIFS(Tabla4[TOTAL COBERTURA],Tabla4[ZONA DEFINITIVO],Tabla4[[#This Row],[ZONA DEFINITIVO]])," ")</f>
        <v xml:space="preserve"> </v>
      </c>
      <c r="AA1147" s="12"/>
      <c r="AB1147" s="38">
        <v>268229010</v>
      </c>
      <c r="AC1147" s="37">
        <v>0.02</v>
      </c>
      <c r="AD1147" s="38">
        <f t="shared" si="18"/>
        <v>5364580.2</v>
      </c>
      <c r="AE1147" s="12"/>
      <c r="AF1147" s="12">
        <f>COUNTIF($A$20:A1147,A1147)</f>
        <v>4</v>
      </c>
      <c r="AG1147" s="38">
        <v>268229010</v>
      </c>
      <c r="AH1147" s="38">
        <f>Tabla4[[#This Row],[VALOR CONTRAPARTIDA]]+Tabla4[[#This Row],[TOTAL APORTES ICBF]]</f>
        <v>273593590.19999999</v>
      </c>
      <c r="AI1147" s="35"/>
      <c r="AJ1147" s="38"/>
      <c r="AK1147" s="38"/>
      <c r="AL1147" s="23"/>
      <c r="AM1147" s="35">
        <f>VLOOKUP(Tabla4[[#This Row],[SERVICIO 2025]],$J$2:$V$14,5,0)*Tabla4[[#This Row],[TOTAL COBERTURA]]</f>
        <v>5177550</v>
      </c>
      <c r="AN1147" s="35">
        <f>VLOOKUP(Tabla4[[#This Row],[SERVICIO 2025]],$J$2:$V$14,6,0)*Tabla4[[#This Row],[TOTAL COBERTURA]]</f>
        <v>2285570</v>
      </c>
      <c r="AO1147" s="35">
        <f>VLOOKUP(Tabla4[[#This Row],[SERVICIO 2025]],$J$2:$V$14,8,0)*Tabla4[[#This Row],[TOTAL COBERTURA]]</f>
        <v>2036930</v>
      </c>
      <c r="AP1147" s="35">
        <f>VLOOKUP(Tabla4[[#This Row],[SERVICIO 2025]],$J$2:$V$14,3,0)*Tabla4[[#This Row],[TOTAL COBERTURA]]*8</f>
        <v>258728960</v>
      </c>
      <c r="AQ1147" s="35"/>
      <c r="AR1147" s="35">
        <f>Tabla4[[#This Row],[VALOR FASE PREPARATORIA DE ALISTAMIENTO]]+Tabla4[[#This Row],[VALOR FASE PREPARATORIA DE CIERRE]]+Tabla4[[#This Row],[DOTACIÓN ÚNICA]]+Tabla4[[#This Row],[VALOR ATENCIÓN]]+Tabla4[[#This Row],[VALOR RACION PREPARADA]]</f>
        <v>268229010</v>
      </c>
      <c r="AS1147" s="35" t="str">
        <f>+IF(Tabla4[[#This Row],[AGRUPACIONES]]=1,SUMIFS(Tabla4[VALOR TOTAL],Tabla4[ZONA DEFINITIVO],Tabla4[[#This Row],[ZONA DEFINITIVO]])," ")</f>
        <v xml:space="preserve"> </v>
      </c>
      <c r="AT1147" s="27">
        <f>(VLOOKUP(Tabla4[[#This Row],[SERVICIO 2025]],$J$2:$V$14,3,0)*Tabla4[[#This Row],[TOTAL COBERTURA]])+Tabla4[[#This Row],[VALOR FASE PREPARATORIA DE ALISTAMIENTO]]+Tabla4[[#This Row],[DOTACIÓN ÚNICA]]</f>
        <v>39555600</v>
      </c>
      <c r="AU1147" s="35">
        <f>(VLOOKUP(Tabla4[[#This Row],[SERVICIO 2025]],$J$2:$V$14,3,0)*Tabla4[[#This Row],[TOTAL COBERTURA]])</f>
        <v>32341120</v>
      </c>
      <c r="AV1147" s="35">
        <f>(VLOOKUP(Tabla4[[#This Row],[SERVICIO 2025]],$J$2:$V$14,3,0)*Tabla4[[#This Row],[TOTAL COBERTURA]])</f>
        <v>32341120</v>
      </c>
      <c r="AW1147" s="35">
        <f>(VLOOKUP(Tabla4[[#This Row],[SERVICIO 2025]],$J$2:$V$14,3,0)*Tabla4[[#This Row],[TOTAL COBERTURA]])</f>
        <v>32341120</v>
      </c>
      <c r="AX1147" s="35">
        <f>(VLOOKUP(Tabla4[[#This Row],[SERVICIO 2025]],$J$2:$V$14,3,0)*Tabla4[[#This Row],[TOTAL COBERTURA]])</f>
        <v>32341120</v>
      </c>
      <c r="AY1147" s="35">
        <f>(VLOOKUP(Tabla4[[#This Row],[SERVICIO 2025]],$J$2:$V$14,3,0)*Tabla4[[#This Row],[TOTAL COBERTURA]])</f>
        <v>32341120</v>
      </c>
      <c r="AZ1147" s="35">
        <f>(VLOOKUP(Tabla4[[#This Row],[SERVICIO 2025]],$J$2:$V$14,3,0)*Tabla4[[#This Row],[TOTAL COBERTURA]])</f>
        <v>32341120</v>
      </c>
      <c r="BA1147" s="35">
        <f>(VLOOKUP(Tabla4[[#This Row],[SERVICIO 2025]],$J$2:$V$14,3,0)*Tabla4[[#This Row],[TOTAL COBERTURA]])+Tabla4[[#This Row],[VALOR FASE PREPARATORIA DE CIERRE]]</f>
        <v>34626690</v>
      </c>
      <c r="BB1147" s="35">
        <f>SUM(Tabla4[[#This Row],[DESEMBOLSO 1]:[DESEMBOLSO 8]])</f>
        <v>268229010</v>
      </c>
      <c r="BC1147" s="35">
        <f>VLOOKUP(Tabla4[[#This Row],[SERVICIO 2025]],$J$2:$V$14,10,0)*Tabla4[[#This Row],[TOTAL COBERTURA]]*$W$3</f>
        <v>0</v>
      </c>
      <c r="BD1147" s="47" t="s">
        <v>145</v>
      </c>
      <c r="BE1147" s="12" t="b">
        <f>EXACT(Tabla4[[#This Row],[VALOR ATENCIÓN (8 MESES)]],Tabla4[[#This Row],[VALOR TOTAL]])</f>
        <v>1</v>
      </c>
      <c r="BF1147" s="23">
        <f>Tabla4[[#This Row],[VALOR ATENCIÓN (8 MESES)]]-Tabla4[[#This Row],[VALOR TOTAL]]</f>
        <v>0</v>
      </c>
      <c r="BG1147" s="12" t="b">
        <f>EXACT(Tabla4[[#This Row],[TOTAL DESEMBOLSOS]],Tabla4[[#This Row],[VALOR ATENCIÓN (8 MESES)]])</f>
        <v>1</v>
      </c>
      <c r="BH1147" s="29">
        <f>Tabla4[[#This Row],[TOTAL DESEMBOLSOS]]-Tabla4[[#This Row],[VALOR ATENCIÓN (8 MESES)]]</f>
        <v>0</v>
      </c>
      <c r="BI1147" t="s">
        <v>392</v>
      </c>
    </row>
    <row r="1148" spans="1:62">
      <c r="A1148" s="13">
        <v>2012</v>
      </c>
      <c r="B1148" s="13" t="e">
        <v>#N/A</v>
      </c>
      <c r="C1148" s="12" t="s">
        <v>87</v>
      </c>
      <c r="D1148" s="12" t="s">
        <v>462</v>
      </c>
      <c r="E1148" s="12" t="s">
        <v>2499</v>
      </c>
      <c r="F1148" s="12" t="s">
        <v>16</v>
      </c>
      <c r="G1148" s="12" t="s">
        <v>90</v>
      </c>
      <c r="H1148" s="12" t="s">
        <v>2510</v>
      </c>
      <c r="I1148" s="12">
        <v>58371150102</v>
      </c>
      <c r="J1148" s="12" t="s">
        <v>2511</v>
      </c>
      <c r="K1148" s="12">
        <v>1</v>
      </c>
      <c r="L1148" s="12">
        <v>70</v>
      </c>
      <c r="M1148" s="12"/>
      <c r="N1148" s="13">
        <v>2012</v>
      </c>
      <c r="O1148" s="12" t="s">
        <v>93</v>
      </c>
      <c r="P1148" s="12"/>
      <c r="Q1148" s="12"/>
      <c r="R1148" s="12" t="s">
        <v>94</v>
      </c>
      <c r="S1148" s="12">
        <v>10</v>
      </c>
      <c r="T1148" s="12" t="s">
        <v>2502</v>
      </c>
      <c r="U1148" s="12" t="s">
        <v>2503</v>
      </c>
      <c r="V1148" s="12">
        <f>VLOOKUP(Tabla4[[#This Row],[ZONA DEFINITIVO]],Hoja1!$A$1:$D$121,3,0)</f>
        <v>229960</v>
      </c>
      <c r="W1148" s="12">
        <f>VLOOKUP(Tabla4[[#This Row],[ZONA DEFINITIVO]],Hoja1!$A$1:$D$121,2,0)</f>
        <v>17469</v>
      </c>
      <c r="X1148" s="12">
        <f>VLOOKUP(Tabla4[[#This Row],[ZONA DEFINITIVO]],Hoja1!$A$1:$D$121,4,0)</f>
        <v>107925</v>
      </c>
      <c r="Y1148" s="12" t="str">
        <f>+IF(Tabla4[[#This Row],[AGRUPACIONES]]=1,SUMIFS(Tabla4[UDS],Tabla4[ZONA DEFINITIVO],Tabla4[[#This Row],[ZONA DEFINITIVO]])," ")</f>
        <v xml:space="preserve"> </v>
      </c>
      <c r="Z1148" s="12" t="str">
        <f>+IF(Tabla4[[#This Row],[AGRUPACIONES]]=1,SUMIFS(Tabla4[TOTAL COBERTURA],Tabla4[ZONA DEFINITIVO],Tabla4[[#This Row],[ZONA DEFINITIVO]])," ")</f>
        <v xml:space="preserve"> </v>
      </c>
      <c r="AA1148" s="12"/>
      <c r="AB1148" s="38">
        <v>268229010</v>
      </c>
      <c r="AC1148" s="37">
        <v>0.02</v>
      </c>
      <c r="AD1148" s="38">
        <f t="shared" si="18"/>
        <v>5364580.2</v>
      </c>
      <c r="AE1148" s="12"/>
      <c r="AF1148" s="12">
        <f>COUNTIF($A$20:A1148,A1148)</f>
        <v>5</v>
      </c>
      <c r="AG1148" s="38">
        <v>268229010</v>
      </c>
      <c r="AH1148" s="38">
        <f>Tabla4[[#This Row],[VALOR CONTRAPARTIDA]]+Tabla4[[#This Row],[TOTAL APORTES ICBF]]</f>
        <v>273593590.19999999</v>
      </c>
      <c r="AI1148" s="35"/>
      <c r="AJ1148" s="38"/>
      <c r="AK1148" s="38"/>
      <c r="AL1148" s="23"/>
      <c r="AM1148" s="35">
        <f>VLOOKUP(Tabla4[[#This Row],[SERVICIO 2025]],$J$2:$V$14,5,0)*Tabla4[[#This Row],[TOTAL COBERTURA]]</f>
        <v>5177550</v>
      </c>
      <c r="AN1148" s="35">
        <f>VLOOKUP(Tabla4[[#This Row],[SERVICIO 2025]],$J$2:$V$14,6,0)*Tabla4[[#This Row],[TOTAL COBERTURA]]</f>
        <v>2285570</v>
      </c>
      <c r="AO1148" s="35">
        <f>VLOOKUP(Tabla4[[#This Row],[SERVICIO 2025]],$J$2:$V$14,8,0)*Tabla4[[#This Row],[TOTAL COBERTURA]]</f>
        <v>2036930</v>
      </c>
      <c r="AP1148" s="35">
        <f>VLOOKUP(Tabla4[[#This Row],[SERVICIO 2025]],$J$2:$V$14,3,0)*Tabla4[[#This Row],[TOTAL COBERTURA]]*8</f>
        <v>258728960</v>
      </c>
      <c r="AQ1148" s="35"/>
      <c r="AR1148" s="35">
        <f>Tabla4[[#This Row],[VALOR FASE PREPARATORIA DE ALISTAMIENTO]]+Tabla4[[#This Row],[VALOR FASE PREPARATORIA DE CIERRE]]+Tabla4[[#This Row],[DOTACIÓN ÚNICA]]+Tabla4[[#This Row],[VALOR ATENCIÓN]]+Tabla4[[#This Row],[VALOR RACION PREPARADA]]</f>
        <v>268229010</v>
      </c>
      <c r="AS1148" s="35" t="str">
        <f>+IF(Tabla4[[#This Row],[AGRUPACIONES]]=1,SUMIFS(Tabla4[VALOR TOTAL],Tabla4[ZONA DEFINITIVO],Tabla4[[#This Row],[ZONA DEFINITIVO]])," ")</f>
        <v xml:space="preserve"> </v>
      </c>
      <c r="AT1148" s="27">
        <f>(VLOOKUP(Tabla4[[#This Row],[SERVICIO 2025]],$J$2:$V$14,3,0)*Tabla4[[#This Row],[TOTAL COBERTURA]])+Tabla4[[#This Row],[VALOR FASE PREPARATORIA DE ALISTAMIENTO]]+Tabla4[[#This Row],[DOTACIÓN ÚNICA]]</f>
        <v>39555600</v>
      </c>
      <c r="AU1148" s="35">
        <f>(VLOOKUP(Tabla4[[#This Row],[SERVICIO 2025]],$J$2:$V$14,3,0)*Tabla4[[#This Row],[TOTAL COBERTURA]])</f>
        <v>32341120</v>
      </c>
      <c r="AV1148" s="35">
        <f>(VLOOKUP(Tabla4[[#This Row],[SERVICIO 2025]],$J$2:$V$14,3,0)*Tabla4[[#This Row],[TOTAL COBERTURA]])</f>
        <v>32341120</v>
      </c>
      <c r="AW1148" s="35">
        <f>(VLOOKUP(Tabla4[[#This Row],[SERVICIO 2025]],$J$2:$V$14,3,0)*Tabla4[[#This Row],[TOTAL COBERTURA]])</f>
        <v>32341120</v>
      </c>
      <c r="AX1148" s="35">
        <f>(VLOOKUP(Tabla4[[#This Row],[SERVICIO 2025]],$J$2:$V$14,3,0)*Tabla4[[#This Row],[TOTAL COBERTURA]])</f>
        <v>32341120</v>
      </c>
      <c r="AY1148" s="35">
        <f>(VLOOKUP(Tabla4[[#This Row],[SERVICIO 2025]],$J$2:$V$14,3,0)*Tabla4[[#This Row],[TOTAL COBERTURA]])</f>
        <v>32341120</v>
      </c>
      <c r="AZ1148" s="35">
        <f>(VLOOKUP(Tabla4[[#This Row],[SERVICIO 2025]],$J$2:$V$14,3,0)*Tabla4[[#This Row],[TOTAL COBERTURA]])</f>
        <v>32341120</v>
      </c>
      <c r="BA1148" s="35">
        <f>(VLOOKUP(Tabla4[[#This Row],[SERVICIO 2025]],$J$2:$V$14,3,0)*Tabla4[[#This Row],[TOTAL COBERTURA]])+Tabla4[[#This Row],[VALOR FASE PREPARATORIA DE CIERRE]]</f>
        <v>34626690</v>
      </c>
      <c r="BB1148" s="35">
        <f>SUM(Tabla4[[#This Row],[DESEMBOLSO 1]:[DESEMBOLSO 8]])</f>
        <v>268229010</v>
      </c>
      <c r="BC1148" s="35">
        <f>VLOOKUP(Tabla4[[#This Row],[SERVICIO 2025]],$J$2:$V$14,10,0)*Tabla4[[#This Row],[TOTAL COBERTURA]]*$W$3</f>
        <v>0</v>
      </c>
      <c r="BD1148" s="47" t="s">
        <v>145</v>
      </c>
      <c r="BE1148" s="12" t="b">
        <f>EXACT(Tabla4[[#This Row],[VALOR ATENCIÓN (8 MESES)]],Tabla4[[#This Row],[VALOR TOTAL]])</f>
        <v>1</v>
      </c>
      <c r="BF1148" s="23">
        <f>Tabla4[[#This Row],[VALOR ATENCIÓN (8 MESES)]]-Tabla4[[#This Row],[VALOR TOTAL]]</f>
        <v>0</v>
      </c>
      <c r="BG1148" s="12" t="b">
        <f>EXACT(Tabla4[[#This Row],[TOTAL DESEMBOLSOS]],Tabla4[[#This Row],[VALOR ATENCIÓN (8 MESES)]])</f>
        <v>1</v>
      </c>
      <c r="BH1148" s="29">
        <f>Tabla4[[#This Row],[TOTAL DESEMBOLSOS]]-Tabla4[[#This Row],[VALOR ATENCIÓN (8 MESES)]]</f>
        <v>0</v>
      </c>
      <c r="BI1148" t="s">
        <v>392</v>
      </c>
    </row>
    <row r="1149" spans="1:62">
      <c r="A1149" s="13">
        <v>2012</v>
      </c>
      <c r="B1149" s="13" t="e">
        <v>#N/A</v>
      </c>
      <c r="C1149" s="12" t="s">
        <v>87</v>
      </c>
      <c r="D1149" s="12" t="s">
        <v>462</v>
      </c>
      <c r="E1149" s="12" t="s">
        <v>2499</v>
      </c>
      <c r="F1149" s="12" t="s">
        <v>15</v>
      </c>
      <c r="G1149" s="12" t="s">
        <v>90</v>
      </c>
      <c r="H1149" s="12" t="s">
        <v>2512</v>
      </c>
      <c r="I1149" s="12">
        <v>583700087298</v>
      </c>
      <c r="J1149" s="12" t="s">
        <v>2513</v>
      </c>
      <c r="K1149" s="12">
        <v>1</v>
      </c>
      <c r="L1149" s="12">
        <v>90</v>
      </c>
      <c r="M1149" s="12"/>
      <c r="N1149" s="13">
        <v>2012</v>
      </c>
      <c r="O1149" s="12" t="s">
        <v>93</v>
      </c>
      <c r="P1149" s="12"/>
      <c r="Q1149" s="12"/>
      <c r="R1149" s="12" t="s">
        <v>94</v>
      </c>
      <c r="S1149" s="12">
        <v>10</v>
      </c>
      <c r="T1149" s="12" t="s">
        <v>2502</v>
      </c>
      <c r="U1149" s="12" t="s">
        <v>2503</v>
      </c>
      <c r="V1149" s="12">
        <f>VLOOKUP(Tabla4[[#This Row],[ZONA DEFINITIVO]],Hoja1!$A$1:$D$121,3,0)</f>
        <v>229960</v>
      </c>
      <c r="W1149" s="12">
        <f>VLOOKUP(Tabla4[[#This Row],[ZONA DEFINITIVO]],Hoja1!$A$1:$D$121,2,0)</f>
        <v>17469</v>
      </c>
      <c r="X1149" s="12">
        <f>VLOOKUP(Tabla4[[#This Row],[ZONA DEFINITIVO]],Hoja1!$A$1:$D$121,4,0)</f>
        <v>107925</v>
      </c>
      <c r="Y1149" s="12" t="str">
        <f>+IF(Tabla4[[#This Row],[AGRUPACIONES]]=1,SUMIFS(Tabla4[UDS],Tabla4[ZONA DEFINITIVO],Tabla4[[#This Row],[ZONA DEFINITIVO]])," ")</f>
        <v xml:space="preserve"> </v>
      </c>
      <c r="Z1149" s="12" t="str">
        <f>+IF(Tabla4[[#This Row],[AGRUPACIONES]]=1,SUMIFS(Tabla4[TOTAL COBERTURA],Tabla4[ZONA DEFINITIVO],Tabla4[[#This Row],[ZONA DEFINITIVO]])," ")</f>
        <v xml:space="preserve"> </v>
      </c>
      <c r="AA1149" s="12"/>
      <c r="AB1149" s="38">
        <v>389646180</v>
      </c>
      <c r="AC1149" s="37">
        <v>0.02</v>
      </c>
      <c r="AD1149" s="38">
        <f t="shared" si="18"/>
        <v>7792923.6000000006</v>
      </c>
      <c r="AE1149" s="12"/>
      <c r="AF1149" s="12">
        <f>COUNTIF($A$20:A1149,A1149)</f>
        <v>6</v>
      </c>
      <c r="AG1149" s="38">
        <v>389646180</v>
      </c>
      <c r="AH1149" s="38">
        <f>Tabla4[[#This Row],[VALOR CONTRAPARTIDA]]+Tabla4[[#This Row],[TOTAL APORTES ICBF]]</f>
        <v>397439103.60000002</v>
      </c>
      <c r="AI1149" s="35"/>
      <c r="AJ1149" s="38"/>
      <c r="AK1149" s="38"/>
      <c r="AL1149" s="23"/>
      <c r="AM1149" s="35">
        <f>VLOOKUP(Tabla4[[#This Row],[SERVICIO 2025]],$J$2:$V$14,5,0)*Tabla4[[#This Row],[TOTAL COBERTURA]]</f>
        <v>7932870</v>
      </c>
      <c r="AN1149" s="35">
        <f>VLOOKUP(Tabla4[[#This Row],[SERVICIO 2025]],$J$2:$V$14,6,0)*Tabla4[[#This Row],[TOTAL COBERTURA]]</f>
        <v>6753870</v>
      </c>
      <c r="AO1149" s="35">
        <f>VLOOKUP(Tabla4[[#This Row],[SERVICIO 2025]],$J$2:$V$14,8,0)*Tabla4[[#This Row],[TOTAL COBERTURA]]</f>
        <v>0</v>
      </c>
      <c r="AP1149" s="35">
        <f>VLOOKUP(Tabla4[[#This Row],[SERVICIO 2025]],$J$2:$V$14,3,0)*Tabla4[[#This Row],[TOTAL COBERTURA]]*8</f>
        <v>374959440</v>
      </c>
      <c r="AQ1149" s="35"/>
      <c r="AR1149" s="35">
        <f>Tabla4[[#This Row],[VALOR FASE PREPARATORIA DE ALISTAMIENTO]]+Tabla4[[#This Row],[VALOR FASE PREPARATORIA DE CIERRE]]+Tabla4[[#This Row],[DOTACIÓN ÚNICA]]+Tabla4[[#This Row],[VALOR ATENCIÓN]]+Tabla4[[#This Row],[VALOR RACION PREPARADA]]</f>
        <v>389646180</v>
      </c>
      <c r="AS1149" s="35" t="str">
        <f>+IF(Tabla4[[#This Row],[AGRUPACIONES]]=1,SUMIFS(Tabla4[VALOR TOTAL],Tabla4[ZONA DEFINITIVO],Tabla4[[#This Row],[ZONA DEFINITIVO]])," ")</f>
        <v xml:space="preserve"> </v>
      </c>
      <c r="AT1149" s="27">
        <f>(VLOOKUP(Tabla4[[#This Row],[SERVICIO 2025]],$J$2:$V$14,3,0)*Tabla4[[#This Row],[TOTAL COBERTURA]])+Tabla4[[#This Row],[VALOR FASE PREPARATORIA DE ALISTAMIENTO]]+Tabla4[[#This Row],[DOTACIÓN ÚNICA]]</f>
        <v>54802800</v>
      </c>
      <c r="AU1149" s="35">
        <f>(VLOOKUP(Tabla4[[#This Row],[SERVICIO 2025]],$J$2:$V$14,3,0)*Tabla4[[#This Row],[TOTAL COBERTURA]])</f>
        <v>46869930</v>
      </c>
      <c r="AV1149" s="35">
        <f>(VLOOKUP(Tabla4[[#This Row],[SERVICIO 2025]],$J$2:$V$14,3,0)*Tabla4[[#This Row],[TOTAL COBERTURA]])</f>
        <v>46869930</v>
      </c>
      <c r="AW1149" s="35">
        <f>(VLOOKUP(Tabla4[[#This Row],[SERVICIO 2025]],$J$2:$V$14,3,0)*Tabla4[[#This Row],[TOTAL COBERTURA]])</f>
        <v>46869930</v>
      </c>
      <c r="AX1149" s="35">
        <f>(VLOOKUP(Tabla4[[#This Row],[SERVICIO 2025]],$J$2:$V$14,3,0)*Tabla4[[#This Row],[TOTAL COBERTURA]])</f>
        <v>46869930</v>
      </c>
      <c r="AY1149" s="35">
        <f>(VLOOKUP(Tabla4[[#This Row],[SERVICIO 2025]],$J$2:$V$14,3,0)*Tabla4[[#This Row],[TOTAL COBERTURA]])</f>
        <v>46869930</v>
      </c>
      <c r="AZ1149" s="35">
        <f>(VLOOKUP(Tabla4[[#This Row],[SERVICIO 2025]],$J$2:$V$14,3,0)*Tabla4[[#This Row],[TOTAL COBERTURA]])</f>
        <v>46869930</v>
      </c>
      <c r="BA1149" s="35">
        <f>(VLOOKUP(Tabla4[[#This Row],[SERVICIO 2025]],$J$2:$V$14,3,0)*Tabla4[[#This Row],[TOTAL COBERTURA]])+Tabla4[[#This Row],[VALOR FASE PREPARATORIA DE CIERRE]]</f>
        <v>53623800</v>
      </c>
      <c r="BB1149" s="35">
        <f>SUM(Tabla4[[#This Row],[DESEMBOLSO 1]:[DESEMBOLSO 8]])</f>
        <v>389646180</v>
      </c>
      <c r="BC1149" s="35">
        <f>VLOOKUP(Tabla4[[#This Row],[SERVICIO 2025]],$J$2:$V$14,10,0)*Tabla4[[#This Row],[TOTAL COBERTURA]]*$W$3</f>
        <v>0</v>
      </c>
      <c r="BD1149" s="47" t="s">
        <v>145</v>
      </c>
      <c r="BE1149" s="12" t="b">
        <f>EXACT(Tabla4[[#This Row],[VALOR ATENCIÓN (8 MESES)]],Tabla4[[#This Row],[VALOR TOTAL]])</f>
        <v>1</v>
      </c>
      <c r="BF1149" s="23">
        <f>Tabla4[[#This Row],[VALOR ATENCIÓN (8 MESES)]]-Tabla4[[#This Row],[VALOR TOTAL]]</f>
        <v>0</v>
      </c>
      <c r="BG1149" s="12" t="b">
        <f>EXACT(Tabla4[[#This Row],[TOTAL DESEMBOLSOS]],Tabla4[[#This Row],[VALOR ATENCIÓN (8 MESES)]])</f>
        <v>1</v>
      </c>
      <c r="BH1149" s="29">
        <f>Tabla4[[#This Row],[TOTAL DESEMBOLSOS]]-Tabla4[[#This Row],[VALOR ATENCIÓN (8 MESES)]]</f>
        <v>0</v>
      </c>
      <c r="BI1149" t="s">
        <v>392</v>
      </c>
    </row>
    <row r="1150" spans="1:62">
      <c r="A1150" s="13">
        <v>2013</v>
      </c>
      <c r="B1150" s="13" t="s">
        <v>2514</v>
      </c>
      <c r="C1150" s="12" t="s">
        <v>87</v>
      </c>
      <c r="D1150" s="12" t="s">
        <v>462</v>
      </c>
      <c r="E1150" s="12" t="s">
        <v>2499</v>
      </c>
      <c r="F1150" s="12" t="s">
        <v>18</v>
      </c>
      <c r="G1150" s="12" t="s">
        <v>90</v>
      </c>
      <c r="H1150" s="12" t="s">
        <v>2515</v>
      </c>
      <c r="I1150" s="12">
        <v>58371116554</v>
      </c>
      <c r="J1150" s="12" t="s">
        <v>2516</v>
      </c>
      <c r="K1150" s="12">
        <v>1</v>
      </c>
      <c r="L1150" s="12">
        <v>68</v>
      </c>
      <c r="M1150" s="12"/>
      <c r="N1150" s="13">
        <v>2013</v>
      </c>
      <c r="O1150" s="12" t="s">
        <v>93</v>
      </c>
      <c r="P1150" s="12"/>
      <c r="Q1150" s="12"/>
      <c r="R1150" s="12" t="s">
        <v>94</v>
      </c>
      <c r="S1150" s="12">
        <v>10</v>
      </c>
      <c r="T1150" s="12" t="s">
        <v>1183</v>
      </c>
      <c r="U1150" s="12" t="s">
        <v>1184</v>
      </c>
      <c r="V1150" s="12">
        <f>VLOOKUP(Tabla4[[#This Row],[ZONA DEFINITIVO]],Hoja1!$A$1:$D$121,3,0)</f>
        <v>229186</v>
      </c>
      <c r="W1150" s="12">
        <f>VLOOKUP(Tabla4[[#This Row],[ZONA DEFINITIVO]],Hoja1!$A$1:$D$121,2,0)</f>
        <v>16474</v>
      </c>
      <c r="X1150" s="12">
        <f>VLOOKUP(Tabla4[[#This Row],[ZONA DEFINITIVO]],Hoja1!$A$1:$D$121,4,0)</f>
        <v>95425</v>
      </c>
      <c r="Y1150" s="12">
        <f>+IF(Tabla4[[#This Row],[AGRUPACIONES]]=1,SUMIFS(Tabla4[UDS],Tabla4[ZONA DEFINITIVO],Tabla4[[#This Row],[ZONA DEFINITIVO]])," ")</f>
        <v>14</v>
      </c>
      <c r="Z1150" s="12">
        <f>+IF(Tabla4[[#This Row],[AGRUPACIONES]]=1,SUMIFS(Tabla4[TOTAL COBERTURA],Tabla4[ZONA DEFINITIVO],Tabla4[[#This Row],[ZONA DEFINITIVO]])," ")</f>
        <v>1051</v>
      </c>
      <c r="AA1150" s="12"/>
      <c r="AB1150" s="38">
        <v>148253124</v>
      </c>
      <c r="AC1150" s="37">
        <v>0.02</v>
      </c>
      <c r="AD1150" s="38">
        <f t="shared" si="18"/>
        <v>2965062.48</v>
      </c>
      <c r="AE1150" s="12"/>
      <c r="AF1150" s="12">
        <f>COUNTIF($A$20:A1150,A1150)</f>
        <v>1</v>
      </c>
      <c r="AG1150" s="38">
        <v>148253124</v>
      </c>
      <c r="AH1150" s="38">
        <f>Tabla4[[#This Row],[VALOR CONTRAPARTIDA]]+Tabla4[[#This Row],[TOTAL APORTES ICBF]]</f>
        <v>151218186.47999999</v>
      </c>
      <c r="AI1150" s="35">
        <f>ROUND(+IF(Tabla4[[#This Row],[AGRUPACIONES]]=1,SUMIFS(Tabla4[TOTAL APORTES ICBF],Tabla4[ZONA DEFINITIVO],Tabla4[[#This Row],[ZONA DEFINITIVO]])," "),0)</f>
        <v>2291382843</v>
      </c>
      <c r="AJ1150" s="38">
        <f>ROUND(+IF(Tabla4[[#This Row],[AGRUPACIONES]]=1,SUMIFS(Tabla4[VALOR CONTRAPARTIDA],Tabla4[ZONA DEFINITIVO],Tabla4[[#This Row],[ZONA DEFINITIVO]])," "),0)</f>
        <v>45827657</v>
      </c>
      <c r="AK1150" s="38">
        <f>Tabla4[[#This Row],[TOTAL APORTES ICBF AGRUPADO]]+Tabla4[[#This Row],[TOTAL CONTRAPARTIDA AGRUPADO]]</f>
        <v>2337210500</v>
      </c>
      <c r="AL1150" s="23">
        <f>Tabla4[[#This Row],[TOTAL APORTES ICBF AGRUPADO]]/$AL$18</f>
        <v>1609.6823624868282</v>
      </c>
      <c r="AM1150" s="35">
        <f>VLOOKUP(Tabla4[[#This Row],[SERVICIO 2025]],$J$2:$V$14,5,0)*Tabla4[[#This Row],[TOTAL COBERTURA]]</f>
        <v>3357568</v>
      </c>
      <c r="AN1150" s="35">
        <f>VLOOKUP(Tabla4[[#This Row],[SERVICIO 2025]],$J$2:$V$14,6,0)*Tabla4[[#This Row],[TOTAL COBERTURA]]</f>
        <v>2789972</v>
      </c>
      <c r="AO1150" s="35">
        <f>VLOOKUP(Tabla4[[#This Row],[SERVICIO 2025]],$J$2:$V$14,8,0)*Tabla4[[#This Row],[TOTAL COBERTURA]]</f>
        <v>1978800</v>
      </c>
      <c r="AP1150" s="35">
        <f>VLOOKUP(Tabla4[[#This Row],[SERVICIO 2025]],$J$2:$V$14,3,0)*Tabla4[[#This Row],[TOTAL COBERTURA]]*8</f>
        <v>140126784</v>
      </c>
      <c r="AQ1150" s="35"/>
      <c r="AR1150" s="35">
        <f>Tabla4[[#This Row],[VALOR FASE PREPARATORIA DE ALISTAMIENTO]]+Tabla4[[#This Row],[VALOR FASE PREPARATORIA DE CIERRE]]+Tabla4[[#This Row],[DOTACIÓN ÚNICA]]+Tabla4[[#This Row],[VALOR ATENCIÓN]]+Tabla4[[#This Row],[VALOR RACION PREPARADA]]</f>
        <v>148253124</v>
      </c>
      <c r="AS1150" s="35">
        <f>+IF(Tabla4[[#This Row],[AGRUPACIONES]]=1,SUMIFS(Tabla4[VALOR TOTAL],Tabla4[ZONA DEFINITIVO],Tabla4[[#This Row],[ZONA DEFINITIVO]])," ")</f>
        <v>2291382843</v>
      </c>
      <c r="AT1150" s="27">
        <f>(VLOOKUP(Tabla4[[#This Row],[SERVICIO 2025]],$J$2:$V$14,3,0)*Tabla4[[#This Row],[TOTAL COBERTURA]])+Tabla4[[#This Row],[VALOR FASE PREPARATORIA DE ALISTAMIENTO]]+Tabla4[[#This Row],[DOTACIÓN ÚNICA]]</f>
        <v>22852216</v>
      </c>
      <c r="AU1150" s="35">
        <f>(VLOOKUP(Tabla4[[#This Row],[SERVICIO 2025]],$J$2:$V$14,3,0)*Tabla4[[#This Row],[TOTAL COBERTURA]])</f>
        <v>17515848</v>
      </c>
      <c r="AV1150" s="35">
        <f>(VLOOKUP(Tabla4[[#This Row],[SERVICIO 2025]],$J$2:$V$14,3,0)*Tabla4[[#This Row],[TOTAL COBERTURA]])</f>
        <v>17515848</v>
      </c>
      <c r="AW1150" s="35">
        <f>(VLOOKUP(Tabla4[[#This Row],[SERVICIO 2025]],$J$2:$V$14,3,0)*Tabla4[[#This Row],[TOTAL COBERTURA]])</f>
        <v>17515848</v>
      </c>
      <c r="AX1150" s="35">
        <f>(VLOOKUP(Tabla4[[#This Row],[SERVICIO 2025]],$J$2:$V$14,3,0)*Tabla4[[#This Row],[TOTAL COBERTURA]])</f>
        <v>17515848</v>
      </c>
      <c r="AY1150" s="35">
        <f>(VLOOKUP(Tabla4[[#This Row],[SERVICIO 2025]],$J$2:$V$14,3,0)*Tabla4[[#This Row],[TOTAL COBERTURA]])</f>
        <v>17515848</v>
      </c>
      <c r="AZ1150" s="35">
        <f>(VLOOKUP(Tabla4[[#This Row],[SERVICIO 2025]],$J$2:$V$14,3,0)*Tabla4[[#This Row],[TOTAL COBERTURA]])</f>
        <v>17515848</v>
      </c>
      <c r="BA1150" s="35">
        <f>(VLOOKUP(Tabla4[[#This Row],[SERVICIO 2025]],$J$2:$V$14,3,0)*Tabla4[[#This Row],[TOTAL COBERTURA]])+Tabla4[[#This Row],[VALOR FASE PREPARATORIA DE CIERRE]]</f>
        <v>20305820</v>
      </c>
      <c r="BB1150" s="35">
        <f>SUM(Tabla4[[#This Row],[DESEMBOLSO 1]:[DESEMBOLSO 8]])</f>
        <v>148253124</v>
      </c>
      <c r="BC1150" s="35">
        <f>VLOOKUP(Tabla4[[#This Row],[SERVICIO 2025]],$J$2:$V$14,10,0)*Tabla4[[#This Row],[TOTAL COBERTURA]]*$W$3</f>
        <v>98128352</v>
      </c>
      <c r="BD1150" s="47" t="s">
        <v>211</v>
      </c>
      <c r="BE1150" s="12" t="b">
        <f>EXACT(Tabla4[[#This Row],[VALOR ATENCIÓN (8 MESES)]],Tabla4[[#This Row],[VALOR TOTAL]])</f>
        <v>1</v>
      </c>
      <c r="BF1150" s="23">
        <f>Tabla4[[#This Row],[VALOR ATENCIÓN (8 MESES)]]-Tabla4[[#This Row],[VALOR TOTAL]]</f>
        <v>0</v>
      </c>
      <c r="BG1150" s="12" t="b">
        <f>EXACT(Tabla4[[#This Row],[TOTAL DESEMBOLSOS]],Tabla4[[#This Row],[VALOR ATENCIÓN (8 MESES)]])</f>
        <v>1</v>
      </c>
      <c r="BH1150" s="29">
        <f>Tabla4[[#This Row],[TOTAL DESEMBOLSOS]]-Tabla4[[#This Row],[VALOR ATENCIÓN (8 MESES)]]</f>
        <v>0</v>
      </c>
      <c r="BI1150" t="s">
        <v>392</v>
      </c>
      <c r="BJ1150">
        <v>2013</v>
      </c>
    </row>
    <row r="1151" spans="1:62">
      <c r="A1151" s="13">
        <v>2013</v>
      </c>
      <c r="B1151" s="13" t="s">
        <v>2514</v>
      </c>
      <c r="C1151" s="12" t="s">
        <v>87</v>
      </c>
      <c r="D1151" s="12" t="s">
        <v>462</v>
      </c>
      <c r="E1151" s="12" t="s">
        <v>2499</v>
      </c>
      <c r="F1151" s="12" t="s">
        <v>18</v>
      </c>
      <c r="G1151" s="12" t="s">
        <v>90</v>
      </c>
      <c r="H1151" s="12" t="s">
        <v>2517</v>
      </c>
      <c r="I1151" s="12">
        <v>58371117339</v>
      </c>
      <c r="J1151" s="12" t="s">
        <v>2518</v>
      </c>
      <c r="K1151" s="12">
        <v>1</v>
      </c>
      <c r="L1151" s="12">
        <v>104</v>
      </c>
      <c r="M1151" s="12"/>
      <c r="N1151" s="13">
        <v>2013</v>
      </c>
      <c r="O1151" s="12" t="s">
        <v>93</v>
      </c>
      <c r="P1151" s="12"/>
      <c r="Q1151" s="12"/>
      <c r="R1151" s="12" t="s">
        <v>94</v>
      </c>
      <c r="S1151" s="12">
        <v>10</v>
      </c>
      <c r="T1151" s="12" t="s">
        <v>1183</v>
      </c>
      <c r="U1151" s="12" t="s">
        <v>1184</v>
      </c>
      <c r="V1151" s="12">
        <f>VLOOKUP(Tabla4[[#This Row],[ZONA DEFINITIVO]],Hoja1!$A$1:$D$121,3,0)</f>
        <v>229186</v>
      </c>
      <c r="W1151" s="12">
        <f>VLOOKUP(Tabla4[[#This Row],[ZONA DEFINITIVO]],Hoja1!$A$1:$D$121,2,0)</f>
        <v>16474</v>
      </c>
      <c r="X1151" s="12">
        <f>VLOOKUP(Tabla4[[#This Row],[ZONA DEFINITIVO]],Hoja1!$A$1:$D$121,4,0)</f>
        <v>95425</v>
      </c>
      <c r="Y1151" s="12" t="str">
        <f>+IF(Tabla4[[#This Row],[AGRUPACIONES]]=1,SUMIFS(Tabla4[UDS],Tabla4[ZONA DEFINITIVO],Tabla4[[#This Row],[ZONA DEFINITIVO]])," ")</f>
        <v xml:space="preserve"> </v>
      </c>
      <c r="Z1151" s="12" t="str">
        <f>+IF(Tabla4[[#This Row],[AGRUPACIONES]]=1,SUMIFS(Tabla4[TOTAL COBERTURA],Tabla4[ZONA DEFINITIVO],Tabla4[[#This Row],[ZONA DEFINITIVO]])," ")</f>
        <v xml:space="preserve"> </v>
      </c>
      <c r="AA1151" s="12"/>
      <c r="AB1151" s="38">
        <v>226740072</v>
      </c>
      <c r="AC1151" s="37">
        <v>0.02</v>
      </c>
      <c r="AD1151" s="38">
        <f t="shared" si="18"/>
        <v>4534801.4400000004</v>
      </c>
      <c r="AE1151" s="12"/>
      <c r="AF1151" s="12">
        <f>COUNTIF($A$20:A1151,A1151)</f>
        <v>2</v>
      </c>
      <c r="AG1151" s="38">
        <v>226740072</v>
      </c>
      <c r="AH1151" s="38">
        <f>Tabla4[[#This Row],[VALOR CONTRAPARTIDA]]+Tabla4[[#This Row],[TOTAL APORTES ICBF]]</f>
        <v>231274873.44</v>
      </c>
      <c r="AI1151" s="35"/>
      <c r="AJ1151" s="38"/>
      <c r="AK1151" s="38"/>
      <c r="AL1151" s="23"/>
      <c r="AM1151" s="35">
        <f>VLOOKUP(Tabla4[[#This Row],[SERVICIO 2025]],$J$2:$V$14,5,0)*Tabla4[[#This Row],[TOTAL COBERTURA]]</f>
        <v>5135104</v>
      </c>
      <c r="AN1151" s="35">
        <f>VLOOKUP(Tabla4[[#This Row],[SERVICIO 2025]],$J$2:$V$14,6,0)*Tabla4[[#This Row],[TOTAL COBERTURA]]</f>
        <v>4267016</v>
      </c>
      <c r="AO1151" s="35">
        <f>VLOOKUP(Tabla4[[#This Row],[SERVICIO 2025]],$J$2:$V$14,8,0)*Tabla4[[#This Row],[TOTAL COBERTURA]]</f>
        <v>3026400</v>
      </c>
      <c r="AP1151" s="35">
        <f>VLOOKUP(Tabla4[[#This Row],[SERVICIO 2025]],$J$2:$V$14,3,0)*Tabla4[[#This Row],[TOTAL COBERTURA]]*8</f>
        <v>214311552</v>
      </c>
      <c r="AQ1151" s="35"/>
      <c r="AR1151" s="35">
        <f>Tabla4[[#This Row],[VALOR FASE PREPARATORIA DE ALISTAMIENTO]]+Tabla4[[#This Row],[VALOR FASE PREPARATORIA DE CIERRE]]+Tabla4[[#This Row],[DOTACIÓN ÚNICA]]+Tabla4[[#This Row],[VALOR ATENCIÓN]]+Tabla4[[#This Row],[VALOR RACION PREPARADA]]</f>
        <v>226740072</v>
      </c>
      <c r="AS1151" s="35" t="str">
        <f>+IF(Tabla4[[#This Row],[AGRUPACIONES]]=1,SUMIFS(Tabla4[VALOR TOTAL],Tabla4[ZONA DEFINITIVO],Tabla4[[#This Row],[ZONA DEFINITIVO]])," ")</f>
        <v xml:space="preserve"> </v>
      </c>
      <c r="AT1151" s="27">
        <f>(VLOOKUP(Tabla4[[#This Row],[SERVICIO 2025]],$J$2:$V$14,3,0)*Tabla4[[#This Row],[TOTAL COBERTURA]])+Tabla4[[#This Row],[VALOR FASE PREPARATORIA DE ALISTAMIENTO]]+Tabla4[[#This Row],[DOTACIÓN ÚNICA]]</f>
        <v>34950448</v>
      </c>
      <c r="AU1151" s="35">
        <f>(VLOOKUP(Tabla4[[#This Row],[SERVICIO 2025]],$J$2:$V$14,3,0)*Tabla4[[#This Row],[TOTAL COBERTURA]])</f>
        <v>26788944</v>
      </c>
      <c r="AV1151" s="35">
        <f>(VLOOKUP(Tabla4[[#This Row],[SERVICIO 2025]],$J$2:$V$14,3,0)*Tabla4[[#This Row],[TOTAL COBERTURA]])</f>
        <v>26788944</v>
      </c>
      <c r="AW1151" s="35">
        <f>(VLOOKUP(Tabla4[[#This Row],[SERVICIO 2025]],$J$2:$V$14,3,0)*Tabla4[[#This Row],[TOTAL COBERTURA]])</f>
        <v>26788944</v>
      </c>
      <c r="AX1151" s="35">
        <f>(VLOOKUP(Tabla4[[#This Row],[SERVICIO 2025]],$J$2:$V$14,3,0)*Tabla4[[#This Row],[TOTAL COBERTURA]])</f>
        <v>26788944</v>
      </c>
      <c r="AY1151" s="35">
        <f>(VLOOKUP(Tabla4[[#This Row],[SERVICIO 2025]],$J$2:$V$14,3,0)*Tabla4[[#This Row],[TOTAL COBERTURA]])</f>
        <v>26788944</v>
      </c>
      <c r="AZ1151" s="35">
        <f>(VLOOKUP(Tabla4[[#This Row],[SERVICIO 2025]],$J$2:$V$14,3,0)*Tabla4[[#This Row],[TOTAL COBERTURA]])</f>
        <v>26788944</v>
      </c>
      <c r="BA1151" s="35">
        <f>(VLOOKUP(Tabla4[[#This Row],[SERVICIO 2025]],$J$2:$V$14,3,0)*Tabla4[[#This Row],[TOTAL COBERTURA]])+Tabla4[[#This Row],[VALOR FASE PREPARATORIA DE CIERRE]]</f>
        <v>31055960</v>
      </c>
      <c r="BB1151" s="35">
        <f>SUM(Tabla4[[#This Row],[DESEMBOLSO 1]:[DESEMBOLSO 8]])</f>
        <v>226740072</v>
      </c>
      <c r="BC1151" s="35">
        <f>VLOOKUP(Tabla4[[#This Row],[SERVICIO 2025]],$J$2:$V$14,10,0)*Tabla4[[#This Row],[TOTAL COBERTURA]]*$W$3</f>
        <v>150078656</v>
      </c>
      <c r="BD1151" s="47" t="s">
        <v>211</v>
      </c>
      <c r="BE1151" s="12" t="b">
        <f>EXACT(Tabla4[[#This Row],[VALOR ATENCIÓN (8 MESES)]],Tabla4[[#This Row],[VALOR TOTAL]])</f>
        <v>1</v>
      </c>
      <c r="BF1151" s="23">
        <f>Tabla4[[#This Row],[VALOR ATENCIÓN (8 MESES)]]-Tabla4[[#This Row],[VALOR TOTAL]]</f>
        <v>0</v>
      </c>
      <c r="BG1151" s="12" t="b">
        <f>EXACT(Tabla4[[#This Row],[TOTAL DESEMBOLSOS]],Tabla4[[#This Row],[VALOR ATENCIÓN (8 MESES)]])</f>
        <v>1</v>
      </c>
      <c r="BH1151" s="29">
        <f>Tabla4[[#This Row],[TOTAL DESEMBOLSOS]]-Tabla4[[#This Row],[VALOR ATENCIÓN (8 MESES)]]</f>
        <v>0</v>
      </c>
      <c r="BI1151" t="s">
        <v>392</v>
      </c>
      <c r="BJ1151">
        <v>2013</v>
      </c>
    </row>
    <row r="1152" spans="1:62">
      <c r="A1152" s="13">
        <v>2013</v>
      </c>
      <c r="B1152" s="13" t="s">
        <v>2514</v>
      </c>
      <c r="C1152" s="12" t="s">
        <v>87</v>
      </c>
      <c r="D1152" s="12" t="s">
        <v>462</v>
      </c>
      <c r="E1152" s="12" t="s">
        <v>2499</v>
      </c>
      <c r="F1152" s="12" t="s">
        <v>18</v>
      </c>
      <c r="G1152" s="12" t="s">
        <v>90</v>
      </c>
      <c r="H1152" s="12" t="s">
        <v>2519</v>
      </c>
      <c r="I1152" s="12">
        <v>58371117341</v>
      </c>
      <c r="J1152" s="12" t="s">
        <v>2520</v>
      </c>
      <c r="K1152" s="12">
        <v>1</v>
      </c>
      <c r="L1152" s="12">
        <v>52</v>
      </c>
      <c r="M1152" s="12"/>
      <c r="N1152" s="13">
        <v>2013</v>
      </c>
      <c r="O1152" s="12" t="s">
        <v>93</v>
      </c>
      <c r="P1152" s="12"/>
      <c r="Q1152" s="12"/>
      <c r="R1152" s="12" t="s">
        <v>94</v>
      </c>
      <c r="S1152" s="12">
        <v>10</v>
      </c>
      <c r="T1152" s="12" t="s">
        <v>1183</v>
      </c>
      <c r="U1152" s="12" t="s">
        <v>1184</v>
      </c>
      <c r="V1152" s="12">
        <f>VLOOKUP(Tabla4[[#This Row],[ZONA DEFINITIVO]],Hoja1!$A$1:$D$121,3,0)</f>
        <v>229186</v>
      </c>
      <c r="W1152" s="12">
        <f>VLOOKUP(Tabla4[[#This Row],[ZONA DEFINITIVO]],Hoja1!$A$1:$D$121,2,0)</f>
        <v>16474</v>
      </c>
      <c r="X1152" s="12">
        <f>VLOOKUP(Tabla4[[#This Row],[ZONA DEFINITIVO]],Hoja1!$A$1:$D$121,4,0)</f>
        <v>95425</v>
      </c>
      <c r="Y1152" s="12" t="str">
        <f>+IF(Tabla4[[#This Row],[AGRUPACIONES]]=1,SUMIFS(Tabla4[UDS],Tabla4[ZONA DEFINITIVO],Tabla4[[#This Row],[ZONA DEFINITIVO]])," ")</f>
        <v xml:space="preserve"> </v>
      </c>
      <c r="Z1152" s="12" t="str">
        <f>+IF(Tabla4[[#This Row],[AGRUPACIONES]]=1,SUMIFS(Tabla4[TOTAL COBERTURA],Tabla4[ZONA DEFINITIVO],Tabla4[[#This Row],[ZONA DEFINITIVO]])," ")</f>
        <v xml:space="preserve"> </v>
      </c>
      <c r="AA1152" s="12"/>
      <c r="AB1152" s="38">
        <v>113370036</v>
      </c>
      <c r="AC1152" s="37">
        <v>0.02</v>
      </c>
      <c r="AD1152" s="38">
        <f t="shared" si="18"/>
        <v>2267400.7200000002</v>
      </c>
      <c r="AE1152" s="12"/>
      <c r="AF1152" s="12">
        <f>COUNTIF($A$20:A1152,A1152)</f>
        <v>3</v>
      </c>
      <c r="AG1152" s="38">
        <v>113370036</v>
      </c>
      <c r="AH1152" s="38">
        <f>Tabla4[[#This Row],[VALOR CONTRAPARTIDA]]+Tabla4[[#This Row],[TOTAL APORTES ICBF]]</f>
        <v>115637436.72</v>
      </c>
      <c r="AI1152" s="35"/>
      <c r="AJ1152" s="38"/>
      <c r="AK1152" s="38"/>
      <c r="AL1152" s="23"/>
      <c r="AM1152" s="35">
        <f>VLOOKUP(Tabla4[[#This Row],[SERVICIO 2025]],$J$2:$V$14,5,0)*Tabla4[[#This Row],[TOTAL COBERTURA]]</f>
        <v>2567552</v>
      </c>
      <c r="AN1152" s="35">
        <f>VLOOKUP(Tabla4[[#This Row],[SERVICIO 2025]],$J$2:$V$14,6,0)*Tabla4[[#This Row],[TOTAL COBERTURA]]</f>
        <v>2133508</v>
      </c>
      <c r="AO1152" s="35">
        <f>VLOOKUP(Tabla4[[#This Row],[SERVICIO 2025]],$J$2:$V$14,8,0)*Tabla4[[#This Row],[TOTAL COBERTURA]]</f>
        <v>1513200</v>
      </c>
      <c r="AP1152" s="35">
        <f>VLOOKUP(Tabla4[[#This Row],[SERVICIO 2025]],$J$2:$V$14,3,0)*Tabla4[[#This Row],[TOTAL COBERTURA]]*8</f>
        <v>107155776</v>
      </c>
      <c r="AQ1152" s="35"/>
      <c r="AR1152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1152" s="35" t="str">
        <f>+IF(Tabla4[[#This Row],[AGRUPACIONES]]=1,SUMIFS(Tabla4[VALOR TOTAL],Tabla4[ZONA DEFINITIVO],Tabla4[[#This Row],[ZONA DEFINITIVO]])," ")</f>
        <v xml:space="preserve"> </v>
      </c>
      <c r="AT1152" s="27">
        <f>(VLOOKUP(Tabla4[[#This Row],[SERVICIO 2025]],$J$2:$V$14,3,0)*Tabla4[[#This Row],[TOTAL COBERTURA]])+Tabla4[[#This Row],[VALOR FASE PREPARATORIA DE ALISTAMIENTO]]+Tabla4[[#This Row],[DOTACIÓN ÚNICA]]</f>
        <v>17475224</v>
      </c>
      <c r="AU1152" s="35">
        <f>(VLOOKUP(Tabla4[[#This Row],[SERVICIO 2025]],$J$2:$V$14,3,0)*Tabla4[[#This Row],[TOTAL COBERTURA]])</f>
        <v>13394472</v>
      </c>
      <c r="AV1152" s="35">
        <f>(VLOOKUP(Tabla4[[#This Row],[SERVICIO 2025]],$J$2:$V$14,3,0)*Tabla4[[#This Row],[TOTAL COBERTURA]])</f>
        <v>13394472</v>
      </c>
      <c r="AW1152" s="35">
        <f>(VLOOKUP(Tabla4[[#This Row],[SERVICIO 2025]],$J$2:$V$14,3,0)*Tabla4[[#This Row],[TOTAL COBERTURA]])</f>
        <v>13394472</v>
      </c>
      <c r="AX1152" s="35">
        <f>(VLOOKUP(Tabla4[[#This Row],[SERVICIO 2025]],$J$2:$V$14,3,0)*Tabla4[[#This Row],[TOTAL COBERTURA]])</f>
        <v>13394472</v>
      </c>
      <c r="AY1152" s="35">
        <f>(VLOOKUP(Tabla4[[#This Row],[SERVICIO 2025]],$J$2:$V$14,3,0)*Tabla4[[#This Row],[TOTAL COBERTURA]])</f>
        <v>13394472</v>
      </c>
      <c r="AZ1152" s="35">
        <f>(VLOOKUP(Tabla4[[#This Row],[SERVICIO 2025]],$J$2:$V$14,3,0)*Tabla4[[#This Row],[TOTAL COBERTURA]])</f>
        <v>13394472</v>
      </c>
      <c r="BA1152" s="35">
        <f>(VLOOKUP(Tabla4[[#This Row],[SERVICIO 2025]],$J$2:$V$14,3,0)*Tabla4[[#This Row],[TOTAL COBERTURA]])+Tabla4[[#This Row],[VALOR FASE PREPARATORIA DE CIERRE]]</f>
        <v>15527980</v>
      </c>
      <c r="BB1152" s="35">
        <f>SUM(Tabla4[[#This Row],[DESEMBOLSO 1]:[DESEMBOLSO 8]])</f>
        <v>113370036</v>
      </c>
      <c r="BC1152" s="35">
        <f>VLOOKUP(Tabla4[[#This Row],[SERVICIO 2025]],$J$2:$V$14,10,0)*Tabla4[[#This Row],[TOTAL COBERTURA]]*$W$3</f>
        <v>75039328</v>
      </c>
      <c r="BD1152" s="47" t="s">
        <v>211</v>
      </c>
      <c r="BE1152" s="12" t="b">
        <f>EXACT(Tabla4[[#This Row],[VALOR ATENCIÓN (8 MESES)]],Tabla4[[#This Row],[VALOR TOTAL]])</f>
        <v>1</v>
      </c>
      <c r="BF1152" s="23">
        <f>Tabla4[[#This Row],[VALOR ATENCIÓN (8 MESES)]]-Tabla4[[#This Row],[VALOR TOTAL]]</f>
        <v>0</v>
      </c>
      <c r="BG1152" s="12" t="b">
        <f>EXACT(Tabla4[[#This Row],[TOTAL DESEMBOLSOS]],Tabla4[[#This Row],[VALOR ATENCIÓN (8 MESES)]])</f>
        <v>1</v>
      </c>
      <c r="BH1152" s="29">
        <f>Tabla4[[#This Row],[TOTAL DESEMBOLSOS]]-Tabla4[[#This Row],[VALOR ATENCIÓN (8 MESES)]]</f>
        <v>0</v>
      </c>
      <c r="BI1152" t="s">
        <v>392</v>
      </c>
      <c r="BJ1152">
        <v>2013</v>
      </c>
    </row>
    <row r="1153" spans="1:62">
      <c r="A1153" s="13">
        <v>2013</v>
      </c>
      <c r="B1153" s="13" t="s">
        <v>2514</v>
      </c>
      <c r="C1153" s="12" t="s">
        <v>87</v>
      </c>
      <c r="D1153" s="12" t="s">
        <v>462</v>
      </c>
      <c r="E1153" s="12" t="s">
        <v>2499</v>
      </c>
      <c r="F1153" s="12" t="s">
        <v>18</v>
      </c>
      <c r="G1153" s="12" t="s">
        <v>90</v>
      </c>
      <c r="H1153" s="12" t="s">
        <v>2521</v>
      </c>
      <c r="I1153" s="12">
        <v>58371117343</v>
      </c>
      <c r="J1153" s="12" t="s">
        <v>2522</v>
      </c>
      <c r="K1153" s="12">
        <v>1</v>
      </c>
      <c r="L1153" s="12">
        <v>52</v>
      </c>
      <c r="M1153" s="12"/>
      <c r="N1153" s="13">
        <v>2013</v>
      </c>
      <c r="O1153" s="12" t="s">
        <v>93</v>
      </c>
      <c r="P1153" s="12"/>
      <c r="Q1153" s="12"/>
      <c r="R1153" s="12" t="s">
        <v>94</v>
      </c>
      <c r="S1153" s="12">
        <v>10</v>
      </c>
      <c r="T1153" s="12" t="s">
        <v>1183</v>
      </c>
      <c r="U1153" s="12" t="s">
        <v>1184</v>
      </c>
      <c r="V1153" s="12">
        <f>VLOOKUP(Tabla4[[#This Row],[ZONA DEFINITIVO]],Hoja1!$A$1:$D$121,3,0)</f>
        <v>229186</v>
      </c>
      <c r="W1153" s="12">
        <f>VLOOKUP(Tabla4[[#This Row],[ZONA DEFINITIVO]],Hoja1!$A$1:$D$121,2,0)</f>
        <v>16474</v>
      </c>
      <c r="X1153" s="12">
        <f>VLOOKUP(Tabla4[[#This Row],[ZONA DEFINITIVO]],Hoja1!$A$1:$D$121,4,0)</f>
        <v>95425</v>
      </c>
      <c r="Y1153" s="12" t="str">
        <f>+IF(Tabla4[[#This Row],[AGRUPACIONES]]=1,SUMIFS(Tabla4[UDS],Tabla4[ZONA DEFINITIVO],Tabla4[[#This Row],[ZONA DEFINITIVO]])," ")</f>
        <v xml:space="preserve"> </v>
      </c>
      <c r="Z1153" s="12" t="str">
        <f>+IF(Tabla4[[#This Row],[AGRUPACIONES]]=1,SUMIFS(Tabla4[TOTAL COBERTURA],Tabla4[ZONA DEFINITIVO],Tabla4[[#This Row],[ZONA DEFINITIVO]])," ")</f>
        <v xml:space="preserve"> </v>
      </c>
      <c r="AA1153" s="12"/>
      <c r="AB1153" s="38">
        <v>113370036</v>
      </c>
      <c r="AC1153" s="37">
        <v>0.02</v>
      </c>
      <c r="AD1153" s="38">
        <f t="shared" si="18"/>
        <v>2267400.7200000002</v>
      </c>
      <c r="AE1153" s="12"/>
      <c r="AF1153" s="12">
        <f>COUNTIF($A$20:A1153,A1153)</f>
        <v>4</v>
      </c>
      <c r="AG1153" s="38">
        <v>113370036</v>
      </c>
      <c r="AH1153" s="38">
        <f>Tabla4[[#This Row],[VALOR CONTRAPARTIDA]]+Tabla4[[#This Row],[TOTAL APORTES ICBF]]</f>
        <v>115637436.72</v>
      </c>
      <c r="AI1153" s="35"/>
      <c r="AJ1153" s="38"/>
      <c r="AK1153" s="38"/>
      <c r="AL1153" s="23"/>
      <c r="AM1153" s="35">
        <f>VLOOKUP(Tabla4[[#This Row],[SERVICIO 2025]],$J$2:$V$14,5,0)*Tabla4[[#This Row],[TOTAL COBERTURA]]</f>
        <v>2567552</v>
      </c>
      <c r="AN1153" s="35">
        <f>VLOOKUP(Tabla4[[#This Row],[SERVICIO 2025]],$J$2:$V$14,6,0)*Tabla4[[#This Row],[TOTAL COBERTURA]]</f>
        <v>2133508</v>
      </c>
      <c r="AO1153" s="35">
        <f>VLOOKUP(Tabla4[[#This Row],[SERVICIO 2025]],$J$2:$V$14,8,0)*Tabla4[[#This Row],[TOTAL COBERTURA]]</f>
        <v>1513200</v>
      </c>
      <c r="AP1153" s="35">
        <f>VLOOKUP(Tabla4[[#This Row],[SERVICIO 2025]],$J$2:$V$14,3,0)*Tabla4[[#This Row],[TOTAL COBERTURA]]*8</f>
        <v>107155776</v>
      </c>
      <c r="AQ1153" s="35"/>
      <c r="AR1153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1153" s="35" t="str">
        <f>+IF(Tabla4[[#This Row],[AGRUPACIONES]]=1,SUMIFS(Tabla4[VALOR TOTAL],Tabla4[ZONA DEFINITIVO],Tabla4[[#This Row],[ZONA DEFINITIVO]])," ")</f>
        <v xml:space="preserve"> </v>
      </c>
      <c r="AT1153" s="27">
        <f>(VLOOKUP(Tabla4[[#This Row],[SERVICIO 2025]],$J$2:$V$14,3,0)*Tabla4[[#This Row],[TOTAL COBERTURA]])+Tabla4[[#This Row],[VALOR FASE PREPARATORIA DE ALISTAMIENTO]]+Tabla4[[#This Row],[DOTACIÓN ÚNICA]]</f>
        <v>17475224</v>
      </c>
      <c r="AU1153" s="35">
        <f>(VLOOKUP(Tabla4[[#This Row],[SERVICIO 2025]],$J$2:$V$14,3,0)*Tabla4[[#This Row],[TOTAL COBERTURA]])</f>
        <v>13394472</v>
      </c>
      <c r="AV1153" s="35">
        <f>(VLOOKUP(Tabla4[[#This Row],[SERVICIO 2025]],$J$2:$V$14,3,0)*Tabla4[[#This Row],[TOTAL COBERTURA]])</f>
        <v>13394472</v>
      </c>
      <c r="AW1153" s="35">
        <f>(VLOOKUP(Tabla4[[#This Row],[SERVICIO 2025]],$J$2:$V$14,3,0)*Tabla4[[#This Row],[TOTAL COBERTURA]])</f>
        <v>13394472</v>
      </c>
      <c r="AX1153" s="35">
        <f>(VLOOKUP(Tabla4[[#This Row],[SERVICIO 2025]],$J$2:$V$14,3,0)*Tabla4[[#This Row],[TOTAL COBERTURA]])</f>
        <v>13394472</v>
      </c>
      <c r="AY1153" s="35">
        <f>(VLOOKUP(Tabla4[[#This Row],[SERVICIO 2025]],$J$2:$V$14,3,0)*Tabla4[[#This Row],[TOTAL COBERTURA]])</f>
        <v>13394472</v>
      </c>
      <c r="AZ1153" s="35">
        <f>(VLOOKUP(Tabla4[[#This Row],[SERVICIO 2025]],$J$2:$V$14,3,0)*Tabla4[[#This Row],[TOTAL COBERTURA]])</f>
        <v>13394472</v>
      </c>
      <c r="BA1153" s="35">
        <f>(VLOOKUP(Tabla4[[#This Row],[SERVICIO 2025]],$J$2:$V$14,3,0)*Tabla4[[#This Row],[TOTAL COBERTURA]])+Tabla4[[#This Row],[VALOR FASE PREPARATORIA DE CIERRE]]</f>
        <v>15527980</v>
      </c>
      <c r="BB1153" s="35">
        <f>SUM(Tabla4[[#This Row],[DESEMBOLSO 1]:[DESEMBOLSO 8]])</f>
        <v>113370036</v>
      </c>
      <c r="BC1153" s="35">
        <f>VLOOKUP(Tabla4[[#This Row],[SERVICIO 2025]],$J$2:$V$14,10,0)*Tabla4[[#This Row],[TOTAL COBERTURA]]*$W$3</f>
        <v>75039328</v>
      </c>
      <c r="BD1153" s="47" t="s">
        <v>211</v>
      </c>
      <c r="BE1153" s="12" t="b">
        <f>EXACT(Tabla4[[#This Row],[VALOR ATENCIÓN (8 MESES)]],Tabla4[[#This Row],[VALOR TOTAL]])</f>
        <v>1</v>
      </c>
      <c r="BF1153" s="23">
        <f>Tabla4[[#This Row],[VALOR ATENCIÓN (8 MESES)]]-Tabla4[[#This Row],[VALOR TOTAL]]</f>
        <v>0</v>
      </c>
      <c r="BG1153" s="12" t="b">
        <f>EXACT(Tabla4[[#This Row],[TOTAL DESEMBOLSOS]],Tabla4[[#This Row],[VALOR ATENCIÓN (8 MESES)]])</f>
        <v>1</v>
      </c>
      <c r="BH1153" s="29">
        <f>Tabla4[[#This Row],[TOTAL DESEMBOLSOS]]-Tabla4[[#This Row],[VALOR ATENCIÓN (8 MESES)]]</f>
        <v>0</v>
      </c>
      <c r="BI1153" t="s">
        <v>392</v>
      </c>
      <c r="BJ1153">
        <v>2013</v>
      </c>
    </row>
    <row r="1154" spans="1:62">
      <c r="A1154" s="13">
        <v>2013</v>
      </c>
      <c r="B1154" s="13" t="s">
        <v>2514</v>
      </c>
      <c r="C1154" s="12" t="s">
        <v>87</v>
      </c>
      <c r="D1154" s="12" t="s">
        <v>462</v>
      </c>
      <c r="E1154" s="12" t="s">
        <v>2499</v>
      </c>
      <c r="F1154" s="12" t="s">
        <v>18</v>
      </c>
      <c r="G1154" s="12" t="s">
        <v>90</v>
      </c>
      <c r="H1154" s="12" t="s">
        <v>2523</v>
      </c>
      <c r="I1154" s="12">
        <v>58371117352</v>
      </c>
      <c r="J1154" s="12" t="s">
        <v>2524</v>
      </c>
      <c r="K1154" s="12">
        <v>1</v>
      </c>
      <c r="L1154" s="12">
        <v>52</v>
      </c>
      <c r="M1154" s="12"/>
      <c r="N1154" s="13">
        <v>2013</v>
      </c>
      <c r="O1154" s="12" t="s">
        <v>93</v>
      </c>
      <c r="P1154" s="12"/>
      <c r="Q1154" s="12"/>
      <c r="R1154" s="12" t="s">
        <v>94</v>
      </c>
      <c r="S1154" s="12">
        <v>10</v>
      </c>
      <c r="T1154" s="12" t="s">
        <v>1183</v>
      </c>
      <c r="U1154" s="12" t="s">
        <v>1184</v>
      </c>
      <c r="V1154" s="12">
        <f>VLOOKUP(Tabla4[[#This Row],[ZONA DEFINITIVO]],Hoja1!$A$1:$D$121,3,0)</f>
        <v>229186</v>
      </c>
      <c r="W1154" s="12">
        <f>VLOOKUP(Tabla4[[#This Row],[ZONA DEFINITIVO]],Hoja1!$A$1:$D$121,2,0)</f>
        <v>16474</v>
      </c>
      <c r="X1154" s="12">
        <f>VLOOKUP(Tabla4[[#This Row],[ZONA DEFINITIVO]],Hoja1!$A$1:$D$121,4,0)</f>
        <v>95425</v>
      </c>
      <c r="Y1154" s="12" t="str">
        <f>+IF(Tabla4[[#This Row],[AGRUPACIONES]]=1,SUMIFS(Tabla4[UDS],Tabla4[ZONA DEFINITIVO],Tabla4[[#This Row],[ZONA DEFINITIVO]])," ")</f>
        <v xml:space="preserve"> </v>
      </c>
      <c r="Z1154" s="12" t="str">
        <f>+IF(Tabla4[[#This Row],[AGRUPACIONES]]=1,SUMIFS(Tabla4[TOTAL COBERTURA],Tabla4[ZONA DEFINITIVO],Tabla4[[#This Row],[ZONA DEFINITIVO]])," ")</f>
        <v xml:space="preserve"> </v>
      </c>
      <c r="AA1154" s="12"/>
      <c r="AB1154" s="38">
        <v>113370036</v>
      </c>
      <c r="AC1154" s="37">
        <v>0.02</v>
      </c>
      <c r="AD1154" s="38">
        <f t="shared" si="18"/>
        <v>2267400.7200000002</v>
      </c>
      <c r="AE1154" s="12"/>
      <c r="AF1154" s="12">
        <f>COUNTIF($A$20:A1154,A1154)</f>
        <v>5</v>
      </c>
      <c r="AG1154" s="38">
        <v>113370036</v>
      </c>
      <c r="AH1154" s="38">
        <f>Tabla4[[#This Row],[VALOR CONTRAPARTIDA]]+Tabla4[[#This Row],[TOTAL APORTES ICBF]]</f>
        <v>115637436.72</v>
      </c>
      <c r="AI1154" s="35"/>
      <c r="AJ1154" s="38"/>
      <c r="AK1154" s="38"/>
      <c r="AL1154" s="23"/>
      <c r="AM1154" s="35">
        <f>VLOOKUP(Tabla4[[#This Row],[SERVICIO 2025]],$J$2:$V$14,5,0)*Tabla4[[#This Row],[TOTAL COBERTURA]]</f>
        <v>2567552</v>
      </c>
      <c r="AN1154" s="35">
        <f>VLOOKUP(Tabla4[[#This Row],[SERVICIO 2025]],$J$2:$V$14,6,0)*Tabla4[[#This Row],[TOTAL COBERTURA]]</f>
        <v>2133508</v>
      </c>
      <c r="AO1154" s="35">
        <f>VLOOKUP(Tabla4[[#This Row],[SERVICIO 2025]],$J$2:$V$14,8,0)*Tabla4[[#This Row],[TOTAL COBERTURA]]</f>
        <v>1513200</v>
      </c>
      <c r="AP1154" s="35">
        <f>VLOOKUP(Tabla4[[#This Row],[SERVICIO 2025]],$J$2:$V$14,3,0)*Tabla4[[#This Row],[TOTAL COBERTURA]]*8</f>
        <v>107155776</v>
      </c>
      <c r="AQ1154" s="35"/>
      <c r="AR1154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1154" s="35" t="str">
        <f>+IF(Tabla4[[#This Row],[AGRUPACIONES]]=1,SUMIFS(Tabla4[VALOR TOTAL],Tabla4[ZONA DEFINITIVO],Tabla4[[#This Row],[ZONA DEFINITIVO]])," ")</f>
        <v xml:space="preserve"> </v>
      </c>
      <c r="AT1154" s="27">
        <f>(VLOOKUP(Tabla4[[#This Row],[SERVICIO 2025]],$J$2:$V$14,3,0)*Tabla4[[#This Row],[TOTAL COBERTURA]])+Tabla4[[#This Row],[VALOR FASE PREPARATORIA DE ALISTAMIENTO]]+Tabla4[[#This Row],[DOTACIÓN ÚNICA]]</f>
        <v>17475224</v>
      </c>
      <c r="AU1154" s="35">
        <f>(VLOOKUP(Tabla4[[#This Row],[SERVICIO 2025]],$J$2:$V$14,3,0)*Tabla4[[#This Row],[TOTAL COBERTURA]])</f>
        <v>13394472</v>
      </c>
      <c r="AV1154" s="35">
        <f>(VLOOKUP(Tabla4[[#This Row],[SERVICIO 2025]],$J$2:$V$14,3,0)*Tabla4[[#This Row],[TOTAL COBERTURA]])</f>
        <v>13394472</v>
      </c>
      <c r="AW1154" s="35">
        <f>(VLOOKUP(Tabla4[[#This Row],[SERVICIO 2025]],$J$2:$V$14,3,0)*Tabla4[[#This Row],[TOTAL COBERTURA]])</f>
        <v>13394472</v>
      </c>
      <c r="AX1154" s="35">
        <f>(VLOOKUP(Tabla4[[#This Row],[SERVICIO 2025]],$J$2:$V$14,3,0)*Tabla4[[#This Row],[TOTAL COBERTURA]])</f>
        <v>13394472</v>
      </c>
      <c r="AY1154" s="35">
        <f>(VLOOKUP(Tabla4[[#This Row],[SERVICIO 2025]],$J$2:$V$14,3,0)*Tabla4[[#This Row],[TOTAL COBERTURA]])</f>
        <v>13394472</v>
      </c>
      <c r="AZ1154" s="35">
        <f>(VLOOKUP(Tabla4[[#This Row],[SERVICIO 2025]],$J$2:$V$14,3,0)*Tabla4[[#This Row],[TOTAL COBERTURA]])</f>
        <v>13394472</v>
      </c>
      <c r="BA1154" s="35">
        <f>(VLOOKUP(Tabla4[[#This Row],[SERVICIO 2025]],$J$2:$V$14,3,0)*Tabla4[[#This Row],[TOTAL COBERTURA]])+Tabla4[[#This Row],[VALOR FASE PREPARATORIA DE CIERRE]]</f>
        <v>15527980</v>
      </c>
      <c r="BB1154" s="35">
        <f>SUM(Tabla4[[#This Row],[DESEMBOLSO 1]:[DESEMBOLSO 8]])</f>
        <v>113370036</v>
      </c>
      <c r="BC1154" s="35">
        <f>VLOOKUP(Tabla4[[#This Row],[SERVICIO 2025]],$J$2:$V$14,10,0)*Tabla4[[#This Row],[TOTAL COBERTURA]]*$W$3</f>
        <v>75039328</v>
      </c>
      <c r="BD1154" s="47" t="s">
        <v>211</v>
      </c>
      <c r="BE1154" s="12" t="b">
        <f>EXACT(Tabla4[[#This Row],[VALOR ATENCIÓN (8 MESES)]],Tabla4[[#This Row],[VALOR TOTAL]])</f>
        <v>1</v>
      </c>
      <c r="BF1154" s="23">
        <f>Tabla4[[#This Row],[VALOR ATENCIÓN (8 MESES)]]-Tabla4[[#This Row],[VALOR TOTAL]]</f>
        <v>0</v>
      </c>
      <c r="BG1154" s="12" t="b">
        <f>EXACT(Tabla4[[#This Row],[TOTAL DESEMBOLSOS]],Tabla4[[#This Row],[VALOR ATENCIÓN (8 MESES)]])</f>
        <v>1</v>
      </c>
      <c r="BH1154" s="29">
        <f>Tabla4[[#This Row],[TOTAL DESEMBOLSOS]]-Tabla4[[#This Row],[VALOR ATENCIÓN (8 MESES)]]</f>
        <v>0</v>
      </c>
      <c r="BI1154" t="s">
        <v>392</v>
      </c>
      <c r="BJ1154">
        <v>2013</v>
      </c>
    </row>
    <row r="1155" spans="1:62">
      <c r="A1155" s="13">
        <v>2013</v>
      </c>
      <c r="B1155" s="13" t="s">
        <v>2514</v>
      </c>
      <c r="C1155" s="12" t="s">
        <v>87</v>
      </c>
      <c r="D1155" s="12" t="s">
        <v>462</v>
      </c>
      <c r="E1155" s="12" t="s">
        <v>2499</v>
      </c>
      <c r="F1155" s="12" t="s">
        <v>18</v>
      </c>
      <c r="G1155" s="12" t="s">
        <v>90</v>
      </c>
      <c r="H1155" s="12" t="s">
        <v>2525</v>
      </c>
      <c r="I1155" s="12">
        <v>58371117358</v>
      </c>
      <c r="J1155" s="12" t="s">
        <v>2526</v>
      </c>
      <c r="K1155" s="12">
        <v>1</v>
      </c>
      <c r="L1155" s="12">
        <v>100</v>
      </c>
      <c r="M1155" s="12"/>
      <c r="N1155" s="13">
        <v>2013</v>
      </c>
      <c r="O1155" s="12" t="s">
        <v>93</v>
      </c>
      <c r="P1155" s="12"/>
      <c r="Q1155" s="12"/>
      <c r="R1155" s="12" t="s">
        <v>94</v>
      </c>
      <c r="S1155" s="12">
        <v>10</v>
      </c>
      <c r="T1155" s="12" t="s">
        <v>1183</v>
      </c>
      <c r="U1155" s="12" t="s">
        <v>1184</v>
      </c>
      <c r="V1155" s="12">
        <f>VLOOKUP(Tabla4[[#This Row],[ZONA DEFINITIVO]],Hoja1!$A$1:$D$121,3,0)</f>
        <v>229186</v>
      </c>
      <c r="W1155" s="12">
        <f>VLOOKUP(Tabla4[[#This Row],[ZONA DEFINITIVO]],Hoja1!$A$1:$D$121,2,0)</f>
        <v>16474</v>
      </c>
      <c r="X1155" s="12">
        <f>VLOOKUP(Tabla4[[#This Row],[ZONA DEFINITIVO]],Hoja1!$A$1:$D$121,4,0)</f>
        <v>95425</v>
      </c>
      <c r="Y1155" s="12" t="str">
        <f>+IF(Tabla4[[#This Row],[AGRUPACIONES]]=1,SUMIFS(Tabla4[UDS],Tabla4[ZONA DEFINITIVO],Tabla4[[#This Row],[ZONA DEFINITIVO]])," ")</f>
        <v xml:space="preserve"> </v>
      </c>
      <c r="Z1155" s="12" t="str">
        <f>+IF(Tabla4[[#This Row],[AGRUPACIONES]]=1,SUMIFS(Tabla4[TOTAL COBERTURA],Tabla4[ZONA DEFINITIVO],Tabla4[[#This Row],[ZONA DEFINITIVO]])," ")</f>
        <v xml:space="preserve"> </v>
      </c>
      <c r="AA1155" s="12"/>
      <c r="AB1155" s="38">
        <v>218019300</v>
      </c>
      <c r="AC1155" s="37">
        <v>0.02</v>
      </c>
      <c r="AD1155" s="38">
        <f t="shared" si="18"/>
        <v>4360386</v>
      </c>
      <c r="AE1155" s="12"/>
      <c r="AF1155" s="12">
        <f>COUNTIF($A$20:A1155,A1155)</f>
        <v>6</v>
      </c>
      <c r="AG1155" s="38">
        <v>218019300</v>
      </c>
      <c r="AH1155" s="38">
        <f>Tabla4[[#This Row],[VALOR CONTRAPARTIDA]]+Tabla4[[#This Row],[TOTAL APORTES ICBF]]</f>
        <v>222379686</v>
      </c>
      <c r="AI1155" s="35"/>
      <c r="AJ1155" s="38"/>
      <c r="AK1155" s="38"/>
      <c r="AL1155" s="23"/>
      <c r="AM1155" s="35">
        <f>VLOOKUP(Tabla4[[#This Row],[SERVICIO 2025]],$J$2:$V$14,5,0)*Tabla4[[#This Row],[TOTAL COBERTURA]]</f>
        <v>4937600</v>
      </c>
      <c r="AN1155" s="35">
        <f>VLOOKUP(Tabla4[[#This Row],[SERVICIO 2025]],$J$2:$V$14,6,0)*Tabla4[[#This Row],[TOTAL COBERTURA]]</f>
        <v>4102900</v>
      </c>
      <c r="AO1155" s="35">
        <f>VLOOKUP(Tabla4[[#This Row],[SERVICIO 2025]],$J$2:$V$14,8,0)*Tabla4[[#This Row],[TOTAL COBERTURA]]</f>
        <v>2910000</v>
      </c>
      <c r="AP1155" s="35">
        <f>VLOOKUP(Tabla4[[#This Row],[SERVICIO 2025]],$J$2:$V$14,3,0)*Tabla4[[#This Row],[TOTAL COBERTURA]]*8</f>
        <v>206068800</v>
      </c>
      <c r="AQ1155" s="35"/>
      <c r="AR1155" s="35">
        <f>Tabla4[[#This Row],[VALOR FASE PREPARATORIA DE ALISTAMIENTO]]+Tabla4[[#This Row],[VALOR FASE PREPARATORIA DE CIERRE]]+Tabla4[[#This Row],[DOTACIÓN ÚNICA]]+Tabla4[[#This Row],[VALOR ATENCIÓN]]+Tabla4[[#This Row],[VALOR RACION PREPARADA]]</f>
        <v>218019300</v>
      </c>
      <c r="AS1155" s="35" t="str">
        <f>+IF(Tabla4[[#This Row],[AGRUPACIONES]]=1,SUMIFS(Tabla4[VALOR TOTAL],Tabla4[ZONA DEFINITIVO],Tabla4[[#This Row],[ZONA DEFINITIVO]])," ")</f>
        <v xml:space="preserve"> </v>
      </c>
      <c r="AT1155" s="27">
        <f>(VLOOKUP(Tabla4[[#This Row],[SERVICIO 2025]],$J$2:$V$14,3,0)*Tabla4[[#This Row],[TOTAL COBERTURA]])+Tabla4[[#This Row],[VALOR FASE PREPARATORIA DE ALISTAMIENTO]]+Tabla4[[#This Row],[DOTACIÓN ÚNICA]]</f>
        <v>33606200</v>
      </c>
      <c r="AU1155" s="35">
        <f>(VLOOKUP(Tabla4[[#This Row],[SERVICIO 2025]],$J$2:$V$14,3,0)*Tabla4[[#This Row],[TOTAL COBERTURA]])</f>
        <v>25758600</v>
      </c>
      <c r="AV1155" s="35">
        <f>(VLOOKUP(Tabla4[[#This Row],[SERVICIO 2025]],$J$2:$V$14,3,0)*Tabla4[[#This Row],[TOTAL COBERTURA]])</f>
        <v>25758600</v>
      </c>
      <c r="AW1155" s="35">
        <f>(VLOOKUP(Tabla4[[#This Row],[SERVICIO 2025]],$J$2:$V$14,3,0)*Tabla4[[#This Row],[TOTAL COBERTURA]])</f>
        <v>25758600</v>
      </c>
      <c r="AX1155" s="35">
        <f>(VLOOKUP(Tabla4[[#This Row],[SERVICIO 2025]],$J$2:$V$14,3,0)*Tabla4[[#This Row],[TOTAL COBERTURA]])</f>
        <v>25758600</v>
      </c>
      <c r="AY1155" s="35">
        <f>(VLOOKUP(Tabla4[[#This Row],[SERVICIO 2025]],$J$2:$V$14,3,0)*Tabla4[[#This Row],[TOTAL COBERTURA]])</f>
        <v>25758600</v>
      </c>
      <c r="AZ1155" s="35">
        <f>(VLOOKUP(Tabla4[[#This Row],[SERVICIO 2025]],$J$2:$V$14,3,0)*Tabla4[[#This Row],[TOTAL COBERTURA]])</f>
        <v>25758600</v>
      </c>
      <c r="BA1155" s="35">
        <f>(VLOOKUP(Tabla4[[#This Row],[SERVICIO 2025]],$J$2:$V$14,3,0)*Tabla4[[#This Row],[TOTAL COBERTURA]])+Tabla4[[#This Row],[VALOR FASE PREPARATORIA DE CIERRE]]</f>
        <v>29861500</v>
      </c>
      <c r="BB1155" s="35">
        <f>SUM(Tabla4[[#This Row],[DESEMBOLSO 1]:[DESEMBOLSO 8]])</f>
        <v>218019300</v>
      </c>
      <c r="BC1155" s="35">
        <f>VLOOKUP(Tabla4[[#This Row],[SERVICIO 2025]],$J$2:$V$14,10,0)*Tabla4[[#This Row],[TOTAL COBERTURA]]*$W$3</f>
        <v>144306400</v>
      </c>
      <c r="BD1155" s="47" t="s">
        <v>211</v>
      </c>
      <c r="BE1155" s="12" t="b">
        <f>EXACT(Tabla4[[#This Row],[VALOR ATENCIÓN (8 MESES)]],Tabla4[[#This Row],[VALOR TOTAL]])</f>
        <v>1</v>
      </c>
      <c r="BF1155" s="23">
        <f>Tabla4[[#This Row],[VALOR ATENCIÓN (8 MESES)]]-Tabla4[[#This Row],[VALOR TOTAL]]</f>
        <v>0</v>
      </c>
      <c r="BG1155" s="12" t="b">
        <f>EXACT(Tabla4[[#This Row],[TOTAL DESEMBOLSOS]],Tabla4[[#This Row],[VALOR ATENCIÓN (8 MESES)]])</f>
        <v>1</v>
      </c>
      <c r="BH1155" s="29">
        <f>Tabla4[[#This Row],[TOTAL DESEMBOLSOS]]-Tabla4[[#This Row],[VALOR ATENCIÓN (8 MESES)]]</f>
        <v>0</v>
      </c>
      <c r="BI1155" t="s">
        <v>392</v>
      </c>
      <c r="BJ1155">
        <v>2013</v>
      </c>
    </row>
    <row r="1156" spans="1:62">
      <c r="A1156" s="13">
        <v>2013</v>
      </c>
      <c r="B1156" s="13" t="s">
        <v>2514</v>
      </c>
      <c r="C1156" s="12" t="s">
        <v>87</v>
      </c>
      <c r="D1156" s="12" t="s">
        <v>462</v>
      </c>
      <c r="E1156" s="12" t="s">
        <v>2499</v>
      </c>
      <c r="F1156" s="12" t="s">
        <v>18</v>
      </c>
      <c r="G1156" s="12" t="s">
        <v>90</v>
      </c>
      <c r="H1156" s="12" t="s">
        <v>2527</v>
      </c>
      <c r="I1156" s="12">
        <v>58371117359</v>
      </c>
      <c r="J1156" s="12" t="s">
        <v>2528</v>
      </c>
      <c r="K1156" s="12">
        <v>1</v>
      </c>
      <c r="L1156" s="12">
        <v>67</v>
      </c>
      <c r="M1156" s="12"/>
      <c r="N1156" s="13">
        <v>2013</v>
      </c>
      <c r="O1156" s="12" t="s">
        <v>93</v>
      </c>
      <c r="P1156" s="12"/>
      <c r="Q1156" s="12"/>
      <c r="R1156" s="12" t="s">
        <v>94</v>
      </c>
      <c r="S1156" s="12">
        <v>10</v>
      </c>
      <c r="T1156" s="12" t="s">
        <v>1183</v>
      </c>
      <c r="U1156" s="12" t="s">
        <v>1184</v>
      </c>
      <c r="V1156" s="12">
        <f>VLOOKUP(Tabla4[[#This Row],[ZONA DEFINITIVO]],Hoja1!$A$1:$D$121,3,0)</f>
        <v>229186</v>
      </c>
      <c r="W1156" s="12">
        <f>VLOOKUP(Tabla4[[#This Row],[ZONA DEFINITIVO]],Hoja1!$A$1:$D$121,2,0)</f>
        <v>16474</v>
      </c>
      <c r="X1156" s="12">
        <f>VLOOKUP(Tabla4[[#This Row],[ZONA DEFINITIVO]],Hoja1!$A$1:$D$121,4,0)</f>
        <v>95425</v>
      </c>
      <c r="Y1156" s="12" t="str">
        <f>+IF(Tabla4[[#This Row],[AGRUPACIONES]]=1,SUMIFS(Tabla4[UDS],Tabla4[ZONA DEFINITIVO],Tabla4[[#This Row],[ZONA DEFINITIVO]])," ")</f>
        <v xml:space="preserve"> </v>
      </c>
      <c r="Z1156" s="12" t="str">
        <f>+IF(Tabla4[[#This Row],[AGRUPACIONES]]=1,SUMIFS(Tabla4[TOTAL COBERTURA],Tabla4[ZONA DEFINITIVO],Tabla4[[#This Row],[ZONA DEFINITIVO]])," ")</f>
        <v xml:space="preserve"> </v>
      </c>
      <c r="AA1156" s="12"/>
      <c r="AB1156" s="38">
        <v>146072931</v>
      </c>
      <c r="AC1156" s="37">
        <v>0.02</v>
      </c>
      <c r="AD1156" s="38">
        <f t="shared" si="18"/>
        <v>2921458.62</v>
      </c>
      <c r="AE1156" s="12"/>
      <c r="AF1156" s="12">
        <f>COUNTIF($A$20:A1156,A1156)</f>
        <v>7</v>
      </c>
      <c r="AG1156" s="38">
        <v>146072931</v>
      </c>
      <c r="AH1156" s="38">
        <f>Tabla4[[#This Row],[VALOR CONTRAPARTIDA]]+Tabla4[[#This Row],[TOTAL APORTES ICBF]]</f>
        <v>148994389.62</v>
      </c>
      <c r="AI1156" s="35"/>
      <c r="AJ1156" s="38"/>
      <c r="AK1156" s="38"/>
      <c r="AL1156" s="23"/>
      <c r="AM1156" s="35">
        <f>VLOOKUP(Tabla4[[#This Row],[SERVICIO 2025]],$J$2:$V$14,5,0)*Tabla4[[#This Row],[TOTAL COBERTURA]]</f>
        <v>3308192</v>
      </c>
      <c r="AN1156" s="35">
        <f>VLOOKUP(Tabla4[[#This Row],[SERVICIO 2025]],$J$2:$V$14,6,0)*Tabla4[[#This Row],[TOTAL COBERTURA]]</f>
        <v>2748943</v>
      </c>
      <c r="AO1156" s="35">
        <f>VLOOKUP(Tabla4[[#This Row],[SERVICIO 2025]],$J$2:$V$14,8,0)*Tabla4[[#This Row],[TOTAL COBERTURA]]</f>
        <v>1949700</v>
      </c>
      <c r="AP1156" s="35">
        <f>VLOOKUP(Tabla4[[#This Row],[SERVICIO 2025]],$J$2:$V$14,3,0)*Tabla4[[#This Row],[TOTAL COBERTURA]]*8</f>
        <v>138066096</v>
      </c>
      <c r="AQ1156" s="35"/>
      <c r="AR1156" s="35">
        <f>Tabla4[[#This Row],[VALOR FASE PREPARATORIA DE ALISTAMIENTO]]+Tabla4[[#This Row],[VALOR FASE PREPARATORIA DE CIERRE]]+Tabla4[[#This Row],[DOTACIÓN ÚNICA]]+Tabla4[[#This Row],[VALOR ATENCIÓN]]+Tabla4[[#This Row],[VALOR RACION PREPARADA]]</f>
        <v>146072931</v>
      </c>
      <c r="AS1156" s="35" t="str">
        <f>+IF(Tabla4[[#This Row],[AGRUPACIONES]]=1,SUMIFS(Tabla4[VALOR TOTAL],Tabla4[ZONA DEFINITIVO],Tabla4[[#This Row],[ZONA DEFINITIVO]])," ")</f>
        <v xml:space="preserve"> </v>
      </c>
      <c r="AT1156" s="27">
        <f>(VLOOKUP(Tabla4[[#This Row],[SERVICIO 2025]],$J$2:$V$14,3,0)*Tabla4[[#This Row],[TOTAL COBERTURA]])+Tabla4[[#This Row],[VALOR FASE PREPARATORIA DE ALISTAMIENTO]]+Tabla4[[#This Row],[DOTACIÓN ÚNICA]]</f>
        <v>22516154</v>
      </c>
      <c r="AU1156" s="35">
        <f>(VLOOKUP(Tabla4[[#This Row],[SERVICIO 2025]],$J$2:$V$14,3,0)*Tabla4[[#This Row],[TOTAL COBERTURA]])</f>
        <v>17258262</v>
      </c>
      <c r="AV1156" s="35">
        <f>(VLOOKUP(Tabla4[[#This Row],[SERVICIO 2025]],$J$2:$V$14,3,0)*Tabla4[[#This Row],[TOTAL COBERTURA]])</f>
        <v>17258262</v>
      </c>
      <c r="AW1156" s="35">
        <f>(VLOOKUP(Tabla4[[#This Row],[SERVICIO 2025]],$J$2:$V$14,3,0)*Tabla4[[#This Row],[TOTAL COBERTURA]])</f>
        <v>17258262</v>
      </c>
      <c r="AX1156" s="35">
        <f>(VLOOKUP(Tabla4[[#This Row],[SERVICIO 2025]],$J$2:$V$14,3,0)*Tabla4[[#This Row],[TOTAL COBERTURA]])</f>
        <v>17258262</v>
      </c>
      <c r="AY1156" s="35">
        <f>(VLOOKUP(Tabla4[[#This Row],[SERVICIO 2025]],$J$2:$V$14,3,0)*Tabla4[[#This Row],[TOTAL COBERTURA]])</f>
        <v>17258262</v>
      </c>
      <c r="AZ1156" s="35">
        <f>(VLOOKUP(Tabla4[[#This Row],[SERVICIO 2025]],$J$2:$V$14,3,0)*Tabla4[[#This Row],[TOTAL COBERTURA]])</f>
        <v>17258262</v>
      </c>
      <c r="BA1156" s="35">
        <f>(VLOOKUP(Tabla4[[#This Row],[SERVICIO 2025]],$J$2:$V$14,3,0)*Tabla4[[#This Row],[TOTAL COBERTURA]])+Tabla4[[#This Row],[VALOR FASE PREPARATORIA DE CIERRE]]</f>
        <v>20007205</v>
      </c>
      <c r="BB1156" s="35">
        <f>SUM(Tabla4[[#This Row],[DESEMBOLSO 1]:[DESEMBOLSO 8]])</f>
        <v>146072931</v>
      </c>
      <c r="BC1156" s="35">
        <f>VLOOKUP(Tabla4[[#This Row],[SERVICIO 2025]],$J$2:$V$14,10,0)*Tabla4[[#This Row],[TOTAL COBERTURA]]*$W$3</f>
        <v>96685288</v>
      </c>
      <c r="BD1156" s="47" t="s">
        <v>211</v>
      </c>
      <c r="BE1156" s="12" t="b">
        <f>EXACT(Tabla4[[#This Row],[VALOR ATENCIÓN (8 MESES)]],Tabla4[[#This Row],[VALOR TOTAL]])</f>
        <v>1</v>
      </c>
      <c r="BF1156" s="23">
        <f>Tabla4[[#This Row],[VALOR ATENCIÓN (8 MESES)]]-Tabla4[[#This Row],[VALOR TOTAL]]</f>
        <v>0</v>
      </c>
      <c r="BG1156" s="12" t="b">
        <f>EXACT(Tabla4[[#This Row],[TOTAL DESEMBOLSOS]],Tabla4[[#This Row],[VALOR ATENCIÓN (8 MESES)]])</f>
        <v>1</v>
      </c>
      <c r="BH1156" s="29">
        <f>Tabla4[[#This Row],[TOTAL DESEMBOLSOS]]-Tabla4[[#This Row],[VALOR ATENCIÓN (8 MESES)]]</f>
        <v>0</v>
      </c>
      <c r="BI1156" t="s">
        <v>392</v>
      </c>
      <c r="BJ1156">
        <v>2013</v>
      </c>
    </row>
    <row r="1157" spans="1:62">
      <c r="A1157" s="13">
        <v>2013</v>
      </c>
      <c r="B1157" s="13" t="s">
        <v>2514</v>
      </c>
      <c r="C1157" s="12" t="s">
        <v>87</v>
      </c>
      <c r="D1157" s="12" t="s">
        <v>462</v>
      </c>
      <c r="E1157" s="12" t="s">
        <v>2499</v>
      </c>
      <c r="F1157" s="12" t="s">
        <v>18</v>
      </c>
      <c r="G1157" s="12" t="s">
        <v>90</v>
      </c>
      <c r="H1157" s="12" t="s">
        <v>2529</v>
      </c>
      <c r="I1157" s="12">
        <v>58371117382</v>
      </c>
      <c r="J1157" s="12" t="s">
        <v>2530</v>
      </c>
      <c r="K1157" s="12">
        <v>1</v>
      </c>
      <c r="L1157" s="12">
        <v>52</v>
      </c>
      <c r="M1157" s="12"/>
      <c r="N1157" s="13">
        <v>2013</v>
      </c>
      <c r="O1157" s="12" t="s">
        <v>93</v>
      </c>
      <c r="P1157" s="12"/>
      <c r="Q1157" s="12"/>
      <c r="R1157" s="12" t="s">
        <v>94</v>
      </c>
      <c r="S1157" s="12">
        <v>10</v>
      </c>
      <c r="T1157" s="12" t="s">
        <v>1183</v>
      </c>
      <c r="U1157" s="12" t="s">
        <v>1184</v>
      </c>
      <c r="V1157" s="12">
        <f>VLOOKUP(Tabla4[[#This Row],[ZONA DEFINITIVO]],Hoja1!$A$1:$D$121,3,0)</f>
        <v>229186</v>
      </c>
      <c r="W1157" s="12">
        <f>VLOOKUP(Tabla4[[#This Row],[ZONA DEFINITIVO]],Hoja1!$A$1:$D$121,2,0)</f>
        <v>16474</v>
      </c>
      <c r="X1157" s="12">
        <f>VLOOKUP(Tabla4[[#This Row],[ZONA DEFINITIVO]],Hoja1!$A$1:$D$121,4,0)</f>
        <v>95425</v>
      </c>
      <c r="Y1157" s="12" t="str">
        <f>+IF(Tabla4[[#This Row],[AGRUPACIONES]]=1,SUMIFS(Tabla4[UDS],Tabla4[ZONA DEFINITIVO],Tabla4[[#This Row],[ZONA DEFINITIVO]])," ")</f>
        <v xml:space="preserve"> </v>
      </c>
      <c r="Z1157" s="12" t="str">
        <f>+IF(Tabla4[[#This Row],[AGRUPACIONES]]=1,SUMIFS(Tabla4[TOTAL COBERTURA],Tabla4[ZONA DEFINITIVO],Tabla4[[#This Row],[ZONA DEFINITIVO]])," ")</f>
        <v xml:space="preserve"> </v>
      </c>
      <c r="AA1157" s="12"/>
      <c r="AB1157" s="38">
        <v>113370036</v>
      </c>
      <c r="AC1157" s="37">
        <v>0.02</v>
      </c>
      <c r="AD1157" s="38">
        <f t="shared" si="18"/>
        <v>2267400.7200000002</v>
      </c>
      <c r="AE1157" s="12"/>
      <c r="AF1157" s="12">
        <f>COUNTIF($A$20:A1157,A1157)</f>
        <v>8</v>
      </c>
      <c r="AG1157" s="38">
        <v>113370036</v>
      </c>
      <c r="AH1157" s="38">
        <f>Tabla4[[#This Row],[VALOR CONTRAPARTIDA]]+Tabla4[[#This Row],[TOTAL APORTES ICBF]]</f>
        <v>115637436.72</v>
      </c>
      <c r="AI1157" s="35"/>
      <c r="AJ1157" s="38"/>
      <c r="AK1157" s="38"/>
      <c r="AL1157" s="23"/>
      <c r="AM1157" s="35">
        <f>VLOOKUP(Tabla4[[#This Row],[SERVICIO 2025]],$J$2:$V$14,5,0)*Tabla4[[#This Row],[TOTAL COBERTURA]]</f>
        <v>2567552</v>
      </c>
      <c r="AN1157" s="35">
        <f>VLOOKUP(Tabla4[[#This Row],[SERVICIO 2025]],$J$2:$V$14,6,0)*Tabla4[[#This Row],[TOTAL COBERTURA]]</f>
        <v>2133508</v>
      </c>
      <c r="AO1157" s="35">
        <f>VLOOKUP(Tabla4[[#This Row],[SERVICIO 2025]],$J$2:$V$14,8,0)*Tabla4[[#This Row],[TOTAL COBERTURA]]</f>
        <v>1513200</v>
      </c>
      <c r="AP1157" s="35">
        <f>VLOOKUP(Tabla4[[#This Row],[SERVICIO 2025]],$J$2:$V$14,3,0)*Tabla4[[#This Row],[TOTAL COBERTURA]]*8</f>
        <v>107155776</v>
      </c>
      <c r="AQ1157" s="35"/>
      <c r="AR1157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1157" s="35" t="str">
        <f>+IF(Tabla4[[#This Row],[AGRUPACIONES]]=1,SUMIFS(Tabla4[VALOR TOTAL],Tabla4[ZONA DEFINITIVO],Tabla4[[#This Row],[ZONA DEFINITIVO]])," ")</f>
        <v xml:space="preserve"> </v>
      </c>
      <c r="AT1157" s="27">
        <f>(VLOOKUP(Tabla4[[#This Row],[SERVICIO 2025]],$J$2:$V$14,3,0)*Tabla4[[#This Row],[TOTAL COBERTURA]])+Tabla4[[#This Row],[VALOR FASE PREPARATORIA DE ALISTAMIENTO]]+Tabla4[[#This Row],[DOTACIÓN ÚNICA]]</f>
        <v>17475224</v>
      </c>
      <c r="AU1157" s="35">
        <f>(VLOOKUP(Tabla4[[#This Row],[SERVICIO 2025]],$J$2:$V$14,3,0)*Tabla4[[#This Row],[TOTAL COBERTURA]])</f>
        <v>13394472</v>
      </c>
      <c r="AV1157" s="35">
        <f>(VLOOKUP(Tabla4[[#This Row],[SERVICIO 2025]],$J$2:$V$14,3,0)*Tabla4[[#This Row],[TOTAL COBERTURA]])</f>
        <v>13394472</v>
      </c>
      <c r="AW1157" s="35">
        <f>(VLOOKUP(Tabla4[[#This Row],[SERVICIO 2025]],$J$2:$V$14,3,0)*Tabla4[[#This Row],[TOTAL COBERTURA]])</f>
        <v>13394472</v>
      </c>
      <c r="AX1157" s="35">
        <f>(VLOOKUP(Tabla4[[#This Row],[SERVICIO 2025]],$J$2:$V$14,3,0)*Tabla4[[#This Row],[TOTAL COBERTURA]])</f>
        <v>13394472</v>
      </c>
      <c r="AY1157" s="35">
        <f>(VLOOKUP(Tabla4[[#This Row],[SERVICIO 2025]],$J$2:$V$14,3,0)*Tabla4[[#This Row],[TOTAL COBERTURA]])</f>
        <v>13394472</v>
      </c>
      <c r="AZ1157" s="35">
        <f>(VLOOKUP(Tabla4[[#This Row],[SERVICIO 2025]],$J$2:$V$14,3,0)*Tabla4[[#This Row],[TOTAL COBERTURA]])</f>
        <v>13394472</v>
      </c>
      <c r="BA1157" s="35">
        <f>(VLOOKUP(Tabla4[[#This Row],[SERVICIO 2025]],$J$2:$V$14,3,0)*Tabla4[[#This Row],[TOTAL COBERTURA]])+Tabla4[[#This Row],[VALOR FASE PREPARATORIA DE CIERRE]]</f>
        <v>15527980</v>
      </c>
      <c r="BB1157" s="35">
        <f>SUM(Tabla4[[#This Row],[DESEMBOLSO 1]:[DESEMBOLSO 8]])</f>
        <v>113370036</v>
      </c>
      <c r="BC1157" s="35">
        <f>VLOOKUP(Tabla4[[#This Row],[SERVICIO 2025]],$J$2:$V$14,10,0)*Tabla4[[#This Row],[TOTAL COBERTURA]]*$W$3</f>
        <v>75039328</v>
      </c>
      <c r="BD1157" s="47" t="s">
        <v>211</v>
      </c>
      <c r="BE1157" s="12" t="b">
        <f>EXACT(Tabla4[[#This Row],[VALOR ATENCIÓN (8 MESES)]],Tabla4[[#This Row],[VALOR TOTAL]])</f>
        <v>1</v>
      </c>
      <c r="BF1157" s="23">
        <f>Tabla4[[#This Row],[VALOR ATENCIÓN (8 MESES)]]-Tabla4[[#This Row],[VALOR TOTAL]]</f>
        <v>0</v>
      </c>
      <c r="BG1157" s="12" t="b">
        <f>EXACT(Tabla4[[#This Row],[TOTAL DESEMBOLSOS]],Tabla4[[#This Row],[VALOR ATENCIÓN (8 MESES)]])</f>
        <v>1</v>
      </c>
      <c r="BH1157" s="29">
        <f>Tabla4[[#This Row],[TOTAL DESEMBOLSOS]]-Tabla4[[#This Row],[VALOR ATENCIÓN (8 MESES)]]</f>
        <v>0</v>
      </c>
      <c r="BI1157" t="s">
        <v>392</v>
      </c>
      <c r="BJ1157">
        <v>2013</v>
      </c>
    </row>
    <row r="1158" spans="1:62">
      <c r="A1158" s="13">
        <v>2013</v>
      </c>
      <c r="B1158" s="13" t="s">
        <v>2514</v>
      </c>
      <c r="C1158" s="12" t="s">
        <v>87</v>
      </c>
      <c r="D1158" s="12" t="s">
        <v>462</v>
      </c>
      <c r="E1158" s="12" t="s">
        <v>2499</v>
      </c>
      <c r="F1158" s="12" t="s">
        <v>18</v>
      </c>
      <c r="G1158" s="12" t="s">
        <v>90</v>
      </c>
      <c r="H1158" s="12" t="s">
        <v>2531</v>
      </c>
      <c r="I1158" s="12">
        <v>58371117411</v>
      </c>
      <c r="J1158" s="12" t="s">
        <v>2532</v>
      </c>
      <c r="K1158" s="12">
        <v>1</v>
      </c>
      <c r="L1158" s="12">
        <v>50</v>
      </c>
      <c r="M1158" s="12"/>
      <c r="N1158" s="13">
        <v>2013</v>
      </c>
      <c r="O1158" s="12" t="s">
        <v>93</v>
      </c>
      <c r="P1158" s="12"/>
      <c r="Q1158" s="12"/>
      <c r="R1158" s="12" t="s">
        <v>94</v>
      </c>
      <c r="S1158" s="12">
        <v>10</v>
      </c>
      <c r="T1158" s="12" t="s">
        <v>1183</v>
      </c>
      <c r="U1158" s="12" t="s">
        <v>1184</v>
      </c>
      <c r="V1158" s="12">
        <f>VLOOKUP(Tabla4[[#This Row],[ZONA DEFINITIVO]],Hoja1!$A$1:$D$121,3,0)</f>
        <v>229186</v>
      </c>
      <c r="W1158" s="12">
        <f>VLOOKUP(Tabla4[[#This Row],[ZONA DEFINITIVO]],Hoja1!$A$1:$D$121,2,0)</f>
        <v>16474</v>
      </c>
      <c r="X1158" s="12">
        <f>VLOOKUP(Tabla4[[#This Row],[ZONA DEFINITIVO]],Hoja1!$A$1:$D$121,4,0)</f>
        <v>95425</v>
      </c>
      <c r="Y1158" s="12" t="str">
        <f>+IF(Tabla4[[#This Row],[AGRUPACIONES]]=1,SUMIFS(Tabla4[UDS],Tabla4[ZONA DEFINITIVO],Tabla4[[#This Row],[ZONA DEFINITIVO]])," ")</f>
        <v xml:space="preserve"> </v>
      </c>
      <c r="Z1158" s="12" t="str">
        <f>+IF(Tabla4[[#This Row],[AGRUPACIONES]]=1,SUMIFS(Tabla4[TOTAL COBERTURA],Tabla4[ZONA DEFINITIVO],Tabla4[[#This Row],[ZONA DEFINITIVO]])," ")</f>
        <v xml:space="preserve"> </v>
      </c>
      <c r="AA1158" s="12"/>
      <c r="AB1158" s="38">
        <v>109009650</v>
      </c>
      <c r="AC1158" s="37">
        <v>0.02</v>
      </c>
      <c r="AD1158" s="38">
        <f t="shared" si="18"/>
        <v>2180193</v>
      </c>
      <c r="AE1158" s="12"/>
      <c r="AF1158" s="12">
        <f>COUNTIF($A$20:A1158,A1158)</f>
        <v>9</v>
      </c>
      <c r="AG1158" s="38">
        <v>109009650</v>
      </c>
      <c r="AH1158" s="38">
        <f>Tabla4[[#This Row],[VALOR CONTRAPARTIDA]]+Tabla4[[#This Row],[TOTAL APORTES ICBF]]</f>
        <v>111189843</v>
      </c>
      <c r="AI1158" s="35"/>
      <c r="AJ1158" s="38"/>
      <c r="AK1158" s="38"/>
      <c r="AL1158" s="23"/>
      <c r="AM1158" s="35">
        <f>VLOOKUP(Tabla4[[#This Row],[SERVICIO 2025]],$J$2:$V$14,5,0)*Tabla4[[#This Row],[TOTAL COBERTURA]]</f>
        <v>2468800</v>
      </c>
      <c r="AN1158" s="35">
        <f>VLOOKUP(Tabla4[[#This Row],[SERVICIO 2025]],$J$2:$V$14,6,0)*Tabla4[[#This Row],[TOTAL COBERTURA]]</f>
        <v>2051450</v>
      </c>
      <c r="AO1158" s="35">
        <f>VLOOKUP(Tabla4[[#This Row],[SERVICIO 2025]],$J$2:$V$14,8,0)*Tabla4[[#This Row],[TOTAL COBERTURA]]</f>
        <v>1455000</v>
      </c>
      <c r="AP1158" s="35">
        <f>VLOOKUP(Tabla4[[#This Row],[SERVICIO 2025]],$J$2:$V$14,3,0)*Tabla4[[#This Row],[TOTAL COBERTURA]]*8</f>
        <v>103034400</v>
      </c>
      <c r="AQ1158" s="35"/>
      <c r="AR1158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58" s="35" t="str">
        <f>+IF(Tabla4[[#This Row],[AGRUPACIONES]]=1,SUMIFS(Tabla4[VALOR TOTAL],Tabla4[ZONA DEFINITIVO],Tabla4[[#This Row],[ZONA DEFINITIVO]])," ")</f>
        <v xml:space="preserve"> </v>
      </c>
      <c r="AT1158" s="27">
        <f>(VLOOKUP(Tabla4[[#This Row],[SERVICIO 2025]],$J$2:$V$14,3,0)*Tabla4[[#This Row],[TOTAL COBERTURA]])+Tabla4[[#This Row],[VALOR FASE PREPARATORIA DE ALISTAMIENTO]]+Tabla4[[#This Row],[DOTACIÓN ÚNICA]]</f>
        <v>16803100</v>
      </c>
      <c r="AU1158" s="35">
        <f>(VLOOKUP(Tabla4[[#This Row],[SERVICIO 2025]],$J$2:$V$14,3,0)*Tabla4[[#This Row],[TOTAL COBERTURA]])</f>
        <v>12879300</v>
      </c>
      <c r="AV1158" s="35">
        <f>(VLOOKUP(Tabla4[[#This Row],[SERVICIO 2025]],$J$2:$V$14,3,0)*Tabla4[[#This Row],[TOTAL COBERTURA]])</f>
        <v>12879300</v>
      </c>
      <c r="AW1158" s="35">
        <f>(VLOOKUP(Tabla4[[#This Row],[SERVICIO 2025]],$J$2:$V$14,3,0)*Tabla4[[#This Row],[TOTAL COBERTURA]])</f>
        <v>12879300</v>
      </c>
      <c r="AX1158" s="35">
        <f>(VLOOKUP(Tabla4[[#This Row],[SERVICIO 2025]],$J$2:$V$14,3,0)*Tabla4[[#This Row],[TOTAL COBERTURA]])</f>
        <v>12879300</v>
      </c>
      <c r="AY1158" s="35">
        <f>(VLOOKUP(Tabla4[[#This Row],[SERVICIO 2025]],$J$2:$V$14,3,0)*Tabla4[[#This Row],[TOTAL COBERTURA]])</f>
        <v>12879300</v>
      </c>
      <c r="AZ1158" s="35">
        <f>(VLOOKUP(Tabla4[[#This Row],[SERVICIO 2025]],$J$2:$V$14,3,0)*Tabla4[[#This Row],[TOTAL COBERTURA]])</f>
        <v>12879300</v>
      </c>
      <c r="BA1158" s="35">
        <f>(VLOOKUP(Tabla4[[#This Row],[SERVICIO 2025]],$J$2:$V$14,3,0)*Tabla4[[#This Row],[TOTAL COBERTURA]])+Tabla4[[#This Row],[VALOR FASE PREPARATORIA DE CIERRE]]</f>
        <v>14930750</v>
      </c>
      <c r="BB1158" s="35">
        <f>SUM(Tabla4[[#This Row],[DESEMBOLSO 1]:[DESEMBOLSO 8]])</f>
        <v>109009650</v>
      </c>
      <c r="BC1158" s="35">
        <f>VLOOKUP(Tabla4[[#This Row],[SERVICIO 2025]],$J$2:$V$14,10,0)*Tabla4[[#This Row],[TOTAL COBERTURA]]*$W$3</f>
        <v>72153200</v>
      </c>
      <c r="BD1158" s="47" t="s">
        <v>211</v>
      </c>
      <c r="BE1158" s="12" t="b">
        <f>EXACT(Tabla4[[#This Row],[VALOR ATENCIÓN (8 MESES)]],Tabla4[[#This Row],[VALOR TOTAL]])</f>
        <v>1</v>
      </c>
      <c r="BF1158" s="23">
        <f>Tabla4[[#This Row],[VALOR ATENCIÓN (8 MESES)]]-Tabla4[[#This Row],[VALOR TOTAL]]</f>
        <v>0</v>
      </c>
      <c r="BG1158" s="12" t="b">
        <f>EXACT(Tabla4[[#This Row],[TOTAL DESEMBOLSOS]],Tabla4[[#This Row],[VALOR ATENCIÓN (8 MESES)]])</f>
        <v>1</v>
      </c>
      <c r="BH1158" s="29">
        <f>Tabla4[[#This Row],[TOTAL DESEMBOLSOS]]-Tabla4[[#This Row],[VALOR ATENCIÓN (8 MESES)]]</f>
        <v>0</v>
      </c>
      <c r="BI1158" t="s">
        <v>392</v>
      </c>
      <c r="BJ1158">
        <v>2013</v>
      </c>
    </row>
    <row r="1159" spans="1:62">
      <c r="A1159" s="13">
        <v>2013</v>
      </c>
      <c r="B1159" s="13" t="s">
        <v>2514</v>
      </c>
      <c r="C1159" s="12" t="s">
        <v>87</v>
      </c>
      <c r="D1159" s="12" t="s">
        <v>462</v>
      </c>
      <c r="E1159" s="12" t="s">
        <v>2499</v>
      </c>
      <c r="F1159" s="12" t="s">
        <v>18</v>
      </c>
      <c r="G1159" s="12" t="s">
        <v>90</v>
      </c>
      <c r="H1159" s="12" t="s">
        <v>2533</v>
      </c>
      <c r="I1159" s="12">
        <v>58371117418</v>
      </c>
      <c r="J1159" s="12" t="s">
        <v>2534</v>
      </c>
      <c r="K1159" s="12">
        <v>1</v>
      </c>
      <c r="L1159" s="12">
        <v>50</v>
      </c>
      <c r="M1159" s="12"/>
      <c r="N1159" s="13">
        <v>2013</v>
      </c>
      <c r="O1159" s="12" t="s">
        <v>93</v>
      </c>
      <c r="P1159" s="12"/>
      <c r="Q1159" s="12"/>
      <c r="R1159" s="12" t="s">
        <v>94</v>
      </c>
      <c r="S1159" s="12">
        <v>10</v>
      </c>
      <c r="T1159" s="12" t="s">
        <v>1183</v>
      </c>
      <c r="U1159" s="12" t="s">
        <v>1184</v>
      </c>
      <c r="V1159" s="12">
        <f>VLOOKUP(Tabla4[[#This Row],[ZONA DEFINITIVO]],Hoja1!$A$1:$D$121,3,0)</f>
        <v>229186</v>
      </c>
      <c r="W1159" s="12">
        <f>VLOOKUP(Tabla4[[#This Row],[ZONA DEFINITIVO]],Hoja1!$A$1:$D$121,2,0)</f>
        <v>16474</v>
      </c>
      <c r="X1159" s="12">
        <f>VLOOKUP(Tabla4[[#This Row],[ZONA DEFINITIVO]],Hoja1!$A$1:$D$121,4,0)</f>
        <v>95425</v>
      </c>
      <c r="Y1159" s="12" t="str">
        <f>+IF(Tabla4[[#This Row],[AGRUPACIONES]]=1,SUMIFS(Tabla4[UDS],Tabla4[ZONA DEFINITIVO],Tabla4[[#This Row],[ZONA DEFINITIVO]])," ")</f>
        <v xml:space="preserve"> </v>
      </c>
      <c r="Z1159" s="12" t="str">
        <f>+IF(Tabla4[[#This Row],[AGRUPACIONES]]=1,SUMIFS(Tabla4[TOTAL COBERTURA],Tabla4[ZONA DEFINITIVO],Tabla4[[#This Row],[ZONA DEFINITIVO]])," ")</f>
        <v xml:space="preserve"> </v>
      </c>
      <c r="AA1159" s="12"/>
      <c r="AB1159" s="38">
        <v>109009650</v>
      </c>
      <c r="AC1159" s="37">
        <v>0.02</v>
      </c>
      <c r="AD1159" s="38">
        <f t="shared" si="18"/>
        <v>2180193</v>
      </c>
      <c r="AE1159" s="12"/>
      <c r="AF1159" s="12">
        <f>COUNTIF($A$20:A1159,A1159)</f>
        <v>10</v>
      </c>
      <c r="AG1159" s="38">
        <v>109009650</v>
      </c>
      <c r="AH1159" s="38">
        <f>Tabla4[[#This Row],[VALOR CONTRAPARTIDA]]+Tabla4[[#This Row],[TOTAL APORTES ICBF]]</f>
        <v>111189843</v>
      </c>
      <c r="AI1159" s="35"/>
      <c r="AJ1159" s="38"/>
      <c r="AK1159" s="38"/>
      <c r="AL1159" s="23"/>
      <c r="AM1159" s="35">
        <f>VLOOKUP(Tabla4[[#This Row],[SERVICIO 2025]],$J$2:$V$14,5,0)*Tabla4[[#This Row],[TOTAL COBERTURA]]</f>
        <v>2468800</v>
      </c>
      <c r="AN1159" s="35">
        <f>VLOOKUP(Tabla4[[#This Row],[SERVICIO 2025]],$J$2:$V$14,6,0)*Tabla4[[#This Row],[TOTAL COBERTURA]]</f>
        <v>2051450</v>
      </c>
      <c r="AO1159" s="35">
        <f>VLOOKUP(Tabla4[[#This Row],[SERVICIO 2025]],$J$2:$V$14,8,0)*Tabla4[[#This Row],[TOTAL COBERTURA]]</f>
        <v>1455000</v>
      </c>
      <c r="AP1159" s="35">
        <f>VLOOKUP(Tabla4[[#This Row],[SERVICIO 2025]],$J$2:$V$14,3,0)*Tabla4[[#This Row],[TOTAL COBERTURA]]*8</f>
        <v>103034400</v>
      </c>
      <c r="AQ1159" s="35"/>
      <c r="AR1159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59" s="35" t="str">
        <f>+IF(Tabla4[[#This Row],[AGRUPACIONES]]=1,SUMIFS(Tabla4[VALOR TOTAL],Tabla4[ZONA DEFINITIVO],Tabla4[[#This Row],[ZONA DEFINITIVO]])," ")</f>
        <v xml:space="preserve"> </v>
      </c>
      <c r="AT1159" s="27">
        <f>(VLOOKUP(Tabla4[[#This Row],[SERVICIO 2025]],$J$2:$V$14,3,0)*Tabla4[[#This Row],[TOTAL COBERTURA]])+Tabla4[[#This Row],[VALOR FASE PREPARATORIA DE ALISTAMIENTO]]+Tabla4[[#This Row],[DOTACIÓN ÚNICA]]</f>
        <v>16803100</v>
      </c>
      <c r="AU1159" s="35">
        <f>(VLOOKUP(Tabla4[[#This Row],[SERVICIO 2025]],$J$2:$V$14,3,0)*Tabla4[[#This Row],[TOTAL COBERTURA]])</f>
        <v>12879300</v>
      </c>
      <c r="AV1159" s="35">
        <f>(VLOOKUP(Tabla4[[#This Row],[SERVICIO 2025]],$J$2:$V$14,3,0)*Tabla4[[#This Row],[TOTAL COBERTURA]])</f>
        <v>12879300</v>
      </c>
      <c r="AW1159" s="35">
        <f>(VLOOKUP(Tabla4[[#This Row],[SERVICIO 2025]],$J$2:$V$14,3,0)*Tabla4[[#This Row],[TOTAL COBERTURA]])</f>
        <v>12879300</v>
      </c>
      <c r="AX1159" s="35">
        <f>(VLOOKUP(Tabla4[[#This Row],[SERVICIO 2025]],$J$2:$V$14,3,0)*Tabla4[[#This Row],[TOTAL COBERTURA]])</f>
        <v>12879300</v>
      </c>
      <c r="AY1159" s="35">
        <f>(VLOOKUP(Tabla4[[#This Row],[SERVICIO 2025]],$J$2:$V$14,3,0)*Tabla4[[#This Row],[TOTAL COBERTURA]])</f>
        <v>12879300</v>
      </c>
      <c r="AZ1159" s="35">
        <f>(VLOOKUP(Tabla4[[#This Row],[SERVICIO 2025]],$J$2:$V$14,3,0)*Tabla4[[#This Row],[TOTAL COBERTURA]])</f>
        <v>12879300</v>
      </c>
      <c r="BA1159" s="35">
        <f>(VLOOKUP(Tabla4[[#This Row],[SERVICIO 2025]],$J$2:$V$14,3,0)*Tabla4[[#This Row],[TOTAL COBERTURA]])+Tabla4[[#This Row],[VALOR FASE PREPARATORIA DE CIERRE]]</f>
        <v>14930750</v>
      </c>
      <c r="BB1159" s="35">
        <f>SUM(Tabla4[[#This Row],[DESEMBOLSO 1]:[DESEMBOLSO 8]])</f>
        <v>109009650</v>
      </c>
      <c r="BC1159" s="35">
        <f>VLOOKUP(Tabla4[[#This Row],[SERVICIO 2025]],$J$2:$V$14,10,0)*Tabla4[[#This Row],[TOTAL COBERTURA]]*$W$3</f>
        <v>72153200</v>
      </c>
      <c r="BD1159" s="47" t="s">
        <v>211</v>
      </c>
      <c r="BE1159" s="12" t="b">
        <f>EXACT(Tabla4[[#This Row],[VALOR ATENCIÓN (8 MESES)]],Tabla4[[#This Row],[VALOR TOTAL]])</f>
        <v>1</v>
      </c>
      <c r="BF1159" s="23">
        <f>Tabla4[[#This Row],[VALOR ATENCIÓN (8 MESES)]]-Tabla4[[#This Row],[VALOR TOTAL]]</f>
        <v>0</v>
      </c>
      <c r="BG1159" s="12" t="b">
        <f>EXACT(Tabla4[[#This Row],[TOTAL DESEMBOLSOS]],Tabla4[[#This Row],[VALOR ATENCIÓN (8 MESES)]])</f>
        <v>1</v>
      </c>
      <c r="BH1159" s="29">
        <f>Tabla4[[#This Row],[TOTAL DESEMBOLSOS]]-Tabla4[[#This Row],[VALOR ATENCIÓN (8 MESES)]]</f>
        <v>0</v>
      </c>
      <c r="BI1159" t="s">
        <v>392</v>
      </c>
      <c r="BJ1159">
        <v>2013</v>
      </c>
    </row>
    <row r="1160" spans="1:62">
      <c r="A1160" s="13">
        <v>2013</v>
      </c>
      <c r="B1160" s="13" t="s">
        <v>2514</v>
      </c>
      <c r="C1160" s="12" t="s">
        <v>87</v>
      </c>
      <c r="D1160" s="12" t="s">
        <v>462</v>
      </c>
      <c r="E1160" s="12" t="s">
        <v>2499</v>
      </c>
      <c r="F1160" s="12" t="s">
        <v>18</v>
      </c>
      <c r="G1160" s="12" t="s">
        <v>90</v>
      </c>
      <c r="H1160" s="12" t="s">
        <v>2535</v>
      </c>
      <c r="I1160" s="12">
        <v>58371117425</v>
      </c>
      <c r="J1160" s="12" t="s">
        <v>2536</v>
      </c>
      <c r="K1160" s="12">
        <v>1</v>
      </c>
      <c r="L1160" s="12">
        <v>77</v>
      </c>
      <c r="M1160" s="12"/>
      <c r="N1160" s="13">
        <v>2013</v>
      </c>
      <c r="O1160" s="12" t="s">
        <v>93</v>
      </c>
      <c r="P1160" s="12"/>
      <c r="Q1160" s="12"/>
      <c r="R1160" s="12" t="s">
        <v>94</v>
      </c>
      <c r="S1160" s="12">
        <v>10</v>
      </c>
      <c r="T1160" s="12" t="s">
        <v>1183</v>
      </c>
      <c r="U1160" s="12" t="s">
        <v>1184</v>
      </c>
      <c r="V1160" s="12">
        <f>VLOOKUP(Tabla4[[#This Row],[ZONA DEFINITIVO]],Hoja1!$A$1:$D$121,3,0)</f>
        <v>229186</v>
      </c>
      <c r="W1160" s="12">
        <f>VLOOKUP(Tabla4[[#This Row],[ZONA DEFINITIVO]],Hoja1!$A$1:$D$121,2,0)</f>
        <v>16474</v>
      </c>
      <c r="X1160" s="12">
        <f>VLOOKUP(Tabla4[[#This Row],[ZONA DEFINITIVO]],Hoja1!$A$1:$D$121,4,0)</f>
        <v>95425</v>
      </c>
      <c r="Y1160" s="12" t="str">
        <f>+IF(Tabla4[[#This Row],[AGRUPACIONES]]=1,SUMIFS(Tabla4[UDS],Tabla4[ZONA DEFINITIVO],Tabla4[[#This Row],[ZONA DEFINITIVO]])," ")</f>
        <v xml:space="preserve"> </v>
      </c>
      <c r="Z1160" s="12" t="str">
        <f>+IF(Tabla4[[#This Row],[AGRUPACIONES]]=1,SUMIFS(Tabla4[TOTAL COBERTURA],Tabla4[ZONA DEFINITIVO],Tabla4[[#This Row],[ZONA DEFINITIVO]])," ")</f>
        <v xml:space="preserve"> </v>
      </c>
      <c r="AA1160" s="12"/>
      <c r="AB1160" s="38">
        <v>167874861</v>
      </c>
      <c r="AC1160" s="37">
        <v>0.02</v>
      </c>
      <c r="AD1160" s="38">
        <f t="shared" si="18"/>
        <v>3357497.22</v>
      </c>
      <c r="AE1160" s="12"/>
      <c r="AF1160" s="12">
        <f>COUNTIF($A$20:A1160,A1160)</f>
        <v>11</v>
      </c>
      <c r="AG1160" s="38">
        <v>167874861</v>
      </c>
      <c r="AH1160" s="38">
        <f>Tabla4[[#This Row],[VALOR CONTRAPARTIDA]]+Tabla4[[#This Row],[TOTAL APORTES ICBF]]</f>
        <v>171232358.22</v>
      </c>
      <c r="AI1160" s="35"/>
      <c r="AJ1160" s="38"/>
      <c r="AK1160" s="38"/>
      <c r="AL1160" s="23"/>
      <c r="AM1160" s="35">
        <f>VLOOKUP(Tabla4[[#This Row],[SERVICIO 2025]],$J$2:$V$14,5,0)*Tabla4[[#This Row],[TOTAL COBERTURA]]</f>
        <v>3801952</v>
      </c>
      <c r="AN1160" s="35">
        <f>VLOOKUP(Tabla4[[#This Row],[SERVICIO 2025]],$J$2:$V$14,6,0)*Tabla4[[#This Row],[TOTAL COBERTURA]]</f>
        <v>3159233</v>
      </c>
      <c r="AO1160" s="35">
        <f>VLOOKUP(Tabla4[[#This Row],[SERVICIO 2025]],$J$2:$V$14,8,0)*Tabla4[[#This Row],[TOTAL COBERTURA]]</f>
        <v>2240700</v>
      </c>
      <c r="AP1160" s="35">
        <f>VLOOKUP(Tabla4[[#This Row],[SERVICIO 2025]],$J$2:$V$14,3,0)*Tabla4[[#This Row],[TOTAL COBERTURA]]*8</f>
        <v>158672976</v>
      </c>
      <c r="AQ1160" s="35"/>
      <c r="AR1160" s="35">
        <f>Tabla4[[#This Row],[VALOR FASE PREPARATORIA DE ALISTAMIENTO]]+Tabla4[[#This Row],[VALOR FASE PREPARATORIA DE CIERRE]]+Tabla4[[#This Row],[DOTACIÓN ÚNICA]]+Tabla4[[#This Row],[VALOR ATENCIÓN]]+Tabla4[[#This Row],[VALOR RACION PREPARADA]]</f>
        <v>167874861</v>
      </c>
      <c r="AS1160" s="35" t="str">
        <f>+IF(Tabla4[[#This Row],[AGRUPACIONES]]=1,SUMIFS(Tabla4[VALOR TOTAL],Tabla4[ZONA DEFINITIVO],Tabla4[[#This Row],[ZONA DEFINITIVO]])," ")</f>
        <v xml:space="preserve"> </v>
      </c>
      <c r="AT1160" s="27">
        <f>(VLOOKUP(Tabla4[[#This Row],[SERVICIO 2025]],$J$2:$V$14,3,0)*Tabla4[[#This Row],[TOTAL COBERTURA]])+Tabla4[[#This Row],[VALOR FASE PREPARATORIA DE ALISTAMIENTO]]+Tabla4[[#This Row],[DOTACIÓN ÚNICA]]</f>
        <v>25876774</v>
      </c>
      <c r="AU1160" s="35">
        <f>(VLOOKUP(Tabla4[[#This Row],[SERVICIO 2025]],$J$2:$V$14,3,0)*Tabla4[[#This Row],[TOTAL COBERTURA]])</f>
        <v>19834122</v>
      </c>
      <c r="AV1160" s="35">
        <f>(VLOOKUP(Tabla4[[#This Row],[SERVICIO 2025]],$J$2:$V$14,3,0)*Tabla4[[#This Row],[TOTAL COBERTURA]])</f>
        <v>19834122</v>
      </c>
      <c r="AW1160" s="35">
        <f>(VLOOKUP(Tabla4[[#This Row],[SERVICIO 2025]],$J$2:$V$14,3,0)*Tabla4[[#This Row],[TOTAL COBERTURA]])</f>
        <v>19834122</v>
      </c>
      <c r="AX1160" s="35">
        <f>(VLOOKUP(Tabla4[[#This Row],[SERVICIO 2025]],$J$2:$V$14,3,0)*Tabla4[[#This Row],[TOTAL COBERTURA]])</f>
        <v>19834122</v>
      </c>
      <c r="AY1160" s="35">
        <f>(VLOOKUP(Tabla4[[#This Row],[SERVICIO 2025]],$J$2:$V$14,3,0)*Tabla4[[#This Row],[TOTAL COBERTURA]])</f>
        <v>19834122</v>
      </c>
      <c r="AZ1160" s="35">
        <f>(VLOOKUP(Tabla4[[#This Row],[SERVICIO 2025]],$J$2:$V$14,3,0)*Tabla4[[#This Row],[TOTAL COBERTURA]])</f>
        <v>19834122</v>
      </c>
      <c r="BA1160" s="35">
        <f>(VLOOKUP(Tabla4[[#This Row],[SERVICIO 2025]],$J$2:$V$14,3,0)*Tabla4[[#This Row],[TOTAL COBERTURA]])+Tabla4[[#This Row],[VALOR FASE PREPARATORIA DE CIERRE]]</f>
        <v>22993355</v>
      </c>
      <c r="BB1160" s="35">
        <f>SUM(Tabla4[[#This Row],[DESEMBOLSO 1]:[DESEMBOLSO 8]])</f>
        <v>167874861</v>
      </c>
      <c r="BC1160" s="35">
        <f>VLOOKUP(Tabla4[[#This Row],[SERVICIO 2025]],$J$2:$V$14,10,0)*Tabla4[[#This Row],[TOTAL COBERTURA]]*$W$3</f>
        <v>111115928</v>
      </c>
      <c r="BD1160" s="47" t="s">
        <v>211</v>
      </c>
      <c r="BE1160" s="12" t="b">
        <f>EXACT(Tabla4[[#This Row],[VALOR ATENCIÓN (8 MESES)]],Tabla4[[#This Row],[VALOR TOTAL]])</f>
        <v>1</v>
      </c>
      <c r="BF1160" s="23">
        <f>Tabla4[[#This Row],[VALOR ATENCIÓN (8 MESES)]]-Tabla4[[#This Row],[VALOR TOTAL]]</f>
        <v>0</v>
      </c>
      <c r="BG1160" s="12" t="b">
        <f>EXACT(Tabla4[[#This Row],[TOTAL DESEMBOLSOS]],Tabla4[[#This Row],[VALOR ATENCIÓN (8 MESES)]])</f>
        <v>1</v>
      </c>
      <c r="BH1160" s="29">
        <f>Tabla4[[#This Row],[TOTAL DESEMBOLSOS]]-Tabla4[[#This Row],[VALOR ATENCIÓN (8 MESES)]]</f>
        <v>0</v>
      </c>
      <c r="BI1160" t="s">
        <v>392</v>
      </c>
      <c r="BJ1160">
        <v>2013</v>
      </c>
    </row>
    <row r="1161" spans="1:62">
      <c r="A1161" s="13">
        <v>2013</v>
      </c>
      <c r="B1161" s="13" t="s">
        <v>2514</v>
      </c>
      <c r="C1161" s="12" t="s">
        <v>87</v>
      </c>
      <c r="D1161" s="12" t="s">
        <v>462</v>
      </c>
      <c r="E1161" s="12" t="s">
        <v>2499</v>
      </c>
      <c r="F1161" s="12" t="s">
        <v>18</v>
      </c>
      <c r="G1161" s="12" t="s">
        <v>90</v>
      </c>
      <c r="H1161" s="12" t="s">
        <v>883</v>
      </c>
      <c r="I1161" s="12">
        <v>58371137348</v>
      </c>
      <c r="J1161" s="12" t="s">
        <v>2537</v>
      </c>
      <c r="K1161" s="12">
        <v>1</v>
      </c>
      <c r="L1161" s="12">
        <v>50</v>
      </c>
      <c r="M1161" s="12"/>
      <c r="N1161" s="13">
        <v>2013</v>
      </c>
      <c r="O1161" s="12" t="s">
        <v>93</v>
      </c>
      <c r="P1161" s="12"/>
      <c r="Q1161" s="12"/>
      <c r="R1161" s="12" t="s">
        <v>94</v>
      </c>
      <c r="S1161" s="12">
        <v>10</v>
      </c>
      <c r="T1161" s="12" t="s">
        <v>1183</v>
      </c>
      <c r="U1161" s="12" t="s">
        <v>1184</v>
      </c>
      <c r="V1161" s="12">
        <f>VLOOKUP(Tabla4[[#This Row],[ZONA DEFINITIVO]],Hoja1!$A$1:$D$121,3,0)</f>
        <v>229186</v>
      </c>
      <c r="W1161" s="12">
        <f>VLOOKUP(Tabla4[[#This Row],[ZONA DEFINITIVO]],Hoja1!$A$1:$D$121,2,0)</f>
        <v>16474</v>
      </c>
      <c r="X1161" s="12">
        <f>VLOOKUP(Tabla4[[#This Row],[ZONA DEFINITIVO]],Hoja1!$A$1:$D$121,4,0)</f>
        <v>95425</v>
      </c>
      <c r="Y1161" s="12" t="str">
        <f>+IF(Tabla4[[#This Row],[AGRUPACIONES]]=1,SUMIFS(Tabla4[UDS],Tabla4[ZONA DEFINITIVO],Tabla4[[#This Row],[ZONA DEFINITIVO]])," ")</f>
        <v xml:space="preserve"> </v>
      </c>
      <c r="Z1161" s="12" t="str">
        <f>+IF(Tabla4[[#This Row],[AGRUPACIONES]]=1,SUMIFS(Tabla4[TOTAL COBERTURA],Tabla4[ZONA DEFINITIVO],Tabla4[[#This Row],[ZONA DEFINITIVO]])," ")</f>
        <v xml:space="preserve"> </v>
      </c>
      <c r="AA1161" s="12"/>
      <c r="AB1161" s="38">
        <v>109009650</v>
      </c>
      <c r="AC1161" s="37">
        <v>0.02</v>
      </c>
      <c r="AD1161" s="38">
        <f t="shared" si="18"/>
        <v>2180193</v>
      </c>
      <c r="AE1161" s="12"/>
      <c r="AF1161" s="12">
        <f>COUNTIF($A$20:A1161,A1161)</f>
        <v>12</v>
      </c>
      <c r="AG1161" s="38">
        <v>109009650</v>
      </c>
      <c r="AH1161" s="38">
        <f>Tabla4[[#This Row],[VALOR CONTRAPARTIDA]]+Tabla4[[#This Row],[TOTAL APORTES ICBF]]</f>
        <v>111189843</v>
      </c>
      <c r="AI1161" s="35"/>
      <c r="AJ1161" s="38"/>
      <c r="AK1161" s="38"/>
      <c r="AL1161" s="23"/>
      <c r="AM1161" s="35">
        <f>VLOOKUP(Tabla4[[#This Row],[SERVICIO 2025]],$J$2:$V$14,5,0)*Tabla4[[#This Row],[TOTAL COBERTURA]]</f>
        <v>2468800</v>
      </c>
      <c r="AN1161" s="35">
        <f>VLOOKUP(Tabla4[[#This Row],[SERVICIO 2025]],$J$2:$V$14,6,0)*Tabla4[[#This Row],[TOTAL COBERTURA]]</f>
        <v>2051450</v>
      </c>
      <c r="AO1161" s="35">
        <f>VLOOKUP(Tabla4[[#This Row],[SERVICIO 2025]],$J$2:$V$14,8,0)*Tabla4[[#This Row],[TOTAL COBERTURA]]</f>
        <v>1455000</v>
      </c>
      <c r="AP1161" s="35">
        <f>VLOOKUP(Tabla4[[#This Row],[SERVICIO 2025]],$J$2:$V$14,3,0)*Tabla4[[#This Row],[TOTAL COBERTURA]]*8</f>
        <v>103034400</v>
      </c>
      <c r="AQ1161" s="35"/>
      <c r="AR1161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61" s="35" t="str">
        <f>+IF(Tabla4[[#This Row],[AGRUPACIONES]]=1,SUMIFS(Tabla4[VALOR TOTAL],Tabla4[ZONA DEFINITIVO],Tabla4[[#This Row],[ZONA DEFINITIVO]])," ")</f>
        <v xml:space="preserve"> </v>
      </c>
      <c r="AT1161" s="27">
        <f>(VLOOKUP(Tabla4[[#This Row],[SERVICIO 2025]],$J$2:$V$14,3,0)*Tabla4[[#This Row],[TOTAL COBERTURA]])+Tabla4[[#This Row],[VALOR FASE PREPARATORIA DE ALISTAMIENTO]]+Tabla4[[#This Row],[DOTACIÓN ÚNICA]]</f>
        <v>16803100</v>
      </c>
      <c r="AU1161" s="35">
        <f>(VLOOKUP(Tabla4[[#This Row],[SERVICIO 2025]],$J$2:$V$14,3,0)*Tabla4[[#This Row],[TOTAL COBERTURA]])</f>
        <v>12879300</v>
      </c>
      <c r="AV1161" s="35">
        <f>(VLOOKUP(Tabla4[[#This Row],[SERVICIO 2025]],$J$2:$V$14,3,0)*Tabla4[[#This Row],[TOTAL COBERTURA]])</f>
        <v>12879300</v>
      </c>
      <c r="AW1161" s="35">
        <f>(VLOOKUP(Tabla4[[#This Row],[SERVICIO 2025]],$J$2:$V$14,3,0)*Tabla4[[#This Row],[TOTAL COBERTURA]])</f>
        <v>12879300</v>
      </c>
      <c r="AX1161" s="35">
        <f>(VLOOKUP(Tabla4[[#This Row],[SERVICIO 2025]],$J$2:$V$14,3,0)*Tabla4[[#This Row],[TOTAL COBERTURA]])</f>
        <v>12879300</v>
      </c>
      <c r="AY1161" s="35">
        <f>(VLOOKUP(Tabla4[[#This Row],[SERVICIO 2025]],$J$2:$V$14,3,0)*Tabla4[[#This Row],[TOTAL COBERTURA]])</f>
        <v>12879300</v>
      </c>
      <c r="AZ1161" s="35">
        <f>(VLOOKUP(Tabla4[[#This Row],[SERVICIO 2025]],$J$2:$V$14,3,0)*Tabla4[[#This Row],[TOTAL COBERTURA]])</f>
        <v>12879300</v>
      </c>
      <c r="BA1161" s="35">
        <f>(VLOOKUP(Tabla4[[#This Row],[SERVICIO 2025]],$J$2:$V$14,3,0)*Tabla4[[#This Row],[TOTAL COBERTURA]])+Tabla4[[#This Row],[VALOR FASE PREPARATORIA DE CIERRE]]</f>
        <v>14930750</v>
      </c>
      <c r="BB1161" s="35">
        <f>SUM(Tabla4[[#This Row],[DESEMBOLSO 1]:[DESEMBOLSO 8]])</f>
        <v>109009650</v>
      </c>
      <c r="BC1161" s="35">
        <f>VLOOKUP(Tabla4[[#This Row],[SERVICIO 2025]],$J$2:$V$14,10,0)*Tabla4[[#This Row],[TOTAL COBERTURA]]*$W$3</f>
        <v>72153200</v>
      </c>
      <c r="BD1161" s="47" t="s">
        <v>211</v>
      </c>
      <c r="BE1161" s="12" t="b">
        <f>EXACT(Tabla4[[#This Row],[VALOR ATENCIÓN (8 MESES)]],Tabla4[[#This Row],[VALOR TOTAL]])</f>
        <v>1</v>
      </c>
      <c r="BF1161" s="23">
        <f>Tabla4[[#This Row],[VALOR ATENCIÓN (8 MESES)]]-Tabla4[[#This Row],[VALOR TOTAL]]</f>
        <v>0</v>
      </c>
      <c r="BG1161" s="12" t="b">
        <f>EXACT(Tabla4[[#This Row],[TOTAL DESEMBOLSOS]],Tabla4[[#This Row],[VALOR ATENCIÓN (8 MESES)]])</f>
        <v>1</v>
      </c>
      <c r="BH1161" s="29">
        <f>Tabla4[[#This Row],[TOTAL DESEMBOLSOS]]-Tabla4[[#This Row],[VALOR ATENCIÓN (8 MESES)]]</f>
        <v>0</v>
      </c>
      <c r="BI1161" t="s">
        <v>392</v>
      </c>
      <c r="BJ1161">
        <v>2013</v>
      </c>
    </row>
    <row r="1162" spans="1:62">
      <c r="A1162" s="13">
        <v>2013</v>
      </c>
      <c r="B1162" s="13" t="s">
        <v>2514</v>
      </c>
      <c r="C1162" s="12" t="s">
        <v>87</v>
      </c>
      <c r="D1162" s="12" t="s">
        <v>462</v>
      </c>
      <c r="E1162" s="12" t="s">
        <v>2499</v>
      </c>
      <c r="F1162" s="12" t="s">
        <v>18</v>
      </c>
      <c r="G1162" s="12" t="s">
        <v>90</v>
      </c>
      <c r="H1162" s="12" t="s">
        <v>2538</v>
      </c>
      <c r="I1162" s="12">
        <v>58371152063</v>
      </c>
      <c r="J1162" s="12" t="s">
        <v>2539</v>
      </c>
      <c r="K1162" s="12">
        <v>1</v>
      </c>
      <c r="L1162" s="12">
        <v>208</v>
      </c>
      <c r="M1162" s="12"/>
      <c r="N1162" s="13">
        <v>2013</v>
      </c>
      <c r="O1162" s="12" t="s">
        <v>93</v>
      </c>
      <c r="P1162" s="12"/>
      <c r="Q1162" s="12"/>
      <c r="R1162" s="12" t="s">
        <v>94</v>
      </c>
      <c r="S1162" s="12">
        <v>10</v>
      </c>
      <c r="T1162" s="12" t="s">
        <v>1183</v>
      </c>
      <c r="U1162" s="12" t="s">
        <v>1184</v>
      </c>
      <c r="V1162" s="12">
        <f>VLOOKUP(Tabla4[[#This Row],[ZONA DEFINITIVO]],Hoja1!$A$1:$D$121,3,0)</f>
        <v>229186</v>
      </c>
      <c r="W1162" s="12">
        <f>VLOOKUP(Tabla4[[#This Row],[ZONA DEFINITIVO]],Hoja1!$A$1:$D$121,2,0)</f>
        <v>16474</v>
      </c>
      <c r="X1162" s="12">
        <f>VLOOKUP(Tabla4[[#This Row],[ZONA DEFINITIVO]],Hoja1!$A$1:$D$121,4,0)</f>
        <v>95425</v>
      </c>
      <c r="Y1162" s="12" t="str">
        <f>+IF(Tabla4[[#This Row],[AGRUPACIONES]]=1,SUMIFS(Tabla4[UDS],Tabla4[ZONA DEFINITIVO],Tabla4[[#This Row],[ZONA DEFINITIVO]])," ")</f>
        <v xml:space="preserve"> </v>
      </c>
      <c r="Z1162" s="12" t="str">
        <f>+IF(Tabla4[[#This Row],[AGRUPACIONES]]=1,SUMIFS(Tabla4[TOTAL COBERTURA],Tabla4[ZONA DEFINITIVO],Tabla4[[#This Row],[ZONA DEFINITIVO]])," ")</f>
        <v xml:space="preserve"> </v>
      </c>
      <c r="AA1162" s="12"/>
      <c r="AB1162" s="38">
        <v>453480144</v>
      </c>
      <c r="AC1162" s="37">
        <v>0.02</v>
      </c>
      <c r="AD1162" s="38">
        <f t="shared" si="18"/>
        <v>9069602.8800000008</v>
      </c>
      <c r="AE1162" s="12"/>
      <c r="AF1162" s="12">
        <f>COUNTIF($A$20:A1162,A1162)</f>
        <v>13</v>
      </c>
      <c r="AG1162" s="38">
        <v>453480144</v>
      </c>
      <c r="AH1162" s="38">
        <f>Tabla4[[#This Row],[VALOR CONTRAPARTIDA]]+Tabla4[[#This Row],[TOTAL APORTES ICBF]]</f>
        <v>462549746.88</v>
      </c>
      <c r="AI1162" s="35"/>
      <c r="AJ1162" s="38"/>
      <c r="AK1162" s="38"/>
      <c r="AL1162" s="23"/>
      <c r="AM1162" s="35">
        <f>VLOOKUP(Tabla4[[#This Row],[SERVICIO 2025]],$J$2:$V$14,5,0)*Tabla4[[#This Row],[TOTAL COBERTURA]]</f>
        <v>10270208</v>
      </c>
      <c r="AN1162" s="35">
        <f>VLOOKUP(Tabla4[[#This Row],[SERVICIO 2025]],$J$2:$V$14,6,0)*Tabla4[[#This Row],[TOTAL COBERTURA]]</f>
        <v>8534032</v>
      </c>
      <c r="AO1162" s="35">
        <f>VLOOKUP(Tabla4[[#This Row],[SERVICIO 2025]],$J$2:$V$14,8,0)*Tabla4[[#This Row],[TOTAL COBERTURA]]</f>
        <v>6052800</v>
      </c>
      <c r="AP1162" s="35">
        <f>VLOOKUP(Tabla4[[#This Row],[SERVICIO 2025]],$J$2:$V$14,3,0)*Tabla4[[#This Row],[TOTAL COBERTURA]]*8</f>
        <v>428623104</v>
      </c>
      <c r="AQ1162" s="35"/>
      <c r="AR1162" s="35">
        <f>Tabla4[[#This Row],[VALOR FASE PREPARATORIA DE ALISTAMIENTO]]+Tabla4[[#This Row],[VALOR FASE PREPARATORIA DE CIERRE]]+Tabla4[[#This Row],[DOTACIÓN ÚNICA]]+Tabla4[[#This Row],[VALOR ATENCIÓN]]+Tabla4[[#This Row],[VALOR RACION PREPARADA]]</f>
        <v>453480144</v>
      </c>
      <c r="AS1162" s="35" t="str">
        <f>+IF(Tabla4[[#This Row],[AGRUPACIONES]]=1,SUMIFS(Tabla4[VALOR TOTAL],Tabla4[ZONA DEFINITIVO],Tabla4[[#This Row],[ZONA DEFINITIVO]])," ")</f>
        <v xml:space="preserve"> </v>
      </c>
      <c r="AT1162" s="27">
        <f>(VLOOKUP(Tabla4[[#This Row],[SERVICIO 2025]],$J$2:$V$14,3,0)*Tabla4[[#This Row],[TOTAL COBERTURA]])+Tabla4[[#This Row],[VALOR FASE PREPARATORIA DE ALISTAMIENTO]]+Tabla4[[#This Row],[DOTACIÓN ÚNICA]]</f>
        <v>69900896</v>
      </c>
      <c r="AU1162" s="35">
        <f>(VLOOKUP(Tabla4[[#This Row],[SERVICIO 2025]],$J$2:$V$14,3,0)*Tabla4[[#This Row],[TOTAL COBERTURA]])</f>
        <v>53577888</v>
      </c>
      <c r="AV1162" s="35">
        <f>(VLOOKUP(Tabla4[[#This Row],[SERVICIO 2025]],$J$2:$V$14,3,0)*Tabla4[[#This Row],[TOTAL COBERTURA]])</f>
        <v>53577888</v>
      </c>
      <c r="AW1162" s="35">
        <f>(VLOOKUP(Tabla4[[#This Row],[SERVICIO 2025]],$J$2:$V$14,3,0)*Tabla4[[#This Row],[TOTAL COBERTURA]])</f>
        <v>53577888</v>
      </c>
      <c r="AX1162" s="35">
        <f>(VLOOKUP(Tabla4[[#This Row],[SERVICIO 2025]],$J$2:$V$14,3,0)*Tabla4[[#This Row],[TOTAL COBERTURA]])</f>
        <v>53577888</v>
      </c>
      <c r="AY1162" s="35">
        <f>(VLOOKUP(Tabla4[[#This Row],[SERVICIO 2025]],$J$2:$V$14,3,0)*Tabla4[[#This Row],[TOTAL COBERTURA]])</f>
        <v>53577888</v>
      </c>
      <c r="AZ1162" s="35">
        <f>(VLOOKUP(Tabla4[[#This Row],[SERVICIO 2025]],$J$2:$V$14,3,0)*Tabla4[[#This Row],[TOTAL COBERTURA]])</f>
        <v>53577888</v>
      </c>
      <c r="BA1162" s="35">
        <f>(VLOOKUP(Tabla4[[#This Row],[SERVICIO 2025]],$J$2:$V$14,3,0)*Tabla4[[#This Row],[TOTAL COBERTURA]])+Tabla4[[#This Row],[VALOR FASE PREPARATORIA DE CIERRE]]</f>
        <v>62111920</v>
      </c>
      <c r="BB1162" s="35">
        <f>SUM(Tabla4[[#This Row],[DESEMBOLSO 1]:[DESEMBOLSO 8]])</f>
        <v>453480144</v>
      </c>
      <c r="BC1162" s="35">
        <f>VLOOKUP(Tabla4[[#This Row],[SERVICIO 2025]],$J$2:$V$14,10,0)*Tabla4[[#This Row],[TOTAL COBERTURA]]*$W$3</f>
        <v>300157312</v>
      </c>
      <c r="BD1162" s="47" t="s">
        <v>211</v>
      </c>
      <c r="BE1162" s="12" t="b">
        <f>EXACT(Tabla4[[#This Row],[VALOR ATENCIÓN (8 MESES)]],Tabla4[[#This Row],[VALOR TOTAL]])</f>
        <v>1</v>
      </c>
      <c r="BF1162" s="23">
        <f>Tabla4[[#This Row],[VALOR ATENCIÓN (8 MESES)]]-Tabla4[[#This Row],[VALOR TOTAL]]</f>
        <v>0</v>
      </c>
      <c r="BG1162" s="12" t="b">
        <f>EXACT(Tabla4[[#This Row],[TOTAL DESEMBOLSOS]],Tabla4[[#This Row],[VALOR ATENCIÓN (8 MESES)]])</f>
        <v>1</v>
      </c>
      <c r="BH1162" s="29">
        <f>Tabla4[[#This Row],[TOTAL DESEMBOLSOS]]-Tabla4[[#This Row],[VALOR ATENCIÓN (8 MESES)]]</f>
        <v>0</v>
      </c>
      <c r="BI1162" t="s">
        <v>392</v>
      </c>
      <c r="BJ1162">
        <v>2013</v>
      </c>
    </row>
    <row r="1163" spans="1:62">
      <c r="A1163" s="13">
        <v>2013</v>
      </c>
      <c r="B1163" s="13" t="s">
        <v>2514</v>
      </c>
      <c r="C1163" s="12" t="s">
        <v>87</v>
      </c>
      <c r="D1163" s="12" t="s">
        <v>462</v>
      </c>
      <c r="E1163" s="12" t="s">
        <v>2499</v>
      </c>
      <c r="F1163" s="12" t="s">
        <v>18</v>
      </c>
      <c r="G1163" s="12" t="s">
        <v>90</v>
      </c>
      <c r="H1163" s="12" t="s">
        <v>2540</v>
      </c>
      <c r="I1163" s="12">
        <v>583700049241</v>
      </c>
      <c r="J1163" s="12" t="s">
        <v>2541</v>
      </c>
      <c r="K1163" s="12">
        <v>1</v>
      </c>
      <c r="L1163" s="12">
        <v>69</v>
      </c>
      <c r="M1163" s="12"/>
      <c r="N1163" s="13">
        <v>2013</v>
      </c>
      <c r="O1163" s="12" t="s">
        <v>93</v>
      </c>
      <c r="P1163" s="12"/>
      <c r="Q1163" s="12"/>
      <c r="R1163" s="12" t="s">
        <v>94</v>
      </c>
      <c r="S1163" s="12">
        <v>10</v>
      </c>
      <c r="T1163" s="12" t="s">
        <v>1183</v>
      </c>
      <c r="U1163" s="12" t="s">
        <v>1184</v>
      </c>
      <c r="V1163" s="12">
        <f>VLOOKUP(Tabla4[[#This Row],[ZONA DEFINITIVO]],Hoja1!$A$1:$D$121,3,0)</f>
        <v>229186</v>
      </c>
      <c r="W1163" s="12">
        <f>VLOOKUP(Tabla4[[#This Row],[ZONA DEFINITIVO]],Hoja1!$A$1:$D$121,2,0)</f>
        <v>16474</v>
      </c>
      <c r="X1163" s="12">
        <f>VLOOKUP(Tabla4[[#This Row],[ZONA DEFINITIVO]],Hoja1!$A$1:$D$121,4,0)</f>
        <v>95425</v>
      </c>
      <c r="Y1163" s="12" t="str">
        <f>+IF(Tabla4[[#This Row],[AGRUPACIONES]]=1,SUMIFS(Tabla4[UDS],Tabla4[ZONA DEFINITIVO],Tabla4[[#This Row],[ZONA DEFINITIVO]])," ")</f>
        <v xml:space="preserve"> </v>
      </c>
      <c r="Z1163" s="12" t="str">
        <f>+IF(Tabla4[[#This Row],[AGRUPACIONES]]=1,SUMIFS(Tabla4[TOTAL COBERTURA],Tabla4[ZONA DEFINITIVO],Tabla4[[#This Row],[ZONA DEFINITIVO]])," ")</f>
        <v xml:space="preserve"> </v>
      </c>
      <c r="AA1163" s="12"/>
      <c r="AB1163" s="38">
        <v>150433317</v>
      </c>
      <c r="AC1163" s="37">
        <v>0.02</v>
      </c>
      <c r="AD1163" s="38">
        <f t="shared" si="18"/>
        <v>3008666.34</v>
      </c>
      <c r="AE1163" s="12"/>
      <c r="AF1163" s="12">
        <f>COUNTIF($A$20:A1163,A1163)</f>
        <v>14</v>
      </c>
      <c r="AG1163" s="38">
        <v>150433317</v>
      </c>
      <c r="AH1163" s="38">
        <f>Tabla4[[#This Row],[VALOR CONTRAPARTIDA]]+Tabla4[[#This Row],[TOTAL APORTES ICBF]]</f>
        <v>153441983.34</v>
      </c>
      <c r="AI1163" s="35"/>
      <c r="AJ1163" s="38"/>
      <c r="AK1163" s="38"/>
      <c r="AL1163" s="23"/>
      <c r="AM1163" s="35">
        <f>VLOOKUP(Tabla4[[#This Row],[SERVICIO 2025]],$J$2:$V$14,5,0)*Tabla4[[#This Row],[TOTAL COBERTURA]]</f>
        <v>3406944</v>
      </c>
      <c r="AN1163" s="35">
        <f>VLOOKUP(Tabla4[[#This Row],[SERVICIO 2025]],$J$2:$V$14,6,0)*Tabla4[[#This Row],[TOTAL COBERTURA]]</f>
        <v>2831001</v>
      </c>
      <c r="AO1163" s="35">
        <f>VLOOKUP(Tabla4[[#This Row],[SERVICIO 2025]],$J$2:$V$14,8,0)*Tabla4[[#This Row],[TOTAL COBERTURA]]</f>
        <v>2007900</v>
      </c>
      <c r="AP1163" s="35">
        <f>VLOOKUP(Tabla4[[#This Row],[SERVICIO 2025]],$J$2:$V$14,3,0)*Tabla4[[#This Row],[TOTAL COBERTURA]]*8</f>
        <v>142187472</v>
      </c>
      <c r="AQ1163" s="35"/>
      <c r="AR1163" s="35">
        <f>Tabla4[[#This Row],[VALOR FASE PREPARATORIA DE ALISTAMIENTO]]+Tabla4[[#This Row],[VALOR FASE PREPARATORIA DE CIERRE]]+Tabla4[[#This Row],[DOTACIÓN ÚNICA]]+Tabla4[[#This Row],[VALOR ATENCIÓN]]+Tabla4[[#This Row],[VALOR RACION PREPARADA]]</f>
        <v>150433317</v>
      </c>
      <c r="AS1163" s="35" t="str">
        <f>+IF(Tabla4[[#This Row],[AGRUPACIONES]]=1,SUMIFS(Tabla4[VALOR TOTAL],Tabla4[ZONA DEFINITIVO],Tabla4[[#This Row],[ZONA DEFINITIVO]])," ")</f>
        <v xml:space="preserve"> </v>
      </c>
      <c r="AT1163" s="27">
        <f>(VLOOKUP(Tabla4[[#This Row],[SERVICIO 2025]],$J$2:$V$14,3,0)*Tabla4[[#This Row],[TOTAL COBERTURA]])+Tabla4[[#This Row],[VALOR FASE PREPARATORIA DE ALISTAMIENTO]]+Tabla4[[#This Row],[DOTACIÓN ÚNICA]]</f>
        <v>23188278</v>
      </c>
      <c r="AU1163" s="35">
        <f>(VLOOKUP(Tabla4[[#This Row],[SERVICIO 2025]],$J$2:$V$14,3,0)*Tabla4[[#This Row],[TOTAL COBERTURA]])</f>
        <v>17773434</v>
      </c>
      <c r="AV1163" s="35">
        <f>(VLOOKUP(Tabla4[[#This Row],[SERVICIO 2025]],$J$2:$V$14,3,0)*Tabla4[[#This Row],[TOTAL COBERTURA]])</f>
        <v>17773434</v>
      </c>
      <c r="AW1163" s="35">
        <f>(VLOOKUP(Tabla4[[#This Row],[SERVICIO 2025]],$J$2:$V$14,3,0)*Tabla4[[#This Row],[TOTAL COBERTURA]])</f>
        <v>17773434</v>
      </c>
      <c r="AX1163" s="35">
        <f>(VLOOKUP(Tabla4[[#This Row],[SERVICIO 2025]],$J$2:$V$14,3,0)*Tabla4[[#This Row],[TOTAL COBERTURA]])</f>
        <v>17773434</v>
      </c>
      <c r="AY1163" s="35">
        <f>(VLOOKUP(Tabla4[[#This Row],[SERVICIO 2025]],$J$2:$V$14,3,0)*Tabla4[[#This Row],[TOTAL COBERTURA]])</f>
        <v>17773434</v>
      </c>
      <c r="AZ1163" s="35">
        <f>(VLOOKUP(Tabla4[[#This Row],[SERVICIO 2025]],$J$2:$V$14,3,0)*Tabla4[[#This Row],[TOTAL COBERTURA]])</f>
        <v>17773434</v>
      </c>
      <c r="BA1163" s="35">
        <f>(VLOOKUP(Tabla4[[#This Row],[SERVICIO 2025]],$J$2:$V$14,3,0)*Tabla4[[#This Row],[TOTAL COBERTURA]])+Tabla4[[#This Row],[VALOR FASE PREPARATORIA DE CIERRE]]</f>
        <v>20604435</v>
      </c>
      <c r="BB1163" s="35">
        <f>SUM(Tabla4[[#This Row],[DESEMBOLSO 1]:[DESEMBOLSO 8]])</f>
        <v>150433317</v>
      </c>
      <c r="BC1163" s="35">
        <f>VLOOKUP(Tabla4[[#This Row],[SERVICIO 2025]],$J$2:$V$14,10,0)*Tabla4[[#This Row],[TOTAL COBERTURA]]*$W$3</f>
        <v>99571416</v>
      </c>
      <c r="BD1163" s="47" t="s">
        <v>211</v>
      </c>
      <c r="BE1163" s="12" t="b">
        <f>EXACT(Tabla4[[#This Row],[VALOR ATENCIÓN (8 MESES)]],Tabla4[[#This Row],[VALOR TOTAL]])</f>
        <v>1</v>
      </c>
      <c r="BF1163" s="23">
        <f>Tabla4[[#This Row],[VALOR ATENCIÓN (8 MESES)]]-Tabla4[[#This Row],[VALOR TOTAL]]</f>
        <v>0</v>
      </c>
      <c r="BG1163" s="12" t="b">
        <f>EXACT(Tabla4[[#This Row],[TOTAL DESEMBOLSOS]],Tabla4[[#This Row],[VALOR ATENCIÓN (8 MESES)]])</f>
        <v>1</v>
      </c>
      <c r="BH1163" s="29">
        <f>Tabla4[[#This Row],[TOTAL DESEMBOLSOS]]-Tabla4[[#This Row],[VALOR ATENCIÓN (8 MESES)]]</f>
        <v>0</v>
      </c>
      <c r="BI1163" t="s">
        <v>392</v>
      </c>
      <c r="BJ1163">
        <v>2013</v>
      </c>
    </row>
    <row r="1164" spans="1:62">
      <c r="A1164" s="13">
        <v>2014</v>
      </c>
      <c r="B1164" s="13" t="s">
        <v>2542</v>
      </c>
      <c r="C1164" s="12" t="s">
        <v>87</v>
      </c>
      <c r="D1164" s="12" t="s">
        <v>462</v>
      </c>
      <c r="E1164" s="12" t="s">
        <v>2499</v>
      </c>
      <c r="F1164" s="12" t="s">
        <v>18</v>
      </c>
      <c r="G1164" s="12" t="s">
        <v>90</v>
      </c>
      <c r="H1164" s="12" t="s">
        <v>2543</v>
      </c>
      <c r="I1164" s="12">
        <v>56651152372</v>
      </c>
      <c r="J1164" s="12" t="s">
        <v>130</v>
      </c>
      <c r="K1164" s="12">
        <v>1</v>
      </c>
      <c r="L1164" s="12">
        <v>20</v>
      </c>
      <c r="M1164" s="12"/>
      <c r="N1164" s="13">
        <v>2014</v>
      </c>
      <c r="O1164" s="12" t="s">
        <v>93</v>
      </c>
      <c r="P1164" s="12"/>
      <c r="Q1164" s="12"/>
      <c r="R1164" s="12" t="s">
        <v>94</v>
      </c>
      <c r="S1164" s="12">
        <v>10</v>
      </c>
      <c r="T1164" s="12" t="s">
        <v>1062</v>
      </c>
      <c r="U1164" s="12" t="s">
        <v>1063</v>
      </c>
      <c r="V1164" s="12">
        <f>VLOOKUP(Tabla4[[#This Row],[ZONA DEFINITIVO]],Hoja1!$A$1:$D$121,3,0)</f>
        <v>229162</v>
      </c>
      <c r="W1164" s="12">
        <f>VLOOKUP(Tabla4[[#This Row],[ZONA DEFINITIVO]],Hoja1!$A$1:$D$121,2,0)</f>
        <v>15250</v>
      </c>
      <c r="X1164" s="12">
        <f>VLOOKUP(Tabla4[[#This Row],[ZONA DEFINITIVO]],Hoja1!$A$1:$D$121,4,0)</f>
        <v>89325</v>
      </c>
      <c r="Y1164" s="12">
        <f>+IF(Tabla4[[#This Row],[AGRUPACIONES]]=1,SUMIFS(Tabla4[UDS],Tabla4[ZONA DEFINITIVO],Tabla4[[#This Row],[ZONA DEFINITIVO]])," ")</f>
        <v>39</v>
      </c>
      <c r="Z1164" s="12">
        <f>+IF(Tabla4[[#This Row],[AGRUPACIONES]]=1,SUMIFS(Tabla4[TOTAL COBERTURA],Tabla4[ZONA DEFINITIVO],Tabla4[[#This Row],[ZONA DEFINITIVO]])," ")</f>
        <v>1039</v>
      </c>
      <c r="AA1164" s="12"/>
      <c r="AB1164" s="38">
        <v>43603860</v>
      </c>
      <c r="AC1164" s="37">
        <v>0.02</v>
      </c>
      <c r="AD1164" s="38">
        <f t="shared" si="18"/>
        <v>872077.20000000007</v>
      </c>
      <c r="AE1164" s="12"/>
      <c r="AF1164" s="12">
        <f>COUNTIF($A$20:A1164,A1164)</f>
        <v>1</v>
      </c>
      <c r="AG1164" s="38">
        <v>43603860</v>
      </c>
      <c r="AH1164" s="38">
        <f>Tabla4[[#This Row],[VALOR CONTRAPARTIDA]]+Tabla4[[#This Row],[TOTAL APORTES ICBF]]</f>
        <v>44475937.200000003</v>
      </c>
      <c r="AI1164" s="35">
        <f>ROUND(+IF(Tabla4[[#This Row],[AGRUPACIONES]]=1,SUMIFS(Tabla4[TOTAL APORTES ICBF],Tabla4[ZONA DEFINITIVO],Tabla4[[#This Row],[ZONA DEFINITIVO]])," "),0)</f>
        <v>2265220527</v>
      </c>
      <c r="AJ1164" s="38">
        <f>ROUND(+IF(Tabla4[[#This Row],[AGRUPACIONES]]=1,SUMIFS(Tabla4[VALOR CONTRAPARTIDA],Tabla4[ZONA DEFINITIVO],Tabla4[[#This Row],[ZONA DEFINITIVO]])," "),0)</f>
        <v>45304411</v>
      </c>
      <c r="AK1164" s="38">
        <f>Tabla4[[#This Row],[TOTAL APORTES ICBF AGRUPADO]]+Tabla4[[#This Row],[TOTAL CONTRAPARTIDA AGRUPADO]]</f>
        <v>2310524938</v>
      </c>
      <c r="AL1164" s="23">
        <f>Tabla4[[#This Row],[TOTAL APORTES ICBF AGRUPADO]]/$AL$18</f>
        <v>1591.3034963119073</v>
      </c>
      <c r="AM1164" s="35">
        <f>VLOOKUP(Tabla4[[#This Row],[SERVICIO 2025]],$J$2:$V$14,5,0)*Tabla4[[#This Row],[TOTAL COBERTURA]]</f>
        <v>987520</v>
      </c>
      <c r="AN1164" s="35">
        <f>VLOOKUP(Tabla4[[#This Row],[SERVICIO 2025]],$J$2:$V$14,6,0)*Tabla4[[#This Row],[TOTAL COBERTURA]]</f>
        <v>820580</v>
      </c>
      <c r="AO1164" s="35">
        <f>VLOOKUP(Tabla4[[#This Row],[SERVICIO 2025]],$J$2:$V$14,8,0)*Tabla4[[#This Row],[TOTAL COBERTURA]]</f>
        <v>582000</v>
      </c>
      <c r="AP1164" s="35">
        <f>VLOOKUP(Tabla4[[#This Row],[SERVICIO 2025]],$J$2:$V$14,3,0)*Tabla4[[#This Row],[TOTAL COBERTURA]]*8</f>
        <v>41213760</v>
      </c>
      <c r="AQ1164" s="35"/>
      <c r="AR1164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164" s="35">
        <f>+IF(Tabla4[[#This Row],[AGRUPACIONES]]=1,SUMIFS(Tabla4[VALOR TOTAL],Tabla4[ZONA DEFINITIVO],Tabla4[[#This Row],[ZONA DEFINITIVO]])," ")</f>
        <v>2265220527</v>
      </c>
      <c r="AT1164" s="27">
        <f>(VLOOKUP(Tabla4[[#This Row],[SERVICIO 2025]],$J$2:$V$14,3,0)*Tabla4[[#This Row],[TOTAL COBERTURA]])+Tabla4[[#This Row],[VALOR FASE PREPARATORIA DE ALISTAMIENTO]]+Tabla4[[#This Row],[DOTACIÓN ÚNICA]]</f>
        <v>6721240</v>
      </c>
      <c r="AU1164" s="35">
        <f>(VLOOKUP(Tabla4[[#This Row],[SERVICIO 2025]],$J$2:$V$14,3,0)*Tabla4[[#This Row],[TOTAL COBERTURA]])</f>
        <v>5151720</v>
      </c>
      <c r="AV1164" s="35">
        <f>(VLOOKUP(Tabla4[[#This Row],[SERVICIO 2025]],$J$2:$V$14,3,0)*Tabla4[[#This Row],[TOTAL COBERTURA]])</f>
        <v>5151720</v>
      </c>
      <c r="AW1164" s="35">
        <f>(VLOOKUP(Tabla4[[#This Row],[SERVICIO 2025]],$J$2:$V$14,3,0)*Tabla4[[#This Row],[TOTAL COBERTURA]])</f>
        <v>5151720</v>
      </c>
      <c r="AX1164" s="35">
        <f>(VLOOKUP(Tabla4[[#This Row],[SERVICIO 2025]],$J$2:$V$14,3,0)*Tabla4[[#This Row],[TOTAL COBERTURA]])</f>
        <v>5151720</v>
      </c>
      <c r="AY1164" s="35">
        <f>(VLOOKUP(Tabla4[[#This Row],[SERVICIO 2025]],$J$2:$V$14,3,0)*Tabla4[[#This Row],[TOTAL COBERTURA]])</f>
        <v>5151720</v>
      </c>
      <c r="AZ1164" s="35">
        <f>(VLOOKUP(Tabla4[[#This Row],[SERVICIO 2025]],$J$2:$V$14,3,0)*Tabla4[[#This Row],[TOTAL COBERTURA]])</f>
        <v>5151720</v>
      </c>
      <c r="BA1164" s="35">
        <f>(VLOOKUP(Tabla4[[#This Row],[SERVICIO 2025]],$J$2:$V$14,3,0)*Tabla4[[#This Row],[TOTAL COBERTURA]])+Tabla4[[#This Row],[VALOR FASE PREPARATORIA DE CIERRE]]</f>
        <v>5972300</v>
      </c>
      <c r="BB1164" s="35">
        <f>SUM(Tabla4[[#This Row],[DESEMBOLSO 1]:[DESEMBOLSO 8]])</f>
        <v>43603860</v>
      </c>
      <c r="BC1164" s="35">
        <f>VLOOKUP(Tabla4[[#This Row],[SERVICIO 2025]],$J$2:$V$14,10,0)*Tabla4[[#This Row],[TOTAL COBERTURA]]*$W$3</f>
        <v>28861280</v>
      </c>
      <c r="BD1164" s="47" t="s">
        <v>211</v>
      </c>
      <c r="BE1164" s="12" t="b">
        <f>EXACT(Tabla4[[#This Row],[VALOR ATENCIÓN (8 MESES)]],Tabla4[[#This Row],[VALOR TOTAL]])</f>
        <v>1</v>
      </c>
      <c r="BF1164" s="23">
        <f>Tabla4[[#This Row],[VALOR ATENCIÓN (8 MESES)]]-Tabla4[[#This Row],[VALOR TOTAL]]</f>
        <v>0</v>
      </c>
      <c r="BG1164" s="12" t="b">
        <f>EXACT(Tabla4[[#This Row],[TOTAL DESEMBOLSOS]],Tabla4[[#This Row],[VALOR ATENCIÓN (8 MESES)]])</f>
        <v>1</v>
      </c>
      <c r="BH1164" s="29">
        <f>Tabla4[[#This Row],[TOTAL DESEMBOLSOS]]-Tabla4[[#This Row],[VALOR ATENCIÓN (8 MESES)]]</f>
        <v>0</v>
      </c>
      <c r="BI1164" t="s">
        <v>98</v>
      </c>
      <c r="BJ1164">
        <v>2014</v>
      </c>
    </row>
    <row r="1165" spans="1:62">
      <c r="A1165" s="13">
        <v>2014</v>
      </c>
      <c r="B1165" s="13" t="s">
        <v>2542</v>
      </c>
      <c r="C1165" s="12" t="s">
        <v>87</v>
      </c>
      <c r="D1165" s="12" t="s">
        <v>462</v>
      </c>
      <c r="E1165" s="12" t="s">
        <v>2499</v>
      </c>
      <c r="F1165" s="12" t="s">
        <v>18</v>
      </c>
      <c r="G1165" s="12" t="s">
        <v>90</v>
      </c>
      <c r="H1165" s="12" t="s">
        <v>2544</v>
      </c>
      <c r="I1165" s="12">
        <v>58371117335</v>
      </c>
      <c r="J1165" s="12" t="s">
        <v>2545</v>
      </c>
      <c r="K1165" s="12">
        <v>1</v>
      </c>
      <c r="L1165" s="12">
        <v>20</v>
      </c>
      <c r="M1165" s="12"/>
      <c r="N1165" s="13">
        <v>2014</v>
      </c>
      <c r="O1165" s="12" t="s">
        <v>93</v>
      </c>
      <c r="P1165" s="12"/>
      <c r="Q1165" s="12"/>
      <c r="R1165" s="12" t="s">
        <v>94</v>
      </c>
      <c r="S1165" s="12">
        <v>10</v>
      </c>
      <c r="T1165" s="12" t="s">
        <v>1062</v>
      </c>
      <c r="U1165" s="12" t="s">
        <v>1063</v>
      </c>
      <c r="V1165" s="12">
        <f>VLOOKUP(Tabla4[[#This Row],[ZONA DEFINITIVO]],Hoja1!$A$1:$D$121,3,0)</f>
        <v>229162</v>
      </c>
      <c r="W1165" s="12">
        <f>VLOOKUP(Tabla4[[#This Row],[ZONA DEFINITIVO]],Hoja1!$A$1:$D$121,2,0)</f>
        <v>15250</v>
      </c>
      <c r="X1165" s="12">
        <f>VLOOKUP(Tabla4[[#This Row],[ZONA DEFINITIVO]],Hoja1!$A$1:$D$121,4,0)</f>
        <v>89325</v>
      </c>
      <c r="Y1165" s="12" t="str">
        <f>+IF(Tabla4[[#This Row],[AGRUPACIONES]]=1,SUMIFS(Tabla4[UDS],Tabla4[ZONA DEFINITIVO],Tabla4[[#This Row],[ZONA DEFINITIVO]])," ")</f>
        <v xml:space="preserve"> </v>
      </c>
      <c r="Z1165" s="12" t="str">
        <f>+IF(Tabla4[[#This Row],[AGRUPACIONES]]=1,SUMIFS(Tabla4[TOTAL COBERTURA],Tabla4[ZONA DEFINITIVO],Tabla4[[#This Row],[ZONA DEFINITIVO]])," ")</f>
        <v xml:space="preserve"> </v>
      </c>
      <c r="AA1165" s="12"/>
      <c r="AB1165" s="38">
        <v>43603860</v>
      </c>
      <c r="AC1165" s="37">
        <v>0.02</v>
      </c>
      <c r="AD1165" s="38">
        <f t="shared" si="18"/>
        <v>872077.20000000007</v>
      </c>
      <c r="AE1165" s="12"/>
      <c r="AF1165" s="12">
        <f>COUNTIF($A$20:A1165,A1165)</f>
        <v>2</v>
      </c>
      <c r="AG1165" s="38">
        <v>43603860</v>
      </c>
      <c r="AH1165" s="38">
        <f>Tabla4[[#This Row],[VALOR CONTRAPARTIDA]]+Tabla4[[#This Row],[TOTAL APORTES ICBF]]</f>
        <v>44475937.200000003</v>
      </c>
      <c r="AI1165" s="35"/>
      <c r="AJ1165" s="38"/>
      <c r="AK1165" s="38"/>
      <c r="AL1165" s="23"/>
      <c r="AM1165" s="35">
        <f>VLOOKUP(Tabla4[[#This Row],[SERVICIO 2025]],$J$2:$V$14,5,0)*Tabla4[[#This Row],[TOTAL COBERTURA]]</f>
        <v>987520</v>
      </c>
      <c r="AN1165" s="35">
        <f>VLOOKUP(Tabla4[[#This Row],[SERVICIO 2025]],$J$2:$V$14,6,0)*Tabla4[[#This Row],[TOTAL COBERTURA]]</f>
        <v>820580</v>
      </c>
      <c r="AO1165" s="35">
        <f>VLOOKUP(Tabla4[[#This Row],[SERVICIO 2025]],$J$2:$V$14,8,0)*Tabla4[[#This Row],[TOTAL COBERTURA]]</f>
        <v>582000</v>
      </c>
      <c r="AP1165" s="35">
        <f>VLOOKUP(Tabla4[[#This Row],[SERVICIO 2025]],$J$2:$V$14,3,0)*Tabla4[[#This Row],[TOTAL COBERTURA]]*8</f>
        <v>41213760</v>
      </c>
      <c r="AQ1165" s="35"/>
      <c r="AR1165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165" s="35" t="str">
        <f>+IF(Tabla4[[#This Row],[AGRUPACIONES]]=1,SUMIFS(Tabla4[VALOR TOTAL],Tabla4[ZONA DEFINITIVO],Tabla4[[#This Row],[ZONA DEFINITIVO]])," ")</f>
        <v xml:space="preserve"> </v>
      </c>
      <c r="AT1165" s="27">
        <f>(VLOOKUP(Tabla4[[#This Row],[SERVICIO 2025]],$J$2:$V$14,3,0)*Tabla4[[#This Row],[TOTAL COBERTURA]])+Tabla4[[#This Row],[VALOR FASE PREPARATORIA DE ALISTAMIENTO]]+Tabla4[[#This Row],[DOTACIÓN ÚNICA]]</f>
        <v>6721240</v>
      </c>
      <c r="AU1165" s="35">
        <f>(VLOOKUP(Tabla4[[#This Row],[SERVICIO 2025]],$J$2:$V$14,3,0)*Tabla4[[#This Row],[TOTAL COBERTURA]])</f>
        <v>5151720</v>
      </c>
      <c r="AV1165" s="35">
        <f>(VLOOKUP(Tabla4[[#This Row],[SERVICIO 2025]],$J$2:$V$14,3,0)*Tabla4[[#This Row],[TOTAL COBERTURA]])</f>
        <v>5151720</v>
      </c>
      <c r="AW1165" s="35">
        <f>(VLOOKUP(Tabla4[[#This Row],[SERVICIO 2025]],$J$2:$V$14,3,0)*Tabla4[[#This Row],[TOTAL COBERTURA]])</f>
        <v>5151720</v>
      </c>
      <c r="AX1165" s="35">
        <f>(VLOOKUP(Tabla4[[#This Row],[SERVICIO 2025]],$J$2:$V$14,3,0)*Tabla4[[#This Row],[TOTAL COBERTURA]])</f>
        <v>5151720</v>
      </c>
      <c r="AY1165" s="35">
        <f>(VLOOKUP(Tabla4[[#This Row],[SERVICIO 2025]],$J$2:$V$14,3,0)*Tabla4[[#This Row],[TOTAL COBERTURA]])</f>
        <v>5151720</v>
      </c>
      <c r="AZ1165" s="35">
        <f>(VLOOKUP(Tabla4[[#This Row],[SERVICIO 2025]],$J$2:$V$14,3,0)*Tabla4[[#This Row],[TOTAL COBERTURA]])</f>
        <v>5151720</v>
      </c>
      <c r="BA1165" s="35">
        <f>(VLOOKUP(Tabla4[[#This Row],[SERVICIO 2025]],$J$2:$V$14,3,0)*Tabla4[[#This Row],[TOTAL COBERTURA]])+Tabla4[[#This Row],[VALOR FASE PREPARATORIA DE CIERRE]]</f>
        <v>5972300</v>
      </c>
      <c r="BB1165" s="35">
        <f>SUM(Tabla4[[#This Row],[DESEMBOLSO 1]:[DESEMBOLSO 8]])</f>
        <v>43603860</v>
      </c>
      <c r="BC1165" s="35">
        <f>VLOOKUP(Tabla4[[#This Row],[SERVICIO 2025]],$J$2:$V$14,10,0)*Tabla4[[#This Row],[TOTAL COBERTURA]]*$W$3</f>
        <v>28861280</v>
      </c>
      <c r="BD1165" s="47" t="s">
        <v>211</v>
      </c>
      <c r="BE1165" s="12" t="b">
        <f>EXACT(Tabla4[[#This Row],[VALOR ATENCIÓN (8 MESES)]],Tabla4[[#This Row],[VALOR TOTAL]])</f>
        <v>1</v>
      </c>
      <c r="BF1165" s="23">
        <f>Tabla4[[#This Row],[VALOR ATENCIÓN (8 MESES)]]-Tabla4[[#This Row],[VALOR TOTAL]]</f>
        <v>0</v>
      </c>
      <c r="BG1165" s="12" t="b">
        <f>EXACT(Tabla4[[#This Row],[TOTAL DESEMBOLSOS]],Tabla4[[#This Row],[VALOR ATENCIÓN (8 MESES)]])</f>
        <v>1</v>
      </c>
      <c r="BH1165" s="29">
        <f>Tabla4[[#This Row],[TOTAL DESEMBOLSOS]]-Tabla4[[#This Row],[VALOR ATENCIÓN (8 MESES)]]</f>
        <v>0</v>
      </c>
      <c r="BI1165" t="s">
        <v>98</v>
      </c>
      <c r="BJ1165">
        <v>2014</v>
      </c>
    </row>
    <row r="1166" spans="1:62">
      <c r="A1166" s="13">
        <v>2014</v>
      </c>
      <c r="B1166" s="13" t="s">
        <v>2542</v>
      </c>
      <c r="C1166" s="12" t="s">
        <v>87</v>
      </c>
      <c r="D1166" s="12" t="s">
        <v>462</v>
      </c>
      <c r="E1166" s="12" t="s">
        <v>2499</v>
      </c>
      <c r="F1166" s="12" t="s">
        <v>18</v>
      </c>
      <c r="G1166" s="12" t="s">
        <v>90</v>
      </c>
      <c r="H1166" s="12" t="s">
        <v>2546</v>
      </c>
      <c r="I1166" s="12">
        <v>58371117347</v>
      </c>
      <c r="J1166" s="12" t="s">
        <v>2547</v>
      </c>
      <c r="K1166" s="12">
        <v>1</v>
      </c>
      <c r="L1166" s="12">
        <v>21</v>
      </c>
      <c r="M1166" s="12"/>
      <c r="N1166" s="13">
        <v>2014</v>
      </c>
      <c r="O1166" s="12" t="s">
        <v>93</v>
      </c>
      <c r="P1166" s="12"/>
      <c r="Q1166" s="12"/>
      <c r="R1166" s="12" t="s">
        <v>94</v>
      </c>
      <c r="S1166" s="12">
        <v>10</v>
      </c>
      <c r="T1166" s="12" t="s">
        <v>1062</v>
      </c>
      <c r="U1166" s="12" t="s">
        <v>1063</v>
      </c>
      <c r="V1166" s="12">
        <f>VLOOKUP(Tabla4[[#This Row],[ZONA DEFINITIVO]],Hoja1!$A$1:$D$121,3,0)</f>
        <v>229162</v>
      </c>
      <c r="W1166" s="12">
        <f>VLOOKUP(Tabla4[[#This Row],[ZONA DEFINITIVO]],Hoja1!$A$1:$D$121,2,0)</f>
        <v>15250</v>
      </c>
      <c r="X1166" s="12">
        <f>VLOOKUP(Tabla4[[#This Row],[ZONA DEFINITIVO]],Hoja1!$A$1:$D$121,4,0)</f>
        <v>89325</v>
      </c>
      <c r="Y1166" s="12" t="str">
        <f>+IF(Tabla4[[#This Row],[AGRUPACIONES]]=1,SUMIFS(Tabla4[UDS],Tabla4[ZONA DEFINITIVO],Tabla4[[#This Row],[ZONA DEFINITIVO]])," ")</f>
        <v xml:space="preserve"> </v>
      </c>
      <c r="Z1166" s="12" t="str">
        <f>+IF(Tabla4[[#This Row],[AGRUPACIONES]]=1,SUMIFS(Tabla4[TOTAL COBERTURA],Tabla4[ZONA DEFINITIVO],Tabla4[[#This Row],[ZONA DEFINITIVO]])," ")</f>
        <v xml:space="preserve"> </v>
      </c>
      <c r="AA1166" s="12"/>
      <c r="AB1166" s="38">
        <v>45784053</v>
      </c>
      <c r="AC1166" s="37">
        <v>0.02</v>
      </c>
      <c r="AD1166" s="38">
        <f t="shared" si="18"/>
        <v>915681.06</v>
      </c>
      <c r="AE1166" s="12"/>
      <c r="AF1166" s="12">
        <f>COUNTIF($A$20:A1166,A1166)</f>
        <v>3</v>
      </c>
      <c r="AG1166" s="38">
        <v>45784053</v>
      </c>
      <c r="AH1166" s="38">
        <f>Tabla4[[#This Row],[VALOR CONTRAPARTIDA]]+Tabla4[[#This Row],[TOTAL APORTES ICBF]]</f>
        <v>46699734.060000002</v>
      </c>
      <c r="AI1166" s="35"/>
      <c r="AJ1166" s="38"/>
      <c r="AK1166" s="38"/>
      <c r="AL1166" s="23"/>
      <c r="AM1166" s="35">
        <f>VLOOKUP(Tabla4[[#This Row],[SERVICIO 2025]],$J$2:$V$14,5,0)*Tabla4[[#This Row],[TOTAL COBERTURA]]</f>
        <v>1036896</v>
      </c>
      <c r="AN1166" s="35">
        <f>VLOOKUP(Tabla4[[#This Row],[SERVICIO 2025]],$J$2:$V$14,6,0)*Tabla4[[#This Row],[TOTAL COBERTURA]]</f>
        <v>861609</v>
      </c>
      <c r="AO1166" s="35">
        <f>VLOOKUP(Tabla4[[#This Row],[SERVICIO 2025]],$J$2:$V$14,8,0)*Tabla4[[#This Row],[TOTAL COBERTURA]]</f>
        <v>611100</v>
      </c>
      <c r="AP1166" s="35">
        <f>VLOOKUP(Tabla4[[#This Row],[SERVICIO 2025]],$J$2:$V$14,3,0)*Tabla4[[#This Row],[TOTAL COBERTURA]]*8</f>
        <v>43274448</v>
      </c>
      <c r="AQ1166" s="35"/>
      <c r="AR1166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1166" s="35" t="str">
        <f>+IF(Tabla4[[#This Row],[AGRUPACIONES]]=1,SUMIFS(Tabla4[VALOR TOTAL],Tabla4[ZONA DEFINITIVO],Tabla4[[#This Row],[ZONA DEFINITIVO]])," ")</f>
        <v xml:space="preserve"> </v>
      </c>
      <c r="AT1166" s="27">
        <f>(VLOOKUP(Tabla4[[#This Row],[SERVICIO 2025]],$J$2:$V$14,3,0)*Tabla4[[#This Row],[TOTAL COBERTURA]])+Tabla4[[#This Row],[VALOR FASE PREPARATORIA DE ALISTAMIENTO]]+Tabla4[[#This Row],[DOTACIÓN ÚNICA]]</f>
        <v>7057302</v>
      </c>
      <c r="AU1166" s="35">
        <f>(VLOOKUP(Tabla4[[#This Row],[SERVICIO 2025]],$J$2:$V$14,3,0)*Tabla4[[#This Row],[TOTAL COBERTURA]])</f>
        <v>5409306</v>
      </c>
      <c r="AV1166" s="35">
        <f>(VLOOKUP(Tabla4[[#This Row],[SERVICIO 2025]],$J$2:$V$14,3,0)*Tabla4[[#This Row],[TOTAL COBERTURA]])</f>
        <v>5409306</v>
      </c>
      <c r="AW1166" s="35">
        <f>(VLOOKUP(Tabla4[[#This Row],[SERVICIO 2025]],$J$2:$V$14,3,0)*Tabla4[[#This Row],[TOTAL COBERTURA]])</f>
        <v>5409306</v>
      </c>
      <c r="AX1166" s="35">
        <f>(VLOOKUP(Tabla4[[#This Row],[SERVICIO 2025]],$J$2:$V$14,3,0)*Tabla4[[#This Row],[TOTAL COBERTURA]])</f>
        <v>5409306</v>
      </c>
      <c r="AY1166" s="35">
        <f>(VLOOKUP(Tabla4[[#This Row],[SERVICIO 2025]],$J$2:$V$14,3,0)*Tabla4[[#This Row],[TOTAL COBERTURA]])</f>
        <v>5409306</v>
      </c>
      <c r="AZ1166" s="35">
        <f>(VLOOKUP(Tabla4[[#This Row],[SERVICIO 2025]],$J$2:$V$14,3,0)*Tabla4[[#This Row],[TOTAL COBERTURA]])</f>
        <v>5409306</v>
      </c>
      <c r="BA1166" s="35">
        <f>(VLOOKUP(Tabla4[[#This Row],[SERVICIO 2025]],$J$2:$V$14,3,0)*Tabla4[[#This Row],[TOTAL COBERTURA]])+Tabla4[[#This Row],[VALOR FASE PREPARATORIA DE CIERRE]]</f>
        <v>6270915</v>
      </c>
      <c r="BB1166" s="35">
        <f>SUM(Tabla4[[#This Row],[DESEMBOLSO 1]:[DESEMBOLSO 8]])</f>
        <v>45784053</v>
      </c>
      <c r="BC1166" s="35">
        <f>VLOOKUP(Tabla4[[#This Row],[SERVICIO 2025]],$J$2:$V$14,10,0)*Tabla4[[#This Row],[TOTAL COBERTURA]]*$W$3</f>
        <v>30304344</v>
      </c>
      <c r="BD1166" s="47" t="s">
        <v>211</v>
      </c>
      <c r="BE1166" s="12" t="b">
        <f>EXACT(Tabla4[[#This Row],[VALOR ATENCIÓN (8 MESES)]],Tabla4[[#This Row],[VALOR TOTAL]])</f>
        <v>1</v>
      </c>
      <c r="BF1166" s="23">
        <f>Tabla4[[#This Row],[VALOR ATENCIÓN (8 MESES)]]-Tabla4[[#This Row],[VALOR TOTAL]]</f>
        <v>0</v>
      </c>
      <c r="BG1166" s="12" t="b">
        <f>EXACT(Tabla4[[#This Row],[TOTAL DESEMBOLSOS]],Tabla4[[#This Row],[VALOR ATENCIÓN (8 MESES)]])</f>
        <v>1</v>
      </c>
      <c r="BH1166" s="29">
        <f>Tabla4[[#This Row],[TOTAL DESEMBOLSOS]]-Tabla4[[#This Row],[VALOR ATENCIÓN (8 MESES)]]</f>
        <v>0</v>
      </c>
      <c r="BI1166" t="s">
        <v>98</v>
      </c>
      <c r="BJ1166">
        <v>2014</v>
      </c>
    </row>
    <row r="1167" spans="1:62">
      <c r="A1167" s="13">
        <v>2014</v>
      </c>
      <c r="B1167" s="13" t="s">
        <v>2542</v>
      </c>
      <c r="C1167" s="12" t="s">
        <v>87</v>
      </c>
      <c r="D1167" s="12" t="s">
        <v>462</v>
      </c>
      <c r="E1167" s="12" t="s">
        <v>2499</v>
      </c>
      <c r="F1167" s="12" t="s">
        <v>18</v>
      </c>
      <c r="G1167" s="12" t="s">
        <v>90</v>
      </c>
      <c r="H1167" s="12" t="s">
        <v>2548</v>
      </c>
      <c r="I1167" s="12">
        <v>58371117350</v>
      </c>
      <c r="J1167" s="12" t="s">
        <v>2549</v>
      </c>
      <c r="K1167" s="12">
        <v>1</v>
      </c>
      <c r="L1167" s="12">
        <v>50</v>
      </c>
      <c r="M1167" s="12"/>
      <c r="N1167" s="13">
        <v>2014</v>
      </c>
      <c r="O1167" s="12" t="s">
        <v>93</v>
      </c>
      <c r="P1167" s="12"/>
      <c r="Q1167" s="12"/>
      <c r="R1167" s="12" t="s">
        <v>94</v>
      </c>
      <c r="S1167" s="12">
        <v>10</v>
      </c>
      <c r="T1167" s="12" t="s">
        <v>1062</v>
      </c>
      <c r="U1167" s="12" t="s">
        <v>1063</v>
      </c>
      <c r="V1167" s="12">
        <f>VLOOKUP(Tabla4[[#This Row],[ZONA DEFINITIVO]],Hoja1!$A$1:$D$121,3,0)</f>
        <v>229162</v>
      </c>
      <c r="W1167" s="12">
        <f>VLOOKUP(Tabla4[[#This Row],[ZONA DEFINITIVO]],Hoja1!$A$1:$D$121,2,0)</f>
        <v>15250</v>
      </c>
      <c r="X1167" s="12">
        <f>VLOOKUP(Tabla4[[#This Row],[ZONA DEFINITIVO]],Hoja1!$A$1:$D$121,4,0)</f>
        <v>89325</v>
      </c>
      <c r="Y1167" s="12" t="str">
        <f>+IF(Tabla4[[#This Row],[AGRUPACIONES]]=1,SUMIFS(Tabla4[UDS],Tabla4[ZONA DEFINITIVO],Tabla4[[#This Row],[ZONA DEFINITIVO]])," ")</f>
        <v xml:space="preserve"> </v>
      </c>
      <c r="Z1167" s="12" t="str">
        <f>+IF(Tabla4[[#This Row],[AGRUPACIONES]]=1,SUMIFS(Tabla4[TOTAL COBERTURA],Tabla4[ZONA DEFINITIVO],Tabla4[[#This Row],[ZONA DEFINITIVO]])," ")</f>
        <v xml:space="preserve"> </v>
      </c>
      <c r="AA1167" s="12"/>
      <c r="AB1167" s="38">
        <v>109009650</v>
      </c>
      <c r="AC1167" s="37">
        <v>0.02</v>
      </c>
      <c r="AD1167" s="38">
        <f t="shared" si="18"/>
        <v>2180193</v>
      </c>
      <c r="AE1167" s="12"/>
      <c r="AF1167" s="12">
        <f>COUNTIF($A$20:A1167,A1167)</f>
        <v>4</v>
      </c>
      <c r="AG1167" s="38">
        <v>109009650</v>
      </c>
      <c r="AH1167" s="38">
        <f>Tabla4[[#This Row],[VALOR CONTRAPARTIDA]]+Tabla4[[#This Row],[TOTAL APORTES ICBF]]</f>
        <v>111189843</v>
      </c>
      <c r="AI1167" s="35"/>
      <c r="AJ1167" s="38"/>
      <c r="AK1167" s="38"/>
      <c r="AL1167" s="23"/>
      <c r="AM1167" s="35">
        <f>VLOOKUP(Tabla4[[#This Row],[SERVICIO 2025]],$J$2:$V$14,5,0)*Tabla4[[#This Row],[TOTAL COBERTURA]]</f>
        <v>2468800</v>
      </c>
      <c r="AN1167" s="35">
        <f>VLOOKUP(Tabla4[[#This Row],[SERVICIO 2025]],$J$2:$V$14,6,0)*Tabla4[[#This Row],[TOTAL COBERTURA]]</f>
        <v>2051450</v>
      </c>
      <c r="AO1167" s="35">
        <f>VLOOKUP(Tabla4[[#This Row],[SERVICIO 2025]],$J$2:$V$14,8,0)*Tabla4[[#This Row],[TOTAL COBERTURA]]</f>
        <v>1455000</v>
      </c>
      <c r="AP1167" s="35">
        <f>VLOOKUP(Tabla4[[#This Row],[SERVICIO 2025]],$J$2:$V$14,3,0)*Tabla4[[#This Row],[TOTAL COBERTURA]]*8</f>
        <v>103034400</v>
      </c>
      <c r="AQ1167" s="35"/>
      <c r="AR1167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67" s="35" t="str">
        <f>+IF(Tabla4[[#This Row],[AGRUPACIONES]]=1,SUMIFS(Tabla4[VALOR TOTAL],Tabla4[ZONA DEFINITIVO],Tabla4[[#This Row],[ZONA DEFINITIVO]])," ")</f>
        <v xml:space="preserve"> </v>
      </c>
      <c r="AT1167" s="27">
        <f>(VLOOKUP(Tabla4[[#This Row],[SERVICIO 2025]],$J$2:$V$14,3,0)*Tabla4[[#This Row],[TOTAL COBERTURA]])+Tabla4[[#This Row],[VALOR FASE PREPARATORIA DE ALISTAMIENTO]]+Tabla4[[#This Row],[DOTACIÓN ÚNICA]]</f>
        <v>16803100</v>
      </c>
      <c r="AU1167" s="35">
        <f>(VLOOKUP(Tabla4[[#This Row],[SERVICIO 2025]],$J$2:$V$14,3,0)*Tabla4[[#This Row],[TOTAL COBERTURA]])</f>
        <v>12879300</v>
      </c>
      <c r="AV1167" s="35">
        <f>(VLOOKUP(Tabla4[[#This Row],[SERVICIO 2025]],$J$2:$V$14,3,0)*Tabla4[[#This Row],[TOTAL COBERTURA]])</f>
        <v>12879300</v>
      </c>
      <c r="AW1167" s="35">
        <f>(VLOOKUP(Tabla4[[#This Row],[SERVICIO 2025]],$J$2:$V$14,3,0)*Tabla4[[#This Row],[TOTAL COBERTURA]])</f>
        <v>12879300</v>
      </c>
      <c r="AX1167" s="35">
        <f>(VLOOKUP(Tabla4[[#This Row],[SERVICIO 2025]],$J$2:$V$14,3,0)*Tabla4[[#This Row],[TOTAL COBERTURA]])</f>
        <v>12879300</v>
      </c>
      <c r="AY1167" s="35">
        <f>(VLOOKUP(Tabla4[[#This Row],[SERVICIO 2025]],$J$2:$V$14,3,0)*Tabla4[[#This Row],[TOTAL COBERTURA]])</f>
        <v>12879300</v>
      </c>
      <c r="AZ1167" s="35">
        <f>(VLOOKUP(Tabla4[[#This Row],[SERVICIO 2025]],$J$2:$V$14,3,0)*Tabla4[[#This Row],[TOTAL COBERTURA]])</f>
        <v>12879300</v>
      </c>
      <c r="BA1167" s="35">
        <f>(VLOOKUP(Tabla4[[#This Row],[SERVICIO 2025]],$J$2:$V$14,3,0)*Tabla4[[#This Row],[TOTAL COBERTURA]])+Tabla4[[#This Row],[VALOR FASE PREPARATORIA DE CIERRE]]</f>
        <v>14930750</v>
      </c>
      <c r="BB1167" s="35">
        <f>SUM(Tabla4[[#This Row],[DESEMBOLSO 1]:[DESEMBOLSO 8]])</f>
        <v>109009650</v>
      </c>
      <c r="BC1167" s="35">
        <f>VLOOKUP(Tabla4[[#This Row],[SERVICIO 2025]],$J$2:$V$14,10,0)*Tabla4[[#This Row],[TOTAL COBERTURA]]*$W$3</f>
        <v>72153200</v>
      </c>
      <c r="BD1167" s="47" t="s">
        <v>211</v>
      </c>
      <c r="BE1167" s="12" t="b">
        <f>EXACT(Tabla4[[#This Row],[VALOR ATENCIÓN (8 MESES)]],Tabla4[[#This Row],[VALOR TOTAL]])</f>
        <v>1</v>
      </c>
      <c r="BF1167" s="23">
        <f>Tabla4[[#This Row],[VALOR ATENCIÓN (8 MESES)]]-Tabla4[[#This Row],[VALOR TOTAL]]</f>
        <v>0</v>
      </c>
      <c r="BG1167" s="12" t="b">
        <f>EXACT(Tabla4[[#This Row],[TOTAL DESEMBOLSOS]],Tabla4[[#This Row],[VALOR ATENCIÓN (8 MESES)]])</f>
        <v>1</v>
      </c>
      <c r="BH1167" s="29">
        <f>Tabla4[[#This Row],[TOTAL DESEMBOLSOS]]-Tabla4[[#This Row],[VALOR ATENCIÓN (8 MESES)]]</f>
        <v>0</v>
      </c>
      <c r="BI1167" t="s">
        <v>98</v>
      </c>
      <c r="BJ1167">
        <v>2014</v>
      </c>
    </row>
    <row r="1168" spans="1:62">
      <c r="A1168" s="13">
        <v>2014</v>
      </c>
      <c r="B1168" s="13" t="s">
        <v>2542</v>
      </c>
      <c r="C1168" s="12" t="s">
        <v>87</v>
      </c>
      <c r="D1168" s="12" t="s">
        <v>462</v>
      </c>
      <c r="E1168" s="12" t="s">
        <v>2499</v>
      </c>
      <c r="F1168" s="12" t="s">
        <v>18</v>
      </c>
      <c r="G1168" s="12" t="s">
        <v>90</v>
      </c>
      <c r="H1168" s="12" t="s">
        <v>2550</v>
      </c>
      <c r="I1168" s="12">
        <v>58371117356</v>
      </c>
      <c r="J1168" s="12" t="s">
        <v>2551</v>
      </c>
      <c r="K1168" s="12">
        <v>1</v>
      </c>
      <c r="L1168" s="12">
        <v>50</v>
      </c>
      <c r="M1168" s="12"/>
      <c r="N1168" s="13">
        <v>2014</v>
      </c>
      <c r="O1168" s="12" t="s">
        <v>93</v>
      </c>
      <c r="P1168" s="12"/>
      <c r="Q1168" s="12"/>
      <c r="R1168" s="12" t="s">
        <v>94</v>
      </c>
      <c r="S1168" s="12">
        <v>10</v>
      </c>
      <c r="T1168" s="12" t="s">
        <v>1062</v>
      </c>
      <c r="U1168" s="12" t="s">
        <v>1063</v>
      </c>
      <c r="V1168" s="12">
        <f>VLOOKUP(Tabla4[[#This Row],[ZONA DEFINITIVO]],Hoja1!$A$1:$D$121,3,0)</f>
        <v>229162</v>
      </c>
      <c r="W1168" s="12">
        <f>VLOOKUP(Tabla4[[#This Row],[ZONA DEFINITIVO]],Hoja1!$A$1:$D$121,2,0)</f>
        <v>15250</v>
      </c>
      <c r="X1168" s="12">
        <f>VLOOKUP(Tabla4[[#This Row],[ZONA DEFINITIVO]],Hoja1!$A$1:$D$121,4,0)</f>
        <v>89325</v>
      </c>
      <c r="Y1168" s="12" t="str">
        <f>+IF(Tabla4[[#This Row],[AGRUPACIONES]]=1,SUMIFS(Tabla4[UDS],Tabla4[ZONA DEFINITIVO],Tabla4[[#This Row],[ZONA DEFINITIVO]])," ")</f>
        <v xml:space="preserve"> </v>
      </c>
      <c r="Z1168" s="12" t="str">
        <f>+IF(Tabla4[[#This Row],[AGRUPACIONES]]=1,SUMIFS(Tabla4[TOTAL COBERTURA],Tabla4[ZONA DEFINITIVO],Tabla4[[#This Row],[ZONA DEFINITIVO]])," ")</f>
        <v xml:space="preserve"> </v>
      </c>
      <c r="AA1168" s="12"/>
      <c r="AB1168" s="38">
        <v>109009650</v>
      </c>
      <c r="AC1168" s="37">
        <v>0.02</v>
      </c>
      <c r="AD1168" s="38">
        <f t="shared" si="18"/>
        <v>2180193</v>
      </c>
      <c r="AE1168" s="12"/>
      <c r="AF1168" s="12">
        <f>COUNTIF($A$20:A1168,A1168)</f>
        <v>5</v>
      </c>
      <c r="AG1168" s="38">
        <v>109009650</v>
      </c>
      <c r="AH1168" s="38">
        <f>Tabla4[[#This Row],[VALOR CONTRAPARTIDA]]+Tabla4[[#This Row],[TOTAL APORTES ICBF]]</f>
        <v>111189843</v>
      </c>
      <c r="AI1168" s="35"/>
      <c r="AJ1168" s="38"/>
      <c r="AK1168" s="38"/>
      <c r="AL1168" s="23"/>
      <c r="AM1168" s="35">
        <f>VLOOKUP(Tabla4[[#This Row],[SERVICIO 2025]],$J$2:$V$14,5,0)*Tabla4[[#This Row],[TOTAL COBERTURA]]</f>
        <v>2468800</v>
      </c>
      <c r="AN1168" s="35">
        <f>VLOOKUP(Tabla4[[#This Row],[SERVICIO 2025]],$J$2:$V$14,6,0)*Tabla4[[#This Row],[TOTAL COBERTURA]]</f>
        <v>2051450</v>
      </c>
      <c r="AO1168" s="35">
        <f>VLOOKUP(Tabla4[[#This Row],[SERVICIO 2025]],$J$2:$V$14,8,0)*Tabla4[[#This Row],[TOTAL COBERTURA]]</f>
        <v>1455000</v>
      </c>
      <c r="AP1168" s="35">
        <f>VLOOKUP(Tabla4[[#This Row],[SERVICIO 2025]],$J$2:$V$14,3,0)*Tabla4[[#This Row],[TOTAL COBERTURA]]*8</f>
        <v>103034400</v>
      </c>
      <c r="AQ1168" s="35"/>
      <c r="AR1168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68" s="35" t="str">
        <f>+IF(Tabla4[[#This Row],[AGRUPACIONES]]=1,SUMIFS(Tabla4[VALOR TOTAL],Tabla4[ZONA DEFINITIVO],Tabla4[[#This Row],[ZONA DEFINITIVO]])," ")</f>
        <v xml:space="preserve"> </v>
      </c>
      <c r="AT1168" s="27">
        <f>(VLOOKUP(Tabla4[[#This Row],[SERVICIO 2025]],$J$2:$V$14,3,0)*Tabla4[[#This Row],[TOTAL COBERTURA]])+Tabla4[[#This Row],[VALOR FASE PREPARATORIA DE ALISTAMIENTO]]+Tabla4[[#This Row],[DOTACIÓN ÚNICA]]</f>
        <v>16803100</v>
      </c>
      <c r="AU1168" s="35">
        <f>(VLOOKUP(Tabla4[[#This Row],[SERVICIO 2025]],$J$2:$V$14,3,0)*Tabla4[[#This Row],[TOTAL COBERTURA]])</f>
        <v>12879300</v>
      </c>
      <c r="AV1168" s="35">
        <f>(VLOOKUP(Tabla4[[#This Row],[SERVICIO 2025]],$J$2:$V$14,3,0)*Tabla4[[#This Row],[TOTAL COBERTURA]])</f>
        <v>12879300</v>
      </c>
      <c r="AW1168" s="35">
        <f>(VLOOKUP(Tabla4[[#This Row],[SERVICIO 2025]],$J$2:$V$14,3,0)*Tabla4[[#This Row],[TOTAL COBERTURA]])</f>
        <v>12879300</v>
      </c>
      <c r="AX1168" s="35">
        <f>(VLOOKUP(Tabla4[[#This Row],[SERVICIO 2025]],$J$2:$V$14,3,0)*Tabla4[[#This Row],[TOTAL COBERTURA]])</f>
        <v>12879300</v>
      </c>
      <c r="AY1168" s="35">
        <f>(VLOOKUP(Tabla4[[#This Row],[SERVICIO 2025]],$J$2:$V$14,3,0)*Tabla4[[#This Row],[TOTAL COBERTURA]])</f>
        <v>12879300</v>
      </c>
      <c r="AZ1168" s="35">
        <f>(VLOOKUP(Tabla4[[#This Row],[SERVICIO 2025]],$J$2:$V$14,3,0)*Tabla4[[#This Row],[TOTAL COBERTURA]])</f>
        <v>12879300</v>
      </c>
      <c r="BA1168" s="35">
        <f>(VLOOKUP(Tabla4[[#This Row],[SERVICIO 2025]],$J$2:$V$14,3,0)*Tabla4[[#This Row],[TOTAL COBERTURA]])+Tabla4[[#This Row],[VALOR FASE PREPARATORIA DE CIERRE]]</f>
        <v>14930750</v>
      </c>
      <c r="BB1168" s="35">
        <f>SUM(Tabla4[[#This Row],[DESEMBOLSO 1]:[DESEMBOLSO 8]])</f>
        <v>109009650</v>
      </c>
      <c r="BC1168" s="35">
        <f>VLOOKUP(Tabla4[[#This Row],[SERVICIO 2025]],$J$2:$V$14,10,0)*Tabla4[[#This Row],[TOTAL COBERTURA]]*$W$3</f>
        <v>72153200</v>
      </c>
      <c r="BD1168" s="47" t="s">
        <v>211</v>
      </c>
      <c r="BE1168" s="12" t="b">
        <f>EXACT(Tabla4[[#This Row],[VALOR ATENCIÓN (8 MESES)]],Tabla4[[#This Row],[VALOR TOTAL]])</f>
        <v>1</v>
      </c>
      <c r="BF1168" s="23">
        <f>Tabla4[[#This Row],[VALOR ATENCIÓN (8 MESES)]]-Tabla4[[#This Row],[VALOR TOTAL]]</f>
        <v>0</v>
      </c>
      <c r="BG1168" s="12" t="b">
        <f>EXACT(Tabla4[[#This Row],[TOTAL DESEMBOLSOS]],Tabla4[[#This Row],[VALOR ATENCIÓN (8 MESES)]])</f>
        <v>1</v>
      </c>
      <c r="BH1168" s="29">
        <f>Tabla4[[#This Row],[TOTAL DESEMBOLSOS]]-Tabla4[[#This Row],[VALOR ATENCIÓN (8 MESES)]]</f>
        <v>0</v>
      </c>
      <c r="BI1168" t="s">
        <v>98</v>
      </c>
      <c r="BJ1168">
        <v>2014</v>
      </c>
    </row>
    <row r="1169" spans="1:62">
      <c r="A1169" s="13">
        <v>2014</v>
      </c>
      <c r="B1169" s="13" t="s">
        <v>2542</v>
      </c>
      <c r="C1169" s="12" t="s">
        <v>87</v>
      </c>
      <c r="D1169" s="12" t="s">
        <v>462</v>
      </c>
      <c r="E1169" s="12" t="s">
        <v>2499</v>
      </c>
      <c r="F1169" s="12" t="s">
        <v>18</v>
      </c>
      <c r="G1169" s="12" t="s">
        <v>90</v>
      </c>
      <c r="H1169" s="12" t="s">
        <v>2552</v>
      </c>
      <c r="I1169" s="12">
        <v>58371117361</v>
      </c>
      <c r="J1169" s="12" t="s">
        <v>2553</v>
      </c>
      <c r="K1169" s="12">
        <v>1</v>
      </c>
      <c r="L1169" s="12">
        <v>19</v>
      </c>
      <c r="M1169" s="12"/>
      <c r="N1169" s="13">
        <v>2014</v>
      </c>
      <c r="O1169" s="12" t="s">
        <v>93</v>
      </c>
      <c r="P1169" s="12"/>
      <c r="Q1169" s="12"/>
      <c r="R1169" s="12" t="s">
        <v>94</v>
      </c>
      <c r="S1169" s="12">
        <v>10</v>
      </c>
      <c r="T1169" s="12" t="s">
        <v>1062</v>
      </c>
      <c r="U1169" s="12" t="s">
        <v>1063</v>
      </c>
      <c r="V1169" s="12">
        <f>VLOOKUP(Tabla4[[#This Row],[ZONA DEFINITIVO]],Hoja1!$A$1:$D$121,3,0)</f>
        <v>229162</v>
      </c>
      <c r="W1169" s="12">
        <f>VLOOKUP(Tabla4[[#This Row],[ZONA DEFINITIVO]],Hoja1!$A$1:$D$121,2,0)</f>
        <v>15250</v>
      </c>
      <c r="X1169" s="12">
        <f>VLOOKUP(Tabla4[[#This Row],[ZONA DEFINITIVO]],Hoja1!$A$1:$D$121,4,0)</f>
        <v>89325</v>
      </c>
      <c r="Y1169" s="12" t="str">
        <f>+IF(Tabla4[[#This Row],[AGRUPACIONES]]=1,SUMIFS(Tabla4[UDS],Tabla4[ZONA DEFINITIVO],Tabla4[[#This Row],[ZONA DEFINITIVO]])," ")</f>
        <v xml:space="preserve"> </v>
      </c>
      <c r="Z1169" s="12" t="str">
        <f>+IF(Tabla4[[#This Row],[AGRUPACIONES]]=1,SUMIFS(Tabla4[TOTAL COBERTURA],Tabla4[ZONA DEFINITIVO],Tabla4[[#This Row],[ZONA DEFINITIVO]])," ")</f>
        <v xml:space="preserve"> </v>
      </c>
      <c r="AA1169" s="12"/>
      <c r="AB1169" s="38">
        <v>41423667</v>
      </c>
      <c r="AC1169" s="37">
        <v>0.02</v>
      </c>
      <c r="AD1169" s="38">
        <f t="shared" si="18"/>
        <v>828473.34</v>
      </c>
      <c r="AE1169" s="12"/>
      <c r="AF1169" s="12">
        <f>COUNTIF($A$20:A1169,A1169)</f>
        <v>6</v>
      </c>
      <c r="AG1169" s="38">
        <v>41423667</v>
      </c>
      <c r="AH1169" s="38">
        <f>Tabla4[[#This Row],[VALOR CONTRAPARTIDA]]+Tabla4[[#This Row],[TOTAL APORTES ICBF]]</f>
        <v>42252140.340000004</v>
      </c>
      <c r="AI1169" s="35"/>
      <c r="AJ1169" s="38"/>
      <c r="AK1169" s="38"/>
      <c r="AL1169" s="23"/>
      <c r="AM1169" s="35">
        <f>VLOOKUP(Tabla4[[#This Row],[SERVICIO 2025]],$J$2:$V$14,5,0)*Tabla4[[#This Row],[TOTAL COBERTURA]]</f>
        <v>938144</v>
      </c>
      <c r="AN1169" s="35">
        <f>VLOOKUP(Tabla4[[#This Row],[SERVICIO 2025]],$J$2:$V$14,6,0)*Tabla4[[#This Row],[TOTAL COBERTURA]]</f>
        <v>779551</v>
      </c>
      <c r="AO1169" s="35">
        <f>VLOOKUP(Tabla4[[#This Row],[SERVICIO 2025]],$J$2:$V$14,8,0)*Tabla4[[#This Row],[TOTAL COBERTURA]]</f>
        <v>552900</v>
      </c>
      <c r="AP1169" s="35">
        <f>VLOOKUP(Tabla4[[#This Row],[SERVICIO 2025]],$J$2:$V$14,3,0)*Tabla4[[#This Row],[TOTAL COBERTURA]]*8</f>
        <v>39153072</v>
      </c>
      <c r="AQ1169" s="35"/>
      <c r="AR1169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1169" s="35" t="str">
        <f>+IF(Tabla4[[#This Row],[AGRUPACIONES]]=1,SUMIFS(Tabla4[VALOR TOTAL],Tabla4[ZONA DEFINITIVO],Tabla4[[#This Row],[ZONA DEFINITIVO]])," ")</f>
        <v xml:space="preserve"> </v>
      </c>
      <c r="AT1169" s="27">
        <f>(VLOOKUP(Tabla4[[#This Row],[SERVICIO 2025]],$J$2:$V$14,3,0)*Tabla4[[#This Row],[TOTAL COBERTURA]])+Tabla4[[#This Row],[VALOR FASE PREPARATORIA DE ALISTAMIENTO]]+Tabla4[[#This Row],[DOTACIÓN ÚNICA]]</f>
        <v>6385178</v>
      </c>
      <c r="AU1169" s="35">
        <f>(VLOOKUP(Tabla4[[#This Row],[SERVICIO 2025]],$J$2:$V$14,3,0)*Tabla4[[#This Row],[TOTAL COBERTURA]])</f>
        <v>4894134</v>
      </c>
      <c r="AV1169" s="35">
        <f>(VLOOKUP(Tabla4[[#This Row],[SERVICIO 2025]],$J$2:$V$14,3,0)*Tabla4[[#This Row],[TOTAL COBERTURA]])</f>
        <v>4894134</v>
      </c>
      <c r="AW1169" s="35">
        <f>(VLOOKUP(Tabla4[[#This Row],[SERVICIO 2025]],$J$2:$V$14,3,0)*Tabla4[[#This Row],[TOTAL COBERTURA]])</f>
        <v>4894134</v>
      </c>
      <c r="AX1169" s="35">
        <f>(VLOOKUP(Tabla4[[#This Row],[SERVICIO 2025]],$J$2:$V$14,3,0)*Tabla4[[#This Row],[TOTAL COBERTURA]])</f>
        <v>4894134</v>
      </c>
      <c r="AY1169" s="35">
        <f>(VLOOKUP(Tabla4[[#This Row],[SERVICIO 2025]],$J$2:$V$14,3,0)*Tabla4[[#This Row],[TOTAL COBERTURA]])</f>
        <v>4894134</v>
      </c>
      <c r="AZ1169" s="35">
        <f>(VLOOKUP(Tabla4[[#This Row],[SERVICIO 2025]],$J$2:$V$14,3,0)*Tabla4[[#This Row],[TOTAL COBERTURA]])</f>
        <v>4894134</v>
      </c>
      <c r="BA1169" s="35">
        <f>(VLOOKUP(Tabla4[[#This Row],[SERVICIO 2025]],$J$2:$V$14,3,0)*Tabla4[[#This Row],[TOTAL COBERTURA]])+Tabla4[[#This Row],[VALOR FASE PREPARATORIA DE CIERRE]]</f>
        <v>5673685</v>
      </c>
      <c r="BB1169" s="35">
        <f>SUM(Tabla4[[#This Row],[DESEMBOLSO 1]:[DESEMBOLSO 8]])</f>
        <v>41423667</v>
      </c>
      <c r="BC1169" s="35">
        <f>VLOOKUP(Tabla4[[#This Row],[SERVICIO 2025]],$J$2:$V$14,10,0)*Tabla4[[#This Row],[TOTAL COBERTURA]]*$W$3</f>
        <v>27418216</v>
      </c>
      <c r="BD1169" s="47" t="s">
        <v>211</v>
      </c>
      <c r="BE1169" s="12" t="b">
        <f>EXACT(Tabla4[[#This Row],[VALOR ATENCIÓN (8 MESES)]],Tabla4[[#This Row],[VALOR TOTAL]])</f>
        <v>1</v>
      </c>
      <c r="BF1169" s="23">
        <f>Tabla4[[#This Row],[VALOR ATENCIÓN (8 MESES)]]-Tabla4[[#This Row],[VALOR TOTAL]]</f>
        <v>0</v>
      </c>
      <c r="BG1169" s="12" t="b">
        <f>EXACT(Tabla4[[#This Row],[TOTAL DESEMBOLSOS]],Tabla4[[#This Row],[VALOR ATENCIÓN (8 MESES)]])</f>
        <v>1</v>
      </c>
      <c r="BH1169" s="29">
        <f>Tabla4[[#This Row],[TOTAL DESEMBOLSOS]]-Tabla4[[#This Row],[VALOR ATENCIÓN (8 MESES)]]</f>
        <v>0</v>
      </c>
      <c r="BI1169" t="s">
        <v>98</v>
      </c>
      <c r="BJ1169">
        <v>2014</v>
      </c>
    </row>
    <row r="1170" spans="1:62">
      <c r="A1170" s="13">
        <v>2014</v>
      </c>
      <c r="B1170" s="13" t="s">
        <v>2542</v>
      </c>
      <c r="C1170" s="12" t="s">
        <v>87</v>
      </c>
      <c r="D1170" s="12" t="s">
        <v>462</v>
      </c>
      <c r="E1170" s="12" t="s">
        <v>2499</v>
      </c>
      <c r="F1170" s="12" t="s">
        <v>18</v>
      </c>
      <c r="G1170" s="12" t="s">
        <v>90</v>
      </c>
      <c r="H1170" s="12" t="s">
        <v>2554</v>
      </c>
      <c r="I1170" s="12">
        <v>58371117367</v>
      </c>
      <c r="J1170" s="12" t="s">
        <v>2555</v>
      </c>
      <c r="K1170" s="12">
        <v>1</v>
      </c>
      <c r="L1170" s="12">
        <v>50</v>
      </c>
      <c r="M1170" s="12"/>
      <c r="N1170" s="13">
        <v>2014</v>
      </c>
      <c r="O1170" s="12" t="s">
        <v>93</v>
      </c>
      <c r="P1170" s="12"/>
      <c r="Q1170" s="12"/>
      <c r="R1170" s="12" t="s">
        <v>94</v>
      </c>
      <c r="S1170" s="12">
        <v>10</v>
      </c>
      <c r="T1170" s="12" t="s">
        <v>1062</v>
      </c>
      <c r="U1170" s="12" t="s">
        <v>1063</v>
      </c>
      <c r="V1170" s="12">
        <f>VLOOKUP(Tabla4[[#This Row],[ZONA DEFINITIVO]],Hoja1!$A$1:$D$121,3,0)</f>
        <v>229162</v>
      </c>
      <c r="W1170" s="12">
        <f>VLOOKUP(Tabla4[[#This Row],[ZONA DEFINITIVO]],Hoja1!$A$1:$D$121,2,0)</f>
        <v>15250</v>
      </c>
      <c r="X1170" s="12">
        <f>VLOOKUP(Tabla4[[#This Row],[ZONA DEFINITIVO]],Hoja1!$A$1:$D$121,4,0)</f>
        <v>89325</v>
      </c>
      <c r="Y1170" s="12" t="str">
        <f>+IF(Tabla4[[#This Row],[AGRUPACIONES]]=1,SUMIFS(Tabla4[UDS],Tabla4[ZONA DEFINITIVO],Tabla4[[#This Row],[ZONA DEFINITIVO]])," ")</f>
        <v xml:space="preserve"> </v>
      </c>
      <c r="Z1170" s="12" t="str">
        <f>+IF(Tabla4[[#This Row],[AGRUPACIONES]]=1,SUMIFS(Tabla4[TOTAL COBERTURA],Tabla4[ZONA DEFINITIVO],Tabla4[[#This Row],[ZONA DEFINITIVO]])," ")</f>
        <v xml:space="preserve"> </v>
      </c>
      <c r="AA1170" s="12"/>
      <c r="AB1170" s="38">
        <v>109009650</v>
      </c>
      <c r="AC1170" s="37">
        <v>0.02</v>
      </c>
      <c r="AD1170" s="38">
        <f t="shared" si="18"/>
        <v>2180193</v>
      </c>
      <c r="AE1170" s="12"/>
      <c r="AF1170" s="12">
        <f>COUNTIF($A$20:A1170,A1170)</f>
        <v>7</v>
      </c>
      <c r="AG1170" s="38">
        <v>109009650</v>
      </c>
      <c r="AH1170" s="38">
        <f>Tabla4[[#This Row],[VALOR CONTRAPARTIDA]]+Tabla4[[#This Row],[TOTAL APORTES ICBF]]</f>
        <v>111189843</v>
      </c>
      <c r="AI1170" s="35"/>
      <c r="AJ1170" s="38"/>
      <c r="AK1170" s="38"/>
      <c r="AL1170" s="23"/>
      <c r="AM1170" s="35">
        <f>VLOOKUP(Tabla4[[#This Row],[SERVICIO 2025]],$J$2:$V$14,5,0)*Tabla4[[#This Row],[TOTAL COBERTURA]]</f>
        <v>2468800</v>
      </c>
      <c r="AN1170" s="35">
        <f>VLOOKUP(Tabla4[[#This Row],[SERVICIO 2025]],$J$2:$V$14,6,0)*Tabla4[[#This Row],[TOTAL COBERTURA]]</f>
        <v>2051450</v>
      </c>
      <c r="AO1170" s="35">
        <f>VLOOKUP(Tabla4[[#This Row],[SERVICIO 2025]],$J$2:$V$14,8,0)*Tabla4[[#This Row],[TOTAL COBERTURA]]</f>
        <v>1455000</v>
      </c>
      <c r="AP1170" s="35">
        <f>VLOOKUP(Tabla4[[#This Row],[SERVICIO 2025]],$J$2:$V$14,3,0)*Tabla4[[#This Row],[TOTAL COBERTURA]]*8</f>
        <v>103034400</v>
      </c>
      <c r="AQ1170" s="35"/>
      <c r="AR1170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70" s="35" t="str">
        <f>+IF(Tabla4[[#This Row],[AGRUPACIONES]]=1,SUMIFS(Tabla4[VALOR TOTAL],Tabla4[ZONA DEFINITIVO],Tabla4[[#This Row],[ZONA DEFINITIVO]])," ")</f>
        <v xml:space="preserve"> </v>
      </c>
      <c r="AT1170" s="27">
        <f>(VLOOKUP(Tabla4[[#This Row],[SERVICIO 2025]],$J$2:$V$14,3,0)*Tabla4[[#This Row],[TOTAL COBERTURA]])+Tabla4[[#This Row],[VALOR FASE PREPARATORIA DE ALISTAMIENTO]]+Tabla4[[#This Row],[DOTACIÓN ÚNICA]]</f>
        <v>16803100</v>
      </c>
      <c r="AU1170" s="35">
        <f>(VLOOKUP(Tabla4[[#This Row],[SERVICIO 2025]],$J$2:$V$14,3,0)*Tabla4[[#This Row],[TOTAL COBERTURA]])</f>
        <v>12879300</v>
      </c>
      <c r="AV1170" s="35">
        <f>(VLOOKUP(Tabla4[[#This Row],[SERVICIO 2025]],$J$2:$V$14,3,0)*Tabla4[[#This Row],[TOTAL COBERTURA]])</f>
        <v>12879300</v>
      </c>
      <c r="AW1170" s="35">
        <f>(VLOOKUP(Tabla4[[#This Row],[SERVICIO 2025]],$J$2:$V$14,3,0)*Tabla4[[#This Row],[TOTAL COBERTURA]])</f>
        <v>12879300</v>
      </c>
      <c r="AX1170" s="35">
        <f>(VLOOKUP(Tabla4[[#This Row],[SERVICIO 2025]],$J$2:$V$14,3,0)*Tabla4[[#This Row],[TOTAL COBERTURA]])</f>
        <v>12879300</v>
      </c>
      <c r="AY1170" s="35">
        <f>(VLOOKUP(Tabla4[[#This Row],[SERVICIO 2025]],$J$2:$V$14,3,0)*Tabla4[[#This Row],[TOTAL COBERTURA]])</f>
        <v>12879300</v>
      </c>
      <c r="AZ1170" s="35">
        <f>(VLOOKUP(Tabla4[[#This Row],[SERVICIO 2025]],$J$2:$V$14,3,0)*Tabla4[[#This Row],[TOTAL COBERTURA]])</f>
        <v>12879300</v>
      </c>
      <c r="BA1170" s="35">
        <f>(VLOOKUP(Tabla4[[#This Row],[SERVICIO 2025]],$J$2:$V$14,3,0)*Tabla4[[#This Row],[TOTAL COBERTURA]])+Tabla4[[#This Row],[VALOR FASE PREPARATORIA DE CIERRE]]</f>
        <v>14930750</v>
      </c>
      <c r="BB1170" s="35">
        <f>SUM(Tabla4[[#This Row],[DESEMBOLSO 1]:[DESEMBOLSO 8]])</f>
        <v>109009650</v>
      </c>
      <c r="BC1170" s="35">
        <f>VLOOKUP(Tabla4[[#This Row],[SERVICIO 2025]],$J$2:$V$14,10,0)*Tabla4[[#This Row],[TOTAL COBERTURA]]*$W$3</f>
        <v>72153200</v>
      </c>
      <c r="BD1170" s="47" t="s">
        <v>211</v>
      </c>
      <c r="BE1170" s="12" t="b">
        <f>EXACT(Tabla4[[#This Row],[VALOR ATENCIÓN (8 MESES)]],Tabla4[[#This Row],[VALOR TOTAL]])</f>
        <v>1</v>
      </c>
      <c r="BF1170" s="23">
        <f>Tabla4[[#This Row],[VALOR ATENCIÓN (8 MESES)]]-Tabla4[[#This Row],[VALOR TOTAL]]</f>
        <v>0</v>
      </c>
      <c r="BG1170" s="12" t="b">
        <f>EXACT(Tabla4[[#This Row],[TOTAL DESEMBOLSOS]],Tabla4[[#This Row],[VALOR ATENCIÓN (8 MESES)]])</f>
        <v>1</v>
      </c>
      <c r="BH1170" s="29">
        <f>Tabla4[[#This Row],[TOTAL DESEMBOLSOS]]-Tabla4[[#This Row],[VALOR ATENCIÓN (8 MESES)]]</f>
        <v>0</v>
      </c>
      <c r="BI1170" t="s">
        <v>98</v>
      </c>
      <c r="BJ1170">
        <v>2014</v>
      </c>
    </row>
    <row r="1171" spans="1:62">
      <c r="A1171" s="13">
        <v>2014</v>
      </c>
      <c r="B1171" s="13" t="s">
        <v>2542</v>
      </c>
      <c r="C1171" s="12" t="s">
        <v>87</v>
      </c>
      <c r="D1171" s="12" t="s">
        <v>462</v>
      </c>
      <c r="E1171" s="12" t="s">
        <v>2499</v>
      </c>
      <c r="F1171" s="12" t="s">
        <v>18</v>
      </c>
      <c r="G1171" s="12" t="s">
        <v>90</v>
      </c>
      <c r="H1171" s="12" t="s">
        <v>2556</v>
      </c>
      <c r="I1171" s="12">
        <v>58371117384</v>
      </c>
      <c r="J1171" s="12" t="s">
        <v>2557</v>
      </c>
      <c r="K1171" s="12">
        <v>1</v>
      </c>
      <c r="L1171" s="12">
        <v>19</v>
      </c>
      <c r="M1171" s="12"/>
      <c r="N1171" s="13">
        <v>2014</v>
      </c>
      <c r="O1171" s="12" t="s">
        <v>93</v>
      </c>
      <c r="P1171" s="12"/>
      <c r="Q1171" s="12"/>
      <c r="R1171" s="12" t="s">
        <v>94</v>
      </c>
      <c r="S1171" s="12">
        <v>10</v>
      </c>
      <c r="T1171" s="12" t="s">
        <v>1062</v>
      </c>
      <c r="U1171" s="12" t="s">
        <v>1063</v>
      </c>
      <c r="V1171" s="12">
        <f>VLOOKUP(Tabla4[[#This Row],[ZONA DEFINITIVO]],Hoja1!$A$1:$D$121,3,0)</f>
        <v>229162</v>
      </c>
      <c r="W1171" s="12">
        <f>VLOOKUP(Tabla4[[#This Row],[ZONA DEFINITIVO]],Hoja1!$A$1:$D$121,2,0)</f>
        <v>15250</v>
      </c>
      <c r="X1171" s="12">
        <f>VLOOKUP(Tabla4[[#This Row],[ZONA DEFINITIVO]],Hoja1!$A$1:$D$121,4,0)</f>
        <v>89325</v>
      </c>
      <c r="Y1171" s="12" t="str">
        <f>+IF(Tabla4[[#This Row],[AGRUPACIONES]]=1,SUMIFS(Tabla4[UDS],Tabla4[ZONA DEFINITIVO],Tabla4[[#This Row],[ZONA DEFINITIVO]])," ")</f>
        <v xml:space="preserve"> </v>
      </c>
      <c r="Z1171" s="12" t="str">
        <f>+IF(Tabla4[[#This Row],[AGRUPACIONES]]=1,SUMIFS(Tabla4[TOTAL COBERTURA],Tabla4[ZONA DEFINITIVO],Tabla4[[#This Row],[ZONA DEFINITIVO]])," ")</f>
        <v xml:space="preserve"> </v>
      </c>
      <c r="AA1171" s="12"/>
      <c r="AB1171" s="38">
        <v>41423667</v>
      </c>
      <c r="AC1171" s="37">
        <v>0.02</v>
      </c>
      <c r="AD1171" s="38">
        <f t="shared" si="18"/>
        <v>828473.34</v>
      </c>
      <c r="AE1171" s="12"/>
      <c r="AF1171" s="12">
        <f>COUNTIF($A$20:A1171,A1171)</f>
        <v>8</v>
      </c>
      <c r="AG1171" s="38">
        <v>41423667</v>
      </c>
      <c r="AH1171" s="38">
        <f>Tabla4[[#This Row],[VALOR CONTRAPARTIDA]]+Tabla4[[#This Row],[TOTAL APORTES ICBF]]</f>
        <v>42252140.340000004</v>
      </c>
      <c r="AI1171" s="35"/>
      <c r="AJ1171" s="38"/>
      <c r="AK1171" s="38"/>
      <c r="AL1171" s="23"/>
      <c r="AM1171" s="35">
        <f>VLOOKUP(Tabla4[[#This Row],[SERVICIO 2025]],$J$2:$V$14,5,0)*Tabla4[[#This Row],[TOTAL COBERTURA]]</f>
        <v>938144</v>
      </c>
      <c r="AN1171" s="35">
        <f>VLOOKUP(Tabla4[[#This Row],[SERVICIO 2025]],$J$2:$V$14,6,0)*Tabla4[[#This Row],[TOTAL COBERTURA]]</f>
        <v>779551</v>
      </c>
      <c r="AO1171" s="35">
        <f>VLOOKUP(Tabla4[[#This Row],[SERVICIO 2025]],$J$2:$V$14,8,0)*Tabla4[[#This Row],[TOTAL COBERTURA]]</f>
        <v>552900</v>
      </c>
      <c r="AP1171" s="35">
        <f>VLOOKUP(Tabla4[[#This Row],[SERVICIO 2025]],$J$2:$V$14,3,0)*Tabla4[[#This Row],[TOTAL COBERTURA]]*8</f>
        <v>39153072</v>
      </c>
      <c r="AQ1171" s="35"/>
      <c r="AR1171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1171" s="35" t="str">
        <f>+IF(Tabla4[[#This Row],[AGRUPACIONES]]=1,SUMIFS(Tabla4[VALOR TOTAL],Tabla4[ZONA DEFINITIVO],Tabla4[[#This Row],[ZONA DEFINITIVO]])," ")</f>
        <v xml:space="preserve"> </v>
      </c>
      <c r="AT1171" s="27">
        <f>(VLOOKUP(Tabla4[[#This Row],[SERVICIO 2025]],$J$2:$V$14,3,0)*Tabla4[[#This Row],[TOTAL COBERTURA]])+Tabla4[[#This Row],[VALOR FASE PREPARATORIA DE ALISTAMIENTO]]+Tabla4[[#This Row],[DOTACIÓN ÚNICA]]</f>
        <v>6385178</v>
      </c>
      <c r="AU1171" s="35">
        <f>(VLOOKUP(Tabla4[[#This Row],[SERVICIO 2025]],$J$2:$V$14,3,0)*Tabla4[[#This Row],[TOTAL COBERTURA]])</f>
        <v>4894134</v>
      </c>
      <c r="AV1171" s="35">
        <f>(VLOOKUP(Tabla4[[#This Row],[SERVICIO 2025]],$J$2:$V$14,3,0)*Tabla4[[#This Row],[TOTAL COBERTURA]])</f>
        <v>4894134</v>
      </c>
      <c r="AW1171" s="35">
        <f>(VLOOKUP(Tabla4[[#This Row],[SERVICIO 2025]],$J$2:$V$14,3,0)*Tabla4[[#This Row],[TOTAL COBERTURA]])</f>
        <v>4894134</v>
      </c>
      <c r="AX1171" s="35">
        <f>(VLOOKUP(Tabla4[[#This Row],[SERVICIO 2025]],$J$2:$V$14,3,0)*Tabla4[[#This Row],[TOTAL COBERTURA]])</f>
        <v>4894134</v>
      </c>
      <c r="AY1171" s="35">
        <f>(VLOOKUP(Tabla4[[#This Row],[SERVICIO 2025]],$J$2:$V$14,3,0)*Tabla4[[#This Row],[TOTAL COBERTURA]])</f>
        <v>4894134</v>
      </c>
      <c r="AZ1171" s="35">
        <f>(VLOOKUP(Tabla4[[#This Row],[SERVICIO 2025]],$J$2:$V$14,3,0)*Tabla4[[#This Row],[TOTAL COBERTURA]])</f>
        <v>4894134</v>
      </c>
      <c r="BA1171" s="35">
        <f>(VLOOKUP(Tabla4[[#This Row],[SERVICIO 2025]],$J$2:$V$14,3,0)*Tabla4[[#This Row],[TOTAL COBERTURA]])+Tabla4[[#This Row],[VALOR FASE PREPARATORIA DE CIERRE]]</f>
        <v>5673685</v>
      </c>
      <c r="BB1171" s="35">
        <f>SUM(Tabla4[[#This Row],[DESEMBOLSO 1]:[DESEMBOLSO 8]])</f>
        <v>41423667</v>
      </c>
      <c r="BC1171" s="35">
        <f>VLOOKUP(Tabla4[[#This Row],[SERVICIO 2025]],$J$2:$V$14,10,0)*Tabla4[[#This Row],[TOTAL COBERTURA]]*$W$3</f>
        <v>27418216</v>
      </c>
      <c r="BD1171" s="47" t="s">
        <v>211</v>
      </c>
      <c r="BE1171" s="12" t="b">
        <f>EXACT(Tabla4[[#This Row],[VALOR ATENCIÓN (8 MESES)]],Tabla4[[#This Row],[VALOR TOTAL]])</f>
        <v>1</v>
      </c>
      <c r="BF1171" s="23">
        <f>Tabla4[[#This Row],[VALOR ATENCIÓN (8 MESES)]]-Tabla4[[#This Row],[VALOR TOTAL]]</f>
        <v>0</v>
      </c>
      <c r="BG1171" s="12" t="b">
        <f>EXACT(Tabla4[[#This Row],[TOTAL DESEMBOLSOS]],Tabla4[[#This Row],[VALOR ATENCIÓN (8 MESES)]])</f>
        <v>1</v>
      </c>
      <c r="BH1171" s="29">
        <f>Tabla4[[#This Row],[TOTAL DESEMBOLSOS]]-Tabla4[[#This Row],[VALOR ATENCIÓN (8 MESES)]]</f>
        <v>0</v>
      </c>
      <c r="BI1171" t="s">
        <v>98</v>
      </c>
      <c r="BJ1171">
        <v>2014</v>
      </c>
    </row>
    <row r="1172" spans="1:62">
      <c r="A1172" s="13">
        <v>2014</v>
      </c>
      <c r="B1172" s="13" t="s">
        <v>2542</v>
      </c>
      <c r="C1172" s="12" t="s">
        <v>87</v>
      </c>
      <c r="D1172" s="12" t="s">
        <v>462</v>
      </c>
      <c r="E1172" s="12" t="s">
        <v>2499</v>
      </c>
      <c r="F1172" s="12" t="s">
        <v>18</v>
      </c>
      <c r="G1172" s="12" t="s">
        <v>90</v>
      </c>
      <c r="H1172" s="12" t="s">
        <v>2558</v>
      </c>
      <c r="I1172" s="12">
        <v>58371117393</v>
      </c>
      <c r="J1172" s="12" t="s">
        <v>2559</v>
      </c>
      <c r="K1172" s="12">
        <v>1</v>
      </c>
      <c r="L1172" s="12">
        <v>31</v>
      </c>
      <c r="M1172" s="12"/>
      <c r="N1172" s="13">
        <v>2014</v>
      </c>
      <c r="O1172" s="12" t="s">
        <v>93</v>
      </c>
      <c r="P1172" s="12"/>
      <c r="Q1172" s="12"/>
      <c r="R1172" s="12" t="s">
        <v>94</v>
      </c>
      <c r="S1172" s="12">
        <v>10</v>
      </c>
      <c r="T1172" s="12" t="s">
        <v>1062</v>
      </c>
      <c r="U1172" s="12" t="s">
        <v>1063</v>
      </c>
      <c r="V1172" s="12">
        <f>VLOOKUP(Tabla4[[#This Row],[ZONA DEFINITIVO]],Hoja1!$A$1:$D$121,3,0)</f>
        <v>229162</v>
      </c>
      <c r="W1172" s="12">
        <f>VLOOKUP(Tabla4[[#This Row],[ZONA DEFINITIVO]],Hoja1!$A$1:$D$121,2,0)</f>
        <v>15250</v>
      </c>
      <c r="X1172" s="12">
        <f>VLOOKUP(Tabla4[[#This Row],[ZONA DEFINITIVO]],Hoja1!$A$1:$D$121,4,0)</f>
        <v>89325</v>
      </c>
      <c r="Y1172" s="12" t="str">
        <f>+IF(Tabla4[[#This Row],[AGRUPACIONES]]=1,SUMIFS(Tabla4[UDS],Tabla4[ZONA DEFINITIVO],Tabla4[[#This Row],[ZONA DEFINITIVO]])," ")</f>
        <v xml:space="preserve"> </v>
      </c>
      <c r="Z1172" s="12" t="str">
        <f>+IF(Tabla4[[#This Row],[AGRUPACIONES]]=1,SUMIFS(Tabla4[TOTAL COBERTURA],Tabla4[ZONA DEFINITIVO],Tabla4[[#This Row],[ZONA DEFINITIVO]])," ")</f>
        <v xml:space="preserve"> </v>
      </c>
      <c r="AA1172" s="12"/>
      <c r="AB1172" s="38">
        <v>67585983</v>
      </c>
      <c r="AC1172" s="37">
        <v>0.02</v>
      </c>
      <c r="AD1172" s="38">
        <f t="shared" ref="AD1172:AD1235" si="19">AB1172*AC1172</f>
        <v>1351719.66</v>
      </c>
      <c r="AE1172" s="12"/>
      <c r="AF1172" s="12">
        <f>COUNTIF($A$20:A1172,A1172)</f>
        <v>9</v>
      </c>
      <c r="AG1172" s="38">
        <v>67585983</v>
      </c>
      <c r="AH1172" s="38">
        <f>Tabla4[[#This Row],[VALOR CONTRAPARTIDA]]+Tabla4[[#This Row],[TOTAL APORTES ICBF]]</f>
        <v>68937702.659999996</v>
      </c>
      <c r="AI1172" s="35"/>
      <c r="AJ1172" s="38"/>
      <c r="AK1172" s="38"/>
      <c r="AL1172" s="23"/>
      <c r="AM1172" s="35">
        <f>VLOOKUP(Tabla4[[#This Row],[SERVICIO 2025]],$J$2:$V$14,5,0)*Tabla4[[#This Row],[TOTAL COBERTURA]]</f>
        <v>1530656</v>
      </c>
      <c r="AN1172" s="35">
        <f>VLOOKUP(Tabla4[[#This Row],[SERVICIO 2025]],$J$2:$V$14,6,0)*Tabla4[[#This Row],[TOTAL COBERTURA]]</f>
        <v>1271899</v>
      </c>
      <c r="AO1172" s="35">
        <f>VLOOKUP(Tabla4[[#This Row],[SERVICIO 2025]],$J$2:$V$14,8,0)*Tabla4[[#This Row],[TOTAL COBERTURA]]</f>
        <v>902100</v>
      </c>
      <c r="AP1172" s="35">
        <f>VLOOKUP(Tabla4[[#This Row],[SERVICIO 2025]],$J$2:$V$14,3,0)*Tabla4[[#This Row],[TOTAL COBERTURA]]*8</f>
        <v>63881328</v>
      </c>
      <c r="AQ1172" s="35"/>
      <c r="AR1172" s="35">
        <f>Tabla4[[#This Row],[VALOR FASE PREPARATORIA DE ALISTAMIENTO]]+Tabla4[[#This Row],[VALOR FASE PREPARATORIA DE CIERRE]]+Tabla4[[#This Row],[DOTACIÓN ÚNICA]]+Tabla4[[#This Row],[VALOR ATENCIÓN]]+Tabla4[[#This Row],[VALOR RACION PREPARADA]]</f>
        <v>67585983</v>
      </c>
      <c r="AS1172" s="35" t="str">
        <f>+IF(Tabla4[[#This Row],[AGRUPACIONES]]=1,SUMIFS(Tabla4[VALOR TOTAL],Tabla4[ZONA DEFINITIVO],Tabla4[[#This Row],[ZONA DEFINITIVO]])," ")</f>
        <v xml:space="preserve"> </v>
      </c>
      <c r="AT1172" s="27">
        <f>(VLOOKUP(Tabla4[[#This Row],[SERVICIO 2025]],$J$2:$V$14,3,0)*Tabla4[[#This Row],[TOTAL COBERTURA]])+Tabla4[[#This Row],[VALOR FASE PREPARATORIA DE ALISTAMIENTO]]+Tabla4[[#This Row],[DOTACIÓN ÚNICA]]</f>
        <v>10417922</v>
      </c>
      <c r="AU1172" s="35">
        <f>(VLOOKUP(Tabla4[[#This Row],[SERVICIO 2025]],$J$2:$V$14,3,0)*Tabla4[[#This Row],[TOTAL COBERTURA]])</f>
        <v>7985166</v>
      </c>
      <c r="AV1172" s="35">
        <f>(VLOOKUP(Tabla4[[#This Row],[SERVICIO 2025]],$J$2:$V$14,3,0)*Tabla4[[#This Row],[TOTAL COBERTURA]])</f>
        <v>7985166</v>
      </c>
      <c r="AW1172" s="35">
        <f>(VLOOKUP(Tabla4[[#This Row],[SERVICIO 2025]],$J$2:$V$14,3,0)*Tabla4[[#This Row],[TOTAL COBERTURA]])</f>
        <v>7985166</v>
      </c>
      <c r="AX1172" s="35">
        <f>(VLOOKUP(Tabla4[[#This Row],[SERVICIO 2025]],$J$2:$V$14,3,0)*Tabla4[[#This Row],[TOTAL COBERTURA]])</f>
        <v>7985166</v>
      </c>
      <c r="AY1172" s="35">
        <f>(VLOOKUP(Tabla4[[#This Row],[SERVICIO 2025]],$J$2:$V$14,3,0)*Tabla4[[#This Row],[TOTAL COBERTURA]])</f>
        <v>7985166</v>
      </c>
      <c r="AZ1172" s="35">
        <f>(VLOOKUP(Tabla4[[#This Row],[SERVICIO 2025]],$J$2:$V$14,3,0)*Tabla4[[#This Row],[TOTAL COBERTURA]])</f>
        <v>7985166</v>
      </c>
      <c r="BA1172" s="35">
        <f>(VLOOKUP(Tabla4[[#This Row],[SERVICIO 2025]],$J$2:$V$14,3,0)*Tabla4[[#This Row],[TOTAL COBERTURA]])+Tabla4[[#This Row],[VALOR FASE PREPARATORIA DE CIERRE]]</f>
        <v>9257065</v>
      </c>
      <c r="BB1172" s="35">
        <f>SUM(Tabla4[[#This Row],[DESEMBOLSO 1]:[DESEMBOLSO 8]])</f>
        <v>67585983</v>
      </c>
      <c r="BC1172" s="35">
        <f>VLOOKUP(Tabla4[[#This Row],[SERVICIO 2025]],$J$2:$V$14,10,0)*Tabla4[[#This Row],[TOTAL COBERTURA]]*$W$3</f>
        <v>44734984</v>
      </c>
      <c r="BD1172" s="47" t="s">
        <v>211</v>
      </c>
      <c r="BE1172" s="12" t="b">
        <f>EXACT(Tabla4[[#This Row],[VALOR ATENCIÓN (8 MESES)]],Tabla4[[#This Row],[VALOR TOTAL]])</f>
        <v>1</v>
      </c>
      <c r="BF1172" s="23">
        <f>Tabla4[[#This Row],[VALOR ATENCIÓN (8 MESES)]]-Tabla4[[#This Row],[VALOR TOTAL]]</f>
        <v>0</v>
      </c>
      <c r="BG1172" s="12" t="b">
        <f>EXACT(Tabla4[[#This Row],[TOTAL DESEMBOLSOS]],Tabla4[[#This Row],[VALOR ATENCIÓN (8 MESES)]])</f>
        <v>1</v>
      </c>
      <c r="BH1172" s="29">
        <f>Tabla4[[#This Row],[TOTAL DESEMBOLSOS]]-Tabla4[[#This Row],[VALOR ATENCIÓN (8 MESES)]]</f>
        <v>0</v>
      </c>
      <c r="BI1172" t="s">
        <v>98</v>
      </c>
      <c r="BJ1172">
        <v>2014</v>
      </c>
    </row>
    <row r="1173" spans="1:62">
      <c r="A1173" s="13">
        <v>2014</v>
      </c>
      <c r="B1173" s="13" t="s">
        <v>2542</v>
      </c>
      <c r="C1173" s="12" t="s">
        <v>87</v>
      </c>
      <c r="D1173" s="12" t="s">
        <v>462</v>
      </c>
      <c r="E1173" s="12" t="s">
        <v>2499</v>
      </c>
      <c r="F1173" s="12" t="s">
        <v>18</v>
      </c>
      <c r="G1173" s="12" t="s">
        <v>90</v>
      </c>
      <c r="H1173" s="12" t="s">
        <v>2560</v>
      </c>
      <c r="I1173" s="12">
        <v>58371117413</v>
      </c>
      <c r="J1173" s="12" t="s">
        <v>2561</v>
      </c>
      <c r="K1173" s="12">
        <v>1</v>
      </c>
      <c r="L1173" s="12">
        <v>32</v>
      </c>
      <c r="M1173" s="12"/>
      <c r="N1173" s="13">
        <v>2014</v>
      </c>
      <c r="O1173" s="12" t="s">
        <v>93</v>
      </c>
      <c r="P1173" s="12"/>
      <c r="Q1173" s="12"/>
      <c r="R1173" s="12" t="s">
        <v>94</v>
      </c>
      <c r="S1173" s="12">
        <v>10</v>
      </c>
      <c r="T1173" s="12" t="s">
        <v>1062</v>
      </c>
      <c r="U1173" s="12" t="s">
        <v>1063</v>
      </c>
      <c r="V1173" s="12">
        <f>VLOOKUP(Tabla4[[#This Row],[ZONA DEFINITIVO]],Hoja1!$A$1:$D$121,3,0)</f>
        <v>229162</v>
      </c>
      <c r="W1173" s="12">
        <f>VLOOKUP(Tabla4[[#This Row],[ZONA DEFINITIVO]],Hoja1!$A$1:$D$121,2,0)</f>
        <v>15250</v>
      </c>
      <c r="X1173" s="12">
        <f>VLOOKUP(Tabla4[[#This Row],[ZONA DEFINITIVO]],Hoja1!$A$1:$D$121,4,0)</f>
        <v>89325</v>
      </c>
      <c r="Y1173" s="12" t="str">
        <f>+IF(Tabla4[[#This Row],[AGRUPACIONES]]=1,SUMIFS(Tabla4[UDS],Tabla4[ZONA DEFINITIVO],Tabla4[[#This Row],[ZONA DEFINITIVO]])," ")</f>
        <v xml:space="preserve"> </v>
      </c>
      <c r="Z1173" s="12" t="str">
        <f>+IF(Tabla4[[#This Row],[AGRUPACIONES]]=1,SUMIFS(Tabla4[TOTAL COBERTURA],Tabla4[ZONA DEFINITIVO],Tabla4[[#This Row],[ZONA DEFINITIVO]])," ")</f>
        <v xml:space="preserve"> </v>
      </c>
      <c r="AA1173" s="12"/>
      <c r="AB1173" s="38">
        <v>69766176</v>
      </c>
      <c r="AC1173" s="37">
        <v>0.02</v>
      </c>
      <c r="AD1173" s="38">
        <f t="shared" si="19"/>
        <v>1395323.52</v>
      </c>
      <c r="AE1173" s="12"/>
      <c r="AF1173" s="12">
        <f>COUNTIF($A$20:A1173,A1173)</f>
        <v>10</v>
      </c>
      <c r="AG1173" s="38">
        <v>69766176</v>
      </c>
      <c r="AH1173" s="38">
        <f>Tabla4[[#This Row],[VALOR CONTRAPARTIDA]]+Tabla4[[#This Row],[TOTAL APORTES ICBF]]</f>
        <v>71161499.519999996</v>
      </c>
      <c r="AI1173" s="35"/>
      <c r="AJ1173" s="38"/>
      <c r="AK1173" s="38"/>
      <c r="AL1173" s="23"/>
      <c r="AM1173" s="35">
        <f>VLOOKUP(Tabla4[[#This Row],[SERVICIO 2025]],$J$2:$V$14,5,0)*Tabla4[[#This Row],[TOTAL COBERTURA]]</f>
        <v>1580032</v>
      </c>
      <c r="AN1173" s="35">
        <f>VLOOKUP(Tabla4[[#This Row],[SERVICIO 2025]],$J$2:$V$14,6,0)*Tabla4[[#This Row],[TOTAL COBERTURA]]</f>
        <v>1312928</v>
      </c>
      <c r="AO1173" s="35">
        <f>VLOOKUP(Tabla4[[#This Row],[SERVICIO 2025]],$J$2:$V$14,8,0)*Tabla4[[#This Row],[TOTAL COBERTURA]]</f>
        <v>931200</v>
      </c>
      <c r="AP1173" s="35">
        <f>VLOOKUP(Tabla4[[#This Row],[SERVICIO 2025]],$J$2:$V$14,3,0)*Tabla4[[#This Row],[TOTAL COBERTURA]]*8</f>
        <v>65942016</v>
      </c>
      <c r="AQ1173" s="35"/>
      <c r="AR1173" s="35">
        <f>Tabla4[[#This Row],[VALOR FASE PREPARATORIA DE ALISTAMIENTO]]+Tabla4[[#This Row],[VALOR FASE PREPARATORIA DE CIERRE]]+Tabla4[[#This Row],[DOTACIÓN ÚNICA]]+Tabla4[[#This Row],[VALOR ATENCIÓN]]+Tabla4[[#This Row],[VALOR RACION PREPARADA]]</f>
        <v>69766176</v>
      </c>
      <c r="AS1173" s="35" t="str">
        <f>+IF(Tabla4[[#This Row],[AGRUPACIONES]]=1,SUMIFS(Tabla4[VALOR TOTAL],Tabla4[ZONA DEFINITIVO],Tabla4[[#This Row],[ZONA DEFINITIVO]])," ")</f>
        <v xml:space="preserve"> </v>
      </c>
      <c r="AT1173" s="27">
        <f>(VLOOKUP(Tabla4[[#This Row],[SERVICIO 2025]],$J$2:$V$14,3,0)*Tabla4[[#This Row],[TOTAL COBERTURA]])+Tabla4[[#This Row],[VALOR FASE PREPARATORIA DE ALISTAMIENTO]]+Tabla4[[#This Row],[DOTACIÓN ÚNICA]]</f>
        <v>10753984</v>
      </c>
      <c r="AU1173" s="35">
        <f>(VLOOKUP(Tabla4[[#This Row],[SERVICIO 2025]],$J$2:$V$14,3,0)*Tabla4[[#This Row],[TOTAL COBERTURA]])</f>
        <v>8242752</v>
      </c>
      <c r="AV1173" s="35">
        <f>(VLOOKUP(Tabla4[[#This Row],[SERVICIO 2025]],$J$2:$V$14,3,0)*Tabla4[[#This Row],[TOTAL COBERTURA]])</f>
        <v>8242752</v>
      </c>
      <c r="AW1173" s="35">
        <f>(VLOOKUP(Tabla4[[#This Row],[SERVICIO 2025]],$J$2:$V$14,3,0)*Tabla4[[#This Row],[TOTAL COBERTURA]])</f>
        <v>8242752</v>
      </c>
      <c r="AX1173" s="35">
        <f>(VLOOKUP(Tabla4[[#This Row],[SERVICIO 2025]],$J$2:$V$14,3,0)*Tabla4[[#This Row],[TOTAL COBERTURA]])</f>
        <v>8242752</v>
      </c>
      <c r="AY1173" s="35">
        <f>(VLOOKUP(Tabla4[[#This Row],[SERVICIO 2025]],$J$2:$V$14,3,0)*Tabla4[[#This Row],[TOTAL COBERTURA]])</f>
        <v>8242752</v>
      </c>
      <c r="AZ1173" s="35">
        <f>(VLOOKUP(Tabla4[[#This Row],[SERVICIO 2025]],$J$2:$V$14,3,0)*Tabla4[[#This Row],[TOTAL COBERTURA]])</f>
        <v>8242752</v>
      </c>
      <c r="BA1173" s="35">
        <f>(VLOOKUP(Tabla4[[#This Row],[SERVICIO 2025]],$J$2:$V$14,3,0)*Tabla4[[#This Row],[TOTAL COBERTURA]])+Tabla4[[#This Row],[VALOR FASE PREPARATORIA DE CIERRE]]</f>
        <v>9555680</v>
      </c>
      <c r="BB1173" s="35">
        <f>SUM(Tabla4[[#This Row],[DESEMBOLSO 1]:[DESEMBOLSO 8]])</f>
        <v>69766176</v>
      </c>
      <c r="BC1173" s="35">
        <f>VLOOKUP(Tabla4[[#This Row],[SERVICIO 2025]],$J$2:$V$14,10,0)*Tabla4[[#This Row],[TOTAL COBERTURA]]*$W$3</f>
        <v>46178048</v>
      </c>
      <c r="BD1173" s="47" t="s">
        <v>211</v>
      </c>
      <c r="BE1173" s="12" t="b">
        <f>EXACT(Tabla4[[#This Row],[VALOR ATENCIÓN (8 MESES)]],Tabla4[[#This Row],[VALOR TOTAL]])</f>
        <v>1</v>
      </c>
      <c r="BF1173" s="23">
        <f>Tabla4[[#This Row],[VALOR ATENCIÓN (8 MESES)]]-Tabla4[[#This Row],[VALOR TOTAL]]</f>
        <v>0</v>
      </c>
      <c r="BG1173" s="12" t="b">
        <f>EXACT(Tabla4[[#This Row],[TOTAL DESEMBOLSOS]],Tabla4[[#This Row],[VALOR ATENCIÓN (8 MESES)]])</f>
        <v>1</v>
      </c>
      <c r="BH1173" s="29">
        <f>Tabla4[[#This Row],[TOTAL DESEMBOLSOS]]-Tabla4[[#This Row],[VALOR ATENCIÓN (8 MESES)]]</f>
        <v>0</v>
      </c>
      <c r="BI1173" t="s">
        <v>98</v>
      </c>
      <c r="BJ1173">
        <v>2014</v>
      </c>
    </row>
    <row r="1174" spans="1:62">
      <c r="A1174" s="13">
        <v>2014</v>
      </c>
      <c r="B1174" s="13" t="s">
        <v>2542</v>
      </c>
      <c r="C1174" s="12" t="s">
        <v>87</v>
      </c>
      <c r="D1174" s="12" t="s">
        <v>462</v>
      </c>
      <c r="E1174" s="12" t="s">
        <v>2499</v>
      </c>
      <c r="F1174" s="12" t="s">
        <v>18</v>
      </c>
      <c r="G1174" s="12" t="s">
        <v>90</v>
      </c>
      <c r="H1174" s="12" t="s">
        <v>2562</v>
      </c>
      <c r="I1174" s="12">
        <v>58371117430</v>
      </c>
      <c r="J1174" s="12" t="s">
        <v>2563</v>
      </c>
      <c r="K1174" s="12">
        <v>1</v>
      </c>
      <c r="L1174" s="12">
        <v>18</v>
      </c>
      <c r="M1174" s="12"/>
      <c r="N1174" s="13">
        <v>2014</v>
      </c>
      <c r="O1174" s="12" t="s">
        <v>93</v>
      </c>
      <c r="P1174" s="12"/>
      <c r="Q1174" s="12"/>
      <c r="R1174" s="12" t="s">
        <v>94</v>
      </c>
      <c r="S1174" s="12">
        <v>10</v>
      </c>
      <c r="T1174" s="12" t="s">
        <v>1062</v>
      </c>
      <c r="U1174" s="12" t="s">
        <v>1063</v>
      </c>
      <c r="V1174" s="12">
        <f>VLOOKUP(Tabla4[[#This Row],[ZONA DEFINITIVO]],Hoja1!$A$1:$D$121,3,0)</f>
        <v>229162</v>
      </c>
      <c r="W1174" s="12">
        <f>VLOOKUP(Tabla4[[#This Row],[ZONA DEFINITIVO]],Hoja1!$A$1:$D$121,2,0)</f>
        <v>15250</v>
      </c>
      <c r="X1174" s="12">
        <f>VLOOKUP(Tabla4[[#This Row],[ZONA DEFINITIVO]],Hoja1!$A$1:$D$121,4,0)</f>
        <v>89325</v>
      </c>
      <c r="Y1174" s="12" t="str">
        <f>+IF(Tabla4[[#This Row],[AGRUPACIONES]]=1,SUMIFS(Tabla4[UDS],Tabla4[ZONA DEFINITIVO],Tabla4[[#This Row],[ZONA DEFINITIVO]])," ")</f>
        <v xml:space="preserve"> </v>
      </c>
      <c r="Z1174" s="12" t="str">
        <f>+IF(Tabla4[[#This Row],[AGRUPACIONES]]=1,SUMIFS(Tabla4[TOTAL COBERTURA],Tabla4[ZONA DEFINITIVO],Tabla4[[#This Row],[ZONA DEFINITIVO]])," ")</f>
        <v xml:space="preserve"> </v>
      </c>
      <c r="AA1174" s="12"/>
      <c r="AB1174" s="38">
        <v>39243474</v>
      </c>
      <c r="AC1174" s="37">
        <v>0.02</v>
      </c>
      <c r="AD1174" s="38">
        <f t="shared" si="19"/>
        <v>784869.48</v>
      </c>
      <c r="AE1174" s="12"/>
      <c r="AF1174" s="12">
        <f>COUNTIF($A$20:A1174,A1174)</f>
        <v>11</v>
      </c>
      <c r="AG1174" s="38">
        <v>39243474</v>
      </c>
      <c r="AH1174" s="38">
        <f>Tabla4[[#This Row],[VALOR CONTRAPARTIDA]]+Tabla4[[#This Row],[TOTAL APORTES ICBF]]</f>
        <v>40028343.479999997</v>
      </c>
      <c r="AI1174" s="35"/>
      <c r="AJ1174" s="38"/>
      <c r="AK1174" s="38"/>
      <c r="AL1174" s="23"/>
      <c r="AM1174" s="35">
        <f>VLOOKUP(Tabla4[[#This Row],[SERVICIO 2025]],$J$2:$V$14,5,0)*Tabla4[[#This Row],[TOTAL COBERTURA]]</f>
        <v>888768</v>
      </c>
      <c r="AN1174" s="35">
        <f>VLOOKUP(Tabla4[[#This Row],[SERVICIO 2025]],$J$2:$V$14,6,0)*Tabla4[[#This Row],[TOTAL COBERTURA]]</f>
        <v>738522</v>
      </c>
      <c r="AO1174" s="35">
        <f>VLOOKUP(Tabla4[[#This Row],[SERVICIO 2025]],$J$2:$V$14,8,0)*Tabla4[[#This Row],[TOTAL COBERTURA]]</f>
        <v>523800</v>
      </c>
      <c r="AP1174" s="35">
        <f>VLOOKUP(Tabla4[[#This Row],[SERVICIO 2025]],$J$2:$V$14,3,0)*Tabla4[[#This Row],[TOTAL COBERTURA]]*8</f>
        <v>37092384</v>
      </c>
      <c r="AQ1174" s="35"/>
      <c r="AR1174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1174" s="35" t="str">
        <f>+IF(Tabla4[[#This Row],[AGRUPACIONES]]=1,SUMIFS(Tabla4[VALOR TOTAL],Tabla4[ZONA DEFINITIVO],Tabla4[[#This Row],[ZONA DEFINITIVO]])," ")</f>
        <v xml:space="preserve"> </v>
      </c>
      <c r="AT1174" s="27">
        <f>(VLOOKUP(Tabla4[[#This Row],[SERVICIO 2025]],$J$2:$V$14,3,0)*Tabla4[[#This Row],[TOTAL COBERTURA]])+Tabla4[[#This Row],[VALOR FASE PREPARATORIA DE ALISTAMIENTO]]+Tabla4[[#This Row],[DOTACIÓN ÚNICA]]</f>
        <v>6049116</v>
      </c>
      <c r="AU1174" s="35">
        <f>(VLOOKUP(Tabla4[[#This Row],[SERVICIO 2025]],$J$2:$V$14,3,0)*Tabla4[[#This Row],[TOTAL COBERTURA]])</f>
        <v>4636548</v>
      </c>
      <c r="AV1174" s="35">
        <f>(VLOOKUP(Tabla4[[#This Row],[SERVICIO 2025]],$J$2:$V$14,3,0)*Tabla4[[#This Row],[TOTAL COBERTURA]])</f>
        <v>4636548</v>
      </c>
      <c r="AW1174" s="35">
        <f>(VLOOKUP(Tabla4[[#This Row],[SERVICIO 2025]],$J$2:$V$14,3,0)*Tabla4[[#This Row],[TOTAL COBERTURA]])</f>
        <v>4636548</v>
      </c>
      <c r="AX1174" s="35">
        <f>(VLOOKUP(Tabla4[[#This Row],[SERVICIO 2025]],$J$2:$V$14,3,0)*Tabla4[[#This Row],[TOTAL COBERTURA]])</f>
        <v>4636548</v>
      </c>
      <c r="AY1174" s="35">
        <f>(VLOOKUP(Tabla4[[#This Row],[SERVICIO 2025]],$J$2:$V$14,3,0)*Tabla4[[#This Row],[TOTAL COBERTURA]])</f>
        <v>4636548</v>
      </c>
      <c r="AZ1174" s="35">
        <f>(VLOOKUP(Tabla4[[#This Row],[SERVICIO 2025]],$J$2:$V$14,3,0)*Tabla4[[#This Row],[TOTAL COBERTURA]])</f>
        <v>4636548</v>
      </c>
      <c r="BA1174" s="35">
        <f>(VLOOKUP(Tabla4[[#This Row],[SERVICIO 2025]],$J$2:$V$14,3,0)*Tabla4[[#This Row],[TOTAL COBERTURA]])+Tabla4[[#This Row],[VALOR FASE PREPARATORIA DE CIERRE]]</f>
        <v>5375070</v>
      </c>
      <c r="BB1174" s="35">
        <f>SUM(Tabla4[[#This Row],[DESEMBOLSO 1]:[DESEMBOLSO 8]])</f>
        <v>39243474</v>
      </c>
      <c r="BC1174" s="35">
        <f>VLOOKUP(Tabla4[[#This Row],[SERVICIO 2025]],$J$2:$V$14,10,0)*Tabla4[[#This Row],[TOTAL COBERTURA]]*$W$3</f>
        <v>25975152</v>
      </c>
      <c r="BD1174" s="47" t="s">
        <v>211</v>
      </c>
      <c r="BE1174" s="12" t="b">
        <f>EXACT(Tabla4[[#This Row],[VALOR ATENCIÓN (8 MESES)]],Tabla4[[#This Row],[VALOR TOTAL]])</f>
        <v>1</v>
      </c>
      <c r="BF1174" s="23">
        <f>Tabla4[[#This Row],[VALOR ATENCIÓN (8 MESES)]]-Tabla4[[#This Row],[VALOR TOTAL]]</f>
        <v>0</v>
      </c>
      <c r="BG1174" s="12" t="b">
        <f>EXACT(Tabla4[[#This Row],[TOTAL DESEMBOLSOS]],Tabla4[[#This Row],[VALOR ATENCIÓN (8 MESES)]])</f>
        <v>1</v>
      </c>
      <c r="BH1174" s="29">
        <f>Tabla4[[#This Row],[TOTAL DESEMBOLSOS]]-Tabla4[[#This Row],[VALOR ATENCIÓN (8 MESES)]]</f>
        <v>0</v>
      </c>
      <c r="BI1174" t="s">
        <v>98</v>
      </c>
      <c r="BJ1174">
        <v>2014</v>
      </c>
    </row>
    <row r="1175" spans="1:62">
      <c r="A1175" s="13">
        <v>2014</v>
      </c>
      <c r="B1175" s="13" t="s">
        <v>2542</v>
      </c>
      <c r="C1175" s="12" t="s">
        <v>87</v>
      </c>
      <c r="D1175" s="12" t="s">
        <v>462</v>
      </c>
      <c r="E1175" s="12" t="s">
        <v>2499</v>
      </c>
      <c r="F1175" s="12" t="s">
        <v>18</v>
      </c>
      <c r="G1175" s="12" t="s">
        <v>90</v>
      </c>
      <c r="H1175" s="12" t="s">
        <v>2564</v>
      </c>
      <c r="I1175" s="12">
        <v>58371117433</v>
      </c>
      <c r="J1175" s="12" t="s">
        <v>2565</v>
      </c>
      <c r="K1175" s="12">
        <v>1</v>
      </c>
      <c r="L1175" s="12">
        <v>18</v>
      </c>
      <c r="M1175" s="12"/>
      <c r="N1175" s="13">
        <v>2014</v>
      </c>
      <c r="O1175" s="12" t="s">
        <v>93</v>
      </c>
      <c r="P1175" s="12"/>
      <c r="Q1175" s="12"/>
      <c r="R1175" s="12" t="s">
        <v>94</v>
      </c>
      <c r="S1175" s="12">
        <v>10</v>
      </c>
      <c r="T1175" s="12" t="s">
        <v>1062</v>
      </c>
      <c r="U1175" s="12" t="s">
        <v>1063</v>
      </c>
      <c r="V1175" s="12">
        <f>VLOOKUP(Tabla4[[#This Row],[ZONA DEFINITIVO]],Hoja1!$A$1:$D$121,3,0)</f>
        <v>229162</v>
      </c>
      <c r="W1175" s="12">
        <f>VLOOKUP(Tabla4[[#This Row],[ZONA DEFINITIVO]],Hoja1!$A$1:$D$121,2,0)</f>
        <v>15250</v>
      </c>
      <c r="X1175" s="12">
        <f>VLOOKUP(Tabla4[[#This Row],[ZONA DEFINITIVO]],Hoja1!$A$1:$D$121,4,0)</f>
        <v>89325</v>
      </c>
      <c r="Y1175" s="12" t="str">
        <f>+IF(Tabla4[[#This Row],[AGRUPACIONES]]=1,SUMIFS(Tabla4[UDS],Tabla4[ZONA DEFINITIVO],Tabla4[[#This Row],[ZONA DEFINITIVO]])," ")</f>
        <v xml:space="preserve"> </v>
      </c>
      <c r="Z1175" s="12" t="str">
        <f>+IF(Tabla4[[#This Row],[AGRUPACIONES]]=1,SUMIFS(Tabla4[TOTAL COBERTURA],Tabla4[ZONA DEFINITIVO],Tabla4[[#This Row],[ZONA DEFINITIVO]])," ")</f>
        <v xml:space="preserve"> </v>
      </c>
      <c r="AA1175" s="12"/>
      <c r="AB1175" s="38">
        <v>39243474</v>
      </c>
      <c r="AC1175" s="37">
        <v>0.02</v>
      </c>
      <c r="AD1175" s="38">
        <f t="shared" si="19"/>
        <v>784869.48</v>
      </c>
      <c r="AE1175" s="12"/>
      <c r="AF1175" s="12">
        <f>COUNTIF($A$20:A1175,A1175)</f>
        <v>12</v>
      </c>
      <c r="AG1175" s="38">
        <v>39243474</v>
      </c>
      <c r="AH1175" s="38">
        <f>Tabla4[[#This Row],[VALOR CONTRAPARTIDA]]+Tabla4[[#This Row],[TOTAL APORTES ICBF]]</f>
        <v>40028343.479999997</v>
      </c>
      <c r="AI1175" s="35"/>
      <c r="AJ1175" s="38"/>
      <c r="AK1175" s="38"/>
      <c r="AL1175" s="23"/>
      <c r="AM1175" s="35">
        <f>VLOOKUP(Tabla4[[#This Row],[SERVICIO 2025]],$J$2:$V$14,5,0)*Tabla4[[#This Row],[TOTAL COBERTURA]]</f>
        <v>888768</v>
      </c>
      <c r="AN1175" s="35">
        <f>VLOOKUP(Tabla4[[#This Row],[SERVICIO 2025]],$J$2:$V$14,6,0)*Tabla4[[#This Row],[TOTAL COBERTURA]]</f>
        <v>738522</v>
      </c>
      <c r="AO1175" s="35">
        <f>VLOOKUP(Tabla4[[#This Row],[SERVICIO 2025]],$J$2:$V$14,8,0)*Tabla4[[#This Row],[TOTAL COBERTURA]]</f>
        <v>523800</v>
      </c>
      <c r="AP1175" s="35">
        <f>VLOOKUP(Tabla4[[#This Row],[SERVICIO 2025]],$J$2:$V$14,3,0)*Tabla4[[#This Row],[TOTAL COBERTURA]]*8</f>
        <v>37092384</v>
      </c>
      <c r="AQ1175" s="35"/>
      <c r="AR1175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1175" s="35" t="str">
        <f>+IF(Tabla4[[#This Row],[AGRUPACIONES]]=1,SUMIFS(Tabla4[VALOR TOTAL],Tabla4[ZONA DEFINITIVO],Tabla4[[#This Row],[ZONA DEFINITIVO]])," ")</f>
        <v xml:space="preserve"> </v>
      </c>
      <c r="AT1175" s="27">
        <f>(VLOOKUP(Tabla4[[#This Row],[SERVICIO 2025]],$J$2:$V$14,3,0)*Tabla4[[#This Row],[TOTAL COBERTURA]])+Tabla4[[#This Row],[VALOR FASE PREPARATORIA DE ALISTAMIENTO]]+Tabla4[[#This Row],[DOTACIÓN ÚNICA]]</f>
        <v>6049116</v>
      </c>
      <c r="AU1175" s="35">
        <f>(VLOOKUP(Tabla4[[#This Row],[SERVICIO 2025]],$J$2:$V$14,3,0)*Tabla4[[#This Row],[TOTAL COBERTURA]])</f>
        <v>4636548</v>
      </c>
      <c r="AV1175" s="35">
        <f>(VLOOKUP(Tabla4[[#This Row],[SERVICIO 2025]],$J$2:$V$14,3,0)*Tabla4[[#This Row],[TOTAL COBERTURA]])</f>
        <v>4636548</v>
      </c>
      <c r="AW1175" s="35">
        <f>(VLOOKUP(Tabla4[[#This Row],[SERVICIO 2025]],$J$2:$V$14,3,0)*Tabla4[[#This Row],[TOTAL COBERTURA]])</f>
        <v>4636548</v>
      </c>
      <c r="AX1175" s="35">
        <f>(VLOOKUP(Tabla4[[#This Row],[SERVICIO 2025]],$J$2:$V$14,3,0)*Tabla4[[#This Row],[TOTAL COBERTURA]])</f>
        <v>4636548</v>
      </c>
      <c r="AY1175" s="35">
        <f>(VLOOKUP(Tabla4[[#This Row],[SERVICIO 2025]],$J$2:$V$14,3,0)*Tabla4[[#This Row],[TOTAL COBERTURA]])</f>
        <v>4636548</v>
      </c>
      <c r="AZ1175" s="35">
        <f>(VLOOKUP(Tabla4[[#This Row],[SERVICIO 2025]],$J$2:$V$14,3,0)*Tabla4[[#This Row],[TOTAL COBERTURA]])</f>
        <v>4636548</v>
      </c>
      <c r="BA1175" s="35">
        <f>(VLOOKUP(Tabla4[[#This Row],[SERVICIO 2025]],$J$2:$V$14,3,0)*Tabla4[[#This Row],[TOTAL COBERTURA]])+Tabla4[[#This Row],[VALOR FASE PREPARATORIA DE CIERRE]]</f>
        <v>5375070</v>
      </c>
      <c r="BB1175" s="35">
        <f>SUM(Tabla4[[#This Row],[DESEMBOLSO 1]:[DESEMBOLSO 8]])</f>
        <v>39243474</v>
      </c>
      <c r="BC1175" s="35">
        <f>VLOOKUP(Tabla4[[#This Row],[SERVICIO 2025]],$J$2:$V$14,10,0)*Tabla4[[#This Row],[TOTAL COBERTURA]]*$W$3</f>
        <v>25975152</v>
      </c>
      <c r="BD1175" s="47" t="s">
        <v>211</v>
      </c>
      <c r="BE1175" s="12" t="b">
        <f>EXACT(Tabla4[[#This Row],[VALOR ATENCIÓN (8 MESES)]],Tabla4[[#This Row],[VALOR TOTAL]])</f>
        <v>1</v>
      </c>
      <c r="BF1175" s="23">
        <f>Tabla4[[#This Row],[VALOR ATENCIÓN (8 MESES)]]-Tabla4[[#This Row],[VALOR TOTAL]]</f>
        <v>0</v>
      </c>
      <c r="BG1175" s="12" t="b">
        <f>EXACT(Tabla4[[#This Row],[TOTAL DESEMBOLSOS]],Tabla4[[#This Row],[VALOR ATENCIÓN (8 MESES)]])</f>
        <v>1</v>
      </c>
      <c r="BH1175" s="29">
        <f>Tabla4[[#This Row],[TOTAL DESEMBOLSOS]]-Tabla4[[#This Row],[VALOR ATENCIÓN (8 MESES)]]</f>
        <v>0</v>
      </c>
      <c r="BI1175" t="s">
        <v>98</v>
      </c>
      <c r="BJ1175">
        <v>2014</v>
      </c>
    </row>
    <row r="1176" spans="1:62">
      <c r="A1176" s="13">
        <v>2014</v>
      </c>
      <c r="B1176" s="13" t="s">
        <v>2542</v>
      </c>
      <c r="C1176" s="12" t="s">
        <v>87</v>
      </c>
      <c r="D1176" s="12" t="s">
        <v>462</v>
      </c>
      <c r="E1176" s="12" t="s">
        <v>2499</v>
      </c>
      <c r="F1176" s="12" t="s">
        <v>18</v>
      </c>
      <c r="G1176" s="12" t="s">
        <v>90</v>
      </c>
      <c r="H1176" s="12" t="s">
        <v>2566</v>
      </c>
      <c r="I1176" s="12">
        <v>58371136813</v>
      </c>
      <c r="J1176" s="12" t="s">
        <v>2567</v>
      </c>
      <c r="K1176" s="12">
        <v>1</v>
      </c>
      <c r="L1176" s="12">
        <v>31</v>
      </c>
      <c r="M1176" s="12"/>
      <c r="N1176" s="13">
        <v>2014</v>
      </c>
      <c r="O1176" s="12" t="s">
        <v>93</v>
      </c>
      <c r="P1176" s="12"/>
      <c r="Q1176" s="12"/>
      <c r="R1176" s="12" t="s">
        <v>94</v>
      </c>
      <c r="S1176" s="12">
        <v>10</v>
      </c>
      <c r="T1176" s="12" t="s">
        <v>1062</v>
      </c>
      <c r="U1176" s="12" t="s">
        <v>1063</v>
      </c>
      <c r="V1176" s="12">
        <f>VLOOKUP(Tabla4[[#This Row],[ZONA DEFINITIVO]],Hoja1!$A$1:$D$121,3,0)</f>
        <v>229162</v>
      </c>
      <c r="W1176" s="12">
        <f>VLOOKUP(Tabla4[[#This Row],[ZONA DEFINITIVO]],Hoja1!$A$1:$D$121,2,0)</f>
        <v>15250</v>
      </c>
      <c r="X1176" s="12">
        <f>VLOOKUP(Tabla4[[#This Row],[ZONA DEFINITIVO]],Hoja1!$A$1:$D$121,4,0)</f>
        <v>89325</v>
      </c>
      <c r="Y1176" s="12" t="str">
        <f>+IF(Tabla4[[#This Row],[AGRUPACIONES]]=1,SUMIFS(Tabla4[UDS],Tabla4[ZONA DEFINITIVO],Tabla4[[#This Row],[ZONA DEFINITIVO]])," ")</f>
        <v xml:space="preserve"> </v>
      </c>
      <c r="Z1176" s="12" t="str">
        <f>+IF(Tabla4[[#This Row],[AGRUPACIONES]]=1,SUMIFS(Tabla4[TOTAL COBERTURA],Tabla4[ZONA DEFINITIVO],Tabla4[[#This Row],[ZONA DEFINITIVO]])," ")</f>
        <v xml:space="preserve"> </v>
      </c>
      <c r="AA1176" s="12"/>
      <c r="AB1176" s="38">
        <v>67585983</v>
      </c>
      <c r="AC1176" s="37">
        <v>0.02</v>
      </c>
      <c r="AD1176" s="38">
        <f t="shared" si="19"/>
        <v>1351719.66</v>
      </c>
      <c r="AE1176" s="12"/>
      <c r="AF1176" s="12">
        <f>COUNTIF($A$20:A1176,A1176)</f>
        <v>13</v>
      </c>
      <c r="AG1176" s="38">
        <v>67585983</v>
      </c>
      <c r="AH1176" s="38">
        <f>Tabla4[[#This Row],[VALOR CONTRAPARTIDA]]+Tabla4[[#This Row],[TOTAL APORTES ICBF]]</f>
        <v>68937702.659999996</v>
      </c>
      <c r="AI1176" s="35"/>
      <c r="AJ1176" s="38"/>
      <c r="AK1176" s="38"/>
      <c r="AL1176" s="23"/>
      <c r="AM1176" s="35">
        <f>VLOOKUP(Tabla4[[#This Row],[SERVICIO 2025]],$J$2:$V$14,5,0)*Tabla4[[#This Row],[TOTAL COBERTURA]]</f>
        <v>1530656</v>
      </c>
      <c r="AN1176" s="35">
        <f>VLOOKUP(Tabla4[[#This Row],[SERVICIO 2025]],$J$2:$V$14,6,0)*Tabla4[[#This Row],[TOTAL COBERTURA]]</f>
        <v>1271899</v>
      </c>
      <c r="AO1176" s="35">
        <f>VLOOKUP(Tabla4[[#This Row],[SERVICIO 2025]],$J$2:$V$14,8,0)*Tabla4[[#This Row],[TOTAL COBERTURA]]</f>
        <v>902100</v>
      </c>
      <c r="AP1176" s="35">
        <f>VLOOKUP(Tabla4[[#This Row],[SERVICIO 2025]],$J$2:$V$14,3,0)*Tabla4[[#This Row],[TOTAL COBERTURA]]*8</f>
        <v>63881328</v>
      </c>
      <c r="AQ1176" s="35"/>
      <c r="AR1176" s="35">
        <f>Tabla4[[#This Row],[VALOR FASE PREPARATORIA DE ALISTAMIENTO]]+Tabla4[[#This Row],[VALOR FASE PREPARATORIA DE CIERRE]]+Tabla4[[#This Row],[DOTACIÓN ÚNICA]]+Tabla4[[#This Row],[VALOR ATENCIÓN]]+Tabla4[[#This Row],[VALOR RACION PREPARADA]]</f>
        <v>67585983</v>
      </c>
      <c r="AS1176" s="35" t="str">
        <f>+IF(Tabla4[[#This Row],[AGRUPACIONES]]=1,SUMIFS(Tabla4[VALOR TOTAL],Tabla4[ZONA DEFINITIVO],Tabla4[[#This Row],[ZONA DEFINITIVO]])," ")</f>
        <v xml:space="preserve"> </v>
      </c>
      <c r="AT1176" s="27">
        <f>(VLOOKUP(Tabla4[[#This Row],[SERVICIO 2025]],$J$2:$V$14,3,0)*Tabla4[[#This Row],[TOTAL COBERTURA]])+Tabla4[[#This Row],[VALOR FASE PREPARATORIA DE ALISTAMIENTO]]+Tabla4[[#This Row],[DOTACIÓN ÚNICA]]</f>
        <v>10417922</v>
      </c>
      <c r="AU1176" s="35">
        <f>(VLOOKUP(Tabla4[[#This Row],[SERVICIO 2025]],$J$2:$V$14,3,0)*Tabla4[[#This Row],[TOTAL COBERTURA]])</f>
        <v>7985166</v>
      </c>
      <c r="AV1176" s="35">
        <f>(VLOOKUP(Tabla4[[#This Row],[SERVICIO 2025]],$J$2:$V$14,3,0)*Tabla4[[#This Row],[TOTAL COBERTURA]])</f>
        <v>7985166</v>
      </c>
      <c r="AW1176" s="35">
        <f>(VLOOKUP(Tabla4[[#This Row],[SERVICIO 2025]],$J$2:$V$14,3,0)*Tabla4[[#This Row],[TOTAL COBERTURA]])</f>
        <v>7985166</v>
      </c>
      <c r="AX1176" s="35">
        <f>(VLOOKUP(Tabla4[[#This Row],[SERVICIO 2025]],$J$2:$V$14,3,0)*Tabla4[[#This Row],[TOTAL COBERTURA]])</f>
        <v>7985166</v>
      </c>
      <c r="AY1176" s="35">
        <f>(VLOOKUP(Tabla4[[#This Row],[SERVICIO 2025]],$J$2:$V$14,3,0)*Tabla4[[#This Row],[TOTAL COBERTURA]])</f>
        <v>7985166</v>
      </c>
      <c r="AZ1176" s="35">
        <f>(VLOOKUP(Tabla4[[#This Row],[SERVICIO 2025]],$J$2:$V$14,3,0)*Tabla4[[#This Row],[TOTAL COBERTURA]])</f>
        <v>7985166</v>
      </c>
      <c r="BA1176" s="35">
        <f>(VLOOKUP(Tabla4[[#This Row],[SERVICIO 2025]],$J$2:$V$14,3,0)*Tabla4[[#This Row],[TOTAL COBERTURA]])+Tabla4[[#This Row],[VALOR FASE PREPARATORIA DE CIERRE]]</f>
        <v>9257065</v>
      </c>
      <c r="BB1176" s="35">
        <f>SUM(Tabla4[[#This Row],[DESEMBOLSO 1]:[DESEMBOLSO 8]])</f>
        <v>67585983</v>
      </c>
      <c r="BC1176" s="35">
        <f>VLOOKUP(Tabla4[[#This Row],[SERVICIO 2025]],$J$2:$V$14,10,0)*Tabla4[[#This Row],[TOTAL COBERTURA]]*$W$3</f>
        <v>44734984</v>
      </c>
      <c r="BD1176" s="47" t="s">
        <v>211</v>
      </c>
      <c r="BE1176" s="12" t="b">
        <f>EXACT(Tabla4[[#This Row],[VALOR ATENCIÓN (8 MESES)]],Tabla4[[#This Row],[VALOR TOTAL]])</f>
        <v>1</v>
      </c>
      <c r="BF1176" s="23">
        <f>Tabla4[[#This Row],[VALOR ATENCIÓN (8 MESES)]]-Tabla4[[#This Row],[VALOR TOTAL]]</f>
        <v>0</v>
      </c>
      <c r="BG1176" s="12" t="b">
        <f>EXACT(Tabla4[[#This Row],[TOTAL DESEMBOLSOS]],Tabla4[[#This Row],[VALOR ATENCIÓN (8 MESES)]])</f>
        <v>1</v>
      </c>
      <c r="BH1176" s="29">
        <f>Tabla4[[#This Row],[TOTAL DESEMBOLSOS]]-Tabla4[[#This Row],[VALOR ATENCIÓN (8 MESES)]]</f>
        <v>0</v>
      </c>
      <c r="BI1176" t="s">
        <v>98</v>
      </c>
      <c r="BJ1176">
        <v>2014</v>
      </c>
    </row>
    <row r="1177" spans="1:62">
      <c r="A1177" s="13">
        <v>2014</v>
      </c>
      <c r="B1177" s="13" t="s">
        <v>2542</v>
      </c>
      <c r="C1177" s="12" t="s">
        <v>87</v>
      </c>
      <c r="D1177" s="12" t="s">
        <v>462</v>
      </c>
      <c r="E1177" s="12" t="s">
        <v>2499</v>
      </c>
      <c r="F1177" s="12" t="s">
        <v>18</v>
      </c>
      <c r="G1177" s="12" t="s">
        <v>90</v>
      </c>
      <c r="H1177" s="12" t="s">
        <v>2568</v>
      </c>
      <c r="I1177" s="12">
        <v>58371137105</v>
      </c>
      <c r="J1177" s="12" t="s">
        <v>2569</v>
      </c>
      <c r="K1177" s="12">
        <v>1</v>
      </c>
      <c r="L1177" s="12">
        <v>30</v>
      </c>
      <c r="M1177" s="12"/>
      <c r="N1177" s="13">
        <v>2014</v>
      </c>
      <c r="O1177" s="12" t="s">
        <v>93</v>
      </c>
      <c r="P1177" s="12"/>
      <c r="Q1177" s="12"/>
      <c r="R1177" s="12" t="s">
        <v>94</v>
      </c>
      <c r="S1177" s="12">
        <v>10</v>
      </c>
      <c r="T1177" s="12" t="s">
        <v>1062</v>
      </c>
      <c r="U1177" s="12" t="s">
        <v>1063</v>
      </c>
      <c r="V1177" s="12">
        <f>VLOOKUP(Tabla4[[#This Row],[ZONA DEFINITIVO]],Hoja1!$A$1:$D$121,3,0)</f>
        <v>229162</v>
      </c>
      <c r="W1177" s="12">
        <f>VLOOKUP(Tabla4[[#This Row],[ZONA DEFINITIVO]],Hoja1!$A$1:$D$121,2,0)</f>
        <v>15250</v>
      </c>
      <c r="X1177" s="12">
        <f>VLOOKUP(Tabla4[[#This Row],[ZONA DEFINITIVO]],Hoja1!$A$1:$D$121,4,0)</f>
        <v>89325</v>
      </c>
      <c r="Y1177" s="12" t="str">
        <f>+IF(Tabla4[[#This Row],[AGRUPACIONES]]=1,SUMIFS(Tabla4[UDS],Tabla4[ZONA DEFINITIVO],Tabla4[[#This Row],[ZONA DEFINITIVO]])," ")</f>
        <v xml:space="preserve"> </v>
      </c>
      <c r="Z1177" s="12" t="str">
        <f>+IF(Tabla4[[#This Row],[AGRUPACIONES]]=1,SUMIFS(Tabla4[TOTAL COBERTURA],Tabla4[ZONA DEFINITIVO],Tabla4[[#This Row],[ZONA DEFINITIVO]])," ")</f>
        <v xml:space="preserve"> </v>
      </c>
      <c r="AA1177" s="12"/>
      <c r="AB1177" s="38">
        <v>65405790</v>
      </c>
      <c r="AC1177" s="37">
        <v>0.02</v>
      </c>
      <c r="AD1177" s="38">
        <f t="shared" si="19"/>
        <v>1308115.8</v>
      </c>
      <c r="AE1177" s="12"/>
      <c r="AF1177" s="12">
        <f>COUNTIF($A$20:A1177,A1177)</f>
        <v>14</v>
      </c>
      <c r="AG1177" s="38">
        <v>65405790</v>
      </c>
      <c r="AH1177" s="38">
        <f>Tabla4[[#This Row],[VALOR CONTRAPARTIDA]]+Tabla4[[#This Row],[TOTAL APORTES ICBF]]</f>
        <v>66713905.799999997</v>
      </c>
      <c r="AI1177" s="35"/>
      <c r="AJ1177" s="38"/>
      <c r="AK1177" s="38"/>
      <c r="AL1177" s="23"/>
      <c r="AM1177" s="35">
        <f>VLOOKUP(Tabla4[[#This Row],[SERVICIO 2025]],$J$2:$V$14,5,0)*Tabla4[[#This Row],[TOTAL COBERTURA]]</f>
        <v>1481280</v>
      </c>
      <c r="AN1177" s="35">
        <f>VLOOKUP(Tabla4[[#This Row],[SERVICIO 2025]],$J$2:$V$14,6,0)*Tabla4[[#This Row],[TOTAL COBERTURA]]</f>
        <v>1230870</v>
      </c>
      <c r="AO1177" s="35">
        <f>VLOOKUP(Tabla4[[#This Row],[SERVICIO 2025]],$J$2:$V$14,8,0)*Tabla4[[#This Row],[TOTAL COBERTURA]]</f>
        <v>873000</v>
      </c>
      <c r="AP1177" s="35">
        <f>VLOOKUP(Tabla4[[#This Row],[SERVICIO 2025]],$J$2:$V$14,3,0)*Tabla4[[#This Row],[TOTAL COBERTURA]]*8</f>
        <v>61820640</v>
      </c>
      <c r="AQ1177" s="35"/>
      <c r="AR1177" s="35">
        <f>Tabla4[[#This Row],[VALOR FASE PREPARATORIA DE ALISTAMIENTO]]+Tabla4[[#This Row],[VALOR FASE PREPARATORIA DE CIERRE]]+Tabla4[[#This Row],[DOTACIÓN ÚNICA]]+Tabla4[[#This Row],[VALOR ATENCIÓN]]+Tabla4[[#This Row],[VALOR RACION PREPARADA]]</f>
        <v>65405790</v>
      </c>
      <c r="AS1177" s="35" t="str">
        <f>+IF(Tabla4[[#This Row],[AGRUPACIONES]]=1,SUMIFS(Tabla4[VALOR TOTAL],Tabla4[ZONA DEFINITIVO],Tabla4[[#This Row],[ZONA DEFINITIVO]])," ")</f>
        <v xml:space="preserve"> </v>
      </c>
      <c r="AT1177" s="27">
        <f>(VLOOKUP(Tabla4[[#This Row],[SERVICIO 2025]],$J$2:$V$14,3,0)*Tabla4[[#This Row],[TOTAL COBERTURA]])+Tabla4[[#This Row],[VALOR FASE PREPARATORIA DE ALISTAMIENTO]]+Tabla4[[#This Row],[DOTACIÓN ÚNICA]]</f>
        <v>10081860</v>
      </c>
      <c r="AU1177" s="35">
        <f>(VLOOKUP(Tabla4[[#This Row],[SERVICIO 2025]],$J$2:$V$14,3,0)*Tabla4[[#This Row],[TOTAL COBERTURA]])</f>
        <v>7727580</v>
      </c>
      <c r="AV1177" s="35">
        <f>(VLOOKUP(Tabla4[[#This Row],[SERVICIO 2025]],$J$2:$V$14,3,0)*Tabla4[[#This Row],[TOTAL COBERTURA]])</f>
        <v>7727580</v>
      </c>
      <c r="AW1177" s="35">
        <f>(VLOOKUP(Tabla4[[#This Row],[SERVICIO 2025]],$J$2:$V$14,3,0)*Tabla4[[#This Row],[TOTAL COBERTURA]])</f>
        <v>7727580</v>
      </c>
      <c r="AX1177" s="35">
        <f>(VLOOKUP(Tabla4[[#This Row],[SERVICIO 2025]],$J$2:$V$14,3,0)*Tabla4[[#This Row],[TOTAL COBERTURA]])</f>
        <v>7727580</v>
      </c>
      <c r="AY1177" s="35">
        <f>(VLOOKUP(Tabla4[[#This Row],[SERVICIO 2025]],$J$2:$V$14,3,0)*Tabla4[[#This Row],[TOTAL COBERTURA]])</f>
        <v>7727580</v>
      </c>
      <c r="AZ1177" s="35">
        <f>(VLOOKUP(Tabla4[[#This Row],[SERVICIO 2025]],$J$2:$V$14,3,0)*Tabla4[[#This Row],[TOTAL COBERTURA]])</f>
        <v>7727580</v>
      </c>
      <c r="BA1177" s="35">
        <f>(VLOOKUP(Tabla4[[#This Row],[SERVICIO 2025]],$J$2:$V$14,3,0)*Tabla4[[#This Row],[TOTAL COBERTURA]])+Tabla4[[#This Row],[VALOR FASE PREPARATORIA DE CIERRE]]</f>
        <v>8958450</v>
      </c>
      <c r="BB1177" s="35">
        <f>SUM(Tabla4[[#This Row],[DESEMBOLSO 1]:[DESEMBOLSO 8]])</f>
        <v>65405790</v>
      </c>
      <c r="BC1177" s="35">
        <f>VLOOKUP(Tabla4[[#This Row],[SERVICIO 2025]],$J$2:$V$14,10,0)*Tabla4[[#This Row],[TOTAL COBERTURA]]*$W$3</f>
        <v>43291920</v>
      </c>
      <c r="BD1177" s="47" t="s">
        <v>211</v>
      </c>
      <c r="BE1177" s="12" t="b">
        <f>EXACT(Tabla4[[#This Row],[VALOR ATENCIÓN (8 MESES)]],Tabla4[[#This Row],[VALOR TOTAL]])</f>
        <v>1</v>
      </c>
      <c r="BF1177" s="23">
        <f>Tabla4[[#This Row],[VALOR ATENCIÓN (8 MESES)]]-Tabla4[[#This Row],[VALOR TOTAL]]</f>
        <v>0</v>
      </c>
      <c r="BG1177" s="12" t="b">
        <f>EXACT(Tabla4[[#This Row],[TOTAL DESEMBOLSOS]],Tabla4[[#This Row],[VALOR ATENCIÓN (8 MESES)]])</f>
        <v>1</v>
      </c>
      <c r="BH1177" s="29">
        <f>Tabla4[[#This Row],[TOTAL DESEMBOLSOS]]-Tabla4[[#This Row],[VALOR ATENCIÓN (8 MESES)]]</f>
        <v>0</v>
      </c>
      <c r="BI1177" t="s">
        <v>98</v>
      </c>
      <c r="BJ1177">
        <v>2014</v>
      </c>
    </row>
    <row r="1178" spans="1:62">
      <c r="A1178" s="13">
        <v>2014</v>
      </c>
      <c r="B1178" s="13" t="s">
        <v>2542</v>
      </c>
      <c r="C1178" s="12" t="s">
        <v>87</v>
      </c>
      <c r="D1178" s="12" t="s">
        <v>462</v>
      </c>
      <c r="E1178" s="12" t="s">
        <v>2499</v>
      </c>
      <c r="F1178" s="12" t="s">
        <v>18</v>
      </c>
      <c r="G1178" s="12" t="s">
        <v>90</v>
      </c>
      <c r="H1178" s="12" t="s">
        <v>2570</v>
      </c>
      <c r="I1178" s="12">
        <v>58371137312</v>
      </c>
      <c r="J1178" s="12" t="s">
        <v>2571</v>
      </c>
      <c r="K1178" s="12">
        <v>1</v>
      </c>
      <c r="L1178" s="12">
        <v>48</v>
      </c>
      <c r="M1178" s="12"/>
      <c r="N1178" s="13">
        <v>2014</v>
      </c>
      <c r="O1178" s="12" t="s">
        <v>93</v>
      </c>
      <c r="P1178" s="12"/>
      <c r="Q1178" s="12"/>
      <c r="R1178" s="12" t="s">
        <v>94</v>
      </c>
      <c r="S1178" s="12">
        <v>10</v>
      </c>
      <c r="T1178" s="12" t="s">
        <v>1062</v>
      </c>
      <c r="U1178" s="12" t="s">
        <v>1063</v>
      </c>
      <c r="V1178" s="12">
        <f>VLOOKUP(Tabla4[[#This Row],[ZONA DEFINITIVO]],Hoja1!$A$1:$D$121,3,0)</f>
        <v>229162</v>
      </c>
      <c r="W1178" s="12">
        <f>VLOOKUP(Tabla4[[#This Row],[ZONA DEFINITIVO]],Hoja1!$A$1:$D$121,2,0)</f>
        <v>15250</v>
      </c>
      <c r="X1178" s="12">
        <f>VLOOKUP(Tabla4[[#This Row],[ZONA DEFINITIVO]],Hoja1!$A$1:$D$121,4,0)</f>
        <v>89325</v>
      </c>
      <c r="Y1178" s="12" t="str">
        <f>+IF(Tabla4[[#This Row],[AGRUPACIONES]]=1,SUMIFS(Tabla4[UDS],Tabla4[ZONA DEFINITIVO],Tabla4[[#This Row],[ZONA DEFINITIVO]])," ")</f>
        <v xml:space="preserve"> </v>
      </c>
      <c r="Z1178" s="12" t="str">
        <f>+IF(Tabla4[[#This Row],[AGRUPACIONES]]=1,SUMIFS(Tabla4[TOTAL COBERTURA],Tabla4[ZONA DEFINITIVO],Tabla4[[#This Row],[ZONA DEFINITIVO]])," ")</f>
        <v xml:space="preserve"> </v>
      </c>
      <c r="AA1178" s="12"/>
      <c r="AB1178" s="38">
        <v>104649264</v>
      </c>
      <c r="AC1178" s="37">
        <v>0.02</v>
      </c>
      <c r="AD1178" s="38">
        <f t="shared" si="19"/>
        <v>2092985.28</v>
      </c>
      <c r="AE1178" s="12"/>
      <c r="AF1178" s="12">
        <f>COUNTIF($A$20:A1178,A1178)</f>
        <v>15</v>
      </c>
      <c r="AG1178" s="38">
        <v>104649264</v>
      </c>
      <c r="AH1178" s="38">
        <f>Tabla4[[#This Row],[VALOR CONTRAPARTIDA]]+Tabla4[[#This Row],[TOTAL APORTES ICBF]]</f>
        <v>106742249.28</v>
      </c>
      <c r="AI1178" s="35"/>
      <c r="AJ1178" s="38"/>
      <c r="AK1178" s="38"/>
      <c r="AL1178" s="23"/>
      <c r="AM1178" s="35">
        <f>VLOOKUP(Tabla4[[#This Row],[SERVICIO 2025]],$J$2:$V$14,5,0)*Tabla4[[#This Row],[TOTAL COBERTURA]]</f>
        <v>2370048</v>
      </c>
      <c r="AN1178" s="35">
        <f>VLOOKUP(Tabla4[[#This Row],[SERVICIO 2025]],$J$2:$V$14,6,0)*Tabla4[[#This Row],[TOTAL COBERTURA]]</f>
        <v>1969392</v>
      </c>
      <c r="AO1178" s="35">
        <f>VLOOKUP(Tabla4[[#This Row],[SERVICIO 2025]],$J$2:$V$14,8,0)*Tabla4[[#This Row],[TOTAL COBERTURA]]</f>
        <v>1396800</v>
      </c>
      <c r="AP1178" s="35">
        <f>VLOOKUP(Tabla4[[#This Row],[SERVICIO 2025]],$J$2:$V$14,3,0)*Tabla4[[#This Row],[TOTAL COBERTURA]]*8</f>
        <v>98913024</v>
      </c>
      <c r="AQ1178" s="35"/>
      <c r="AR1178" s="35">
        <f>Tabla4[[#This Row],[VALOR FASE PREPARATORIA DE ALISTAMIENTO]]+Tabla4[[#This Row],[VALOR FASE PREPARATORIA DE CIERRE]]+Tabla4[[#This Row],[DOTACIÓN ÚNICA]]+Tabla4[[#This Row],[VALOR ATENCIÓN]]+Tabla4[[#This Row],[VALOR RACION PREPARADA]]</f>
        <v>104649264</v>
      </c>
      <c r="AS1178" s="35" t="str">
        <f>+IF(Tabla4[[#This Row],[AGRUPACIONES]]=1,SUMIFS(Tabla4[VALOR TOTAL],Tabla4[ZONA DEFINITIVO],Tabla4[[#This Row],[ZONA DEFINITIVO]])," ")</f>
        <v xml:space="preserve"> </v>
      </c>
      <c r="AT1178" s="27">
        <f>(VLOOKUP(Tabla4[[#This Row],[SERVICIO 2025]],$J$2:$V$14,3,0)*Tabla4[[#This Row],[TOTAL COBERTURA]])+Tabla4[[#This Row],[VALOR FASE PREPARATORIA DE ALISTAMIENTO]]+Tabla4[[#This Row],[DOTACIÓN ÚNICA]]</f>
        <v>16130976</v>
      </c>
      <c r="AU1178" s="35">
        <f>(VLOOKUP(Tabla4[[#This Row],[SERVICIO 2025]],$J$2:$V$14,3,0)*Tabla4[[#This Row],[TOTAL COBERTURA]])</f>
        <v>12364128</v>
      </c>
      <c r="AV1178" s="35">
        <f>(VLOOKUP(Tabla4[[#This Row],[SERVICIO 2025]],$J$2:$V$14,3,0)*Tabla4[[#This Row],[TOTAL COBERTURA]])</f>
        <v>12364128</v>
      </c>
      <c r="AW1178" s="35">
        <f>(VLOOKUP(Tabla4[[#This Row],[SERVICIO 2025]],$J$2:$V$14,3,0)*Tabla4[[#This Row],[TOTAL COBERTURA]])</f>
        <v>12364128</v>
      </c>
      <c r="AX1178" s="35">
        <f>(VLOOKUP(Tabla4[[#This Row],[SERVICIO 2025]],$J$2:$V$14,3,0)*Tabla4[[#This Row],[TOTAL COBERTURA]])</f>
        <v>12364128</v>
      </c>
      <c r="AY1178" s="35">
        <f>(VLOOKUP(Tabla4[[#This Row],[SERVICIO 2025]],$J$2:$V$14,3,0)*Tabla4[[#This Row],[TOTAL COBERTURA]])</f>
        <v>12364128</v>
      </c>
      <c r="AZ1178" s="35">
        <f>(VLOOKUP(Tabla4[[#This Row],[SERVICIO 2025]],$J$2:$V$14,3,0)*Tabla4[[#This Row],[TOTAL COBERTURA]])</f>
        <v>12364128</v>
      </c>
      <c r="BA1178" s="35">
        <f>(VLOOKUP(Tabla4[[#This Row],[SERVICIO 2025]],$J$2:$V$14,3,0)*Tabla4[[#This Row],[TOTAL COBERTURA]])+Tabla4[[#This Row],[VALOR FASE PREPARATORIA DE CIERRE]]</f>
        <v>14333520</v>
      </c>
      <c r="BB1178" s="35">
        <f>SUM(Tabla4[[#This Row],[DESEMBOLSO 1]:[DESEMBOLSO 8]])</f>
        <v>104649264</v>
      </c>
      <c r="BC1178" s="35">
        <f>VLOOKUP(Tabla4[[#This Row],[SERVICIO 2025]],$J$2:$V$14,10,0)*Tabla4[[#This Row],[TOTAL COBERTURA]]*$W$3</f>
        <v>69267072</v>
      </c>
      <c r="BD1178" s="47" t="s">
        <v>211</v>
      </c>
      <c r="BE1178" s="12" t="b">
        <f>EXACT(Tabla4[[#This Row],[VALOR ATENCIÓN (8 MESES)]],Tabla4[[#This Row],[VALOR TOTAL]])</f>
        <v>1</v>
      </c>
      <c r="BF1178" s="23">
        <f>Tabla4[[#This Row],[VALOR ATENCIÓN (8 MESES)]]-Tabla4[[#This Row],[VALOR TOTAL]]</f>
        <v>0</v>
      </c>
      <c r="BG1178" s="12" t="b">
        <f>EXACT(Tabla4[[#This Row],[TOTAL DESEMBOLSOS]],Tabla4[[#This Row],[VALOR ATENCIÓN (8 MESES)]])</f>
        <v>1</v>
      </c>
      <c r="BH1178" s="29">
        <f>Tabla4[[#This Row],[TOTAL DESEMBOLSOS]]-Tabla4[[#This Row],[VALOR ATENCIÓN (8 MESES)]]</f>
        <v>0</v>
      </c>
      <c r="BI1178" t="s">
        <v>98</v>
      </c>
      <c r="BJ1178">
        <v>2014</v>
      </c>
    </row>
    <row r="1179" spans="1:62">
      <c r="A1179" s="13">
        <v>2014</v>
      </c>
      <c r="B1179" s="13" t="s">
        <v>2542</v>
      </c>
      <c r="C1179" s="12" t="s">
        <v>87</v>
      </c>
      <c r="D1179" s="12" t="s">
        <v>462</v>
      </c>
      <c r="E1179" s="12" t="s">
        <v>2499</v>
      </c>
      <c r="F1179" s="12" t="s">
        <v>18</v>
      </c>
      <c r="G1179" s="12" t="s">
        <v>90</v>
      </c>
      <c r="H1179" s="12" t="s">
        <v>2572</v>
      </c>
      <c r="I1179" s="12">
        <v>58371137350</v>
      </c>
      <c r="J1179" s="12" t="s">
        <v>2573</v>
      </c>
      <c r="K1179" s="12">
        <v>1</v>
      </c>
      <c r="L1179" s="12">
        <v>17</v>
      </c>
      <c r="M1179" s="12"/>
      <c r="N1179" s="13">
        <v>2014</v>
      </c>
      <c r="O1179" s="12" t="s">
        <v>93</v>
      </c>
      <c r="P1179" s="12"/>
      <c r="Q1179" s="12"/>
      <c r="R1179" s="12" t="s">
        <v>94</v>
      </c>
      <c r="S1179" s="12">
        <v>10</v>
      </c>
      <c r="T1179" s="12" t="s">
        <v>1062</v>
      </c>
      <c r="U1179" s="12" t="s">
        <v>1063</v>
      </c>
      <c r="V1179" s="12">
        <f>VLOOKUP(Tabla4[[#This Row],[ZONA DEFINITIVO]],Hoja1!$A$1:$D$121,3,0)</f>
        <v>229162</v>
      </c>
      <c r="W1179" s="12">
        <f>VLOOKUP(Tabla4[[#This Row],[ZONA DEFINITIVO]],Hoja1!$A$1:$D$121,2,0)</f>
        <v>15250</v>
      </c>
      <c r="X1179" s="12">
        <f>VLOOKUP(Tabla4[[#This Row],[ZONA DEFINITIVO]],Hoja1!$A$1:$D$121,4,0)</f>
        <v>89325</v>
      </c>
      <c r="Y1179" s="12" t="str">
        <f>+IF(Tabla4[[#This Row],[AGRUPACIONES]]=1,SUMIFS(Tabla4[UDS],Tabla4[ZONA DEFINITIVO],Tabla4[[#This Row],[ZONA DEFINITIVO]])," ")</f>
        <v xml:space="preserve"> </v>
      </c>
      <c r="Z1179" s="12" t="str">
        <f>+IF(Tabla4[[#This Row],[AGRUPACIONES]]=1,SUMIFS(Tabla4[TOTAL COBERTURA],Tabla4[ZONA DEFINITIVO],Tabla4[[#This Row],[ZONA DEFINITIVO]])," ")</f>
        <v xml:space="preserve"> </v>
      </c>
      <c r="AA1179" s="12"/>
      <c r="AB1179" s="38">
        <v>37063281</v>
      </c>
      <c r="AC1179" s="37">
        <v>0.02</v>
      </c>
      <c r="AD1179" s="38">
        <f t="shared" si="19"/>
        <v>741265.62</v>
      </c>
      <c r="AE1179" s="12"/>
      <c r="AF1179" s="12">
        <f>COUNTIF($A$20:A1179,A1179)</f>
        <v>16</v>
      </c>
      <c r="AG1179" s="38">
        <v>37063281</v>
      </c>
      <c r="AH1179" s="38">
        <f>Tabla4[[#This Row],[VALOR CONTRAPARTIDA]]+Tabla4[[#This Row],[TOTAL APORTES ICBF]]</f>
        <v>37804546.619999997</v>
      </c>
      <c r="AI1179" s="35"/>
      <c r="AJ1179" s="38"/>
      <c r="AK1179" s="38"/>
      <c r="AL1179" s="23"/>
      <c r="AM1179" s="35">
        <f>VLOOKUP(Tabla4[[#This Row],[SERVICIO 2025]],$J$2:$V$14,5,0)*Tabla4[[#This Row],[TOTAL COBERTURA]]</f>
        <v>839392</v>
      </c>
      <c r="AN1179" s="35">
        <f>VLOOKUP(Tabla4[[#This Row],[SERVICIO 2025]],$J$2:$V$14,6,0)*Tabla4[[#This Row],[TOTAL COBERTURA]]</f>
        <v>697493</v>
      </c>
      <c r="AO1179" s="35">
        <f>VLOOKUP(Tabla4[[#This Row],[SERVICIO 2025]],$J$2:$V$14,8,0)*Tabla4[[#This Row],[TOTAL COBERTURA]]</f>
        <v>494700</v>
      </c>
      <c r="AP1179" s="35">
        <f>VLOOKUP(Tabla4[[#This Row],[SERVICIO 2025]],$J$2:$V$14,3,0)*Tabla4[[#This Row],[TOTAL COBERTURA]]*8</f>
        <v>35031696</v>
      </c>
      <c r="AQ1179" s="35"/>
      <c r="AR1179" s="35">
        <f>Tabla4[[#This Row],[VALOR FASE PREPARATORIA DE ALISTAMIENTO]]+Tabla4[[#This Row],[VALOR FASE PREPARATORIA DE CIERRE]]+Tabla4[[#This Row],[DOTACIÓN ÚNICA]]+Tabla4[[#This Row],[VALOR ATENCIÓN]]+Tabla4[[#This Row],[VALOR RACION PREPARADA]]</f>
        <v>37063281</v>
      </c>
      <c r="AS1179" s="35" t="str">
        <f>+IF(Tabla4[[#This Row],[AGRUPACIONES]]=1,SUMIFS(Tabla4[VALOR TOTAL],Tabla4[ZONA DEFINITIVO],Tabla4[[#This Row],[ZONA DEFINITIVO]])," ")</f>
        <v xml:space="preserve"> </v>
      </c>
      <c r="AT1179" s="27">
        <f>(VLOOKUP(Tabla4[[#This Row],[SERVICIO 2025]],$J$2:$V$14,3,0)*Tabla4[[#This Row],[TOTAL COBERTURA]])+Tabla4[[#This Row],[VALOR FASE PREPARATORIA DE ALISTAMIENTO]]+Tabla4[[#This Row],[DOTACIÓN ÚNICA]]</f>
        <v>5713054</v>
      </c>
      <c r="AU1179" s="35">
        <f>(VLOOKUP(Tabla4[[#This Row],[SERVICIO 2025]],$J$2:$V$14,3,0)*Tabla4[[#This Row],[TOTAL COBERTURA]])</f>
        <v>4378962</v>
      </c>
      <c r="AV1179" s="35">
        <f>(VLOOKUP(Tabla4[[#This Row],[SERVICIO 2025]],$J$2:$V$14,3,0)*Tabla4[[#This Row],[TOTAL COBERTURA]])</f>
        <v>4378962</v>
      </c>
      <c r="AW1179" s="35">
        <f>(VLOOKUP(Tabla4[[#This Row],[SERVICIO 2025]],$J$2:$V$14,3,0)*Tabla4[[#This Row],[TOTAL COBERTURA]])</f>
        <v>4378962</v>
      </c>
      <c r="AX1179" s="35">
        <f>(VLOOKUP(Tabla4[[#This Row],[SERVICIO 2025]],$J$2:$V$14,3,0)*Tabla4[[#This Row],[TOTAL COBERTURA]])</f>
        <v>4378962</v>
      </c>
      <c r="AY1179" s="35">
        <f>(VLOOKUP(Tabla4[[#This Row],[SERVICIO 2025]],$J$2:$V$14,3,0)*Tabla4[[#This Row],[TOTAL COBERTURA]])</f>
        <v>4378962</v>
      </c>
      <c r="AZ1179" s="35">
        <f>(VLOOKUP(Tabla4[[#This Row],[SERVICIO 2025]],$J$2:$V$14,3,0)*Tabla4[[#This Row],[TOTAL COBERTURA]])</f>
        <v>4378962</v>
      </c>
      <c r="BA1179" s="35">
        <f>(VLOOKUP(Tabla4[[#This Row],[SERVICIO 2025]],$J$2:$V$14,3,0)*Tabla4[[#This Row],[TOTAL COBERTURA]])+Tabla4[[#This Row],[VALOR FASE PREPARATORIA DE CIERRE]]</f>
        <v>5076455</v>
      </c>
      <c r="BB1179" s="35">
        <f>SUM(Tabla4[[#This Row],[DESEMBOLSO 1]:[DESEMBOLSO 8]])</f>
        <v>37063281</v>
      </c>
      <c r="BC1179" s="35">
        <f>VLOOKUP(Tabla4[[#This Row],[SERVICIO 2025]],$J$2:$V$14,10,0)*Tabla4[[#This Row],[TOTAL COBERTURA]]*$W$3</f>
        <v>24532088</v>
      </c>
      <c r="BD1179" s="47" t="s">
        <v>211</v>
      </c>
      <c r="BE1179" s="12" t="b">
        <f>EXACT(Tabla4[[#This Row],[VALOR ATENCIÓN (8 MESES)]],Tabla4[[#This Row],[VALOR TOTAL]])</f>
        <v>1</v>
      </c>
      <c r="BF1179" s="23">
        <f>Tabla4[[#This Row],[VALOR ATENCIÓN (8 MESES)]]-Tabla4[[#This Row],[VALOR TOTAL]]</f>
        <v>0</v>
      </c>
      <c r="BG1179" s="12" t="b">
        <f>EXACT(Tabla4[[#This Row],[TOTAL DESEMBOLSOS]],Tabla4[[#This Row],[VALOR ATENCIÓN (8 MESES)]])</f>
        <v>1</v>
      </c>
      <c r="BH1179" s="29">
        <f>Tabla4[[#This Row],[TOTAL DESEMBOLSOS]]-Tabla4[[#This Row],[VALOR ATENCIÓN (8 MESES)]]</f>
        <v>0</v>
      </c>
      <c r="BI1179" t="s">
        <v>98</v>
      </c>
      <c r="BJ1179">
        <v>2014</v>
      </c>
    </row>
    <row r="1180" spans="1:62">
      <c r="A1180" s="13">
        <v>2014</v>
      </c>
      <c r="B1180" s="13" t="s">
        <v>2542</v>
      </c>
      <c r="C1180" s="12" t="s">
        <v>87</v>
      </c>
      <c r="D1180" s="12" t="s">
        <v>462</v>
      </c>
      <c r="E1180" s="12" t="s">
        <v>2499</v>
      </c>
      <c r="F1180" s="12" t="s">
        <v>18</v>
      </c>
      <c r="G1180" s="12" t="s">
        <v>90</v>
      </c>
      <c r="H1180" s="12" t="s">
        <v>2574</v>
      </c>
      <c r="I1180" s="12">
        <v>58371144607</v>
      </c>
      <c r="J1180" s="12" t="s">
        <v>2575</v>
      </c>
      <c r="K1180" s="12">
        <v>1</v>
      </c>
      <c r="L1180" s="12">
        <v>50</v>
      </c>
      <c r="M1180" s="12"/>
      <c r="N1180" s="13">
        <v>2014</v>
      </c>
      <c r="O1180" s="12" t="s">
        <v>93</v>
      </c>
      <c r="P1180" s="12"/>
      <c r="Q1180" s="12"/>
      <c r="R1180" s="12" t="s">
        <v>94</v>
      </c>
      <c r="S1180" s="12">
        <v>10</v>
      </c>
      <c r="T1180" s="12" t="s">
        <v>1062</v>
      </c>
      <c r="U1180" s="12" t="s">
        <v>1063</v>
      </c>
      <c r="V1180" s="12">
        <f>VLOOKUP(Tabla4[[#This Row],[ZONA DEFINITIVO]],Hoja1!$A$1:$D$121,3,0)</f>
        <v>229162</v>
      </c>
      <c r="W1180" s="12">
        <f>VLOOKUP(Tabla4[[#This Row],[ZONA DEFINITIVO]],Hoja1!$A$1:$D$121,2,0)</f>
        <v>15250</v>
      </c>
      <c r="X1180" s="12">
        <f>VLOOKUP(Tabla4[[#This Row],[ZONA DEFINITIVO]],Hoja1!$A$1:$D$121,4,0)</f>
        <v>89325</v>
      </c>
      <c r="Y1180" s="12" t="str">
        <f>+IF(Tabla4[[#This Row],[AGRUPACIONES]]=1,SUMIFS(Tabla4[UDS],Tabla4[ZONA DEFINITIVO],Tabla4[[#This Row],[ZONA DEFINITIVO]])," ")</f>
        <v xml:space="preserve"> </v>
      </c>
      <c r="Z1180" s="12" t="str">
        <f>+IF(Tabla4[[#This Row],[AGRUPACIONES]]=1,SUMIFS(Tabla4[TOTAL COBERTURA],Tabla4[ZONA DEFINITIVO],Tabla4[[#This Row],[ZONA DEFINITIVO]])," ")</f>
        <v xml:space="preserve"> </v>
      </c>
      <c r="AA1180" s="12"/>
      <c r="AB1180" s="38">
        <v>109009650</v>
      </c>
      <c r="AC1180" s="37">
        <v>0.02</v>
      </c>
      <c r="AD1180" s="38">
        <f t="shared" si="19"/>
        <v>2180193</v>
      </c>
      <c r="AE1180" s="12"/>
      <c r="AF1180" s="12">
        <f>COUNTIF($A$20:A1180,A1180)</f>
        <v>17</v>
      </c>
      <c r="AG1180" s="38">
        <v>109009650</v>
      </c>
      <c r="AH1180" s="38">
        <f>Tabla4[[#This Row],[VALOR CONTRAPARTIDA]]+Tabla4[[#This Row],[TOTAL APORTES ICBF]]</f>
        <v>111189843</v>
      </c>
      <c r="AI1180" s="35"/>
      <c r="AJ1180" s="38"/>
      <c r="AK1180" s="38"/>
      <c r="AL1180" s="23"/>
      <c r="AM1180" s="35">
        <f>VLOOKUP(Tabla4[[#This Row],[SERVICIO 2025]],$J$2:$V$14,5,0)*Tabla4[[#This Row],[TOTAL COBERTURA]]</f>
        <v>2468800</v>
      </c>
      <c r="AN1180" s="35">
        <f>VLOOKUP(Tabla4[[#This Row],[SERVICIO 2025]],$J$2:$V$14,6,0)*Tabla4[[#This Row],[TOTAL COBERTURA]]</f>
        <v>2051450</v>
      </c>
      <c r="AO1180" s="35">
        <f>VLOOKUP(Tabla4[[#This Row],[SERVICIO 2025]],$J$2:$V$14,8,0)*Tabla4[[#This Row],[TOTAL COBERTURA]]</f>
        <v>1455000</v>
      </c>
      <c r="AP1180" s="35">
        <f>VLOOKUP(Tabla4[[#This Row],[SERVICIO 2025]],$J$2:$V$14,3,0)*Tabla4[[#This Row],[TOTAL COBERTURA]]*8</f>
        <v>103034400</v>
      </c>
      <c r="AQ1180" s="35"/>
      <c r="AR1180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80" s="35" t="str">
        <f>+IF(Tabla4[[#This Row],[AGRUPACIONES]]=1,SUMIFS(Tabla4[VALOR TOTAL],Tabla4[ZONA DEFINITIVO],Tabla4[[#This Row],[ZONA DEFINITIVO]])," ")</f>
        <v xml:space="preserve"> </v>
      </c>
      <c r="AT1180" s="27">
        <f>(VLOOKUP(Tabla4[[#This Row],[SERVICIO 2025]],$J$2:$V$14,3,0)*Tabla4[[#This Row],[TOTAL COBERTURA]])+Tabla4[[#This Row],[VALOR FASE PREPARATORIA DE ALISTAMIENTO]]+Tabla4[[#This Row],[DOTACIÓN ÚNICA]]</f>
        <v>16803100</v>
      </c>
      <c r="AU1180" s="35">
        <f>(VLOOKUP(Tabla4[[#This Row],[SERVICIO 2025]],$J$2:$V$14,3,0)*Tabla4[[#This Row],[TOTAL COBERTURA]])</f>
        <v>12879300</v>
      </c>
      <c r="AV1180" s="35">
        <f>(VLOOKUP(Tabla4[[#This Row],[SERVICIO 2025]],$J$2:$V$14,3,0)*Tabla4[[#This Row],[TOTAL COBERTURA]])</f>
        <v>12879300</v>
      </c>
      <c r="AW1180" s="35">
        <f>(VLOOKUP(Tabla4[[#This Row],[SERVICIO 2025]],$J$2:$V$14,3,0)*Tabla4[[#This Row],[TOTAL COBERTURA]])</f>
        <v>12879300</v>
      </c>
      <c r="AX1180" s="35">
        <f>(VLOOKUP(Tabla4[[#This Row],[SERVICIO 2025]],$J$2:$V$14,3,0)*Tabla4[[#This Row],[TOTAL COBERTURA]])</f>
        <v>12879300</v>
      </c>
      <c r="AY1180" s="35">
        <f>(VLOOKUP(Tabla4[[#This Row],[SERVICIO 2025]],$J$2:$V$14,3,0)*Tabla4[[#This Row],[TOTAL COBERTURA]])</f>
        <v>12879300</v>
      </c>
      <c r="AZ1180" s="35">
        <f>(VLOOKUP(Tabla4[[#This Row],[SERVICIO 2025]],$J$2:$V$14,3,0)*Tabla4[[#This Row],[TOTAL COBERTURA]])</f>
        <v>12879300</v>
      </c>
      <c r="BA1180" s="35">
        <f>(VLOOKUP(Tabla4[[#This Row],[SERVICIO 2025]],$J$2:$V$14,3,0)*Tabla4[[#This Row],[TOTAL COBERTURA]])+Tabla4[[#This Row],[VALOR FASE PREPARATORIA DE CIERRE]]</f>
        <v>14930750</v>
      </c>
      <c r="BB1180" s="35">
        <f>SUM(Tabla4[[#This Row],[DESEMBOLSO 1]:[DESEMBOLSO 8]])</f>
        <v>109009650</v>
      </c>
      <c r="BC1180" s="35">
        <f>VLOOKUP(Tabla4[[#This Row],[SERVICIO 2025]],$J$2:$V$14,10,0)*Tabla4[[#This Row],[TOTAL COBERTURA]]*$W$3</f>
        <v>72153200</v>
      </c>
      <c r="BD1180" s="47" t="s">
        <v>211</v>
      </c>
      <c r="BE1180" s="12" t="b">
        <f>EXACT(Tabla4[[#This Row],[VALOR ATENCIÓN (8 MESES)]],Tabla4[[#This Row],[VALOR TOTAL]])</f>
        <v>1</v>
      </c>
      <c r="BF1180" s="23">
        <f>Tabla4[[#This Row],[VALOR ATENCIÓN (8 MESES)]]-Tabla4[[#This Row],[VALOR TOTAL]]</f>
        <v>0</v>
      </c>
      <c r="BG1180" s="12" t="b">
        <f>EXACT(Tabla4[[#This Row],[TOTAL DESEMBOLSOS]],Tabla4[[#This Row],[VALOR ATENCIÓN (8 MESES)]])</f>
        <v>1</v>
      </c>
      <c r="BH1180" s="29">
        <f>Tabla4[[#This Row],[TOTAL DESEMBOLSOS]]-Tabla4[[#This Row],[VALOR ATENCIÓN (8 MESES)]]</f>
        <v>0</v>
      </c>
      <c r="BI1180" t="s">
        <v>98</v>
      </c>
      <c r="BJ1180">
        <v>2014</v>
      </c>
    </row>
    <row r="1181" spans="1:62">
      <c r="A1181" s="13">
        <v>2014</v>
      </c>
      <c r="B1181" s="13" t="s">
        <v>2542</v>
      </c>
      <c r="C1181" s="12" t="s">
        <v>87</v>
      </c>
      <c r="D1181" s="12" t="s">
        <v>462</v>
      </c>
      <c r="E1181" s="12" t="s">
        <v>2499</v>
      </c>
      <c r="F1181" s="12" t="s">
        <v>18</v>
      </c>
      <c r="G1181" s="12" t="s">
        <v>90</v>
      </c>
      <c r="H1181" s="12" t="s">
        <v>2574</v>
      </c>
      <c r="I1181" s="12">
        <v>58371144616</v>
      </c>
      <c r="J1181" s="12" t="s">
        <v>2576</v>
      </c>
      <c r="K1181" s="12">
        <v>1</v>
      </c>
      <c r="L1181" s="12">
        <v>50</v>
      </c>
      <c r="M1181" s="12"/>
      <c r="N1181" s="13">
        <v>2014</v>
      </c>
      <c r="O1181" s="12" t="s">
        <v>93</v>
      </c>
      <c r="P1181" s="12"/>
      <c r="Q1181" s="12"/>
      <c r="R1181" s="12" t="s">
        <v>94</v>
      </c>
      <c r="S1181" s="12">
        <v>10</v>
      </c>
      <c r="T1181" s="12" t="s">
        <v>1062</v>
      </c>
      <c r="U1181" s="12" t="s">
        <v>1063</v>
      </c>
      <c r="V1181" s="12">
        <f>VLOOKUP(Tabla4[[#This Row],[ZONA DEFINITIVO]],Hoja1!$A$1:$D$121,3,0)</f>
        <v>229162</v>
      </c>
      <c r="W1181" s="12">
        <f>VLOOKUP(Tabla4[[#This Row],[ZONA DEFINITIVO]],Hoja1!$A$1:$D$121,2,0)</f>
        <v>15250</v>
      </c>
      <c r="X1181" s="12">
        <f>VLOOKUP(Tabla4[[#This Row],[ZONA DEFINITIVO]],Hoja1!$A$1:$D$121,4,0)</f>
        <v>89325</v>
      </c>
      <c r="Y1181" s="12" t="str">
        <f>+IF(Tabla4[[#This Row],[AGRUPACIONES]]=1,SUMIFS(Tabla4[UDS],Tabla4[ZONA DEFINITIVO],Tabla4[[#This Row],[ZONA DEFINITIVO]])," ")</f>
        <v xml:space="preserve"> </v>
      </c>
      <c r="Z1181" s="12" t="str">
        <f>+IF(Tabla4[[#This Row],[AGRUPACIONES]]=1,SUMIFS(Tabla4[TOTAL COBERTURA],Tabla4[ZONA DEFINITIVO],Tabla4[[#This Row],[ZONA DEFINITIVO]])," ")</f>
        <v xml:space="preserve"> </v>
      </c>
      <c r="AA1181" s="12"/>
      <c r="AB1181" s="38">
        <v>109009650</v>
      </c>
      <c r="AC1181" s="37">
        <v>0.02</v>
      </c>
      <c r="AD1181" s="38">
        <f t="shared" si="19"/>
        <v>2180193</v>
      </c>
      <c r="AE1181" s="12"/>
      <c r="AF1181" s="12">
        <f>COUNTIF($A$20:A1181,A1181)</f>
        <v>18</v>
      </c>
      <c r="AG1181" s="38">
        <v>109009650</v>
      </c>
      <c r="AH1181" s="38">
        <f>Tabla4[[#This Row],[VALOR CONTRAPARTIDA]]+Tabla4[[#This Row],[TOTAL APORTES ICBF]]</f>
        <v>111189843</v>
      </c>
      <c r="AI1181" s="35"/>
      <c r="AJ1181" s="38"/>
      <c r="AK1181" s="38"/>
      <c r="AL1181" s="23"/>
      <c r="AM1181" s="35">
        <f>VLOOKUP(Tabla4[[#This Row],[SERVICIO 2025]],$J$2:$V$14,5,0)*Tabla4[[#This Row],[TOTAL COBERTURA]]</f>
        <v>2468800</v>
      </c>
      <c r="AN1181" s="35">
        <f>VLOOKUP(Tabla4[[#This Row],[SERVICIO 2025]],$J$2:$V$14,6,0)*Tabla4[[#This Row],[TOTAL COBERTURA]]</f>
        <v>2051450</v>
      </c>
      <c r="AO1181" s="35">
        <f>VLOOKUP(Tabla4[[#This Row],[SERVICIO 2025]],$J$2:$V$14,8,0)*Tabla4[[#This Row],[TOTAL COBERTURA]]</f>
        <v>1455000</v>
      </c>
      <c r="AP1181" s="35">
        <f>VLOOKUP(Tabla4[[#This Row],[SERVICIO 2025]],$J$2:$V$14,3,0)*Tabla4[[#This Row],[TOTAL COBERTURA]]*8</f>
        <v>103034400</v>
      </c>
      <c r="AQ1181" s="35"/>
      <c r="AR1181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81" s="35" t="str">
        <f>+IF(Tabla4[[#This Row],[AGRUPACIONES]]=1,SUMIFS(Tabla4[VALOR TOTAL],Tabla4[ZONA DEFINITIVO],Tabla4[[#This Row],[ZONA DEFINITIVO]])," ")</f>
        <v xml:space="preserve"> </v>
      </c>
      <c r="AT1181" s="27">
        <f>(VLOOKUP(Tabla4[[#This Row],[SERVICIO 2025]],$J$2:$V$14,3,0)*Tabla4[[#This Row],[TOTAL COBERTURA]])+Tabla4[[#This Row],[VALOR FASE PREPARATORIA DE ALISTAMIENTO]]+Tabla4[[#This Row],[DOTACIÓN ÚNICA]]</f>
        <v>16803100</v>
      </c>
      <c r="AU1181" s="35">
        <f>(VLOOKUP(Tabla4[[#This Row],[SERVICIO 2025]],$J$2:$V$14,3,0)*Tabla4[[#This Row],[TOTAL COBERTURA]])</f>
        <v>12879300</v>
      </c>
      <c r="AV1181" s="35">
        <f>(VLOOKUP(Tabla4[[#This Row],[SERVICIO 2025]],$J$2:$V$14,3,0)*Tabla4[[#This Row],[TOTAL COBERTURA]])</f>
        <v>12879300</v>
      </c>
      <c r="AW1181" s="35">
        <f>(VLOOKUP(Tabla4[[#This Row],[SERVICIO 2025]],$J$2:$V$14,3,0)*Tabla4[[#This Row],[TOTAL COBERTURA]])</f>
        <v>12879300</v>
      </c>
      <c r="AX1181" s="35">
        <f>(VLOOKUP(Tabla4[[#This Row],[SERVICIO 2025]],$J$2:$V$14,3,0)*Tabla4[[#This Row],[TOTAL COBERTURA]])</f>
        <v>12879300</v>
      </c>
      <c r="AY1181" s="35">
        <f>(VLOOKUP(Tabla4[[#This Row],[SERVICIO 2025]],$J$2:$V$14,3,0)*Tabla4[[#This Row],[TOTAL COBERTURA]])</f>
        <v>12879300</v>
      </c>
      <c r="AZ1181" s="35">
        <f>(VLOOKUP(Tabla4[[#This Row],[SERVICIO 2025]],$J$2:$V$14,3,0)*Tabla4[[#This Row],[TOTAL COBERTURA]])</f>
        <v>12879300</v>
      </c>
      <c r="BA1181" s="35">
        <f>(VLOOKUP(Tabla4[[#This Row],[SERVICIO 2025]],$J$2:$V$14,3,0)*Tabla4[[#This Row],[TOTAL COBERTURA]])+Tabla4[[#This Row],[VALOR FASE PREPARATORIA DE CIERRE]]</f>
        <v>14930750</v>
      </c>
      <c r="BB1181" s="35">
        <f>SUM(Tabla4[[#This Row],[DESEMBOLSO 1]:[DESEMBOLSO 8]])</f>
        <v>109009650</v>
      </c>
      <c r="BC1181" s="35">
        <f>VLOOKUP(Tabla4[[#This Row],[SERVICIO 2025]],$J$2:$V$14,10,0)*Tabla4[[#This Row],[TOTAL COBERTURA]]*$W$3</f>
        <v>72153200</v>
      </c>
      <c r="BD1181" s="47" t="s">
        <v>211</v>
      </c>
      <c r="BE1181" s="12" t="b">
        <f>EXACT(Tabla4[[#This Row],[VALOR ATENCIÓN (8 MESES)]],Tabla4[[#This Row],[VALOR TOTAL]])</f>
        <v>1</v>
      </c>
      <c r="BF1181" s="23">
        <f>Tabla4[[#This Row],[VALOR ATENCIÓN (8 MESES)]]-Tabla4[[#This Row],[VALOR TOTAL]]</f>
        <v>0</v>
      </c>
      <c r="BG1181" s="12" t="b">
        <f>EXACT(Tabla4[[#This Row],[TOTAL DESEMBOLSOS]],Tabla4[[#This Row],[VALOR ATENCIÓN (8 MESES)]])</f>
        <v>1</v>
      </c>
      <c r="BH1181" s="29">
        <f>Tabla4[[#This Row],[TOTAL DESEMBOLSOS]]-Tabla4[[#This Row],[VALOR ATENCIÓN (8 MESES)]]</f>
        <v>0</v>
      </c>
      <c r="BI1181" t="s">
        <v>98</v>
      </c>
      <c r="BJ1181">
        <v>2014</v>
      </c>
    </row>
    <row r="1182" spans="1:62">
      <c r="A1182" s="13">
        <v>2014</v>
      </c>
      <c r="B1182" s="13" t="s">
        <v>2542</v>
      </c>
      <c r="C1182" s="12" t="s">
        <v>87</v>
      </c>
      <c r="D1182" s="12" t="s">
        <v>462</v>
      </c>
      <c r="E1182" s="12" t="s">
        <v>2499</v>
      </c>
      <c r="F1182" s="12" t="s">
        <v>18</v>
      </c>
      <c r="G1182" s="12" t="s">
        <v>90</v>
      </c>
      <c r="H1182" s="12" t="s">
        <v>2577</v>
      </c>
      <c r="I1182" s="12">
        <v>58371147188</v>
      </c>
      <c r="J1182" s="12" t="s">
        <v>2578</v>
      </c>
      <c r="K1182" s="12">
        <v>1</v>
      </c>
      <c r="L1182" s="12">
        <v>50</v>
      </c>
      <c r="M1182" s="12"/>
      <c r="N1182" s="13">
        <v>2014</v>
      </c>
      <c r="O1182" s="12" t="s">
        <v>93</v>
      </c>
      <c r="P1182" s="12"/>
      <c r="Q1182" s="12"/>
      <c r="R1182" s="12" t="s">
        <v>94</v>
      </c>
      <c r="S1182" s="12">
        <v>10</v>
      </c>
      <c r="T1182" s="12" t="s">
        <v>1062</v>
      </c>
      <c r="U1182" s="12" t="s">
        <v>1063</v>
      </c>
      <c r="V1182" s="12">
        <f>VLOOKUP(Tabla4[[#This Row],[ZONA DEFINITIVO]],Hoja1!$A$1:$D$121,3,0)</f>
        <v>229162</v>
      </c>
      <c r="W1182" s="12">
        <f>VLOOKUP(Tabla4[[#This Row],[ZONA DEFINITIVO]],Hoja1!$A$1:$D$121,2,0)</f>
        <v>15250</v>
      </c>
      <c r="X1182" s="12">
        <f>VLOOKUP(Tabla4[[#This Row],[ZONA DEFINITIVO]],Hoja1!$A$1:$D$121,4,0)</f>
        <v>89325</v>
      </c>
      <c r="Y1182" s="12" t="str">
        <f>+IF(Tabla4[[#This Row],[AGRUPACIONES]]=1,SUMIFS(Tabla4[UDS],Tabla4[ZONA DEFINITIVO],Tabla4[[#This Row],[ZONA DEFINITIVO]])," ")</f>
        <v xml:space="preserve"> </v>
      </c>
      <c r="Z1182" s="12" t="str">
        <f>+IF(Tabla4[[#This Row],[AGRUPACIONES]]=1,SUMIFS(Tabla4[TOTAL COBERTURA],Tabla4[ZONA DEFINITIVO],Tabla4[[#This Row],[ZONA DEFINITIVO]])," ")</f>
        <v xml:space="preserve"> </v>
      </c>
      <c r="AA1182" s="12"/>
      <c r="AB1182" s="38">
        <v>109009650</v>
      </c>
      <c r="AC1182" s="37">
        <v>0.02</v>
      </c>
      <c r="AD1182" s="38">
        <f t="shared" si="19"/>
        <v>2180193</v>
      </c>
      <c r="AE1182" s="12"/>
      <c r="AF1182" s="12">
        <f>COUNTIF($A$20:A1182,A1182)</f>
        <v>19</v>
      </c>
      <c r="AG1182" s="38">
        <v>109009650</v>
      </c>
      <c r="AH1182" s="38">
        <f>Tabla4[[#This Row],[VALOR CONTRAPARTIDA]]+Tabla4[[#This Row],[TOTAL APORTES ICBF]]</f>
        <v>111189843</v>
      </c>
      <c r="AI1182" s="35"/>
      <c r="AJ1182" s="38"/>
      <c r="AK1182" s="38"/>
      <c r="AL1182" s="23"/>
      <c r="AM1182" s="35">
        <f>VLOOKUP(Tabla4[[#This Row],[SERVICIO 2025]],$J$2:$V$14,5,0)*Tabla4[[#This Row],[TOTAL COBERTURA]]</f>
        <v>2468800</v>
      </c>
      <c r="AN1182" s="35">
        <f>VLOOKUP(Tabla4[[#This Row],[SERVICIO 2025]],$J$2:$V$14,6,0)*Tabla4[[#This Row],[TOTAL COBERTURA]]</f>
        <v>2051450</v>
      </c>
      <c r="AO1182" s="35">
        <f>VLOOKUP(Tabla4[[#This Row],[SERVICIO 2025]],$J$2:$V$14,8,0)*Tabla4[[#This Row],[TOTAL COBERTURA]]</f>
        <v>1455000</v>
      </c>
      <c r="AP1182" s="35">
        <f>VLOOKUP(Tabla4[[#This Row],[SERVICIO 2025]],$J$2:$V$14,3,0)*Tabla4[[#This Row],[TOTAL COBERTURA]]*8</f>
        <v>103034400</v>
      </c>
      <c r="AQ1182" s="35"/>
      <c r="AR1182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82" s="35" t="str">
        <f>+IF(Tabla4[[#This Row],[AGRUPACIONES]]=1,SUMIFS(Tabla4[VALOR TOTAL],Tabla4[ZONA DEFINITIVO],Tabla4[[#This Row],[ZONA DEFINITIVO]])," ")</f>
        <v xml:space="preserve"> </v>
      </c>
      <c r="AT1182" s="27">
        <f>(VLOOKUP(Tabla4[[#This Row],[SERVICIO 2025]],$J$2:$V$14,3,0)*Tabla4[[#This Row],[TOTAL COBERTURA]])+Tabla4[[#This Row],[VALOR FASE PREPARATORIA DE ALISTAMIENTO]]+Tabla4[[#This Row],[DOTACIÓN ÚNICA]]</f>
        <v>16803100</v>
      </c>
      <c r="AU1182" s="35">
        <f>(VLOOKUP(Tabla4[[#This Row],[SERVICIO 2025]],$J$2:$V$14,3,0)*Tabla4[[#This Row],[TOTAL COBERTURA]])</f>
        <v>12879300</v>
      </c>
      <c r="AV1182" s="35">
        <f>(VLOOKUP(Tabla4[[#This Row],[SERVICIO 2025]],$J$2:$V$14,3,0)*Tabla4[[#This Row],[TOTAL COBERTURA]])</f>
        <v>12879300</v>
      </c>
      <c r="AW1182" s="35">
        <f>(VLOOKUP(Tabla4[[#This Row],[SERVICIO 2025]],$J$2:$V$14,3,0)*Tabla4[[#This Row],[TOTAL COBERTURA]])</f>
        <v>12879300</v>
      </c>
      <c r="AX1182" s="35">
        <f>(VLOOKUP(Tabla4[[#This Row],[SERVICIO 2025]],$J$2:$V$14,3,0)*Tabla4[[#This Row],[TOTAL COBERTURA]])</f>
        <v>12879300</v>
      </c>
      <c r="AY1182" s="35">
        <f>(VLOOKUP(Tabla4[[#This Row],[SERVICIO 2025]],$J$2:$V$14,3,0)*Tabla4[[#This Row],[TOTAL COBERTURA]])</f>
        <v>12879300</v>
      </c>
      <c r="AZ1182" s="35">
        <f>(VLOOKUP(Tabla4[[#This Row],[SERVICIO 2025]],$J$2:$V$14,3,0)*Tabla4[[#This Row],[TOTAL COBERTURA]])</f>
        <v>12879300</v>
      </c>
      <c r="BA1182" s="35">
        <f>(VLOOKUP(Tabla4[[#This Row],[SERVICIO 2025]],$J$2:$V$14,3,0)*Tabla4[[#This Row],[TOTAL COBERTURA]])+Tabla4[[#This Row],[VALOR FASE PREPARATORIA DE CIERRE]]</f>
        <v>14930750</v>
      </c>
      <c r="BB1182" s="35">
        <f>SUM(Tabla4[[#This Row],[DESEMBOLSO 1]:[DESEMBOLSO 8]])</f>
        <v>109009650</v>
      </c>
      <c r="BC1182" s="35">
        <f>VLOOKUP(Tabla4[[#This Row],[SERVICIO 2025]],$J$2:$V$14,10,0)*Tabla4[[#This Row],[TOTAL COBERTURA]]*$W$3</f>
        <v>72153200</v>
      </c>
      <c r="BD1182" s="47" t="s">
        <v>211</v>
      </c>
      <c r="BE1182" s="12" t="b">
        <f>EXACT(Tabla4[[#This Row],[VALOR ATENCIÓN (8 MESES)]],Tabla4[[#This Row],[VALOR TOTAL]])</f>
        <v>1</v>
      </c>
      <c r="BF1182" s="23">
        <f>Tabla4[[#This Row],[VALOR ATENCIÓN (8 MESES)]]-Tabla4[[#This Row],[VALOR TOTAL]]</f>
        <v>0</v>
      </c>
      <c r="BG1182" s="12" t="b">
        <f>EXACT(Tabla4[[#This Row],[TOTAL DESEMBOLSOS]],Tabla4[[#This Row],[VALOR ATENCIÓN (8 MESES)]])</f>
        <v>1</v>
      </c>
      <c r="BH1182" s="29">
        <f>Tabla4[[#This Row],[TOTAL DESEMBOLSOS]]-Tabla4[[#This Row],[VALOR ATENCIÓN (8 MESES)]]</f>
        <v>0</v>
      </c>
      <c r="BI1182" t="s">
        <v>98</v>
      </c>
      <c r="BJ1182">
        <v>2014</v>
      </c>
    </row>
    <row r="1183" spans="1:62">
      <c r="A1183" s="13">
        <v>2014</v>
      </c>
      <c r="B1183" s="13" t="s">
        <v>2542</v>
      </c>
      <c r="C1183" s="12" t="s">
        <v>87</v>
      </c>
      <c r="D1183" s="12" t="s">
        <v>462</v>
      </c>
      <c r="E1183" s="12" t="s">
        <v>2499</v>
      </c>
      <c r="F1183" s="12" t="s">
        <v>18</v>
      </c>
      <c r="G1183" s="12" t="s">
        <v>90</v>
      </c>
      <c r="H1183" s="12" t="s">
        <v>2579</v>
      </c>
      <c r="I1183" s="12">
        <v>58371150182</v>
      </c>
      <c r="J1183" s="12" t="s">
        <v>2580</v>
      </c>
      <c r="K1183" s="12">
        <v>1</v>
      </c>
      <c r="L1183" s="12">
        <v>50</v>
      </c>
      <c r="M1183" s="12"/>
      <c r="N1183" s="13">
        <v>2014</v>
      </c>
      <c r="O1183" s="12" t="s">
        <v>93</v>
      </c>
      <c r="P1183" s="12"/>
      <c r="Q1183" s="12"/>
      <c r="R1183" s="12" t="s">
        <v>94</v>
      </c>
      <c r="S1183" s="12">
        <v>10</v>
      </c>
      <c r="T1183" s="12" t="s">
        <v>1062</v>
      </c>
      <c r="U1183" s="12" t="s">
        <v>1063</v>
      </c>
      <c r="V1183" s="12">
        <f>VLOOKUP(Tabla4[[#This Row],[ZONA DEFINITIVO]],Hoja1!$A$1:$D$121,3,0)</f>
        <v>229162</v>
      </c>
      <c r="W1183" s="12">
        <f>VLOOKUP(Tabla4[[#This Row],[ZONA DEFINITIVO]],Hoja1!$A$1:$D$121,2,0)</f>
        <v>15250</v>
      </c>
      <c r="X1183" s="12">
        <f>VLOOKUP(Tabla4[[#This Row],[ZONA DEFINITIVO]],Hoja1!$A$1:$D$121,4,0)</f>
        <v>89325</v>
      </c>
      <c r="Y1183" s="12" t="str">
        <f>+IF(Tabla4[[#This Row],[AGRUPACIONES]]=1,SUMIFS(Tabla4[UDS],Tabla4[ZONA DEFINITIVO],Tabla4[[#This Row],[ZONA DEFINITIVO]])," ")</f>
        <v xml:space="preserve"> </v>
      </c>
      <c r="Z1183" s="12" t="str">
        <f>+IF(Tabla4[[#This Row],[AGRUPACIONES]]=1,SUMIFS(Tabla4[TOTAL COBERTURA],Tabla4[ZONA DEFINITIVO],Tabla4[[#This Row],[ZONA DEFINITIVO]])," ")</f>
        <v xml:space="preserve"> </v>
      </c>
      <c r="AA1183" s="12"/>
      <c r="AB1183" s="38">
        <v>109009650</v>
      </c>
      <c r="AC1183" s="37">
        <v>0.02</v>
      </c>
      <c r="AD1183" s="38">
        <f t="shared" si="19"/>
        <v>2180193</v>
      </c>
      <c r="AE1183" s="12"/>
      <c r="AF1183" s="12">
        <f>COUNTIF($A$20:A1183,A1183)</f>
        <v>20</v>
      </c>
      <c r="AG1183" s="38">
        <v>109009650</v>
      </c>
      <c r="AH1183" s="38">
        <f>Tabla4[[#This Row],[VALOR CONTRAPARTIDA]]+Tabla4[[#This Row],[TOTAL APORTES ICBF]]</f>
        <v>111189843</v>
      </c>
      <c r="AI1183" s="35"/>
      <c r="AJ1183" s="38"/>
      <c r="AK1183" s="38"/>
      <c r="AL1183" s="23"/>
      <c r="AM1183" s="35">
        <f>VLOOKUP(Tabla4[[#This Row],[SERVICIO 2025]],$J$2:$V$14,5,0)*Tabla4[[#This Row],[TOTAL COBERTURA]]</f>
        <v>2468800</v>
      </c>
      <c r="AN1183" s="35">
        <f>VLOOKUP(Tabla4[[#This Row],[SERVICIO 2025]],$J$2:$V$14,6,0)*Tabla4[[#This Row],[TOTAL COBERTURA]]</f>
        <v>2051450</v>
      </c>
      <c r="AO1183" s="35">
        <f>VLOOKUP(Tabla4[[#This Row],[SERVICIO 2025]],$J$2:$V$14,8,0)*Tabla4[[#This Row],[TOTAL COBERTURA]]</f>
        <v>1455000</v>
      </c>
      <c r="AP1183" s="35">
        <f>VLOOKUP(Tabla4[[#This Row],[SERVICIO 2025]],$J$2:$V$14,3,0)*Tabla4[[#This Row],[TOTAL COBERTURA]]*8</f>
        <v>103034400</v>
      </c>
      <c r="AQ1183" s="35"/>
      <c r="AR1183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183" s="35" t="str">
        <f>+IF(Tabla4[[#This Row],[AGRUPACIONES]]=1,SUMIFS(Tabla4[VALOR TOTAL],Tabla4[ZONA DEFINITIVO],Tabla4[[#This Row],[ZONA DEFINITIVO]])," ")</f>
        <v xml:space="preserve"> </v>
      </c>
      <c r="AT1183" s="27">
        <f>(VLOOKUP(Tabla4[[#This Row],[SERVICIO 2025]],$J$2:$V$14,3,0)*Tabla4[[#This Row],[TOTAL COBERTURA]])+Tabla4[[#This Row],[VALOR FASE PREPARATORIA DE ALISTAMIENTO]]+Tabla4[[#This Row],[DOTACIÓN ÚNICA]]</f>
        <v>16803100</v>
      </c>
      <c r="AU1183" s="35">
        <f>(VLOOKUP(Tabla4[[#This Row],[SERVICIO 2025]],$J$2:$V$14,3,0)*Tabla4[[#This Row],[TOTAL COBERTURA]])</f>
        <v>12879300</v>
      </c>
      <c r="AV1183" s="35">
        <f>(VLOOKUP(Tabla4[[#This Row],[SERVICIO 2025]],$J$2:$V$14,3,0)*Tabla4[[#This Row],[TOTAL COBERTURA]])</f>
        <v>12879300</v>
      </c>
      <c r="AW1183" s="35">
        <f>(VLOOKUP(Tabla4[[#This Row],[SERVICIO 2025]],$J$2:$V$14,3,0)*Tabla4[[#This Row],[TOTAL COBERTURA]])</f>
        <v>12879300</v>
      </c>
      <c r="AX1183" s="35">
        <f>(VLOOKUP(Tabla4[[#This Row],[SERVICIO 2025]],$J$2:$V$14,3,0)*Tabla4[[#This Row],[TOTAL COBERTURA]])</f>
        <v>12879300</v>
      </c>
      <c r="AY1183" s="35">
        <f>(VLOOKUP(Tabla4[[#This Row],[SERVICIO 2025]],$J$2:$V$14,3,0)*Tabla4[[#This Row],[TOTAL COBERTURA]])</f>
        <v>12879300</v>
      </c>
      <c r="AZ1183" s="35">
        <f>(VLOOKUP(Tabla4[[#This Row],[SERVICIO 2025]],$J$2:$V$14,3,0)*Tabla4[[#This Row],[TOTAL COBERTURA]])</f>
        <v>12879300</v>
      </c>
      <c r="BA1183" s="35">
        <f>(VLOOKUP(Tabla4[[#This Row],[SERVICIO 2025]],$J$2:$V$14,3,0)*Tabla4[[#This Row],[TOTAL COBERTURA]])+Tabla4[[#This Row],[VALOR FASE PREPARATORIA DE CIERRE]]</f>
        <v>14930750</v>
      </c>
      <c r="BB1183" s="35">
        <f>SUM(Tabla4[[#This Row],[DESEMBOLSO 1]:[DESEMBOLSO 8]])</f>
        <v>109009650</v>
      </c>
      <c r="BC1183" s="35">
        <f>VLOOKUP(Tabla4[[#This Row],[SERVICIO 2025]],$J$2:$V$14,10,0)*Tabla4[[#This Row],[TOTAL COBERTURA]]*$W$3</f>
        <v>72153200</v>
      </c>
      <c r="BD1183" s="47" t="s">
        <v>211</v>
      </c>
      <c r="BE1183" s="12" t="b">
        <f>EXACT(Tabla4[[#This Row],[VALOR ATENCIÓN (8 MESES)]],Tabla4[[#This Row],[VALOR TOTAL]])</f>
        <v>1</v>
      </c>
      <c r="BF1183" s="23">
        <f>Tabla4[[#This Row],[VALOR ATENCIÓN (8 MESES)]]-Tabla4[[#This Row],[VALOR TOTAL]]</f>
        <v>0</v>
      </c>
      <c r="BG1183" s="12" t="b">
        <f>EXACT(Tabla4[[#This Row],[TOTAL DESEMBOLSOS]],Tabla4[[#This Row],[VALOR ATENCIÓN (8 MESES)]])</f>
        <v>1</v>
      </c>
      <c r="BH1183" s="29">
        <f>Tabla4[[#This Row],[TOTAL DESEMBOLSOS]]-Tabla4[[#This Row],[VALOR ATENCIÓN (8 MESES)]]</f>
        <v>0</v>
      </c>
      <c r="BI1183" t="s">
        <v>98</v>
      </c>
      <c r="BJ1183">
        <v>2014</v>
      </c>
    </row>
    <row r="1184" spans="1:62">
      <c r="A1184" s="13">
        <v>2014</v>
      </c>
      <c r="B1184" s="13" t="s">
        <v>2542</v>
      </c>
      <c r="C1184" s="12" t="s">
        <v>87</v>
      </c>
      <c r="D1184" s="12" t="s">
        <v>462</v>
      </c>
      <c r="E1184" s="12" t="s">
        <v>2499</v>
      </c>
      <c r="F1184" s="12" t="s">
        <v>18</v>
      </c>
      <c r="G1184" s="12" t="s">
        <v>90</v>
      </c>
      <c r="H1184" s="12" t="s">
        <v>2581</v>
      </c>
      <c r="I1184" s="12">
        <v>58371152357</v>
      </c>
      <c r="J1184" s="12" t="s">
        <v>2582</v>
      </c>
      <c r="K1184" s="12">
        <v>1</v>
      </c>
      <c r="L1184" s="12">
        <v>20</v>
      </c>
      <c r="M1184" s="12"/>
      <c r="N1184" s="13">
        <v>2014</v>
      </c>
      <c r="O1184" s="12" t="s">
        <v>93</v>
      </c>
      <c r="P1184" s="12"/>
      <c r="Q1184" s="12"/>
      <c r="R1184" s="12" t="s">
        <v>94</v>
      </c>
      <c r="S1184" s="12">
        <v>10</v>
      </c>
      <c r="T1184" s="12" t="s">
        <v>1062</v>
      </c>
      <c r="U1184" s="12" t="s">
        <v>1063</v>
      </c>
      <c r="V1184" s="12">
        <f>VLOOKUP(Tabla4[[#This Row],[ZONA DEFINITIVO]],Hoja1!$A$1:$D$121,3,0)</f>
        <v>229162</v>
      </c>
      <c r="W1184" s="12">
        <f>VLOOKUP(Tabla4[[#This Row],[ZONA DEFINITIVO]],Hoja1!$A$1:$D$121,2,0)</f>
        <v>15250</v>
      </c>
      <c r="X1184" s="12">
        <f>VLOOKUP(Tabla4[[#This Row],[ZONA DEFINITIVO]],Hoja1!$A$1:$D$121,4,0)</f>
        <v>89325</v>
      </c>
      <c r="Y1184" s="12" t="str">
        <f>+IF(Tabla4[[#This Row],[AGRUPACIONES]]=1,SUMIFS(Tabla4[UDS],Tabla4[ZONA DEFINITIVO],Tabla4[[#This Row],[ZONA DEFINITIVO]])," ")</f>
        <v xml:space="preserve"> </v>
      </c>
      <c r="Z1184" s="12" t="str">
        <f>+IF(Tabla4[[#This Row],[AGRUPACIONES]]=1,SUMIFS(Tabla4[TOTAL COBERTURA],Tabla4[ZONA DEFINITIVO],Tabla4[[#This Row],[ZONA DEFINITIVO]])," ")</f>
        <v xml:space="preserve"> </v>
      </c>
      <c r="AA1184" s="12"/>
      <c r="AB1184" s="38">
        <v>43603860</v>
      </c>
      <c r="AC1184" s="37">
        <v>0.02</v>
      </c>
      <c r="AD1184" s="38">
        <f t="shared" si="19"/>
        <v>872077.20000000007</v>
      </c>
      <c r="AE1184" s="12"/>
      <c r="AF1184" s="12">
        <f>COUNTIF($A$20:A1184,A1184)</f>
        <v>21</v>
      </c>
      <c r="AG1184" s="38">
        <v>43603860</v>
      </c>
      <c r="AH1184" s="38">
        <f>Tabla4[[#This Row],[VALOR CONTRAPARTIDA]]+Tabla4[[#This Row],[TOTAL APORTES ICBF]]</f>
        <v>44475937.200000003</v>
      </c>
      <c r="AI1184" s="35"/>
      <c r="AJ1184" s="38"/>
      <c r="AK1184" s="38"/>
      <c r="AL1184" s="23"/>
      <c r="AM1184" s="35">
        <f>VLOOKUP(Tabla4[[#This Row],[SERVICIO 2025]],$J$2:$V$14,5,0)*Tabla4[[#This Row],[TOTAL COBERTURA]]</f>
        <v>987520</v>
      </c>
      <c r="AN1184" s="35">
        <f>VLOOKUP(Tabla4[[#This Row],[SERVICIO 2025]],$J$2:$V$14,6,0)*Tabla4[[#This Row],[TOTAL COBERTURA]]</f>
        <v>820580</v>
      </c>
      <c r="AO1184" s="35">
        <f>VLOOKUP(Tabla4[[#This Row],[SERVICIO 2025]],$J$2:$V$14,8,0)*Tabla4[[#This Row],[TOTAL COBERTURA]]</f>
        <v>582000</v>
      </c>
      <c r="AP1184" s="35">
        <f>VLOOKUP(Tabla4[[#This Row],[SERVICIO 2025]],$J$2:$V$14,3,0)*Tabla4[[#This Row],[TOTAL COBERTURA]]*8</f>
        <v>41213760</v>
      </c>
      <c r="AQ1184" s="35"/>
      <c r="AR1184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184" s="35" t="str">
        <f>+IF(Tabla4[[#This Row],[AGRUPACIONES]]=1,SUMIFS(Tabla4[VALOR TOTAL],Tabla4[ZONA DEFINITIVO],Tabla4[[#This Row],[ZONA DEFINITIVO]])," ")</f>
        <v xml:space="preserve"> </v>
      </c>
      <c r="AT1184" s="27">
        <f>(VLOOKUP(Tabla4[[#This Row],[SERVICIO 2025]],$J$2:$V$14,3,0)*Tabla4[[#This Row],[TOTAL COBERTURA]])+Tabla4[[#This Row],[VALOR FASE PREPARATORIA DE ALISTAMIENTO]]+Tabla4[[#This Row],[DOTACIÓN ÚNICA]]</f>
        <v>6721240</v>
      </c>
      <c r="AU1184" s="35">
        <f>(VLOOKUP(Tabla4[[#This Row],[SERVICIO 2025]],$J$2:$V$14,3,0)*Tabla4[[#This Row],[TOTAL COBERTURA]])</f>
        <v>5151720</v>
      </c>
      <c r="AV1184" s="35">
        <f>(VLOOKUP(Tabla4[[#This Row],[SERVICIO 2025]],$J$2:$V$14,3,0)*Tabla4[[#This Row],[TOTAL COBERTURA]])</f>
        <v>5151720</v>
      </c>
      <c r="AW1184" s="35">
        <f>(VLOOKUP(Tabla4[[#This Row],[SERVICIO 2025]],$J$2:$V$14,3,0)*Tabla4[[#This Row],[TOTAL COBERTURA]])</f>
        <v>5151720</v>
      </c>
      <c r="AX1184" s="35">
        <f>(VLOOKUP(Tabla4[[#This Row],[SERVICIO 2025]],$J$2:$V$14,3,0)*Tabla4[[#This Row],[TOTAL COBERTURA]])</f>
        <v>5151720</v>
      </c>
      <c r="AY1184" s="35">
        <f>(VLOOKUP(Tabla4[[#This Row],[SERVICIO 2025]],$J$2:$V$14,3,0)*Tabla4[[#This Row],[TOTAL COBERTURA]])</f>
        <v>5151720</v>
      </c>
      <c r="AZ1184" s="35">
        <f>(VLOOKUP(Tabla4[[#This Row],[SERVICIO 2025]],$J$2:$V$14,3,0)*Tabla4[[#This Row],[TOTAL COBERTURA]])</f>
        <v>5151720</v>
      </c>
      <c r="BA1184" s="35">
        <f>(VLOOKUP(Tabla4[[#This Row],[SERVICIO 2025]],$J$2:$V$14,3,0)*Tabla4[[#This Row],[TOTAL COBERTURA]])+Tabla4[[#This Row],[VALOR FASE PREPARATORIA DE CIERRE]]</f>
        <v>5972300</v>
      </c>
      <c r="BB1184" s="35">
        <f>SUM(Tabla4[[#This Row],[DESEMBOLSO 1]:[DESEMBOLSO 8]])</f>
        <v>43603860</v>
      </c>
      <c r="BC1184" s="35">
        <f>VLOOKUP(Tabla4[[#This Row],[SERVICIO 2025]],$J$2:$V$14,10,0)*Tabla4[[#This Row],[TOTAL COBERTURA]]*$W$3</f>
        <v>28861280</v>
      </c>
      <c r="BD1184" s="47" t="s">
        <v>211</v>
      </c>
      <c r="BE1184" s="12" t="b">
        <f>EXACT(Tabla4[[#This Row],[VALOR ATENCIÓN (8 MESES)]],Tabla4[[#This Row],[VALOR TOTAL]])</f>
        <v>1</v>
      </c>
      <c r="BF1184" s="23">
        <f>Tabla4[[#This Row],[VALOR ATENCIÓN (8 MESES)]]-Tabla4[[#This Row],[VALOR TOTAL]]</f>
        <v>0</v>
      </c>
      <c r="BG1184" s="12" t="b">
        <f>EXACT(Tabla4[[#This Row],[TOTAL DESEMBOLSOS]],Tabla4[[#This Row],[VALOR ATENCIÓN (8 MESES)]])</f>
        <v>1</v>
      </c>
      <c r="BH1184" s="29">
        <f>Tabla4[[#This Row],[TOTAL DESEMBOLSOS]]-Tabla4[[#This Row],[VALOR ATENCIÓN (8 MESES)]]</f>
        <v>0</v>
      </c>
      <c r="BI1184" t="s">
        <v>98</v>
      </c>
      <c r="BJ1184">
        <v>2014</v>
      </c>
    </row>
    <row r="1185" spans="1:62">
      <c r="A1185" s="13">
        <v>2014</v>
      </c>
      <c r="B1185" s="13" t="s">
        <v>2542</v>
      </c>
      <c r="C1185" s="12" t="s">
        <v>87</v>
      </c>
      <c r="D1185" s="12" t="s">
        <v>462</v>
      </c>
      <c r="E1185" s="12" t="s">
        <v>2499</v>
      </c>
      <c r="F1185" s="12" t="s">
        <v>18</v>
      </c>
      <c r="G1185" s="12" t="s">
        <v>90</v>
      </c>
      <c r="H1185" s="12" t="s">
        <v>2583</v>
      </c>
      <c r="I1185" s="12">
        <v>58371152366</v>
      </c>
      <c r="J1185" s="12" t="s">
        <v>2584</v>
      </c>
      <c r="K1185" s="12">
        <v>1</v>
      </c>
      <c r="L1185" s="12">
        <v>20</v>
      </c>
      <c r="M1185" s="12"/>
      <c r="N1185" s="13">
        <v>2014</v>
      </c>
      <c r="O1185" s="12" t="s">
        <v>93</v>
      </c>
      <c r="P1185" s="12"/>
      <c r="Q1185" s="12"/>
      <c r="R1185" s="12" t="s">
        <v>94</v>
      </c>
      <c r="S1185" s="12">
        <v>10</v>
      </c>
      <c r="T1185" s="12" t="s">
        <v>1062</v>
      </c>
      <c r="U1185" s="12" t="s">
        <v>1063</v>
      </c>
      <c r="V1185" s="12">
        <f>VLOOKUP(Tabla4[[#This Row],[ZONA DEFINITIVO]],Hoja1!$A$1:$D$121,3,0)</f>
        <v>229162</v>
      </c>
      <c r="W1185" s="12">
        <f>VLOOKUP(Tabla4[[#This Row],[ZONA DEFINITIVO]],Hoja1!$A$1:$D$121,2,0)</f>
        <v>15250</v>
      </c>
      <c r="X1185" s="12">
        <f>VLOOKUP(Tabla4[[#This Row],[ZONA DEFINITIVO]],Hoja1!$A$1:$D$121,4,0)</f>
        <v>89325</v>
      </c>
      <c r="Y1185" s="12" t="str">
        <f>+IF(Tabla4[[#This Row],[AGRUPACIONES]]=1,SUMIFS(Tabla4[UDS],Tabla4[ZONA DEFINITIVO],Tabla4[[#This Row],[ZONA DEFINITIVO]])," ")</f>
        <v xml:space="preserve"> </v>
      </c>
      <c r="Z1185" s="12" t="str">
        <f>+IF(Tabla4[[#This Row],[AGRUPACIONES]]=1,SUMIFS(Tabla4[TOTAL COBERTURA],Tabla4[ZONA DEFINITIVO],Tabla4[[#This Row],[ZONA DEFINITIVO]])," ")</f>
        <v xml:space="preserve"> </v>
      </c>
      <c r="AA1185" s="12"/>
      <c r="AB1185" s="38">
        <v>43603860</v>
      </c>
      <c r="AC1185" s="37">
        <v>0.02</v>
      </c>
      <c r="AD1185" s="38">
        <f t="shared" si="19"/>
        <v>872077.20000000007</v>
      </c>
      <c r="AE1185" s="12"/>
      <c r="AF1185" s="12">
        <f>COUNTIF($A$20:A1185,A1185)</f>
        <v>22</v>
      </c>
      <c r="AG1185" s="38">
        <v>43603860</v>
      </c>
      <c r="AH1185" s="38">
        <f>Tabla4[[#This Row],[VALOR CONTRAPARTIDA]]+Tabla4[[#This Row],[TOTAL APORTES ICBF]]</f>
        <v>44475937.200000003</v>
      </c>
      <c r="AI1185" s="35"/>
      <c r="AJ1185" s="38"/>
      <c r="AK1185" s="38"/>
      <c r="AL1185" s="23"/>
      <c r="AM1185" s="35">
        <f>VLOOKUP(Tabla4[[#This Row],[SERVICIO 2025]],$J$2:$V$14,5,0)*Tabla4[[#This Row],[TOTAL COBERTURA]]</f>
        <v>987520</v>
      </c>
      <c r="AN1185" s="35">
        <f>VLOOKUP(Tabla4[[#This Row],[SERVICIO 2025]],$J$2:$V$14,6,0)*Tabla4[[#This Row],[TOTAL COBERTURA]]</f>
        <v>820580</v>
      </c>
      <c r="AO1185" s="35">
        <f>VLOOKUP(Tabla4[[#This Row],[SERVICIO 2025]],$J$2:$V$14,8,0)*Tabla4[[#This Row],[TOTAL COBERTURA]]</f>
        <v>582000</v>
      </c>
      <c r="AP1185" s="35">
        <f>VLOOKUP(Tabla4[[#This Row],[SERVICIO 2025]],$J$2:$V$14,3,0)*Tabla4[[#This Row],[TOTAL COBERTURA]]*8</f>
        <v>41213760</v>
      </c>
      <c r="AQ1185" s="35"/>
      <c r="AR1185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185" s="35" t="str">
        <f>+IF(Tabla4[[#This Row],[AGRUPACIONES]]=1,SUMIFS(Tabla4[VALOR TOTAL],Tabla4[ZONA DEFINITIVO],Tabla4[[#This Row],[ZONA DEFINITIVO]])," ")</f>
        <v xml:space="preserve"> </v>
      </c>
      <c r="AT1185" s="27">
        <f>(VLOOKUP(Tabla4[[#This Row],[SERVICIO 2025]],$J$2:$V$14,3,0)*Tabla4[[#This Row],[TOTAL COBERTURA]])+Tabla4[[#This Row],[VALOR FASE PREPARATORIA DE ALISTAMIENTO]]+Tabla4[[#This Row],[DOTACIÓN ÚNICA]]</f>
        <v>6721240</v>
      </c>
      <c r="AU1185" s="35">
        <f>(VLOOKUP(Tabla4[[#This Row],[SERVICIO 2025]],$J$2:$V$14,3,0)*Tabla4[[#This Row],[TOTAL COBERTURA]])</f>
        <v>5151720</v>
      </c>
      <c r="AV1185" s="35">
        <f>(VLOOKUP(Tabla4[[#This Row],[SERVICIO 2025]],$J$2:$V$14,3,0)*Tabla4[[#This Row],[TOTAL COBERTURA]])</f>
        <v>5151720</v>
      </c>
      <c r="AW1185" s="35">
        <f>(VLOOKUP(Tabla4[[#This Row],[SERVICIO 2025]],$J$2:$V$14,3,0)*Tabla4[[#This Row],[TOTAL COBERTURA]])</f>
        <v>5151720</v>
      </c>
      <c r="AX1185" s="35">
        <f>(VLOOKUP(Tabla4[[#This Row],[SERVICIO 2025]],$J$2:$V$14,3,0)*Tabla4[[#This Row],[TOTAL COBERTURA]])</f>
        <v>5151720</v>
      </c>
      <c r="AY1185" s="35">
        <f>(VLOOKUP(Tabla4[[#This Row],[SERVICIO 2025]],$J$2:$V$14,3,0)*Tabla4[[#This Row],[TOTAL COBERTURA]])</f>
        <v>5151720</v>
      </c>
      <c r="AZ1185" s="35">
        <f>(VLOOKUP(Tabla4[[#This Row],[SERVICIO 2025]],$J$2:$V$14,3,0)*Tabla4[[#This Row],[TOTAL COBERTURA]])</f>
        <v>5151720</v>
      </c>
      <c r="BA1185" s="35">
        <f>(VLOOKUP(Tabla4[[#This Row],[SERVICIO 2025]],$J$2:$V$14,3,0)*Tabla4[[#This Row],[TOTAL COBERTURA]])+Tabla4[[#This Row],[VALOR FASE PREPARATORIA DE CIERRE]]</f>
        <v>5972300</v>
      </c>
      <c r="BB1185" s="35">
        <f>SUM(Tabla4[[#This Row],[DESEMBOLSO 1]:[DESEMBOLSO 8]])</f>
        <v>43603860</v>
      </c>
      <c r="BC1185" s="35">
        <f>VLOOKUP(Tabla4[[#This Row],[SERVICIO 2025]],$J$2:$V$14,10,0)*Tabla4[[#This Row],[TOTAL COBERTURA]]*$W$3</f>
        <v>28861280</v>
      </c>
      <c r="BD1185" s="47" t="s">
        <v>211</v>
      </c>
      <c r="BE1185" s="12" t="b">
        <f>EXACT(Tabla4[[#This Row],[VALOR ATENCIÓN (8 MESES)]],Tabla4[[#This Row],[VALOR TOTAL]])</f>
        <v>1</v>
      </c>
      <c r="BF1185" s="23">
        <f>Tabla4[[#This Row],[VALOR ATENCIÓN (8 MESES)]]-Tabla4[[#This Row],[VALOR TOTAL]]</f>
        <v>0</v>
      </c>
      <c r="BG1185" s="12" t="b">
        <f>EXACT(Tabla4[[#This Row],[TOTAL DESEMBOLSOS]],Tabla4[[#This Row],[VALOR ATENCIÓN (8 MESES)]])</f>
        <v>1</v>
      </c>
      <c r="BH1185" s="29">
        <f>Tabla4[[#This Row],[TOTAL DESEMBOLSOS]]-Tabla4[[#This Row],[VALOR ATENCIÓN (8 MESES)]]</f>
        <v>0</v>
      </c>
      <c r="BI1185" t="s">
        <v>98</v>
      </c>
      <c r="BJ1185">
        <v>2014</v>
      </c>
    </row>
    <row r="1186" spans="1:62">
      <c r="A1186" s="13">
        <v>2014</v>
      </c>
      <c r="B1186" s="13" t="s">
        <v>2542</v>
      </c>
      <c r="C1186" s="12" t="s">
        <v>87</v>
      </c>
      <c r="D1186" s="12" t="s">
        <v>462</v>
      </c>
      <c r="E1186" s="12" t="s">
        <v>2499</v>
      </c>
      <c r="F1186" s="12" t="s">
        <v>18</v>
      </c>
      <c r="G1186" s="12" t="s">
        <v>90</v>
      </c>
      <c r="H1186" s="12" t="s">
        <v>2585</v>
      </c>
      <c r="I1186" s="12">
        <v>58371152367</v>
      </c>
      <c r="J1186" s="12" t="s">
        <v>2586</v>
      </c>
      <c r="K1186" s="12">
        <v>1</v>
      </c>
      <c r="L1186" s="12">
        <v>20</v>
      </c>
      <c r="M1186" s="12"/>
      <c r="N1186" s="13">
        <v>2014</v>
      </c>
      <c r="O1186" s="12" t="s">
        <v>93</v>
      </c>
      <c r="P1186" s="12"/>
      <c r="Q1186" s="12"/>
      <c r="R1186" s="12" t="s">
        <v>94</v>
      </c>
      <c r="S1186" s="12">
        <v>10</v>
      </c>
      <c r="T1186" s="12" t="s">
        <v>1062</v>
      </c>
      <c r="U1186" s="12" t="s">
        <v>1063</v>
      </c>
      <c r="V1186" s="12">
        <f>VLOOKUP(Tabla4[[#This Row],[ZONA DEFINITIVO]],Hoja1!$A$1:$D$121,3,0)</f>
        <v>229162</v>
      </c>
      <c r="W1186" s="12">
        <f>VLOOKUP(Tabla4[[#This Row],[ZONA DEFINITIVO]],Hoja1!$A$1:$D$121,2,0)</f>
        <v>15250</v>
      </c>
      <c r="X1186" s="12">
        <f>VLOOKUP(Tabla4[[#This Row],[ZONA DEFINITIVO]],Hoja1!$A$1:$D$121,4,0)</f>
        <v>89325</v>
      </c>
      <c r="Y1186" s="12" t="str">
        <f>+IF(Tabla4[[#This Row],[AGRUPACIONES]]=1,SUMIFS(Tabla4[UDS],Tabla4[ZONA DEFINITIVO],Tabla4[[#This Row],[ZONA DEFINITIVO]])," ")</f>
        <v xml:space="preserve"> </v>
      </c>
      <c r="Z1186" s="12" t="str">
        <f>+IF(Tabla4[[#This Row],[AGRUPACIONES]]=1,SUMIFS(Tabla4[TOTAL COBERTURA],Tabla4[ZONA DEFINITIVO],Tabla4[[#This Row],[ZONA DEFINITIVO]])," ")</f>
        <v xml:space="preserve"> </v>
      </c>
      <c r="AA1186" s="12"/>
      <c r="AB1186" s="38">
        <v>43603860</v>
      </c>
      <c r="AC1186" s="37">
        <v>0.02</v>
      </c>
      <c r="AD1186" s="38">
        <f t="shared" si="19"/>
        <v>872077.20000000007</v>
      </c>
      <c r="AE1186" s="12"/>
      <c r="AF1186" s="12">
        <f>COUNTIF($A$20:A1186,A1186)</f>
        <v>23</v>
      </c>
      <c r="AG1186" s="38">
        <v>43603860</v>
      </c>
      <c r="AH1186" s="38">
        <f>Tabla4[[#This Row],[VALOR CONTRAPARTIDA]]+Tabla4[[#This Row],[TOTAL APORTES ICBF]]</f>
        <v>44475937.200000003</v>
      </c>
      <c r="AI1186" s="35"/>
      <c r="AJ1186" s="38"/>
      <c r="AK1186" s="38"/>
      <c r="AL1186" s="23"/>
      <c r="AM1186" s="35">
        <f>VLOOKUP(Tabla4[[#This Row],[SERVICIO 2025]],$J$2:$V$14,5,0)*Tabla4[[#This Row],[TOTAL COBERTURA]]</f>
        <v>987520</v>
      </c>
      <c r="AN1186" s="35">
        <f>VLOOKUP(Tabla4[[#This Row],[SERVICIO 2025]],$J$2:$V$14,6,0)*Tabla4[[#This Row],[TOTAL COBERTURA]]</f>
        <v>820580</v>
      </c>
      <c r="AO1186" s="35">
        <f>VLOOKUP(Tabla4[[#This Row],[SERVICIO 2025]],$J$2:$V$14,8,0)*Tabla4[[#This Row],[TOTAL COBERTURA]]</f>
        <v>582000</v>
      </c>
      <c r="AP1186" s="35">
        <f>VLOOKUP(Tabla4[[#This Row],[SERVICIO 2025]],$J$2:$V$14,3,0)*Tabla4[[#This Row],[TOTAL COBERTURA]]*8</f>
        <v>41213760</v>
      </c>
      <c r="AQ1186" s="35"/>
      <c r="AR1186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186" s="35" t="str">
        <f>+IF(Tabla4[[#This Row],[AGRUPACIONES]]=1,SUMIFS(Tabla4[VALOR TOTAL],Tabla4[ZONA DEFINITIVO],Tabla4[[#This Row],[ZONA DEFINITIVO]])," ")</f>
        <v xml:space="preserve"> </v>
      </c>
      <c r="AT1186" s="27">
        <f>(VLOOKUP(Tabla4[[#This Row],[SERVICIO 2025]],$J$2:$V$14,3,0)*Tabla4[[#This Row],[TOTAL COBERTURA]])+Tabla4[[#This Row],[VALOR FASE PREPARATORIA DE ALISTAMIENTO]]+Tabla4[[#This Row],[DOTACIÓN ÚNICA]]</f>
        <v>6721240</v>
      </c>
      <c r="AU1186" s="35">
        <f>(VLOOKUP(Tabla4[[#This Row],[SERVICIO 2025]],$J$2:$V$14,3,0)*Tabla4[[#This Row],[TOTAL COBERTURA]])</f>
        <v>5151720</v>
      </c>
      <c r="AV1186" s="35">
        <f>(VLOOKUP(Tabla4[[#This Row],[SERVICIO 2025]],$J$2:$V$14,3,0)*Tabla4[[#This Row],[TOTAL COBERTURA]])</f>
        <v>5151720</v>
      </c>
      <c r="AW1186" s="35">
        <f>(VLOOKUP(Tabla4[[#This Row],[SERVICIO 2025]],$J$2:$V$14,3,0)*Tabla4[[#This Row],[TOTAL COBERTURA]])</f>
        <v>5151720</v>
      </c>
      <c r="AX1186" s="35">
        <f>(VLOOKUP(Tabla4[[#This Row],[SERVICIO 2025]],$J$2:$V$14,3,0)*Tabla4[[#This Row],[TOTAL COBERTURA]])</f>
        <v>5151720</v>
      </c>
      <c r="AY1186" s="35">
        <f>(VLOOKUP(Tabla4[[#This Row],[SERVICIO 2025]],$J$2:$V$14,3,0)*Tabla4[[#This Row],[TOTAL COBERTURA]])</f>
        <v>5151720</v>
      </c>
      <c r="AZ1186" s="35">
        <f>(VLOOKUP(Tabla4[[#This Row],[SERVICIO 2025]],$J$2:$V$14,3,0)*Tabla4[[#This Row],[TOTAL COBERTURA]])</f>
        <v>5151720</v>
      </c>
      <c r="BA1186" s="35">
        <f>(VLOOKUP(Tabla4[[#This Row],[SERVICIO 2025]],$J$2:$V$14,3,0)*Tabla4[[#This Row],[TOTAL COBERTURA]])+Tabla4[[#This Row],[VALOR FASE PREPARATORIA DE CIERRE]]</f>
        <v>5972300</v>
      </c>
      <c r="BB1186" s="35">
        <f>SUM(Tabla4[[#This Row],[DESEMBOLSO 1]:[DESEMBOLSO 8]])</f>
        <v>43603860</v>
      </c>
      <c r="BC1186" s="35">
        <f>VLOOKUP(Tabla4[[#This Row],[SERVICIO 2025]],$J$2:$V$14,10,0)*Tabla4[[#This Row],[TOTAL COBERTURA]]*$W$3</f>
        <v>28861280</v>
      </c>
      <c r="BD1186" s="47" t="s">
        <v>211</v>
      </c>
      <c r="BE1186" s="12" t="b">
        <f>EXACT(Tabla4[[#This Row],[VALOR ATENCIÓN (8 MESES)]],Tabla4[[#This Row],[VALOR TOTAL]])</f>
        <v>1</v>
      </c>
      <c r="BF1186" s="23">
        <f>Tabla4[[#This Row],[VALOR ATENCIÓN (8 MESES)]]-Tabla4[[#This Row],[VALOR TOTAL]]</f>
        <v>0</v>
      </c>
      <c r="BG1186" s="12" t="b">
        <f>EXACT(Tabla4[[#This Row],[TOTAL DESEMBOLSOS]],Tabla4[[#This Row],[VALOR ATENCIÓN (8 MESES)]])</f>
        <v>1</v>
      </c>
      <c r="BH1186" s="29">
        <f>Tabla4[[#This Row],[TOTAL DESEMBOLSOS]]-Tabla4[[#This Row],[VALOR ATENCIÓN (8 MESES)]]</f>
        <v>0</v>
      </c>
      <c r="BI1186" t="s">
        <v>98</v>
      </c>
      <c r="BJ1186">
        <v>2014</v>
      </c>
    </row>
    <row r="1187" spans="1:62">
      <c r="A1187" s="13">
        <v>2014</v>
      </c>
      <c r="B1187" s="13" t="s">
        <v>2542</v>
      </c>
      <c r="C1187" s="12" t="s">
        <v>87</v>
      </c>
      <c r="D1187" s="12" t="s">
        <v>462</v>
      </c>
      <c r="E1187" s="12" t="s">
        <v>2499</v>
      </c>
      <c r="F1187" s="12" t="s">
        <v>18</v>
      </c>
      <c r="G1187" s="12" t="s">
        <v>90</v>
      </c>
      <c r="H1187" s="12" t="s">
        <v>2587</v>
      </c>
      <c r="I1187" s="12">
        <v>58371152369</v>
      </c>
      <c r="J1187" s="12" t="s">
        <v>549</v>
      </c>
      <c r="K1187" s="12">
        <v>1</v>
      </c>
      <c r="L1187" s="12">
        <v>20</v>
      </c>
      <c r="M1187" s="12"/>
      <c r="N1187" s="13">
        <v>2014</v>
      </c>
      <c r="O1187" s="12" t="s">
        <v>93</v>
      </c>
      <c r="P1187" s="12"/>
      <c r="Q1187" s="12"/>
      <c r="R1187" s="12" t="s">
        <v>94</v>
      </c>
      <c r="S1187" s="12">
        <v>10</v>
      </c>
      <c r="T1187" s="12" t="s">
        <v>1062</v>
      </c>
      <c r="U1187" s="12" t="s">
        <v>1063</v>
      </c>
      <c r="V1187" s="12">
        <f>VLOOKUP(Tabla4[[#This Row],[ZONA DEFINITIVO]],Hoja1!$A$1:$D$121,3,0)</f>
        <v>229162</v>
      </c>
      <c r="W1187" s="12">
        <f>VLOOKUP(Tabla4[[#This Row],[ZONA DEFINITIVO]],Hoja1!$A$1:$D$121,2,0)</f>
        <v>15250</v>
      </c>
      <c r="X1187" s="12">
        <f>VLOOKUP(Tabla4[[#This Row],[ZONA DEFINITIVO]],Hoja1!$A$1:$D$121,4,0)</f>
        <v>89325</v>
      </c>
      <c r="Y1187" s="12" t="str">
        <f>+IF(Tabla4[[#This Row],[AGRUPACIONES]]=1,SUMIFS(Tabla4[UDS],Tabla4[ZONA DEFINITIVO],Tabla4[[#This Row],[ZONA DEFINITIVO]])," ")</f>
        <v xml:space="preserve"> </v>
      </c>
      <c r="Z1187" s="12" t="str">
        <f>+IF(Tabla4[[#This Row],[AGRUPACIONES]]=1,SUMIFS(Tabla4[TOTAL COBERTURA],Tabla4[ZONA DEFINITIVO],Tabla4[[#This Row],[ZONA DEFINITIVO]])," ")</f>
        <v xml:space="preserve"> </v>
      </c>
      <c r="AA1187" s="12"/>
      <c r="AB1187" s="38">
        <v>43603860</v>
      </c>
      <c r="AC1187" s="37">
        <v>0.02</v>
      </c>
      <c r="AD1187" s="38">
        <f t="shared" si="19"/>
        <v>872077.20000000007</v>
      </c>
      <c r="AE1187" s="12"/>
      <c r="AF1187" s="12">
        <f>COUNTIF($A$20:A1187,A1187)</f>
        <v>24</v>
      </c>
      <c r="AG1187" s="38">
        <v>43603860</v>
      </c>
      <c r="AH1187" s="38">
        <f>Tabla4[[#This Row],[VALOR CONTRAPARTIDA]]+Tabla4[[#This Row],[TOTAL APORTES ICBF]]</f>
        <v>44475937.200000003</v>
      </c>
      <c r="AI1187" s="35"/>
      <c r="AJ1187" s="38"/>
      <c r="AK1187" s="38"/>
      <c r="AL1187" s="23"/>
      <c r="AM1187" s="35">
        <f>VLOOKUP(Tabla4[[#This Row],[SERVICIO 2025]],$J$2:$V$14,5,0)*Tabla4[[#This Row],[TOTAL COBERTURA]]</f>
        <v>987520</v>
      </c>
      <c r="AN1187" s="35">
        <f>VLOOKUP(Tabla4[[#This Row],[SERVICIO 2025]],$J$2:$V$14,6,0)*Tabla4[[#This Row],[TOTAL COBERTURA]]</f>
        <v>820580</v>
      </c>
      <c r="AO1187" s="35">
        <f>VLOOKUP(Tabla4[[#This Row],[SERVICIO 2025]],$J$2:$V$14,8,0)*Tabla4[[#This Row],[TOTAL COBERTURA]]</f>
        <v>582000</v>
      </c>
      <c r="AP1187" s="35">
        <f>VLOOKUP(Tabla4[[#This Row],[SERVICIO 2025]],$J$2:$V$14,3,0)*Tabla4[[#This Row],[TOTAL COBERTURA]]*8</f>
        <v>41213760</v>
      </c>
      <c r="AQ1187" s="35"/>
      <c r="AR1187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187" s="35" t="str">
        <f>+IF(Tabla4[[#This Row],[AGRUPACIONES]]=1,SUMIFS(Tabla4[VALOR TOTAL],Tabla4[ZONA DEFINITIVO],Tabla4[[#This Row],[ZONA DEFINITIVO]])," ")</f>
        <v xml:space="preserve"> </v>
      </c>
      <c r="AT1187" s="27">
        <f>(VLOOKUP(Tabla4[[#This Row],[SERVICIO 2025]],$J$2:$V$14,3,0)*Tabla4[[#This Row],[TOTAL COBERTURA]])+Tabla4[[#This Row],[VALOR FASE PREPARATORIA DE ALISTAMIENTO]]+Tabla4[[#This Row],[DOTACIÓN ÚNICA]]</f>
        <v>6721240</v>
      </c>
      <c r="AU1187" s="35">
        <f>(VLOOKUP(Tabla4[[#This Row],[SERVICIO 2025]],$J$2:$V$14,3,0)*Tabla4[[#This Row],[TOTAL COBERTURA]])</f>
        <v>5151720</v>
      </c>
      <c r="AV1187" s="35">
        <f>(VLOOKUP(Tabla4[[#This Row],[SERVICIO 2025]],$J$2:$V$14,3,0)*Tabla4[[#This Row],[TOTAL COBERTURA]])</f>
        <v>5151720</v>
      </c>
      <c r="AW1187" s="35">
        <f>(VLOOKUP(Tabla4[[#This Row],[SERVICIO 2025]],$J$2:$V$14,3,0)*Tabla4[[#This Row],[TOTAL COBERTURA]])</f>
        <v>5151720</v>
      </c>
      <c r="AX1187" s="35">
        <f>(VLOOKUP(Tabla4[[#This Row],[SERVICIO 2025]],$J$2:$V$14,3,0)*Tabla4[[#This Row],[TOTAL COBERTURA]])</f>
        <v>5151720</v>
      </c>
      <c r="AY1187" s="35">
        <f>(VLOOKUP(Tabla4[[#This Row],[SERVICIO 2025]],$J$2:$V$14,3,0)*Tabla4[[#This Row],[TOTAL COBERTURA]])</f>
        <v>5151720</v>
      </c>
      <c r="AZ1187" s="35">
        <f>(VLOOKUP(Tabla4[[#This Row],[SERVICIO 2025]],$J$2:$V$14,3,0)*Tabla4[[#This Row],[TOTAL COBERTURA]])</f>
        <v>5151720</v>
      </c>
      <c r="BA1187" s="35">
        <f>(VLOOKUP(Tabla4[[#This Row],[SERVICIO 2025]],$J$2:$V$14,3,0)*Tabla4[[#This Row],[TOTAL COBERTURA]])+Tabla4[[#This Row],[VALOR FASE PREPARATORIA DE CIERRE]]</f>
        <v>5972300</v>
      </c>
      <c r="BB1187" s="35">
        <f>SUM(Tabla4[[#This Row],[DESEMBOLSO 1]:[DESEMBOLSO 8]])</f>
        <v>43603860</v>
      </c>
      <c r="BC1187" s="35">
        <f>VLOOKUP(Tabla4[[#This Row],[SERVICIO 2025]],$J$2:$V$14,10,0)*Tabla4[[#This Row],[TOTAL COBERTURA]]*$W$3</f>
        <v>28861280</v>
      </c>
      <c r="BD1187" s="47" t="s">
        <v>211</v>
      </c>
      <c r="BE1187" s="12" t="b">
        <f>EXACT(Tabla4[[#This Row],[VALOR ATENCIÓN (8 MESES)]],Tabla4[[#This Row],[VALOR TOTAL]])</f>
        <v>1</v>
      </c>
      <c r="BF1187" s="23">
        <f>Tabla4[[#This Row],[VALOR ATENCIÓN (8 MESES)]]-Tabla4[[#This Row],[VALOR TOTAL]]</f>
        <v>0</v>
      </c>
      <c r="BG1187" s="12" t="b">
        <f>EXACT(Tabla4[[#This Row],[TOTAL DESEMBOLSOS]],Tabla4[[#This Row],[VALOR ATENCIÓN (8 MESES)]])</f>
        <v>1</v>
      </c>
      <c r="BH1187" s="29">
        <f>Tabla4[[#This Row],[TOTAL DESEMBOLSOS]]-Tabla4[[#This Row],[VALOR ATENCIÓN (8 MESES)]]</f>
        <v>0</v>
      </c>
      <c r="BI1187" t="s">
        <v>98</v>
      </c>
      <c r="BJ1187">
        <v>2014</v>
      </c>
    </row>
    <row r="1188" spans="1:62">
      <c r="A1188" s="13">
        <v>2014</v>
      </c>
      <c r="B1188" s="13" t="s">
        <v>2542</v>
      </c>
      <c r="C1188" s="12" t="s">
        <v>87</v>
      </c>
      <c r="D1188" s="12" t="s">
        <v>462</v>
      </c>
      <c r="E1188" s="12" t="s">
        <v>2499</v>
      </c>
      <c r="F1188" s="12" t="s">
        <v>18</v>
      </c>
      <c r="G1188" s="12" t="s">
        <v>90</v>
      </c>
      <c r="H1188" s="12" t="s">
        <v>2588</v>
      </c>
      <c r="I1188" s="12">
        <v>58371152370</v>
      </c>
      <c r="J1188" s="12" t="s">
        <v>2589</v>
      </c>
      <c r="K1188" s="12">
        <v>1</v>
      </c>
      <c r="L1188" s="12">
        <v>20</v>
      </c>
      <c r="M1188" s="12"/>
      <c r="N1188" s="13">
        <v>2014</v>
      </c>
      <c r="O1188" s="12" t="s">
        <v>93</v>
      </c>
      <c r="P1188" s="12"/>
      <c r="Q1188" s="12"/>
      <c r="R1188" s="12" t="s">
        <v>94</v>
      </c>
      <c r="S1188" s="12">
        <v>10</v>
      </c>
      <c r="T1188" s="12" t="s">
        <v>1062</v>
      </c>
      <c r="U1188" s="12" t="s">
        <v>1063</v>
      </c>
      <c r="V1188" s="12">
        <f>VLOOKUP(Tabla4[[#This Row],[ZONA DEFINITIVO]],Hoja1!$A$1:$D$121,3,0)</f>
        <v>229162</v>
      </c>
      <c r="W1188" s="12">
        <f>VLOOKUP(Tabla4[[#This Row],[ZONA DEFINITIVO]],Hoja1!$A$1:$D$121,2,0)</f>
        <v>15250</v>
      </c>
      <c r="X1188" s="12">
        <f>VLOOKUP(Tabla4[[#This Row],[ZONA DEFINITIVO]],Hoja1!$A$1:$D$121,4,0)</f>
        <v>89325</v>
      </c>
      <c r="Y1188" s="12" t="str">
        <f>+IF(Tabla4[[#This Row],[AGRUPACIONES]]=1,SUMIFS(Tabla4[UDS],Tabla4[ZONA DEFINITIVO],Tabla4[[#This Row],[ZONA DEFINITIVO]])," ")</f>
        <v xml:space="preserve"> </v>
      </c>
      <c r="Z1188" s="12" t="str">
        <f>+IF(Tabla4[[#This Row],[AGRUPACIONES]]=1,SUMIFS(Tabla4[TOTAL COBERTURA],Tabla4[ZONA DEFINITIVO],Tabla4[[#This Row],[ZONA DEFINITIVO]])," ")</f>
        <v xml:space="preserve"> </v>
      </c>
      <c r="AA1188" s="12"/>
      <c r="AB1188" s="38">
        <v>43603860</v>
      </c>
      <c r="AC1188" s="37">
        <v>0.02</v>
      </c>
      <c r="AD1188" s="38">
        <f t="shared" si="19"/>
        <v>872077.20000000007</v>
      </c>
      <c r="AE1188" s="12"/>
      <c r="AF1188" s="12">
        <f>COUNTIF($A$20:A1188,A1188)</f>
        <v>25</v>
      </c>
      <c r="AG1188" s="38">
        <v>43603860</v>
      </c>
      <c r="AH1188" s="38">
        <f>Tabla4[[#This Row],[VALOR CONTRAPARTIDA]]+Tabla4[[#This Row],[TOTAL APORTES ICBF]]</f>
        <v>44475937.200000003</v>
      </c>
      <c r="AI1188" s="35"/>
      <c r="AJ1188" s="38"/>
      <c r="AK1188" s="38"/>
      <c r="AL1188" s="23"/>
      <c r="AM1188" s="35">
        <f>VLOOKUP(Tabla4[[#This Row],[SERVICIO 2025]],$J$2:$V$14,5,0)*Tabla4[[#This Row],[TOTAL COBERTURA]]</f>
        <v>987520</v>
      </c>
      <c r="AN1188" s="35">
        <f>VLOOKUP(Tabla4[[#This Row],[SERVICIO 2025]],$J$2:$V$14,6,0)*Tabla4[[#This Row],[TOTAL COBERTURA]]</f>
        <v>820580</v>
      </c>
      <c r="AO1188" s="35">
        <f>VLOOKUP(Tabla4[[#This Row],[SERVICIO 2025]],$J$2:$V$14,8,0)*Tabla4[[#This Row],[TOTAL COBERTURA]]</f>
        <v>582000</v>
      </c>
      <c r="AP1188" s="35">
        <f>VLOOKUP(Tabla4[[#This Row],[SERVICIO 2025]],$J$2:$V$14,3,0)*Tabla4[[#This Row],[TOTAL COBERTURA]]*8</f>
        <v>41213760</v>
      </c>
      <c r="AQ1188" s="35"/>
      <c r="AR1188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188" s="35" t="str">
        <f>+IF(Tabla4[[#This Row],[AGRUPACIONES]]=1,SUMIFS(Tabla4[VALOR TOTAL],Tabla4[ZONA DEFINITIVO],Tabla4[[#This Row],[ZONA DEFINITIVO]])," ")</f>
        <v xml:space="preserve"> </v>
      </c>
      <c r="AT1188" s="27">
        <f>(VLOOKUP(Tabla4[[#This Row],[SERVICIO 2025]],$J$2:$V$14,3,0)*Tabla4[[#This Row],[TOTAL COBERTURA]])+Tabla4[[#This Row],[VALOR FASE PREPARATORIA DE ALISTAMIENTO]]+Tabla4[[#This Row],[DOTACIÓN ÚNICA]]</f>
        <v>6721240</v>
      </c>
      <c r="AU1188" s="35">
        <f>(VLOOKUP(Tabla4[[#This Row],[SERVICIO 2025]],$J$2:$V$14,3,0)*Tabla4[[#This Row],[TOTAL COBERTURA]])</f>
        <v>5151720</v>
      </c>
      <c r="AV1188" s="35">
        <f>(VLOOKUP(Tabla4[[#This Row],[SERVICIO 2025]],$J$2:$V$14,3,0)*Tabla4[[#This Row],[TOTAL COBERTURA]])</f>
        <v>5151720</v>
      </c>
      <c r="AW1188" s="35">
        <f>(VLOOKUP(Tabla4[[#This Row],[SERVICIO 2025]],$J$2:$V$14,3,0)*Tabla4[[#This Row],[TOTAL COBERTURA]])</f>
        <v>5151720</v>
      </c>
      <c r="AX1188" s="35">
        <f>(VLOOKUP(Tabla4[[#This Row],[SERVICIO 2025]],$J$2:$V$14,3,0)*Tabla4[[#This Row],[TOTAL COBERTURA]])</f>
        <v>5151720</v>
      </c>
      <c r="AY1188" s="35">
        <f>(VLOOKUP(Tabla4[[#This Row],[SERVICIO 2025]],$J$2:$V$14,3,0)*Tabla4[[#This Row],[TOTAL COBERTURA]])</f>
        <v>5151720</v>
      </c>
      <c r="AZ1188" s="35">
        <f>(VLOOKUP(Tabla4[[#This Row],[SERVICIO 2025]],$J$2:$V$14,3,0)*Tabla4[[#This Row],[TOTAL COBERTURA]])</f>
        <v>5151720</v>
      </c>
      <c r="BA1188" s="35">
        <f>(VLOOKUP(Tabla4[[#This Row],[SERVICIO 2025]],$J$2:$V$14,3,0)*Tabla4[[#This Row],[TOTAL COBERTURA]])+Tabla4[[#This Row],[VALOR FASE PREPARATORIA DE CIERRE]]</f>
        <v>5972300</v>
      </c>
      <c r="BB1188" s="35">
        <f>SUM(Tabla4[[#This Row],[DESEMBOLSO 1]:[DESEMBOLSO 8]])</f>
        <v>43603860</v>
      </c>
      <c r="BC1188" s="35">
        <f>VLOOKUP(Tabla4[[#This Row],[SERVICIO 2025]],$J$2:$V$14,10,0)*Tabla4[[#This Row],[TOTAL COBERTURA]]*$W$3</f>
        <v>28861280</v>
      </c>
      <c r="BD1188" s="47" t="s">
        <v>211</v>
      </c>
      <c r="BE1188" s="12" t="b">
        <f>EXACT(Tabla4[[#This Row],[VALOR ATENCIÓN (8 MESES)]],Tabla4[[#This Row],[VALOR TOTAL]])</f>
        <v>1</v>
      </c>
      <c r="BF1188" s="23">
        <f>Tabla4[[#This Row],[VALOR ATENCIÓN (8 MESES)]]-Tabla4[[#This Row],[VALOR TOTAL]]</f>
        <v>0</v>
      </c>
      <c r="BG1188" s="12" t="b">
        <f>EXACT(Tabla4[[#This Row],[TOTAL DESEMBOLSOS]],Tabla4[[#This Row],[VALOR ATENCIÓN (8 MESES)]])</f>
        <v>1</v>
      </c>
      <c r="BH1188" s="29">
        <f>Tabla4[[#This Row],[TOTAL DESEMBOLSOS]]-Tabla4[[#This Row],[VALOR ATENCIÓN (8 MESES)]]</f>
        <v>0</v>
      </c>
      <c r="BI1188" t="s">
        <v>98</v>
      </c>
      <c r="BJ1188">
        <v>2014</v>
      </c>
    </row>
    <row r="1189" spans="1:62">
      <c r="A1189" s="13">
        <v>2014</v>
      </c>
      <c r="B1189" s="13" t="s">
        <v>2542</v>
      </c>
      <c r="C1189" s="12" t="s">
        <v>87</v>
      </c>
      <c r="D1189" s="12" t="s">
        <v>462</v>
      </c>
      <c r="E1189" s="12" t="s">
        <v>2499</v>
      </c>
      <c r="F1189" s="12" t="s">
        <v>18</v>
      </c>
      <c r="G1189" s="12" t="s">
        <v>90</v>
      </c>
      <c r="H1189" s="12" t="s">
        <v>2590</v>
      </c>
      <c r="I1189" s="12">
        <v>58371152371</v>
      </c>
      <c r="J1189" s="12" t="s">
        <v>2591</v>
      </c>
      <c r="K1189" s="12">
        <v>1</v>
      </c>
      <c r="L1189" s="12">
        <v>20</v>
      </c>
      <c r="M1189" s="12"/>
      <c r="N1189" s="13">
        <v>2014</v>
      </c>
      <c r="O1189" s="12" t="s">
        <v>93</v>
      </c>
      <c r="P1189" s="12"/>
      <c r="Q1189" s="12"/>
      <c r="R1189" s="12" t="s">
        <v>94</v>
      </c>
      <c r="S1189" s="12">
        <v>10</v>
      </c>
      <c r="T1189" s="12" t="s">
        <v>1062</v>
      </c>
      <c r="U1189" s="12" t="s">
        <v>1063</v>
      </c>
      <c r="V1189" s="12">
        <f>VLOOKUP(Tabla4[[#This Row],[ZONA DEFINITIVO]],Hoja1!$A$1:$D$121,3,0)</f>
        <v>229162</v>
      </c>
      <c r="W1189" s="12">
        <f>VLOOKUP(Tabla4[[#This Row],[ZONA DEFINITIVO]],Hoja1!$A$1:$D$121,2,0)</f>
        <v>15250</v>
      </c>
      <c r="X1189" s="12">
        <f>VLOOKUP(Tabla4[[#This Row],[ZONA DEFINITIVO]],Hoja1!$A$1:$D$121,4,0)</f>
        <v>89325</v>
      </c>
      <c r="Y1189" s="12" t="str">
        <f>+IF(Tabla4[[#This Row],[AGRUPACIONES]]=1,SUMIFS(Tabla4[UDS],Tabla4[ZONA DEFINITIVO],Tabla4[[#This Row],[ZONA DEFINITIVO]])," ")</f>
        <v xml:space="preserve"> </v>
      </c>
      <c r="Z1189" s="12" t="str">
        <f>+IF(Tabla4[[#This Row],[AGRUPACIONES]]=1,SUMIFS(Tabla4[TOTAL COBERTURA],Tabla4[ZONA DEFINITIVO],Tabla4[[#This Row],[ZONA DEFINITIVO]])," ")</f>
        <v xml:space="preserve"> </v>
      </c>
      <c r="AA1189" s="12"/>
      <c r="AB1189" s="38">
        <v>43603860</v>
      </c>
      <c r="AC1189" s="37">
        <v>0.02</v>
      </c>
      <c r="AD1189" s="38">
        <f t="shared" si="19"/>
        <v>872077.20000000007</v>
      </c>
      <c r="AE1189" s="12"/>
      <c r="AF1189" s="12">
        <f>COUNTIF($A$20:A1189,A1189)</f>
        <v>26</v>
      </c>
      <c r="AG1189" s="38">
        <v>43603860</v>
      </c>
      <c r="AH1189" s="38">
        <f>Tabla4[[#This Row],[VALOR CONTRAPARTIDA]]+Tabla4[[#This Row],[TOTAL APORTES ICBF]]</f>
        <v>44475937.200000003</v>
      </c>
      <c r="AI1189" s="35"/>
      <c r="AJ1189" s="38"/>
      <c r="AK1189" s="38"/>
      <c r="AL1189" s="23"/>
      <c r="AM1189" s="35">
        <f>VLOOKUP(Tabla4[[#This Row],[SERVICIO 2025]],$J$2:$V$14,5,0)*Tabla4[[#This Row],[TOTAL COBERTURA]]</f>
        <v>987520</v>
      </c>
      <c r="AN1189" s="35">
        <f>VLOOKUP(Tabla4[[#This Row],[SERVICIO 2025]],$J$2:$V$14,6,0)*Tabla4[[#This Row],[TOTAL COBERTURA]]</f>
        <v>820580</v>
      </c>
      <c r="AO1189" s="35">
        <f>VLOOKUP(Tabla4[[#This Row],[SERVICIO 2025]],$J$2:$V$14,8,0)*Tabla4[[#This Row],[TOTAL COBERTURA]]</f>
        <v>582000</v>
      </c>
      <c r="AP1189" s="35">
        <f>VLOOKUP(Tabla4[[#This Row],[SERVICIO 2025]],$J$2:$V$14,3,0)*Tabla4[[#This Row],[TOTAL COBERTURA]]*8</f>
        <v>41213760</v>
      </c>
      <c r="AQ1189" s="35"/>
      <c r="AR1189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189" s="35" t="str">
        <f>+IF(Tabla4[[#This Row],[AGRUPACIONES]]=1,SUMIFS(Tabla4[VALOR TOTAL],Tabla4[ZONA DEFINITIVO],Tabla4[[#This Row],[ZONA DEFINITIVO]])," ")</f>
        <v xml:space="preserve"> </v>
      </c>
      <c r="AT1189" s="27">
        <f>(VLOOKUP(Tabla4[[#This Row],[SERVICIO 2025]],$J$2:$V$14,3,0)*Tabla4[[#This Row],[TOTAL COBERTURA]])+Tabla4[[#This Row],[VALOR FASE PREPARATORIA DE ALISTAMIENTO]]+Tabla4[[#This Row],[DOTACIÓN ÚNICA]]</f>
        <v>6721240</v>
      </c>
      <c r="AU1189" s="35">
        <f>(VLOOKUP(Tabla4[[#This Row],[SERVICIO 2025]],$J$2:$V$14,3,0)*Tabla4[[#This Row],[TOTAL COBERTURA]])</f>
        <v>5151720</v>
      </c>
      <c r="AV1189" s="35">
        <f>(VLOOKUP(Tabla4[[#This Row],[SERVICIO 2025]],$J$2:$V$14,3,0)*Tabla4[[#This Row],[TOTAL COBERTURA]])</f>
        <v>5151720</v>
      </c>
      <c r="AW1189" s="35">
        <f>(VLOOKUP(Tabla4[[#This Row],[SERVICIO 2025]],$J$2:$V$14,3,0)*Tabla4[[#This Row],[TOTAL COBERTURA]])</f>
        <v>5151720</v>
      </c>
      <c r="AX1189" s="35">
        <f>(VLOOKUP(Tabla4[[#This Row],[SERVICIO 2025]],$J$2:$V$14,3,0)*Tabla4[[#This Row],[TOTAL COBERTURA]])</f>
        <v>5151720</v>
      </c>
      <c r="AY1189" s="35">
        <f>(VLOOKUP(Tabla4[[#This Row],[SERVICIO 2025]],$J$2:$V$14,3,0)*Tabla4[[#This Row],[TOTAL COBERTURA]])</f>
        <v>5151720</v>
      </c>
      <c r="AZ1189" s="35">
        <f>(VLOOKUP(Tabla4[[#This Row],[SERVICIO 2025]],$J$2:$V$14,3,0)*Tabla4[[#This Row],[TOTAL COBERTURA]])</f>
        <v>5151720</v>
      </c>
      <c r="BA1189" s="35">
        <f>(VLOOKUP(Tabla4[[#This Row],[SERVICIO 2025]],$J$2:$V$14,3,0)*Tabla4[[#This Row],[TOTAL COBERTURA]])+Tabla4[[#This Row],[VALOR FASE PREPARATORIA DE CIERRE]]</f>
        <v>5972300</v>
      </c>
      <c r="BB1189" s="35">
        <f>SUM(Tabla4[[#This Row],[DESEMBOLSO 1]:[DESEMBOLSO 8]])</f>
        <v>43603860</v>
      </c>
      <c r="BC1189" s="35">
        <f>VLOOKUP(Tabla4[[#This Row],[SERVICIO 2025]],$J$2:$V$14,10,0)*Tabla4[[#This Row],[TOTAL COBERTURA]]*$W$3</f>
        <v>28861280</v>
      </c>
      <c r="BD1189" s="47" t="s">
        <v>211</v>
      </c>
      <c r="BE1189" s="12" t="b">
        <f>EXACT(Tabla4[[#This Row],[VALOR ATENCIÓN (8 MESES)]],Tabla4[[#This Row],[VALOR TOTAL]])</f>
        <v>1</v>
      </c>
      <c r="BF1189" s="23">
        <f>Tabla4[[#This Row],[VALOR ATENCIÓN (8 MESES)]]-Tabla4[[#This Row],[VALOR TOTAL]]</f>
        <v>0</v>
      </c>
      <c r="BG1189" s="12" t="b">
        <f>EXACT(Tabla4[[#This Row],[TOTAL DESEMBOLSOS]],Tabla4[[#This Row],[VALOR ATENCIÓN (8 MESES)]])</f>
        <v>1</v>
      </c>
      <c r="BH1189" s="29">
        <f>Tabla4[[#This Row],[TOTAL DESEMBOLSOS]]-Tabla4[[#This Row],[VALOR ATENCIÓN (8 MESES)]]</f>
        <v>0</v>
      </c>
      <c r="BI1189" t="s">
        <v>98</v>
      </c>
      <c r="BJ1189">
        <v>2014</v>
      </c>
    </row>
    <row r="1190" spans="1:62">
      <c r="A1190" s="13">
        <v>2014</v>
      </c>
      <c r="B1190" s="13" t="s">
        <v>2542</v>
      </c>
      <c r="C1190" s="12" t="s">
        <v>87</v>
      </c>
      <c r="D1190" s="12" t="s">
        <v>462</v>
      </c>
      <c r="E1190" s="12" t="s">
        <v>2499</v>
      </c>
      <c r="F1190" s="12" t="s">
        <v>18</v>
      </c>
      <c r="G1190" s="12" t="s">
        <v>90</v>
      </c>
      <c r="H1190" s="12" t="s">
        <v>2592</v>
      </c>
      <c r="I1190" s="12">
        <v>58371152373</v>
      </c>
      <c r="J1190" s="12" t="s">
        <v>2593</v>
      </c>
      <c r="K1190" s="12">
        <v>1</v>
      </c>
      <c r="L1190" s="12">
        <v>20</v>
      </c>
      <c r="M1190" s="12"/>
      <c r="N1190" s="13">
        <v>2014</v>
      </c>
      <c r="O1190" s="12" t="s">
        <v>93</v>
      </c>
      <c r="P1190" s="12"/>
      <c r="Q1190" s="12"/>
      <c r="R1190" s="12" t="s">
        <v>94</v>
      </c>
      <c r="S1190" s="12">
        <v>10</v>
      </c>
      <c r="T1190" s="12" t="s">
        <v>1062</v>
      </c>
      <c r="U1190" s="12" t="s">
        <v>1063</v>
      </c>
      <c r="V1190" s="12">
        <f>VLOOKUP(Tabla4[[#This Row],[ZONA DEFINITIVO]],Hoja1!$A$1:$D$121,3,0)</f>
        <v>229162</v>
      </c>
      <c r="W1190" s="12">
        <f>VLOOKUP(Tabla4[[#This Row],[ZONA DEFINITIVO]],Hoja1!$A$1:$D$121,2,0)</f>
        <v>15250</v>
      </c>
      <c r="X1190" s="12">
        <f>VLOOKUP(Tabla4[[#This Row],[ZONA DEFINITIVO]],Hoja1!$A$1:$D$121,4,0)</f>
        <v>89325</v>
      </c>
      <c r="Y1190" s="12" t="str">
        <f>+IF(Tabla4[[#This Row],[AGRUPACIONES]]=1,SUMIFS(Tabla4[UDS],Tabla4[ZONA DEFINITIVO],Tabla4[[#This Row],[ZONA DEFINITIVO]])," ")</f>
        <v xml:space="preserve"> </v>
      </c>
      <c r="Z1190" s="12" t="str">
        <f>+IF(Tabla4[[#This Row],[AGRUPACIONES]]=1,SUMIFS(Tabla4[TOTAL COBERTURA],Tabla4[ZONA DEFINITIVO],Tabla4[[#This Row],[ZONA DEFINITIVO]])," ")</f>
        <v xml:space="preserve"> </v>
      </c>
      <c r="AA1190" s="12"/>
      <c r="AB1190" s="38">
        <v>43603860</v>
      </c>
      <c r="AC1190" s="37">
        <v>0.02</v>
      </c>
      <c r="AD1190" s="38">
        <f t="shared" si="19"/>
        <v>872077.20000000007</v>
      </c>
      <c r="AE1190" s="12"/>
      <c r="AF1190" s="12">
        <f>COUNTIF($A$20:A1190,A1190)</f>
        <v>27</v>
      </c>
      <c r="AG1190" s="38">
        <v>43603860</v>
      </c>
      <c r="AH1190" s="38">
        <f>Tabla4[[#This Row],[VALOR CONTRAPARTIDA]]+Tabla4[[#This Row],[TOTAL APORTES ICBF]]</f>
        <v>44475937.200000003</v>
      </c>
      <c r="AI1190" s="35"/>
      <c r="AJ1190" s="38"/>
      <c r="AK1190" s="38"/>
      <c r="AL1190" s="23"/>
      <c r="AM1190" s="35">
        <f>VLOOKUP(Tabla4[[#This Row],[SERVICIO 2025]],$J$2:$V$14,5,0)*Tabla4[[#This Row],[TOTAL COBERTURA]]</f>
        <v>987520</v>
      </c>
      <c r="AN1190" s="35">
        <f>VLOOKUP(Tabla4[[#This Row],[SERVICIO 2025]],$J$2:$V$14,6,0)*Tabla4[[#This Row],[TOTAL COBERTURA]]</f>
        <v>820580</v>
      </c>
      <c r="AO1190" s="35">
        <f>VLOOKUP(Tabla4[[#This Row],[SERVICIO 2025]],$J$2:$V$14,8,0)*Tabla4[[#This Row],[TOTAL COBERTURA]]</f>
        <v>582000</v>
      </c>
      <c r="AP1190" s="35">
        <f>VLOOKUP(Tabla4[[#This Row],[SERVICIO 2025]],$J$2:$V$14,3,0)*Tabla4[[#This Row],[TOTAL COBERTURA]]*8</f>
        <v>41213760</v>
      </c>
      <c r="AQ1190" s="35"/>
      <c r="AR1190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190" s="35" t="str">
        <f>+IF(Tabla4[[#This Row],[AGRUPACIONES]]=1,SUMIFS(Tabla4[VALOR TOTAL],Tabla4[ZONA DEFINITIVO],Tabla4[[#This Row],[ZONA DEFINITIVO]])," ")</f>
        <v xml:space="preserve"> </v>
      </c>
      <c r="AT1190" s="27">
        <f>(VLOOKUP(Tabla4[[#This Row],[SERVICIO 2025]],$J$2:$V$14,3,0)*Tabla4[[#This Row],[TOTAL COBERTURA]])+Tabla4[[#This Row],[VALOR FASE PREPARATORIA DE ALISTAMIENTO]]+Tabla4[[#This Row],[DOTACIÓN ÚNICA]]</f>
        <v>6721240</v>
      </c>
      <c r="AU1190" s="35">
        <f>(VLOOKUP(Tabla4[[#This Row],[SERVICIO 2025]],$J$2:$V$14,3,0)*Tabla4[[#This Row],[TOTAL COBERTURA]])</f>
        <v>5151720</v>
      </c>
      <c r="AV1190" s="35">
        <f>(VLOOKUP(Tabla4[[#This Row],[SERVICIO 2025]],$J$2:$V$14,3,0)*Tabla4[[#This Row],[TOTAL COBERTURA]])</f>
        <v>5151720</v>
      </c>
      <c r="AW1190" s="35">
        <f>(VLOOKUP(Tabla4[[#This Row],[SERVICIO 2025]],$J$2:$V$14,3,0)*Tabla4[[#This Row],[TOTAL COBERTURA]])</f>
        <v>5151720</v>
      </c>
      <c r="AX1190" s="35">
        <f>(VLOOKUP(Tabla4[[#This Row],[SERVICIO 2025]],$J$2:$V$14,3,0)*Tabla4[[#This Row],[TOTAL COBERTURA]])</f>
        <v>5151720</v>
      </c>
      <c r="AY1190" s="35">
        <f>(VLOOKUP(Tabla4[[#This Row],[SERVICIO 2025]],$J$2:$V$14,3,0)*Tabla4[[#This Row],[TOTAL COBERTURA]])</f>
        <v>5151720</v>
      </c>
      <c r="AZ1190" s="35">
        <f>(VLOOKUP(Tabla4[[#This Row],[SERVICIO 2025]],$J$2:$V$14,3,0)*Tabla4[[#This Row],[TOTAL COBERTURA]])</f>
        <v>5151720</v>
      </c>
      <c r="BA1190" s="35">
        <f>(VLOOKUP(Tabla4[[#This Row],[SERVICIO 2025]],$J$2:$V$14,3,0)*Tabla4[[#This Row],[TOTAL COBERTURA]])+Tabla4[[#This Row],[VALOR FASE PREPARATORIA DE CIERRE]]</f>
        <v>5972300</v>
      </c>
      <c r="BB1190" s="35">
        <f>SUM(Tabla4[[#This Row],[DESEMBOLSO 1]:[DESEMBOLSO 8]])</f>
        <v>43603860</v>
      </c>
      <c r="BC1190" s="35">
        <f>VLOOKUP(Tabla4[[#This Row],[SERVICIO 2025]],$J$2:$V$14,10,0)*Tabla4[[#This Row],[TOTAL COBERTURA]]*$W$3</f>
        <v>28861280</v>
      </c>
      <c r="BD1190" s="47" t="s">
        <v>211</v>
      </c>
      <c r="BE1190" s="12" t="b">
        <f>EXACT(Tabla4[[#This Row],[VALOR ATENCIÓN (8 MESES)]],Tabla4[[#This Row],[VALOR TOTAL]])</f>
        <v>1</v>
      </c>
      <c r="BF1190" s="23">
        <f>Tabla4[[#This Row],[VALOR ATENCIÓN (8 MESES)]]-Tabla4[[#This Row],[VALOR TOTAL]]</f>
        <v>0</v>
      </c>
      <c r="BG1190" s="12" t="b">
        <f>EXACT(Tabla4[[#This Row],[TOTAL DESEMBOLSOS]],Tabla4[[#This Row],[VALOR ATENCIÓN (8 MESES)]])</f>
        <v>1</v>
      </c>
      <c r="BH1190" s="29">
        <f>Tabla4[[#This Row],[TOTAL DESEMBOLSOS]]-Tabla4[[#This Row],[VALOR ATENCIÓN (8 MESES)]]</f>
        <v>0</v>
      </c>
      <c r="BI1190" t="s">
        <v>98</v>
      </c>
      <c r="BJ1190">
        <v>2014</v>
      </c>
    </row>
    <row r="1191" spans="1:62">
      <c r="A1191" s="13">
        <v>2014</v>
      </c>
      <c r="B1191" s="13" t="s">
        <v>2542</v>
      </c>
      <c r="C1191" s="12" t="s">
        <v>87</v>
      </c>
      <c r="D1191" s="12" t="s">
        <v>462</v>
      </c>
      <c r="E1191" s="12" t="s">
        <v>2499</v>
      </c>
      <c r="F1191" s="12" t="s">
        <v>18</v>
      </c>
      <c r="G1191" s="12" t="s">
        <v>90</v>
      </c>
      <c r="H1191" s="12" t="s">
        <v>2594</v>
      </c>
      <c r="I1191" s="12">
        <v>58371152374</v>
      </c>
      <c r="J1191" s="12" t="s">
        <v>2595</v>
      </c>
      <c r="K1191" s="12">
        <v>1</v>
      </c>
      <c r="L1191" s="12">
        <v>16</v>
      </c>
      <c r="M1191" s="12"/>
      <c r="N1191" s="13">
        <v>2014</v>
      </c>
      <c r="O1191" s="12" t="s">
        <v>93</v>
      </c>
      <c r="P1191" s="12"/>
      <c r="Q1191" s="12"/>
      <c r="R1191" s="12" t="s">
        <v>94</v>
      </c>
      <c r="S1191" s="12">
        <v>10</v>
      </c>
      <c r="T1191" s="12" t="s">
        <v>1062</v>
      </c>
      <c r="U1191" s="12" t="s">
        <v>1063</v>
      </c>
      <c r="V1191" s="12">
        <f>VLOOKUP(Tabla4[[#This Row],[ZONA DEFINITIVO]],Hoja1!$A$1:$D$121,3,0)</f>
        <v>229162</v>
      </c>
      <c r="W1191" s="12">
        <f>VLOOKUP(Tabla4[[#This Row],[ZONA DEFINITIVO]],Hoja1!$A$1:$D$121,2,0)</f>
        <v>15250</v>
      </c>
      <c r="X1191" s="12">
        <f>VLOOKUP(Tabla4[[#This Row],[ZONA DEFINITIVO]],Hoja1!$A$1:$D$121,4,0)</f>
        <v>89325</v>
      </c>
      <c r="Y1191" s="12" t="str">
        <f>+IF(Tabla4[[#This Row],[AGRUPACIONES]]=1,SUMIFS(Tabla4[UDS],Tabla4[ZONA DEFINITIVO],Tabla4[[#This Row],[ZONA DEFINITIVO]])," ")</f>
        <v xml:space="preserve"> </v>
      </c>
      <c r="Z1191" s="12" t="str">
        <f>+IF(Tabla4[[#This Row],[AGRUPACIONES]]=1,SUMIFS(Tabla4[TOTAL COBERTURA],Tabla4[ZONA DEFINITIVO],Tabla4[[#This Row],[ZONA DEFINITIVO]])," ")</f>
        <v xml:space="preserve"> </v>
      </c>
      <c r="AA1191" s="12"/>
      <c r="AB1191" s="38">
        <v>34883088</v>
      </c>
      <c r="AC1191" s="37">
        <v>0.02</v>
      </c>
      <c r="AD1191" s="38">
        <f t="shared" si="19"/>
        <v>697661.76</v>
      </c>
      <c r="AE1191" s="12"/>
      <c r="AF1191" s="12">
        <f>COUNTIF($A$20:A1191,A1191)</f>
        <v>28</v>
      </c>
      <c r="AG1191" s="38">
        <v>34883088</v>
      </c>
      <c r="AH1191" s="38">
        <f>Tabla4[[#This Row],[VALOR CONTRAPARTIDA]]+Tabla4[[#This Row],[TOTAL APORTES ICBF]]</f>
        <v>35580749.759999998</v>
      </c>
      <c r="AI1191" s="35"/>
      <c r="AJ1191" s="38"/>
      <c r="AK1191" s="38"/>
      <c r="AL1191" s="23"/>
      <c r="AM1191" s="35">
        <f>VLOOKUP(Tabla4[[#This Row],[SERVICIO 2025]],$J$2:$V$14,5,0)*Tabla4[[#This Row],[TOTAL COBERTURA]]</f>
        <v>790016</v>
      </c>
      <c r="AN1191" s="35">
        <f>VLOOKUP(Tabla4[[#This Row],[SERVICIO 2025]],$J$2:$V$14,6,0)*Tabla4[[#This Row],[TOTAL COBERTURA]]</f>
        <v>656464</v>
      </c>
      <c r="AO1191" s="35">
        <f>VLOOKUP(Tabla4[[#This Row],[SERVICIO 2025]],$J$2:$V$14,8,0)*Tabla4[[#This Row],[TOTAL COBERTURA]]</f>
        <v>465600</v>
      </c>
      <c r="AP1191" s="35">
        <f>VLOOKUP(Tabla4[[#This Row],[SERVICIO 2025]],$J$2:$V$14,3,0)*Tabla4[[#This Row],[TOTAL COBERTURA]]*8</f>
        <v>32971008</v>
      </c>
      <c r="AQ1191" s="35"/>
      <c r="AR1191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191" s="35" t="str">
        <f>+IF(Tabla4[[#This Row],[AGRUPACIONES]]=1,SUMIFS(Tabla4[VALOR TOTAL],Tabla4[ZONA DEFINITIVO],Tabla4[[#This Row],[ZONA DEFINITIVO]])," ")</f>
        <v xml:space="preserve"> </v>
      </c>
      <c r="AT1191" s="27">
        <f>(VLOOKUP(Tabla4[[#This Row],[SERVICIO 2025]],$J$2:$V$14,3,0)*Tabla4[[#This Row],[TOTAL COBERTURA]])+Tabla4[[#This Row],[VALOR FASE PREPARATORIA DE ALISTAMIENTO]]+Tabla4[[#This Row],[DOTACIÓN ÚNICA]]</f>
        <v>5376992</v>
      </c>
      <c r="AU1191" s="35">
        <f>(VLOOKUP(Tabla4[[#This Row],[SERVICIO 2025]],$J$2:$V$14,3,0)*Tabla4[[#This Row],[TOTAL COBERTURA]])</f>
        <v>4121376</v>
      </c>
      <c r="AV1191" s="35">
        <f>(VLOOKUP(Tabla4[[#This Row],[SERVICIO 2025]],$J$2:$V$14,3,0)*Tabla4[[#This Row],[TOTAL COBERTURA]])</f>
        <v>4121376</v>
      </c>
      <c r="AW1191" s="35">
        <f>(VLOOKUP(Tabla4[[#This Row],[SERVICIO 2025]],$J$2:$V$14,3,0)*Tabla4[[#This Row],[TOTAL COBERTURA]])</f>
        <v>4121376</v>
      </c>
      <c r="AX1191" s="35">
        <f>(VLOOKUP(Tabla4[[#This Row],[SERVICIO 2025]],$J$2:$V$14,3,0)*Tabla4[[#This Row],[TOTAL COBERTURA]])</f>
        <v>4121376</v>
      </c>
      <c r="AY1191" s="35">
        <f>(VLOOKUP(Tabla4[[#This Row],[SERVICIO 2025]],$J$2:$V$14,3,0)*Tabla4[[#This Row],[TOTAL COBERTURA]])</f>
        <v>4121376</v>
      </c>
      <c r="AZ1191" s="35">
        <f>(VLOOKUP(Tabla4[[#This Row],[SERVICIO 2025]],$J$2:$V$14,3,0)*Tabla4[[#This Row],[TOTAL COBERTURA]])</f>
        <v>4121376</v>
      </c>
      <c r="BA1191" s="35">
        <f>(VLOOKUP(Tabla4[[#This Row],[SERVICIO 2025]],$J$2:$V$14,3,0)*Tabla4[[#This Row],[TOTAL COBERTURA]])+Tabla4[[#This Row],[VALOR FASE PREPARATORIA DE CIERRE]]</f>
        <v>4777840</v>
      </c>
      <c r="BB1191" s="35">
        <f>SUM(Tabla4[[#This Row],[DESEMBOLSO 1]:[DESEMBOLSO 8]])</f>
        <v>34883088</v>
      </c>
      <c r="BC1191" s="35">
        <f>VLOOKUP(Tabla4[[#This Row],[SERVICIO 2025]],$J$2:$V$14,10,0)*Tabla4[[#This Row],[TOTAL COBERTURA]]*$W$3</f>
        <v>23089024</v>
      </c>
      <c r="BD1191" s="47" t="s">
        <v>211</v>
      </c>
      <c r="BE1191" s="12" t="b">
        <f>EXACT(Tabla4[[#This Row],[VALOR ATENCIÓN (8 MESES)]],Tabla4[[#This Row],[VALOR TOTAL]])</f>
        <v>1</v>
      </c>
      <c r="BF1191" s="23">
        <f>Tabla4[[#This Row],[VALOR ATENCIÓN (8 MESES)]]-Tabla4[[#This Row],[VALOR TOTAL]]</f>
        <v>0</v>
      </c>
      <c r="BG1191" s="12" t="b">
        <f>EXACT(Tabla4[[#This Row],[TOTAL DESEMBOLSOS]],Tabla4[[#This Row],[VALOR ATENCIÓN (8 MESES)]])</f>
        <v>1</v>
      </c>
      <c r="BH1191" s="29">
        <f>Tabla4[[#This Row],[TOTAL DESEMBOLSOS]]-Tabla4[[#This Row],[VALOR ATENCIÓN (8 MESES)]]</f>
        <v>0</v>
      </c>
      <c r="BI1191" t="s">
        <v>98</v>
      </c>
      <c r="BJ1191">
        <v>2014</v>
      </c>
    </row>
    <row r="1192" spans="1:62">
      <c r="A1192" s="13">
        <v>2014</v>
      </c>
      <c r="B1192" s="13" t="s">
        <v>2542</v>
      </c>
      <c r="C1192" s="12" t="s">
        <v>87</v>
      </c>
      <c r="D1192" s="12" t="s">
        <v>462</v>
      </c>
      <c r="E1192" s="12" t="s">
        <v>2499</v>
      </c>
      <c r="F1192" s="12" t="s">
        <v>18</v>
      </c>
      <c r="G1192" s="12" t="s">
        <v>90</v>
      </c>
      <c r="H1192" s="12" t="s">
        <v>2596</v>
      </c>
      <c r="I1192" s="12">
        <v>58371152375</v>
      </c>
      <c r="J1192" s="12" t="s">
        <v>2597</v>
      </c>
      <c r="K1192" s="12">
        <v>1</v>
      </c>
      <c r="L1192" s="12">
        <v>16</v>
      </c>
      <c r="M1192" s="12"/>
      <c r="N1192" s="13">
        <v>2014</v>
      </c>
      <c r="O1192" s="12" t="s">
        <v>93</v>
      </c>
      <c r="P1192" s="12"/>
      <c r="Q1192" s="12"/>
      <c r="R1192" s="12" t="s">
        <v>94</v>
      </c>
      <c r="S1192" s="12">
        <v>10</v>
      </c>
      <c r="T1192" s="12" t="s">
        <v>1062</v>
      </c>
      <c r="U1192" s="12" t="s">
        <v>1063</v>
      </c>
      <c r="V1192" s="12">
        <f>VLOOKUP(Tabla4[[#This Row],[ZONA DEFINITIVO]],Hoja1!$A$1:$D$121,3,0)</f>
        <v>229162</v>
      </c>
      <c r="W1192" s="12">
        <f>VLOOKUP(Tabla4[[#This Row],[ZONA DEFINITIVO]],Hoja1!$A$1:$D$121,2,0)</f>
        <v>15250</v>
      </c>
      <c r="X1192" s="12">
        <f>VLOOKUP(Tabla4[[#This Row],[ZONA DEFINITIVO]],Hoja1!$A$1:$D$121,4,0)</f>
        <v>89325</v>
      </c>
      <c r="Y1192" s="12" t="str">
        <f>+IF(Tabla4[[#This Row],[AGRUPACIONES]]=1,SUMIFS(Tabla4[UDS],Tabla4[ZONA DEFINITIVO],Tabla4[[#This Row],[ZONA DEFINITIVO]])," ")</f>
        <v xml:space="preserve"> </v>
      </c>
      <c r="Z1192" s="12" t="str">
        <f>+IF(Tabla4[[#This Row],[AGRUPACIONES]]=1,SUMIFS(Tabla4[TOTAL COBERTURA],Tabla4[ZONA DEFINITIVO],Tabla4[[#This Row],[ZONA DEFINITIVO]])," ")</f>
        <v xml:space="preserve"> </v>
      </c>
      <c r="AA1192" s="12"/>
      <c r="AB1192" s="38">
        <v>34883088</v>
      </c>
      <c r="AC1192" s="37">
        <v>0.02</v>
      </c>
      <c r="AD1192" s="38">
        <f t="shared" si="19"/>
        <v>697661.76</v>
      </c>
      <c r="AE1192" s="12"/>
      <c r="AF1192" s="12">
        <f>COUNTIF($A$20:A1192,A1192)</f>
        <v>29</v>
      </c>
      <c r="AG1192" s="38">
        <v>34883088</v>
      </c>
      <c r="AH1192" s="38">
        <f>Tabla4[[#This Row],[VALOR CONTRAPARTIDA]]+Tabla4[[#This Row],[TOTAL APORTES ICBF]]</f>
        <v>35580749.759999998</v>
      </c>
      <c r="AI1192" s="35"/>
      <c r="AJ1192" s="38"/>
      <c r="AK1192" s="38"/>
      <c r="AL1192" s="23"/>
      <c r="AM1192" s="35">
        <f>VLOOKUP(Tabla4[[#This Row],[SERVICIO 2025]],$J$2:$V$14,5,0)*Tabla4[[#This Row],[TOTAL COBERTURA]]</f>
        <v>790016</v>
      </c>
      <c r="AN1192" s="35">
        <f>VLOOKUP(Tabla4[[#This Row],[SERVICIO 2025]],$J$2:$V$14,6,0)*Tabla4[[#This Row],[TOTAL COBERTURA]]</f>
        <v>656464</v>
      </c>
      <c r="AO1192" s="35">
        <f>VLOOKUP(Tabla4[[#This Row],[SERVICIO 2025]],$J$2:$V$14,8,0)*Tabla4[[#This Row],[TOTAL COBERTURA]]</f>
        <v>465600</v>
      </c>
      <c r="AP1192" s="35">
        <f>VLOOKUP(Tabla4[[#This Row],[SERVICIO 2025]],$J$2:$V$14,3,0)*Tabla4[[#This Row],[TOTAL COBERTURA]]*8</f>
        <v>32971008</v>
      </c>
      <c r="AQ1192" s="35"/>
      <c r="AR1192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192" s="35" t="str">
        <f>+IF(Tabla4[[#This Row],[AGRUPACIONES]]=1,SUMIFS(Tabla4[VALOR TOTAL],Tabla4[ZONA DEFINITIVO],Tabla4[[#This Row],[ZONA DEFINITIVO]])," ")</f>
        <v xml:space="preserve"> </v>
      </c>
      <c r="AT1192" s="27">
        <f>(VLOOKUP(Tabla4[[#This Row],[SERVICIO 2025]],$J$2:$V$14,3,0)*Tabla4[[#This Row],[TOTAL COBERTURA]])+Tabla4[[#This Row],[VALOR FASE PREPARATORIA DE ALISTAMIENTO]]+Tabla4[[#This Row],[DOTACIÓN ÚNICA]]</f>
        <v>5376992</v>
      </c>
      <c r="AU1192" s="35">
        <f>(VLOOKUP(Tabla4[[#This Row],[SERVICIO 2025]],$J$2:$V$14,3,0)*Tabla4[[#This Row],[TOTAL COBERTURA]])</f>
        <v>4121376</v>
      </c>
      <c r="AV1192" s="35">
        <f>(VLOOKUP(Tabla4[[#This Row],[SERVICIO 2025]],$J$2:$V$14,3,0)*Tabla4[[#This Row],[TOTAL COBERTURA]])</f>
        <v>4121376</v>
      </c>
      <c r="AW1192" s="35">
        <f>(VLOOKUP(Tabla4[[#This Row],[SERVICIO 2025]],$J$2:$V$14,3,0)*Tabla4[[#This Row],[TOTAL COBERTURA]])</f>
        <v>4121376</v>
      </c>
      <c r="AX1192" s="35">
        <f>(VLOOKUP(Tabla4[[#This Row],[SERVICIO 2025]],$J$2:$V$14,3,0)*Tabla4[[#This Row],[TOTAL COBERTURA]])</f>
        <v>4121376</v>
      </c>
      <c r="AY1192" s="35">
        <f>(VLOOKUP(Tabla4[[#This Row],[SERVICIO 2025]],$J$2:$V$14,3,0)*Tabla4[[#This Row],[TOTAL COBERTURA]])</f>
        <v>4121376</v>
      </c>
      <c r="AZ1192" s="35">
        <f>(VLOOKUP(Tabla4[[#This Row],[SERVICIO 2025]],$J$2:$V$14,3,0)*Tabla4[[#This Row],[TOTAL COBERTURA]])</f>
        <v>4121376</v>
      </c>
      <c r="BA1192" s="35">
        <f>(VLOOKUP(Tabla4[[#This Row],[SERVICIO 2025]],$J$2:$V$14,3,0)*Tabla4[[#This Row],[TOTAL COBERTURA]])+Tabla4[[#This Row],[VALOR FASE PREPARATORIA DE CIERRE]]</f>
        <v>4777840</v>
      </c>
      <c r="BB1192" s="35">
        <f>SUM(Tabla4[[#This Row],[DESEMBOLSO 1]:[DESEMBOLSO 8]])</f>
        <v>34883088</v>
      </c>
      <c r="BC1192" s="35">
        <f>VLOOKUP(Tabla4[[#This Row],[SERVICIO 2025]],$J$2:$V$14,10,0)*Tabla4[[#This Row],[TOTAL COBERTURA]]*$W$3</f>
        <v>23089024</v>
      </c>
      <c r="BD1192" s="47" t="s">
        <v>211</v>
      </c>
      <c r="BE1192" s="12" t="b">
        <f>EXACT(Tabla4[[#This Row],[VALOR ATENCIÓN (8 MESES)]],Tabla4[[#This Row],[VALOR TOTAL]])</f>
        <v>1</v>
      </c>
      <c r="BF1192" s="23">
        <f>Tabla4[[#This Row],[VALOR ATENCIÓN (8 MESES)]]-Tabla4[[#This Row],[VALOR TOTAL]]</f>
        <v>0</v>
      </c>
      <c r="BG1192" s="12" t="b">
        <f>EXACT(Tabla4[[#This Row],[TOTAL DESEMBOLSOS]],Tabla4[[#This Row],[VALOR ATENCIÓN (8 MESES)]])</f>
        <v>1</v>
      </c>
      <c r="BH1192" s="29">
        <f>Tabla4[[#This Row],[TOTAL DESEMBOLSOS]]-Tabla4[[#This Row],[VALOR ATENCIÓN (8 MESES)]]</f>
        <v>0</v>
      </c>
      <c r="BI1192" t="s">
        <v>98</v>
      </c>
      <c r="BJ1192">
        <v>2014</v>
      </c>
    </row>
    <row r="1193" spans="1:62">
      <c r="A1193" s="13">
        <v>2014</v>
      </c>
      <c r="B1193" s="13" t="s">
        <v>2542</v>
      </c>
      <c r="C1193" s="12" t="s">
        <v>87</v>
      </c>
      <c r="D1193" s="12" t="s">
        <v>462</v>
      </c>
      <c r="E1193" s="12" t="s">
        <v>2499</v>
      </c>
      <c r="F1193" s="12" t="s">
        <v>18</v>
      </c>
      <c r="G1193" s="12" t="s">
        <v>90</v>
      </c>
      <c r="H1193" s="12" t="s">
        <v>2302</v>
      </c>
      <c r="I1193" s="12">
        <v>58371152376</v>
      </c>
      <c r="J1193" s="12" t="s">
        <v>2598</v>
      </c>
      <c r="K1193" s="12">
        <v>1</v>
      </c>
      <c r="L1193" s="12">
        <v>16</v>
      </c>
      <c r="M1193" s="12"/>
      <c r="N1193" s="13">
        <v>2014</v>
      </c>
      <c r="O1193" s="12" t="s">
        <v>93</v>
      </c>
      <c r="P1193" s="12"/>
      <c r="Q1193" s="12"/>
      <c r="R1193" s="12" t="s">
        <v>94</v>
      </c>
      <c r="S1193" s="12">
        <v>10</v>
      </c>
      <c r="T1193" s="12" t="s">
        <v>1062</v>
      </c>
      <c r="U1193" s="12" t="s">
        <v>1063</v>
      </c>
      <c r="V1193" s="12">
        <f>VLOOKUP(Tabla4[[#This Row],[ZONA DEFINITIVO]],Hoja1!$A$1:$D$121,3,0)</f>
        <v>229162</v>
      </c>
      <c r="W1193" s="12">
        <f>VLOOKUP(Tabla4[[#This Row],[ZONA DEFINITIVO]],Hoja1!$A$1:$D$121,2,0)</f>
        <v>15250</v>
      </c>
      <c r="X1193" s="12">
        <f>VLOOKUP(Tabla4[[#This Row],[ZONA DEFINITIVO]],Hoja1!$A$1:$D$121,4,0)</f>
        <v>89325</v>
      </c>
      <c r="Y1193" s="12" t="str">
        <f>+IF(Tabla4[[#This Row],[AGRUPACIONES]]=1,SUMIFS(Tabla4[UDS],Tabla4[ZONA DEFINITIVO],Tabla4[[#This Row],[ZONA DEFINITIVO]])," ")</f>
        <v xml:space="preserve"> </v>
      </c>
      <c r="Z1193" s="12" t="str">
        <f>+IF(Tabla4[[#This Row],[AGRUPACIONES]]=1,SUMIFS(Tabla4[TOTAL COBERTURA],Tabla4[ZONA DEFINITIVO],Tabla4[[#This Row],[ZONA DEFINITIVO]])," ")</f>
        <v xml:space="preserve"> </v>
      </c>
      <c r="AA1193" s="12"/>
      <c r="AB1193" s="38">
        <v>34883088</v>
      </c>
      <c r="AC1193" s="37">
        <v>0.02</v>
      </c>
      <c r="AD1193" s="38">
        <f t="shared" si="19"/>
        <v>697661.76</v>
      </c>
      <c r="AE1193" s="12"/>
      <c r="AF1193" s="12">
        <f>COUNTIF($A$20:A1193,A1193)</f>
        <v>30</v>
      </c>
      <c r="AG1193" s="38">
        <v>34883088</v>
      </c>
      <c r="AH1193" s="38">
        <f>Tabla4[[#This Row],[VALOR CONTRAPARTIDA]]+Tabla4[[#This Row],[TOTAL APORTES ICBF]]</f>
        <v>35580749.759999998</v>
      </c>
      <c r="AI1193" s="35"/>
      <c r="AJ1193" s="38"/>
      <c r="AK1193" s="38"/>
      <c r="AL1193" s="23"/>
      <c r="AM1193" s="35">
        <f>VLOOKUP(Tabla4[[#This Row],[SERVICIO 2025]],$J$2:$V$14,5,0)*Tabla4[[#This Row],[TOTAL COBERTURA]]</f>
        <v>790016</v>
      </c>
      <c r="AN1193" s="35">
        <f>VLOOKUP(Tabla4[[#This Row],[SERVICIO 2025]],$J$2:$V$14,6,0)*Tabla4[[#This Row],[TOTAL COBERTURA]]</f>
        <v>656464</v>
      </c>
      <c r="AO1193" s="35">
        <f>VLOOKUP(Tabla4[[#This Row],[SERVICIO 2025]],$J$2:$V$14,8,0)*Tabla4[[#This Row],[TOTAL COBERTURA]]</f>
        <v>465600</v>
      </c>
      <c r="AP1193" s="35">
        <f>VLOOKUP(Tabla4[[#This Row],[SERVICIO 2025]],$J$2:$V$14,3,0)*Tabla4[[#This Row],[TOTAL COBERTURA]]*8</f>
        <v>32971008</v>
      </c>
      <c r="AQ1193" s="35"/>
      <c r="AR1193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193" s="35" t="str">
        <f>+IF(Tabla4[[#This Row],[AGRUPACIONES]]=1,SUMIFS(Tabla4[VALOR TOTAL],Tabla4[ZONA DEFINITIVO],Tabla4[[#This Row],[ZONA DEFINITIVO]])," ")</f>
        <v xml:space="preserve"> </v>
      </c>
      <c r="AT1193" s="27">
        <f>(VLOOKUP(Tabla4[[#This Row],[SERVICIO 2025]],$J$2:$V$14,3,0)*Tabla4[[#This Row],[TOTAL COBERTURA]])+Tabla4[[#This Row],[VALOR FASE PREPARATORIA DE ALISTAMIENTO]]+Tabla4[[#This Row],[DOTACIÓN ÚNICA]]</f>
        <v>5376992</v>
      </c>
      <c r="AU1193" s="35">
        <f>(VLOOKUP(Tabla4[[#This Row],[SERVICIO 2025]],$J$2:$V$14,3,0)*Tabla4[[#This Row],[TOTAL COBERTURA]])</f>
        <v>4121376</v>
      </c>
      <c r="AV1193" s="35">
        <f>(VLOOKUP(Tabla4[[#This Row],[SERVICIO 2025]],$J$2:$V$14,3,0)*Tabla4[[#This Row],[TOTAL COBERTURA]])</f>
        <v>4121376</v>
      </c>
      <c r="AW1193" s="35">
        <f>(VLOOKUP(Tabla4[[#This Row],[SERVICIO 2025]],$J$2:$V$14,3,0)*Tabla4[[#This Row],[TOTAL COBERTURA]])</f>
        <v>4121376</v>
      </c>
      <c r="AX1193" s="35">
        <f>(VLOOKUP(Tabla4[[#This Row],[SERVICIO 2025]],$J$2:$V$14,3,0)*Tabla4[[#This Row],[TOTAL COBERTURA]])</f>
        <v>4121376</v>
      </c>
      <c r="AY1193" s="35">
        <f>(VLOOKUP(Tabla4[[#This Row],[SERVICIO 2025]],$J$2:$V$14,3,0)*Tabla4[[#This Row],[TOTAL COBERTURA]])</f>
        <v>4121376</v>
      </c>
      <c r="AZ1193" s="35">
        <f>(VLOOKUP(Tabla4[[#This Row],[SERVICIO 2025]],$J$2:$V$14,3,0)*Tabla4[[#This Row],[TOTAL COBERTURA]])</f>
        <v>4121376</v>
      </c>
      <c r="BA1193" s="35">
        <f>(VLOOKUP(Tabla4[[#This Row],[SERVICIO 2025]],$J$2:$V$14,3,0)*Tabla4[[#This Row],[TOTAL COBERTURA]])+Tabla4[[#This Row],[VALOR FASE PREPARATORIA DE CIERRE]]</f>
        <v>4777840</v>
      </c>
      <c r="BB1193" s="35">
        <f>SUM(Tabla4[[#This Row],[DESEMBOLSO 1]:[DESEMBOLSO 8]])</f>
        <v>34883088</v>
      </c>
      <c r="BC1193" s="35">
        <f>VLOOKUP(Tabla4[[#This Row],[SERVICIO 2025]],$J$2:$V$14,10,0)*Tabla4[[#This Row],[TOTAL COBERTURA]]*$W$3</f>
        <v>23089024</v>
      </c>
      <c r="BD1193" s="47" t="s">
        <v>211</v>
      </c>
      <c r="BE1193" s="12" t="b">
        <f>EXACT(Tabla4[[#This Row],[VALOR ATENCIÓN (8 MESES)]],Tabla4[[#This Row],[VALOR TOTAL]])</f>
        <v>1</v>
      </c>
      <c r="BF1193" s="23">
        <f>Tabla4[[#This Row],[VALOR ATENCIÓN (8 MESES)]]-Tabla4[[#This Row],[VALOR TOTAL]]</f>
        <v>0</v>
      </c>
      <c r="BG1193" s="12" t="b">
        <f>EXACT(Tabla4[[#This Row],[TOTAL DESEMBOLSOS]],Tabla4[[#This Row],[VALOR ATENCIÓN (8 MESES)]])</f>
        <v>1</v>
      </c>
      <c r="BH1193" s="29">
        <f>Tabla4[[#This Row],[TOTAL DESEMBOLSOS]]-Tabla4[[#This Row],[VALOR ATENCIÓN (8 MESES)]]</f>
        <v>0</v>
      </c>
      <c r="BI1193" t="s">
        <v>98</v>
      </c>
      <c r="BJ1193">
        <v>2014</v>
      </c>
    </row>
    <row r="1194" spans="1:62">
      <c r="A1194" s="13">
        <v>2014</v>
      </c>
      <c r="B1194" s="13" t="s">
        <v>2542</v>
      </c>
      <c r="C1194" s="12" t="s">
        <v>87</v>
      </c>
      <c r="D1194" s="12" t="s">
        <v>462</v>
      </c>
      <c r="E1194" s="12" t="s">
        <v>2499</v>
      </c>
      <c r="F1194" s="12" t="s">
        <v>18</v>
      </c>
      <c r="G1194" s="12" t="s">
        <v>90</v>
      </c>
      <c r="H1194" s="12" t="s">
        <v>2594</v>
      </c>
      <c r="I1194" s="12">
        <v>58371152377</v>
      </c>
      <c r="J1194" s="12" t="s">
        <v>2599</v>
      </c>
      <c r="K1194" s="12">
        <v>1</v>
      </c>
      <c r="L1194" s="12">
        <v>16</v>
      </c>
      <c r="M1194" s="12"/>
      <c r="N1194" s="13">
        <v>2014</v>
      </c>
      <c r="O1194" s="12" t="s">
        <v>93</v>
      </c>
      <c r="P1194" s="12"/>
      <c r="Q1194" s="12"/>
      <c r="R1194" s="12" t="s">
        <v>94</v>
      </c>
      <c r="S1194" s="12">
        <v>10</v>
      </c>
      <c r="T1194" s="12" t="s">
        <v>1062</v>
      </c>
      <c r="U1194" s="12" t="s">
        <v>1063</v>
      </c>
      <c r="V1194" s="12">
        <f>VLOOKUP(Tabla4[[#This Row],[ZONA DEFINITIVO]],Hoja1!$A$1:$D$121,3,0)</f>
        <v>229162</v>
      </c>
      <c r="W1194" s="12">
        <f>VLOOKUP(Tabla4[[#This Row],[ZONA DEFINITIVO]],Hoja1!$A$1:$D$121,2,0)</f>
        <v>15250</v>
      </c>
      <c r="X1194" s="12">
        <f>VLOOKUP(Tabla4[[#This Row],[ZONA DEFINITIVO]],Hoja1!$A$1:$D$121,4,0)</f>
        <v>89325</v>
      </c>
      <c r="Y1194" s="12" t="str">
        <f>+IF(Tabla4[[#This Row],[AGRUPACIONES]]=1,SUMIFS(Tabla4[UDS],Tabla4[ZONA DEFINITIVO],Tabla4[[#This Row],[ZONA DEFINITIVO]])," ")</f>
        <v xml:space="preserve"> </v>
      </c>
      <c r="Z1194" s="12" t="str">
        <f>+IF(Tabla4[[#This Row],[AGRUPACIONES]]=1,SUMIFS(Tabla4[TOTAL COBERTURA],Tabla4[ZONA DEFINITIVO],Tabla4[[#This Row],[ZONA DEFINITIVO]])," ")</f>
        <v xml:space="preserve"> </v>
      </c>
      <c r="AA1194" s="12"/>
      <c r="AB1194" s="38">
        <v>34883088</v>
      </c>
      <c r="AC1194" s="37">
        <v>0.02</v>
      </c>
      <c r="AD1194" s="38">
        <f t="shared" si="19"/>
        <v>697661.76</v>
      </c>
      <c r="AE1194" s="12"/>
      <c r="AF1194" s="12">
        <f>COUNTIF($A$20:A1194,A1194)</f>
        <v>31</v>
      </c>
      <c r="AG1194" s="38">
        <v>34883088</v>
      </c>
      <c r="AH1194" s="38">
        <f>Tabla4[[#This Row],[VALOR CONTRAPARTIDA]]+Tabla4[[#This Row],[TOTAL APORTES ICBF]]</f>
        <v>35580749.759999998</v>
      </c>
      <c r="AI1194" s="35"/>
      <c r="AJ1194" s="38"/>
      <c r="AK1194" s="38"/>
      <c r="AL1194" s="23"/>
      <c r="AM1194" s="35">
        <f>VLOOKUP(Tabla4[[#This Row],[SERVICIO 2025]],$J$2:$V$14,5,0)*Tabla4[[#This Row],[TOTAL COBERTURA]]</f>
        <v>790016</v>
      </c>
      <c r="AN1194" s="35">
        <f>VLOOKUP(Tabla4[[#This Row],[SERVICIO 2025]],$J$2:$V$14,6,0)*Tabla4[[#This Row],[TOTAL COBERTURA]]</f>
        <v>656464</v>
      </c>
      <c r="AO1194" s="35">
        <f>VLOOKUP(Tabla4[[#This Row],[SERVICIO 2025]],$J$2:$V$14,8,0)*Tabla4[[#This Row],[TOTAL COBERTURA]]</f>
        <v>465600</v>
      </c>
      <c r="AP1194" s="35">
        <f>VLOOKUP(Tabla4[[#This Row],[SERVICIO 2025]],$J$2:$V$14,3,0)*Tabla4[[#This Row],[TOTAL COBERTURA]]*8</f>
        <v>32971008</v>
      </c>
      <c r="AQ1194" s="35"/>
      <c r="AR1194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194" s="35" t="str">
        <f>+IF(Tabla4[[#This Row],[AGRUPACIONES]]=1,SUMIFS(Tabla4[VALOR TOTAL],Tabla4[ZONA DEFINITIVO],Tabla4[[#This Row],[ZONA DEFINITIVO]])," ")</f>
        <v xml:space="preserve"> </v>
      </c>
      <c r="AT1194" s="27">
        <f>(VLOOKUP(Tabla4[[#This Row],[SERVICIO 2025]],$J$2:$V$14,3,0)*Tabla4[[#This Row],[TOTAL COBERTURA]])+Tabla4[[#This Row],[VALOR FASE PREPARATORIA DE ALISTAMIENTO]]+Tabla4[[#This Row],[DOTACIÓN ÚNICA]]</f>
        <v>5376992</v>
      </c>
      <c r="AU1194" s="35">
        <f>(VLOOKUP(Tabla4[[#This Row],[SERVICIO 2025]],$J$2:$V$14,3,0)*Tabla4[[#This Row],[TOTAL COBERTURA]])</f>
        <v>4121376</v>
      </c>
      <c r="AV1194" s="35">
        <f>(VLOOKUP(Tabla4[[#This Row],[SERVICIO 2025]],$J$2:$V$14,3,0)*Tabla4[[#This Row],[TOTAL COBERTURA]])</f>
        <v>4121376</v>
      </c>
      <c r="AW1194" s="35">
        <f>(VLOOKUP(Tabla4[[#This Row],[SERVICIO 2025]],$J$2:$V$14,3,0)*Tabla4[[#This Row],[TOTAL COBERTURA]])</f>
        <v>4121376</v>
      </c>
      <c r="AX1194" s="35">
        <f>(VLOOKUP(Tabla4[[#This Row],[SERVICIO 2025]],$J$2:$V$14,3,0)*Tabla4[[#This Row],[TOTAL COBERTURA]])</f>
        <v>4121376</v>
      </c>
      <c r="AY1194" s="35">
        <f>(VLOOKUP(Tabla4[[#This Row],[SERVICIO 2025]],$J$2:$V$14,3,0)*Tabla4[[#This Row],[TOTAL COBERTURA]])</f>
        <v>4121376</v>
      </c>
      <c r="AZ1194" s="35">
        <f>(VLOOKUP(Tabla4[[#This Row],[SERVICIO 2025]],$J$2:$V$14,3,0)*Tabla4[[#This Row],[TOTAL COBERTURA]])</f>
        <v>4121376</v>
      </c>
      <c r="BA1194" s="35">
        <f>(VLOOKUP(Tabla4[[#This Row],[SERVICIO 2025]],$J$2:$V$14,3,0)*Tabla4[[#This Row],[TOTAL COBERTURA]])+Tabla4[[#This Row],[VALOR FASE PREPARATORIA DE CIERRE]]</f>
        <v>4777840</v>
      </c>
      <c r="BB1194" s="35">
        <f>SUM(Tabla4[[#This Row],[DESEMBOLSO 1]:[DESEMBOLSO 8]])</f>
        <v>34883088</v>
      </c>
      <c r="BC1194" s="35">
        <f>VLOOKUP(Tabla4[[#This Row],[SERVICIO 2025]],$J$2:$V$14,10,0)*Tabla4[[#This Row],[TOTAL COBERTURA]]*$W$3</f>
        <v>23089024</v>
      </c>
      <c r="BD1194" s="47" t="s">
        <v>211</v>
      </c>
      <c r="BE1194" s="12" t="b">
        <f>EXACT(Tabla4[[#This Row],[VALOR ATENCIÓN (8 MESES)]],Tabla4[[#This Row],[VALOR TOTAL]])</f>
        <v>1</v>
      </c>
      <c r="BF1194" s="23">
        <f>Tabla4[[#This Row],[VALOR ATENCIÓN (8 MESES)]]-Tabla4[[#This Row],[VALOR TOTAL]]</f>
        <v>0</v>
      </c>
      <c r="BG1194" s="12" t="b">
        <f>EXACT(Tabla4[[#This Row],[TOTAL DESEMBOLSOS]],Tabla4[[#This Row],[VALOR ATENCIÓN (8 MESES)]])</f>
        <v>1</v>
      </c>
      <c r="BH1194" s="29">
        <f>Tabla4[[#This Row],[TOTAL DESEMBOLSOS]]-Tabla4[[#This Row],[VALOR ATENCIÓN (8 MESES)]]</f>
        <v>0</v>
      </c>
      <c r="BI1194" t="s">
        <v>98</v>
      </c>
      <c r="BJ1194">
        <v>2014</v>
      </c>
    </row>
    <row r="1195" spans="1:62">
      <c r="A1195" s="13">
        <v>2014</v>
      </c>
      <c r="B1195" s="13" t="s">
        <v>2542</v>
      </c>
      <c r="C1195" s="12" t="s">
        <v>87</v>
      </c>
      <c r="D1195" s="12" t="s">
        <v>462</v>
      </c>
      <c r="E1195" s="12" t="s">
        <v>2499</v>
      </c>
      <c r="F1195" s="12" t="s">
        <v>18</v>
      </c>
      <c r="G1195" s="12" t="s">
        <v>90</v>
      </c>
      <c r="H1195" s="12" t="s">
        <v>2302</v>
      </c>
      <c r="I1195" s="12">
        <v>58371152378</v>
      </c>
      <c r="J1195" s="12" t="s">
        <v>2600</v>
      </c>
      <c r="K1195" s="12">
        <v>1</v>
      </c>
      <c r="L1195" s="12">
        <v>16</v>
      </c>
      <c r="M1195" s="12"/>
      <c r="N1195" s="13">
        <v>2014</v>
      </c>
      <c r="O1195" s="12" t="s">
        <v>93</v>
      </c>
      <c r="P1195" s="12"/>
      <c r="Q1195" s="12"/>
      <c r="R1195" s="12" t="s">
        <v>94</v>
      </c>
      <c r="S1195" s="12">
        <v>10</v>
      </c>
      <c r="T1195" s="12" t="s">
        <v>1062</v>
      </c>
      <c r="U1195" s="12" t="s">
        <v>1063</v>
      </c>
      <c r="V1195" s="12">
        <f>VLOOKUP(Tabla4[[#This Row],[ZONA DEFINITIVO]],Hoja1!$A$1:$D$121,3,0)</f>
        <v>229162</v>
      </c>
      <c r="W1195" s="12">
        <f>VLOOKUP(Tabla4[[#This Row],[ZONA DEFINITIVO]],Hoja1!$A$1:$D$121,2,0)</f>
        <v>15250</v>
      </c>
      <c r="X1195" s="12">
        <f>VLOOKUP(Tabla4[[#This Row],[ZONA DEFINITIVO]],Hoja1!$A$1:$D$121,4,0)</f>
        <v>89325</v>
      </c>
      <c r="Y1195" s="12" t="str">
        <f>+IF(Tabla4[[#This Row],[AGRUPACIONES]]=1,SUMIFS(Tabla4[UDS],Tabla4[ZONA DEFINITIVO],Tabla4[[#This Row],[ZONA DEFINITIVO]])," ")</f>
        <v xml:space="preserve"> </v>
      </c>
      <c r="Z1195" s="12" t="str">
        <f>+IF(Tabla4[[#This Row],[AGRUPACIONES]]=1,SUMIFS(Tabla4[TOTAL COBERTURA],Tabla4[ZONA DEFINITIVO],Tabla4[[#This Row],[ZONA DEFINITIVO]])," ")</f>
        <v xml:space="preserve"> </v>
      </c>
      <c r="AA1195" s="12"/>
      <c r="AB1195" s="38">
        <v>34883088</v>
      </c>
      <c r="AC1195" s="37">
        <v>0.02</v>
      </c>
      <c r="AD1195" s="38">
        <f t="shared" si="19"/>
        <v>697661.76</v>
      </c>
      <c r="AE1195" s="12"/>
      <c r="AF1195" s="12">
        <f>COUNTIF($A$20:A1195,A1195)</f>
        <v>32</v>
      </c>
      <c r="AG1195" s="38">
        <v>34883088</v>
      </c>
      <c r="AH1195" s="38">
        <f>Tabla4[[#This Row],[VALOR CONTRAPARTIDA]]+Tabla4[[#This Row],[TOTAL APORTES ICBF]]</f>
        <v>35580749.759999998</v>
      </c>
      <c r="AI1195" s="35"/>
      <c r="AJ1195" s="38"/>
      <c r="AK1195" s="38"/>
      <c r="AL1195" s="23"/>
      <c r="AM1195" s="35">
        <f>VLOOKUP(Tabla4[[#This Row],[SERVICIO 2025]],$J$2:$V$14,5,0)*Tabla4[[#This Row],[TOTAL COBERTURA]]</f>
        <v>790016</v>
      </c>
      <c r="AN1195" s="35">
        <f>VLOOKUP(Tabla4[[#This Row],[SERVICIO 2025]],$J$2:$V$14,6,0)*Tabla4[[#This Row],[TOTAL COBERTURA]]</f>
        <v>656464</v>
      </c>
      <c r="AO1195" s="35">
        <f>VLOOKUP(Tabla4[[#This Row],[SERVICIO 2025]],$J$2:$V$14,8,0)*Tabla4[[#This Row],[TOTAL COBERTURA]]</f>
        <v>465600</v>
      </c>
      <c r="AP1195" s="35">
        <f>VLOOKUP(Tabla4[[#This Row],[SERVICIO 2025]],$J$2:$V$14,3,0)*Tabla4[[#This Row],[TOTAL COBERTURA]]*8</f>
        <v>32971008</v>
      </c>
      <c r="AQ1195" s="35"/>
      <c r="AR1195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195" s="35" t="str">
        <f>+IF(Tabla4[[#This Row],[AGRUPACIONES]]=1,SUMIFS(Tabla4[VALOR TOTAL],Tabla4[ZONA DEFINITIVO],Tabla4[[#This Row],[ZONA DEFINITIVO]])," ")</f>
        <v xml:space="preserve"> </v>
      </c>
      <c r="AT1195" s="27">
        <f>(VLOOKUP(Tabla4[[#This Row],[SERVICIO 2025]],$J$2:$V$14,3,0)*Tabla4[[#This Row],[TOTAL COBERTURA]])+Tabla4[[#This Row],[VALOR FASE PREPARATORIA DE ALISTAMIENTO]]+Tabla4[[#This Row],[DOTACIÓN ÚNICA]]</f>
        <v>5376992</v>
      </c>
      <c r="AU1195" s="35">
        <f>(VLOOKUP(Tabla4[[#This Row],[SERVICIO 2025]],$J$2:$V$14,3,0)*Tabla4[[#This Row],[TOTAL COBERTURA]])</f>
        <v>4121376</v>
      </c>
      <c r="AV1195" s="35">
        <f>(VLOOKUP(Tabla4[[#This Row],[SERVICIO 2025]],$J$2:$V$14,3,0)*Tabla4[[#This Row],[TOTAL COBERTURA]])</f>
        <v>4121376</v>
      </c>
      <c r="AW1195" s="35">
        <f>(VLOOKUP(Tabla4[[#This Row],[SERVICIO 2025]],$J$2:$V$14,3,0)*Tabla4[[#This Row],[TOTAL COBERTURA]])</f>
        <v>4121376</v>
      </c>
      <c r="AX1195" s="35">
        <f>(VLOOKUP(Tabla4[[#This Row],[SERVICIO 2025]],$J$2:$V$14,3,0)*Tabla4[[#This Row],[TOTAL COBERTURA]])</f>
        <v>4121376</v>
      </c>
      <c r="AY1195" s="35">
        <f>(VLOOKUP(Tabla4[[#This Row],[SERVICIO 2025]],$J$2:$V$14,3,0)*Tabla4[[#This Row],[TOTAL COBERTURA]])</f>
        <v>4121376</v>
      </c>
      <c r="AZ1195" s="35">
        <f>(VLOOKUP(Tabla4[[#This Row],[SERVICIO 2025]],$J$2:$V$14,3,0)*Tabla4[[#This Row],[TOTAL COBERTURA]])</f>
        <v>4121376</v>
      </c>
      <c r="BA1195" s="35">
        <f>(VLOOKUP(Tabla4[[#This Row],[SERVICIO 2025]],$J$2:$V$14,3,0)*Tabla4[[#This Row],[TOTAL COBERTURA]])+Tabla4[[#This Row],[VALOR FASE PREPARATORIA DE CIERRE]]</f>
        <v>4777840</v>
      </c>
      <c r="BB1195" s="35">
        <f>SUM(Tabla4[[#This Row],[DESEMBOLSO 1]:[DESEMBOLSO 8]])</f>
        <v>34883088</v>
      </c>
      <c r="BC1195" s="35">
        <f>VLOOKUP(Tabla4[[#This Row],[SERVICIO 2025]],$J$2:$V$14,10,0)*Tabla4[[#This Row],[TOTAL COBERTURA]]*$W$3</f>
        <v>23089024</v>
      </c>
      <c r="BD1195" s="47" t="s">
        <v>211</v>
      </c>
      <c r="BE1195" s="12" t="b">
        <f>EXACT(Tabla4[[#This Row],[VALOR ATENCIÓN (8 MESES)]],Tabla4[[#This Row],[VALOR TOTAL]])</f>
        <v>1</v>
      </c>
      <c r="BF1195" s="23">
        <f>Tabla4[[#This Row],[VALOR ATENCIÓN (8 MESES)]]-Tabla4[[#This Row],[VALOR TOTAL]]</f>
        <v>0</v>
      </c>
      <c r="BG1195" s="12" t="b">
        <f>EXACT(Tabla4[[#This Row],[TOTAL DESEMBOLSOS]],Tabla4[[#This Row],[VALOR ATENCIÓN (8 MESES)]])</f>
        <v>1</v>
      </c>
      <c r="BH1195" s="29">
        <f>Tabla4[[#This Row],[TOTAL DESEMBOLSOS]]-Tabla4[[#This Row],[VALOR ATENCIÓN (8 MESES)]]</f>
        <v>0</v>
      </c>
      <c r="BI1195" t="s">
        <v>98</v>
      </c>
      <c r="BJ1195">
        <v>2014</v>
      </c>
    </row>
    <row r="1196" spans="1:62">
      <c r="A1196" s="13">
        <v>2014</v>
      </c>
      <c r="B1196" s="13" t="s">
        <v>2542</v>
      </c>
      <c r="C1196" s="12" t="s">
        <v>87</v>
      </c>
      <c r="D1196" s="12" t="s">
        <v>462</v>
      </c>
      <c r="E1196" s="12" t="s">
        <v>2499</v>
      </c>
      <c r="F1196" s="12" t="s">
        <v>18</v>
      </c>
      <c r="G1196" s="12" t="s">
        <v>90</v>
      </c>
      <c r="H1196" s="12" t="s">
        <v>2302</v>
      </c>
      <c r="I1196" s="12">
        <v>58371152379</v>
      </c>
      <c r="J1196" s="12" t="s">
        <v>1067</v>
      </c>
      <c r="K1196" s="12">
        <v>1</v>
      </c>
      <c r="L1196" s="12">
        <v>16</v>
      </c>
      <c r="M1196" s="12"/>
      <c r="N1196" s="13">
        <v>2014</v>
      </c>
      <c r="O1196" s="12" t="s">
        <v>93</v>
      </c>
      <c r="P1196" s="12"/>
      <c r="Q1196" s="12"/>
      <c r="R1196" s="12" t="s">
        <v>94</v>
      </c>
      <c r="S1196" s="12">
        <v>10</v>
      </c>
      <c r="T1196" s="12" t="s">
        <v>1062</v>
      </c>
      <c r="U1196" s="12" t="s">
        <v>1063</v>
      </c>
      <c r="V1196" s="12">
        <f>VLOOKUP(Tabla4[[#This Row],[ZONA DEFINITIVO]],Hoja1!$A$1:$D$121,3,0)</f>
        <v>229162</v>
      </c>
      <c r="W1196" s="12">
        <f>VLOOKUP(Tabla4[[#This Row],[ZONA DEFINITIVO]],Hoja1!$A$1:$D$121,2,0)</f>
        <v>15250</v>
      </c>
      <c r="X1196" s="12">
        <f>VLOOKUP(Tabla4[[#This Row],[ZONA DEFINITIVO]],Hoja1!$A$1:$D$121,4,0)</f>
        <v>89325</v>
      </c>
      <c r="Y1196" s="12" t="str">
        <f>+IF(Tabla4[[#This Row],[AGRUPACIONES]]=1,SUMIFS(Tabla4[UDS],Tabla4[ZONA DEFINITIVO],Tabla4[[#This Row],[ZONA DEFINITIVO]])," ")</f>
        <v xml:space="preserve"> </v>
      </c>
      <c r="Z1196" s="12" t="str">
        <f>+IF(Tabla4[[#This Row],[AGRUPACIONES]]=1,SUMIFS(Tabla4[TOTAL COBERTURA],Tabla4[ZONA DEFINITIVO],Tabla4[[#This Row],[ZONA DEFINITIVO]])," ")</f>
        <v xml:space="preserve"> </v>
      </c>
      <c r="AA1196" s="12"/>
      <c r="AB1196" s="38">
        <v>34883088</v>
      </c>
      <c r="AC1196" s="37">
        <v>0.02</v>
      </c>
      <c r="AD1196" s="38">
        <f t="shared" si="19"/>
        <v>697661.76</v>
      </c>
      <c r="AE1196" s="12"/>
      <c r="AF1196" s="12">
        <f>COUNTIF($A$20:A1196,A1196)</f>
        <v>33</v>
      </c>
      <c r="AG1196" s="38">
        <v>34883088</v>
      </c>
      <c r="AH1196" s="38">
        <f>Tabla4[[#This Row],[VALOR CONTRAPARTIDA]]+Tabla4[[#This Row],[TOTAL APORTES ICBF]]</f>
        <v>35580749.759999998</v>
      </c>
      <c r="AI1196" s="35"/>
      <c r="AJ1196" s="38"/>
      <c r="AK1196" s="38"/>
      <c r="AL1196" s="23"/>
      <c r="AM1196" s="35">
        <f>VLOOKUP(Tabla4[[#This Row],[SERVICIO 2025]],$J$2:$V$14,5,0)*Tabla4[[#This Row],[TOTAL COBERTURA]]</f>
        <v>790016</v>
      </c>
      <c r="AN1196" s="35">
        <f>VLOOKUP(Tabla4[[#This Row],[SERVICIO 2025]],$J$2:$V$14,6,0)*Tabla4[[#This Row],[TOTAL COBERTURA]]</f>
        <v>656464</v>
      </c>
      <c r="AO1196" s="35">
        <f>VLOOKUP(Tabla4[[#This Row],[SERVICIO 2025]],$J$2:$V$14,8,0)*Tabla4[[#This Row],[TOTAL COBERTURA]]</f>
        <v>465600</v>
      </c>
      <c r="AP1196" s="35">
        <f>VLOOKUP(Tabla4[[#This Row],[SERVICIO 2025]],$J$2:$V$14,3,0)*Tabla4[[#This Row],[TOTAL COBERTURA]]*8</f>
        <v>32971008</v>
      </c>
      <c r="AQ1196" s="35"/>
      <c r="AR1196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196" s="35" t="str">
        <f>+IF(Tabla4[[#This Row],[AGRUPACIONES]]=1,SUMIFS(Tabla4[VALOR TOTAL],Tabla4[ZONA DEFINITIVO],Tabla4[[#This Row],[ZONA DEFINITIVO]])," ")</f>
        <v xml:space="preserve"> </v>
      </c>
      <c r="AT1196" s="27">
        <f>(VLOOKUP(Tabla4[[#This Row],[SERVICIO 2025]],$J$2:$V$14,3,0)*Tabla4[[#This Row],[TOTAL COBERTURA]])+Tabla4[[#This Row],[VALOR FASE PREPARATORIA DE ALISTAMIENTO]]+Tabla4[[#This Row],[DOTACIÓN ÚNICA]]</f>
        <v>5376992</v>
      </c>
      <c r="AU1196" s="35">
        <f>(VLOOKUP(Tabla4[[#This Row],[SERVICIO 2025]],$J$2:$V$14,3,0)*Tabla4[[#This Row],[TOTAL COBERTURA]])</f>
        <v>4121376</v>
      </c>
      <c r="AV1196" s="35">
        <f>(VLOOKUP(Tabla4[[#This Row],[SERVICIO 2025]],$J$2:$V$14,3,0)*Tabla4[[#This Row],[TOTAL COBERTURA]])</f>
        <v>4121376</v>
      </c>
      <c r="AW1196" s="35">
        <f>(VLOOKUP(Tabla4[[#This Row],[SERVICIO 2025]],$J$2:$V$14,3,0)*Tabla4[[#This Row],[TOTAL COBERTURA]])</f>
        <v>4121376</v>
      </c>
      <c r="AX1196" s="35">
        <f>(VLOOKUP(Tabla4[[#This Row],[SERVICIO 2025]],$J$2:$V$14,3,0)*Tabla4[[#This Row],[TOTAL COBERTURA]])</f>
        <v>4121376</v>
      </c>
      <c r="AY1196" s="35">
        <f>(VLOOKUP(Tabla4[[#This Row],[SERVICIO 2025]],$J$2:$V$14,3,0)*Tabla4[[#This Row],[TOTAL COBERTURA]])</f>
        <v>4121376</v>
      </c>
      <c r="AZ1196" s="35">
        <f>(VLOOKUP(Tabla4[[#This Row],[SERVICIO 2025]],$J$2:$V$14,3,0)*Tabla4[[#This Row],[TOTAL COBERTURA]])</f>
        <v>4121376</v>
      </c>
      <c r="BA1196" s="35">
        <f>(VLOOKUP(Tabla4[[#This Row],[SERVICIO 2025]],$J$2:$V$14,3,0)*Tabla4[[#This Row],[TOTAL COBERTURA]])+Tabla4[[#This Row],[VALOR FASE PREPARATORIA DE CIERRE]]</f>
        <v>4777840</v>
      </c>
      <c r="BB1196" s="35">
        <f>SUM(Tabla4[[#This Row],[DESEMBOLSO 1]:[DESEMBOLSO 8]])</f>
        <v>34883088</v>
      </c>
      <c r="BC1196" s="35">
        <f>VLOOKUP(Tabla4[[#This Row],[SERVICIO 2025]],$J$2:$V$14,10,0)*Tabla4[[#This Row],[TOTAL COBERTURA]]*$W$3</f>
        <v>23089024</v>
      </c>
      <c r="BD1196" s="47" t="s">
        <v>211</v>
      </c>
      <c r="BE1196" s="12" t="b">
        <f>EXACT(Tabla4[[#This Row],[VALOR ATENCIÓN (8 MESES)]],Tabla4[[#This Row],[VALOR TOTAL]])</f>
        <v>1</v>
      </c>
      <c r="BF1196" s="23">
        <f>Tabla4[[#This Row],[VALOR ATENCIÓN (8 MESES)]]-Tabla4[[#This Row],[VALOR TOTAL]]</f>
        <v>0</v>
      </c>
      <c r="BG1196" s="12" t="b">
        <f>EXACT(Tabla4[[#This Row],[TOTAL DESEMBOLSOS]],Tabla4[[#This Row],[VALOR ATENCIÓN (8 MESES)]])</f>
        <v>1</v>
      </c>
      <c r="BH1196" s="29">
        <f>Tabla4[[#This Row],[TOTAL DESEMBOLSOS]]-Tabla4[[#This Row],[VALOR ATENCIÓN (8 MESES)]]</f>
        <v>0</v>
      </c>
      <c r="BI1196" t="s">
        <v>98</v>
      </c>
      <c r="BJ1196">
        <v>2014</v>
      </c>
    </row>
    <row r="1197" spans="1:62">
      <c r="A1197" s="13">
        <v>2014</v>
      </c>
      <c r="B1197" s="13" t="s">
        <v>2542</v>
      </c>
      <c r="C1197" s="12" t="s">
        <v>87</v>
      </c>
      <c r="D1197" s="12" t="s">
        <v>462</v>
      </c>
      <c r="E1197" s="12" t="s">
        <v>2499</v>
      </c>
      <c r="F1197" s="12" t="s">
        <v>18</v>
      </c>
      <c r="G1197" s="12" t="s">
        <v>90</v>
      </c>
      <c r="H1197" s="12" t="s">
        <v>2302</v>
      </c>
      <c r="I1197" s="12">
        <v>58371152380</v>
      </c>
      <c r="J1197" s="12" t="s">
        <v>2601</v>
      </c>
      <c r="K1197" s="12">
        <v>1</v>
      </c>
      <c r="L1197" s="12">
        <v>16</v>
      </c>
      <c r="M1197" s="12"/>
      <c r="N1197" s="13">
        <v>2014</v>
      </c>
      <c r="O1197" s="12" t="s">
        <v>93</v>
      </c>
      <c r="P1197" s="12"/>
      <c r="Q1197" s="12"/>
      <c r="R1197" s="12" t="s">
        <v>94</v>
      </c>
      <c r="S1197" s="12">
        <v>10</v>
      </c>
      <c r="T1197" s="12" t="s">
        <v>1062</v>
      </c>
      <c r="U1197" s="12" t="s">
        <v>1063</v>
      </c>
      <c r="V1197" s="12">
        <f>VLOOKUP(Tabla4[[#This Row],[ZONA DEFINITIVO]],Hoja1!$A$1:$D$121,3,0)</f>
        <v>229162</v>
      </c>
      <c r="W1197" s="12">
        <f>VLOOKUP(Tabla4[[#This Row],[ZONA DEFINITIVO]],Hoja1!$A$1:$D$121,2,0)</f>
        <v>15250</v>
      </c>
      <c r="X1197" s="12">
        <f>VLOOKUP(Tabla4[[#This Row],[ZONA DEFINITIVO]],Hoja1!$A$1:$D$121,4,0)</f>
        <v>89325</v>
      </c>
      <c r="Y1197" s="12" t="str">
        <f>+IF(Tabla4[[#This Row],[AGRUPACIONES]]=1,SUMIFS(Tabla4[UDS],Tabla4[ZONA DEFINITIVO],Tabla4[[#This Row],[ZONA DEFINITIVO]])," ")</f>
        <v xml:space="preserve"> </v>
      </c>
      <c r="Z1197" s="12" t="str">
        <f>+IF(Tabla4[[#This Row],[AGRUPACIONES]]=1,SUMIFS(Tabla4[TOTAL COBERTURA],Tabla4[ZONA DEFINITIVO],Tabla4[[#This Row],[ZONA DEFINITIVO]])," ")</f>
        <v xml:space="preserve"> </v>
      </c>
      <c r="AA1197" s="12"/>
      <c r="AB1197" s="38">
        <v>34883088</v>
      </c>
      <c r="AC1197" s="37">
        <v>0.02</v>
      </c>
      <c r="AD1197" s="38">
        <f t="shared" si="19"/>
        <v>697661.76</v>
      </c>
      <c r="AE1197" s="12"/>
      <c r="AF1197" s="12">
        <f>COUNTIF($A$20:A1197,A1197)</f>
        <v>34</v>
      </c>
      <c r="AG1197" s="38">
        <v>34883088</v>
      </c>
      <c r="AH1197" s="38">
        <f>Tabla4[[#This Row],[VALOR CONTRAPARTIDA]]+Tabla4[[#This Row],[TOTAL APORTES ICBF]]</f>
        <v>35580749.759999998</v>
      </c>
      <c r="AI1197" s="35"/>
      <c r="AJ1197" s="38"/>
      <c r="AK1197" s="38"/>
      <c r="AL1197" s="23"/>
      <c r="AM1197" s="35">
        <f>VLOOKUP(Tabla4[[#This Row],[SERVICIO 2025]],$J$2:$V$14,5,0)*Tabla4[[#This Row],[TOTAL COBERTURA]]</f>
        <v>790016</v>
      </c>
      <c r="AN1197" s="35">
        <f>VLOOKUP(Tabla4[[#This Row],[SERVICIO 2025]],$J$2:$V$14,6,0)*Tabla4[[#This Row],[TOTAL COBERTURA]]</f>
        <v>656464</v>
      </c>
      <c r="AO1197" s="35">
        <f>VLOOKUP(Tabla4[[#This Row],[SERVICIO 2025]],$J$2:$V$14,8,0)*Tabla4[[#This Row],[TOTAL COBERTURA]]</f>
        <v>465600</v>
      </c>
      <c r="AP1197" s="35">
        <f>VLOOKUP(Tabla4[[#This Row],[SERVICIO 2025]],$J$2:$V$14,3,0)*Tabla4[[#This Row],[TOTAL COBERTURA]]*8</f>
        <v>32971008</v>
      </c>
      <c r="AQ1197" s="35"/>
      <c r="AR1197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197" s="35" t="str">
        <f>+IF(Tabla4[[#This Row],[AGRUPACIONES]]=1,SUMIFS(Tabla4[VALOR TOTAL],Tabla4[ZONA DEFINITIVO],Tabla4[[#This Row],[ZONA DEFINITIVO]])," ")</f>
        <v xml:space="preserve"> </v>
      </c>
      <c r="AT1197" s="27">
        <f>(VLOOKUP(Tabla4[[#This Row],[SERVICIO 2025]],$J$2:$V$14,3,0)*Tabla4[[#This Row],[TOTAL COBERTURA]])+Tabla4[[#This Row],[VALOR FASE PREPARATORIA DE ALISTAMIENTO]]+Tabla4[[#This Row],[DOTACIÓN ÚNICA]]</f>
        <v>5376992</v>
      </c>
      <c r="AU1197" s="35">
        <f>(VLOOKUP(Tabla4[[#This Row],[SERVICIO 2025]],$J$2:$V$14,3,0)*Tabla4[[#This Row],[TOTAL COBERTURA]])</f>
        <v>4121376</v>
      </c>
      <c r="AV1197" s="35">
        <f>(VLOOKUP(Tabla4[[#This Row],[SERVICIO 2025]],$J$2:$V$14,3,0)*Tabla4[[#This Row],[TOTAL COBERTURA]])</f>
        <v>4121376</v>
      </c>
      <c r="AW1197" s="35">
        <f>(VLOOKUP(Tabla4[[#This Row],[SERVICIO 2025]],$J$2:$V$14,3,0)*Tabla4[[#This Row],[TOTAL COBERTURA]])</f>
        <v>4121376</v>
      </c>
      <c r="AX1197" s="35">
        <f>(VLOOKUP(Tabla4[[#This Row],[SERVICIO 2025]],$J$2:$V$14,3,0)*Tabla4[[#This Row],[TOTAL COBERTURA]])</f>
        <v>4121376</v>
      </c>
      <c r="AY1197" s="35">
        <f>(VLOOKUP(Tabla4[[#This Row],[SERVICIO 2025]],$J$2:$V$14,3,0)*Tabla4[[#This Row],[TOTAL COBERTURA]])</f>
        <v>4121376</v>
      </c>
      <c r="AZ1197" s="35">
        <f>(VLOOKUP(Tabla4[[#This Row],[SERVICIO 2025]],$J$2:$V$14,3,0)*Tabla4[[#This Row],[TOTAL COBERTURA]])</f>
        <v>4121376</v>
      </c>
      <c r="BA1197" s="35">
        <f>(VLOOKUP(Tabla4[[#This Row],[SERVICIO 2025]],$J$2:$V$14,3,0)*Tabla4[[#This Row],[TOTAL COBERTURA]])+Tabla4[[#This Row],[VALOR FASE PREPARATORIA DE CIERRE]]</f>
        <v>4777840</v>
      </c>
      <c r="BB1197" s="35">
        <f>SUM(Tabla4[[#This Row],[DESEMBOLSO 1]:[DESEMBOLSO 8]])</f>
        <v>34883088</v>
      </c>
      <c r="BC1197" s="35">
        <f>VLOOKUP(Tabla4[[#This Row],[SERVICIO 2025]],$J$2:$V$14,10,0)*Tabla4[[#This Row],[TOTAL COBERTURA]]*$W$3</f>
        <v>23089024</v>
      </c>
      <c r="BD1197" s="47" t="s">
        <v>211</v>
      </c>
      <c r="BE1197" s="12" t="b">
        <f>EXACT(Tabla4[[#This Row],[VALOR ATENCIÓN (8 MESES)]],Tabla4[[#This Row],[VALOR TOTAL]])</f>
        <v>1</v>
      </c>
      <c r="BF1197" s="23">
        <f>Tabla4[[#This Row],[VALOR ATENCIÓN (8 MESES)]]-Tabla4[[#This Row],[VALOR TOTAL]]</f>
        <v>0</v>
      </c>
      <c r="BG1197" s="12" t="b">
        <f>EXACT(Tabla4[[#This Row],[TOTAL DESEMBOLSOS]],Tabla4[[#This Row],[VALOR ATENCIÓN (8 MESES)]])</f>
        <v>1</v>
      </c>
      <c r="BH1197" s="29">
        <f>Tabla4[[#This Row],[TOTAL DESEMBOLSOS]]-Tabla4[[#This Row],[VALOR ATENCIÓN (8 MESES)]]</f>
        <v>0</v>
      </c>
      <c r="BI1197" t="s">
        <v>98</v>
      </c>
      <c r="BJ1197">
        <v>2014</v>
      </c>
    </row>
    <row r="1198" spans="1:62">
      <c r="A1198" s="13">
        <v>2014</v>
      </c>
      <c r="B1198" s="13" t="s">
        <v>2542</v>
      </c>
      <c r="C1198" s="12" t="s">
        <v>87</v>
      </c>
      <c r="D1198" s="12" t="s">
        <v>462</v>
      </c>
      <c r="E1198" s="12" t="s">
        <v>2499</v>
      </c>
      <c r="F1198" s="12" t="s">
        <v>18</v>
      </c>
      <c r="G1198" s="12" t="s">
        <v>90</v>
      </c>
      <c r="H1198" s="12" t="s">
        <v>2602</v>
      </c>
      <c r="I1198" s="12">
        <v>58371152381</v>
      </c>
      <c r="J1198" s="12" t="s">
        <v>2603</v>
      </c>
      <c r="K1198" s="12">
        <v>1</v>
      </c>
      <c r="L1198" s="12">
        <v>16</v>
      </c>
      <c r="M1198" s="12"/>
      <c r="N1198" s="13">
        <v>2014</v>
      </c>
      <c r="O1198" s="12" t="s">
        <v>93</v>
      </c>
      <c r="P1198" s="12"/>
      <c r="Q1198" s="12"/>
      <c r="R1198" s="12" t="s">
        <v>94</v>
      </c>
      <c r="S1198" s="12">
        <v>10</v>
      </c>
      <c r="T1198" s="12" t="s">
        <v>1062</v>
      </c>
      <c r="U1198" s="12" t="s">
        <v>1063</v>
      </c>
      <c r="V1198" s="12">
        <f>VLOOKUP(Tabla4[[#This Row],[ZONA DEFINITIVO]],Hoja1!$A$1:$D$121,3,0)</f>
        <v>229162</v>
      </c>
      <c r="W1198" s="12">
        <f>VLOOKUP(Tabla4[[#This Row],[ZONA DEFINITIVO]],Hoja1!$A$1:$D$121,2,0)</f>
        <v>15250</v>
      </c>
      <c r="X1198" s="12">
        <f>VLOOKUP(Tabla4[[#This Row],[ZONA DEFINITIVO]],Hoja1!$A$1:$D$121,4,0)</f>
        <v>89325</v>
      </c>
      <c r="Y1198" s="12" t="str">
        <f>+IF(Tabla4[[#This Row],[AGRUPACIONES]]=1,SUMIFS(Tabla4[UDS],Tabla4[ZONA DEFINITIVO],Tabla4[[#This Row],[ZONA DEFINITIVO]])," ")</f>
        <v xml:space="preserve"> </v>
      </c>
      <c r="Z1198" s="12" t="str">
        <f>+IF(Tabla4[[#This Row],[AGRUPACIONES]]=1,SUMIFS(Tabla4[TOTAL COBERTURA],Tabla4[ZONA DEFINITIVO],Tabla4[[#This Row],[ZONA DEFINITIVO]])," ")</f>
        <v xml:space="preserve"> </v>
      </c>
      <c r="AA1198" s="12"/>
      <c r="AB1198" s="38">
        <v>34883088</v>
      </c>
      <c r="AC1198" s="37">
        <v>0.02</v>
      </c>
      <c r="AD1198" s="38">
        <f t="shared" si="19"/>
        <v>697661.76</v>
      </c>
      <c r="AE1198" s="12"/>
      <c r="AF1198" s="12">
        <f>COUNTIF($A$20:A1198,A1198)</f>
        <v>35</v>
      </c>
      <c r="AG1198" s="38">
        <v>34883088</v>
      </c>
      <c r="AH1198" s="38">
        <f>Tabla4[[#This Row],[VALOR CONTRAPARTIDA]]+Tabla4[[#This Row],[TOTAL APORTES ICBF]]</f>
        <v>35580749.759999998</v>
      </c>
      <c r="AI1198" s="35"/>
      <c r="AJ1198" s="38"/>
      <c r="AK1198" s="38"/>
      <c r="AL1198" s="23"/>
      <c r="AM1198" s="35">
        <f>VLOOKUP(Tabla4[[#This Row],[SERVICIO 2025]],$J$2:$V$14,5,0)*Tabla4[[#This Row],[TOTAL COBERTURA]]</f>
        <v>790016</v>
      </c>
      <c r="AN1198" s="35">
        <f>VLOOKUP(Tabla4[[#This Row],[SERVICIO 2025]],$J$2:$V$14,6,0)*Tabla4[[#This Row],[TOTAL COBERTURA]]</f>
        <v>656464</v>
      </c>
      <c r="AO1198" s="35">
        <f>VLOOKUP(Tabla4[[#This Row],[SERVICIO 2025]],$J$2:$V$14,8,0)*Tabla4[[#This Row],[TOTAL COBERTURA]]</f>
        <v>465600</v>
      </c>
      <c r="AP1198" s="35">
        <f>VLOOKUP(Tabla4[[#This Row],[SERVICIO 2025]],$J$2:$V$14,3,0)*Tabla4[[#This Row],[TOTAL COBERTURA]]*8</f>
        <v>32971008</v>
      </c>
      <c r="AQ1198" s="35"/>
      <c r="AR1198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198" s="35" t="str">
        <f>+IF(Tabla4[[#This Row],[AGRUPACIONES]]=1,SUMIFS(Tabla4[VALOR TOTAL],Tabla4[ZONA DEFINITIVO],Tabla4[[#This Row],[ZONA DEFINITIVO]])," ")</f>
        <v xml:space="preserve"> </v>
      </c>
      <c r="AT1198" s="27">
        <f>(VLOOKUP(Tabla4[[#This Row],[SERVICIO 2025]],$J$2:$V$14,3,0)*Tabla4[[#This Row],[TOTAL COBERTURA]])+Tabla4[[#This Row],[VALOR FASE PREPARATORIA DE ALISTAMIENTO]]+Tabla4[[#This Row],[DOTACIÓN ÚNICA]]</f>
        <v>5376992</v>
      </c>
      <c r="AU1198" s="35">
        <f>(VLOOKUP(Tabla4[[#This Row],[SERVICIO 2025]],$J$2:$V$14,3,0)*Tabla4[[#This Row],[TOTAL COBERTURA]])</f>
        <v>4121376</v>
      </c>
      <c r="AV1198" s="35">
        <f>(VLOOKUP(Tabla4[[#This Row],[SERVICIO 2025]],$J$2:$V$14,3,0)*Tabla4[[#This Row],[TOTAL COBERTURA]])</f>
        <v>4121376</v>
      </c>
      <c r="AW1198" s="35">
        <f>(VLOOKUP(Tabla4[[#This Row],[SERVICIO 2025]],$J$2:$V$14,3,0)*Tabla4[[#This Row],[TOTAL COBERTURA]])</f>
        <v>4121376</v>
      </c>
      <c r="AX1198" s="35">
        <f>(VLOOKUP(Tabla4[[#This Row],[SERVICIO 2025]],$J$2:$V$14,3,0)*Tabla4[[#This Row],[TOTAL COBERTURA]])</f>
        <v>4121376</v>
      </c>
      <c r="AY1198" s="35">
        <f>(VLOOKUP(Tabla4[[#This Row],[SERVICIO 2025]],$J$2:$V$14,3,0)*Tabla4[[#This Row],[TOTAL COBERTURA]])</f>
        <v>4121376</v>
      </c>
      <c r="AZ1198" s="35">
        <f>(VLOOKUP(Tabla4[[#This Row],[SERVICIO 2025]],$J$2:$V$14,3,0)*Tabla4[[#This Row],[TOTAL COBERTURA]])</f>
        <v>4121376</v>
      </c>
      <c r="BA1198" s="35">
        <f>(VLOOKUP(Tabla4[[#This Row],[SERVICIO 2025]],$J$2:$V$14,3,0)*Tabla4[[#This Row],[TOTAL COBERTURA]])+Tabla4[[#This Row],[VALOR FASE PREPARATORIA DE CIERRE]]</f>
        <v>4777840</v>
      </c>
      <c r="BB1198" s="35">
        <f>SUM(Tabla4[[#This Row],[DESEMBOLSO 1]:[DESEMBOLSO 8]])</f>
        <v>34883088</v>
      </c>
      <c r="BC1198" s="35">
        <f>VLOOKUP(Tabla4[[#This Row],[SERVICIO 2025]],$J$2:$V$14,10,0)*Tabla4[[#This Row],[TOTAL COBERTURA]]*$W$3</f>
        <v>23089024</v>
      </c>
      <c r="BD1198" s="47" t="s">
        <v>211</v>
      </c>
      <c r="BE1198" s="12" t="b">
        <f>EXACT(Tabla4[[#This Row],[VALOR ATENCIÓN (8 MESES)]],Tabla4[[#This Row],[VALOR TOTAL]])</f>
        <v>1</v>
      </c>
      <c r="BF1198" s="23">
        <f>Tabla4[[#This Row],[VALOR ATENCIÓN (8 MESES)]]-Tabla4[[#This Row],[VALOR TOTAL]]</f>
        <v>0</v>
      </c>
      <c r="BG1198" s="12" t="b">
        <f>EXACT(Tabla4[[#This Row],[TOTAL DESEMBOLSOS]],Tabla4[[#This Row],[VALOR ATENCIÓN (8 MESES)]])</f>
        <v>1</v>
      </c>
      <c r="BH1198" s="29">
        <f>Tabla4[[#This Row],[TOTAL DESEMBOLSOS]]-Tabla4[[#This Row],[VALOR ATENCIÓN (8 MESES)]]</f>
        <v>0</v>
      </c>
      <c r="BI1198" t="s">
        <v>98</v>
      </c>
      <c r="BJ1198">
        <v>2014</v>
      </c>
    </row>
    <row r="1199" spans="1:62">
      <c r="A1199" s="13">
        <v>2014</v>
      </c>
      <c r="B1199" s="13" t="s">
        <v>2542</v>
      </c>
      <c r="C1199" s="12" t="s">
        <v>87</v>
      </c>
      <c r="D1199" s="12" t="s">
        <v>462</v>
      </c>
      <c r="E1199" s="12" t="s">
        <v>2499</v>
      </c>
      <c r="F1199" s="12" t="s">
        <v>18</v>
      </c>
      <c r="G1199" s="12" t="s">
        <v>90</v>
      </c>
      <c r="H1199" s="12" t="s">
        <v>2604</v>
      </c>
      <c r="I1199" s="12">
        <v>58371152382</v>
      </c>
      <c r="J1199" s="12" t="s">
        <v>2605</v>
      </c>
      <c r="K1199" s="12">
        <v>1</v>
      </c>
      <c r="L1199" s="12">
        <v>16</v>
      </c>
      <c r="M1199" s="12"/>
      <c r="N1199" s="13">
        <v>2014</v>
      </c>
      <c r="O1199" s="12" t="s">
        <v>93</v>
      </c>
      <c r="P1199" s="12"/>
      <c r="Q1199" s="12"/>
      <c r="R1199" s="12" t="s">
        <v>94</v>
      </c>
      <c r="S1199" s="12">
        <v>10</v>
      </c>
      <c r="T1199" s="12" t="s">
        <v>1062</v>
      </c>
      <c r="U1199" s="12" t="s">
        <v>1063</v>
      </c>
      <c r="V1199" s="12">
        <f>VLOOKUP(Tabla4[[#This Row],[ZONA DEFINITIVO]],Hoja1!$A$1:$D$121,3,0)</f>
        <v>229162</v>
      </c>
      <c r="W1199" s="12">
        <f>VLOOKUP(Tabla4[[#This Row],[ZONA DEFINITIVO]],Hoja1!$A$1:$D$121,2,0)</f>
        <v>15250</v>
      </c>
      <c r="X1199" s="12">
        <f>VLOOKUP(Tabla4[[#This Row],[ZONA DEFINITIVO]],Hoja1!$A$1:$D$121,4,0)</f>
        <v>89325</v>
      </c>
      <c r="Y1199" s="12" t="str">
        <f>+IF(Tabla4[[#This Row],[AGRUPACIONES]]=1,SUMIFS(Tabla4[UDS],Tabla4[ZONA DEFINITIVO],Tabla4[[#This Row],[ZONA DEFINITIVO]])," ")</f>
        <v xml:space="preserve"> </v>
      </c>
      <c r="Z1199" s="12" t="str">
        <f>+IF(Tabla4[[#This Row],[AGRUPACIONES]]=1,SUMIFS(Tabla4[TOTAL COBERTURA],Tabla4[ZONA DEFINITIVO],Tabla4[[#This Row],[ZONA DEFINITIVO]])," ")</f>
        <v xml:space="preserve"> </v>
      </c>
      <c r="AA1199" s="12"/>
      <c r="AB1199" s="38">
        <v>34883088</v>
      </c>
      <c r="AC1199" s="37">
        <v>0.02</v>
      </c>
      <c r="AD1199" s="38">
        <f t="shared" si="19"/>
        <v>697661.76</v>
      </c>
      <c r="AE1199" s="12"/>
      <c r="AF1199" s="12">
        <f>COUNTIF($A$20:A1199,A1199)</f>
        <v>36</v>
      </c>
      <c r="AG1199" s="38">
        <v>34883088</v>
      </c>
      <c r="AH1199" s="38">
        <f>Tabla4[[#This Row],[VALOR CONTRAPARTIDA]]+Tabla4[[#This Row],[TOTAL APORTES ICBF]]</f>
        <v>35580749.759999998</v>
      </c>
      <c r="AI1199" s="35"/>
      <c r="AJ1199" s="38"/>
      <c r="AK1199" s="38"/>
      <c r="AL1199" s="23"/>
      <c r="AM1199" s="35">
        <f>VLOOKUP(Tabla4[[#This Row],[SERVICIO 2025]],$J$2:$V$14,5,0)*Tabla4[[#This Row],[TOTAL COBERTURA]]</f>
        <v>790016</v>
      </c>
      <c r="AN1199" s="35">
        <f>VLOOKUP(Tabla4[[#This Row],[SERVICIO 2025]],$J$2:$V$14,6,0)*Tabla4[[#This Row],[TOTAL COBERTURA]]</f>
        <v>656464</v>
      </c>
      <c r="AO1199" s="35">
        <f>VLOOKUP(Tabla4[[#This Row],[SERVICIO 2025]],$J$2:$V$14,8,0)*Tabla4[[#This Row],[TOTAL COBERTURA]]</f>
        <v>465600</v>
      </c>
      <c r="AP1199" s="35">
        <f>VLOOKUP(Tabla4[[#This Row],[SERVICIO 2025]],$J$2:$V$14,3,0)*Tabla4[[#This Row],[TOTAL COBERTURA]]*8</f>
        <v>32971008</v>
      </c>
      <c r="AQ1199" s="35"/>
      <c r="AR1199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199" s="35" t="str">
        <f>+IF(Tabla4[[#This Row],[AGRUPACIONES]]=1,SUMIFS(Tabla4[VALOR TOTAL],Tabla4[ZONA DEFINITIVO],Tabla4[[#This Row],[ZONA DEFINITIVO]])," ")</f>
        <v xml:space="preserve"> </v>
      </c>
      <c r="AT1199" s="27">
        <f>(VLOOKUP(Tabla4[[#This Row],[SERVICIO 2025]],$J$2:$V$14,3,0)*Tabla4[[#This Row],[TOTAL COBERTURA]])+Tabla4[[#This Row],[VALOR FASE PREPARATORIA DE ALISTAMIENTO]]+Tabla4[[#This Row],[DOTACIÓN ÚNICA]]</f>
        <v>5376992</v>
      </c>
      <c r="AU1199" s="35">
        <f>(VLOOKUP(Tabla4[[#This Row],[SERVICIO 2025]],$J$2:$V$14,3,0)*Tabla4[[#This Row],[TOTAL COBERTURA]])</f>
        <v>4121376</v>
      </c>
      <c r="AV1199" s="35">
        <f>(VLOOKUP(Tabla4[[#This Row],[SERVICIO 2025]],$J$2:$V$14,3,0)*Tabla4[[#This Row],[TOTAL COBERTURA]])</f>
        <v>4121376</v>
      </c>
      <c r="AW1199" s="35">
        <f>(VLOOKUP(Tabla4[[#This Row],[SERVICIO 2025]],$J$2:$V$14,3,0)*Tabla4[[#This Row],[TOTAL COBERTURA]])</f>
        <v>4121376</v>
      </c>
      <c r="AX1199" s="35">
        <f>(VLOOKUP(Tabla4[[#This Row],[SERVICIO 2025]],$J$2:$V$14,3,0)*Tabla4[[#This Row],[TOTAL COBERTURA]])</f>
        <v>4121376</v>
      </c>
      <c r="AY1199" s="35">
        <f>(VLOOKUP(Tabla4[[#This Row],[SERVICIO 2025]],$J$2:$V$14,3,0)*Tabla4[[#This Row],[TOTAL COBERTURA]])</f>
        <v>4121376</v>
      </c>
      <c r="AZ1199" s="35">
        <f>(VLOOKUP(Tabla4[[#This Row],[SERVICIO 2025]],$J$2:$V$14,3,0)*Tabla4[[#This Row],[TOTAL COBERTURA]])</f>
        <v>4121376</v>
      </c>
      <c r="BA1199" s="35">
        <f>(VLOOKUP(Tabla4[[#This Row],[SERVICIO 2025]],$J$2:$V$14,3,0)*Tabla4[[#This Row],[TOTAL COBERTURA]])+Tabla4[[#This Row],[VALOR FASE PREPARATORIA DE CIERRE]]</f>
        <v>4777840</v>
      </c>
      <c r="BB1199" s="35">
        <f>SUM(Tabla4[[#This Row],[DESEMBOLSO 1]:[DESEMBOLSO 8]])</f>
        <v>34883088</v>
      </c>
      <c r="BC1199" s="35">
        <f>VLOOKUP(Tabla4[[#This Row],[SERVICIO 2025]],$J$2:$V$14,10,0)*Tabla4[[#This Row],[TOTAL COBERTURA]]*$W$3</f>
        <v>23089024</v>
      </c>
      <c r="BD1199" s="47" t="s">
        <v>211</v>
      </c>
      <c r="BE1199" s="12" t="b">
        <f>EXACT(Tabla4[[#This Row],[VALOR ATENCIÓN (8 MESES)]],Tabla4[[#This Row],[VALOR TOTAL]])</f>
        <v>1</v>
      </c>
      <c r="BF1199" s="23">
        <f>Tabla4[[#This Row],[VALOR ATENCIÓN (8 MESES)]]-Tabla4[[#This Row],[VALOR TOTAL]]</f>
        <v>0</v>
      </c>
      <c r="BG1199" s="12" t="b">
        <f>EXACT(Tabla4[[#This Row],[TOTAL DESEMBOLSOS]],Tabla4[[#This Row],[VALOR ATENCIÓN (8 MESES)]])</f>
        <v>1</v>
      </c>
      <c r="BH1199" s="29">
        <f>Tabla4[[#This Row],[TOTAL DESEMBOLSOS]]-Tabla4[[#This Row],[VALOR ATENCIÓN (8 MESES)]]</f>
        <v>0</v>
      </c>
      <c r="BI1199" t="s">
        <v>98</v>
      </c>
      <c r="BJ1199">
        <v>2014</v>
      </c>
    </row>
    <row r="1200" spans="1:62">
      <c r="A1200" s="13">
        <v>2014</v>
      </c>
      <c r="B1200" s="13" t="s">
        <v>2542</v>
      </c>
      <c r="C1200" s="12" t="s">
        <v>87</v>
      </c>
      <c r="D1200" s="12" t="s">
        <v>462</v>
      </c>
      <c r="E1200" s="12" t="s">
        <v>2499</v>
      </c>
      <c r="F1200" s="12" t="s">
        <v>18</v>
      </c>
      <c r="G1200" s="12" t="s">
        <v>90</v>
      </c>
      <c r="H1200" s="12" t="s">
        <v>2525</v>
      </c>
      <c r="I1200" s="12">
        <v>58371152383</v>
      </c>
      <c r="J1200" s="12" t="s">
        <v>1622</v>
      </c>
      <c r="K1200" s="12">
        <v>1</v>
      </c>
      <c r="L1200" s="12">
        <v>16</v>
      </c>
      <c r="M1200" s="12"/>
      <c r="N1200" s="13">
        <v>2014</v>
      </c>
      <c r="O1200" s="12" t="s">
        <v>93</v>
      </c>
      <c r="P1200" s="12"/>
      <c r="Q1200" s="12"/>
      <c r="R1200" s="12" t="s">
        <v>94</v>
      </c>
      <c r="S1200" s="12">
        <v>10</v>
      </c>
      <c r="T1200" s="12" t="s">
        <v>1062</v>
      </c>
      <c r="U1200" s="12" t="s">
        <v>1063</v>
      </c>
      <c r="V1200" s="12">
        <f>VLOOKUP(Tabla4[[#This Row],[ZONA DEFINITIVO]],Hoja1!$A$1:$D$121,3,0)</f>
        <v>229162</v>
      </c>
      <c r="W1200" s="12">
        <f>VLOOKUP(Tabla4[[#This Row],[ZONA DEFINITIVO]],Hoja1!$A$1:$D$121,2,0)</f>
        <v>15250</v>
      </c>
      <c r="X1200" s="12">
        <f>VLOOKUP(Tabla4[[#This Row],[ZONA DEFINITIVO]],Hoja1!$A$1:$D$121,4,0)</f>
        <v>89325</v>
      </c>
      <c r="Y1200" s="12" t="str">
        <f>+IF(Tabla4[[#This Row],[AGRUPACIONES]]=1,SUMIFS(Tabla4[UDS],Tabla4[ZONA DEFINITIVO],Tabla4[[#This Row],[ZONA DEFINITIVO]])," ")</f>
        <v xml:space="preserve"> </v>
      </c>
      <c r="Z1200" s="12" t="str">
        <f>+IF(Tabla4[[#This Row],[AGRUPACIONES]]=1,SUMIFS(Tabla4[TOTAL COBERTURA],Tabla4[ZONA DEFINITIVO],Tabla4[[#This Row],[ZONA DEFINITIVO]])," ")</f>
        <v xml:space="preserve"> </v>
      </c>
      <c r="AA1200" s="12"/>
      <c r="AB1200" s="38">
        <v>34883088</v>
      </c>
      <c r="AC1200" s="37">
        <v>0.02</v>
      </c>
      <c r="AD1200" s="38">
        <f t="shared" si="19"/>
        <v>697661.76</v>
      </c>
      <c r="AE1200" s="12"/>
      <c r="AF1200" s="12">
        <f>COUNTIF($A$20:A1200,A1200)</f>
        <v>37</v>
      </c>
      <c r="AG1200" s="38">
        <v>34883088</v>
      </c>
      <c r="AH1200" s="38">
        <f>Tabla4[[#This Row],[VALOR CONTRAPARTIDA]]+Tabla4[[#This Row],[TOTAL APORTES ICBF]]</f>
        <v>35580749.759999998</v>
      </c>
      <c r="AI1200" s="35"/>
      <c r="AJ1200" s="38"/>
      <c r="AK1200" s="38"/>
      <c r="AL1200" s="23"/>
      <c r="AM1200" s="35">
        <f>VLOOKUP(Tabla4[[#This Row],[SERVICIO 2025]],$J$2:$V$14,5,0)*Tabla4[[#This Row],[TOTAL COBERTURA]]</f>
        <v>790016</v>
      </c>
      <c r="AN1200" s="35">
        <f>VLOOKUP(Tabla4[[#This Row],[SERVICIO 2025]],$J$2:$V$14,6,0)*Tabla4[[#This Row],[TOTAL COBERTURA]]</f>
        <v>656464</v>
      </c>
      <c r="AO1200" s="35">
        <f>VLOOKUP(Tabla4[[#This Row],[SERVICIO 2025]],$J$2:$V$14,8,0)*Tabla4[[#This Row],[TOTAL COBERTURA]]</f>
        <v>465600</v>
      </c>
      <c r="AP1200" s="35">
        <f>VLOOKUP(Tabla4[[#This Row],[SERVICIO 2025]],$J$2:$V$14,3,0)*Tabla4[[#This Row],[TOTAL COBERTURA]]*8</f>
        <v>32971008</v>
      </c>
      <c r="AQ1200" s="35"/>
      <c r="AR1200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200" s="35" t="str">
        <f>+IF(Tabla4[[#This Row],[AGRUPACIONES]]=1,SUMIFS(Tabla4[VALOR TOTAL],Tabla4[ZONA DEFINITIVO],Tabla4[[#This Row],[ZONA DEFINITIVO]])," ")</f>
        <v xml:space="preserve"> </v>
      </c>
      <c r="AT1200" s="27">
        <f>(VLOOKUP(Tabla4[[#This Row],[SERVICIO 2025]],$J$2:$V$14,3,0)*Tabla4[[#This Row],[TOTAL COBERTURA]])+Tabla4[[#This Row],[VALOR FASE PREPARATORIA DE ALISTAMIENTO]]+Tabla4[[#This Row],[DOTACIÓN ÚNICA]]</f>
        <v>5376992</v>
      </c>
      <c r="AU1200" s="35">
        <f>(VLOOKUP(Tabla4[[#This Row],[SERVICIO 2025]],$J$2:$V$14,3,0)*Tabla4[[#This Row],[TOTAL COBERTURA]])</f>
        <v>4121376</v>
      </c>
      <c r="AV1200" s="35">
        <f>(VLOOKUP(Tabla4[[#This Row],[SERVICIO 2025]],$J$2:$V$14,3,0)*Tabla4[[#This Row],[TOTAL COBERTURA]])</f>
        <v>4121376</v>
      </c>
      <c r="AW1200" s="35">
        <f>(VLOOKUP(Tabla4[[#This Row],[SERVICIO 2025]],$J$2:$V$14,3,0)*Tabla4[[#This Row],[TOTAL COBERTURA]])</f>
        <v>4121376</v>
      </c>
      <c r="AX1200" s="35">
        <f>(VLOOKUP(Tabla4[[#This Row],[SERVICIO 2025]],$J$2:$V$14,3,0)*Tabla4[[#This Row],[TOTAL COBERTURA]])</f>
        <v>4121376</v>
      </c>
      <c r="AY1200" s="35">
        <f>(VLOOKUP(Tabla4[[#This Row],[SERVICIO 2025]],$J$2:$V$14,3,0)*Tabla4[[#This Row],[TOTAL COBERTURA]])</f>
        <v>4121376</v>
      </c>
      <c r="AZ1200" s="35">
        <f>(VLOOKUP(Tabla4[[#This Row],[SERVICIO 2025]],$J$2:$V$14,3,0)*Tabla4[[#This Row],[TOTAL COBERTURA]])</f>
        <v>4121376</v>
      </c>
      <c r="BA1200" s="35">
        <f>(VLOOKUP(Tabla4[[#This Row],[SERVICIO 2025]],$J$2:$V$14,3,0)*Tabla4[[#This Row],[TOTAL COBERTURA]])+Tabla4[[#This Row],[VALOR FASE PREPARATORIA DE CIERRE]]</f>
        <v>4777840</v>
      </c>
      <c r="BB1200" s="35">
        <f>SUM(Tabla4[[#This Row],[DESEMBOLSO 1]:[DESEMBOLSO 8]])</f>
        <v>34883088</v>
      </c>
      <c r="BC1200" s="35">
        <f>VLOOKUP(Tabla4[[#This Row],[SERVICIO 2025]],$J$2:$V$14,10,0)*Tabla4[[#This Row],[TOTAL COBERTURA]]*$W$3</f>
        <v>23089024</v>
      </c>
      <c r="BD1200" s="47" t="s">
        <v>211</v>
      </c>
      <c r="BE1200" s="12" t="b">
        <f>EXACT(Tabla4[[#This Row],[VALOR ATENCIÓN (8 MESES)]],Tabla4[[#This Row],[VALOR TOTAL]])</f>
        <v>1</v>
      </c>
      <c r="BF1200" s="23">
        <f>Tabla4[[#This Row],[VALOR ATENCIÓN (8 MESES)]]-Tabla4[[#This Row],[VALOR TOTAL]]</f>
        <v>0</v>
      </c>
      <c r="BG1200" s="12" t="b">
        <f>EXACT(Tabla4[[#This Row],[TOTAL DESEMBOLSOS]],Tabla4[[#This Row],[VALOR ATENCIÓN (8 MESES)]])</f>
        <v>1</v>
      </c>
      <c r="BH1200" s="29">
        <f>Tabla4[[#This Row],[TOTAL DESEMBOLSOS]]-Tabla4[[#This Row],[VALOR ATENCIÓN (8 MESES)]]</f>
        <v>0</v>
      </c>
      <c r="BI1200" t="s">
        <v>98</v>
      </c>
      <c r="BJ1200">
        <v>2014</v>
      </c>
    </row>
    <row r="1201" spans="1:62">
      <c r="A1201" s="13">
        <v>2014</v>
      </c>
      <c r="B1201" s="13" t="s">
        <v>2542</v>
      </c>
      <c r="C1201" s="12" t="s">
        <v>87</v>
      </c>
      <c r="D1201" s="12" t="s">
        <v>462</v>
      </c>
      <c r="E1201" s="12" t="s">
        <v>2499</v>
      </c>
      <c r="F1201" s="12" t="s">
        <v>18</v>
      </c>
      <c r="G1201" s="12" t="s">
        <v>90</v>
      </c>
      <c r="H1201" s="12" t="s">
        <v>2606</v>
      </c>
      <c r="I1201" s="12">
        <v>58371153417</v>
      </c>
      <c r="J1201" s="12" t="s">
        <v>2607</v>
      </c>
      <c r="K1201" s="12">
        <v>1</v>
      </c>
      <c r="L1201" s="12">
        <v>33</v>
      </c>
      <c r="M1201" s="12"/>
      <c r="N1201" s="13">
        <v>2014</v>
      </c>
      <c r="O1201" s="12" t="s">
        <v>93</v>
      </c>
      <c r="P1201" s="12"/>
      <c r="Q1201" s="12"/>
      <c r="R1201" s="12" t="s">
        <v>94</v>
      </c>
      <c r="S1201" s="12">
        <v>10</v>
      </c>
      <c r="T1201" s="12" t="s">
        <v>1062</v>
      </c>
      <c r="U1201" s="12" t="s">
        <v>1063</v>
      </c>
      <c r="V1201" s="12">
        <f>VLOOKUP(Tabla4[[#This Row],[ZONA DEFINITIVO]],Hoja1!$A$1:$D$121,3,0)</f>
        <v>229162</v>
      </c>
      <c r="W1201" s="12">
        <f>VLOOKUP(Tabla4[[#This Row],[ZONA DEFINITIVO]],Hoja1!$A$1:$D$121,2,0)</f>
        <v>15250</v>
      </c>
      <c r="X1201" s="12">
        <f>VLOOKUP(Tabla4[[#This Row],[ZONA DEFINITIVO]],Hoja1!$A$1:$D$121,4,0)</f>
        <v>89325</v>
      </c>
      <c r="Y1201" s="12" t="str">
        <f>+IF(Tabla4[[#This Row],[AGRUPACIONES]]=1,SUMIFS(Tabla4[UDS],Tabla4[ZONA DEFINITIVO],Tabla4[[#This Row],[ZONA DEFINITIVO]])," ")</f>
        <v xml:space="preserve"> </v>
      </c>
      <c r="Z1201" s="12" t="str">
        <f>+IF(Tabla4[[#This Row],[AGRUPACIONES]]=1,SUMIFS(Tabla4[TOTAL COBERTURA],Tabla4[ZONA DEFINITIVO],Tabla4[[#This Row],[ZONA DEFINITIVO]])," ")</f>
        <v xml:space="preserve"> </v>
      </c>
      <c r="AA1201" s="12"/>
      <c r="AB1201" s="38">
        <v>71946369</v>
      </c>
      <c r="AC1201" s="37">
        <v>0.02</v>
      </c>
      <c r="AD1201" s="38">
        <f t="shared" si="19"/>
        <v>1438927.3800000001</v>
      </c>
      <c r="AE1201" s="12"/>
      <c r="AF1201" s="12">
        <f>COUNTIF($A$20:A1201,A1201)</f>
        <v>38</v>
      </c>
      <c r="AG1201" s="38">
        <v>71946369</v>
      </c>
      <c r="AH1201" s="38">
        <f>Tabla4[[#This Row],[VALOR CONTRAPARTIDA]]+Tabla4[[#This Row],[TOTAL APORTES ICBF]]</f>
        <v>73385296.379999995</v>
      </c>
      <c r="AI1201" s="35"/>
      <c r="AJ1201" s="38"/>
      <c r="AK1201" s="38"/>
      <c r="AL1201" s="23"/>
      <c r="AM1201" s="35">
        <f>VLOOKUP(Tabla4[[#This Row],[SERVICIO 2025]],$J$2:$V$14,5,0)*Tabla4[[#This Row],[TOTAL COBERTURA]]</f>
        <v>1629408</v>
      </c>
      <c r="AN1201" s="35">
        <f>VLOOKUP(Tabla4[[#This Row],[SERVICIO 2025]],$J$2:$V$14,6,0)*Tabla4[[#This Row],[TOTAL COBERTURA]]</f>
        <v>1353957</v>
      </c>
      <c r="AO1201" s="35">
        <f>VLOOKUP(Tabla4[[#This Row],[SERVICIO 2025]],$J$2:$V$14,8,0)*Tabla4[[#This Row],[TOTAL COBERTURA]]</f>
        <v>960300</v>
      </c>
      <c r="AP1201" s="35">
        <f>VLOOKUP(Tabla4[[#This Row],[SERVICIO 2025]],$J$2:$V$14,3,0)*Tabla4[[#This Row],[TOTAL COBERTURA]]*8</f>
        <v>68002704</v>
      </c>
      <c r="AQ1201" s="35"/>
      <c r="AR1201" s="35">
        <f>Tabla4[[#This Row],[VALOR FASE PREPARATORIA DE ALISTAMIENTO]]+Tabla4[[#This Row],[VALOR FASE PREPARATORIA DE CIERRE]]+Tabla4[[#This Row],[DOTACIÓN ÚNICA]]+Tabla4[[#This Row],[VALOR ATENCIÓN]]+Tabla4[[#This Row],[VALOR RACION PREPARADA]]</f>
        <v>71946369</v>
      </c>
      <c r="AS1201" s="35" t="str">
        <f>+IF(Tabla4[[#This Row],[AGRUPACIONES]]=1,SUMIFS(Tabla4[VALOR TOTAL],Tabla4[ZONA DEFINITIVO],Tabla4[[#This Row],[ZONA DEFINITIVO]])," ")</f>
        <v xml:space="preserve"> </v>
      </c>
      <c r="AT1201" s="27">
        <f>(VLOOKUP(Tabla4[[#This Row],[SERVICIO 2025]],$J$2:$V$14,3,0)*Tabla4[[#This Row],[TOTAL COBERTURA]])+Tabla4[[#This Row],[VALOR FASE PREPARATORIA DE ALISTAMIENTO]]+Tabla4[[#This Row],[DOTACIÓN ÚNICA]]</f>
        <v>11090046</v>
      </c>
      <c r="AU1201" s="35">
        <f>(VLOOKUP(Tabla4[[#This Row],[SERVICIO 2025]],$J$2:$V$14,3,0)*Tabla4[[#This Row],[TOTAL COBERTURA]])</f>
        <v>8500338</v>
      </c>
      <c r="AV1201" s="35">
        <f>(VLOOKUP(Tabla4[[#This Row],[SERVICIO 2025]],$J$2:$V$14,3,0)*Tabla4[[#This Row],[TOTAL COBERTURA]])</f>
        <v>8500338</v>
      </c>
      <c r="AW1201" s="35">
        <f>(VLOOKUP(Tabla4[[#This Row],[SERVICIO 2025]],$J$2:$V$14,3,0)*Tabla4[[#This Row],[TOTAL COBERTURA]])</f>
        <v>8500338</v>
      </c>
      <c r="AX1201" s="35">
        <f>(VLOOKUP(Tabla4[[#This Row],[SERVICIO 2025]],$J$2:$V$14,3,0)*Tabla4[[#This Row],[TOTAL COBERTURA]])</f>
        <v>8500338</v>
      </c>
      <c r="AY1201" s="35">
        <f>(VLOOKUP(Tabla4[[#This Row],[SERVICIO 2025]],$J$2:$V$14,3,0)*Tabla4[[#This Row],[TOTAL COBERTURA]])</f>
        <v>8500338</v>
      </c>
      <c r="AZ1201" s="35">
        <f>(VLOOKUP(Tabla4[[#This Row],[SERVICIO 2025]],$J$2:$V$14,3,0)*Tabla4[[#This Row],[TOTAL COBERTURA]])</f>
        <v>8500338</v>
      </c>
      <c r="BA1201" s="35">
        <f>(VLOOKUP(Tabla4[[#This Row],[SERVICIO 2025]],$J$2:$V$14,3,0)*Tabla4[[#This Row],[TOTAL COBERTURA]])+Tabla4[[#This Row],[VALOR FASE PREPARATORIA DE CIERRE]]</f>
        <v>9854295</v>
      </c>
      <c r="BB1201" s="35">
        <f>SUM(Tabla4[[#This Row],[DESEMBOLSO 1]:[DESEMBOLSO 8]])</f>
        <v>71946369</v>
      </c>
      <c r="BC1201" s="35">
        <f>VLOOKUP(Tabla4[[#This Row],[SERVICIO 2025]],$J$2:$V$14,10,0)*Tabla4[[#This Row],[TOTAL COBERTURA]]*$W$3</f>
        <v>47621112</v>
      </c>
      <c r="BD1201" s="47" t="s">
        <v>211</v>
      </c>
      <c r="BE1201" s="12" t="b">
        <f>EXACT(Tabla4[[#This Row],[VALOR ATENCIÓN (8 MESES)]],Tabla4[[#This Row],[VALOR TOTAL]])</f>
        <v>1</v>
      </c>
      <c r="BF1201" s="23">
        <f>Tabla4[[#This Row],[VALOR ATENCIÓN (8 MESES)]]-Tabla4[[#This Row],[VALOR TOTAL]]</f>
        <v>0</v>
      </c>
      <c r="BG1201" s="12" t="b">
        <f>EXACT(Tabla4[[#This Row],[TOTAL DESEMBOLSOS]],Tabla4[[#This Row],[VALOR ATENCIÓN (8 MESES)]])</f>
        <v>1</v>
      </c>
      <c r="BH1201" s="29">
        <f>Tabla4[[#This Row],[TOTAL DESEMBOLSOS]]-Tabla4[[#This Row],[VALOR ATENCIÓN (8 MESES)]]</f>
        <v>0</v>
      </c>
      <c r="BI1201" t="s">
        <v>98</v>
      </c>
      <c r="BJ1201">
        <v>2014</v>
      </c>
    </row>
    <row r="1202" spans="1:62">
      <c r="A1202" s="13">
        <v>2014</v>
      </c>
      <c r="B1202" s="13" t="s">
        <v>2542</v>
      </c>
      <c r="C1202" s="12" t="s">
        <v>87</v>
      </c>
      <c r="D1202" s="12" t="s">
        <v>462</v>
      </c>
      <c r="E1202" s="12" t="s">
        <v>2499</v>
      </c>
      <c r="F1202" s="12" t="s">
        <v>18</v>
      </c>
      <c r="G1202" s="12" t="s">
        <v>90</v>
      </c>
      <c r="H1202" s="12" t="s">
        <v>2608</v>
      </c>
      <c r="I1202" s="12">
        <v>583700104140</v>
      </c>
      <c r="J1202" s="12" t="s">
        <v>2609</v>
      </c>
      <c r="K1202" s="12">
        <v>1</v>
      </c>
      <c r="L1202" s="12">
        <v>32</v>
      </c>
      <c r="M1202" s="12"/>
      <c r="N1202" s="13">
        <v>2014</v>
      </c>
      <c r="O1202" s="12" t="s">
        <v>93</v>
      </c>
      <c r="P1202" s="12"/>
      <c r="Q1202" s="12"/>
      <c r="R1202" s="12" t="s">
        <v>94</v>
      </c>
      <c r="S1202" s="12">
        <v>10</v>
      </c>
      <c r="T1202" s="12" t="s">
        <v>1062</v>
      </c>
      <c r="U1202" s="12" t="s">
        <v>1063</v>
      </c>
      <c r="V1202" s="12">
        <f>VLOOKUP(Tabla4[[#This Row],[ZONA DEFINITIVO]],Hoja1!$A$1:$D$121,3,0)</f>
        <v>229162</v>
      </c>
      <c r="W1202" s="12">
        <f>VLOOKUP(Tabla4[[#This Row],[ZONA DEFINITIVO]],Hoja1!$A$1:$D$121,2,0)</f>
        <v>15250</v>
      </c>
      <c r="X1202" s="12">
        <f>VLOOKUP(Tabla4[[#This Row],[ZONA DEFINITIVO]],Hoja1!$A$1:$D$121,4,0)</f>
        <v>89325</v>
      </c>
      <c r="Y1202" s="12" t="str">
        <f>+IF(Tabla4[[#This Row],[AGRUPACIONES]]=1,SUMIFS(Tabla4[UDS],Tabla4[ZONA DEFINITIVO],Tabla4[[#This Row],[ZONA DEFINITIVO]])," ")</f>
        <v xml:space="preserve"> </v>
      </c>
      <c r="Z1202" s="12" t="str">
        <f>+IF(Tabla4[[#This Row],[AGRUPACIONES]]=1,SUMIFS(Tabla4[TOTAL COBERTURA],Tabla4[ZONA DEFINITIVO],Tabla4[[#This Row],[ZONA DEFINITIVO]])," ")</f>
        <v xml:space="preserve"> </v>
      </c>
      <c r="AA1202" s="12"/>
      <c r="AB1202" s="38">
        <v>69766176</v>
      </c>
      <c r="AC1202" s="37">
        <v>0.02</v>
      </c>
      <c r="AD1202" s="38">
        <f t="shared" si="19"/>
        <v>1395323.52</v>
      </c>
      <c r="AE1202" s="12"/>
      <c r="AF1202" s="12">
        <f>COUNTIF($A$20:A1202,A1202)</f>
        <v>39</v>
      </c>
      <c r="AG1202" s="38">
        <v>69766176</v>
      </c>
      <c r="AH1202" s="38">
        <f>Tabla4[[#This Row],[VALOR CONTRAPARTIDA]]+Tabla4[[#This Row],[TOTAL APORTES ICBF]]</f>
        <v>71161499.519999996</v>
      </c>
      <c r="AI1202" s="35"/>
      <c r="AJ1202" s="38"/>
      <c r="AK1202" s="38"/>
      <c r="AL1202" s="23"/>
      <c r="AM1202" s="35">
        <f>VLOOKUP(Tabla4[[#This Row],[SERVICIO 2025]],$J$2:$V$14,5,0)*Tabla4[[#This Row],[TOTAL COBERTURA]]</f>
        <v>1580032</v>
      </c>
      <c r="AN1202" s="35">
        <f>VLOOKUP(Tabla4[[#This Row],[SERVICIO 2025]],$J$2:$V$14,6,0)*Tabla4[[#This Row],[TOTAL COBERTURA]]</f>
        <v>1312928</v>
      </c>
      <c r="AO1202" s="35">
        <f>VLOOKUP(Tabla4[[#This Row],[SERVICIO 2025]],$J$2:$V$14,8,0)*Tabla4[[#This Row],[TOTAL COBERTURA]]</f>
        <v>931200</v>
      </c>
      <c r="AP1202" s="35">
        <f>VLOOKUP(Tabla4[[#This Row],[SERVICIO 2025]],$J$2:$V$14,3,0)*Tabla4[[#This Row],[TOTAL COBERTURA]]*8</f>
        <v>65942016</v>
      </c>
      <c r="AQ1202" s="35"/>
      <c r="AR1202" s="35">
        <f>Tabla4[[#This Row],[VALOR FASE PREPARATORIA DE ALISTAMIENTO]]+Tabla4[[#This Row],[VALOR FASE PREPARATORIA DE CIERRE]]+Tabla4[[#This Row],[DOTACIÓN ÚNICA]]+Tabla4[[#This Row],[VALOR ATENCIÓN]]+Tabla4[[#This Row],[VALOR RACION PREPARADA]]</f>
        <v>69766176</v>
      </c>
      <c r="AS1202" s="35" t="str">
        <f>+IF(Tabla4[[#This Row],[AGRUPACIONES]]=1,SUMIFS(Tabla4[VALOR TOTAL],Tabla4[ZONA DEFINITIVO],Tabla4[[#This Row],[ZONA DEFINITIVO]])," ")</f>
        <v xml:space="preserve"> </v>
      </c>
      <c r="AT1202" s="27">
        <f>(VLOOKUP(Tabla4[[#This Row],[SERVICIO 2025]],$J$2:$V$14,3,0)*Tabla4[[#This Row],[TOTAL COBERTURA]])+Tabla4[[#This Row],[VALOR FASE PREPARATORIA DE ALISTAMIENTO]]+Tabla4[[#This Row],[DOTACIÓN ÚNICA]]</f>
        <v>10753984</v>
      </c>
      <c r="AU1202" s="35">
        <f>(VLOOKUP(Tabla4[[#This Row],[SERVICIO 2025]],$J$2:$V$14,3,0)*Tabla4[[#This Row],[TOTAL COBERTURA]])</f>
        <v>8242752</v>
      </c>
      <c r="AV1202" s="35">
        <f>(VLOOKUP(Tabla4[[#This Row],[SERVICIO 2025]],$J$2:$V$14,3,0)*Tabla4[[#This Row],[TOTAL COBERTURA]])</f>
        <v>8242752</v>
      </c>
      <c r="AW1202" s="35">
        <f>(VLOOKUP(Tabla4[[#This Row],[SERVICIO 2025]],$J$2:$V$14,3,0)*Tabla4[[#This Row],[TOTAL COBERTURA]])</f>
        <v>8242752</v>
      </c>
      <c r="AX1202" s="35">
        <f>(VLOOKUP(Tabla4[[#This Row],[SERVICIO 2025]],$J$2:$V$14,3,0)*Tabla4[[#This Row],[TOTAL COBERTURA]])</f>
        <v>8242752</v>
      </c>
      <c r="AY1202" s="35">
        <f>(VLOOKUP(Tabla4[[#This Row],[SERVICIO 2025]],$J$2:$V$14,3,0)*Tabla4[[#This Row],[TOTAL COBERTURA]])</f>
        <v>8242752</v>
      </c>
      <c r="AZ1202" s="35">
        <f>(VLOOKUP(Tabla4[[#This Row],[SERVICIO 2025]],$J$2:$V$14,3,0)*Tabla4[[#This Row],[TOTAL COBERTURA]])</f>
        <v>8242752</v>
      </c>
      <c r="BA1202" s="35">
        <f>(VLOOKUP(Tabla4[[#This Row],[SERVICIO 2025]],$J$2:$V$14,3,0)*Tabla4[[#This Row],[TOTAL COBERTURA]])+Tabla4[[#This Row],[VALOR FASE PREPARATORIA DE CIERRE]]</f>
        <v>9555680</v>
      </c>
      <c r="BB1202" s="35">
        <f>SUM(Tabla4[[#This Row],[DESEMBOLSO 1]:[DESEMBOLSO 8]])</f>
        <v>69766176</v>
      </c>
      <c r="BC1202" s="35">
        <f>VLOOKUP(Tabla4[[#This Row],[SERVICIO 2025]],$J$2:$V$14,10,0)*Tabla4[[#This Row],[TOTAL COBERTURA]]*$W$3</f>
        <v>46178048</v>
      </c>
      <c r="BD1202" s="47" t="s">
        <v>211</v>
      </c>
      <c r="BE1202" s="12" t="b">
        <f>EXACT(Tabla4[[#This Row],[VALOR ATENCIÓN (8 MESES)]],Tabla4[[#This Row],[VALOR TOTAL]])</f>
        <v>1</v>
      </c>
      <c r="BF1202" s="23">
        <f>Tabla4[[#This Row],[VALOR ATENCIÓN (8 MESES)]]-Tabla4[[#This Row],[VALOR TOTAL]]</f>
        <v>0</v>
      </c>
      <c r="BG1202" s="12" t="b">
        <f>EXACT(Tabla4[[#This Row],[TOTAL DESEMBOLSOS]],Tabla4[[#This Row],[VALOR ATENCIÓN (8 MESES)]])</f>
        <v>1</v>
      </c>
      <c r="BH1202" s="29">
        <f>Tabla4[[#This Row],[TOTAL DESEMBOLSOS]]-Tabla4[[#This Row],[VALOR ATENCIÓN (8 MESES)]]</f>
        <v>0</v>
      </c>
      <c r="BI1202" t="s">
        <v>98</v>
      </c>
      <c r="BJ1202">
        <v>2014</v>
      </c>
    </row>
    <row r="1203" spans="1:62">
      <c r="A1203" s="13">
        <v>2015</v>
      </c>
      <c r="B1203" s="13" t="s">
        <v>2610</v>
      </c>
      <c r="C1203" s="12" t="s">
        <v>87</v>
      </c>
      <c r="D1203" s="12" t="s">
        <v>462</v>
      </c>
      <c r="E1203" s="12" t="s">
        <v>2499</v>
      </c>
      <c r="F1203" s="12" t="s">
        <v>19</v>
      </c>
      <c r="G1203" s="12" t="s">
        <v>90</v>
      </c>
      <c r="H1203" s="12" t="s">
        <v>2611</v>
      </c>
      <c r="I1203" s="12">
        <v>58371116555</v>
      </c>
      <c r="J1203" s="12" t="s">
        <v>2612</v>
      </c>
      <c r="K1203" s="12">
        <v>1</v>
      </c>
      <c r="L1203" s="12">
        <v>51</v>
      </c>
      <c r="M1203" s="12"/>
      <c r="N1203" s="13">
        <v>2015</v>
      </c>
      <c r="O1203" s="12" t="s">
        <v>93</v>
      </c>
      <c r="P1203" s="12"/>
      <c r="Q1203" s="12"/>
      <c r="R1203" s="12" t="s">
        <v>94</v>
      </c>
      <c r="S1203" s="12">
        <v>10</v>
      </c>
      <c r="T1203" s="12" t="s">
        <v>1538</v>
      </c>
      <c r="U1203" s="12" t="s">
        <v>1539</v>
      </c>
      <c r="V1203" s="12">
        <f>VLOOKUP(Tabla4[[#This Row],[ZONA DEFINITIVO]],Hoja1!$A$1:$D$121,3,0)</f>
        <v>229164</v>
      </c>
      <c r="W1203" s="12">
        <f>VLOOKUP(Tabla4[[#This Row],[ZONA DEFINITIVO]],Hoja1!$A$1:$D$121,2,0)</f>
        <v>15257</v>
      </c>
      <c r="X1203" s="12">
        <f>VLOOKUP(Tabla4[[#This Row],[ZONA DEFINITIVO]],Hoja1!$A$1:$D$121,4,0)</f>
        <v>90025</v>
      </c>
      <c r="Y1203" s="12">
        <f>+IF(Tabla4[[#This Row],[AGRUPACIONES]]=1,SUMIFS(Tabla4[UDS],Tabla4[ZONA DEFINITIVO],Tabla4[[#This Row],[ZONA DEFINITIVO]])," ")</f>
        <v>7</v>
      </c>
      <c r="Z1203" s="12">
        <f>+IF(Tabla4[[#This Row],[AGRUPACIONES]]=1,SUMIFS(Tabla4[TOTAL COBERTURA],Tabla4[ZONA DEFINITIVO],Tabla4[[#This Row],[ZONA DEFINITIVO]])," ")</f>
        <v>415</v>
      </c>
      <c r="AA1203" s="12"/>
      <c r="AB1203" s="38">
        <v>114808701</v>
      </c>
      <c r="AC1203" s="37">
        <v>0.02</v>
      </c>
      <c r="AD1203" s="38">
        <f t="shared" si="19"/>
        <v>2296174.02</v>
      </c>
      <c r="AE1203" s="12"/>
      <c r="AF1203" s="12">
        <f>COUNTIF($A$20:A1203,A1203)</f>
        <v>1</v>
      </c>
      <c r="AG1203" s="38">
        <v>114808701</v>
      </c>
      <c r="AH1203" s="38">
        <f>Tabla4[[#This Row],[VALOR CONTRAPARTIDA]]+Tabla4[[#This Row],[TOTAL APORTES ICBF]]</f>
        <v>117104875.02</v>
      </c>
      <c r="AI1203" s="35">
        <f>ROUND(+IF(Tabla4[[#This Row],[AGRUPACIONES]]=1,SUMIFS(Tabla4[TOTAL APORTES ICBF],Tabla4[ZONA DEFINITIVO],Tabla4[[#This Row],[ZONA DEFINITIVO]])," "),0)</f>
        <v>934227665</v>
      </c>
      <c r="AJ1203" s="38">
        <f>ROUND(+IF(Tabla4[[#This Row],[AGRUPACIONES]]=1,SUMIFS(Tabla4[VALOR CONTRAPARTIDA],Tabla4[ZONA DEFINITIVO],Tabla4[[#This Row],[ZONA DEFINITIVO]])," "),0)</f>
        <v>18684553</v>
      </c>
      <c r="AK1203" s="38">
        <f>Tabla4[[#This Row],[TOTAL APORTES ICBF AGRUPADO]]+Tabla4[[#This Row],[TOTAL CONTRAPARTIDA AGRUPADO]]</f>
        <v>952912218</v>
      </c>
      <c r="AL1203" s="23">
        <f>Tabla4[[#This Row],[TOTAL APORTES ICBF AGRUPADO]]/$AL$18</f>
        <v>656.28919213206882</v>
      </c>
      <c r="AM1203" s="35">
        <f>VLOOKUP(Tabla4[[#This Row],[SERVICIO 2025]],$J$2:$V$14,5,0)*Tabla4[[#This Row],[TOTAL COBERTURA]]</f>
        <v>2624613</v>
      </c>
      <c r="AN1203" s="35">
        <f>VLOOKUP(Tabla4[[#This Row],[SERVICIO 2025]],$J$2:$V$14,6,0)*Tabla4[[#This Row],[TOTAL COBERTURA]]</f>
        <v>2198916</v>
      </c>
      <c r="AO1203" s="35">
        <f>VLOOKUP(Tabla4[[#This Row],[SERVICIO 2025]],$J$2:$V$14,8,0)*Tabla4[[#This Row],[TOTAL COBERTURA]]</f>
        <v>1484100</v>
      </c>
      <c r="AP1203" s="35">
        <f>VLOOKUP(Tabla4[[#This Row],[SERVICIO 2025]],$J$2:$V$14,3,0)*Tabla4[[#This Row],[TOTAL COBERTURA]]*8</f>
        <v>108501072</v>
      </c>
      <c r="AQ1203" s="35"/>
      <c r="AR1203" s="35">
        <f>Tabla4[[#This Row],[VALOR FASE PREPARATORIA DE ALISTAMIENTO]]+Tabla4[[#This Row],[VALOR FASE PREPARATORIA DE CIERRE]]+Tabla4[[#This Row],[DOTACIÓN ÚNICA]]+Tabla4[[#This Row],[VALOR ATENCIÓN]]+Tabla4[[#This Row],[VALOR RACION PREPARADA]]</f>
        <v>114808701</v>
      </c>
      <c r="AS1203" s="35">
        <f>+IF(Tabla4[[#This Row],[AGRUPACIONES]]=1,SUMIFS(Tabla4[VALOR TOTAL],Tabla4[ZONA DEFINITIVO],Tabla4[[#This Row],[ZONA DEFINITIVO]])," ")</f>
        <v>934227665</v>
      </c>
      <c r="AT1203" s="27">
        <f>(VLOOKUP(Tabla4[[#This Row],[SERVICIO 2025]],$J$2:$V$14,3,0)*Tabla4[[#This Row],[TOTAL COBERTURA]])+Tabla4[[#This Row],[VALOR FASE PREPARATORIA DE ALISTAMIENTO]]+Tabla4[[#This Row],[DOTACIÓN ÚNICA]]</f>
        <v>17671347</v>
      </c>
      <c r="AU1203" s="35">
        <f>(VLOOKUP(Tabla4[[#This Row],[SERVICIO 2025]],$J$2:$V$14,3,0)*Tabla4[[#This Row],[TOTAL COBERTURA]])</f>
        <v>13562634</v>
      </c>
      <c r="AV1203" s="35">
        <f>(VLOOKUP(Tabla4[[#This Row],[SERVICIO 2025]],$J$2:$V$14,3,0)*Tabla4[[#This Row],[TOTAL COBERTURA]])</f>
        <v>13562634</v>
      </c>
      <c r="AW1203" s="35">
        <f>(VLOOKUP(Tabla4[[#This Row],[SERVICIO 2025]],$J$2:$V$14,3,0)*Tabla4[[#This Row],[TOTAL COBERTURA]])</f>
        <v>13562634</v>
      </c>
      <c r="AX1203" s="35">
        <f>(VLOOKUP(Tabla4[[#This Row],[SERVICIO 2025]],$J$2:$V$14,3,0)*Tabla4[[#This Row],[TOTAL COBERTURA]])</f>
        <v>13562634</v>
      </c>
      <c r="AY1203" s="35">
        <f>(VLOOKUP(Tabla4[[#This Row],[SERVICIO 2025]],$J$2:$V$14,3,0)*Tabla4[[#This Row],[TOTAL COBERTURA]])</f>
        <v>13562634</v>
      </c>
      <c r="AZ1203" s="35">
        <f>(VLOOKUP(Tabla4[[#This Row],[SERVICIO 2025]],$J$2:$V$14,3,0)*Tabla4[[#This Row],[TOTAL COBERTURA]])</f>
        <v>13562634</v>
      </c>
      <c r="BA1203" s="35">
        <f>(VLOOKUP(Tabla4[[#This Row],[SERVICIO 2025]],$J$2:$V$14,3,0)*Tabla4[[#This Row],[TOTAL COBERTURA]])+Tabla4[[#This Row],[VALOR FASE PREPARATORIA DE CIERRE]]</f>
        <v>15761550</v>
      </c>
      <c r="BB1203" s="35">
        <f>SUM(Tabla4[[#This Row],[DESEMBOLSO 1]:[DESEMBOLSO 8]])</f>
        <v>114808701</v>
      </c>
      <c r="BC1203" s="35">
        <f>VLOOKUP(Tabla4[[#This Row],[SERVICIO 2025]],$J$2:$V$14,10,0)*Tabla4[[#This Row],[TOTAL COBERTURA]]*$W$3</f>
        <v>73596264</v>
      </c>
      <c r="BD1203" s="47" t="s">
        <v>211</v>
      </c>
      <c r="BE1203" s="12" t="b">
        <f>EXACT(Tabla4[[#This Row],[VALOR ATENCIÓN (8 MESES)]],Tabla4[[#This Row],[VALOR TOTAL]])</f>
        <v>1</v>
      </c>
      <c r="BF1203" s="23">
        <f>Tabla4[[#This Row],[VALOR ATENCIÓN (8 MESES)]]-Tabla4[[#This Row],[VALOR TOTAL]]</f>
        <v>0</v>
      </c>
      <c r="BG1203" s="12" t="b">
        <f>EXACT(Tabla4[[#This Row],[TOTAL DESEMBOLSOS]],Tabla4[[#This Row],[VALOR ATENCIÓN (8 MESES)]])</f>
        <v>1</v>
      </c>
      <c r="BH1203" s="29">
        <f>Tabla4[[#This Row],[TOTAL DESEMBOLSOS]]-Tabla4[[#This Row],[VALOR ATENCIÓN (8 MESES)]]</f>
        <v>0</v>
      </c>
      <c r="BI1203" t="s">
        <v>98</v>
      </c>
      <c r="BJ1203">
        <v>2015</v>
      </c>
    </row>
    <row r="1204" spans="1:62">
      <c r="A1204" s="13">
        <v>2015</v>
      </c>
      <c r="B1204" s="13" t="s">
        <v>2610</v>
      </c>
      <c r="C1204" s="12" t="s">
        <v>87</v>
      </c>
      <c r="D1204" s="12" t="s">
        <v>462</v>
      </c>
      <c r="E1204" s="12" t="s">
        <v>2499</v>
      </c>
      <c r="F1204" s="12" t="s">
        <v>19</v>
      </c>
      <c r="G1204" s="12" t="s">
        <v>90</v>
      </c>
      <c r="H1204" s="12" t="s">
        <v>2613</v>
      </c>
      <c r="I1204" s="12">
        <v>58371117388</v>
      </c>
      <c r="J1204" s="12" t="s">
        <v>2614</v>
      </c>
      <c r="K1204" s="12">
        <v>1</v>
      </c>
      <c r="L1204" s="12">
        <v>52</v>
      </c>
      <c r="M1204" s="12"/>
      <c r="N1204" s="13">
        <v>2015</v>
      </c>
      <c r="O1204" s="12" t="s">
        <v>93</v>
      </c>
      <c r="P1204" s="12"/>
      <c r="Q1204" s="12"/>
      <c r="R1204" s="12" t="s">
        <v>94</v>
      </c>
      <c r="S1204" s="12">
        <v>10</v>
      </c>
      <c r="T1204" s="12" t="s">
        <v>1538</v>
      </c>
      <c r="U1204" s="12" t="s">
        <v>1539</v>
      </c>
      <c r="V1204" s="12">
        <f>VLOOKUP(Tabla4[[#This Row],[ZONA DEFINITIVO]],Hoja1!$A$1:$D$121,3,0)</f>
        <v>229164</v>
      </c>
      <c r="W1204" s="12">
        <f>VLOOKUP(Tabla4[[#This Row],[ZONA DEFINITIVO]],Hoja1!$A$1:$D$121,2,0)</f>
        <v>15257</v>
      </c>
      <c r="X1204" s="12">
        <f>VLOOKUP(Tabla4[[#This Row],[ZONA DEFINITIVO]],Hoja1!$A$1:$D$121,4,0)</f>
        <v>90025</v>
      </c>
      <c r="Y1204" s="12" t="str">
        <f>+IF(Tabla4[[#This Row],[AGRUPACIONES]]=1,SUMIFS(Tabla4[UDS],Tabla4[ZONA DEFINITIVO],Tabla4[[#This Row],[ZONA DEFINITIVO]])," ")</f>
        <v xml:space="preserve"> </v>
      </c>
      <c r="Z1204" s="12" t="str">
        <f>+IF(Tabla4[[#This Row],[AGRUPACIONES]]=1,SUMIFS(Tabla4[TOTAL COBERTURA],Tabla4[ZONA DEFINITIVO],Tabla4[[#This Row],[ZONA DEFINITIVO]])," ")</f>
        <v xml:space="preserve"> </v>
      </c>
      <c r="AA1204" s="12"/>
      <c r="AB1204" s="38">
        <v>117059852</v>
      </c>
      <c r="AC1204" s="37">
        <v>0.02</v>
      </c>
      <c r="AD1204" s="38">
        <f t="shared" si="19"/>
        <v>2341197.04</v>
      </c>
      <c r="AE1204" s="12"/>
      <c r="AF1204" s="12">
        <f>COUNTIF($A$20:A1204,A1204)</f>
        <v>2</v>
      </c>
      <c r="AG1204" s="38">
        <v>117059852</v>
      </c>
      <c r="AH1204" s="38">
        <f>Tabla4[[#This Row],[VALOR CONTRAPARTIDA]]+Tabla4[[#This Row],[TOTAL APORTES ICBF]]</f>
        <v>119401049.04000001</v>
      </c>
      <c r="AI1204" s="35"/>
      <c r="AJ1204" s="38"/>
      <c r="AK1204" s="38"/>
      <c r="AL1204" s="23"/>
      <c r="AM1204" s="35">
        <f>VLOOKUP(Tabla4[[#This Row],[SERVICIO 2025]],$J$2:$V$14,5,0)*Tabla4[[#This Row],[TOTAL COBERTURA]]</f>
        <v>2676076</v>
      </c>
      <c r="AN1204" s="35">
        <f>VLOOKUP(Tabla4[[#This Row],[SERVICIO 2025]],$J$2:$V$14,6,0)*Tabla4[[#This Row],[TOTAL COBERTURA]]</f>
        <v>2242032</v>
      </c>
      <c r="AO1204" s="35">
        <f>VLOOKUP(Tabla4[[#This Row],[SERVICIO 2025]],$J$2:$V$14,8,0)*Tabla4[[#This Row],[TOTAL COBERTURA]]</f>
        <v>1513200</v>
      </c>
      <c r="AP1204" s="35">
        <f>VLOOKUP(Tabla4[[#This Row],[SERVICIO 2025]],$J$2:$V$14,3,0)*Tabla4[[#This Row],[TOTAL COBERTURA]]*8</f>
        <v>110628544</v>
      </c>
      <c r="AQ1204" s="35"/>
      <c r="AR1204" s="35">
        <f>Tabla4[[#This Row],[VALOR FASE PREPARATORIA DE ALISTAMIENTO]]+Tabla4[[#This Row],[VALOR FASE PREPARATORIA DE CIERRE]]+Tabla4[[#This Row],[DOTACIÓN ÚNICA]]+Tabla4[[#This Row],[VALOR ATENCIÓN]]+Tabla4[[#This Row],[VALOR RACION PREPARADA]]</f>
        <v>117059852</v>
      </c>
      <c r="AS1204" s="35" t="str">
        <f>+IF(Tabla4[[#This Row],[AGRUPACIONES]]=1,SUMIFS(Tabla4[VALOR TOTAL],Tabla4[ZONA DEFINITIVO],Tabla4[[#This Row],[ZONA DEFINITIVO]])," ")</f>
        <v xml:space="preserve"> </v>
      </c>
      <c r="AT1204" s="27">
        <f>(VLOOKUP(Tabla4[[#This Row],[SERVICIO 2025]],$J$2:$V$14,3,0)*Tabla4[[#This Row],[TOTAL COBERTURA]])+Tabla4[[#This Row],[VALOR FASE PREPARATORIA DE ALISTAMIENTO]]+Tabla4[[#This Row],[DOTACIÓN ÚNICA]]</f>
        <v>18017844</v>
      </c>
      <c r="AU1204" s="35">
        <f>(VLOOKUP(Tabla4[[#This Row],[SERVICIO 2025]],$J$2:$V$14,3,0)*Tabla4[[#This Row],[TOTAL COBERTURA]])</f>
        <v>13828568</v>
      </c>
      <c r="AV1204" s="35">
        <f>(VLOOKUP(Tabla4[[#This Row],[SERVICIO 2025]],$J$2:$V$14,3,0)*Tabla4[[#This Row],[TOTAL COBERTURA]])</f>
        <v>13828568</v>
      </c>
      <c r="AW1204" s="35">
        <f>(VLOOKUP(Tabla4[[#This Row],[SERVICIO 2025]],$J$2:$V$14,3,0)*Tabla4[[#This Row],[TOTAL COBERTURA]])</f>
        <v>13828568</v>
      </c>
      <c r="AX1204" s="35">
        <f>(VLOOKUP(Tabla4[[#This Row],[SERVICIO 2025]],$J$2:$V$14,3,0)*Tabla4[[#This Row],[TOTAL COBERTURA]])</f>
        <v>13828568</v>
      </c>
      <c r="AY1204" s="35">
        <f>(VLOOKUP(Tabla4[[#This Row],[SERVICIO 2025]],$J$2:$V$14,3,0)*Tabla4[[#This Row],[TOTAL COBERTURA]])</f>
        <v>13828568</v>
      </c>
      <c r="AZ1204" s="35">
        <f>(VLOOKUP(Tabla4[[#This Row],[SERVICIO 2025]],$J$2:$V$14,3,0)*Tabla4[[#This Row],[TOTAL COBERTURA]])</f>
        <v>13828568</v>
      </c>
      <c r="BA1204" s="35">
        <f>(VLOOKUP(Tabla4[[#This Row],[SERVICIO 2025]],$J$2:$V$14,3,0)*Tabla4[[#This Row],[TOTAL COBERTURA]])+Tabla4[[#This Row],[VALOR FASE PREPARATORIA DE CIERRE]]</f>
        <v>16070600</v>
      </c>
      <c r="BB1204" s="35">
        <f>SUM(Tabla4[[#This Row],[DESEMBOLSO 1]:[DESEMBOLSO 8]])</f>
        <v>117059852</v>
      </c>
      <c r="BC1204" s="35">
        <f>VLOOKUP(Tabla4[[#This Row],[SERVICIO 2025]],$J$2:$V$14,10,0)*Tabla4[[#This Row],[TOTAL COBERTURA]]*$W$3</f>
        <v>75039328</v>
      </c>
      <c r="BD1204" s="47" t="s">
        <v>211</v>
      </c>
      <c r="BE1204" s="12" t="b">
        <f>EXACT(Tabla4[[#This Row],[VALOR ATENCIÓN (8 MESES)]],Tabla4[[#This Row],[VALOR TOTAL]])</f>
        <v>1</v>
      </c>
      <c r="BF1204" s="23">
        <f>Tabla4[[#This Row],[VALOR ATENCIÓN (8 MESES)]]-Tabla4[[#This Row],[VALOR TOTAL]]</f>
        <v>0</v>
      </c>
      <c r="BG1204" s="12" t="b">
        <f>EXACT(Tabla4[[#This Row],[TOTAL DESEMBOLSOS]],Tabla4[[#This Row],[VALOR ATENCIÓN (8 MESES)]])</f>
        <v>1</v>
      </c>
      <c r="BH1204" s="29">
        <f>Tabla4[[#This Row],[TOTAL DESEMBOLSOS]]-Tabla4[[#This Row],[VALOR ATENCIÓN (8 MESES)]]</f>
        <v>0</v>
      </c>
      <c r="BI1204" t="s">
        <v>98</v>
      </c>
      <c r="BJ1204">
        <v>2015</v>
      </c>
    </row>
    <row r="1205" spans="1:62">
      <c r="A1205" s="13">
        <v>2015</v>
      </c>
      <c r="B1205" s="13" t="s">
        <v>2610</v>
      </c>
      <c r="C1205" s="12" t="s">
        <v>87</v>
      </c>
      <c r="D1205" s="12" t="s">
        <v>462</v>
      </c>
      <c r="E1205" s="12" t="s">
        <v>2499</v>
      </c>
      <c r="F1205" s="12" t="s">
        <v>19</v>
      </c>
      <c r="G1205" s="12" t="s">
        <v>90</v>
      </c>
      <c r="H1205" s="12" t="s">
        <v>2615</v>
      </c>
      <c r="I1205" s="12">
        <v>58371117397</v>
      </c>
      <c r="J1205" s="12" t="s">
        <v>2616</v>
      </c>
      <c r="K1205" s="12">
        <v>1</v>
      </c>
      <c r="L1205" s="12">
        <v>52</v>
      </c>
      <c r="M1205" s="12"/>
      <c r="N1205" s="13">
        <v>2015</v>
      </c>
      <c r="O1205" s="12" t="s">
        <v>93</v>
      </c>
      <c r="P1205" s="12"/>
      <c r="Q1205" s="12"/>
      <c r="R1205" s="12" t="s">
        <v>94</v>
      </c>
      <c r="S1205" s="12">
        <v>10</v>
      </c>
      <c r="T1205" s="12" t="s">
        <v>1538</v>
      </c>
      <c r="U1205" s="12" t="s">
        <v>1539</v>
      </c>
      <c r="V1205" s="12">
        <f>VLOOKUP(Tabla4[[#This Row],[ZONA DEFINITIVO]],Hoja1!$A$1:$D$121,3,0)</f>
        <v>229164</v>
      </c>
      <c r="W1205" s="12">
        <f>VLOOKUP(Tabla4[[#This Row],[ZONA DEFINITIVO]],Hoja1!$A$1:$D$121,2,0)</f>
        <v>15257</v>
      </c>
      <c r="X1205" s="12">
        <f>VLOOKUP(Tabla4[[#This Row],[ZONA DEFINITIVO]],Hoja1!$A$1:$D$121,4,0)</f>
        <v>90025</v>
      </c>
      <c r="Y1205" s="12" t="str">
        <f>+IF(Tabla4[[#This Row],[AGRUPACIONES]]=1,SUMIFS(Tabla4[UDS],Tabla4[ZONA DEFINITIVO],Tabla4[[#This Row],[ZONA DEFINITIVO]])," ")</f>
        <v xml:space="preserve"> </v>
      </c>
      <c r="Z1205" s="12" t="str">
        <f>+IF(Tabla4[[#This Row],[AGRUPACIONES]]=1,SUMIFS(Tabla4[TOTAL COBERTURA],Tabla4[ZONA DEFINITIVO],Tabla4[[#This Row],[ZONA DEFINITIVO]])," ")</f>
        <v xml:space="preserve"> </v>
      </c>
      <c r="AA1205" s="12"/>
      <c r="AB1205" s="38">
        <v>117059852</v>
      </c>
      <c r="AC1205" s="37">
        <v>0.02</v>
      </c>
      <c r="AD1205" s="38">
        <f t="shared" si="19"/>
        <v>2341197.04</v>
      </c>
      <c r="AE1205" s="12"/>
      <c r="AF1205" s="12">
        <f>COUNTIF($A$20:A1205,A1205)</f>
        <v>3</v>
      </c>
      <c r="AG1205" s="38">
        <v>117059852</v>
      </c>
      <c r="AH1205" s="38">
        <f>Tabla4[[#This Row],[VALOR CONTRAPARTIDA]]+Tabla4[[#This Row],[TOTAL APORTES ICBF]]</f>
        <v>119401049.04000001</v>
      </c>
      <c r="AI1205" s="35"/>
      <c r="AJ1205" s="38"/>
      <c r="AK1205" s="38"/>
      <c r="AL1205" s="23"/>
      <c r="AM1205" s="35">
        <f>VLOOKUP(Tabla4[[#This Row],[SERVICIO 2025]],$J$2:$V$14,5,0)*Tabla4[[#This Row],[TOTAL COBERTURA]]</f>
        <v>2676076</v>
      </c>
      <c r="AN1205" s="35">
        <f>VLOOKUP(Tabla4[[#This Row],[SERVICIO 2025]],$J$2:$V$14,6,0)*Tabla4[[#This Row],[TOTAL COBERTURA]]</f>
        <v>2242032</v>
      </c>
      <c r="AO1205" s="35">
        <f>VLOOKUP(Tabla4[[#This Row],[SERVICIO 2025]],$J$2:$V$14,8,0)*Tabla4[[#This Row],[TOTAL COBERTURA]]</f>
        <v>1513200</v>
      </c>
      <c r="AP1205" s="35">
        <f>VLOOKUP(Tabla4[[#This Row],[SERVICIO 2025]],$J$2:$V$14,3,0)*Tabla4[[#This Row],[TOTAL COBERTURA]]*8</f>
        <v>110628544</v>
      </c>
      <c r="AQ1205" s="35"/>
      <c r="AR1205" s="35">
        <f>Tabla4[[#This Row],[VALOR FASE PREPARATORIA DE ALISTAMIENTO]]+Tabla4[[#This Row],[VALOR FASE PREPARATORIA DE CIERRE]]+Tabla4[[#This Row],[DOTACIÓN ÚNICA]]+Tabla4[[#This Row],[VALOR ATENCIÓN]]+Tabla4[[#This Row],[VALOR RACION PREPARADA]]</f>
        <v>117059852</v>
      </c>
      <c r="AS1205" s="35" t="str">
        <f>+IF(Tabla4[[#This Row],[AGRUPACIONES]]=1,SUMIFS(Tabla4[VALOR TOTAL],Tabla4[ZONA DEFINITIVO],Tabla4[[#This Row],[ZONA DEFINITIVO]])," ")</f>
        <v xml:space="preserve"> </v>
      </c>
      <c r="AT1205" s="27">
        <f>(VLOOKUP(Tabla4[[#This Row],[SERVICIO 2025]],$J$2:$V$14,3,0)*Tabla4[[#This Row],[TOTAL COBERTURA]])+Tabla4[[#This Row],[VALOR FASE PREPARATORIA DE ALISTAMIENTO]]+Tabla4[[#This Row],[DOTACIÓN ÚNICA]]</f>
        <v>18017844</v>
      </c>
      <c r="AU1205" s="35">
        <f>(VLOOKUP(Tabla4[[#This Row],[SERVICIO 2025]],$J$2:$V$14,3,0)*Tabla4[[#This Row],[TOTAL COBERTURA]])</f>
        <v>13828568</v>
      </c>
      <c r="AV1205" s="35">
        <f>(VLOOKUP(Tabla4[[#This Row],[SERVICIO 2025]],$J$2:$V$14,3,0)*Tabla4[[#This Row],[TOTAL COBERTURA]])</f>
        <v>13828568</v>
      </c>
      <c r="AW1205" s="35">
        <f>(VLOOKUP(Tabla4[[#This Row],[SERVICIO 2025]],$J$2:$V$14,3,0)*Tabla4[[#This Row],[TOTAL COBERTURA]])</f>
        <v>13828568</v>
      </c>
      <c r="AX1205" s="35">
        <f>(VLOOKUP(Tabla4[[#This Row],[SERVICIO 2025]],$J$2:$V$14,3,0)*Tabla4[[#This Row],[TOTAL COBERTURA]])</f>
        <v>13828568</v>
      </c>
      <c r="AY1205" s="35">
        <f>(VLOOKUP(Tabla4[[#This Row],[SERVICIO 2025]],$J$2:$V$14,3,0)*Tabla4[[#This Row],[TOTAL COBERTURA]])</f>
        <v>13828568</v>
      </c>
      <c r="AZ1205" s="35">
        <f>(VLOOKUP(Tabla4[[#This Row],[SERVICIO 2025]],$J$2:$V$14,3,0)*Tabla4[[#This Row],[TOTAL COBERTURA]])</f>
        <v>13828568</v>
      </c>
      <c r="BA1205" s="35">
        <f>(VLOOKUP(Tabla4[[#This Row],[SERVICIO 2025]],$J$2:$V$14,3,0)*Tabla4[[#This Row],[TOTAL COBERTURA]])+Tabla4[[#This Row],[VALOR FASE PREPARATORIA DE CIERRE]]</f>
        <v>16070600</v>
      </c>
      <c r="BB1205" s="35">
        <f>SUM(Tabla4[[#This Row],[DESEMBOLSO 1]:[DESEMBOLSO 8]])</f>
        <v>117059852</v>
      </c>
      <c r="BC1205" s="35">
        <f>VLOOKUP(Tabla4[[#This Row],[SERVICIO 2025]],$J$2:$V$14,10,0)*Tabla4[[#This Row],[TOTAL COBERTURA]]*$W$3</f>
        <v>75039328</v>
      </c>
      <c r="BD1205" s="47" t="s">
        <v>211</v>
      </c>
      <c r="BE1205" s="12" t="b">
        <f>EXACT(Tabla4[[#This Row],[VALOR ATENCIÓN (8 MESES)]],Tabla4[[#This Row],[VALOR TOTAL]])</f>
        <v>1</v>
      </c>
      <c r="BF1205" s="23">
        <f>Tabla4[[#This Row],[VALOR ATENCIÓN (8 MESES)]]-Tabla4[[#This Row],[VALOR TOTAL]]</f>
        <v>0</v>
      </c>
      <c r="BG1205" s="12" t="b">
        <f>EXACT(Tabla4[[#This Row],[TOTAL DESEMBOLSOS]],Tabla4[[#This Row],[VALOR ATENCIÓN (8 MESES)]])</f>
        <v>1</v>
      </c>
      <c r="BH1205" s="29">
        <f>Tabla4[[#This Row],[TOTAL DESEMBOLSOS]]-Tabla4[[#This Row],[VALOR ATENCIÓN (8 MESES)]]</f>
        <v>0</v>
      </c>
      <c r="BI1205" t="s">
        <v>98</v>
      </c>
      <c r="BJ1205">
        <v>2015</v>
      </c>
    </row>
    <row r="1206" spans="1:62">
      <c r="A1206" s="13">
        <v>2015</v>
      </c>
      <c r="B1206" s="13" t="s">
        <v>2610</v>
      </c>
      <c r="C1206" s="12" t="s">
        <v>87</v>
      </c>
      <c r="D1206" s="12" t="s">
        <v>462</v>
      </c>
      <c r="E1206" s="12" t="s">
        <v>2499</v>
      </c>
      <c r="F1206" s="12" t="s">
        <v>19</v>
      </c>
      <c r="G1206" s="12" t="s">
        <v>90</v>
      </c>
      <c r="H1206" s="12" t="s">
        <v>2617</v>
      </c>
      <c r="I1206" s="12">
        <v>58371137307</v>
      </c>
      <c r="J1206" s="12" t="s">
        <v>2618</v>
      </c>
      <c r="K1206" s="12">
        <v>1</v>
      </c>
      <c r="L1206" s="12">
        <v>52</v>
      </c>
      <c r="M1206" s="12"/>
      <c r="N1206" s="13">
        <v>2015</v>
      </c>
      <c r="O1206" s="12" t="s">
        <v>93</v>
      </c>
      <c r="P1206" s="12"/>
      <c r="Q1206" s="12"/>
      <c r="R1206" s="12" t="s">
        <v>94</v>
      </c>
      <c r="S1206" s="12">
        <v>10</v>
      </c>
      <c r="T1206" s="12" t="s">
        <v>1538</v>
      </c>
      <c r="U1206" s="12" t="s">
        <v>1539</v>
      </c>
      <c r="V1206" s="12">
        <f>VLOOKUP(Tabla4[[#This Row],[ZONA DEFINITIVO]],Hoja1!$A$1:$D$121,3,0)</f>
        <v>229164</v>
      </c>
      <c r="W1206" s="12">
        <f>VLOOKUP(Tabla4[[#This Row],[ZONA DEFINITIVO]],Hoja1!$A$1:$D$121,2,0)</f>
        <v>15257</v>
      </c>
      <c r="X1206" s="12">
        <f>VLOOKUP(Tabla4[[#This Row],[ZONA DEFINITIVO]],Hoja1!$A$1:$D$121,4,0)</f>
        <v>90025</v>
      </c>
      <c r="Y1206" s="12" t="str">
        <f>+IF(Tabla4[[#This Row],[AGRUPACIONES]]=1,SUMIFS(Tabla4[UDS],Tabla4[ZONA DEFINITIVO],Tabla4[[#This Row],[ZONA DEFINITIVO]])," ")</f>
        <v xml:space="preserve"> </v>
      </c>
      <c r="Z1206" s="12" t="str">
        <f>+IF(Tabla4[[#This Row],[AGRUPACIONES]]=1,SUMIFS(Tabla4[TOTAL COBERTURA],Tabla4[ZONA DEFINITIVO],Tabla4[[#This Row],[ZONA DEFINITIVO]])," ")</f>
        <v xml:space="preserve"> </v>
      </c>
      <c r="AA1206" s="12"/>
      <c r="AB1206" s="38">
        <v>117059852</v>
      </c>
      <c r="AC1206" s="37">
        <v>0.02</v>
      </c>
      <c r="AD1206" s="38">
        <f t="shared" si="19"/>
        <v>2341197.04</v>
      </c>
      <c r="AE1206" s="12"/>
      <c r="AF1206" s="12">
        <f>COUNTIF($A$20:A1206,A1206)</f>
        <v>4</v>
      </c>
      <c r="AG1206" s="38">
        <v>117059852</v>
      </c>
      <c r="AH1206" s="38">
        <f>Tabla4[[#This Row],[VALOR CONTRAPARTIDA]]+Tabla4[[#This Row],[TOTAL APORTES ICBF]]</f>
        <v>119401049.04000001</v>
      </c>
      <c r="AI1206" s="35"/>
      <c r="AJ1206" s="38"/>
      <c r="AK1206" s="38"/>
      <c r="AL1206" s="23"/>
      <c r="AM1206" s="35">
        <f>VLOOKUP(Tabla4[[#This Row],[SERVICIO 2025]],$J$2:$V$14,5,0)*Tabla4[[#This Row],[TOTAL COBERTURA]]</f>
        <v>2676076</v>
      </c>
      <c r="AN1206" s="35">
        <f>VLOOKUP(Tabla4[[#This Row],[SERVICIO 2025]],$J$2:$V$14,6,0)*Tabla4[[#This Row],[TOTAL COBERTURA]]</f>
        <v>2242032</v>
      </c>
      <c r="AO1206" s="35">
        <f>VLOOKUP(Tabla4[[#This Row],[SERVICIO 2025]],$J$2:$V$14,8,0)*Tabla4[[#This Row],[TOTAL COBERTURA]]</f>
        <v>1513200</v>
      </c>
      <c r="AP1206" s="35">
        <f>VLOOKUP(Tabla4[[#This Row],[SERVICIO 2025]],$J$2:$V$14,3,0)*Tabla4[[#This Row],[TOTAL COBERTURA]]*8</f>
        <v>110628544</v>
      </c>
      <c r="AQ1206" s="35"/>
      <c r="AR1206" s="35">
        <f>Tabla4[[#This Row],[VALOR FASE PREPARATORIA DE ALISTAMIENTO]]+Tabla4[[#This Row],[VALOR FASE PREPARATORIA DE CIERRE]]+Tabla4[[#This Row],[DOTACIÓN ÚNICA]]+Tabla4[[#This Row],[VALOR ATENCIÓN]]+Tabla4[[#This Row],[VALOR RACION PREPARADA]]</f>
        <v>117059852</v>
      </c>
      <c r="AS1206" s="35" t="str">
        <f>+IF(Tabla4[[#This Row],[AGRUPACIONES]]=1,SUMIFS(Tabla4[VALOR TOTAL],Tabla4[ZONA DEFINITIVO],Tabla4[[#This Row],[ZONA DEFINITIVO]])," ")</f>
        <v xml:space="preserve"> </v>
      </c>
      <c r="AT1206" s="27">
        <f>(VLOOKUP(Tabla4[[#This Row],[SERVICIO 2025]],$J$2:$V$14,3,0)*Tabla4[[#This Row],[TOTAL COBERTURA]])+Tabla4[[#This Row],[VALOR FASE PREPARATORIA DE ALISTAMIENTO]]+Tabla4[[#This Row],[DOTACIÓN ÚNICA]]</f>
        <v>18017844</v>
      </c>
      <c r="AU1206" s="35">
        <f>(VLOOKUP(Tabla4[[#This Row],[SERVICIO 2025]],$J$2:$V$14,3,0)*Tabla4[[#This Row],[TOTAL COBERTURA]])</f>
        <v>13828568</v>
      </c>
      <c r="AV1206" s="35">
        <f>(VLOOKUP(Tabla4[[#This Row],[SERVICIO 2025]],$J$2:$V$14,3,0)*Tabla4[[#This Row],[TOTAL COBERTURA]])</f>
        <v>13828568</v>
      </c>
      <c r="AW1206" s="35">
        <f>(VLOOKUP(Tabla4[[#This Row],[SERVICIO 2025]],$J$2:$V$14,3,0)*Tabla4[[#This Row],[TOTAL COBERTURA]])</f>
        <v>13828568</v>
      </c>
      <c r="AX1206" s="35">
        <f>(VLOOKUP(Tabla4[[#This Row],[SERVICIO 2025]],$J$2:$V$14,3,0)*Tabla4[[#This Row],[TOTAL COBERTURA]])</f>
        <v>13828568</v>
      </c>
      <c r="AY1206" s="35">
        <f>(VLOOKUP(Tabla4[[#This Row],[SERVICIO 2025]],$J$2:$V$14,3,0)*Tabla4[[#This Row],[TOTAL COBERTURA]])</f>
        <v>13828568</v>
      </c>
      <c r="AZ1206" s="35">
        <f>(VLOOKUP(Tabla4[[#This Row],[SERVICIO 2025]],$J$2:$V$14,3,0)*Tabla4[[#This Row],[TOTAL COBERTURA]])</f>
        <v>13828568</v>
      </c>
      <c r="BA1206" s="35">
        <f>(VLOOKUP(Tabla4[[#This Row],[SERVICIO 2025]],$J$2:$V$14,3,0)*Tabla4[[#This Row],[TOTAL COBERTURA]])+Tabla4[[#This Row],[VALOR FASE PREPARATORIA DE CIERRE]]</f>
        <v>16070600</v>
      </c>
      <c r="BB1206" s="35">
        <f>SUM(Tabla4[[#This Row],[DESEMBOLSO 1]:[DESEMBOLSO 8]])</f>
        <v>117059852</v>
      </c>
      <c r="BC1206" s="35">
        <f>VLOOKUP(Tabla4[[#This Row],[SERVICIO 2025]],$J$2:$V$14,10,0)*Tabla4[[#This Row],[TOTAL COBERTURA]]*$W$3</f>
        <v>75039328</v>
      </c>
      <c r="BD1206" s="47" t="s">
        <v>211</v>
      </c>
      <c r="BE1206" s="12" t="b">
        <f>EXACT(Tabla4[[#This Row],[VALOR ATENCIÓN (8 MESES)]],Tabla4[[#This Row],[VALOR TOTAL]])</f>
        <v>1</v>
      </c>
      <c r="BF1206" s="23">
        <f>Tabla4[[#This Row],[VALOR ATENCIÓN (8 MESES)]]-Tabla4[[#This Row],[VALOR TOTAL]]</f>
        <v>0</v>
      </c>
      <c r="BG1206" s="12" t="b">
        <f>EXACT(Tabla4[[#This Row],[TOTAL DESEMBOLSOS]],Tabla4[[#This Row],[VALOR ATENCIÓN (8 MESES)]])</f>
        <v>1</v>
      </c>
      <c r="BH1206" s="29">
        <f>Tabla4[[#This Row],[TOTAL DESEMBOLSOS]]-Tabla4[[#This Row],[VALOR ATENCIÓN (8 MESES)]]</f>
        <v>0</v>
      </c>
      <c r="BI1206" t="s">
        <v>98</v>
      </c>
      <c r="BJ1206">
        <v>2015</v>
      </c>
    </row>
    <row r="1207" spans="1:62">
      <c r="A1207" s="13">
        <v>2015</v>
      </c>
      <c r="B1207" s="13" t="s">
        <v>2610</v>
      </c>
      <c r="C1207" s="12" t="s">
        <v>87</v>
      </c>
      <c r="D1207" s="12" t="s">
        <v>462</v>
      </c>
      <c r="E1207" s="12" t="s">
        <v>2499</v>
      </c>
      <c r="F1207" s="12" t="s">
        <v>19</v>
      </c>
      <c r="G1207" s="12" t="s">
        <v>90</v>
      </c>
      <c r="H1207" s="12" t="s">
        <v>2619</v>
      </c>
      <c r="I1207" s="12">
        <v>58371137426</v>
      </c>
      <c r="J1207" s="12" t="s">
        <v>2620</v>
      </c>
      <c r="K1207" s="12">
        <v>1</v>
      </c>
      <c r="L1207" s="12">
        <v>51</v>
      </c>
      <c r="M1207" s="12"/>
      <c r="N1207" s="13">
        <v>2015</v>
      </c>
      <c r="O1207" s="12" t="s">
        <v>93</v>
      </c>
      <c r="P1207" s="12"/>
      <c r="Q1207" s="12"/>
      <c r="R1207" s="12" t="s">
        <v>94</v>
      </c>
      <c r="S1207" s="12">
        <v>10</v>
      </c>
      <c r="T1207" s="12" t="s">
        <v>1538</v>
      </c>
      <c r="U1207" s="12" t="s">
        <v>1539</v>
      </c>
      <c r="V1207" s="12">
        <f>VLOOKUP(Tabla4[[#This Row],[ZONA DEFINITIVO]],Hoja1!$A$1:$D$121,3,0)</f>
        <v>229164</v>
      </c>
      <c r="W1207" s="12">
        <f>VLOOKUP(Tabla4[[#This Row],[ZONA DEFINITIVO]],Hoja1!$A$1:$D$121,2,0)</f>
        <v>15257</v>
      </c>
      <c r="X1207" s="12">
        <f>VLOOKUP(Tabla4[[#This Row],[ZONA DEFINITIVO]],Hoja1!$A$1:$D$121,4,0)</f>
        <v>90025</v>
      </c>
      <c r="Y1207" s="12" t="str">
        <f>+IF(Tabla4[[#This Row],[AGRUPACIONES]]=1,SUMIFS(Tabla4[UDS],Tabla4[ZONA DEFINITIVO],Tabla4[[#This Row],[ZONA DEFINITIVO]])," ")</f>
        <v xml:space="preserve"> </v>
      </c>
      <c r="Z1207" s="12" t="str">
        <f>+IF(Tabla4[[#This Row],[AGRUPACIONES]]=1,SUMIFS(Tabla4[TOTAL COBERTURA],Tabla4[ZONA DEFINITIVO],Tabla4[[#This Row],[ZONA DEFINITIVO]])," ")</f>
        <v xml:space="preserve"> </v>
      </c>
      <c r="AA1207" s="12"/>
      <c r="AB1207" s="38">
        <v>114808701</v>
      </c>
      <c r="AC1207" s="37">
        <v>0.02</v>
      </c>
      <c r="AD1207" s="38">
        <f t="shared" si="19"/>
        <v>2296174.02</v>
      </c>
      <c r="AE1207" s="12"/>
      <c r="AF1207" s="12">
        <f>COUNTIF($A$20:A1207,A1207)</f>
        <v>5</v>
      </c>
      <c r="AG1207" s="38">
        <v>114808701</v>
      </c>
      <c r="AH1207" s="38">
        <f>Tabla4[[#This Row],[VALOR CONTRAPARTIDA]]+Tabla4[[#This Row],[TOTAL APORTES ICBF]]</f>
        <v>117104875.02</v>
      </c>
      <c r="AI1207" s="35"/>
      <c r="AJ1207" s="38"/>
      <c r="AK1207" s="38"/>
      <c r="AL1207" s="23"/>
      <c r="AM1207" s="35">
        <f>VLOOKUP(Tabla4[[#This Row],[SERVICIO 2025]],$J$2:$V$14,5,0)*Tabla4[[#This Row],[TOTAL COBERTURA]]</f>
        <v>2624613</v>
      </c>
      <c r="AN1207" s="35">
        <f>VLOOKUP(Tabla4[[#This Row],[SERVICIO 2025]],$J$2:$V$14,6,0)*Tabla4[[#This Row],[TOTAL COBERTURA]]</f>
        <v>2198916</v>
      </c>
      <c r="AO1207" s="35">
        <f>VLOOKUP(Tabla4[[#This Row],[SERVICIO 2025]],$J$2:$V$14,8,0)*Tabla4[[#This Row],[TOTAL COBERTURA]]</f>
        <v>1484100</v>
      </c>
      <c r="AP1207" s="35">
        <f>VLOOKUP(Tabla4[[#This Row],[SERVICIO 2025]],$J$2:$V$14,3,0)*Tabla4[[#This Row],[TOTAL COBERTURA]]*8</f>
        <v>108501072</v>
      </c>
      <c r="AQ1207" s="35"/>
      <c r="AR1207" s="35">
        <f>Tabla4[[#This Row],[VALOR FASE PREPARATORIA DE ALISTAMIENTO]]+Tabla4[[#This Row],[VALOR FASE PREPARATORIA DE CIERRE]]+Tabla4[[#This Row],[DOTACIÓN ÚNICA]]+Tabla4[[#This Row],[VALOR ATENCIÓN]]+Tabla4[[#This Row],[VALOR RACION PREPARADA]]</f>
        <v>114808701</v>
      </c>
      <c r="AS1207" s="35" t="str">
        <f>+IF(Tabla4[[#This Row],[AGRUPACIONES]]=1,SUMIFS(Tabla4[VALOR TOTAL],Tabla4[ZONA DEFINITIVO],Tabla4[[#This Row],[ZONA DEFINITIVO]])," ")</f>
        <v xml:space="preserve"> </v>
      </c>
      <c r="AT1207" s="27">
        <f>(VLOOKUP(Tabla4[[#This Row],[SERVICIO 2025]],$J$2:$V$14,3,0)*Tabla4[[#This Row],[TOTAL COBERTURA]])+Tabla4[[#This Row],[VALOR FASE PREPARATORIA DE ALISTAMIENTO]]+Tabla4[[#This Row],[DOTACIÓN ÚNICA]]</f>
        <v>17671347</v>
      </c>
      <c r="AU1207" s="35">
        <f>(VLOOKUP(Tabla4[[#This Row],[SERVICIO 2025]],$J$2:$V$14,3,0)*Tabla4[[#This Row],[TOTAL COBERTURA]])</f>
        <v>13562634</v>
      </c>
      <c r="AV1207" s="35">
        <f>(VLOOKUP(Tabla4[[#This Row],[SERVICIO 2025]],$J$2:$V$14,3,0)*Tabla4[[#This Row],[TOTAL COBERTURA]])</f>
        <v>13562634</v>
      </c>
      <c r="AW1207" s="35">
        <f>(VLOOKUP(Tabla4[[#This Row],[SERVICIO 2025]],$J$2:$V$14,3,0)*Tabla4[[#This Row],[TOTAL COBERTURA]])</f>
        <v>13562634</v>
      </c>
      <c r="AX1207" s="35">
        <f>(VLOOKUP(Tabla4[[#This Row],[SERVICIO 2025]],$J$2:$V$14,3,0)*Tabla4[[#This Row],[TOTAL COBERTURA]])</f>
        <v>13562634</v>
      </c>
      <c r="AY1207" s="35">
        <f>(VLOOKUP(Tabla4[[#This Row],[SERVICIO 2025]],$J$2:$V$14,3,0)*Tabla4[[#This Row],[TOTAL COBERTURA]])</f>
        <v>13562634</v>
      </c>
      <c r="AZ1207" s="35">
        <f>(VLOOKUP(Tabla4[[#This Row],[SERVICIO 2025]],$J$2:$V$14,3,0)*Tabla4[[#This Row],[TOTAL COBERTURA]])</f>
        <v>13562634</v>
      </c>
      <c r="BA1207" s="35">
        <f>(VLOOKUP(Tabla4[[#This Row],[SERVICIO 2025]],$J$2:$V$14,3,0)*Tabla4[[#This Row],[TOTAL COBERTURA]])+Tabla4[[#This Row],[VALOR FASE PREPARATORIA DE CIERRE]]</f>
        <v>15761550</v>
      </c>
      <c r="BB1207" s="35">
        <f>SUM(Tabla4[[#This Row],[DESEMBOLSO 1]:[DESEMBOLSO 8]])</f>
        <v>114808701</v>
      </c>
      <c r="BC1207" s="35">
        <f>VLOOKUP(Tabla4[[#This Row],[SERVICIO 2025]],$J$2:$V$14,10,0)*Tabla4[[#This Row],[TOTAL COBERTURA]]*$W$3</f>
        <v>73596264</v>
      </c>
      <c r="BD1207" s="47" t="s">
        <v>211</v>
      </c>
      <c r="BE1207" s="12" t="b">
        <f>EXACT(Tabla4[[#This Row],[VALOR ATENCIÓN (8 MESES)]],Tabla4[[#This Row],[VALOR TOTAL]])</f>
        <v>1</v>
      </c>
      <c r="BF1207" s="23">
        <f>Tabla4[[#This Row],[VALOR ATENCIÓN (8 MESES)]]-Tabla4[[#This Row],[VALOR TOTAL]]</f>
        <v>0</v>
      </c>
      <c r="BG1207" s="12" t="b">
        <f>EXACT(Tabla4[[#This Row],[TOTAL DESEMBOLSOS]],Tabla4[[#This Row],[VALOR ATENCIÓN (8 MESES)]])</f>
        <v>1</v>
      </c>
      <c r="BH1207" s="29">
        <f>Tabla4[[#This Row],[TOTAL DESEMBOLSOS]]-Tabla4[[#This Row],[VALOR ATENCIÓN (8 MESES)]]</f>
        <v>0</v>
      </c>
      <c r="BI1207" t="s">
        <v>98</v>
      </c>
      <c r="BJ1207">
        <v>2015</v>
      </c>
    </row>
    <row r="1208" spans="1:62">
      <c r="A1208" s="13">
        <v>2015</v>
      </c>
      <c r="B1208" s="13" t="s">
        <v>2610</v>
      </c>
      <c r="C1208" s="12" t="s">
        <v>87</v>
      </c>
      <c r="D1208" s="12" t="s">
        <v>462</v>
      </c>
      <c r="E1208" s="12" t="s">
        <v>2499</v>
      </c>
      <c r="F1208" s="12" t="s">
        <v>19</v>
      </c>
      <c r="G1208" s="12" t="s">
        <v>90</v>
      </c>
      <c r="H1208" s="12" t="s">
        <v>2621</v>
      </c>
      <c r="I1208" s="12">
        <v>58371152064</v>
      </c>
      <c r="J1208" s="12" t="s">
        <v>2622</v>
      </c>
      <c r="K1208" s="12">
        <v>1</v>
      </c>
      <c r="L1208" s="12">
        <v>105</v>
      </c>
      <c r="M1208" s="12"/>
      <c r="N1208" s="13">
        <v>2015</v>
      </c>
      <c r="O1208" s="12" t="s">
        <v>93</v>
      </c>
      <c r="P1208" s="12"/>
      <c r="Q1208" s="12"/>
      <c r="R1208" s="12" t="s">
        <v>94</v>
      </c>
      <c r="S1208" s="12">
        <v>10</v>
      </c>
      <c r="T1208" s="12" t="s">
        <v>1538</v>
      </c>
      <c r="U1208" s="12" t="s">
        <v>1539</v>
      </c>
      <c r="V1208" s="12">
        <f>VLOOKUP(Tabla4[[#This Row],[ZONA DEFINITIVO]],Hoja1!$A$1:$D$121,3,0)</f>
        <v>229164</v>
      </c>
      <c r="W1208" s="12">
        <f>VLOOKUP(Tabla4[[#This Row],[ZONA DEFINITIVO]],Hoja1!$A$1:$D$121,2,0)</f>
        <v>15257</v>
      </c>
      <c r="X1208" s="12">
        <f>VLOOKUP(Tabla4[[#This Row],[ZONA DEFINITIVO]],Hoja1!$A$1:$D$121,4,0)</f>
        <v>90025</v>
      </c>
      <c r="Y1208" s="12" t="str">
        <f>+IF(Tabla4[[#This Row],[AGRUPACIONES]]=1,SUMIFS(Tabla4[UDS],Tabla4[ZONA DEFINITIVO],Tabla4[[#This Row],[ZONA DEFINITIVO]])," ")</f>
        <v xml:space="preserve"> </v>
      </c>
      <c r="Z1208" s="12" t="str">
        <f>+IF(Tabla4[[#This Row],[AGRUPACIONES]]=1,SUMIFS(Tabla4[TOTAL COBERTURA],Tabla4[ZONA DEFINITIVO],Tabla4[[#This Row],[ZONA DEFINITIVO]])," ")</f>
        <v xml:space="preserve"> </v>
      </c>
      <c r="AA1208" s="12"/>
      <c r="AB1208" s="38">
        <v>236370855</v>
      </c>
      <c r="AC1208" s="37">
        <v>0.02</v>
      </c>
      <c r="AD1208" s="38">
        <f t="shared" si="19"/>
        <v>4727417.1000000006</v>
      </c>
      <c r="AE1208" s="12"/>
      <c r="AF1208" s="12">
        <f>COUNTIF($A$20:A1208,A1208)</f>
        <v>6</v>
      </c>
      <c r="AG1208" s="38">
        <v>236370855</v>
      </c>
      <c r="AH1208" s="38">
        <f>Tabla4[[#This Row],[VALOR CONTRAPARTIDA]]+Tabla4[[#This Row],[TOTAL APORTES ICBF]]</f>
        <v>241098272.09999999</v>
      </c>
      <c r="AI1208" s="35"/>
      <c r="AJ1208" s="38"/>
      <c r="AK1208" s="38"/>
      <c r="AL1208" s="23"/>
      <c r="AM1208" s="35">
        <f>VLOOKUP(Tabla4[[#This Row],[SERVICIO 2025]],$J$2:$V$14,5,0)*Tabla4[[#This Row],[TOTAL COBERTURA]]</f>
        <v>5403615</v>
      </c>
      <c r="AN1208" s="35">
        <f>VLOOKUP(Tabla4[[#This Row],[SERVICIO 2025]],$J$2:$V$14,6,0)*Tabla4[[#This Row],[TOTAL COBERTURA]]</f>
        <v>4527180</v>
      </c>
      <c r="AO1208" s="35">
        <f>VLOOKUP(Tabla4[[#This Row],[SERVICIO 2025]],$J$2:$V$14,8,0)*Tabla4[[#This Row],[TOTAL COBERTURA]]</f>
        <v>3055500</v>
      </c>
      <c r="AP1208" s="35">
        <f>VLOOKUP(Tabla4[[#This Row],[SERVICIO 2025]],$J$2:$V$14,3,0)*Tabla4[[#This Row],[TOTAL COBERTURA]]*8</f>
        <v>223384560</v>
      </c>
      <c r="AQ1208" s="35"/>
      <c r="AR1208" s="35">
        <f>Tabla4[[#This Row],[VALOR FASE PREPARATORIA DE ALISTAMIENTO]]+Tabla4[[#This Row],[VALOR FASE PREPARATORIA DE CIERRE]]+Tabla4[[#This Row],[DOTACIÓN ÚNICA]]+Tabla4[[#This Row],[VALOR ATENCIÓN]]+Tabla4[[#This Row],[VALOR RACION PREPARADA]]</f>
        <v>236370855</v>
      </c>
      <c r="AS1208" s="35" t="str">
        <f>+IF(Tabla4[[#This Row],[AGRUPACIONES]]=1,SUMIFS(Tabla4[VALOR TOTAL],Tabla4[ZONA DEFINITIVO],Tabla4[[#This Row],[ZONA DEFINITIVO]])," ")</f>
        <v xml:space="preserve"> </v>
      </c>
      <c r="AT1208" s="27">
        <f>(VLOOKUP(Tabla4[[#This Row],[SERVICIO 2025]],$J$2:$V$14,3,0)*Tabla4[[#This Row],[TOTAL COBERTURA]])+Tabla4[[#This Row],[VALOR FASE PREPARATORIA DE ALISTAMIENTO]]+Tabla4[[#This Row],[DOTACIÓN ÚNICA]]</f>
        <v>36382185</v>
      </c>
      <c r="AU1208" s="35">
        <f>(VLOOKUP(Tabla4[[#This Row],[SERVICIO 2025]],$J$2:$V$14,3,0)*Tabla4[[#This Row],[TOTAL COBERTURA]])</f>
        <v>27923070</v>
      </c>
      <c r="AV1208" s="35">
        <f>(VLOOKUP(Tabla4[[#This Row],[SERVICIO 2025]],$J$2:$V$14,3,0)*Tabla4[[#This Row],[TOTAL COBERTURA]])</f>
        <v>27923070</v>
      </c>
      <c r="AW1208" s="35">
        <f>(VLOOKUP(Tabla4[[#This Row],[SERVICIO 2025]],$J$2:$V$14,3,0)*Tabla4[[#This Row],[TOTAL COBERTURA]])</f>
        <v>27923070</v>
      </c>
      <c r="AX1208" s="35">
        <f>(VLOOKUP(Tabla4[[#This Row],[SERVICIO 2025]],$J$2:$V$14,3,0)*Tabla4[[#This Row],[TOTAL COBERTURA]])</f>
        <v>27923070</v>
      </c>
      <c r="AY1208" s="35">
        <f>(VLOOKUP(Tabla4[[#This Row],[SERVICIO 2025]],$J$2:$V$14,3,0)*Tabla4[[#This Row],[TOTAL COBERTURA]])</f>
        <v>27923070</v>
      </c>
      <c r="AZ1208" s="35">
        <f>(VLOOKUP(Tabla4[[#This Row],[SERVICIO 2025]],$J$2:$V$14,3,0)*Tabla4[[#This Row],[TOTAL COBERTURA]])</f>
        <v>27923070</v>
      </c>
      <c r="BA1208" s="35">
        <f>(VLOOKUP(Tabla4[[#This Row],[SERVICIO 2025]],$J$2:$V$14,3,0)*Tabla4[[#This Row],[TOTAL COBERTURA]])+Tabla4[[#This Row],[VALOR FASE PREPARATORIA DE CIERRE]]</f>
        <v>32450250</v>
      </c>
      <c r="BB1208" s="35">
        <f>SUM(Tabla4[[#This Row],[DESEMBOLSO 1]:[DESEMBOLSO 8]])</f>
        <v>236370855</v>
      </c>
      <c r="BC1208" s="35">
        <f>VLOOKUP(Tabla4[[#This Row],[SERVICIO 2025]],$J$2:$V$14,10,0)*Tabla4[[#This Row],[TOTAL COBERTURA]]*$W$3</f>
        <v>151521720</v>
      </c>
      <c r="BD1208" s="47" t="s">
        <v>211</v>
      </c>
      <c r="BE1208" s="12" t="b">
        <f>EXACT(Tabla4[[#This Row],[VALOR ATENCIÓN (8 MESES)]],Tabla4[[#This Row],[VALOR TOTAL]])</f>
        <v>1</v>
      </c>
      <c r="BF1208" s="23">
        <f>Tabla4[[#This Row],[VALOR ATENCIÓN (8 MESES)]]-Tabla4[[#This Row],[VALOR TOTAL]]</f>
        <v>0</v>
      </c>
      <c r="BG1208" s="12" t="b">
        <f>EXACT(Tabla4[[#This Row],[TOTAL DESEMBOLSOS]],Tabla4[[#This Row],[VALOR ATENCIÓN (8 MESES)]])</f>
        <v>1</v>
      </c>
      <c r="BH1208" s="29">
        <f>Tabla4[[#This Row],[TOTAL DESEMBOLSOS]]-Tabla4[[#This Row],[VALOR ATENCIÓN (8 MESES)]]</f>
        <v>0</v>
      </c>
      <c r="BI1208" t="s">
        <v>98</v>
      </c>
      <c r="BJ1208">
        <v>2015</v>
      </c>
    </row>
    <row r="1209" spans="1:62">
      <c r="A1209" s="13">
        <v>2015</v>
      </c>
      <c r="B1209" s="13" t="s">
        <v>2610</v>
      </c>
      <c r="C1209" s="12" t="s">
        <v>87</v>
      </c>
      <c r="D1209" s="12" t="s">
        <v>462</v>
      </c>
      <c r="E1209" s="12" t="s">
        <v>2499</v>
      </c>
      <c r="F1209" s="12" t="s">
        <v>19</v>
      </c>
      <c r="G1209" s="12" t="s">
        <v>90</v>
      </c>
      <c r="H1209" s="12" t="s">
        <v>2623</v>
      </c>
      <c r="I1209" s="12">
        <v>583700104138</v>
      </c>
      <c r="J1209" s="12" t="s">
        <v>2624</v>
      </c>
      <c r="K1209" s="12">
        <v>1</v>
      </c>
      <c r="L1209" s="12">
        <v>52</v>
      </c>
      <c r="M1209" s="12"/>
      <c r="N1209" s="13">
        <v>2015</v>
      </c>
      <c r="O1209" s="12" t="s">
        <v>93</v>
      </c>
      <c r="P1209" s="12"/>
      <c r="Q1209" s="12"/>
      <c r="R1209" s="12" t="s">
        <v>94</v>
      </c>
      <c r="S1209" s="12">
        <v>10</v>
      </c>
      <c r="T1209" s="12" t="s">
        <v>1538</v>
      </c>
      <c r="U1209" s="12" t="s">
        <v>1539</v>
      </c>
      <c r="V1209" s="12">
        <f>VLOOKUP(Tabla4[[#This Row],[ZONA DEFINITIVO]],Hoja1!$A$1:$D$121,3,0)</f>
        <v>229164</v>
      </c>
      <c r="W1209" s="12">
        <f>VLOOKUP(Tabla4[[#This Row],[ZONA DEFINITIVO]],Hoja1!$A$1:$D$121,2,0)</f>
        <v>15257</v>
      </c>
      <c r="X1209" s="12">
        <f>VLOOKUP(Tabla4[[#This Row],[ZONA DEFINITIVO]],Hoja1!$A$1:$D$121,4,0)</f>
        <v>90025</v>
      </c>
      <c r="Y1209" s="12" t="str">
        <f>+IF(Tabla4[[#This Row],[AGRUPACIONES]]=1,SUMIFS(Tabla4[UDS],Tabla4[ZONA DEFINITIVO],Tabla4[[#This Row],[ZONA DEFINITIVO]])," ")</f>
        <v xml:space="preserve"> </v>
      </c>
      <c r="Z1209" s="12" t="str">
        <f>+IF(Tabla4[[#This Row],[AGRUPACIONES]]=1,SUMIFS(Tabla4[TOTAL COBERTURA],Tabla4[ZONA DEFINITIVO],Tabla4[[#This Row],[ZONA DEFINITIVO]])," ")</f>
        <v xml:space="preserve"> </v>
      </c>
      <c r="AA1209" s="12"/>
      <c r="AB1209" s="38">
        <v>117059852</v>
      </c>
      <c r="AC1209" s="37">
        <v>0.02</v>
      </c>
      <c r="AD1209" s="38">
        <f t="shared" si="19"/>
        <v>2341197.04</v>
      </c>
      <c r="AE1209" s="12"/>
      <c r="AF1209" s="12">
        <f>COUNTIF($A$20:A1209,A1209)</f>
        <v>7</v>
      </c>
      <c r="AG1209" s="38">
        <v>117059852</v>
      </c>
      <c r="AH1209" s="38">
        <f>Tabla4[[#This Row],[VALOR CONTRAPARTIDA]]+Tabla4[[#This Row],[TOTAL APORTES ICBF]]</f>
        <v>119401049.04000001</v>
      </c>
      <c r="AI1209" s="35"/>
      <c r="AJ1209" s="38"/>
      <c r="AK1209" s="38"/>
      <c r="AL1209" s="23"/>
      <c r="AM1209" s="35">
        <f>VLOOKUP(Tabla4[[#This Row],[SERVICIO 2025]],$J$2:$V$14,5,0)*Tabla4[[#This Row],[TOTAL COBERTURA]]</f>
        <v>2676076</v>
      </c>
      <c r="AN1209" s="35">
        <f>VLOOKUP(Tabla4[[#This Row],[SERVICIO 2025]],$J$2:$V$14,6,0)*Tabla4[[#This Row],[TOTAL COBERTURA]]</f>
        <v>2242032</v>
      </c>
      <c r="AO1209" s="35">
        <f>VLOOKUP(Tabla4[[#This Row],[SERVICIO 2025]],$J$2:$V$14,8,0)*Tabla4[[#This Row],[TOTAL COBERTURA]]</f>
        <v>1513200</v>
      </c>
      <c r="AP1209" s="35">
        <f>VLOOKUP(Tabla4[[#This Row],[SERVICIO 2025]],$J$2:$V$14,3,0)*Tabla4[[#This Row],[TOTAL COBERTURA]]*8</f>
        <v>110628544</v>
      </c>
      <c r="AQ1209" s="35"/>
      <c r="AR1209" s="35">
        <f>Tabla4[[#This Row],[VALOR FASE PREPARATORIA DE ALISTAMIENTO]]+Tabla4[[#This Row],[VALOR FASE PREPARATORIA DE CIERRE]]+Tabla4[[#This Row],[DOTACIÓN ÚNICA]]+Tabla4[[#This Row],[VALOR ATENCIÓN]]+Tabla4[[#This Row],[VALOR RACION PREPARADA]]</f>
        <v>117059852</v>
      </c>
      <c r="AS1209" s="35" t="str">
        <f>+IF(Tabla4[[#This Row],[AGRUPACIONES]]=1,SUMIFS(Tabla4[VALOR TOTAL],Tabla4[ZONA DEFINITIVO],Tabla4[[#This Row],[ZONA DEFINITIVO]])," ")</f>
        <v xml:space="preserve"> </v>
      </c>
      <c r="AT1209" s="27">
        <f>(VLOOKUP(Tabla4[[#This Row],[SERVICIO 2025]],$J$2:$V$14,3,0)*Tabla4[[#This Row],[TOTAL COBERTURA]])+Tabla4[[#This Row],[VALOR FASE PREPARATORIA DE ALISTAMIENTO]]+Tabla4[[#This Row],[DOTACIÓN ÚNICA]]</f>
        <v>18017844</v>
      </c>
      <c r="AU1209" s="35">
        <f>(VLOOKUP(Tabla4[[#This Row],[SERVICIO 2025]],$J$2:$V$14,3,0)*Tabla4[[#This Row],[TOTAL COBERTURA]])</f>
        <v>13828568</v>
      </c>
      <c r="AV1209" s="35">
        <f>(VLOOKUP(Tabla4[[#This Row],[SERVICIO 2025]],$J$2:$V$14,3,0)*Tabla4[[#This Row],[TOTAL COBERTURA]])</f>
        <v>13828568</v>
      </c>
      <c r="AW1209" s="35">
        <f>(VLOOKUP(Tabla4[[#This Row],[SERVICIO 2025]],$J$2:$V$14,3,0)*Tabla4[[#This Row],[TOTAL COBERTURA]])</f>
        <v>13828568</v>
      </c>
      <c r="AX1209" s="35">
        <f>(VLOOKUP(Tabla4[[#This Row],[SERVICIO 2025]],$J$2:$V$14,3,0)*Tabla4[[#This Row],[TOTAL COBERTURA]])</f>
        <v>13828568</v>
      </c>
      <c r="AY1209" s="35">
        <f>(VLOOKUP(Tabla4[[#This Row],[SERVICIO 2025]],$J$2:$V$14,3,0)*Tabla4[[#This Row],[TOTAL COBERTURA]])</f>
        <v>13828568</v>
      </c>
      <c r="AZ1209" s="35">
        <f>(VLOOKUP(Tabla4[[#This Row],[SERVICIO 2025]],$J$2:$V$14,3,0)*Tabla4[[#This Row],[TOTAL COBERTURA]])</f>
        <v>13828568</v>
      </c>
      <c r="BA1209" s="35">
        <f>(VLOOKUP(Tabla4[[#This Row],[SERVICIO 2025]],$J$2:$V$14,3,0)*Tabla4[[#This Row],[TOTAL COBERTURA]])+Tabla4[[#This Row],[VALOR FASE PREPARATORIA DE CIERRE]]</f>
        <v>16070600</v>
      </c>
      <c r="BB1209" s="35">
        <f>SUM(Tabla4[[#This Row],[DESEMBOLSO 1]:[DESEMBOLSO 8]])</f>
        <v>117059852</v>
      </c>
      <c r="BC1209" s="35">
        <f>VLOOKUP(Tabla4[[#This Row],[SERVICIO 2025]],$J$2:$V$14,10,0)*Tabla4[[#This Row],[TOTAL COBERTURA]]*$W$3</f>
        <v>75039328</v>
      </c>
      <c r="BD1209" s="47" t="s">
        <v>211</v>
      </c>
      <c r="BE1209" s="12" t="b">
        <f>EXACT(Tabla4[[#This Row],[VALOR ATENCIÓN (8 MESES)]],Tabla4[[#This Row],[VALOR TOTAL]])</f>
        <v>1</v>
      </c>
      <c r="BF1209" s="23">
        <f>Tabla4[[#This Row],[VALOR ATENCIÓN (8 MESES)]]-Tabla4[[#This Row],[VALOR TOTAL]]</f>
        <v>0</v>
      </c>
      <c r="BG1209" s="12" t="b">
        <f>EXACT(Tabla4[[#This Row],[TOTAL DESEMBOLSOS]],Tabla4[[#This Row],[VALOR ATENCIÓN (8 MESES)]])</f>
        <v>1</v>
      </c>
      <c r="BH1209" s="29">
        <f>Tabla4[[#This Row],[TOTAL DESEMBOLSOS]]-Tabla4[[#This Row],[VALOR ATENCIÓN (8 MESES)]]</f>
        <v>0</v>
      </c>
      <c r="BI1209" t="s">
        <v>98</v>
      </c>
      <c r="BJ1209">
        <v>2015</v>
      </c>
    </row>
    <row r="1210" spans="1:62">
      <c r="A1210" s="13">
        <v>2016</v>
      </c>
      <c r="B1210" s="13" t="s">
        <v>2625</v>
      </c>
      <c r="C1210" s="12" t="s">
        <v>87</v>
      </c>
      <c r="D1210" s="12" t="s">
        <v>579</v>
      </c>
      <c r="E1210" s="12" t="s">
        <v>2626</v>
      </c>
      <c r="F1210" s="12" t="s">
        <v>18</v>
      </c>
      <c r="G1210" s="12" t="s">
        <v>90</v>
      </c>
      <c r="H1210" s="12" t="s">
        <v>2627</v>
      </c>
      <c r="I1210" s="12">
        <v>58421136583</v>
      </c>
      <c r="J1210" s="12" t="s">
        <v>2628</v>
      </c>
      <c r="K1210" s="12">
        <v>1</v>
      </c>
      <c r="L1210" s="12">
        <v>12</v>
      </c>
      <c r="M1210" s="12"/>
      <c r="N1210" s="13">
        <v>2016</v>
      </c>
      <c r="O1210" s="12" t="s">
        <v>93</v>
      </c>
      <c r="P1210" s="12"/>
      <c r="Q1210" s="12"/>
      <c r="R1210" s="12" t="s">
        <v>94</v>
      </c>
      <c r="S1210" s="12">
        <v>10</v>
      </c>
      <c r="T1210" s="12" t="s">
        <v>2629</v>
      </c>
      <c r="U1210" s="12" t="s">
        <v>2630</v>
      </c>
      <c r="V1210" s="12">
        <f>VLOOKUP(Tabla4[[#This Row],[ZONA DEFINITIVO]],Hoja1!$A$1:$D$121,3,0)</f>
        <v>229165</v>
      </c>
      <c r="W1210" s="12">
        <f>VLOOKUP(Tabla4[[#This Row],[ZONA DEFINITIVO]],Hoja1!$A$1:$D$121,2,0)</f>
        <v>15226</v>
      </c>
      <c r="X1210" s="12">
        <f>VLOOKUP(Tabla4[[#This Row],[ZONA DEFINITIVO]],Hoja1!$A$1:$D$121,4,0)</f>
        <v>83725</v>
      </c>
      <c r="Y1210" s="12">
        <f>+IF(Tabla4[[#This Row],[AGRUPACIONES]]=1,SUMIFS(Tabla4[UDS],Tabla4[ZONA DEFINITIVO],Tabla4[[#This Row],[ZONA DEFINITIVO]])," ")</f>
        <v>5</v>
      </c>
      <c r="Z1210" s="12">
        <f>+IF(Tabla4[[#This Row],[AGRUPACIONES]]=1,SUMIFS(Tabla4[TOTAL COBERTURA],Tabla4[ZONA DEFINITIVO],Tabla4[[#This Row],[ZONA DEFINITIVO]])," ")</f>
        <v>127</v>
      </c>
      <c r="AA1210" s="12"/>
      <c r="AB1210" s="38">
        <v>26162316</v>
      </c>
      <c r="AC1210" s="37">
        <v>0.02</v>
      </c>
      <c r="AD1210" s="38">
        <f t="shared" si="19"/>
        <v>523246.32</v>
      </c>
      <c r="AE1210" s="12"/>
      <c r="AF1210" s="12">
        <f>COUNTIF($A$20:A1210,A1210)</f>
        <v>1</v>
      </c>
      <c r="AG1210" s="38">
        <v>26162316</v>
      </c>
      <c r="AH1210" s="38">
        <f>Tabla4[[#This Row],[VALOR CONTRAPARTIDA]]+Tabla4[[#This Row],[TOTAL APORTES ICBF]]</f>
        <v>26685562.32</v>
      </c>
      <c r="AI1210" s="35">
        <f>ROUND(+IF(Tabla4[[#This Row],[AGRUPACIONES]]=1,SUMIFS(Tabla4[TOTAL APORTES ICBF],Tabla4[ZONA DEFINITIVO],Tabla4[[#This Row],[ZONA DEFINITIVO]])," "),0)</f>
        <v>381334675</v>
      </c>
      <c r="AJ1210" s="38">
        <f>ROUND(+IF(Tabla4[[#This Row],[AGRUPACIONES]]=1,SUMIFS(Tabla4[VALOR CONTRAPARTIDA],Tabla4[ZONA DEFINITIVO],Tabla4[[#This Row],[ZONA DEFINITIVO]])," "),0)</f>
        <v>7626694</v>
      </c>
      <c r="AK1210" s="38">
        <f>Tabla4[[#This Row],[TOTAL APORTES ICBF AGRUPADO]]+Tabla4[[#This Row],[TOTAL CONTRAPARTIDA AGRUPADO]]</f>
        <v>388961369</v>
      </c>
      <c r="AL1210" s="23">
        <f>Tabla4[[#This Row],[TOTAL APORTES ICBF AGRUPADO]]/$AL$18</f>
        <v>267.8852651914296</v>
      </c>
      <c r="AM1210" s="35">
        <f>VLOOKUP(Tabla4[[#This Row],[SERVICIO 2025]],$J$2:$V$14,5,0)*Tabla4[[#This Row],[TOTAL COBERTURA]]</f>
        <v>592512</v>
      </c>
      <c r="AN1210" s="35">
        <f>VLOOKUP(Tabla4[[#This Row],[SERVICIO 2025]],$J$2:$V$14,6,0)*Tabla4[[#This Row],[TOTAL COBERTURA]]</f>
        <v>492348</v>
      </c>
      <c r="AO1210" s="35">
        <f>VLOOKUP(Tabla4[[#This Row],[SERVICIO 2025]],$J$2:$V$14,8,0)*Tabla4[[#This Row],[TOTAL COBERTURA]]</f>
        <v>349200</v>
      </c>
      <c r="AP1210" s="35">
        <f>VLOOKUP(Tabla4[[#This Row],[SERVICIO 2025]],$J$2:$V$14,3,0)*Tabla4[[#This Row],[TOTAL COBERTURA]]*8</f>
        <v>24728256</v>
      </c>
      <c r="AQ1210" s="35"/>
      <c r="AR1210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1210" s="35">
        <f>+IF(Tabla4[[#This Row],[AGRUPACIONES]]=1,SUMIFS(Tabla4[VALOR TOTAL],Tabla4[ZONA DEFINITIVO],Tabla4[[#This Row],[ZONA DEFINITIVO]])," ")</f>
        <v>381334675</v>
      </c>
      <c r="AT1210" s="27">
        <f>(VLOOKUP(Tabla4[[#This Row],[SERVICIO 2025]],$J$2:$V$14,3,0)*Tabla4[[#This Row],[TOTAL COBERTURA]])+Tabla4[[#This Row],[VALOR FASE PREPARATORIA DE ALISTAMIENTO]]+Tabla4[[#This Row],[DOTACIÓN ÚNICA]]</f>
        <v>4032744</v>
      </c>
      <c r="AU1210" s="35">
        <f>(VLOOKUP(Tabla4[[#This Row],[SERVICIO 2025]],$J$2:$V$14,3,0)*Tabla4[[#This Row],[TOTAL COBERTURA]])</f>
        <v>3091032</v>
      </c>
      <c r="AV1210" s="35">
        <f>(VLOOKUP(Tabla4[[#This Row],[SERVICIO 2025]],$J$2:$V$14,3,0)*Tabla4[[#This Row],[TOTAL COBERTURA]])</f>
        <v>3091032</v>
      </c>
      <c r="AW1210" s="35">
        <f>(VLOOKUP(Tabla4[[#This Row],[SERVICIO 2025]],$J$2:$V$14,3,0)*Tabla4[[#This Row],[TOTAL COBERTURA]])</f>
        <v>3091032</v>
      </c>
      <c r="AX1210" s="35">
        <f>(VLOOKUP(Tabla4[[#This Row],[SERVICIO 2025]],$J$2:$V$14,3,0)*Tabla4[[#This Row],[TOTAL COBERTURA]])</f>
        <v>3091032</v>
      </c>
      <c r="AY1210" s="35">
        <f>(VLOOKUP(Tabla4[[#This Row],[SERVICIO 2025]],$J$2:$V$14,3,0)*Tabla4[[#This Row],[TOTAL COBERTURA]])</f>
        <v>3091032</v>
      </c>
      <c r="AZ1210" s="35">
        <f>(VLOOKUP(Tabla4[[#This Row],[SERVICIO 2025]],$J$2:$V$14,3,0)*Tabla4[[#This Row],[TOTAL COBERTURA]])</f>
        <v>3091032</v>
      </c>
      <c r="BA1210" s="35">
        <f>(VLOOKUP(Tabla4[[#This Row],[SERVICIO 2025]],$J$2:$V$14,3,0)*Tabla4[[#This Row],[TOTAL COBERTURA]])+Tabla4[[#This Row],[VALOR FASE PREPARATORIA DE CIERRE]]</f>
        <v>3583380</v>
      </c>
      <c r="BB1210" s="35">
        <f>SUM(Tabla4[[#This Row],[DESEMBOLSO 1]:[DESEMBOLSO 8]])</f>
        <v>26162316</v>
      </c>
      <c r="BC1210" s="35">
        <f>VLOOKUP(Tabla4[[#This Row],[SERVICIO 2025]],$J$2:$V$14,10,0)*Tabla4[[#This Row],[TOTAL COBERTURA]]*$W$3</f>
        <v>17316768</v>
      </c>
      <c r="BD1210" s="47" t="s">
        <v>211</v>
      </c>
      <c r="BE1210" s="12" t="b">
        <f>EXACT(Tabla4[[#This Row],[VALOR ATENCIÓN (8 MESES)]],Tabla4[[#This Row],[VALOR TOTAL]])</f>
        <v>1</v>
      </c>
      <c r="BF1210" s="23">
        <f>Tabla4[[#This Row],[VALOR ATENCIÓN (8 MESES)]]-Tabla4[[#This Row],[VALOR TOTAL]]</f>
        <v>0</v>
      </c>
      <c r="BG1210" s="12" t="b">
        <f>EXACT(Tabla4[[#This Row],[TOTAL DESEMBOLSOS]],Tabla4[[#This Row],[VALOR ATENCIÓN (8 MESES)]])</f>
        <v>1</v>
      </c>
      <c r="BH1210" s="29">
        <f>Tabla4[[#This Row],[TOTAL DESEMBOLSOS]]-Tabla4[[#This Row],[VALOR ATENCIÓN (8 MESES)]]</f>
        <v>0</v>
      </c>
      <c r="BI1210" t="s">
        <v>98</v>
      </c>
      <c r="BJ1210">
        <v>2016</v>
      </c>
    </row>
    <row r="1211" spans="1:62">
      <c r="A1211" s="13">
        <v>2016</v>
      </c>
      <c r="B1211" s="13" t="s">
        <v>2625</v>
      </c>
      <c r="C1211" s="12" t="s">
        <v>87</v>
      </c>
      <c r="D1211" s="12" t="s">
        <v>579</v>
      </c>
      <c r="E1211" s="12" t="s">
        <v>2626</v>
      </c>
      <c r="F1211" s="12" t="s">
        <v>18</v>
      </c>
      <c r="G1211" s="12" t="s">
        <v>90</v>
      </c>
      <c r="H1211" s="12" t="s">
        <v>2631</v>
      </c>
      <c r="I1211" s="12">
        <v>58421147315</v>
      </c>
      <c r="J1211" s="12" t="s">
        <v>2632</v>
      </c>
      <c r="K1211" s="12">
        <v>1</v>
      </c>
      <c r="L1211" s="12">
        <v>22</v>
      </c>
      <c r="M1211" s="12"/>
      <c r="N1211" s="13">
        <v>2016</v>
      </c>
      <c r="O1211" s="12" t="s">
        <v>93</v>
      </c>
      <c r="P1211" s="12"/>
      <c r="Q1211" s="12"/>
      <c r="R1211" s="12" t="s">
        <v>94</v>
      </c>
      <c r="S1211" s="12">
        <v>10</v>
      </c>
      <c r="T1211" s="12" t="s">
        <v>2629</v>
      </c>
      <c r="U1211" s="12" t="s">
        <v>2630</v>
      </c>
      <c r="V1211" s="12">
        <f>VLOOKUP(Tabla4[[#This Row],[ZONA DEFINITIVO]],Hoja1!$A$1:$D$121,3,0)</f>
        <v>229165</v>
      </c>
      <c r="W1211" s="12">
        <f>VLOOKUP(Tabla4[[#This Row],[ZONA DEFINITIVO]],Hoja1!$A$1:$D$121,2,0)</f>
        <v>15226</v>
      </c>
      <c r="X1211" s="12">
        <f>VLOOKUP(Tabla4[[#This Row],[ZONA DEFINITIVO]],Hoja1!$A$1:$D$121,4,0)</f>
        <v>83725</v>
      </c>
      <c r="Y1211" s="12" t="str">
        <f>+IF(Tabla4[[#This Row],[AGRUPACIONES]]=1,SUMIFS(Tabla4[UDS],Tabla4[ZONA DEFINITIVO],Tabla4[[#This Row],[ZONA DEFINITIVO]])," ")</f>
        <v xml:space="preserve"> </v>
      </c>
      <c r="Z1211" s="12" t="str">
        <f>+IF(Tabla4[[#This Row],[AGRUPACIONES]]=1,SUMIFS(Tabla4[TOTAL COBERTURA],Tabla4[ZONA DEFINITIVO],Tabla4[[#This Row],[ZONA DEFINITIVO]])," ")</f>
        <v xml:space="preserve"> </v>
      </c>
      <c r="AA1211" s="12"/>
      <c r="AB1211" s="38">
        <v>47964246</v>
      </c>
      <c r="AC1211" s="37">
        <v>0.02</v>
      </c>
      <c r="AD1211" s="38">
        <f t="shared" si="19"/>
        <v>959284.92</v>
      </c>
      <c r="AE1211" s="12"/>
      <c r="AF1211" s="12">
        <f>COUNTIF($A$20:A1211,A1211)</f>
        <v>2</v>
      </c>
      <c r="AG1211" s="38">
        <v>47964246</v>
      </c>
      <c r="AH1211" s="38">
        <f>Tabla4[[#This Row],[VALOR CONTRAPARTIDA]]+Tabla4[[#This Row],[TOTAL APORTES ICBF]]</f>
        <v>48923530.920000002</v>
      </c>
      <c r="AI1211" s="35"/>
      <c r="AJ1211" s="38"/>
      <c r="AK1211" s="38"/>
      <c r="AL1211" s="23"/>
      <c r="AM1211" s="35">
        <f>VLOOKUP(Tabla4[[#This Row],[SERVICIO 2025]],$J$2:$V$14,5,0)*Tabla4[[#This Row],[TOTAL COBERTURA]]</f>
        <v>1086272</v>
      </c>
      <c r="AN1211" s="35">
        <f>VLOOKUP(Tabla4[[#This Row],[SERVICIO 2025]],$J$2:$V$14,6,0)*Tabla4[[#This Row],[TOTAL COBERTURA]]</f>
        <v>902638</v>
      </c>
      <c r="AO1211" s="35">
        <f>VLOOKUP(Tabla4[[#This Row],[SERVICIO 2025]],$J$2:$V$14,8,0)*Tabla4[[#This Row],[TOTAL COBERTURA]]</f>
        <v>640200</v>
      </c>
      <c r="AP1211" s="35">
        <f>VLOOKUP(Tabla4[[#This Row],[SERVICIO 2025]],$J$2:$V$14,3,0)*Tabla4[[#This Row],[TOTAL COBERTURA]]*8</f>
        <v>45335136</v>
      </c>
      <c r="AQ1211" s="35"/>
      <c r="AR1211" s="35">
        <f>Tabla4[[#This Row],[VALOR FASE PREPARATORIA DE ALISTAMIENTO]]+Tabla4[[#This Row],[VALOR FASE PREPARATORIA DE CIERRE]]+Tabla4[[#This Row],[DOTACIÓN ÚNICA]]+Tabla4[[#This Row],[VALOR ATENCIÓN]]+Tabla4[[#This Row],[VALOR RACION PREPARADA]]</f>
        <v>47964246</v>
      </c>
      <c r="AS1211" s="35" t="str">
        <f>+IF(Tabla4[[#This Row],[AGRUPACIONES]]=1,SUMIFS(Tabla4[VALOR TOTAL],Tabla4[ZONA DEFINITIVO],Tabla4[[#This Row],[ZONA DEFINITIVO]])," ")</f>
        <v xml:space="preserve"> </v>
      </c>
      <c r="AT1211" s="27">
        <f>(VLOOKUP(Tabla4[[#This Row],[SERVICIO 2025]],$J$2:$V$14,3,0)*Tabla4[[#This Row],[TOTAL COBERTURA]])+Tabla4[[#This Row],[VALOR FASE PREPARATORIA DE ALISTAMIENTO]]+Tabla4[[#This Row],[DOTACIÓN ÚNICA]]</f>
        <v>7393364</v>
      </c>
      <c r="AU1211" s="35">
        <f>(VLOOKUP(Tabla4[[#This Row],[SERVICIO 2025]],$J$2:$V$14,3,0)*Tabla4[[#This Row],[TOTAL COBERTURA]])</f>
        <v>5666892</v>
      </c>
      <c r="AV1211" s="35">
        <f>(VLOOKUP(Tabla4[[#This Row],[SERVICIO 2025]],$J$2:$V$14,3,0)*Tabla4[[#This Row],[TOTAL COBERTURA]])</f>
        <v>5666892</v>
      </c>
      <c r="AW1211" s="35">
        <f>(VLOOKUP(Tabla4[[#This Row],[SERVICIO 2025]],$J$2:$V$14,3,0)*Tabla4[[#This Row],[TOTAL COBERTURA]])</f>
        <v>5666892</v>
      </c>
      <c r="AX1211" s="35">
        <f>(VLOOKUP(Tabla4[[#This Row],[SERVICIO 2025]],$J$2:$V$14,3,0)*Tabla4[[#This Row],[TOTAL COBERTURA]])</f>
        <v>5666892</v>
      </c>
      <c r="AY1211" s="35">
        <f>(VLOOKUP(Tabla4[[#This Row],[SERVICIO 2025]],$J$2:$V$14,3,0)*Tabla4[[#This Row],[TOTAL COBERTURA]])</f>
        <v>5666892</v>
      </c>
      <c r="AZ1211" s="35">
        <f>(VLOOKUP(Tabla4[[#This Row],[SERVICIO 2025]],$J$2:$V$14,3,0)*Tabla4[[#This Row],[TOTAL COBERTURA]])</f>
        <v>5666892</v>
      </c>
      <c r="BA1211" s="35">
        <f>(VLOOKUP(Tabla4[[#This Row],[SERVICIO 2025]],$J$2:$V$14,3,0)*Tabla4[[#This Row],[TOTAL COBERTURA]])+Tabla4[[#This Row],[VALOR FASE PREPARATORIA DE CIERRE]]</f>
        <v>6569530</v>
      </c>
      <c r="BB1211" s="35">
        <f>SUM(Tabla4[[#This Row],[DESEMBOLSO 1]:[DESEMBOLSO 8]])</f>
        <v>47964246</v>
      </c>
      <c r="BC1211" s="35">
        <f>VLOOKUP(Tabla4[[#This Row],[SERVICIO 2025]],$J$2:$V$14,10,0)*Tabla4[[#This Row],[TOTAL COBERTURA]]*$W$3</f>
        <v>31747408</v>
      </c>
      <c r="BD1211" s="47" t="s">
        <v>211</v>
      </c>
      <c r="BE1211" s="12" t="b">
        <f>EXACT(Tabla4[[#This Row],[VALOR ATENCIÓN (8 MESES)]],Tabla4[[#This Row],[VALOR TOTAL]])</f>
        <v>1</v>
      </c>
      <c r="BF1211" s="23">
        <f>Tabla4[[#This Row],[VALOR ATENCIÓN (8 MESES)]]-Tabla4[[#This Row],[VALOR TOTAL]]</f>
        <v>0</v>
      </c>
      <c r="BG1211" s="12" t="b">
        <f>EXACT(Tabla4[[#This Row],[TOTAL DESEMBOLSOS]],Tabla4[[#This Row],[VALOR ATENCIÓN (8 MESES)]])</f>
        <v>1</v>
      </c>
      <c r="BH1211" s="29">
        <f>Tabla4[[#This Row],[TOTAL DESEMBOLSOS]]-Tabla4[[#This Row],[VALOR ATENCIÓN (8 MESES)]]</f>
        <v>0</v>
      </c>
      <c r="BI1211" t="s">
        <v>98</v>
      </c>
      <c r="BJ1211">
        <v>2016</v>
      </c>
    </row>
    <row r="1212" spans="1:62">
      <c r="A1212" s="13">
        <v>2016</v>
      </c>
      <c r="B1212" s="13" t="s">
        <v>2625</v>
      </c>
      <c r="C1212" s="12" t="s">
        <v>87</v>
      </c>
      <c r="D1212" s="12" t="s">
        <v>579</v>
      </c>
      <c r="E1212" s="12" t="s">
        <v>2626</v>
      </c>
      <c r="F1212" s="12" t="s">
        <v>18</v>
      </c>
      <c r="G1212" s="12" t="s">
        <v>90</v>
      </c>
      <c r="H1212" s="12" t="s">
        <v>2633</v>
      </c>
      <c r="I1212" s="12">
        <v>58421152020</v>
      </c>
      <c r="J1212" s="12" t="s">
        <v>2634</v>
      </c>
      <c r="K1212" s="12">
        <v>1</v>
      </c>
      <c r="L1212" s="12">
        <v>20</v>
      </c>
      <c r="M1212" s="12"/>
      <c r="N1212" s="13">
        <v>2016</v>
      </c>
      <c r="O1212" s="12" t="s">
        <v>93</v>
      </c>
      <c r="P1212" s="12"/>
      <c r="Q1212" s="12"/>
      <c r="R1212" s="12" t="s">
        <v>94</v>
      </c>
      <c r="S1212" s="12">
        <v>10</v>
      </c>
      <c r="T1212" s="12" t="s">
        <v>2629</v>
      </c>
      <c r="U1212" s="12" t="s">
        <v>2630</v>
      </c>
      <c r="V1212" s="12">
        <f>VLOOKUP(Tabla4[[#This Row],[ZONA DEFINITIVO]],Hoja1!$A$1:$D$121,3,0)</f>
        <v>229165</v>
      </c>
      <c r="W1212" s="12">
        <f>VLOOKUP(Tabla4[[#This Row],[ZONA DEFINITIVO]],Hoja1!$A$1:$D$121,2,0)</f>
        <v>15226</v>
      </c>
      <c r="X1212" s="12">
        <f>VLOOKUP(Tabla4[[#This Row],[ZONA DEFINITIVO]],Hoja1!$A$1:$D$121,4,0)</f>
        <v>83725</v>
      </c>
      <c r="Y1212" s="12" t="str">
        <f>+IF(Tabla4[[#This Row],[AGRUPACIONES]]=1,SUMIFS(Tabla4[UDS],Tabla4[ZONA DEFINITIVO],Tabla4[[#This Row],[ZONA DEFINITIVO]])," ")</f>
        <v xml:space="preserve"> </v>
      </c>
      <c r="Z1212" s="12" t="str">
        <f>+IF(Tabla4[[#This Row],[AGRUPACIONES]]=1,SUMIFS(Tabla4[TOTAL COBERTURA],Tabla4[ZONA DEFINITIVO],Tabla4[[#This Row],[ZONA DEFINITIVO]])," ")</f>
        <v xml:space="preserve"> </v>
      </c>
      <c r="AA1212" s="12"/>
      <c r="AB1212" s="38">
        <v>43603860</v>
      </c>
      <c r="AC1212" s="37">
        <v>0.02</v>
      </c>
      <c r="AD1212" s="38">
        <f t="shared" si="19"/>
        <v>872077.20000000007</v>
      </c>
      <c r="AE1212" s="12"/>
      <c r="AF1212" s="12">
        <f>COUNTIF($A$20:A1212,A1212)</f>
        <v>3</v>
      </c>
      <c r="AG1212" s="38">
        <v>43603860</v>
      </c>
      <c r="AH1212" s="38">
        <f>Tabla4[[#This Row],[VALOR CONTRAPARTIDA]]+Tabla4[[#This Row],[TOTAL APORTES ICBF]]</f>
        <v>44475937.200000003</v>
      </c>
      <c r="AI1212" s="35"/>
      <c r="AJ1212" s="38"/>
      <c r="AK1212" s="38"/>
      <c r="AL1212" s="23"/>
      <c r="AM1212" s="35">
        <f>VLOOKUP(Tabla4[[#This Row],[SERVICIO 2025]],$J$2:$V$14,5,0)*Tabla4[[#This Row],[TOTAL COBERTURA]]</f>
        <v>987520</v>
      </c>
      <c r="AN1212" s="35">
        <f>VLOOKUP(Tabla4[[#This Row],[SERVICIO 2025]],$J$2:$V$14,6,0)*Tabla4[[#This Row],[TOTAL COBERTURA]]</f>
        <v>820580</v>
      </c>
      <c r="AO1212" s="35">
        <f>VLOOKUP(Tabla4[[#This Row],[SERVICIO 2025]],$J$2:$V$14,8,0)*Tabla4[[#This Row],[TOTAL COBERTURA]]</f>
        <v>582000</v>
      </c>
      <c r="AP1212" s="35">
        <f>VLOOKUP(Tabla4[[#This Row],[SERVICIO 2025]],$J$2:$V$14,3,0)*Tabla4[[#This Row],[TOTAL COBERTURA]]*8</f>
        <v>41213760</v>
      </c>
      <c r="AQ1212" s="35"/>
      <c r="AR1212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212" s="35" t="str">
        <f>+IF(Tabla4[[#This Row],[AGRUPACIONES]]=1,SUMIFS(Tabla4[VALOR TOTAL],Tabla4[ZONA DEFINITIVO],Tabla4[[#This Row],[ZONA DEFINITIVO]])," ")</f>
        <v xml:space="preserve"> </v>
      </c>
      <c r="AT1212" s="27">
        <f>(VLOOKUP(Tabla4[[#This Row],[SERVICIO 2025]],$J$2:$V$14,3,0)*Tabla4[[#This Row],[TOTAL COBERTURA]])+Tabla4[[#This Row],[VALOR FASE PREPARATORIA DE ALISTAMIENTO]]+Tabla4[[#This Row],[DOTACIÓN ÚNICA]]</f>
        <v>6721240</v>
      </c>
      <c r="AU1212" s="35">
        <f>(VLOOKUP(Tabla4[[#This Row],[SERVICIO 2025]],$J$2:$V$14,3,0)*Tabla4[[#This Row],[TOTAL COBERTURA]])</f>
        <v>5151720</v>
      </c>
      <c r="AV1212" s="35">
        <f>(VLOOKUP(Tabla4[[#This Row],[SERVICIO 2025]],$J$2:$V$14,3,0)*Tabla4[[#This Row],[TOTAL COBERTURA]])</f>
        <v>5151720</v>
      </c>
      <c r="AW1212" s="35">
        <f>(VLOOKUP(Tabla4[[#This Row],[SERVICIO 2025]],$J$2:$V$14,3,0)*Tabla4[[#This Row],[TOTAL COBERTURA]])</f>
        <v>5151720</v>
      </c>
      <c r="AX1212" s="35">
        <f>(VLOOKUP(Tabla4[[#This Row],[SERVICIO 2025]],$J$2:$V$14,3,0)*Tabla4[[#This Row],[TOTAL COBERTURA]])</f>
        <v>5151720</v>
      </c>
      <c r="AY1212" s="35">
        <f>(VLOOKUP(Tabla4[[#This Row],[SERVICIO 2025]],$J$2:$V$14,3,0)*Tabla4[[#This Row],[TOTAL COBERTURA]])</f>
        <v>5151720</v>
      </c>
      <c r="AZ1212" s="35">
        <f>(VLOOKUP(Tabla4[[#This Row],[SERVICIO 2025]],$J$2:$V$14,3,0)*Tabla4[[#This Row],[TOTAL COBERTURA]])</f>
        <v>5151720</v>
      </c>
      <c r="BA1212" s="35">
        <f>(VLOOKUP(Tabla4[[#This Row],[SERVICIO 2025]],$J$2:$V$14,3,0)*Tabla4[[#This Row],[TOTAL COBERTURA]])+Tabla4[[#This Row],[VALOR FASE PREPARATORIA DE CIERRE]]</f>
        <v>5972300</v>
      </c>
      <c r="BB1212" s="35">
        <f>SUM(Tabla4[[#This Row],[DESEMBOLSO 1]:[DESEMBOLSO 8]])</f>
        <v>43603860</v>
      </c>
      <c r="BC1212" s="35">
        <f>VLOOKUP(Tabla4[[#This Row],[SERVICIO 2025]],$J$2:$V$14,10,0)*Tabla4[[#This Row],[TOTAL COBERTURA]]*$W$3</f>
        <v>28861280</v>
      </c>
      <c r="BD1212" s="47" t="s">
        <v>211</v>
      </c>
      <c r="BE1212" s="12" t="b">
        <f>EXACT(Tabla4[[#This Row],[VALOR ATENCIÓN (8 MESES)]],Tabla4[[#This Row],[VALOR TOTAL]])</f>
        <v>1</v>
      </c>
      <c r="BF1212" s="23">
        <f>Tabla4[[#This Row],[VALOR ATENCIÓN (8 MESES)]]-Tabla4[[#This Row],[VALOR TOTAL]]</f>
        <v>0</v>
      </c>
      <c r="BG1212" s="12" t="b">
        <f>EXACT(Tabla4[[#This Row],[TOTAL DESEMBOLSOS]],Tabla4[[#This Row],[VALOR ATENCIÓN (8 MESES)]])</f>
        <v>1</v>
      </c>
      <c r="BH1212" s="29">
        <f>Tabla4[[#This Row],[TOTAL DESEMBOLSOS]]-Tabla4[[#This Row],[VALOR ATENCIÓN (8 MESES)]]</f>
        <v>0</v>
      </c>
      <c r="BI1212" t="s">
        <v>98</v>
      </c>
      <c r="BJ1212">
        <v>2016</v>
      </c>
    </row>
    <row r="1213" spans="1:62">
      <c r="A1213" s="13">
        <v>2016</v>
      </c>
      <c r="B1213" s="13" t="s">
        <v>2625</v>
      </c>
      <c r="C1213" s="12" t="s">
        <v>87</v>
      </c>
      <c r="D1213" s="12" t="s">
        <v>579</v>
      </c>
      <c r="E1213" s="12" t="s">
        <v>2626</v>
      </c>
      <c r="F1213" s="12" t="s">
        <v>14</v>
      </c>
      <c r="G1213" s="12" t="s">
        <v>90</v>
      </c>
      <c r="H1213" s="12" t="s">
        <v>2635</v>
      </c>
      <c r="I1213" s="12">
        <v>584200047590</v>
      </c>
      <c r="J1213" s="12" t="s">
        <v>2636</v>
      </c>
      <c r="K1213" s="12">
        <v>1</v>
      </c>
      <c r="L1213" s="12">
        <v>52</v>
      </c>
      <c r="M1213" s="12"/>
      <c r="N1213" s="13">
        <v>2016</v>
      </c>
      <c r="O1213" s="12" t="s">
        <v>93</v>
      </c>
      <c r="P1213" s="12"/>
      <c r="Q1213" s="12"/>
      <c r="R1213" s="12" t="s">
        <v>94</v>
      </c>
      <c r="S1213" s="12">
        <v>10</v>
      </c>
      <c r="T1213" s="12" t="s">
        <v>2629</v>
      </c>
      <c r="U1213" s="12" t="s">
        <v>2630</v>
      </c>
      <c r="V1213" s="12">
        <f>VLOOKUP(Tabla4[[#This Row],[ZONA DEFINITIVO]],Hoja1!$A$1:$D$121,3,0)</f>
        <v>229165</v>
      </c>
      <c r="W1213" s="12">
        <f>VLOOKUP(Tabla4[[#This Row],[ZONA DEFINITIVO]],Hoja1!$A$1:$D$121,2,0)</f>
        <v>15226</v>
      </c>
      <c r="X1213" s="12">
        <f>VLOOKUP(Tabla4[[#This Row],[ZONA DEFINITIVO]],Hoja1!$A$1:$D$121,4,0)</f>
        <v>83725</v>
      </c>
      <c r="Y1213" s="12" t="str">
        <f>+IF(Tabla4[[#This Row],[AGRUPACIONES]]=1,SUMIFS(Tabla4[UDS],Tabla4[ZONA DEFINITIVO],Tabla4[[#This Row],[ZONA DEFINITIVO]])," ")</f>
        <v xml:space="preserve"> </v>
      </c>
      <c r="Z1213" s="12" t="str">
        <f>+IF(Tabla4[[#This Row],[AGRUPACIONES]]=1,SUMIFS(Tabla4[TOTAL COBERTURA],Tabla4[ZONA DEFINITIVO],Tabla4[[#This Row],[ZONA DEFINITIVO]])," ")</f>
        <v xml:space="preserve"> </v>
      </c>
      <c r="AA1213" s="12"/>
      <c r="AB1213" s="38">
        <v>217820200</v>
      </c>
      <c r="AC1213" s="37">
        <v>0.02</v>
      </c>
      <c r="AD1213" s="38">
        <f t="shared" si="19"/>
        <v>4356404</v>
      </c>
      <c r="AE1213" s="12"/>
      <c r="AF1213" s="12">
        <f>COUNTIF($A$20:A1213,A1213)</f>
        <v>4</v>
      </c>
      <c r="AG1213" s="38">
        <v>217820200</v>
      </c>
      <c r="AH1213" s="38">
        <f>Tabla4[[#This Row],[VALOR CONTRAPARTIDA]]+Tabla4[[#This Row],[TOTAL APORTES ICBF]]</f>
        <v>222176604</v>
      </c>
      <c r="AI1213" s="35"/>
      <c r="AJ1213" s="38"/>
      <c r="AK1213" s="38"/>
      <c r="AL1213" s="23"/>
      <c r="AM1213" s="35">
        <f>VLOOKUP(Tabla4[[#This Row],[SERVICIO 2025]],$J$2:$V$14,5,0)*Tabla4[[#This Row],[TOTAL COBERTURA]]</f>
        <v>4583436</v>
      </c>
      <c r="AN1213" s="35">
        <f>VLOOKUP(Tabla4[[#This Row],[SERVICIO 2025]],$J$2:$V$14,6,0)*Tabla4[[#This Row],[TOTAL COBERTURA]]</f>
        <v>3902236</v>
      </c>
      <c r="AO1213" s="35">
        <f>VLOOKUP(Tabla4[[#This Row],[SERVICIO 2025]],$J$2:$V$14,8,0)*Tabla4[[#This Row],[TOTAL COBERTURA]]</f>
        <v>0</v>
      </c>
      <c r="AP1213" s="35">
        <f>VLOOKUP(Tabla4[[#This Row],[SERVICIO 2025]],$J$2:$V$14,3,0)*Tabla4[[#This Row],[TOTAL COBERTURA]]*8</f>
        <v>209334528</v>
      </c>
      <c r="AQ1213" s="35"/>
      <c r="AR1213" s="35">
        <f>Tabla4[[#This Row],[VALOR FASE PREPARATORIA DE ALISTAMIENTO]]+Tabla4[[#This Row],[VALOR FASE PREPARATORIA DE CIERRE]]+Tabla4[[#This Row],[DOTACIÓN ÚNICA]]+Tabla4[[#This Row],[VALOR ATENCIÓN]]+Tabla4[[#This Row],[VALOR RACION PREPARADA]]</f>
        <v>217820200</v>
      </c>
      <c r="AS1213" s="35" t="str">
        <f>+IF(Tabla4[[#This Row],[AGRUPACIONES]]=1,SUMIFS(Tabla4[VALOR TOTAL],Tabla4[ZONA DEFINITIVO],Tabla4[[#This Row],[ZONA DEFINITIVO]])," ")</f>
        <v xml:space="preserve"> </v>
      </c>
      <c r="AT1213" s="27">
        <f>(VLOOKUP(Tabla4[[#This Row],[SERVICIO 2025]],$J$2:$V$14,3,0)*Tabla4[[#This Row],[TOTAL COBERTURA]])+Tabla4[[#This Row],[VALOR FASE PREPARATORIA DE ALISTAMIENTO]]+Tabla4[[#This Row],[DOTACIÓN ÚNICA]]</f>
        <v>30750252</v>
      </c>
      <c r="AU1213" s="35">
        <f>(VLOOKUP(Tabla4[[#This Row],[SERVICIO 2025]],$J$2:$V$14,3,0)*Tabla4[[#This Row],[TOTAL COBERTURA]])</f>
        <v>26166816</v>
      </c>
      <c r="AV1213" s="35">
        <f>(VLOOKUP(Tabla4[[#This Row],[SERVICIO 2025]],$J$2:$V$14,3,0)*Tabla4[[#This Row],[TOTAL COBERTURA]])</f>
        <v>26166816</v>
      </c>
      <c r="AW1213" s="35">
        <f>(VLOOKUP(Tabla4[[#This Row],[SERVICIO 2025]],$J$2:$V$14,3,0)*Tabla4[[#This Row],[TOTAL COBERTURA]])</f>
        <v>26166816</v>
      </c>
      <c r="AX1213" s="35">
        <f>(VLOOKUP(Tabla4[[#This Row],[SERVICIO 2025]],$J$2:$V$14,3,0)*Tabla4[[#This Row],[TOTAL COBERTURA]])</f>
        <v>26166816</v>
      </c>
      <c r="AY1213" s="35">
        <f>(VLOOKUP(Tabla4[[#This Row],[SERVICIO 2025]],$J$2:$V$14,3,0)*Tabla4[[#This Row],[TOTAL COBERTURA]])</f>
        <v>26166816</v>
      </c>
      <c r="AZ1213" s="35">
        <f>(VLOOKUP(Tabla4[[#This Row],[SERVICIO 2025]],$J$2:$V$14,3,0)*Tabla4[[#This Row],[TOTAL COBERTURA]])</f>
        <v>26166816</v>
      </c>
      <c r="BA1213" s="35">
        <f>(VLOOKUP(Tabla4[[#This Row],[SERVICIO 2025]],$J$2:$V$14,3,0)*Tabla4[[#This Row],[TOTAL COBERTURA]])+Tabla4[[#This Row],[VALOR FASE PREPARATORIA DE CIERRE]]</f>
        <v>30069052</v>
      </c>
      <c r="BB1213" s="35">
        <f>SUM(Tabla4[[#This Row],[DESEMBOLSO 1]:[DESEMBOLSO 8]])</f>
        <v>217820200</v>
      </c>
      <c r="BC1213" s="35">
        <f>VLOOKUP(Tabla4[[#This Row],[SERVICIO 2025]],$J$2:$V$14,10,0)*Tabla4[[#This Row],[TOTAL COBERTURA]]*$W$3</f>
        <v>0</v>
      </c>
      <c r="BD1213" s="47" t="s">
        <v>145</v>
      </c>
      <c r="BE1213" s="12" t="b">
        <f>EXACT(Tabla4[[#This Row],[VALOR ATENCIÓN (8 MESES)]],Tabla4[[#This Row],[VALOR TOTAL]])</f>
        <v>1</v>
      </c>
      <c r="BF1213" s="23">
        <f>Tabla4[[#This Row],[VALOR ATENCIÓN (8 MESES)]]-Tabla4[[#This Row],[VALOR TOTAL]]</f>
        <v>0</v>
      </c>
      <c r="BG1213" s="12" t="b">
        <f>EXACT(Tabla4[[#This Row],[TOTAL DESEMBOLSOS]],Tabla4[[#This Row],[VALOR ATENCIÓN (8 MESES)]])</f>
        <v>1</v>
      </c>
      <c r="BH1213" s="29">
        <f>Tabla4[[#This Row],[TOTAL DESEMBOLSOS]]-Tabla4[[#This Row],[VALOR ATENCIÓN (8 MESES)]]</f>
        <v>0</v>
      </c>
      <c r="BI1213" t="s">
        <v>98</v>
      </c>
      <c r="BJ1213">
        <v>2016</v>
      </c>
    </row>
    <row r="1214" spans="1:62">
      <c r="A1214" s="13">
        <v>2016</v>
      </c>
      <c r="B1214" s="13" t="s">
        <v>2625</v>
      </c>
      <c r="C1214" s="12" t="s">
        <v>87</v>
      </c>
      <c r="D1214" s="12" t="s">
        <v>579</v>
      </c>
      <c r="E1214" s="12" t="s">
        <v>2626</v>
      </c>
      <c r="F1214" s="12" t="s">
        <v>18</v>
      </c>
      <c r="G1214" s="12" t="s">
        <v>90</v>
      </c>
      <c r="H1214" s="12" t="s">
        <v>2637</v>
      </c>
      <c r="I1214" s="12">
        <v>584200104744</v>
      </c>
      <c r="J1214" s="12" t="s">
        <v>2638</v>
      </c>
      <c r="K1214" s="12">
        <v>1</v>
      </c>
      <c r="L1214" s="12">
        <v>21</v>
      </c>
      <c r="M1214" s="12"/>
      <c r="N1214" s="13">
        <v>2016</v>
      </c>
      <c r="O1214" s="12" t="s">
        <v>93</v>
      </c>
      <c r="P1214" s="12"/>
      <c r="Q1214" s="12"/>
      <c r="R1214" s="12" t="s">
        <v>94</v>
      </c>
      <c r="S1214" s="12">
        <v>10</v>
      </c>
      <c r="T1214" s="12" t="s">
        <v>2629</v>
      </c>
      <c r="U1214" s="12" t="s">
        <v>2630</v>
      </c>
      <c r="V1214" s="12">
        <f>VLOOKUP(Tabla4[[#This Row],[ZONA DEFINITIVO]],Hoja1!$A$1:$D$121,3,0)</f>
        <v>229165</v>
      </c>
      <c r="W1214" s="12">
        <f>VLOOKUP(Tabla4[[#This Row],[ZONA DEFINITIVO]],Hoja1!$A$1:$D$121,2,0)</f>
        <v>15226</v>
      </c>
      <c r="X1214" s="12">
        <f>VLOOKUP(Tabla4[[#This Row],[ZONA DEFINITIVO]],Hoja1!$A$1:$D$121,4,0)</f>
        <v>83725</v>
      </c>
      <c r="Y1214" s="12" t="str">
        <f>+IF(Tabla4[[#This Row],[AGRUPACIONES]]=1,SUMIFS(Tabla4[UDS],Tabla4[ZONA DEFINITIVO],Tabla4[[#This Row],[ZONA DEFINITIVO]])," ")</f>
        <v xml:space="preserve"> </v>
      </c>
      <c r="Z1214" s="12" t="str">
        <f>+IF(Tabla4[[#This Row],[AGRUPACIONES]]=1,SUMIFS(Tabla4[TOTAL COBERTURA],Tabla4[ZONA DEFINITIVO],Tabla4[[#This Row],[ZONA DEFINITIVO]])," ")</f>
        <v xml:space="preserve"> </v>
      </c>
      <c r="AA1214" s="12"/>
      <c r="AB1214" s="38">
        <v>45784053</v>
      </c>
      <c r="AC1214" s="37">
        <v>0.02</v>
      </c>
      <c r="AD1214" s="38">
        <f t="shared" si="19"/>
        <v>915681.06</v>
      </c>
      <c r="AE1214" s="12"/>
      <c r="AF1214" s="12">
        <f>COUNTIF($A$20:A1214,A1214)</f>
        <v>5</v>
      </c>
      <c r="AG1214" s="38">
        <v>45784053</v>
      </c>
      <c r="AH1214" s="38">
        <f>Tabla4[[#This Row],[VALOR CONTRAPARTIDA]]+Tabla4[[#This Row],[TOTAL APORTES ICBF]]</f>
        <v>46699734.060000002</v>
      </c>
      <c r="AI1214" s="35"/>
      <c r="AJ1214" s="38"/>
      <c r="AK1214" s="38"/>
      <c r="AL1214" s="23"/>
      <c r="AM1214" s="35">
        <f>VLOOKUP(Tabla4[[#This Row],[SERVICIO 2025]],$J$2:$V$14,5,0)*Tabla4[[#This Row],[TOTAL COBERTURA]]</f>
        <v>1036896</v>
      </c>
      <c r="AN1214" s="35">
        <f>VLOOKUP(Tabla4[[#This Row],[SERVICIO 2025]],$J$2:$V$14,6,0)*Tabla4[[#This Row],[TOTAL COBERTURA]]</f>
        <v>861609</v>
      </c>
      <c r="AO1214" s="35">
        <f>VLOOKUP(Tabla4[[#This Row],[SERVICIO 2025]],$J$2:$V$14,8,0)*Tabla4[[#This Row],[TOTAL COBERTURA]]</f>
        <v>611100</v>
      </c>
      <c r="AP1214" s="35">
        <f>VLOOKUP(Tabla4[[#This Row],[SERVICIO 2025]],$J$2:$V$14,3,0)*Tabla4[[#This Row],[TOTAL COBERTURA]]*8</f>
        <v>43274448</v>
      </c>
      <c r="AQ1214" s="35"/>
      <c r="AR1214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1214" s="35" t="str">
        <f>+IF(Tabla4[[#This Row],[AGRUPACIONES]]=1,SUMIFS(Tabla4[VALOR TOTAL],Tabla4[ZONA DEFINITIVO],Tabla4[[#This Row],[ZONA DEFINITIVO]])," ")</f>
        <v xml:space="preserve"> </v>
      </c>
      <c r="AT1214" s="27">
        <f>(VLOOKUP(Tabla4[[#This Row],[SERVICIO 2025]],$J$2:$V$14,3,0)*Tabla4[[#This Row],[TOTAL COBERTURA]])+Tabla4[[#This Row],[VALOR FASE PREPARATORIA DE ALISTAMIENTO]]+Tabla4[[#This Row],[DOTACIÓN ÚNICA]]</f>
        <v>7057302</v>
      </c>
      <c r="AU1214" s="35">
        <f>(VLOOKUP(Tabla4[[#This Row],[SERVICIO 2025]],$J$2:$V$14,3,0)*Tabla4[[#This Row],[TOTAL COBERTURA]])</f>
        <v>5409306</v>
      </c>
      <c r="AV1214" s="35">
        <f>(VLOOKUP(Tabla4[[#This Row],[SERVICIO 2025]],$J$2:$V$14,3,0)*Tabla4[[#This Row],[TOTAL COBERTURA]])</f>
        <v>5409306</v>
      </c>
      <c r="AW1214" s="35">
        <f>(VLOOKUP(Tabla4[[#This Row],[SERVICIO 2025]],$J$2:$V$14,3,0)*Tabla4[[#This Row],[TOTAL COBERTURA]])</f>
        <v>5409306</v>
      </c>
      <c r="AX1214" s="35">
        <f>(VLOOKUP(Tabla4[[#This Row],[SERVICIO 2025]],$J$2:$V$14,3,0)*Tabla4[[#This Row],[TOTAL COBERTURA]])</f>
        <v>5409306</v>
      </c>
      <c r="AY1214" s="35">
        <f>(VLOOKUP(Tabla4[[#This Row],[SERVICIO 2025]],$J$2:$V$14,3,0)*Tabla4[[#This Row],[TOTAL COBERTURA]])</f>
        <v>5409306</v>
      </c>
      <c r="AZ1214" s="35">
        <f>(VLOOKUP(Tabla4[[#This Row],[SERVICIO 2025]],$J$2:$V$14,3,0)*Tabla4[[#This Row],[TOTAL COBERTURA]])</f>
        <v>5409306</v>
      </c>
      <c r="BA1214" s="35">
        <f>(VLOOKUP(Tabla4[[#This Row],[SERVICIO 2025]],$J$2:$V$14,3,0)*Tabla4[[#This Row],[TOTAL COBERTURA]])+Tabla4[[#This Row],[VALOR FASE PREPARATORIA DE CIERRE]]</f>
        <v>6270915</v>
      </c>
      <c r="BB1214" s="35">
        <f>SUM(Tabla4[[#This Row],[DESEMBOLSO 1]:[DESEMBOLSO 8]])</f>
        <v>45784053</v>
      </c>
      <c r="BC1214" s="35">
        <f>VLOOKUP(Tabla4[[#This Row],[SERVICIO 2025]],$J$2:$V$14,10,0)*Tabla4[[#This Row],[TOTAL COBERTURA]]*$W$3</f>
        <v>30304344</v>
      </c>
      <c r="BD1214" s="47" t="s">
        <v>211</v>
      </c>
      <c r="BE1214" s="12" t="b">
        <f>EXACT(Tabla4[[#This Row],[VALOR ATENCIÓN (8 MESES)]],Tabla4[[#This Row],[VALOR TOTAL]])</f>
        <v>1</v>
      </c>
      <c r="BF1214" s="23">
        <f>Tabla4[[#This Row],[VALOR ATENCIÓN (8 MESES)]]-Tabla4[[#This Row],[VALOR TOTAL]]</f>
        <v>0</v>
      </c>
      <c r="BG1214" s="12" t="b">
        <f>EXACT(Tabla4[[#This Row],[TOTAL DESEMBOLSOS]],Tabla4[[#This Row],[VALOR ATENCIÓN (8 MESES)]])</f>
        <v>1</v>
      </c>
      <c r="BH1214" s="29">
        <f>Tabla4[[#This Row],[TOTAL DESEMBOLSOS]]-Tabla4[[#This Row],[VALOR ATENCIÓN (8 MESES)]]</f>
        <v>0</v>
      </c>
      <c r="BI1214" t="s">
        <v>98</v>
      </c>
      <c r="BJ1214">
        <v>2016</v>
      </c>
    </row>
    <row r="1215" spans="1:62">
      <c r="A1215" s="13">
        <v>2024</v>
      </c>
      <c r="B1215" s="13" t="s">
        <v>2639</v>
      </c>
      <c r="C1215" s="12" t="s">
        <v>87</v>
      </c>
      <c r="D1215" s="12" t="s">
        <v>482</v>
      </c>
      <c r="E1215" s="12" t="s">
        <v>2640</v>
      </c>
      <c r="F1215" s="12" t="s">
        <v>18</v>
      </c>
      <c r="G1215" s="12" t="s">
        <v>90</v>
      </c>
      <c r="H1215" s="12" t="s">
        <v>2641</v>
      </c>
      <c r="I1215" s="12">
        <v>55791151114</v>
      </c>
      <c r="J1215" s="12" t="s">
        <v>2642</v>
      </c>
      <c r="K1215" s="12">
        <v>1</v>
      </c>
      <c r="L1215" s="12">
        <v>12</v>
      </c>
      <c r="M1215" s="12"/>
      <c r="N1215" s="13">
        <v>2024</v>
      </c>
      <c r="O1215" s="12" t="s">
        <v>93</v>
      </c>
      <c r="P1215" s="12"/>
      <c r="Q1215" s="12"/>
      <c r="R1215" s="12" t="s">
        <v>94</v>
      </c>
      <c r="S1215" s="12">
        <v>10</v>
      </c>
      <c r="T1215" s="12" t="s">
        <v>486</v>
      </c>
      <c r="U1215" s="12" t="s">
        <v>487</v>
      </c>
      <c r="V1215" s="12">
        <f>VLOOKUP(Tabla4[[#This Row],[ZONA DEFINITIVO]],Hoja1!$A$1:$D$121,3,0)</f>
        <v>229166</v>
      </c>
      <c r="W1215" s="12">
        <f>VLOOKUP(Tabla4[[#This Row],[ZONA DEFINITIVO]],Hoja1!$A$1:$D$121,2,0)</f>
        <v>15252</v>
      </c>
      <c r="X1215" s="12">
        <f>VLOOKUP(Tabla4[[#This Row],[ZONA DEFINITIVO]],Hoja1!$A$1:$D$121,4,0)</f>
        <v>89525</v>
      </c>
      <c r="Y1215" s="12">
        <f>+IF(Tabla4[[#This Row],[AGRUPACIONES]]=1,SUMIFS(Tabla4[UDS],Tabla4[ZONA DEFINITIVO],Tabla4[[#This Row],[ZONA DEFINITIVO]])," ")</f>
        <v>20</v>
      </c>
      <c r="Z1215" s="12">
        <f>+IF(Tabla4[[#This Row],[AGRUPACIONES]]=1,SUMIFS(Tabla4[TOTAL COBERTURA],Tabla4[ZONA DEFINITIVO],Tabla4[[#This Row],[ZONA DEFINITIVO]])," ")</f>
        <v>534</v>
      </c>
      <c r="AA1215" s="12"/>
      <c r="AB1215" s="38">
        <v>26162316</v>
      </c>
      <c r="AC1215" s="37">
        <v>0.02</v>
      </c>
      <c r="AD1215" s="38">
        <f t="shared" si="19"/>
        <v>523246.32</v>
      </c>
      <c r="AE1215" s="12"/>
      <c r="AF1215" s="12">
        <f>COUNTIF($A$20:A1215,A1215)</f>
        <v>1</v>
      </c>
      <c r="AG1215" s="38">
        <v>26162316</v>
      </c>
      <c r="AH1215" s="38">
        <f>Tabla4[[#This Row],[VALOR CONTRAPARTIDA]]+Tabla4[[#This Row],[TOTAL APORTES ICBF]]</f>
        <v>26685562.32</v>
      </c>
      <c r="AI1215" s="35">
        <f>ROUND(+IF(Tabla4[[#This Row],[AGRUPACIONES]]=1,SUMIFS(Tabla4[TOTAL APORTES ICBF],Tabla4[ZONA DEFINITIVO],Tabla4[[#This Row],[ZONA DEFINITIVO]])," "),0)</f>
        <v>1280014582</v>
      </c>
      <c r="AJ1215" s="38">
        <f>ROUND(+IF(Tabla4[[#This Row],[AGRUPACIONES]]=1,SUMIFS(Tabla4[VALOR CONTRAPARTIDA],Tabla4[ZONA DEFINITIVO],Tabla4[[#This Row],[ZONA DEFINITIVO]])," "),0)</f>
        <v>25600292</v>
      </c>
      <c r="AK1215" s="38">
        <f>Tabla4[[#This Row],[TOTAL APORTES ICBF AGRUPADO]]+Tabla4[[#This Row],[TOTAL CONTRAPARTIDA AGRUPADO]]</f>
        <v>1305614874</v>
      </c>
      <c r="AL1215" s="23">
        <f>Tabla4[[#This Row],[TOTAL APORTES ICBF AGRUPADO]]/$AL$18</f>
        <v>899.20237583421147</v>
      </c>
      <c r="AM1215" s="35">
        <f>VLOOKUP(Tabla4[[#This Row],[SERVICIO 2025]],$J$2:$V$14,5,0)*Tabla4[[#This Row],[TOTAL COBERTURA]]</f>
        <v>592512</v>
      </c>
      <c r="AN1215" s="35">
        <f>VLOOKUP(Tabla4[[#This Row],[SERVICIO 2025]],$J$2:$V$14,6,0)*Tabla4[[#This Row],[TOTAL COBERTURA]]</f>
        <v>492348</v>
      </c>
      <c r="AO1215" s="35">
        <f>VLOOKUP(Tabla4[[#This Row],[SERVICIO 2025]],$J$2:$V$14,8,0)*Tabla4[[#This Row],[TOTAL COBERTURA]]</f>
        <v>349200</v>
      </c>
      <c r="AP1215" s="35">
        <f>VLOOKUP(Tabla4[[#This Row],[SERVICIO 2025]],$J$2:$V$14,3,0)*Tabla4[[#This Row],[TOTAL COBERTURA]]*8</f>
        <v>24728256</v>
      </c>
      <c r="AQ1215" s="35"/>
      <c r="AR1215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1215" s="35">
        <f>+IF(Tabla4[[#This Row],[AGRUPACIONES]]=1,SUMIFS(Tabla4[VALOR TOTAL],Tabla4[ZONA DEFINITIVO],Tabla4[[#This Row],[ZONA DEFINITIVO]])," ")</f>
        <v>1280014582</v>
      </c>
      <c r="AT1215" s="27">
        <f>(VLOOKUP(Tabla4[[#This Row],[SERVICIO 2025]],$J$2:$V$14,3,0)*Tabla4[[#This Row],[TOTAL COBERTURA]])+Tabla4[[#This Row],[VALOR FASE PREPARATORIA DE ALISTAMIENTO]]+Tabla4[[#This Row],[DOTACIÓN ÚNICA]]</f>
        <v>4032744</v>
      </c>
      <c r="AU1215" s="35">
        <f>(VLOOKUP(Tabla4[[#This Row],[SERVICIO 2025]],$J$2:$V$14,3,0)*Tabla4[[#This Row],[TOTAL COBERTURA]])</f>
        <v>3091032</v>
      </c>
      <c r="AV1215" s="35">
        <f>(VLOOKUP(Tabla4[[#This Row],[SERVICIO 2025]],$J$2:$V$14,3,0)*Tabla4[[#This Row],[TOTAL COBERTURA]])</f>
        <v>3091032</v>
      </c>
      <c r="AW1215" s="35">
        <f>(VLOOKUP(Tabla4[[#This Row],[SERVICIO 2025]],$J$2:$V$14,3,0)*Tabla4[[#This Row],[TOTAL COBERTURA]])</f>
        <v>3091032</v>
      </c>
      <c r="AX1215" s="35">
        <f>(VLOOKUP(Tabla4[[#This Row],[SERVICIO 2025]],$J$2:$V$14,3,0)*Tabla4[[#This Row],[TOTAL COBERTURA]])</f>
        <v>3091032</v>
      </c>
      <c r="AY1215" s="35">
        <f>(VLOOKUP(Tabla4[[#This Row],[SERVICIO 2025]],$J$2:$V$14,3,0)*Tabla4[[#This Row],[TOTAL COBERTURA]])</f>
        <v>3091032</v>
      </c>
      <c r="AZ1215" s="35">
        <f>(VLOOKUP(Tabla4[[#This Row],[SERVICIO 2025]],$J$2:$V$14,3,0)*Tabla4[[#This Row],[TOTAL COBERTURA]])</f>
        <v>3091032</v>
      </c>
      <c r="BA1215" s="35">
        <f>(VLOOKUP(Tabla4[[#This Row],[SERVICIO 2025]],$J$2:$V$14,3,0)*Tabla4[[#This Row],[TOTAL COBERTURA]])+Tabla4[[#This Row],[VALOR FASE PREPARATORIA DE CIERRE]]</f>
        <v>3583380</v>
      </c>
      <c r="BB1215" s="35">
        <f>SUM(Tabla4[[#This Row],[DESEMBOLSO 1]:[DESEMBOLSO 8]])</f>
        <v>26162316</v>
      </c>
      <c r="BC1215" s="35">
        <f>VLOOKUP(Tabla4[[#This Row],[SERVICIO 2025]],$J$2:$V$14,10,0)*Tabla4[[#This Row],[TOTAL COBERTURA]]*$W$3</f>
        <v>17316768</v>
      </c>
      <c r="BD1215" s="47" t="s">
        <v>211</v>
      </c>
      <c r="BE1215" s="12" t="b">
        <f>EXACT(Tabla4[[#This Row],[VALOR ATENCIÓN (8 MESES)]],Tabla4[[#This Row],[VALOR TOTAL]])</f>
        <v>1</v>
      </c>
      <c r="BF1215" s="23">
        <f>Tabla4[[#This Row],[VALOR ATENCIÓN (8 MESES)]]-Tabla4[[#This Row],[VALOR TOTAL]]</f>
        <v>0</v>
      </c>
      <c r="BG1215" s="12" t="b">
        <f>EXACT(Tabla4[[#This Row],[TOTAL DESEMBOLSOS]],Tabla4[[#This Row],[VALOR ATENCIÓN (8 MESES)]])</f>
        <v>1</v>
      </c>
      <c r="BH1215" s="29">
        <f>Tabla4[[#This Row],[TOTAL DESEMBOLSOS]]-Tabla4[[#This Row],[VALOR ATENCIÓN (8 MESES)]]</f>
        <v>0</v>
      </c>
      <c r="BI1215" t="s">
        <v>98</v>
      </c>
      <c r="BJ1215">
        <v>2024</v>
      </c>
    </row>
    <row r="1216" spans="1:62">
      <c r="A1216" s="13">
        <v>2024</v>
      </c>
      <c r="B1216" s="13" t="s">
        <v>2639</v>
      </c>
      <c r="C1216" s="12" t="s">
        <v>87</v>
      </c>
      <c r="D1216" s="12" t="s">
        <v>482</v>
      </c>
      <c r="E1216" s="12" t="s">
        <v>2640</v>
      </c>
      <c r="F1216" s="12" t="s">
        <v>18</v>
      </c>
      <c r="G1216" s="12" t="s">
        <v>90</v>
      </c>
      <c r="H1216" s="12" t="s">
        <v>2643</v>
      </c>
      <c r="I1216" s="12">
        <v>58931117932</v>
      </c>
      <c r="J1216" s="12" t="s">
        <v>2644</v>
      </c>
      <c r="K1216" s="12">
        <v>1</v>
      </c>
      <c r="L1216" s="12">
        <v>12</v>
      </c>
      <c r="M1216" s="12"/>
      <c r="N1216" s="13">
        <v>2024</v>
      </c>
      <c r="O1216" s="12" t="s">
        <v>93</v>
      </c>
      <c r="P1216" s="12"/>
      <c r="Q1216" s="12"/>
      <c r="R1216" s="12" t="s">
        <v>94</v>
      </c>
      <c r="S1216" s="12">
        <v>10</v>
      </c>
      <c r="T1216" s="12" t="s">
        <v>486</v>
      </c>
      <c r="U1216" s="12" t="s">
        <v>487</v>
      </c>
      <c r="V1216" s="12">
        <f>VLOOKUP(Tabla4[[#This Row],[ZONA DEFINITIVO]],Hoja1!$A$1:$D$121,3,0)</f>
        <v>229166</v>
      </c>
      <c r="W1216" s="12">
        <f>VLOOKUP(Tabla4[[#This Row],[ZONA DEFINITIVO]],Hoja1!$A$1:$D$121,2,0)</f>
        <v>15252</v>
      </c>
      <c r="X1216" s="12">
        <f>VLOOKUP(Tabla4[[#This Row],[ZONA DEFINITIVO]],Hoja1!$A$1:$D$121,4,0)</f>
        <v>89525</v>
      </c>
      <c r="Y1216" s="12" t="str">
        <f>+IF(Tabla4[[#This Row],[AGRUPACIONES]]=1,SUMIFS(Tabla4[UDS],Tabla4[ZONA DEFINITIVO],Tabla4[[#This Row],[ZONA DEFINITIVO]])," ")</f>
        <v xml:space="preserve"> </v>
      </c>
      <c r="Z1216" s="12" t="str">
        <f>+IF(Tabla4[[#This Row],[AGRUPACIONES]]=1,SUMIFS(Tabla4[TOTAL COBERTURA],Tabla4[ZONA DEFINITIVO],Tabla4[[#This Row],[ZONA DEFINITIVO]])," ")</f>
        <v xml:space="preserve"> </v>
      </c>
      <c r="AA1216" s="12"/>
      <c r="AB1216" s="38">
        <v>26162316</v>
      </c>
      <c r="AC1216" s="37">
        <v>0.02</v>
      </c>
      <c r="AD1216" s="38">
        <f t="shared" si="19"/>
        <v>523246.32</v>
      </c>
      <c r="AE1216" s="12"/>
      <c r="AF1216" s="12">
        <f>COUNTIF($A$20:A1216,A1216)</f>
        <v>2</v>
      </c>
      <c r="AG1216" s="38">
        <v>26162316</v>
      </c>
      <c r="AH1216" s="38">
        <f>Tabla4[[#This Row],[VALOR CONTRAPARTIDA]]+Tabla4[[#This Row],[TOTAL APORTES ICBF]]</f>
        <v>26685562.32</v>
      </c>
      <c r="AI1216" s="35"/>
      <c r="AJ1216" s="38"/>
      <c r="AK1216" s="38"/>
      <c r="AL1216" s="23"/>
      <c r="AM1216" s="35">
        <f>VLOOKUP(Tabla4[[#This Row],[SERVICIO 2025]],$J$2:$V$14,5,0)*Tabla4[[#This Row],[TOTAL COBERTURA]]</f>
        <v>592512</v>
      </c>
      <c r="AN1216" s="35">
        <f>VLOOKUP(Tabla4[[#This Row],[SERVICIO 2025]],$J$2:$V$14,6,0)*Tabla4[[#This Row],[TOTAL COBERTURA]]</f>
        <v>492348</v>
      </c>
      <c r="AO1216" s="35">
        <f>VLOOKUP(Tabla4[[#This Row],[SERVICIO 2025]],$J$2:$V$14,8,0)*Tabla4[[#This Row],[TOTAL COBERTURA]]</f>
        <v>349200</v>
      </c>
      <c r="AP1216" s="35">
        <f>VLOOKUP(Tabla4[[#This Row],[SERVICIO 2025]],$J$2:$V$14,3,0)*Tabla4[[#This Row],[TOTAL COBERTURA]]*8</f>
        <v>24728256</v>
      </c>
      <c r="AQ1216" s="35"/>
      <c r="AR1216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1216" s="35" t="str">
        <f>+IF(Tabla4[[#This Row],[AGRUPACIONES]]=1,SUMIFS(Tabla4[VALOR TOTAL],Tabla4[ZONA DEFINITIVO],Tabla4[[#This Row],[ZONA DEFINITIVO]])," ")</f>
        <v xml:space="preserve"> </v>
      </c>
      <c r="AT1216" s="27">
        <f>(VLOOKUP(Tabla4[[#This Row],[SERVICIO 2025]],$J$2:$V$14,3,0)*Tabla4[[#This Row],[TOTAL COBERTURA]])+Tabla4[[#This Row],[VALOR FASE PREPARATORIA DE ALISTAMIENTO]]+Tabla4[[#This Row],[DOTACIÓN ÚNICA]]</f>
        <v>4032744</v>
      </c>
      <c r="AU1216" s="35">
        <f>(VLOOKUP(Tabla4[[#This Row],[SERVICIO 2025]],$J$2:$V$14,3,0)*Tabla4[[#This Row],[TOTAL COBERTURA]])</f>
        <v>3091032</v>
      </c>
      <c r="AV1216" s="35">
        <f>(VLOOKUP(Tabla4[[#This Row],[SERVICIO 2025]],$J$2:$V$14,3,0)*Tabla4[[#This Row],[TOTAL COBERTURA]])</f>
        <v>3091032</v>
      </c>
      <c r="AW1216" s="35">
        <f>(VLOOKUP(Tabla4[[#This Row],[SERVICIO 2025]],$J$2:$V$14,3,0)*Tabla4[[#This Row],[TOTAL COBERTURA]])</f>
        <v>3091032</v>
      </c>
      <c r="AX1216" s="35">
        <f>(VLOOKUP(Tabla4[[#This Row],[SERVICIO 2025]],$J$2:$V$14,3,0)*Tabla4[[#This Row],[TOTAL COBERTURA]])</f>
        <v>3091032</v>
      </c>
      <c r="AY1216" s="35">
        <f>(VLOOKUP(Tabla4[[#This Row],[SERVICIO 2025]],$J$2:$V$14,3,0)*Tabla4[[#This Row],[TOTAL COBERTURA]])</f>
        <v>3091032</v>
      </c>
      <c r="AZ1216" s="35">
        <f>(VLOOKUP(Tabla4[[#This Row],[SERVICIO 2025]],$J$2:$V$14,3,0)*Tabla4[[#This Row],[TOTAL COBERTURA]])</f>
        <v>3091032</v>
      </c>
      <c r="BA1216" s="35">
        <f>(VLOOKUP(Tabla4[[#This Row],[SERVICIO 2025]],$J$2:$V$14,3,0)*Tabla4[[#This Row],[TOTAL COBERTURA]])+Tabla4[[#This Row],[VALOR FASE PREPARATORIA DE CIERRE]]</f>
        <v>3583380</v>
      </c>
      <c r="BB1216" s="35">
        <f>SUM(Tabla4[[#This Row],[DESEMBOLSO 1]:[DESEMBOLSO 8]])</f>
        <v>26162316</v>
      </c>
      <c r="BC1216" s="35">
        <f>VLOOKUP(Tabla4[[#This Row],[SERVICIO 2025]],$J$2:$V$14,10,0)*Tabla4[[#This Row],[TOTAL COBERTURA]]*$W$3</f>
        <v>17316768</v>
      </c>
      <c r="BD1216" s="47" t="s">
        <v>211</v>
      </c>
      <c r="BE1216" s="12" t="b">
        <f>EXACT(Tabla4[[#This Row],[VALOR ATENCIÓN (8 MESES)]],Tabla4[[#This Row],[VALOR TOTAL]])</f>
        <v>1</v>
      </c>
      <c r="BF1216" s="23">
        <f>Tabla4[[#This Row],[VALOR ATENCIÓN (8 MESES)]]-Tabla4[[#This Row],[VALOR TOTAL]]</f>
        <v>0</v>
      </c>
      <c r="BG1216" s="12" t="b">
        <f>EXACT(Tabla4[[#This Row],[TOTAL DESEMBOLSOS]],Tabla4[[#This Row],[VALOR ATENCIÓN (8 MESES)]])</f>
        <v>1</v>
      </c>
      <c r="BH1216" s="29">
        <f>Tabla4[[#This Row],[TOTAL DESEMBOLSOS]]-Tabla4[[#This Row],[VALOR ATENCIÓN (8 MESES)]]</f>
        <v>0</v>
      </c>
      <c r="BI1216" t="s">
        <v>98</v>
      </c>
      <c r="BJ1216">
        <v>2024</v>
      </c>
    </row>
    <row r="1217" spans="1:62">
      <c r="A1217" s="13">
        <v>2024</v>
      </c>
      <c r="B1217" s="13" t="s">
        <v>2639</v>
      </c>
      <c r="C1217" s="12" t="s">
        <v>87</v>
      </c>
      <c r="D1217" s="12" t="s">
        <v>482</v>
      </c>
      <c r="E1217" s="12" t="s">
        <v>2640</v>
      </c>
      <c r="F1217" s="12" t="s">
        <v>18</v>
      </c>
      <c r="G1217" s="12" t="s">
        <v>90</v>
      </c>
      <c r="H1217" s="12" t="s">
        <v>2645</v>
      </c>
      <c r="I1217" s="12">
        <v>58931117933</v>
      </c>
      <c r="J1217" s="12" t="s">
        <v>2646</v>
      </c>
      <c r="K1217" s="12">
        <v>1</v>
      </c>
      <c r="L1217" s="12">
        <v>15</v>
      </c>
      <c r="M1217" s="12"/>
      <c r="N1217" s="13">
        <v>2024</v>
      </c>
      <c r="O1217" s="12" t="s">
        <v>93</v>
      </c>
      <c r="P1217" s="12"/>
      <c r="Q1217" s="12"/>
      <c r="R1217" s="12" t="s">
        <v>94</v>
      </c>
      <c r="S1217" s="12">
        <v>10</v>
      </c>
      <c r="T1217" s="12" t="s">
        <v>486</v>
      </c>
      <c r="U1217" s="12" t="s">
        <v>487</v>
      </c>
      <c r="V1217" s="12">
        <f>VLOOKUP(Tabla4[[#This Row],[ZONA DEFINITIVO]],Hoja1!$A$1:$D$121,3,0)</f>
        <v>229166</v>
      </c>
      <c r="W1217" s="12">
        <f>VLOOKUP(Tabla4[[#This Row],[ZONA DEFINITIVO]],Hoja1!$A$1:$D$121,2,0)</f>
        <v>15252</v>
      </c>
      <c r="X1217" s="12">
        <f>VLOOKUP(Tabla4[[#This Row],[ZONA DEFINITIVO]],Hoja1!$A$1:$D$121,4,0)</f>
        <v>89525</v>
      </c>
      <c r="Y1217" s="12" t="str">
        <f>+IF(Tabla4[[#This Row],[AGRUPACIONES]]=1,SUMIFS(Tabla4[UDS],Tabla4[ZONA DEFINITIVO],Tabla4[[#This Row],[ZONA DEFINITIVO]])," ")</f>
        <v xml:space="preserve"> </v>
      </c>
      <c r="Z1217" s="12" t="str">
        <f>+IF(Tabla4[[#This Row],[AGRUPACIONES]]=1,SUMIFS(Tabla4[TOTAL COBERTURA],Tabla4[ZONA DEFINITIVO],Tabla4[[#This Row],[ZONA DEFINITIVO]])," ")</f>
        <v xml:space="preserve"> </v>
      </c>
      <c r="AA1217" s="12"/>
      <c r="AB1217" s="38">
        <v>32702895</v>
      </c>
      <c r="AC1217" s="37">
        <v>0.02</v>
      </c>
      <c r="AD1217" s="38">
        <f t="shared" si="19"/>
        <v>654057.9</v>
      </c>
      <c r="AE1217" s="12"/>
      <c r="AF1217" s="12">
        <f>COUNTIF($A$20:A1217,A1217)</f>
        <v>3</v>
      </c>
      <c r="AG1217" s="38">
        <v>32702895</v>
      </c>
      <c r="AH1217" s="38">
        <f>Tabla4[[#This Row],[VALOR CONTRAPARTIDA]]+Tabla4[[#This Row],[TOTAL APORTES ICBF]]</f>
        <v>33356952.899999999</v>
      </c>
      <c r="AI1217" s="35"/>
      <c r="AJ1217" s="38"/>
      <c r="AK1217" s="38"/>
      <c r="AL1217" s="23"/>
      <c r="AM1217" s="35">
        <f>VLOOKUP(Tabla4[[#This Row],[SERVICIO 2025]],$J$2:$V$14,5,0)*Tabla4[[#This Row],[TOTAL COBERTURA]]</f>
        <v>740640</v>
      </c>
      <c r="AN1217" s="35">
        <f>VLOOKUP(Tabla4[[#This Row],[SERVICIO 2025]],$J$2:$V$14,6,0)*Tabla4[[#This Row],[TOTAL COBERTURA]]</f>
        <v>615435</v>
      </c>
      <c r="AO1217" s="35">
        <f>VLOOKUP(Tabla4[[#This Row],[SERVICIO 2025]],$J$2:$V$14,8,0)*Tabla4[[#This Row],[TOTAL COBERTURA]]</f>
        <v>436500</v>
      </c>
      <c r="AP1217" s="35">
        <f>VLOOKUP(Tabla4[[#This Row],[SERVICIO 2025]],$J$2:$V$14,3,0)*Tabla4[[#This Row],[TOTAL COBERTURA]]*8</f>
        <v>30910320</v>
      </c>
      <c r="AQ1217" s="35"/>
      <c r="AR1217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217" s="35" t="str">
        <f>+IF(Tabla4[[#This Row],[AGRUPACIONES]]=1,SUMIFS(Tabla4[VALOR TOTAL],Tabla4[ZONA DEFINITIVO],Tabla4[[#This Row],[ZONA DEFINITIVO]])," ")</f>
        <v xml:space="preserve"> </v>
      </c>
      <c r="AT1217" s="27">
        <f>(VLOOKUP(Tabla4[[#This Row],[SERVICIO 2025]],$J$2:$V$14,3,0)*Tabla4[[#This Row],[TOTAL COBERTURA]])+Tabla4[[#This Row],[VALOR FASE PREPARATORIA DE ALISTAMIENTO]]+Tabla4[[#This Row],[DOTACIÓN ÚNICA]]</f>
        <v>5040930</v>
      </c>
      <c r="AU1217" s="35">
        <f>(VLOOKUP(Tabla4[[#This Row],[SERVICIO 2025]],$J$2:$V$14,3,0)*Tabla4[[#This Row],[TOTAL COBERTURA]])</f>
        <v>3863790</v>
      </c>
      <c r="AV1217" s="35">
        <f>(VLOOKUP(Tabla4[[#This Row],[SERVICIO 2025]],$J$2:$V$14,3,0)*Tabla4[[#This Row],[TOTAL COBERTURA]])</f>
        <v>3863790</v>
      </c>
      <c r="AW1217" s="35">
        <f>(VLOOKUP(Tabla4[[#This Row],[SERVICIO 2025]],$J$2:$V$14,3,0)*Tabla4[[#This Row],[TOTAL COBERTURA]])</f>
        <v>3863790</v>
      </c>
      <c r="AX1217" s="35">
        <f>(VLOOKUP(Tabla4[[#This Row],[SERVICIO 2025]],$J$2:$V$14,3,0)*Tabla4[[#This Row],[TOTAL COBERTURA]])</f>
        <v>3863790</v>
      </c>
      <c r="AY1217" s="35">
        <f>(VLOOKUP(Tabla4[[#This Row],[SERVICIO 2025]],$J$2:$V$14,3,0)*Tabla4[[#This Row],[TOTAL COBERTURA]])</f>
        <v>3863790</v>
      </c>
      <c r="AZ1217" s="35">
        <f>(VLOOKUP(Tabla4[[#This Row],[SERVICIO 2025]],$J$2:$V$14,3,0)*Tabla4[[#This Row],[TOTAL COBERTURA]])</f>
        <v>3863790</v>
      </c>
      <c r="BA1217" s="35">
        <f>(VLOOKUP(Tabla4[[#This Row],[SERVICIO 2025]],$J$2:$V$14,3,0)*Tabla4[[#This Row],[TOTAL COBERTURA]])+Tabla4[[#This Row],[VALOR FASE PREPARATORIA DE CIERRE]]</f>
        <v>4479225</v>
      </c>
      <c r="BB1217" s="35">
        <f>SUM(Tabla4[[#This Row],[DESEMBOLSO 1]:[DESEMBOLSO 8]])</f>
        <v>32702895</v>
      </c>
      <c r="BC1217" s="35">
        <f>VLOOKUP(Tabla4[[#This Row],[SERVICIO 2025]],$J$2:$V$14,10,0)*Tabla4[[#This Row],[TOTAL COBERTURA]]*$W$3</f>
        <v>21645960</v>
      </c>
      <c r="BD1217" s="47" t="s">
        <v>211</v>
      </c>
      <c r="BE1217" s="12" t="b">
        <f>EXACT(Tabla4[[#This Row],[VALOR ATENCIÓN (8 MESES)]],Tabla4[[#This Row],[VALOR TOTAL]])</f>
        <v>1</v>
      </c>
      <c r="BF1217" s="23">
        <f>Tabla4[[#This Row],[VALOR ATENCIÓN (8 MESES)]]-Tabla4[[#This Row],[VALOR TOTAL]]</f>
        <v>0</v>
      </c>
      <c r="BG1217" s="12" t="b">
        <f>EXACT(Tabla4[[#This Row],[TOTAL DESEMBOLSOS]],Tabla4[[#This Row],[VALOR ATENCIÓN (8 MESES)]])</f>
        <v>1</v>
      </c>
      <c r="BH1217" s="29">
        <f>Tabla4[[#This Row],[TOTAL DESEMBOLSOS]]-Tabla4[[#This Row],[VALOR ATENCIÓN (8 MESES)]]</f>
        <v>0</v>
      </c>
      <c r="BI1217" t="s">
        <v>98</v>
      </c>
      <c r="BJ1217">
        <v>2024</v>
      </c>
    </row>
    <row r="1218" spans="1:62">
      <c r="A1218" s="13">
        <v>2024</v>
      </c>
      <c r="B1218" s="13" t="s">
        <v>2639</v>
      </c>
      <c r="C1218" s="12" t="s">
        <v>87</v>
      </c>
      <c r="D1218" s="12" t="s">
        <v>482</v>
      </c>
      <c r="E1218" s="12" t="s">
        <v>2640</v>
      </c>
      <c r="F1218" s="12" t="s">
        <v>18</v>
      </c>
      <c r="G1218" s="12" t="s">
        <v>90</v>
      </c>
      <c r="H1218" s="12" t="s">
        <v>2647</v>
      </c>
      <c r="I1218" s="12">
        <v>58931135666</v>
      </c>
      <c r="J1218" s="12" t="s">
        <v>2648</v>
      </c>
      <c r="K1218" s="12">
        <v>1</v>
      </c>
      <c r="L1218" s="12">
        <v>20</v>
      </c>
      <c r="M1218" s="12"/>
      <c r="N1218" s="13">
        <v>2024</v>
      </c>
      <c r="O1218" s="12" t="s">
        <v>93</v>
      </c>
      <c r="P1218" s="12"/>
      <c r="Q1218" s="12"/>
      <c r="R1218" s="12" t="s">
        <v>94</v>
      </c>
      <c r="S1218" s="12">
        <v>10</v>
      </c>
      <c r="T1218" s="12" t="s">
        <v>486</v>
      </c>
      <c r="U1218" s="12" t="s">
        <v>487</v>
      </c>
      <c r="V1218" s="12">
        <f>VLOOKUP(Tabla4[[#This Row],[ZONA DEFINITIVO]],Hoja1!$A$1:$D$121,3,0)</f>
        <v>229166</v>
      </c>
      <c r="W1218" s="12">
        <f>VLOOKUP(Tabla4[[#This Row],[ZONA DEFINITIVO]],Hoja1!$A$1:$D$121,2,0)</f>
        <v>15252</v>
      </c>
      <c r="X1218" s="12">
        <f>VLOOKUP(Tabla4[[#This Row],[ZONA DEFINITIVO]],Hoja1!$A$1:$D$121,4,0)</f>
        <v>89525</v>
      </c>
      <c r="Y1218" s="12" t="str">
        <f>+IF(Tabla4[[#This Row],[AGRUPACIONES]]=1,SUMIFS(Tabla4[UDS],Tabla4[ZONA DEFINITIVO],Tabla4[[#This Row],[ZONA DEFINITIVO]])," ")</f>
        <v xml:space="preserve"> </v>
      </c>
      <c r="Z1218" s="12" t="str">
        <f>+IF(Tabla4[[#This Row],[AGRUPACIONES]]=1,SUMIFS(Tabla4[TOTAL COBERTURA],Tabla4[ZONA DEFINITIVO],Tabla4[[#This Row],[ZONA DEFINITIVO]])," ")</f>
        <v xml:space="preserve"> </v>
      </c>
      <c r="AA1218" s="12"/>
      <c r="AB1218" s="38">
        <v>43603860</v>
      </c>
      <c r="AC1218" s="37">
        <v>0.02</v>
      </c>
      <c r="AD1218" s="38">
        <f t="shared" si="19"/>
        <v>872077.20000000007</v>
      </c>
      <c r="AE1218" s="12"/>
      <c r="AF1218" s="12">
        <f>COUNTIF($A$20:A1218,A1218)</f>
        <v>4</v>
      </c>
      <c r="AG1218" s="38">
        <v>43603860</v>
      </c>
      <c r="AH1218" s="38">
        <f>Tabla4[[#This Row],[VALOR CONTRAPARTIDA]]+Tabla4[[#This Row],[TOTAL APORTES ICBF]]</f>
        <v>44475937.200000003</v>
      </c>
      <c r="AI1218" s="35"/>
      <c r="AJ1218" s="38"/>
      <c r="AK1218" s="38"/>
      <c r="AL1218" s="23"/>
      <c r="AM1218" s="35">
        <f>VLOOKUP(Tabla4[[#This Row],[SERVICIO 2025]],$J$2:$V$14,5,0)*Tabla4[[#This Row],[TOTAL COBERTURA]]</f>
        <v>987520</v>
      </c>
      <c r="AN1218" s="35">
        <f>VLOOKUP(Tabla4[[#This Row],[SERVICIO 2025]],$J$2:$V$14,6,0)*Tabla4[[#This Row],[TOTAL COBERTURA]]</f>
        <v>820580</v>
      </c>
      <c r="AO1218" s="35">
        <f>VLOOKUP(Tabla4[[#This Row],[SERVICIO 2025]],$J$2:$V$14,8,0)*Tabla4[[#This Row],[TOTAL COBERTURA]]</f>
        <v>582000</v>
      </c>
      <c r="AP1218" s="35">
        <f>VLOOKUP(Tabla4[[#This Row],[SERVICIO 2025]],$J$2:$V$14,3,0)*Tabla4[[#This Row],[TOTAL COBERTURA]]*8</f>
        <v>41213760</v>
      </c>
      <c r="AQ1218" s="35"/>
      <c r="AR1218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218" s="35" t="str">
        <f>+IF(Tabla4[[#This Row],[AGRUPACIONES]]=1,SUMIFS(Tabla4[VALOR TOTAL],Tabla4[ZONA DEFINITIVO],Tabla4[[#This Row],[ZONA DEFINITIVO]])," ")</f>
        <v xml:space="preserve"> </v>
      </c>
      <c r="AT1218" s="27">
        <f>(VLOOKUP(Tabla4[[#This Row],[SERVICIO 2025]],$J$2:$V$14,3,0)*Tabla4[[#This Row],[TOTAL COBERTURA]])+Tabla4[[#This Row],[VALOR FASE PREPARATORIA DE ALISTAMIENTO]]+Tabla4[[#This Row],[DOTACIÓN ÚNICA]]</f>
        <v>6721240</v>
      </c>
      <c r="AU1218" s="35">
        <f>(VLOOKUP(Tabla4[[#This Row],[SERVICIO 2025]],$J$2:$V$14,3,0)*Tabla4[[#This Row],[TOTAL COBERTURA]])</f>
        <v>5151720</v>
      </c>
      <c r="AV1218" s="35">
        <f>(VLOOKUP(Tabla4[[#This Row],[SERVICIO 2025]],$J$2:$V$14,3,0)*Tabla4[[#This Row],[TOTAL COBERTURA]])</f>
        <v>5151720</v>
      </c>
      <c r="AW1218" s="35">
        <f>(VLOOKUP(Tabla4[[#This Row],[SERVICIO 2025]],$J$2:$V$14,3,0)*Tabla4[[#This Row],[TOTAL COBERTURA]])</f>
        <v>5151720</v>
      </c>
      <c r="AX1218" s="35">
        <f>(VLOOKUP(Tabla4[[#This Row],[SERVICIO 2025]],$J$2:$V$14,3,0)*Tabla4[[#This Row],[TOTAL COBERTURA]])</f>
        <v>5151720</v>
      </c>
      <c r="AY1218" s="35">
        <f>(VLOOKUP(Tabla4[[#This Row],[SERVICIO 2025]],$J$2:$V$14,3,0)*Tabla4[[#This Row],[TOTAL COBERTURA]])</f>
        <v>5151720</v>
      </c>
      <c r="AZ1218" s="35">
        <f>(VLOOKUP(Tabla4[[#This Row],[SERVICIO 2025]],$J$2:$V$14,3,0)*Tabla4[[#This Row],[TOTAL COBERTURA]])</f>
        <v>5151720</v>
      </c>
      <c r="BA1218" s="35">
        <f>(VLOOKUP(Tabla4[[#This Row],[SERVICIO 2025]],$J$2:$V$14,3,0)*Tabla4[[#This Row],[TOTAL COBERTURA]])+Tabla4[[#This Row],[VALOR FASE PREPARATORIA DE CIERRE]]</f>
        <v>5972300</v>
      </c>
      <c r="BB1218" s="35">
        <f>SUM(Tabla4[[#This Row],[DESEMBOLSO 1]:[DESEMBOLSO 8]])</f>
        <v>43603860</v>
      </c>
      <c r="BC1218" s="35">
        <f>VLOOKUP(Tabla4[[#This Row],[SERVICIO 2025]],$J$2:$V$14,10,0)*Tabla4[[#This Row],[TOTAL COBERTURA]]*$W$3</f>
        <v>28861280</v>
      </c>
      <c r="BD1218" s="47" t="s">
        <v>211</v>
      </c>
      <c r="BE1218" s="12" t="b">
        <f>EXACT(Tabla4[[#This Row],[VALOR ATENCIÓN (8 MESES)]],Tabla4[[#This Row],[VALOR TOTAL]])</f>
        <v>1</v>
      </c>
      <c r="BF1218" s="23">
        <f>Tabla4[[#This Row],[VALOR ATENCIÓN (8 MESES)]]-Tabla4[[#This Row],[VALOR TOTAL]]</f>
        <v>0</v>
      </c>
      <c r="BG1218" s="12" t="b">
        <f>EXACT(Tabla4[[#This Row],[TOTAL DESEMBOLSOS]],Tabla4[[#This Row],[VALOR ATENCIÓN (8 MESES)]])</f>
        <v>1</v>
      </c>
      <c r="BH1218" s="29">
        <f>Tabla4[[#This Row],[TOTAL DESEMBOLSOS]]-Tabla4[[#This Row],[VALOR ATENCIÓN (8 MESES)]]</f>
        <v>0</v>
      </c>
      <c r="BI1218" t="s">
        <v>98</v>
      </c>
      <c r="BJ1218">
        <v>2024</v>
      </c>
    </row>
    <row r="1219" spans="1:62">
      <c r="A1219" s="13">
        <v>2024</v>
      </c>
      <c r="B1219" s="13" t="s">
        <v>2639</v>
      </c>
      <c r="C1219" s="12" t="s">
        <v>87</v>
      </c>
      <c r="D1219" s="12" t="s">
        <v>482</v>
      </c>
      <c r="E1219" s="12" t="s">
        <v>2640</v>
      </c>
      <c r="F1219" s="12" t="s">
        <v>18</v>
      </c>
      <c r="G1219" s="12" t="s">
        <v>90</v>
      </c>
      <c r="H1219" s="12" t="s">
        <v>2649</v>
      </c>
      <c r="I1219" s="12">
        <v>58931135791</v>
      </c>
      <c r="J1219" s="12" t="s">
        <v>2650</v>
      </c>
      <c r="K1219" s="12">
        <v>1</v>
      </c>
      <c r="L1219" s="12">
        <v>16</v>
      </c>
      <c r="M1219" s="12"/>
      <c r="N1219" s="13">
        <v>2024</v>
      </c>
      <c r="O1219" s="12" t="s">
        <v>93</v>
      </c>
      <c r="P1219" s="12"/>
      <c r="Q1219" s="12"/>
      <c r="R1219" s="12" t="s">
        <v>94</v>
      </c>
      <c r="S1219" s="12">
        <v>10</v>
      </c>
      <c r="T1219" s="12" t="s">
        <v>486</v>
      </c>
      <c r="U1219" s="12" t="s">
        <v>487</v>
      </c>
      <c r="V1219" s="12">
        <f>VLOOKUP(Tabla4[[#This Row],[ZONA DEFINITIVO]],Hoja1!$A$1:$D$121,3,0)</f>
        <v>229166</v>
      </c>
      <c r="W1219" s="12">
        <f>VLOOKUP(Tabla4[[#This Row],[ZONA DEFINITIVO]],Hoja1!$A$1:$D$121,2,0)</f>
        <v>15252</v>
      </c>
      <c r="X1219" s="12">
        <f>VLOOKUP(Tabla4[[#This Row],[ZONA DEFINITIVO]],Hoja1!$A$1:$D$121,4,0)</f>
        <v>89525</v>
      </c>
      <c r="Y1219" s="12" t="str">
        <f>+IF(Tabla4[[#This Row],[AGRUPACIONES]]=1,SUMIFS(Tabla4[UDS],Tabla4[ZONA DEFINITIVO],Tabla4[[#This Row],[ZONA DEFINITIVO]])," ")</f>
        <v xml:space="preserve"> </v>
      </c>
      <c r="Z1219" s="12" t="str">
        <f>+IF(Tabla4[[#This Row],[AGRUPACIONES]]=1,SUMIFS(Tabla4[TOTAL COBERTURA],Tabla4[ZONA DEFINITIVO],Tabla4[[#This Row],[ZONA DEFINITIVO]])," ")</f>
        <v xml:space="preserve"> </v>
      </c>
      <c r="AA1219" s="12"/>
      <c r="AB1219" s="38">
        <v>34883088</v>
      </c>
      <c r="AC1219" s="37">
        <v>0.02</v>
      </c>
      <c r="AD1219" s="38">
        <f t="shared" si="19"/>
        <v>697661.76</v>
      </c>
      <c r="AE1219" s="12"/>
      <c r="AF1219" s="12">
        <f>COUNTIF($A$20:A1219,A1219)</f>
        <v>5</v>
      </c>
      <c r="AG1219" s="38">
        <v>34883088</v>
      </c>
      <c r="AH1219" s="38">
        <f>Tabla4[[#This Row],[VALOR CONTRAPARTIDA]]+Tabla4[[#This Row],[TOTAL APORTES ICBF]]</f>
        <v>35580749.759999998</v>
      </c>
      <c r="AI1219" s="35"/>
      <c r="AJ1219" s="38"/>
      <c r="AK1219" s="38"/>
      <c r="AL1219" s="23"/>
      <c r="AM1219" s="35">
        <f>VLOOKUP(Tabla4[[#This Row],[SERVICIO 2025]],$J$2:$V$14,5,0)*Tabla4[[#This Row],[TOTAL COBERTURA]]</f>
        <v>790016</v>
      </c>
      <c r="AN1219" s="35">
        <f>VLOOKUP(Tabla4[[#This Row],[SERVICIO 2025]],$J$2:$V$14,6,0)*Tabla4[[#This Row],[TOTAL COBERTURA]]</f>
        <v>656464</v>
      </c>
      <c r="AO1219" s="35">
        <f>VLOOKUP(Tabla4[[#This Row],[SERVICIO 2025]],$J$2:$V$14,8,0)*Tabla4[[#This Row],[TOTAL COBERTURA]]</f>
        <v>465600</v>
      </c>
      <c r="AP1219" s="35">
        <f>VLOOKUP(Tabla4[[#This Row],[SERVICIO 2025]],$J$2:$V$14,3,0)*Tabla4[[#This Row],[TOTAL COBERTURA]]*8</f>
        <v>32971008</v>
      </c>
      <c r="AQ1219" s="35"/>
      <c r="AR1219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219" s="35" t="str">
        <f>+IF(Tabla4[[#This Row],[AGRUPACIONES]]=1,SUMIFS(Tabla4[VALOR TOTAL],Tabla4[ZONA DEFINITIVO],Tabla4[[#This Row],[ZONA DEFINITIVO]])," ")</f>
        <v xml:space="preserve"> </v>
      </c>
      <c r="AT1219" s="27">
        <f>(VLOOKUP(Tabla4[[#This Row],[SERVICIO 2025]],$J$2:$V$14,3,0)*Tabla4[[#This Row],[TOTAL COBERTURA]])+Tabla4[[#This Row],[VALOR FASE PREPARATORIA DE ALISTAMIENTO]]+Tabla4[[#This Row],[DOTACIÓN ÚNICA]]</f>
        <v>5376992</v>
      </c>
      <c r="AU1219" s="35">
        <f>(VLOOKUP(Tabla4[[#This Row],[SERVICIO 2025]],$J$2:$V$14,3,0)*Tabla4[[#This Row],[TOTAL COBERTURA]])</f>
        <v>4121376</v>
      </c>
      <c r="AV1219" s="35">
        <f>(VLOOKUP(Tabla4[[#This Row],[SERVICIO 2025]],$J$2:$V$14,3,0)*Tabla4[[#This Row],[TOTAL COBERTURA]])</f>
        <v>4121376</v>
      </c>
      <c r="AW1219" s="35">
        <f>(VLOOKUP(Tabla4[[#This Row],[SERVICIO 2025]],$J$2:$V$14,3,0)*Tabla4[[#This Row],[TOTAL COBERTURA]])</f>
        <v>4121376</v>
      </c>
      <c r="AX1219" s="35">
        <f>(VLOOKUP(Tabla4[[#This Row],[SERVICIO 2025]],$J$2:$V$14,3,0)*Tabla4[[#This Row],[TOTAL COBERTURA]])</f>
        <v>4121376</v>
      </c>
      <c r="AY1219" s="35">
        <f>(VLOOKUP(Tabla4[[#This Row],[SERVICIO 2025]],$J$2:$V$14,3,0)*Tabla4[[#This Row],[TOTAL COBERTURA]])</f>
        <v>4121376</v>
      </c>
      <c r="AZ1219" s="35">
        <f>(VLOOKUP(Tabla4[[#This Row],[SERVICIO 2025]],$J$2:$V$14,3,0)*Tabla4[[#This Row],[TOTAL COBERTURA]])</f>
        <v>4121376</v>
      </c>
      <c r="BA1219" s="35">
        <f>(VLOOKUP(Tabla4[[#This Row],[SERVICIO 2025]],$J$2:$V$14,3,0)*Tabla4[[#This Row],[TOTAL COBERTURA]])+Tabla4[[#This Row],[VALOR FASE PREPARATORIA DE CIERRE]]</f>
        <v>4777840</v>
      </c>
      <c r="BB1219" s="35">
        <f>SUM(Tabla4[[#This Row],[DESEMBOLSO 1]:[DESEMBOLSO 8]])</f>
        <v>34883088</v>
      </c>
      <c r="BC1219" s="35">
        <f>VLOOKUP(Tabla4[[#This Row],[SERVICIO 2025]],$J$2:$V$14,10,0)*Tabla4[[#This Row],[TOTAL COBERTURA]]*$W$3</f>
        <v>23089024</v>
      </c>
      <c r="BD1219" s="47" t="s">
        <v>211</v>
      </c>
      <c r="BE1219" s="12" t="b">
        <f>EXACT(Tabla4[[#This Row],[VALOR ATENCIÓN (8 MESES)]],Tabla4[[#This Row],[VALOR TOTAL]])</f>
        <v>1</v>
      </c>
      <c r="BF1219" s="23">
        <f>Tabla4[[#This Row],[VALOR ATENCIÓN (8 MESES)]]-Tabla4[[#This Row],[VALOR TOTAL]]</f>
        <v>0</v>
      </c>
      <c r="BG1219" s="12" t="b">
        <f>EXACT(Tabla4[[#This Row],[TOTAL DESEMBOLSOS]],Tabla4[[#This Row],[VALOR ATENCIÓN (8 MESES)]])</f>
        <v>1</v>
      </c>
      <c r="BH1219" s="29">
        <f>Tabla4[[#This Row],[TOTAL DESEMBOLSOS]]-Tabla4[[#This Row],[VALOR ATENCIÓN (8 MESES)]]</f>
        <v>0</v>
      </c>
      <c r="BI1219" t="s">
        <v>98</v>
      </c>
      <c r="BJ1219">
        <v>2024</v>
      </c>
    </row>
    <row r="1220" spans="1:62">
      <c r="A1220" s="13">
        <v>2024</v>
      </c>
      <c r="B1220" s="13" t="s">
        <v>2639</v>
      </c>
      <c r="C1220" s="12" t="s">
        <v>87</v>
      </c>
      <c r="D1220" s="12" t="s">
        <v>482</v>
      </c>
      <c r="E1220" s="12" t="s">
        <v>2640</v>
      </c>
      <c r="F1220" s="12" t="s">
        <v>18</v>
      </c>
      <c r="G1220" s="12" t="s">
        <v>90</v>
      </c>
      <c r="H1220" s="12" t="s">
        <v>2651</v>
      </c>
      <c r="I1220" s="12">
        <v>58931135883</v>
      </c>
      <c r="J1220" s="12" t="s">
        <v>2652</v>
      </c>
      <c r="K1220" s="12">
        <v>1</v>
      </c>
      <c r="L1220" s="12">
        <v>61</v>
      </c>
      <c r="M1220" s="12"/>
      <c r="N1220" s="13">
        <v>2024</v>
      </c>
      <c r="O1220" s="12" t="s">
        <v>93</v>
      </c>
      <c r="P1220" s="12"/>
      <c r="Q1220" s="12"/>
      <c r="R1220" s="12" t="s">
        <v>94</v>
      </c>
      <c r="S1220" s="12">
        <v>10</v>
      </c>
      <c r="T1220" s="12" t="s">
        <v>486</v>
      </c>
      <c r="U1220" s="12" t="s">
        <v>487</v>
      </c>
      <c r="V1220" s="12">
        <f>VLOOKUP(Tabla4[[#This Row],[ZONA DEFINITIVO]],Hoja1!$A$1:$D$121,3,0)</f>
        <v>229166</v>
      </c>
      <c r="W1220" s="12">
        <f>VLOOKUP(Tabla4[[#This Row],[ZONA DEFINITIVO]],Hoja1!$A$1:$D$121,2,0)</f>
        <v>15252</v>
      </c>
      <c r="X1220" s="12">
        <f>VLOOKUP(Tabla4[[#This Row],[ZONA DEFINITIVO]],Hoja1!$A$1:$D$121,4,0)</f>
        <v>89525</v>
      </c>
      <c r="Y1220" s="12" t="str">
        <f>+IF(Tabla4[[#This Row],[AGRUPACIONES]]=1,SUMIFS(Tabla4[UDS],Tabla4[ZONA DEFINITIVO],Tabla4[[#This Row],[ZONA DEFINITIVO]])," ")</f>
        <v xml:space="preserve"> </v>
      </c>
      <c r="Z1220" s="12" t="str">
        <f>+IF(Tabla4[[#This Row],[AGRUPACIONES]]=1,SUMIFS(Tabla4[TOTAL COBERTURA],Tabla4[ZONA DEFINITIVO],Tabla4[[#This Row],[ZONA DEFINITIVO]])," ")</f>
        <v xml:space="preserve"> </v>
      </c>
      <c r="AA1220" s="12"/>
      <c r="AB1220" s="38">
        <v>132991773</v>
      </c>
      <c r="AC1220" s="37">
        <v>0.02</v>
      </c>
      <c r="AD1220" s="38">
        <f t="shared" si="19"/>
        <v>2659835.46</v>
      </c>
      <c r="AE1220" s="12"/>
      <c r="AF1220" s="12">
        <f>COUNTIF($A$20:A1220,A1220)</f>
        <v>6</v>
      </c>
      <c r="AG1220" s="38">
        <v>132991773</v>
      </c>
      <c r="AH1220" s="38">
        <f>Tabla4[[#This Row],[VALOR CONTRAPARTIDA]]+Tabla4[[#This Row],[TOTAL APORTES ICBF]]</f>
        <v>135651608.46000001</v>
      </c>
      <c r="AI1220" s="35"/>
      <c r="AJ1220" s="38"/>
      <c r="AK1220" s="38"/>
      <c r="AL1220" s="23"/>
      <c r="AM1220" s="35">
        <f>VLOOKUP(Tabla4[[#This Row],[SERVICIO 2025]],$J$2:$V$14,5,0)*Tabla4[[#This Row],[TOTAL COBERTURA]]</f>
        <v>3011936</v>
      </c>
      <c r="AN1220" s="35">
        <f>VLOOKUP(Tabla4[[#This Row],[SERVICIO 2025]],$J$2:$V$14,6,0)*Tabla4[[#This Row],[TOTAL COBERTURA]]</f>
        <v>2502769</v>
      </c>
      <c r="AO1220" s="35">
        <f>VLOOKUP(Tabla4[[#This Row],[SERVICIO 2025]],$J$2:$V$14,8,0)*Tabla4[[#This Row],[TOTAL COBERTURA]]</f>
        <v>1775100</v>
      </c>
      <c r="AP1220" s="35">
        <f>VLOOKUP(Tabla4[[#This Row],[SERVICIO 2025]],$J$2:$V$14,3,0)*Tabla4[[#This Row],[TOTAL COBERTURA]]*8</f>
        <v>125701968</v>
      </c>
      <c r="AQ1220" s="35"/>
      <c r="AR1220" s="35">
        <f>Tabla4[[#This Row],[VALOR FASE PREPARATORIA DE ALISTAMIENTO]]+Tabla4[[#This Row],[VALOR FASE PREPARATORIA DE CIERRE]]+Tabla4[[#This Row],[DOTACIÓN ÚNICA]]+Tabla4[[#This Row],[VALOR ATENCIÓN]]+Tabla4[[#This Row],[VALOR RACION PREPARADA]]</f>
        <v>132991773</v>
      </c>
      <c r="AS1220" s="35" t="str">
        <f>+IF(Tabla4[[#This Row],[AGRUPACIONES]]=1,SUMIFS(Tabla4[VALOR TOTAL],Tabla4[ZONA DEFINITIVO],Tabla4[[#This Row],[ZONA DEFINITIVO]])," ")</f>
        <v xml:space="preserve"> </v>
      </c>
      <c r="AT1220" s="27">
        <f>(VLOOKUP(Tabla4[[#This Row],[SERVICIO 2025]],$J$2:$V$14,3,0)*Tabla4[[#This Row],[TOTAL COBERTURA]])+Tabla4[[#This Row],[VALOR FASE PREPARATORIA DE ALISTAMIENTO]]+Tabla4[[#This Row],[DOTACIÓN ÚNICA]]</f>
        <v>20499782</v>
      </c>
      <c r="AU1220" s="35">
        <f>(VLOOKUP(Tabla4[[#This Row],[SERVICIO 2025]],$J$2:$V$14,3,0)*Tabla4[[#This Row],[TOTAL COBERTURA]])</f>
        <v>15712746</v>
      </c>
      <c r="AV1220" s="35">
        <f>(VLOOKUP(Tabla4[[#This Row],[SERVICIO 2025]],$J$2:$V$14,3,0)*Tabla4[[#This Row],[TOTAL COBERTURA]])</f>
        <v>15712746</v>
      </c>
      <c r="AW1220" s="35">
        <f>(VLOOKUP(Tabla4[[#This Row],[SERVICIO 2025]],$J$2:$V$14,3,0)*Tabla4[[#This Row],[TOTAL COBERTURA]])</f>
        <v>15712746</v>
      </c>
      <c r="AX1220" s="35">
        <f>(VLOOKUP(Tabla4[[#This Row],[SERVICIO 2025]],$J$2:$V$14,3,0)*Tabla4[[#This Row],[TOTAL COBERTURA]])</f>
        <v>15712746</v>
      </c>
      <c r="AY1220" s="35">
        <f>(VLOOKUP(Tabla4[[#This Row],[SERVICIO 2025]],$J$2:$V$14,3,0)*Tabla4[[#This Row],[TOTAL COBERTURA]])</f>
        <v>15712746</v>
      </c>
      <c r="AZ1220" s="35">
        <f>(VLOOKUP(Tabla4[[#This Row],[SERVICIO 2025]],$J$2:$V$14,3,0)*Tabla4[[#This Row],[TOTAL COBERTURA]])</f>
        <v>15712746</v>
      </c>
      <c r="BA1220" s="35">
        <f>(VLOOKUP(Tabla4[[#This Row],[SERVICIO 2025]],$J$2:$V$14,3,0)*Tabla4[[#This Row],[TOTAL COBERTURA]])+Tabla4[[#This Row],[VALOR FASE PREPARATORIA DE CIERRE]]</f>
        <v>18215515</v>
      </c>
      <c r="BB1220" s="35">
        <f>SUM(Tabla4[[#This Row],[DESEMBOLSO 1]:[DESEMBOLSO 8]])</f>
        <v>132991773</v>
      </c>
      <c r="BC1220" s="35">
        <f>VLOOKUP(Tabla4[[#This Row],[SERVICIO 2025]],$J$2:$V$14,10,0)*Tabla4[[#This Row],[TOTAL COBERTURA]]*$W$3</f>
        <v>88026904</v>
      </c>
      <c r="BD1220" s="47" t="s">
        <v>211</v>
      </c>
      <c r="BE1220" s="12" t="b">
        <f>EXACT(Tabla4[[#This Row],[VALOR ATENCIÓN (8 MESES)]],Tabla4[[#This Row],[VALOR TOTAL]])</f>
        <v>1</v>
      </c>
      <c r="BF1220" s="23">
        <f>Tabla4[[#This Row],[VALOR ATENCIÓN (8 MESES)]]-Tabla4[[#This Row],[VALOR TOTAL]]</f>
        <v>0</v>
      </c>
      <c r="BG1220" s="12" t="b">
        <f>EXACT(Tabla4[[#This Row],[TOTAL DESEMBOLSOS]],Tabla4[[#This Row],[VALOR ATENCIÓN (8 MESES)]])</f>
        <v>1</v>
      </c>
      <c r="BH1220" s="29">
        <f>Tabla4[[#This Row],[TOTAL DESEMBOLSOS]]-Tabla4[[#This Row],[VALOR ATENCIÓN (8 MESES)]]</f>
        <v>0</v>
      </c>
      <c r="BI1220" t="s">
        <v>98</v>
      </c>
      <c r="BJ1220">
        <v>2024</v>
      </c>
    </row>
    <row r="1221" spans="1:62">
      <c r="A1221" s="13">
        <v>2024</v>
      </c>
      <c r="B1221" s="13" t="s">
        <v>2639</v>
      </c>
      <c r="C1221" s="12" t="s">
        <v>87</v>
      </c>
      <c r="D1221" s="12" t="s">
        <v>482</v>
      </c>
      <c r="E1221" s="12" t="s">
        <v>2640</v>
      </c>
      <c r="F1221" s="12" t="s">
        <v>18</v>
      </c>
      <c r="G1221" s="12" t="s">
        <v>90</v>
      </c>
      <c r="H1221" s="12" t="s">
        <v>2653</v>
      </c>
      <c r="I1221" s="12">
        <v>58931135892</v>
      </c>
      <c r="J1221" s="12" t="s">
        <v>2654</v>
      </c>
      <c r="K1221" s="12">
        <v>1</v>
      </c>
      <c r="L1221" s="12">
        <v>15</v>
      </c>
      <c r="M1221" s="12"/>
      <c r="N1221" s="13">
        <v>2024</v>
      </c>
      <c r="O1221" s="12" t="s">
        <v>93</v>
      </c>
      <c r="P1221" s="12"/>
      <c r="Q1221" s="12"/>
      <c r="R1221" s="12" t="s">
        <v>94</v>
      </c>
      <c r="S1221" s="12">
        <v>10</v>
      </c>
      <c r="T1221" s="12" t="s">
        <v>486</v>
      </c>
      <c r="U1221" s="12" t="s">
        <v>487</v>
      </c>
      <c r="V1221" s="12">
        <f>VLOOKUP(Tabla4[[#This Row],[ZONA DEFINITIVO]],Hoja1!$A$1:$D$121,3,0)</f>
        <v>229166</v>
      </c>
      <c r="W1221" s="12">
        <f>VLOOKUP(Tabla4[[#This Row],[ZONA DEFINITIVO]],Hoja1!$A$1:$D$121,2,0)</f>
        <v>15252</v>
      </c>
      <c r="X1221" s="12">
        <f>VLOOKUP(Tabla4[[#This Row],[ZONA DEFINITIVO]],Hoja1!$A$1:$D$121,4,0)</f>
        <v>89525</v>
      </c>
      <c r="Y1221" s="12" t="str">
        <f>+IF(Tabla4[[#This Row],[AGRUPACIONES]]=1,SUMIFS(Tabla4[UDS],Tabla4[ZONA DEFINITIVO],Tabla4[[#This Row],[ZONA DEFINITIVO]])," ")</f>
        <v xml:space="preserve"> </v>
      </c>
      <c r="Z1221" s="12" t="str">
        <f>+IF(Tabla4[[#This Row],[AGRUPACIONES]]=1,SUMIFS(Tabla4[TOTAL COBERTURA],Tabla4[ZONA DEFINITIVO],Tabla4[[#This Row],[ZONA DEFINITIVO]])," ")</f>
        <v xml:space="preserve"> </v>
      </c>
      <c r="AA1221" s="12"/>
      <c r="AB1221" s="38">
        <v>32702895</v>
      </c>
      <c r="AC1221" s="37">
        <v>0.02</v>
      </c>
      <c r="AD1221" s="38">
        <f t="shared" si="19"/>
        <v>654057.9</v>
      </c>
      <c r="AE1221" s="12"/>
      <c r="AF1221" s="12">
        <f>COUNTIF($A$20:A1221,A1221)</f>
        <v>7</v>
      </c>
      <c r="AG1221" s="38">
        <v>32702895</v>
      </c>
      <c r="AH1221" s="38">
        <f>Tabla4[[#This Row],[VALOR CONTRAPARTIDA]]+Tabla4[[#This Row],[TOTAL APORTES ICBF]]</f>
        <v>33356952.899999999</v>
      </c>
      <c r="AI1221" s="35"/>
      <c r="AJ1221" s="38"/>
      <c r="AK1221" s="38"/>
      <c r="AL1221" s="23"/>
      <c r="AM1221" s="35">
        <f>VLOOKUP(Tabla4[[#This Row],[SERVICIO 2025]],$J$2:$V$14,5,0)*Tabla4[[#This Row],[TOTAL COBERTURA]]</f>
        <v>740640</v>
      </c>
      <c r="AN1221" s="35">
        <f>VLOOKUP(Tabla4[[#This Row],[SERVICIO 2025]],$J$2:$V$14,6,0)*Tabla4[[#This Row],[TOTAL COBERTURA]]</f>
        <v>615435</v>
      </c>
      <c r="AO1221" s="35">
        <f>VLOOKUP(Tabla4[[#This Row],[SERVICIO 2025]],$J$2:$V$14,8,0)*Tabla4[[#This Row],[TOTAL COBERTURA]]</f>
        <v>436500</v>
      </c>
      <c r="AP1221" s="35">
        <f>VLOOKUP(Tabla4[[#This Row],[SERVICIO 2025]],$J$2:$V$14,3,0)*Tabla4[[#This Row],[TOTAL COBERTURA]]*8</f>
        <v>30910320</v>
      </c>
      <c r="AQ1221" s="35"/>
      <c r="AR1221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221" s="35" t="str">
        <f>+IF(Tabla4[[#This Row],[AGRUPACIONES]]=1,SUMIFS(Tabla4[VALOR TOTAL],Tabla4[ZONA DEFINITIVO],Tabla4[[#This Row],[ZONA DEFINITIVO]])," ")</f>
        <v xml:space="preserve"> </v>
      </c>
      <c r="AT1221" s="27">
        <f>(VLOOKUP(Tabla4[[#This Row],[SERVICIO 2025]],$J$2:$V$14,3,0)*Tabla4[[#This Row],[TOTAL COBERTURA]])+Tabla4[[#This Row],[VALOR FASE PREPARATORIA DE ALISTAMIENTO]]+Tabla4[[#This Row],[DOTACIÓN ÚNICA]]</f>
        <v>5040930</v>
      </c>
      <c r="AU1221" s="35">
        <f>(VLOOKUP(Tabla4[[#This Row],[SERVICIO 2025]],$J$2:$V$14,3,0)*Tabla4[[#This Row],[TOTAL COBERTURA]])</f>
        <v>3863790</v>
      </c>
      <c r="AV1221" s="35">
        <f>(VLOOKUP(Tabla4[[#This Row],[SERVICIO 2025]],$J$2:$V$14,3,0)*Tabla4[[#This Row],[TOTAL COBERTURA]])</f>
        <v>3863790</v>
      </c>
      <c r="AW1221" s="35">
        <f>(VLOOKUP(Tabla4[[#This Row],[SERVICIO 2025]],$J$2:$V$14,3,0)*Tabla4[[#This Row],[TOTAL COBERTURA]])</f>
        <v>3863790</v>
      </c>
      <c r="AX1221" s="35">
        <f>(VLOOKUP(Tabla4[[#This Row],[SERVICIO 2025]],$J$2:$V$14,3,0)*Tabla4[[#This Row],[TOTAL COBERTURA]])</f>
        <v>3863790</v>
      </c>
      <c r="AY1221" s="35">
        <f>(VLOOKUP(Tabla4[[#This Row],[SERVICIO 2025]],$J$2:$V$14,3,0)*Tabla4[[#This Row],[TOTAL COBERTURA]])</f>
        <v>3863790</v>
      </c>
      <c r="AZ1221" s="35">
        <f>(VLOOKUP(Tabla4[[#This Row],[SERVICIO 2025]],$J$2:$V$14,3,0)*Tabla4[[#This Row],[TOTAL COBERTURA]])</f>
        <v>3863790</v>
      </c>
      <c r="BA1221" s="35">
        <f>(VLOOKUP(Tabla4[[#This Row],[SERVICIO 2025]],$J$2:$V$14,3,0)*Tabla4[[#This Row],[TOTAL COBERTURA]])+Tabla4[[#This Row],[VALOR FASE PREPARATORIA DE CIERRE]]</f>
        <v>4479225</v>
      </c>
      <c r="BB1221" s="35">
        <f>SUM(Tabla4[[#This Row],[DESEMBOLSO 1]:[DESEMBOLSO 8]])</f>
        <v>32702895</v>
      </c>
      <c r="BC1221" s="35">
        <f>VLOOKUP(Tabla4[[#This Row],[SERVICIO 2025]],$J$2:$V$14,10,0)*Tabla4[[#This Row],[TOTAL COBERTURA]]*$W$3</f>
        <v>21645960</v>
      </c>
      <c r="BD1221" s="47" t="s">
        <v>211</v>
      </c>
      <c r="BE1221" s="12" t="b">
        <f>EXACT(Tabla4[[#This Row],[VALOR ATENCIÓN (8 MESES)]],Tabla4[[#This Row],[VALOR TOTAL]])</f>
        <v>1</v>
      </c>
      <c r="BF1221" s="23">
        <f>Tabla4[[#This Row],[VALOR ATENCIÓN (8 MESES)]]-Tabla4[[#This Row],[VALOR TOTAL]]</f>
        <v>0</v>
      </c>
      <c r="BG1221" s="12" t="b">
        <f>EXACT(Tabla4[[#This Row],[TOTAL DESEMBOLSOS]],Tabla4[[#This Row],[VALOR ATENCIÓN (8 MESES)]])</f>
        <v>1</v>
      </c>
      <c r="BH1221" s="29">
        <f>Tabla4[[#This Row],[TOTAL DESEMBOLSOS]]-Tabla4[[#This Row],[VALOR ATENCIÓN (8 MESES)]]</f>
        <v>0</v>
      </c>
      <c r="BI1221" t="s">
        <v>98</v>
      </c>
      <c r="BJ1221">
        <v>2024</v>
      </c>
    </row>
    <row r="1222" spans="1:62">
      <c r="A1222" s="13">
        <v>2024</v>
      </c>
      <c r="B1222" s="13" t="s">
        <v>2639</v>
      </c>
      <c r="C1222" s="12" t="s">
        <v>87</v>
      </c>
      <c r="D1222" s="12" t="s">
        <v>482</v>
      </c>
      <c r="E1222" s="12" t="s">
        <v>2640</v>
      </c>
      <c r="F1222" s="12" t="s">
        <v>18</v>
      </c>
      <c r="G1222" s="12" t="s">
        <v>90</v>
      </c>
      <c r="H1222" s="12" t="s">
        <v>2655</v>
      </c>
      <c r="I1222" s="12">
        <v>58931135986</v>
      </c>
      <c r="J1222" s="12" t="s">
        <v>2656</v>
      </c>
      <c r="K1222" s="12">
        <v>1</v>
      </c>
      <c r="L1222" s="12">
        <v>14</v>
      </c>
      <c r="M1222" s="12"/>
      <c r="N1222" s="13">
        <v>2024</v>
      </c>
      <c r="O1222" s="12" t="s">
        <v>93</v>
      </c>
      <c r="P1222" s="12"/>
      <c r="Q1222" s="12"/>
      <c r="R1222" s="12" t="s">
        <v>94</v>
      </c>
      <c r="S1222" s="12">
        <v>10</v>
      </c>
      <c r="T1222" s="12" t="s">
        <v>486</v>
      </c>
      <c r="U1222" s="12" t="s">
        <v>487</v>
      </c>
      <c r="V1222" s="12">
        <f>VLOOKUP(Tabla4[[#This Row],[ZONA DEFINITIVO]],Hoja1!$A$1:$D$121,3,0)</f>
        <v>229166</v>
      </c>
      <c r="W1222" s="12">
        <f>VLOOKUP(Tabla4[[#This Row],[ZONA DEFINITIVO]],Hoja1!$A$1:$D$121,2,0)</f>
        <v>15252</v>
      </c>
      <c r="X1222" s="12">
        <f>VLOOKUP(Tabla4[[#This Row],[ZONA DEFINITIVO]],Hoja1!$A$1:$D$121,4,0)</f>
        <v>89525</v>
      </c>
      <c r="Y1222" s="12" t="str">
        <f>+IF(Tabla4[[#This Row],[AGRUPACIONES]]=1,SUMIFS(Tabla4[UDS],Tabla4[ZONA DEFINITIVO],Tabla4[[#This Row],[ZONA DEFINITIVO]])," ")</f>
        <v xml:space="preserve"> </v>
      </c>
      <c r="Z1222" s="12" t="str">
        <f>+IF(Tabla4[[#This Row],[AGRUPACIONES]]=1,SUMIFS(Tabla4[TOTAL COBERTURA],Tabla4[ZONA DEFINITIVO],Tabla4[[#This Row],[ZONA DEFINITIVO]])," ")</f>
        <v xml:space="preserve"> </v>
      </c>
      <c r="AA1222" s="12"/>
      <c r="AB1222" s="38">
        <v>30522702</v>
      </c>
      <c r="AC1222" s="37">
        <v>0.02</v>
      </c>
      <c r="AD1222" s="38">
        <f t="shared" si="19"/>
        <v>610454.04</v>
      </c>
      <c r="AE1222" s="12"/>
      <c r="AF1222" s="12">
        <f>COUNTIF($A$20:A1222,A1222)</f>
        <v>8</v>
      </c>
      <c r="AG1222" s="38">
        <v>30522702</v>
      </c>
      <c r="AH1222" s="38">
        <f>Tabla4[[#This Row],[VALOR CONTRAPARTIDA]]+Tabla4[[#This Row],[TOTAL APORTES ICBF]]</f>
        <v>31133156.039999999</v>
      </c>
      <c r="AI1222" s="35"/>
      <c r="AJ1222" s="38"/>
      <c r="AK1222" s="38"/>
      <c r="AL1222" s="23"/>
      <c r="AM1222" s="35">
        <f>VLOOKUP(Tabla4[[#This Row],[SERVICIO 2025]],$J$2:$V$14,5,0)*Tabla4[[#This Row],[TOTAL COBERTURA]]</f>
        <v>691264</v>
      </c>
      <c r="AN1222" s="35">
        <f>VLOOKUP(Tabla4[[#This Row],[SERVICIO 2025]],$J$2:$V$14,6,0)*Tabla4[[#This Row],[TOTAL COBERTURA]]</f>
        <v>574406</v>
      </c>
      <c r="AO1222" s="35">
        <f>VLOOKUP(Tabla4[[#This Row],[SERVICIO 2025]],$J$2:$V$14,8,0)*Tabla4[[#This Row],[TOTAL COBERTURA]]</f>
        <v>407400</v>
      </c>
      <c r="AP1222" s="35">
        <f>VLOOKUP(Tabla4[[#This Row],[SERVICIO 2025]],$J$2:$V$14,3,0)*Tabla4[[#This Row],[TOTAL COBERTURA]]*8</f>
        <v>28849632</v>
      </c>
      <c r="AQ1222" s="35"/>
      <c r="AR1222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1222" s="35" t="str">
        <f>+IF(Tabla4[[#This Row],[AGRUPACIONES]]=1,SUMIFS(Tabla4[VALOR TOTAL],Tabla4[ZONA DEFINITIVO],Tabla4[[#This Row],[ZONA DEFINITIVO]])," ")</f>
        <v xml:space="preserve"> </v>
      </c>
      <c r="AT1222" s="27">
        <f>(VLOOKUP(Tabla4[[#This Row],[SERVICIO 2025]],$J$2:$V$14,3,0)*Tabla4[[#This Row],[TOTAL COBERTURA]])+Tabla4[[#This Row],[VALOR FASE PREPARATORIA DE ALISTAMIENTO]]+Tabla4[[#This Row],[DOTACIÓN ÚNICA]]</f>
        <v>4704868</v>
      </c>
      <c r="AU1222" s="35">
        <f>(VLOOKUP(Tabla4[[#This Row],[SERVICIO 2025]],$J$2:$V$14,3,0)*Tabla4[[#This Row],[TOTAL COBERTURA]])</f>
        <v>3606204</v>
      </c>
      <c r="AV1222" s="35">
        <f>(VLOOKUP(Tabla4[[#This Row],[SERVICIO 2025]],$J$2:$V$14,3,0)*Tabla4[[#This Row],[TOTAL COBERTURA]])</f>
        <v>3606204</v>
      </c>
      <c r="AW1222" s="35">
        <f>(VLOOKUP(Tabla4[[#This Row],[SERVICIO 2025]],$J$2:$V$14,3,0)*Tabla4[[#This Row],[TOTAL COBERTURA]])</f>
        <v>3606204</v>
      </c>
      <c r="AX1222" s="35">
        <f>(VLOOKUP(Tabla4[[#This Row],[SERVICIO 2025]],$J$2:$V$14,3,0)*Tabla4[[#This Row],[TOTAL COBERTURA]])</f>
        <v>3606204</v>
      </c>
      <c r="AY1222" s="35">
        <f>(VLOOKUP(Tabla4[[#This Row],[SERVICIO 2025]],$J$2:$V$14,3,0)*Tabla4[[#This Row],[TOTAL COBERTURA]])</f>
        <v>3606204</v>
      </c>
      <c r="AZ1222" s="35">
        <f>(VLOOKUP(Tabla4[[#This Row],[SERVICIO 2025]],$J$2:$V$14,3,0)*Tabla4[[#This Row],[TOTAL COBERTURA]])</f>
        <v>3606204</v>
      </c>
      <c r="BA1222" s="35">
        <f>(VLOOKUP(Tabla4[[#This Row],[SERVICIO 2025]],$J$2:$V$14,3,0)*Tabla4[[#This Row],[TOTAL COBERTURA]])+Tabla4[[#This Row],[VALOR FASE PREPARATORIA DE CIERRE]]</f>
        <v>4180610</v>
      </c>
      <c r="BB1222" s="35">
        <f>SUM(Tabla4[[#This Row],[DESEMBOLSO 1]:[DESEMBOLSO 8]])</f>
        <v>30522702</v>
      </c>
      <c r="BC1222" s="35">
        <f>VLOOKUP(Tabla4[[#This Row],[SERVICIO 2025]],$J$2:$V$14,10,0)*Tabla4[[#This Row],[TOTAL COBERTURA]]*$W$3</f>
        <v>20202896</v>
      </c>
      <c r="BD1222" s="47" t="s">
        <v>211</v>
      </c>
      <c r="BE1222" s="12" t="b">
        <f>EXACT(Tabla4[[#This Row],[VALOR ATENCIÓN (8 MESES)]],Tabla4[[#This Row],[VALOR TOTAL]])</f>
        <v>1</v>
      </c>
      <c r="BF1222" s="23">
        <f>Tabla4[[#This Row],[VALOR ATENCIÓN (8 MESES)]]-Tabla4[[#This Row],[VALOR TOTAL]]</f>
        <v>0</v>
      </c>
      <c r="BG1222" s="12" t="b">
        <f>EXACT(Tabla4[[#This Row],[TOTAL DESEMBOLSOS]],Tabla4[[#This Row],[VALOR ATENCIÓN (8 MESES)]])</f>
        <v>1</v>
      </c>
      <c r="BH1222" s="29">
        <f>Tabla4[[#This Row],[TOTAL DESEMBOLSOS]]-Tabla4[[#This Row],[VALOR ATENCIÓN (8 MESES)]]</f>
        <v>0</v>
      </c>
      <c r="BI1222" t="s">
        <v>98</v>
      </c>
      <c r="BJ1222">
        <v>2024</v>
      </c>
    </row>
    <row r="1223" spans="1:62">
      <c r="A1223" s="13">
        <v>2024</v>
      </c>
      <c r="B1223" s="13" t="s">
        <v>2639</v>
      </c>
      <c r="C1223" s="12" t="s">
        <v>87</v>
      </c>
      <c r="D1223" s="12" t="s">
        <v>482</v>
      </c>
      <c r="E1223" s="12" t="s">
        <v>2640</v>
      </c>
      <c r="F1223" s="12" t="s">
        <v>18</v>
      </c>
      <c r="G1223" s="12" t="s">
        <v>90</v>
      </c>
      <c r="H1223" s="12" t="s">
        <v>2657</v>
      </c>
      <c r="I1223" s="12">
        <v>58931135996</v>
      </c>
      <c r="J1223" s="12" t="s">
        <v>2658</v>
      </c>
      <c r="K1223" s="12">
        <v>1</v>
      </c>
      <c r="L1223" s="12">
        <v>29</v>
      </c>
      <c r="M1223" s="12"/>
      <c r="N1223" s="13">
        <v>2024</v>
      </c>
      <c r="O1223" s="12" t="s">
        <v>93</v>
      </c>
      <c r="P1223" s="12"/>
      <c r="Q1223" s="12"/>
      <c r="R1223" s="12" t="s">
        <v>94</v>
      </c>
      <c r="S1223" s="12">
        <v>10</v>
      </c>
      <c r="T1223" s="12" t="s">
        <v>486</v>
      </c>
      <c r="U1223" s="12" t="s">
        <v>487</v>
      </c>
      <c r="V1223" s="12">
        <f>VLOOKUP(Tabla4[[#This Row],[ZONA DEFINITIVO]],Hoja1!$A$1:$D$121,3,0)</f>
        <v>229166</v>
      </c>
      <c r="W1223" s="12">
        <f>VLOOKUP(Tabla4[[#This Row],[ZONA DEFINITIVO]],Hoja1!$A$1:$D$121,2,0)</f>
        <v>15252</v>
      </c>
      <c r="X1223" s="12">
        <f>VLOOKUP(Tabla4[[#This Row],[ZONA DEFINITIVO]],Hoja1!$A$1:$D$121,4,0)</f>
        <v>89525</v>
      </c>
      <c r="Y1223" s="12" t="str">
        <f>+IF(Tabla4[[#This Row],[AGRUPACIONES]]=1,SUMIFS(Tabla4[UDS],Tabla4[ZONA DEFINITIVO],Tabla4[[#This Row],[ZONA DEFINITIVO]])," ")</f>
        <v xml:space="preserve"> </v>
      </c>
      <c r="Z1223" s="12" t="str">
        <f>+IF(Tabla4[[#This Row],[AGRUPACIONES]]=1,SUMIFS(Tabla4[TOTAL COBERTURA],Tabla4[ZONA DEFINITIVO],Tabla4[[#This Row],[ZONA DEFINITIVO]])," ")</f>
        <v xml:space="preserve"> </v>
      </c>
      <c r="AA1223" s="12"/>
      <c r="AB1223" s="38">
        <v>63225597</v>
      </c>
      <c r="AC1223" s="37">
        <v>0.02</v>
      </c>
      <c r="AD1223" s="38">
        <f t="shared" si="19"/>
        <v>1264511.94</v>
      </c>
      <c r="AE1223" s="12"/>
      <c r="AF1223" s="12">
        <f>COUNTIF($A$20:A1223,A1223)</f>
        <v>9</v>
      </c>
      <c r="AG1223" s="38">
        <v>63225597</v>
      </c>
      <c r="AH1223" s="38">
        <f>Tabla4[[#This Row],[VALOR CONTRAPARTIDA]]+Tabla4[[#This Row],[TOTAL APORTES ICBF]]</f>
        <v>64490108.939999998</v>
      </c>
      <c r="AI1223" s="35"/>
      <c r="AJ1223" s="38"/>
      <c r="AK1223" s="38"/>
      <c r="AL1223" s="23"/>
      <c r="AM1223" s="35">
        <f>VLOOKUP(Tabla4[[#This Row],[SERVICIO 2025]],$J$2:$V$14,5,0)*Tabla4[[#This Row],[TOTAL COBERTURA]]</f>
        <v>1431904</v>
      </c>
      <c r="AN1223" s="35">
        <f>VLOOKUP(Tabla4[[#This Row],[SERVICIO 2025]],$J$2:$V$14,6,0)*Tabla4[[#This Row],[TOTAL COBERTURA]]</f>
        <v>1189841</v>
      </c>
      <c r="AO1223" s="35">
        <f>VLOOKUP(Tabla4[[#This Row],[SERVICIO 2025]],$J$2:$V$14,8,0)*Tabla4[[#This Row],[TOTAL COBERTURA]]</f>
        <v>843900</v>
      </c>
      <c r="AP1223" s="35">
        <f>VLOOKUP(Tabla4[[#This Row],[SERVICIO 2025]],$J$2:$V$14,3,0)*Tabla4[[#This Row],[TOTAL COBERTURA]]*8</f>
        <v>59759952</v>
      </c>
      <c r="AQ1223" s="35"/>
      <c r="AR1223" s="35">
        <f>Tabla4[[#This Row],[VALOR FASE PREPARATORIA DE ALISTAMIENTO]]+Tabla4[[#This Row],[VALOR FASE PREPARATORIA DE CIERRE]]+Tabla4[[#This Row],[DOTACIÓN ÚNICA]]+Tabla4[[#This Row],[VALOR ATENCIÓN]]+Tabla4[[#This Row],[VALOR RACION PREPARADA]]</f>
        <v>63225597</v>
      </c>
      <c r="AS1223" s="35" t="str">
        <f>+IF(Tabla4[[#This Row],[AGRUPACIONES]]=1,SUMIFS(Tabla4[VALOR TOTAL],Tabla4[ZONA DEFINITIVO],Tabla4[[#This Row],[ZONA DEFINITIVO]])," ")</f>
        <v xml:space="preserve"> </v>
      </c>
      <c r="AT1223" s="27">
        <f>(VLOOKUP(Tabla4[[#This Row],[SERVICIO 2025]],$J$2:$V$14,3,0)*Tabla4[[#This Row],[TOTAL COBERTURA]])+Tabla4[[#This Row],[VALOR FASE PREPARATORIA DE ALISTAMIENTO]]+Tabla4[[#This Row],[DOTACIÓN ÚNICA]]</f>
        <v>9745798</v>
      </c>
      <c r="AU1223" s="35">
        <f>(VLOOKUP(Tabla4[[#This Row],[SERVICIO 2025]],$J$2:$V$14,3,0)*Tabla4[[#This Row],[TOTAL COBERTURA]])</f>
        <v>7469994</v>
      </c>
      <c r="AV1223" s="35">
        <f>(VLOOKUP(Tabla4[[#This Row],[SERVICIO 2025]],$J$2:$V$14,3,0)*Tabla4[[#This Row],[TOTAL COBERTURA]])</f>
        <v>7469994</v>
      </c>
      <c r="AW1223" s="35">
        <f>(VLOOKUP(Tabla4[[#This Row],[SERVICIO 2025]],$J$2:$V$14,3,0)*Tabla4[[#This Row],[TOTAL COBERTURA]])</f>
        <v>7469994</v>
      </c>
      <c r="AX1223" s="35">
        <f>(VLOOKUP(Tabla4[[#This Row],[SERVICIO 2025]],$J$2:$V$14,3,0)*Tabla4[[#This Row],[TOTAL COBERTURA]])</f>
        <v>7469994</v>
      </c>
      <c r="AY1223" s="35">
        <f>(VLOOKUP(Tabla4[[#This Row],[SERVICIO 2025]],$J$2:$V$14,3,0)*Tabla4[[#This Row],[TOTAL COBERTURA]])</f>
        <v>7469994</v>
      </c>
      <c r="AZ1223" s="35">
        <f>(VLOOKUP(Tabla4[[#This Row],[SERVICIO 2025]],$J$2:$V$14,3,0)*Tabla4[[#This Row],[TOTAL COBERTURA]])</f>
        <v>7469994</v>
      </c>
      <c r="BA1223" s="35">
        <f>(VLOOKUP(Tabla4[[#This Row],[SERVICIO 2025]],$J$2:$V$14,3,0)*Tabla4[[#This Row],[TOTAL COBERTURA]])+Tabla4[[#This Row],[VALOR FASE PREPARATORIA DE CIERRE]]</f>
        <v>8659835</v>
      </c>
      <c r="BB1223" s="35">
        <f>SUM(Tabla4[[#This Row],[DESEMBOLSO 1]:[DESEMBOLSO 8]])</f>
        <v>63225597</v>
      </c>
      <c r="BC1223" s="35">
        <f>VLOOKUP(Tabla4[[#This Row],[SERVICIO 2025]],$J$2:$V$14,10,0)*Tabla4[[#This Row],[TOTAL COBERTURA]]*$W$3</f>
        <v>41848856</v>
      </c>
      <c r="BD1223" s="47" t="s">
        <v>211</v>
      </c>
      <c r="BE1223" s="12" t="b">
        <f>EXACT(Tabla4[[#This Row],[VALOR ATENCIÓN (8 MESES)]],Tabla4[[#This Row],[VALOR TOTAL]])</f>
        <v>1</v>
      </c>
      <c r="BF1223" s="23">
        <f>Tabla4[[#This Row],[VALOR ATENCIÓN (8 MESES)]]-Tabla4[[#This Row],[VALOR TOTAL]]</f>
        <v>0</v>
      </c>
      <c r="BG1223" s="12" t="b">
        <f>EXACT(Tabla4[[#This Row],[TOTAL DESEMBOLSOS]],Tabla4[[#This Row],[VALOR ATENCIÓN (8 MESES)]])</f>
        <v>1</v>
      </c>
      <c r="BH1223" s="29">
        <f>Tabla4[[#This Row],[TOTAL DESEMBOLSOS]]-Tabla4[[#This Row],[VALOR ATENCIÓN (8 MESES)]]</f>
        <v>0</v>
      </c>
      <c r="BI1223" t="s">
        <v>98</v>
      </c>
      <c r="BJ1223">
        <v>2024</v>
      </c>
    </row>
    <row r="1224" spans="1:62">
      <c r="A1224" s="13">
        <v>2024</v>
      </c>
      <c r="B1224" s="13" t="s">
        <v>2639</v>
      </c>
      <c r="C1224" s="12" t="s">
        <v>87</v>
      </c>
      <c r="D1224" s="12" t="s">
        <v>482</v>
      </c>
      <c r="E1224" s="12" t="s">
        <v>2640</v>
      </c>
      <c r="F1224" s="12" t="s">
        <v>18</v>
      </c>
      <c r="G1224" s="12" t="s">
        <v>90</v>
      </c>
      <c r="H1224" s="12" t="s">
        <v>2659</v>
      </c>
      <c r="I1224" s="12">
        <v>58931136007</v>
      </c>
      <c r="J1224" s="12" t="s">
        <v>2660</v>
      </c>
      <c r="K1224" s="12">
        <v>1</v>
      </c>
      <c r="L1224" s="12">
        <v>16</v>
      </c>
      <c r="M1224" s="12"/>
      <c r="N1224" s="13">
        <v>2024</v>
      </c>
      <c r="O1224" s="12" t="s">
        <v>93</v>
      </c>
      <c r="P1224" s="12"/>
      <c r="Q1224" s="12"/>
      <c r="R1224" s="12" t="s">
        <v>94</v>
      </c>
      <c r="S1224" s="12">
        <v>10</v>
      </c>
      <c r="T1224" s="12" t="s">
        <v>486</v>
      </c>
      <c r="U1224" s="12" t="s">
        <v>487</v>
      </c>
      <c r="V1224" s="12">
        <f>VLOOKUP(Tabla4[[#This Row],[ZONA DEFINITIVO]],Hoja1!$A$1:$D$121,3,0)</f>
        <v>229166</v>
      </c>
      <c r="W1224" s="12">
        <f>VLOOKUP(Tabla4[[#This Row],[ZONA DEFINITIVO]],Hoja1!$A$1:$D$121,2,0)</f>
        <v>15252</v>
      </c>
      <c r="X1224" s="12">
        <f>VLOOKUP(Tabla4[[#This Row],[ZONA DEFINITIVO]],Hoja1!$A$1:$D$121,4,0)</f>
        <v>89525</v>
      </c>
      <c r="Y1224" s="12" t="str">
        <f>+IF(Tabla4[[#This Row],[AGRUPACIONES]]=1,SUMIFS(Tabla4[UDS],Tabla4[ZONA DEFINITIVO],Tabla4[[#This Row],[ZONA DEFINITIVO]])," ")</f>
        <v xml:space="preserve"> </v>
      </c>
      <c r="Z1224" s="12" t="str">
        <f>+IF(Tabla4[[#This Row],[AGRUPACIONES]]=1,SUMIFS(Tabla4[TOTAL COBERTURA],Tabla4[ZONA DEFINITIVO],Tabla4[[#This Row],[ZONA DEFINITIVO]])," ")</f>
        <v xml:space="preserve"> </v>
      </c>
      <c r="AA1224" s="12"/>
      <c r="AB1224" s="38">
        <v>34883088</v>
      </c>
      <c r="AC1224" s="37">
        <v>0.02</v>
      </c>
      <c r="AD1224" s="38">
        <f t="shared" si="19"/>
        <v>697661.76</v>
      </c>
      <c r="AE1224" s="12"/>
      <c r="AF1224" s="12">
        <f>COUNTIF($A$20:A1224,A1224)</f>
        <v>10</v>
      </c>
      <c r="AG1224" s="38">
        <v>34883088</v>
      </c>
      <c r="AH1224" s="38">
        <f>Tabla4[[#This Row],[VALOR CONTRAPARTIDA]]+Tabla4[[#This Row],[TOTAL APORTES ICBF]]</f>
        <v>35580749.759999998</v>
      </c>
      <c r="AI1224" s="35"/>
      <c r="AJ1224" s="38"/>
      <c r="AK1224" s="38"/>
      <c r="AL1224" s="23"/>
      <c r="AM1224" s="35">
        <f>VLOOKUP(Tabla4[[#This Row],[SERVICIO 2025]],$J$2:$V$14,5,0)*Tabla4[[#This Row],[TOTAL COBERTURA]]</f>
        <v>790016</v>
      </c>
      <c r="AN1224" s="35">
        <f>VLOOKUP(Tabla4[[#This Row],[SERVICIO 2025]],$J$2:$V$14,6,0)*Tabla4[[#This Row],[TOTAL COBERTURA]]</f>
        <v>656464</v>
      </c>
      <c r="AO1224" s="35">
        <f>VLOOKUP(Tabla4[[#This Row],[SERVICIO 2025]],$J$2:$V$14,8,0)*Tabla4[[#This Row],[TOTAL COBERTURA]]</f>
        <v>465600</v>
      </c>
      <c r="AP1224" s="35">
        <f>VLOOKUP(Tabla4[[#This Row],[SERVICIO 2025]],$J$2:$V$14,3,0)*Tabla4[[#This Row],[TOTAL COBERTURA]]*8</f>
        <v>32971008</v>
      </c>
      <c r="AQ1224" s="35"/>
      <c r="AR1224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224" s="35" t="str">
        <f>+IF(Tabla4[[#This Row],[AGRUPACIONES]]=1,SUMIFS(Tabla4[VALOR TOTAL],Tabla4[ZONA DEFINITIVO],Tabla4[[#This Row],[ZONA DEFINITIVO]])," ")</f>
        <v xml:space="preserve"> </v>
      </c>
      <c r="AT1224" s="27">
        <f>(VLOOKUP(Tabla4[[#This Row],[SERVICIO 2025]],$J$2:$V$14,3,0)*Tabla4[[#This Row],[TOTAL COBERTURA]])+Tabla4[[#This Row],[VALOR FASE PREPARATORIA DE ALISTAMIENTO]]+Tabla4[[#This Row],[DOTACIÓN ÚNICA]]</f>
        <v>5376992</v>
      </c>
      <c r="AU1224" s="35">
        <f>(VLOOKUP(Tabla4[[#This Row],[SERVICIO 2025]],$J$2:$V$14,3,0)*Tabla4[[#This Row],[TOTAL COBERTURA]])</f>
        <v>4121376</v>
      </c>
      <c r="AV1224" s="35">
        <f>(VLOOKUP(Tabla4[[#This Row],[SERVICIO 2025]],$J$2:$V$14,3,0)*Tabla4[[#This Row],[TOTAL COBERTURA]])</f>
        <v>4121376</v>
      </c>
      <c r="AW1224" s="35">
        <f>(VLOOKUP(Tabla4[[#This Row],[SERVICIO 2025]],$J$2:$V$14,3,0)*Tabla4[[#This Row],[TOTAL COBERTURA]])</f>
        <v>4121376</v>
      </c>
      <c r="AX1224" s="35">
        <f>(VLOOKUP(Tabla4[[#This Row],[SERVICIO 2025]],$J$2:$V$14,3,0)*Tabla4[[#This Row],[TOTAL COBERTURA]])</f>
        <v>4121376</v>
      </c>
      <c r="AY1224" s="35">
        <f>(VLOOKUP(Tabla4[[#This Row],[SERVICIO 2025]],$J$2:$V$14,3,0)*Tabla4[[#This Row],[TOTAL COBERTURA]])</f>
        <v>4121376</v>
      </c>
      <c r="AZ1224" s="35">
        <f>(VLOOKUP(Tabla4[[#This Row],[SERVICIO 2025]],$J$2:$V$14,3,0)*Tabla4[[#This Row],[TOTAL COBERTURA]])</f>
        <v>4121376</v>
      </c>
      <c r="BA1224" s="35">
        <f>(VLOOKUP(Tabla4[[#This Row],[SERVICIO 2025]],$J$2:$V$14,3,0)*Tabla4[[#This Row],[TOTAL COBERTURA]])+Tabla4[[#This Row],[VALOR FASE PREPARATORIA DE CIERRE]]</f>
        <v>4777840</v>
      </c>
      <c r="BB1224" s="35">
        <f>SUM(Tabla4[[#This Row],[DESEMBOLSO 1]:[DESEMBOLSO 8]])</f>
        <v>34883088</v>
      </c>
      <c r="BC1224" s="35">
        <f>VLOOKUP(Tabla4[[#This Row],[SERVICIO 2025]],$J$2:$V$14,10,0)*Tabla4[[#This Row],[TOTAL COBERTURA]]*$W$3</f>
        <v>23089024</v>
      </c>
      <c r="BD1224" s="47" t="s">
        <v>211</v>
      </c>
      <c r="BE1224" s="12" t="b">
        <f>EXACT(Tabla4[[#This Row],[VALOR ATENCIÓN (8 MESES)]],Tabla4[[#This Row],[VALOR TOTAL]])</f>
        <v>1</v>
      </c>
      <c r="BF1224" s="23">
        <f>Tabla4[[#This Row],[VALOR ATENCIÓN (8 MESES)]]-Tabla4[[#This Row],[VALOR TOTAL]]</f>
        <v>0</v>
      </c>
      <c r="BG1224" s="12" t="b">
        <f>EXACT(Tabla4[[#This Row],[TOTAL DESEMBOLSOS]],Tabla4[[#This Row],[VALOR ATENCIÓN (8 MESES)]])</f>
        <v>1</v>
      </c>
      <c r="BH1224" s="29">
        <f>Tabla4[[#This Row],[TOTAL DESEMBOLSOS]]-Tabla4[[#This Row],[VALOR ATENCIÓN (8 MESES)]]</f>
        <v>0</v>
      </c>
      <c r="BI1224" t="s">
        <v>98</v>
      </c>
      <c r="BJ1224">
        <v>2024</v>
      </c>
    </row>
    <row r="1225" spans="1:62">
      <c r="A1225" s="13">
        <v>2024</v>
      </c>
      <c r="B1225" s="13" t="s">
        <v>2639</v>
      </c>
      <c r="C1225" s="12" t="s">
        <v>87</v>
      </c>
      <c r="D1225" s="12" t="s">
        <v>482</v>
      </c>
      <c r="E1225" s="12" t="s">
        <v>2640</v>
      </c>
      <c r="F1225" s="12" t="s">
        <v>18</v>
      </c>
      <c r="G1225" s="12" t="s">
        <v>90</v>
      </c>
      <c r="H1225" s="12" t="s">
        <v>2661</v>
      </c>
      <c r="I1225" s="12">
        <v>58931136027</v>
      </c>
      <c r="J1225" s="12" t="s">
        <v>2662</v>
      </c>
      <c r="K1225" s="12">
        <v>1</v>
      </c>
      <c r="L1225" s="12">
        <v>21</v>
      </c>
      <c r="M1225" s="12"/>
      <c r="N1225" s="13">
        <v>2024</v>
      </c>
      <c r="O1225" s="12" t="s">
        <v>93</v>
      </c>
      <c r="P1225" s="12"/>
      <c r="Q1225" s="12"/>
      <c r="R1225" s="12" t="s">
        <v>94</v>
      </c>
      <c r="S1225" s="12">
        <v>10</v>
      </c>
      <c r="T1225" s="12" t="s">
        <v>486</v>
      </c>
      <c r="U1225" s="12" t="s">
        <v>487</v>
      </c>
      <c r="V1225" s="12">
        <f>VLOOKUP(Tabla4[[#This Row],[ZONA DEFINITIVO]],Hoja1!$A$1:$D$121,3,0)</f>
        <v>229166</v>
      </c>
      <c r="W1225" s="12">
        <f>VLOOKUP(Tabla4[[#This Row],[ZONA DEFINITIVO]],Hoja1!$A$1:$D$121,2,0)</f>
        <v>15252</v>
      </c>
      <c r="X1225" s="12">
        <f>VLOOKUP(Tabla4[[#This Row],[ZONA DEFINITIVO]],Hoja1!$A$1:$D$121,4,0)</f>
        <v>89525</v>
      </c>
      <c r="Y1225" s="12" t="str">
        <f>+IF(Tabla4[[#This Row],[AGRUPACIONES]]=1,SUMIFS(Tabla4[UDS],Tabla4[ZONA DEFINITIVO],Tabla4[[#This Row],[ZONA DEFINITIVO]])," ")</f>
        <v xml:space="preserve"> </v>
      </c>
      <c r="Z1225" s="12" t="str">
        <f>+IF(Tabla4[[#This Row],[AGRUPACIONES]]=1,SUMIFS(Tabla4[TOTAL COBERTURA],Tabla4[ZONA DEFINITIVO],Tabla4[[#This Row],[ZONA DEFINITIVO]])," ")</f>
        <v xml:space="preserve"> </v>
      </c>
      <c r="AA1225" s="12"/>
      <c r="AB1225" s="38">
        <v>45784053</v>
      </c>
      <c r="AC1225" s="37">
        <v>0.02</v>
      </c>
      <c r="AD1225" s="38">
        <f t="shared" si="19"/>
        <v>915681.06</v>
      </c>
      <c r="AE1225" s="12"/>
      <c r="AF1225" s="12">
        <f>COUNTIF($A$20:A1225,A1225)</f>
        <v>11</v>
      </c>
      <c r="AG1225" s="38">
        <v>45784053</v>
      </c>
      <c r="AH1225" s="38">
        <f>Tabla4[[#This Row],[VALOR CONTRAPARTIDA]]+Tabla4[[#This Row],[TOTAL APORTES ICBF]]</f>
        <v>46699734.060000002</v>
      </c>
      <c r="AI1225" s="35"/>
      <c r="AJ1225" s="38"/>
      <c r="AK1225" s="38"/>
      <c r="AL1225" s="23"/>
      <c r="AM1225" s="35">
        <f>VLOOKUP(Tabla4[[#This Row],[SERVICIO 2025]],$J$2:$V$14,5,0)*Tabla4[[#This Row],[TOTAL COBERTURA]]</f>
        <v>1036896</v>
      </c>
      <c r="AN1225" s="35">
        <f>VLOOKUP(Tabla4[[#This Row],[SERVICIO 2025]],$J$2:$V$14,6,0)*Tabla4[[#This Row],[TOTAL COBERTURA]]</f>
        <v>861609</v>
      </c>
      <c r="AO1225" s="35">
        <f>VLOOKUP(Tabla4[[#This Row],[SERVICIO 2025]],$J$2:$V$14,8,0)*Tabla4[[#This Row],[TOTAL COBERTURA]]</f>
        <v>611100</v>
      </c>
      <c r="AP1225" s="35">
        <f>VLOOKUP(Tabla4[[#This Row],[SERVICIO 2025]],$J$2:$V$14,3,0)*Tabla4[[#This Row],[TOTAL COBERTURA]]*8</f>
        <v>43274448</v>
      </c>
      <c r="AQ1225" s="35"/>
      <c r="AR1225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1225" s="35" t="str">
        <f>+IF(Tabla4[[#This Row],[AGRUPACIONES]]=1,SUMIFS(Tabla4[VALOR TOTAL],Tabla4[ZONA DEFINITIVO],Tabla4[[#This Row],[ZONA DEFINITIVO]])," ")</f>
        <v xml:space="preserve"> </v>
      </c>
      <c r="AT1225" s="27">
        <f>(VLOOKUP(Tabla4[[#This Row],[SERVICIO 2025]],$J$2:$V$14,3,0)*Tabla4[[#This Row],[TOTAL COBERTURA]])+Tabla4[[#This Row],[VALOR FASE PREPARATORIA DE ALISTAMIENTO]]+Tabla4[[#This Row],[DOTACIÓN ÚNICA]]</f>
        <v>7057302</v>
      </c>
      <c r="AU1225" s="35">
        <f>(VLOOKUP(Tabla4[[#This Row],[SERVICIO 2025]],$J$2:$V$14,3,0)*Tabla4[[#This Row],[TOTAL COBERTURA]])</f>
        <v>5409306</v>
      </c>
      <c r="AV1225" s="35">
        <f>(VLOOKUP(Tabla4[[#This Row],[SERVICIO 2025]],$J$2:$V$14,3,0)*Tabla4[[#This Row],[TOTAL COBERTURA]])</f>
        <v>5409306</v>
      </c>
      <c r="AW1225" s="35">
        <f>(VLOOKUP(Tabla4[[#This Row],[SERVICIO 2025]],$J$2:$V$14,3,0)*Tabla4[[#This Row],[TOTAL COBERTURA]])</f>
        <v>5409306</v>
      </c>
      <c r="AX1225" s="35">
        <f>(VLOOKUP(Tabla4[[#This Row],[SERVICIO 2025]],$J$2:$V$14,3,0)*Tabla4[[#This Row],[TOTAL COBERTURA]])</f>
        <v>5409306</v>
      </c>
      <c r="AY1225" s="35">
        <f>(VLOOKUP(Tabla4[[#This Row],[SERVICIO 2025]],$J$2:$V$14,3,0)*Tabla4[[#This Row],[TOTAL COBERTURA]])</f>
        <v>5409306</v>
      </c>
      <c r="AZ1225" s="35">
        <f>(VLOOKUP(Tabla4[[#This Row],[SERVICIO 2025]],$J$2:$V$14,3,0)*Tabla4[[#This Row],[TOTAL COBERTURA]])</f>
        <v>5409306</v>
      </c>
      <c r="BA1225" s="35">
        <f>(VLOOKUP(Tabla4[[#This Row],[SERVICIO 2025]],$J$2:$V$14,3,0)*Tabla4[[#This Row],[TOTAL COBERTURA]])+Tabla4[[#This Row],[VALOR FASE PREPARATORIA DE CIERRE]]</f>
        <v>6270915</v>
      </c>
      <c r="BB1225" s="35">
        <f>SUM(Tabla4[[#This Row],[DESEMBOLSO 1]:[DESEMBOLSO 8]])</f>
        <v>45784053</v>
      </c>
      <c r="BC1225" s="35">
        <f>VLOOKUP(Tabla4[[#This Row],[SERVICIO 2025]],$J$2:$V$14,10,0)*Tabla4[[#This Row],[TOTAL COBERTURA]]*$W$3</f>
        <v>30304344</v>
      </c>
      <c r="BD1225" s="47" t="s">
        <v>211</v>
      </c>
      <c r="BE1225" s="12" t="b">
        <f>EXACT(Tabla4[[#This Row],[VALOR ATENCIÓN (8 MESES)]],Tabla4[[#This Row],[VALOR TOTAL]])</f>
        <v>1</v>
      </c>
      <c r="BF1225" s="23">
        <f>Tabla4[[#This Row],[VALOR ATENCIÓN (8 MESES)]]-Tabla4[[#This Row],[VALOR TOTAL]]</f>
        <v>0</v>
      </c>
      <c r="BG1225" s="12" t="b">
        <f>EXACT(Tabla4[[#This Row],[TOTAL DESEMBOLSOS]],Tabla4[[#This Row],[VALOR ATENCIÓN (8 MESES)]])</f>
        <v>1</v>
      </c>
      <c r="BH1225" s="29">
        <f>Tabla4[[#This Row],[TOTAL DESEMBOLSOS]]-Tabla4[[#This Row],[VALOR ATENCIÓN (8 MESES)]]</f>
        <v>0</v>
      </c>
      <c r="BI1225" t="s">
        <v>98</v>
      </c>
      <c r="BJ1225">
        <v>2024</v>
      </c>
    </row>
    <row r="1226" spans="1:62">
      <c r="A1226" s="13">
        <v>2024</v>
      </c>
      <c r="B1226" s="13" t="s">
        <v>2639</v>
      </c>
      <c r="C1226" s="12" t="s">
        <v>87</v>
      </c>
      <c r="D1226" s="12" t="s">
        <v>482</v>
      </c>
      <c r="E1226" s="12" t="s">
        <v>2640</v>
      </c>
      <c r="F1226" s="12" t="s">
        <v>19</v>
      </c>
      <c r="G1226" s="12" t="s">
        <v>90</v>
      </c>
      <c r="H1226" s="12" t="s">
        <v>2663</v>
      </c>
      <c r="I1226" s="12">
        <v>58931136050</v>
      </c>
      <c r="J1226" s="12" t="s">
        <v>2664</v>
      </c>
      <c r="K1226" s="12">
        <v>1</v>
      </c>
      <c r="L1226" s="12">
        <v>56</v>
      </c>
      <c r="M1226" s="12"/>
      <c r="N1226" s="13">
        <v>2024</v>
      </c>
      <c r="O1226" s="12" t="s">
        <v>93</v>
      </c>
      <c r="P1226" s="12"/>
      <c r="Q1226" s="12"/>
      <c r="R1226" s="12" t="s">
        <v>94</v>
      </c>
      <c r="S1226" s="12">
        <v>10</v>
      </c>
      <c r="T1226" s="12" t="s">
        <v>486</v>
      </c>
      <c r="U1226" s="12" t="s">
        <v>487</v>
      </c>
      <c r="V1226" s="12">
        <f>VLOOKUP(Tabla4[[#This Row],[ZONA DEFINITIVO]],Hoja1!$A$1:$D$121,3,0)</f>
        <v>229166</v>
      </c>
      <c r="W1226" s="12">
        <f>VLOOKUP(Tabla4[[#This Row],[ZONA DEFINITIVO]],Hoja1!$A$1:$D$121,2,0)</f>
        <v>15252</v>
      </c>
      <c r="X1226" s="12">
        <f>VLOOKUP(Tabla4[[#This Row],[ZONA DEFINITIVO]],Hoja1!$A$1:$D$121,4,0)</f>
        <v>89525</v>
      </c>
      <c r="Y1226" s="12" t="str">
        <f>+IF(Tabla4[[#This Row],[AGRUPACIONES]]=1,SUMIFS(Tabla4[UDS],Tabla4[ZONA DEFINITIVO],Tabla4[[#This Row],[ZONA DEFINITIVO]])," ")</f>
        <v xml:space="preserve"> </v>
      </c>
      <c r="Z1226" s="12" t="str">
        <f>+IF(Tabla4[[#This Row],[AGRUPACIONES]]=1,SUMIFS(Tabla4[TOTAL COBERTURA],Tabla4[ZONA DEFINITIVO],Tabla4[[#This Row],[ZONA DEFINITIVO]])," ")</f>
        <v xml:space="preserve"> </v>
      </c>
      <c r="AA1226" s="12"/>
      <c r="AB1226" s="38">
        <v>126064456</v>
      </c>
      <c r="AC1226" s="37">
        <v>0.02</v>
      </c>
      <c r="AD1226" s="38">
        <f t="shared" si="19"/>
        <v>2521289.12</v>
      </c>
      <c r="AE1226" s="12"/>
      <c r="AF1226" s="12">
        <f>COUNTIF($A$20:A1226,A1226)</f>
        <v>12</v>
      </c>
      <c r="AG1226" s="38">
        <v>126064456</v>
      </c>
      <c r="AH1226" s="38">
        <f>Tabla4[[#This Row],[VALOR CONTRAPARTIDA]]+Tabla4[[#This Row],[TOTAL APORTES ICBF]]</f>
        <v>128585745.12</v>
      </c>
      <c r="AI1226" s="35"/>
      <c r="AJ1226" s="38"/>
      <c r="AK1226" s="38"/>
      <c r="AL1226" s="23"/>
      <c r="AM1226" s="35">
        <f>VLOOKUP(Tabla4[[#This Row],[SERVICIO 2025]],$J$2:$V$14,5,0)*Tabla4[[#This Row],[TOTAL COBERTURA]]</f>
        <v>2881928</v>
      </c>
      <c r="AN1226" s="35">
        <f>VLOOKUP(Tabla4[[#This Row],[SERVICIO 2025]],$J$2:$V$14,6,0)*Tabla4[[#This Row],[TOTAL COBERTURA]]</f>
        <v>2414496</v>
      </c>
      <c r="AO1226" s="35">
        <f>VLOOKUP(Tabla4[[#This Row],[SERVICIO 2025]],$J$2:$V$14,8,0)*Tabla4[[#This Row],[TOTAL COBERTURA]]</f>
        <v>1629600</v>
      </c>
      <c r="AP1226" s="35">
        <f>VLOOKUP(Tabla4[[#This Row],[SERVICIO 2025]],$J$2:$V$14,3,0)*Tabla4[[#This Row],[TOTAL COBERTURA]]*8</f>
        <v>119138432</v>
      </c>
      <c r="AQ1226" s="35"/>
      <c r="AR1226" s="35">
        <f>Tabla4[[#This Row],[VALOR FASE PREPARATORIA DE ALISTAMIENTO]]+Tabla4[[#This Row],[VALOR FASE PREPARATORIA DE CIERRE]]+Tabla4[[#This Row],[DOTACIÓN ÚNICA]]+Tabla4[[#This Row],[VALOR ATENCIÓN]]+Tabla4[[#This Row],[VALOR RACION PREPARADA]]</f>
        <v>126064456</v>
      </c>
      <c r="AS1226" s="35" t="str">
        <f>+IF(Tabla4[[#This Row],[AGRUPACIONES]]=1,SUMIFS(Tabla4[VALOR TOTAL],Tabla4[ZONA DEFINITIVO],Tabla4[[#This Row],[ZONA DEFINITIVO]])," ")</f>
        <v xml:space="preserve"> </v>
      </c>
      <c r="AT1226" s="27">
        <f>(VLOOKUP(Tabla4[[#This Row],[SERVICIO 2025]],$J$2:$V$14,3,0)*Tabla4[[#This Row],[TOTAL COBERTURA]])+Tabla4[[#This Row],[VALOR FASE PREPARATORIA DE ALISTAMIENTO]]+Tabla4[[#This Row],[DOTACIÓN ÚNICA]]</f>
        <v>19403832</v>
      </c>
      <c r="AU1226" s="35">
        <f>(VLOOKUP(Tabla4[[#This Row],[SERVICIO 2025]],$J$2:$V$14,3,0)*Tabla4[[#This Row],[TOTAL COBERTURA]])</f>
        <v>14892304</v>
      </c>
      <c r="AV1226" s="35">
        <f>(VLOOKUP(Tabla4[[#This Row],[SERVICIO 2025]],$J$2:$V$14,3,0)*Tabla4[[#This Row],[TOTAL COBERTURA]])</f>
        <v>14892304</v>
      </c>
      <c r="AW1226" s="35">
        <f>(VLOOKUP(Tabla4[[#This Row],[SERVICIO 2025]],$J$2:$V$14,3,0)*Tabla4[[#This Row],[TOTAL COBERTURA]])</f>
        <v>14892304</v>
      </c>
      <c r="AX1226" s="35">
        <f>(VLOOKUP(Tabla4[[#This Row],[SERVICIO 2025]],$J$2:$V$14,3,0)*Tabla4[[#This Row],[TOTAL COBERTURA]])</f>
        <v>14892304</v>
      </c>
      <c r="AY1226" s="35">
        <f>(VLOOKUP(Tabla4[[#This Row],[SERVICIO 2025]],$J$2:$V$14,3,0)*Tabla4[[#This Row],[TOTAL COBERTURA]])</f>
        <v>14892304</v>
      </c>
      <c r="AZ1226" s="35">
        <f>(VLOOKUP(Tabla4[[#This Row],[SERVICIO 2025]],$J$2:$V$14,3,0)*Tabla4[[#This Row],[TOTAL COBERTURA]])</f>
        <v>14892304</v>
      </c>
      <c r="BA1226" s="35">
        <f>(VLOOKUP(Tabla4[[#This Row],[SERVICIO 2025]],$J$2:$V$14,3,0)*Tabla4[[#This Row],[TOTAL COBERTURA]])+Tabla4[[#This Row],[VALOR FASE PREPARATORIA DE CIERRE]]</f>
        <v>17306800</v>
      </c>
      <c r="BB1226" s="35">
        <f>SUM(Tabla4[[#This Row],[DESEMBOLSO 1]:[DESEMBOLSO 8]])</f>
        <v>126064456</v>
      </c>
      <c r="BC1226" s="35">
        <f>VLOOKUP(Tabla4[[#This Row],[SERVICIO 2025]],$J$2:$V$14,10,0)*Tabla4[[#This Row],[TOTAL COBERTURA]]*$W$3</f>
        <v>80811584</v>
      </c>
      <c r="BD1226" s="47" t="s">
        <v>211</v>
      </c>
      <c r="BE1226" s="12" t="b">
        <f>EXACT(Tabla4[[#This Row],[VALOR ATENCIÓN (8 MESES)]],Tabla4[[#This Row],[VALOR TOTAL]])</f>
        <v>1</v>
      </c>
      <c r="BF1226" s="23">
        <f>Tabla4[[#This Row],[VALOR ATENCIÓN (8 MESES)]]-Tabla4[[#This Row],[VALOR TOTAL]]</f>
        <v>0</v>
      </c>
      <c r="BG1226" s="12" t="b">
        <f>EXACT(Tabla4[[#This Row],[TOTAL DESEMBOLSOS]],Tabla4[[#This Row],[VALOR ATENCIÓN (8 MESES)]])</f>
        <v>1</v>
      </c>
      <c r="BH1226" s="29">
        <f>Tabla4[[#This Row],[TOTAL DESEMBOLSOS]]-Tabla4[[#This Row],[VALOR ATENCIÓN (8 MESES)]]</f>
        <v>0</v>
      </c>
      <c r="BI1226" t="s">
        <v>98</v>
      </c>
      <c r="BJ1226">
        <v>2024</v>
      </c>
    </row>
    <row r="1227" spans="1:62">
      <c r="A1227" s="13">
        <v>2024</v>
      </c>
      <c r="B1227" s="13" t="s">
        <v>2639</v>
      </c>
      <c r="C1227" s="12" t="s">
        <v>87</v>
      </c>
      <c r="D1227" s="12" t="s">
        <v>482</v>
      </c>
      <c r="E1227" s="12" t="s">
        <v>2640</v>
      </c>
      <c r="F1227" s="12" t="s">
        <v>18</v>
      </c>
      <c r="G1227" s="12" t="s">
        <v>90</v>
      </c>
      <c r="H1227" s="12" t="s">
        <v>2665</v>
      </c>
      <c r="I1227" s="12">
        <v>58931136117</v>
      </c>
      <c r="J1227" s="12" t="s">
        <v>2666</v>
      </c>
      <c r="K1227" s="12">
        <v>1</v>
      </c>
      <c r="L1227" s="12">
        <v>13</v>
      </c>
      <c r="M1227" s="12"/>
      <c r="N1227" s="13">
        <v>2024</v>
      </c>
      <c r="O1227" s="12" t="s">
        <v>93</v>
      </c>
      <c r="P1227" s="12"/>
      <c r="Q1227" s="12"/>
      <c r="R1227" s="12" t="s">
        <v>94</v>
      </c>
      <c r="S1227" s="12">
        <v>10</v>
      </c>
      <c r="T1227" s="12" t="s">
        <v>486</v>
      </c>
      <c r="U1227" s="12" t="s">
        <v>487</v>
      </c>
      <c r="V1227" s="12">
        <f>VLOOKUP(Tabla4[[#This Row],[ZONA DEFINITIVO]],Hoja1!$A$1:$D$121,3,0)</f>
        <v>229166</v>
      </c>
      <c r="W1227" s="12">
        <f>VLOOKUP(Tabla4[[#This Row],[ZONA DEFINITIVO]],Hoja1!$A$1:$D$121,2,0)</f>
        <v>15252</v>
      </c>
      <c r="X1227" s="12">
        <f>VLOOKUP(Tabla4[[#This Row],[ZONA DEFINITIVO]],Hoja1!$A$1:$D$121,4,0)</f>
        <v>89525</v>
      </c>
      <c r="Y1227" s="12" t="str">
        <f>+IF(Tabla4[[#This Row],[AGRUPACIONES]]=1,SUMIFS(Tabla4[UDS],Tabla4[ZONA DEFINITIVO],Tabla4[[#This Row],[ZONA DEFINITIVO]])," ")</f>
        <v xml:space="preserve"> </v>
      </c>
      <c r="Z1227" s="12" t="str">
        <f>+IF(Tabla4[[#This Row],[AGRUPACIONES]]=1,SUMIFS(Tabla4[TOTAL COBERTURA],Tabla4[ZONA DEFINITIVO],Tabla4[[#This Row],[ZONA DEFINITIVO]])," ")</f>
        <v xml:space="preserve"> </v>
      </c>
      <c r="AA1227" s="12"/>
      <c r="AB1227" s="38">
        <v>28342509</v>
      </c>
      <c r="AC1227" s="37">
        <v>0.02</v>
      </c>
      <c r="AD1227" s="38">
        <f t="shared" si="19"/>
        <v>566850.18000000005</v>
      </c>
      <c r="AE1227" s="12"/>
      <c r="AF1227" s="12">
        <f>COUNTIF($A$20:A1227,A1227)</f>
        <v>13</v>
      </c>
      <c r="AG1227" s="38">
        <v>28342509</v>
      </c>
      <c r="AH1227" s="38">
        <f>Tabla4[[#This Row],[VALOR CONTRAPARTIDA]]+Tabla4[[#This Row],[TOTAL APORTES ICBF]]</f>
        <v>28909359.18</v>
      </c>
      <c r="AI1227" s="35"/>
      <c r="AJ1227" s="38"/>
      <c r="AK1227" s="38"/>
      <c r="AL1227" s="23"/>
      <c r="AM1227" s="35">
        <f>VLOOKUP(Tabla4[[#This Row],[SERVICIO 2025]],$J$2:$V$14,5,0)*Tabla4[[#This Row],[TOTAL COBERTURA]]</f>
        <v>641888</v>
      </c>
      <c r="AN1227" s="35">
        <f>VLOOKUP(Tabla4[[#This Row],[SERVICIO 2025]],$J$2:$V$14,6,0)*Tabla4[[#This Row],[TOTAL COBERTURA]]</f>
        <v>533377</v>
      </c>
      <c r="AO1227" s="35">
        <f>VLOOKUP(Tabla4[[#This Row],[SERVICIO 2025]],$J$2:$V$14,8,0)*Tabla4[[#This Row],[TOTAL COBERTURA]]</f>
        <v>378300</v>
      </c>
      <c r="AP1227" s="35">
        <f>VLOOKUP(Tabla4[[#This Row],[SERVICIO 2025]],$J$2:$V$14,3,0)*Tabla4[[#This Row],[TOTAL COBERTURA]]*8</f>
        <v>26788944</v>
      </c>
      <c r="AQ1227" s="35"/>
      <c r="AR1227" s="35">
        <f>Tabla4[[#This Row],[VALOR FASE PREPARATORIA DE ALISTAMIENTO]]+Tabla4[[#This Row],[VALOR FASE PREPARATORIA DE CIERRE]]+Tabla4[[#This Row],[DOTACIÓN ÚNICA]]+Tabla4[[#This Row],[VALOR ATENCIÓN]]+Tabla4[[#This Row],[VALOR RACION PREPARADA]]</f>
        <v>28342509</v>
      </c>
      <c r="AS1227" s="35" t="str">
        <f>+IF(Tabla4[[#This Row],[AGRUPACIONES]]=1,SUMIFS(Tabla4[VALOR TOTAL],Tabla4[ZONA DEFINITIVO],Tabla4[[#This Row],[ZONA DEFINITIVO]])," ")</f>
        <v xml:space="preserve"> </v>
      </c>
      <c r="AT1227" s="27">
        <f>(VLOOKUP(Tabla4[[#This Row],[SERVICIO 2025]],$J$2:$V$14,3,0)*Tabla4[[#This Row],[TOTAL COBERTURA]])+Tabla4[[#This Row],[VALOR FASE PREPARATORIA DE ALISTAMIENTO]]+Tabla4[[#This Row],[DOTACIÓN ÚNICA]]</f>
        <v>4368806</v>
      </c>
      <c r="AU1227" s="35">
        <f>(VLOOKUP(Tabla4[[#This Row],[SERVICIO 2025]],$J$2:$V$14,3,0)*Tabla4[[#This Row],[TOTAL COBERTURA]])</f>
        <v>3348618</v>
      </c>
      <c r="AV1227" s="35">
        <f>(VLOOKUP(Tabla4[[#This Row],[SERVICIO 2025]],$J$2:$V$14,3,0)*Tabla4[[#This Row],[TOTAL COBERTURA]])</f>
        <v>3348618</v>
      </c>
      <c r="AW1227" s="35">
        <f>(VLOOKUP(Tabla4[[#This Row],[SERVICIO 2025]],$J$2:$V$14,3,0)*Tabla4[[#This Row],[TOTAL COBERTURA]])</f>
        <v>3348618</v>
      </c>
      <c r="AX1227" s="35">
        <f>(VLOOKUP(Tabla4[[#This Row],[SERVICIO 2025]],$J$2:$V$14,3,0)*Tabla4[[#This Row],[TOTAL COBERTURA]])</f>
        <v>3348618</v>
      </c>
      <c r="AY1227" s="35">
        <f>(VLOOKUP(Tabla4[[#This Row],[SERVICIO 2025]],$J$2:$V$14,3,0)*Tabla4[[#This Row],[TOTAL COBERTURA]])</f>
        <v>3348618</v>
      </c>
      <c r="AZ1227" s="35">
        <f>(VLOOKUP(Tabla4[[#This Row],[SERVICIO 2025]],$J$2:$V$14,3,0)*Tabla4[[#This Row],[TOTAL COBERTURA]])</f>
        <v>3348618</v>
      </c>
      <c r="BA1227" s="35">
        <f>(VLOOKUP(Tabla4[[#This Row],[SERVICIO 2025]],$J$2:$V$14,3,0)*Tabla4[[#This Row],[TOTAL COBERTURA]])+Tabla4[[#This Row],[VALOR FASE PREPARATORIA DE CIERRE]]</f>
        <v>3881995</v>
      </c>
      <c r="BB1227" s="35">
        <f>SUM(Tabla4[[#This Row],[DESEMBOLSO 1]:[DESEMBOLSO 8]])</f>
        <v>28342509</v>
      </c>
      <c r="BC1227" s="35">
        <f>VLOOKUP(Tabla4[[#This Row],[SERVICIO 2025]],$J$2:$V$14,10,0)*Tabla4[[#This Row],[TOTAL COBERTURA]]*$W$3</f>
        <v>18759832</v>
      </c>
      <c r="BD1227" s="47" t="s">
        <v>211</v>
      </c>
      <c r="BE1227" s="12" t="b">
        <f>EXACT(Tabla4[[#This Row],[VALOR ATENCIÓN (8 MESES)]],Tabla4[[#This Row],[VALOR TOTAL]])</f>
        <v>1</v>
      </c>
      <c r="BF1227" s="23">
        <f>Tabla4[[#This Row],[VALOR ATENCIÓN (8 MESES)]]-Tabla4[[#This Row],[VALOR TOTAL]]</f>
        <v>0</v>
      </c>
      <c r="BG1227" s="12" t="b">
        <f>EXACT(Tabla4[[#This Row],[TOTAL DESEMBOLSOS]],Tabla4[[#This Row],[VALOR ATENCIÓN (8 MESES)]])</f>
        <v>1</v>
      </c>
      <c r="BH1227" s="29">
        <f>Tabla4[[#This Row],[TOTAL DESEMBOLSOS]]-Tabla4[[#This Row],[VALOR ATENCIÓN (8 MESES)]]</f>
        <v>0</v>
      </c>
      <c r="BI1227" t="s">
        <v>98</v>
      </c>
      <c r="BJ1227">
        <v>2024</v>
      </c>
    </row>
    <row r="1228" spans="1:62">
      <c r="A1228" s="13">
        <v>2024</v>
      </c>
      <c r="B1228" s="13" t="s">
        <v>2639</v>
      </c>
      <c r="C1228" s="12" t="s">
        <v>87</v>
      </c>
      <c r="D1228" s="12" t="s">
        <v>482</v>
      </c>
      <c r="E1228" s="12" t="s">
        <v>2640</v>
      </c>
      <c r="F1228" s="12" t="s">
        <v>18</v>
      </c>
      <c r="G1228" s="12" t="s">
        <v>90</v>
      </c>
      <c r="H1228" s="12" t="s">
        <v>2667</v>
      </c>
      <c r="I1228" s="12">
        <v>58931143611</v>
      </c>
      <c r="J1228" s="12" t="s">
        <v>2668</v>
      </c>
      <c r="K1228" s="12">
        <v>1</v>
      </c>
      <c r="L1228" s="12">
        <v>15</v>
      </c>
      <c r="M1228" s="12"/>
      <c r="N1228" s="13">
        <v>2024</v>
      </c>
      <c r="O1228" s="12" t="s">
        <v>93</v>
      </c>
      <c r="P1228" s="12"/>
      <c r="Q1228" s="12"/>
      <c r="R1228" s="12" t="s">
        <v>94</v>
      </c>
      <c r="S1228" s="12">
        <v>10</v>
      </c>
      <c r="T1228" s="12" t="s">
        <v>486</v>
      </c>
      <c r="U1228" s="12" t="s">
        <v>487</v>
      </c>
      <c r="V1228" s="12">
        <f>VLOOKUP(Tabla4[[#This Row],[ZONA DEFINITIVO]],Hoja1!$A$1:$D$121,3,0)</f>
        <v>229166</v>
      </c>
      <c r="W1228" s="12">
        <f>VLOOKUP(Tabla4[[#This Row],[ZONA DEFINITIVO]],Hoja1!$A$1:$D$121,2,0)</f>
        <v>15252</v>
      </c>
      <c r="X1228" s="12">
        <f>VLOOKUP(Tabla4[[#This Row],[ZONA DEFINITIVO]],Hoja1!$A$1:$D$121,4,0)</f>
        <v>89525</v>
      </c>
      <c r="Y1228" s="12" t="str">
        <f>+IF(Tabla4[[#This Row],[AGRUPACIONES]]=1,SUMIFS(Tabla4[UDS],Tabla4[ZONA DEFINITIVO],Tabla4[[#This Row],[ZONA DEFINITIVO]])," ")</f>
        <v xml:space="preserve"> </v>
      </c>
      <c r="Z1228" s="12" t="str">
        <f>+IF(Tabla4[[#This Row],[AGRUPACIONES]]=1,SUMIFS(Tabla4[TOTAL COBERTURA],Tabla4[ZONA DEFINITIVO],Tabla4[[#This Row],[ZONA DEFINITIVO]])," ")</f>
        <v xml:space="preserve"> </v>
      </c>
      <c r="AA1228" s="12"/>
      <c r="AB1228" s="38">
        <v>32702895</v>
      </c>
      <c r="AC1228" s="37">
        <v>0.02</v>
      </c>
      <c r="AD1228" s="38">
        <f t="shared" si="19"/>
        <v>654057.9</v>
      </c>
      <c r="AE1228" s="12"/>
      <c r="AF1228" s="12">
        <f>COUNTIF($A$20:A1228,A1228)</f>
        <v>14</v>
      </c>
      <c r="AG1228" s="38">
        <v>32702895</v>
      </c>
      <c r="AH1228" s="38">
        <f>Tabla4[[#This Row],[VALOR CONTRAPARTIDA]]+Tabla4[[#This Row],[TOTAL APORTES ICBF]]</f>
        <v>33356952.899999999</v>
      </c>
      <c r="AI1228" s="35"/>
      <c r="AJ1228" s="38"/>
      <c r="AK1228" s="38"/>
      <c r="AL1228" s="23"/>
      <c r="AM1228" s="35">
        <f>VLOOKUP(Tabla4[[#This Row],[SERVICIO 2025]],$J$2:$V$14,5,0)*Tabla4[[#This Row],[TOTAL COBERTURA]]</f>
        <v>740640</v>
      </c>
      <c r="AN1228" s="35">
        <f>VLOOKUP(Tabla4[[#This Row],[SERVICIO 2025]],$J$2:$V$14,6,0)*Tabla4[[#This Row],[TOTAL COBERTURA]]</f>
        <v>615435</v>
      </c>
      <c r="AO1228" s="35">
        <f>VLOOKUP(Tabla4[[#This Row],[SERVICIO 2025]],$J$2:$V$14,8,0)*Tabla4[[#This Row],[TOTAL COBERTURA]]</f>
        <v>436500</v>
      </c>
      <c r="AP1228" s="35">
        <f>VLOOKUP(Tabla4[[#This Row],[SERVICIO 2025]],$J$2:$V$14,3,0)*Tabla4[[#This Row],[TOTAL COBERTURA]]*8</f>
        <v>30910320</v>
      </c>
      <c r="AQ1228" s="35"/>
      <c r="AR1228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228" s="35" t="str">
        <f>+IF(Tabla4[[#This Row],[AGRUPACIONES]]=1,SUMIFS(Tabla4[VALOR TOTAL],Tabla4[ZONA DEFINITIVO],Tabla4[[#This Row],[ZONA DEFINITIVO]])," ")</f>
        <v xml:space="preserve"> </v>
      </c>
      <c r="AT1228" s="27">
        <f>(VLOOKUP(Tabla4[[#This Row],[SERVICIO 2025]],$J$2:$V$14,3,0)*Tabla4[[#This Row],[TOTAL COBERTURA]])+Tabla4[[#This Row],[VALOR FASE PREPARATORIA DE ALISTAMIENTO]]+Tabla4[[#This Row],[DOTACIÓN ÚNICA]]</f>
        <v>5040930</v>
      </c>
      <c r="AU1228" s="35">
        <f>(VLOOKUP(Tabla4[[#This Row],[SERVICIO 2025]],$J$2:$V$14,3,0)*Tabla4[[#This Row],[TOTAL COBERTURA]])</f>
        <v>3863790</v>
      </c>
      <c r="AV1228" s="35">
        <f>(VLOOKUP(Tabla4[[#This Row],[SERVICIO 2025]],$J$2:$V$14,3,0)*Tabla4[[#This Row],[TOTAL COBERTURA]])</f>
        <v>3863790</v>
      </c>
      <c r="AW1228" s="35">
        <f>(VLOOKUP(Tabla4[[#This Row],[SERVICIO 2025]],$J$2:$V$14,3,0)*Tabla4[[#This Row],[TOTAL COBERTURA]])</f>
        <v>3863790</v>
      </c>
      <c r="AX1228" s="35">
        <f>(VLOOKUP(Tabla4[[#This Row],[SERVICIO 2025]],$J$2:$V$14,3,0)*Tabla4[[#This Row],[TOTAL COBERTURA]])</f>
        <v>3863790</v>
      </c>
      <c r="AY1228" s="35">
        <f>(VLOOKUP(Tabla4[[#This Row],[SERVICIO 2025]],$J$2:$V$14,3,0)*Tabla4[[#This Row],[TOTAL COBERTURA]])</f>
        <v>3863790</v>
      </c>
      <c r="AZ1228" s="35">
        <f>(VLOOKUP(Tabla4[[#This Row],[SERVICIO 2025]],$J$2:$V$14,3,0)*Tabla4[[#This Row],[TOTAL COBERTURA]])</f>
        <v>3863790</v>
      </c>
      <c r="BA1228" s="35">
        <f>(VLOOKUP(Tabla4[[#This Row],[SERVICIO 2025]],$J$2:$V$14,3,0)*Tabla4[[#This Row],[TOTAL COBERTURA]])+Tabla4[[#This Row],[VALOR FASE PREPARATORIA DE CIERRE]]</f>
        <v>4479225</v>
      </c>
      <c r="BB1228" s="35">
        <f>SUM(Tabla4[[#This Row],[DESEMBOLSO 1]:[DESEMBOLSO 8]])</f>
        <v>32702895</v>
      </c>
      <c r="BC1228" s="35">
        <f>VLOOKUP(Tabla4[[#This Row],[SERVICIO 2025]],$J$2:$V$14,10,0)*Tabla4[[#This Row],[TOTAL COBERTURA]]*$W$3</f>
        <v>21645960</v>
      </c>
      <c r="BD1228" s="47" t="s">
        <v>211</v>
      </c>
      <c r="BE1228" s="12" t="b">
        <f>EXACT(Tabla4[[#This Row],[VALOR ATENCIÓN (8 MESES)]],Tabla4[[#This Row],[VALOR TOTAL]])</f>
        <v>1</v>
      </c>
      <c r="BF1228" s="23">
        <f>Tabla4[[#This Row],[VALOR ATENCIÓN (8 MESES)]]-Tabla4[[#This Row],[VALOR TOTAL]]</f>
        <v>0</v>
      </c>
      <c r="BG1228" s="12" t="b">
        <f>EXACT(Tabla4[[#This Row],[TOTAL DESEMBOLSOS]],Tabla4[[#This Row],[VALOR ATENCIÓN (8 MESES)]])</f>
        <v>1</v>
      </c>
      <c r="BH1228" s="29">
        <f>Tabla4[[#This Row],[TOTAL DESEMBOLSOS]]-Tabla4[[#This Row],[VALOR ATENCIÓN (8 MESES)]]</f>
        <v>0</v>
      </c>
      <c r="BI1228" t="s">
        <v>98</v>
      </c>
      <c r="BJ1228">
        <v>2024</v>
      </c>
    </row>
    <row r="1229" spans="1:62">
      <c r="A1229" s="13">
        <v>2024</v>
      </c>
      <c r="B1229" s="13" t="s">
        <v>2639</v>
      </c>
      <c r="C1229" s="12" t="s">
        <v>87</v>
      </c>
      <c r="D1229" s="12" t="s">
        <v>482</v>
      </c>
      <c r="E1229" s="12" t="s">
        <v>2640</v>
      </c>
      <c r="F1229" s="12" t="s">
        <v>18</v>
      </c>
      <c r="G1229" s="12" t="s">
        <v>90</v>
      </c>
      <c r="H1229" s="12" t="s">
        <v>2669</v>
      </c>
      <c r="I1229" s="12">
        <v>58931143615</v>
      </c>
      <c r="J1229" s="12" t="s">
        <v>2670</v>
      </c>
      <c r="K1229" s="12">
        <v>1</v>
      </c>
      <c r="L1229" s="12">
        <v>14</v>
      </c>
      <c r="M1229" s="12"/>
      <c r="N1229" s="13">
        <v>2024</v>
      </c>
      <c r="O1229" s="12" t="s">
        <v>93</v>
      </c>
      <c r="P1229" s="12"/>
      <c r="Q1229" s="12"/>
      <c r="R1229" s="12" t="s">
        <v>94</v>
      </c>
      <c r="S1229" s="12">
        <v>10</v>
      </c>
      <c r="T1229" s="12" t="s">
        <v>486</v>
      </c>
      <c r="U1229" s="12" t="s">
        <v>487</v>
      </c>
      <c r="V1229" s="12">
        <f>VLOOKUP(Tabla4[[#This Row],[ZONA DEFINITIVO]],Hoja1!$A$1:$D$121,3,0)</f>
        <v>229166</v>
      </c>
      <c r="W1229" s="12">
        <f>VLOOKUP(Tabla4[[#This Row],[ZONA DEFINITIVO]],Hoja1!$A$1:$D$121,2,0)</f>
        <v>15252</v>
      </c>
      <c r="X1229" s="12">
        <f>VLOOKUP(Tabla4[[#This Row],[ZONA DEFINITIVO]],Hoja1!$A$1:$D$121,4,0)</f>
        <v>89525</v>
      </c>
      <c r="Y1229" s="12" t="str">
        <f>+IF(Tabla4[[#This Row],[AGRUPACIONES]]=1,SUMIFS(Tabla4[UDS],Tabla4[ZONA DEFINITIVO],Tabla4[[#This Row],[ZONA DEFINITIVO]])," ")</f>
        <v xml:space="preserve"> </v>
      </c>
      <c r="Z1229" s="12" t="str">
        <f>+IF(Tabla4[[#This Row],[AGRUPACIONES]]=1,SUMIFS(Tabla4[TOTAL COBERTURA],Tabla4[ZONA DEFINITIVO],Tabla4[[#This Row],[ZONA DEFINITIVO]])," ")</f>
        <v xml:space="preserve"> </v>
      </c>
      <c r="AA1229" s="12"/>
      <c r="AB1229" s="38">
        <v>30522702</v>
      </c>
      <c r="AC1229" s="37">
        <v>0.02</v>
      </c>
      <c r="AD1229" s="38">
        <f t="shared" si="19"/>
        <v>610454.04</v>
      </c>
      <c r="AE1229" s="12"/>
      <c r="AF1229" s="12">
        <f>COUNTIF($A$20:A1229,A1229)</f>
        <v>15</v>
      </c>
      <c r="AG1229" s="38">
        <v>30522702</v>
      </c>
      <c r="AH1229" s="38">
        <f>Tabla4[[#This Row],[VALOR CONTRAPARTIDA]]+Tabla4[[#This Row],[TOTAL APORTES ICBF]]</f>
        <v>31133156.039999999</v>
      </c>
      <c r="AI1229" s="35"/>
      <c r="AJ1229" s="38"/>
      <c r="AK1229" s="38"/>
      <c r="AL1229" s="23"/>
      <c r="AM1229" s="35">
        <f>VLOOKUP(Tabla4[[#This Row],[SERVICIO 2025]],$J$2:$V$14,5,0)*Tabla4[[#This Row],[TOTAL COBERTURA]]</f>
        <v>691264</v>
      </c>
      <c r="AN1229" s="35">
        <f>VLOOKUP(Tabla4[[#This Row],[SERVICIO 2025]],$J$2:$V$14,6,0)*Tabla4[[#This Row],[TOTAL COBERTURA]]</f>
        <v>574406</v>
      </c>
      <c r="AO1229" s="35">
        <f>VLOOKUP(Tabla4[[#This Row],[SERVICIO 2025]],$J$2:$V$14,8,0)*Tabla4[[#This Row],[TOTAL COBERTURA]]</f>
        <v>407400</v>
      </c>
      <c r="AP1229" s="35">
        <f>VLOOKUP(Tabla4[[#This Row],[SERVICIO 2025]],$J$2:$V$14,3,0)*Tabla4[[#This Row],[TOTAL COBERTURA]]*8</f>
        <v>28849632</v>
      </c>
      <c r="AQ1229" s="35"/>
      <c r="AR1229" s="35">
        <f>Tabla4[[#This Row],[VALOR FASE PREPARATORIA DE ALISTAMIENTO]]+Tabla4[[#This Row],[VALOR FASE PREPARATORIA DE CIERRE]]+Tabla4[[#This Row],[DOTACIÓN ÚNICA]]+Tabla4[[#This Row],[VALOR ATENCIÓN]]+Tabla4[[#This Row],[VALOR RACION PREPARADA]]</f>
        <v>30522702</v>
      </c>
      <c r="AS1229" s="35" t="str">
        <f>+IF(Tabla4[[#This Row],[AGRUPACIONES]]=1,SUMIFS(Tabla4[VALOR TOTAL],Tabla4[ZONA DEFINITIVO],Tabla4[[#This Row],[ZONA DEFINITIVO]])," ")</f>
        <v xml:space="preserve"> </v>
      </c>
      <c r="AT1229" s="27">
        <f>(VLOOKUP(Tabla4[[#This Row],[SERVICIO 2025]],$J$2:$V$14,3,0)*Tabla4[[#This Row],[TOTAL COBERTURA]])+Tabla4[[#This Row],[VALOR FASE PREPARATORIA DE ALISTAMIENTO]]+Tabla4[[#This Row],[DOTACIÓN ÚNICA]]</f>
        <v>4704868</v>
      </c>
      <c r="AU1229" s="35">
        <f>(VLOOKUP(Tabla4[[#This Row],[SERVICIO 2025]],$J$2:$V$14,3,0)*Tabla4[[#This Row],[TOTAL COBERTURA]])</f>
        <v>3606204</v>
      </c>
      <c r="AV1229" s="35">
        <f>(VLOOKUP(Tabla4[[#This Row],[SERVICIO 2025]],$J$2:$V$14,3,0)*Tabla4[[#This Row],[TOTAL COBERTURA]])</f>
        <v>3606204</v>
      </c>
      <c r="AW1229" s="35">
        <f>(VLOOKUP(Tabla4[[#This Row],[SERVICIO 2025]],$J$2:$V$14,3,0)*Tabla4[[#This Row],[TOTAL COBERTURA]])</f>
        <v>3606204</v>
      </c>
      <c r="AX1229" s="35">
        <f>(VLOOKUP(Tabla4[[#This Row],[SERVICIO 2025]],$J$2:$V$14,3,0)*Tabla4[[#This Row],[TOTAL COBERTURA]])</f>
        <v>3606204</v>
      </c>
      <c r="AY1229" s="35">
        <f>(VLOOKUP(Tabla4[[#This Row],[SERVICIO 2025]],$J$2:$V$14,3,0)*Tabla4[[#This Row],[TOTAL COBERTURA]])</f>
        <v>3606204</v>
      </c>
      <c r="AZ1229" s="35">
        <f>(VLOOKUP(Tabla4[[#This Row],[SERVICIO 2025]],$J$2:$V$14,3,0)*Tabla4[[#This Row],[TOTAL COBERTURA]])</f>
        <v>3606204</v>
      </c>
      <c r="BA1229" s="35">
        <f>(VLOOKUP(Tabla4[[#This Row],[SERVICIO 2025]],$J$2:$V$14,3,0)*Tabla4[[#This Row],[TOTAL COBERTURA]])+Tabla4[[#This Row],[VALOR FASE PREPARATORIA DE CIERRE]]</f>
        <v>4180610</v>
      </c>
      <c r="BB1229" s="35">
        <f>SUM(Tabla4[[#This Row],[DESEMBOLSO 1]:[DESEMBOLSO 8]])</f>
        <v>30522702</v>
      </c>
      <c r="BC1229" s="35">
        <f>VLOOKUP(Tabla4[[#This Row],[SERVICIO 2025]],$J$2:$V$14,10,0)*Tabla4[[#This Row],[TOTAL COBERTURA]]*$W$3</f>
        <v>20202896</v>
      </c>
      <c r="BD1229" s="47" t="s">
        <v>211</v>
      </c>
      <c r="BE1229" s="12" t="b">
        <f>EXACT(Tabla4[[#This Row],[VALOR ATENCIÓN (8 MESES)]],Tabla4[[#This Row],[VALOR TOTAL]])</f>
        <v>1</v>
      </c>
      <c r="BF1229" s="23">
        <f>Tabla4[[#This Row],[VALOR ATENCIÓN (8 MESES)]]-Tabla4[[#This Row],[VALOR TOTAL]]</f>
        <v>0</v>
      </c>
      <c r="BG1229" s="12" t="b">
        <f>EXACT(Tabla4[[#This Row],[TOTAL DESEMBOLSOS]],Tabla4[[#This Row],[VALOR ATENCIÓN (8 MESES)]])</f>
        <v>1</v>
      </c>
      <c r="BH1229" s="29">
        <f>Tabla4[[#This Row],[TOTAL DESEMBOLSOS]]-Tabla4[[#This Row],[VALOR ATENCIÓN (8 MESES)]]</f>
        <v>0</v>
      </c>
      <c r="BI1229" t="s">
        <v>98</v>
      </c>
      <c r="BJ1229">
        <v>2024</v>
      </c>
    </row>
    <row r="1230" spans="1:62">
      <c r="A1230" s="13">
        <v>2024</v>
      </c>
      <c r="B1230" s="13" t="s">
        <v>2639</v>
      </c>
      <c r="C1230" s="12" t="s">
        <v>87</v>
      </c>
      <c r="D1230" s="12" t="s">
        <v>482</v>
      </c>
      <c r="E1230" s="12" t="s">
        <v>2640</v>
      </c>
      <c r="F1230" s="12" t="s">
        <v>18</v>
      </c>
      <c r="G1230" s="12" t="s">
        <v>90</v>
      </c>
      <c r="H1230" s="12" t="s">
        <v>2671</v>
      </c>
      <c r="I1230" s="12">
        <v>58931143667</v>
      </c>
      <c r="J1230" s="12" t="s">
        <v>2672</v>
      </c>
      <c r="K1230" s="12">
        <v>1</v>
      </c>
      <c r="L1230" s="12">
        <v>22</v>
      </c>
      <c r="M1230" s="12"/>
      <c r="N1230" s="13">
        <v>2024</v>
      </c>
      <c r="O1230" s="12" t="s">
        <v>93</v>
      </c>
      <c r="P1230" s="12"/>
      <c r="Q1230" s="12"/>
      <c r="R1230" s="12" t="s">
        <v>94</v>
      </c>
      <c r="S1230" s="12">
        <v>10</v>
      </c>
      <c r="T1230" s="12" t="s">
        <v>486</v>
      </c>
      <c r="U1230" s="12" t="s">
        <v>487</v>
      </c>
      <c r="V1230" s="12">
        <f>VLOOKUP(Tabla4[[#This Row],[ZONA DEFINITIVO]],Hoja1!$A$1:$D$121,3,0)</f>
        <v>229166</v>
      </c>
      <c r="W1230" s="12">
        <f>VLOOKUP(Tabla4[[#This Row],[ZONA DEFINITIVO]],Hoja1!$A$1:$D$121,2,0)</f>
        <v>15252</v>
      </c>
      <c r="X1230" s="12">
        <f>VLOOKUP(Tabla4[[#This Row],[ZONA DEFINITIVO]],Hoja1!$A$1:$D$121,4,0)</f>
        <v>89525</v>
      </c>
      <c r="Y1230" s="12" t="str">
        <f>+IF(Tabla4[[#This Row],[AGRUPACIONES]]=1,SUMIFS(Tabla4[UDS],Tabla4[ZONA DEFINITIVO],Tabla4[[#This Row],[ZONA DEFINITIVO]])," ")</f>
        <v xml:space="preserve"> </v>
      </c>
      <c r="Z1230" s="12" t="str">
        <f>+IF(Tabla4[[#This Row],[AGRUPACIONES]]=1,SUMIFS(Tabla4[TOTAL COBERTURA],Tabla4[ZONA DEFINITIVO],Tabla4[[#This Row],[ZONA DEFINITIVO]])," ")</f>
        <v xml:space="preserve"> </v>
      </c>
      <c r="AA1230" s="12"/>
      <c r="AB1230" s="38">
        <v>47964246</v>
      </c>
      <c r="AC1230" s="37">
        <v>0.02</v>
      </c>
      <c r="AD1230" s="38">
        <f t="shared" si="19"/>
        <v>959284.92</v>
      </c>
      <c r="AE1230" s="12"/>
      <c r="AF1230" s="12">
        <f>COUNTIF($A$20:A1230,A1230)</f>
        <v>16</v>
      </c>
      <c r="AG1230" s="38">
        <v>47964246</v>
      </c>
      <c r="AH1230" s="38">
        <f>Tabla4[[#This Row],[VALOR CONTRAPARTIDA]]+Tabla4[[#This Row],[TOTAL APORTES ICBF]]</f>
        <v>48923530.920000002</v>
      </c>
      <c r="AI1230" s="35"/>
      <c r="AJ1230" s="38"/>
      <c r="AK1230" s="38"/>
      <c r="AL1230" s="23"/>
      <c r="AM1230" s="35">
        <f>VLOOKUP(Tabla4[[#This Row],[SERVICIO 2025]],$J$2:$V$14,5,0)*Tabla4[[#This Row],[TOTAL COBERTURA]]</f>
        <v>1086272</v>
      </c>
      <c r="AN1230" s="35">
        <f>VLOOKUP(Tabla4[[#This Row],[SERVICIO 2025]],$J$2:$V$14,6,0)*Tabla4[[#This Row],[TOTAL COBERTURA]]</f>
        <v>902638</v>
      </c>
      <c r="AO1230" s="35">
        <f>VLOOKUP(Tabla4[[#This Row],[SERVICIO 2025]],$J$2:$V$14,8,0)*Tabla4[[#This Row],[TOTAL COBERTURA]]</f>
        <v>640200</v>
      </c>
      <c r="AP1230" s="35">
        <f>VLOOKUP(Tabla4[[#This Row],[SERVICIO 2025]],$J$2:$V$14,3,0)*Tabla4[[#This Row],[TOTAL COBERTURA]]*8</f>
        <v>45335136</v>
      </c>
      <c r="AQ1230" s="35"/>
      <c r="AR1230" s="35">
        <f>Tabla4[[#This Row],[VALOR FASE PREPARATORIA DE ALISTAMIENTO]]+Tabla4[[#This Row],[VALOR FASE PREPARATORIA DE CIERRE]]+Tabla4[[#This Row],[DOTACIÓN ÚNICA]]+Tabla4[[#This Row],[VALOR ATENCIÓN]]+Tabla4[[#This Row],[VALOR RACION PREPARADA]]</f>
        <v>47964246</v>
      </c>
      <c r="AS1230" s="35" t="str">
        <f>+IF(Tabla4[[#This Row],[AGRUPACIONES]]=1,SUMIFS(Tabla4[VALOR TOTAL],Tabla4[ZONA DEFINITIVO],Tabla4[[#This Row],[ZONA DEFINITIVO]])," ")</f>
        <v xml:space="preserve"> </v>
      </c>
      <c r="AT1230" s="27">
        <f>(VLOOKUP(Tabla4[[#This Row],[SERVICIO 2025]],$J$2:$V$14,3,0)*Tabla4[[#This Row],[TOTAL COBERTURA]])+Tabla4[[#This Row],[VALOR FASE PREPARATORIA DE ALISTAMIENTO]]+Tabla4[[#This Row],[DOTACIÓN ÚNICA]]</f>
        <v>7393364</v>
      </c>
      <c r="AU1230" s="35">
        <f>(VLOOKUP(Tabla4[[#This Row],[SERVICIO 2025]],$J$2:$V$14,3,0)*Tabla4[[#This Row],[TOTAL COBERTURA]])</f>
        <v>5666892</v>
      </c>
      <c r="AV1230" s="35">
        <f>(VLOOKUP(Tabla4[[#This Row],[SERVICIO 2025]],$J$2:$V$14,3,0)*Tabla4[[#This Row],[TOTAL COBERTURA]])</f>
        <v>5666892</v>
      </c>
      <c r="AW1230" s="35">
        <f>(VLOOKUP(Tabla4[[#This Row],[SERVICIO 2025]],$J$2:$V$14,3,0)*Tabla4[[#This Row],[TOTAL COBERTURA]])</f>
        <v>5666892</v>
      </c>
      <c r="AX1230" s="35">
        <f>(VLOOKUP(Tabla4[[#This Row],[SERVICIO 2025]],$J$2:$V$14,3,0)*Tabla4[[#This Row],[TOTAL COBERTURA]])</f>
        <v>5666892</v>
      </c>
      <c r="AY1230" s="35">
        <f>(VLOOKUP(Tabla4[[#This Row],[SERVICIO 2025]],$J$2:$V$14,3,0)*Tabla4[[#This Row],[TOTAL COBERTURA]])</f>
        <v>5666892</v>
      </c>
      <c r="AZ1230" s="35">
        <f>(VLOOKUP(Tabla4[[#This Row],[SERVICIO 2025]],$J$2:$V$14,3,0)*Tabla4[[#This Row],[TOTAL COBERTURA]])</f>
        <v>5666892</v>
      </c>
      <c r="BA1230" s="35">
        <f>(VLOOKUP(Tabla4[[#This Row],[SERVICIO 2025]],$J$2:$V$14,3,0)*Tabla4[[#This Row],[TOTAL COBERTURA]])+Tabla4[[#This Row],[VALOR FASE PREPARATORIA DE CIERRE]]</f>
        <v>6569530</v>
      </c>
      <c r="BB1230" s="35">
        <f>SUM(Tabla4[[#This Row],[DESEMBOLSO 1]:[DESEMBOLSO 8]])</f>
        <v>47964246</v>
      </c>
      <c r="BC1230" s="35">
        <f>VLOOKUP(Tabla4[[#This Row],[SERVICIO 2025]],$J$2:$V$14,10,0)*Tabla4[[#This Row],[TOTAL COBERTURA]]*$W$3</f>
        <v>31747408</v>
      </c>
      <c r="BD1230" s="47" t="s">
        <v>211</v>
      </c>
      <c r="BE1230" s="12" t="b">
        <f>EXACT(Tabla4[[#This Row],[VALOR ATENCIÓN (8 MESES)]],Tabla4[[#This Row],[VALOR TOTAL]])</f>
        <v>1</v>
      </c>
      <c r="BF1230" s="23">
        <f>Tabla4[[#This Row],[VALOR ATENCIÓN (8 MESES)]]-Tabla4[[#This Row],[VALOR TOTAL]]</f>
        <v>0</v>
      </c>
      <c r="BG1230" s="12" t="b">
        <f>EXACT(Tabla4[[#This Row],[TOTAL DESEMBOLSOS]],Tabla4[[#This Row],[VALOR ATENCIÓN (8 MESES)]])</f>
        <v>1</v>
      </c>
      <c r="BH1230" s="29">
        <f>Tabla4[[#This Row],[TOTAL DESEMBOLSOS]]-Tabla4[[#This Row],[VALOR ATENCIÓN (8 MESES)]]</f>
        <v>0</v>
      </c>
      <c r="BI1230" t="s">
        <v>98</v>
      </c>
      <c r="BJ1230">
        <v>2024</v>
      </c>
    </row>
    <row r="1231" spans="1:62">
      <c r="A1231" s="13">
        <v>2024</v>
      </c>
      <c r="B1231" s="13" t="s">
        <v>2639</v>
      </c>
      <c r="C1231" s="12" t="s">
        <v>87</v>
      </c>
      <c r="D1231" s="12" t="s">
        <v>482</v>
      </c>
      <c r="E1231" s="12" t="s">
        <v>2640</v>
      </c>
      <c r="F1231" s="12" t="s">
        <v>18</v>
      </c>
      <c r="G1231" s="12" t="s">
        <v>90</v>
      </c>
      <c r="H1231" s="12" t="s">
        <v>2673</v>
      </c>
      <c r="I1231" s="12">
        <v>58931143942</v>
      </c>
      <c r="J1231" s="12" t="s">
        <v>2674</v>
      </c>
      <c r="K1231" s="12">
        <v>1</v>
      </c>
      <c r="L1231" s="12">
        <v>12</v>
      </c>
      <c r="M1231" s="12"/>
      <c r="N1231" s="13">
        <v>2024</v>
      </c>
      <c r="O1231" s="12" t="s">
        <v>93</v>
      </c>
      <c r="P1231" s="12"/>
      <c r="Q1231" s="12"/>
      <c r="R1231" s="12" t="s">
        <v>94</v>
      </c>
      <c r="S1231" s="12">
        <v>10</v>
      </c>
      <c r="T1231" s="12" t="s">
        <v>486</v>
      </c>
      <c r="U1231" s="12" t="s">
        <v>487</v>
      </c>
      <c r="V1231" s="12">
        <f>VLOOKUP(Tabla4[[#This Row],[ZONA DEFINITIVO]],Hoja1!$A$1:$D$121,3,0)</f>
        <v>229166</v>
      </c>
      <c r="W1231" s="12">
        <f>VLOOKUP(Tabla4[[#This Row],[ZONA DEFINITIVO]],Hoja1!$A$1:$D$121,2,0)</f>
        <v>15252</v>
      </c>
      <c r="X1231" s="12">
        <f>VLOOKUP(Tabla4[[#This Row],[ZONA DEFINITIVO]],Hoja1!$A$1:$D$121,4,0)</f>
        <v>89525</v>
      </c>
      <c r="Y1231" s="12" t="str">
        <f>+IF(Tabla4[[#This Row],[AGRUPACIONES]]=1,SUMIFS(Tabla4[UDS],Tabla4[ZONA DEFINITIVO],Tabla4[[#This Row],[ZONA DEFINITIVO]])," ")</f>
        <v xml:space="preserve"> </v>
      </c>
      <c r="Z1231" s="12" t="str">
        <f>+IF(Tabla4[[#This Row],[AGRUPACIONES]]=1,SUMIFS(Tabla4[TOTAL COBERTURA],Tabla4[ZONA DEFINITIVO],Tabla4[[#This Row],[ZONA DEFINITIVO]])," ")</f>
        <v xml:space="preserve"> </v>
      </c>
      <c r="AA1231" s="12"/>
      <c r="AB1231" s="38">
        <v>26162316</v>
      </c>
      <c r="AC1231" s="37">
        <v>0.02</v>
      </c>
      <c r="AD1231" s="38">
        <f t="shared" si="19"/>
        <v>523246.32</v>
      </c>
      <c r="AE1231" s="12"/>
      <c r="AF1231" s="12">
        <f>COUNTIF($A$20:A1231,A1231)</f>
        <v>17</v>
      </c>
      <c r="AG1231" s="38">
        <v>26162316</v>
      </c>
      <c r="AH1231" s="38">
        <f>Tabla4[[#This Row],[VALOR CONTRAPARTIDA]]+Tabla4[[#This Row],[TOTAL APORTES ICBF]]</f>
        <v>26685562.32</v>
      </c>
      <c r="AI1231" s="35"/>
      <c r="AJ1231" s="38"/>
      <c r="AK1231" s="38"/>
      <c r="AL1231" s="23"/>
      <c r="AM1231" s="35">
        <f>VLOOKUP(Tabla4[[#This Row],[SERVICIO 2025]],$J$2:$V$14,5,0)*Tabla4[[#This Row],[TOTAL COBERTURA]]</f>
        <v>592512</v>
      </c>
      <c r="AN1231" s="35">
        <f>VLOOKUP(Tabla4[[#This Row],[SERVICIO 2025]],$J$2:$V$14,6,0)*Tabla4[[#This Row],[TOTAL COBERTURA]]</f>
        <v>492348</v>
      </c>
      <c r="AO1231" s="35">
        <f>VLOOKUP(Tabla4[[#This Row],[SERVICIO 2025]],$J$2:$V$14,8,0)*Tabla4[[#This Row],[TOTAL COBERTURA]]</f>
        <v>349200</v>
      </c>
      <c r="AP1231" s="35">
        <f>VLOOKUP(Tabla4[[#This Row],[SERVICIO 2025]],$J$2:$V$14,3,0)*Tabla4[[#This Row],[TOTAL COBERTURA]]*8</f>
        <v>24728256</v>
      </c>
      <c r="AQ1231" s="35"/>
      <c r="AR1231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1231" s="35" t="str">
        <f>+IF(Tabla4[[#This Row],[AGRUPACIONES]]=1,SUMIFS(Tabla4[VALOR TOTAL],Tabla4[ZONA DEFINITIVO],Tabla4[[#This Row],[ZONA DEFINITIVO]])," ")</f>
        <v xml:space="preserve"> </v>
      </c>
      <c r="AT1231" s="27">
        <f>(VLOOKUP(Tabla4[[#This Row],[SERVICIO 2025]],$J$2:$V$14,3,0)*Tabla4[[#This Row],[TOTAL COBERTURA]])+Tabla4[[#This Row],[VALOR FASE PREPARATORIA DE ALISTAMIENTO]]+Tabla4[[#This Row],[DOTACIÓN ÚNICA]]</f>
        <v>4032744</v>
      </c>
      <c r="AU1231" s="35">
        <f>(VLOOKUP(Tabla4[[#This Row],[SERVICIO 2025]],$J$2:$V$14,3,0)*Tabla4[[#This Row],[TOTAL COBERTURA]])</f>
        <v>3091032</v>
      </c>
      <c r="AV1231" s="35">
        <f>(VLOOKUP(Tabla4[[#This Row],[SERVICIO 2025]],$J$2:$V$14,3,0)*Tabla4[[#This Row],[TOTAL COBERTURA]])</f>
        <v>3091032</v>
      </c>
      <c r="AW1231" s="35">
        <f>(VLOOKUP(Tabla4[[#This Row],[SERVICIO 2025]],$J$2:$V$14,3,0)*Tabla4[[#This Row],[TOTAL COBERTURA]])</f>
        <v>3091032</v>
      </c>
      <c r="AX1231" s="35">
        <f>(VLOOKUP(Tabla4[[#This Row],[SERVICIO 2025]],$J$2:$V$14,3,0)*Tabla4[[#This Row],[TOTAL COBERTURA]])</f>
        <v>3091032</v>
      </c>
      <c r="AY1231" s="35">
        <f>(VLOOKUP(Tabla4[[#This Row],[SERVICIO 2025]],$J$2:$V$14,3,0)*Tabla4[[#This Row],[TOTAL COBERTURA]])</f>
        <v>3091032</v>
      </c>
      <c r="AZ1231" s="35">
        <f>(VLOOKUP(Tabla4[[#This Row],[SERVICIO 2025]],$J$2:$V$14,3,0)*Tabla4[[#This Row],[TOTAL COBERTURA]])</f>
        <v>3091032</v>
      </c>
      <c r="BA1231" s="35">
        <f>(VLOOKUP(Tabla4[[#This Row],[SERVICIO 2025]],$J$2:$V$14,3,0)*Tabla4[[#This Row],[TOTAL COBERTURA]])+Tabla4[[#This Row],[VALOR FASE PREPARATORIA DE CIERRE]]</f>
        <v>3583380</v>
      </c>
      <c r="BB1231" s="35">
        <f>SUM(Tabla4[[#This Row],[DESEMBOLSO 1]:[DESEMBOLSO 8]])</f>
        <v>26162316</v>
      </c>
      <c r="BC1231" s="35">
        <f>VLOOKUP(Tabla4[[#This Row],[SERVICIO 2025]],$J$2:$V$14,10,0)*Tabla4[[#This Row],[TOTAL COBERTURA]]*$W$3</f>
        <v>17316768</v>
      </c>
      <c r="BD1231" s="47" t="s">
        <v>211</v>
      </c>
      <c r="BE1231" s="12" t="b">
        <f>EXACT(Tabla4[[#This Row],[VALOR ATENCIÓN (8 MESES)]],Tabla4[[#This Row],[VALOR TOTAL]])</f>
        <v>1</v>
      </c>
      <c r="BF1231" s="23">
        <f>Tabla4[[#This Row],[VALOR ATENCIÓN (8 MESES)]]-Tabla4[[#This Row],[VALOR TOTAL]]</f>
        <v>0</v>
      </c>
      <c r="BG1231" s="12" t="b">
        <f>EXACT(Tabla4[[#This Row],[TOTAL DESEMBOLSOS]],Tabla4[[#This Row],[VALOR ATENCIÓN (8 MESES)]])</f>
        <v>1</v>
      </c>
      <c r="BH1231" s="29">
        <f>Tabla4[[#This Row],[TOTAL DESEMBOLSOS]]-Tabla4[[#This Row],[VALOR ATENCIÓN (8 MESES)]]</f>
        <v>0</v>
      </c>
      <c r="BI1231" t="s">
        <v>98</v>
      </c>
      <c r="BJ1231">
        <v>2024</v>
      </c>
    </row>
    <row r="1232" spans="1:62">
      <c r="A1232" s="13">
        <v>2024</v>
      </c>
      <c r="B1232" s="13" t="s">
        <v>2639</v>
      </c>
      <c r="C1232" s="12" t="s">
        <v>87</v>
      </c>
      <c r="D1232" s="12" t="s">
        <v>482</v>
      </c>
      <c r="E1232" s="12" t="s">
        <v>2640</v>
      </c>
      <c r="F1232" s="12" t="s">
        <v>18</v>
      </c>
      <c r="G1232" s="12" t="s">
        <v>90</v>
      </c>
      <c r="H1232" s="12" t="s">
        <v>2675</v>
      </c>
      <c r="I1232" s="12">
        <v>58931152803</v>
      </c>
      <c r="J1232" s="12" t="s">
        <v>2676</v>
      </c>
      <c r="K1232" s="12">
        <v>1</v>
      </c>
      <c r="L1232" s="12">
        <v>15</v>
      </c>
      <c r="M1232" s="12"/>
      <c r="N1232" s="13">
        <v>2024</v>
      </c>
      <c r="O1232" s="12" t="s">
        <v>93</v>
      </c>
      <c r="P1232" s="12"/>
      <c r="Q1232" s="12"/>
      <c r="R1232" s="12" t="s">
        <v>94</v>
      </c>
      <c r="S1232" s="12">
        <v>10</v>
      </c>
      <c r="T1232" s="12" t="s">
        <v>486</v>
      </c>
      <c r="U1232" s="12" t="s">
        <v>487</v>
      </c>
      <c r="V1232" s="12">
        <f>VLOOKUP(Tabla4[[#This Row],[ZONA DEFINITIVO]],Hoja1!$A$1:$D$121,3,0)</f>
        <v>229166</v>
      </c>
      <c r="W1232" s="12">
        <f>VLOOKUP(Tabla4[[#This Row],[ZONA DEFINITIVO]],Hoja1!$A$1:$D$121,2,0)</f>
        <v>15252</v>
      </c>
      <c r="X1232" s="12">
        <f>VLOOKUP(Tabla4[[#This Row],[ZONA DEFINITIVO]],Hoja1!$A$1:$D$121,4,0)</f>
        <v>89525</v>
      </c>
      <c r="Y1232" s="12" t="str">
        <f>+IF(Tabla4[[#This Row],[AGRUPACIONES]]=1,SUMIFS(Tabla4[UDS],Tabla4[ZONA DEFINITIVO],Tabla4[[#This Row],[ZONA DEFINITIVO]])," ")</f>
        <v xml:space="preserve"> </v>
      </c>
      <c r="Z1232" s="12" t="str">
        <f>+IF(Tabla4[[#This Row],[AGRUPACIONES]]=1,SUMIFS(Tabla4[TOTAL COBERTURA],Tabla4[ZONA DEFINITIVO],Tabla4[[#This Row],[ZONA DEFINITIVO]])," ")</f>
        <v xml:space="preserve"> </v>
      </c>
      <c r="AA1232" s="12"/>
      <c r="AB1232" s="38">
        <v>32702895</v>
      </c>
      <c r="AC1232" s="37">
        <v>0.02</v>
      </c>
      <c r="AD1232" s="38">
        <f t="shared" si="19"/>
        <v>654057.9</v>
      </c>
      <c r="AE1232" s="12"/>
      <c r="AF1232" s="12">
        <f>COUNTIF($A$20:A1232,A1232)</f>
        <v>18</v>
      </c>
      <c r="AG1232" s="38">
        <v>32702895</v>
      </c>
      <c r="AH1232" s="38">
        <f>Tabla4[[#This Row],[VALOR CONTRAPARTIDA]]+Tabla4[[#This Row],[TOTAL APORTES ICBF]]</f>
        <v>33356952.899999999</v>
      </c>
      <c r="AI1232" s="35"/>
      <c r="AJ1232" s="38"/>
      <c r="AK1232" s="38"/>
      <c r="AL1232" s="23"/>
      <c r="AM1232" s="35">
        <f>VLOOKUP(Tabla4[[#This Row],[SERVICIO 2025]],$J$2:$V$14,5,0)*Tabla4[[#This Row],[TOTAL COBERTURA]]</f>
        <v>740640</v>
      </c>
      <c r="AN1232" s="35">
        <f>VLOOKUP(Tabla4[[#This Row],[SERVICIO 2025]],$J$2:$V$14,6,0)*Tabla4[[#This Row],[TOTAL COBERTURA]]</f>
        <v>615435</v>
      </c>
      <c r="AO1232" s="35">
        <f>VLOOKUP(Tabla4[[#This Row],[SERVICIO 2025]],$J$2:$V$14,8,0)*Tabla4[[#This Row],[TOTAL COBERTURA]]</f>
        <v>436500</v>
      </c>
      <c r="AP1232" s="35">
        <f>VLOOKUP(Tabla4[[#This Row],[SERVICIO 2025]],$J$2:$V$14,3,0)*Tabla4[[#This Row],[TOTAL COBERTURA]]*8</f>
        <v>30910320</v>
      </c>
      <c r="AQ1232" s="35"/>
      <c r="AR1232" s="35">
        <f>Tabla4[[#This Row],[VALOR FASE PREPARATORIA DE ALISTAMIENTO]]+Tabla4[[#This Row],[VALOR FASE PREPARATORIA DE CIERRE]]+Tabla4[[#This Row],[DOTACIÓN ÚNICA]]+Tabla4[[#This Row],[VALOR ATENCIÓN]]+Tabla4[[#This Row],[VALOR RACION PREPARADA]]</f>
        <v>32702895</v>
      </c>
      <c r="AS1232" s="35" t="str">
        <f>+IF(Tabla4[[#This Row],[AGRUPACIONES]]=1,SUMIFS(Tabla4[VALOR TOTAL],Tabla4[ZONA DEFINITIVO],Tabla4[[#This Row],[ZONA DEFINITIVO]])," ")</f>
        <v xml:space="preserve"> </v>
      </c>
      <c r="AT1232" s="27">
        <f>(VLOOKUP(Tabla4[[#This Row],[SERVICIO 2025]],$J$2:$V$14,3,0)*Tabla4[[#This Row],[TOTAL COBERTURA]])+Tabla4[[#This Row],[VALOR FASE PREPARATORIA DE ALISTAMIENTO]]+Tabla4[[#This Row],[DOTACIÓN ÚNICA]]</f>
        <v>5040930</v>
      </c>
      <c r="AU1232" s="35">
        <f>(VLOOKUP(Tabla4[[#This Row],[SERVICIO 2025]],$J$2:$V$14,3,0)*Tabla4[[#This Row],[TOTAL COBERTURA]])</f>
        <v>3863790</v>
      </c>
      <c r="AV1232" s="35">
        <f>(VLOOKUP(Tabla4[[#This Row],[SERVICIO 2025]],$J$2:$V$14,3,0)*Tabla4[[#This Row],[TOTAL COBERTURA]])</f>
        <v>3863790</v>
      </c>
      <c r="AW1232" s="35">
        <f>(VLOOKUP(Tabla4[[#This Row],[SERVICIO 2025]],$J$2:$V$14,3,0)*Tabla4[[#This Row],[TOTAL COBERTURA]])</f>
        <v>3863790</v>
      </c>
      <c r="AX1232" s="35">
        <f>(VLOOKUP(Tabla4[[#This Row],[SERVICIO 2025]],$J$2:$V$14,3,0)*Tabla4[[#This Row],[TOTAL COBERTURA]])</f>
        <v>3863790</v>
      </c>
      <c r="AY1232" s="35">
        <f>(VLOOKUP(Tabla4[[#This Row],[SERVICIO 2025]],$J$2:$V$14,3,0)*Tabla4[[#This Row],[TOTAL COBERTURA]])</f>
        <v>3863790</v>
      </c>
      <c r="AZ1232" s="35">
        <f>(VLOOKUP(Tabla4[[#This Row],[SERVICIO 2025]],$J$2:$V$14,3,0)*Tabla4[[#This Row],[TOTAL COBERTURA]])</f>
        <v>3863790</v>
      </c>
      <c r="BA1232" s="35">
        <f>(VLOOKUP(Tabla4[[#This Row],[SERVICIO 2025]],$J$2:$V$14,3,0)*Tabla4[[#This Row],[TOTAL COBERTURA]])+Tabla4[[#This Row],[VALOR FASE PREPARATORIA DE CIERRE]]</f>
        <v>4479225</v>
      </c>
      <c r="BB1232" s="35">
        <f>SUM(Tabla4[[#This Row],[DESEMBOLSO 1]:[DESEMBOLSO 8]])</f>
        <v>32702895</v>
      </c>
      <c r="BC1232" s="35">
        <f>VLOOKUP(Tabla4[[#This Row],[SERVICIO 2025]],$J$2:$V$14,10,0)*Tabla4[[#This Row],[TOTAL COBERTURA]]*$W$3</f>
        <v>21645960</v>
      </c>
      <c r="BD1232" s="47" t="s">
        <v>211</v>
      </c>
      <c r="BE1232" s="12" t="b">
        <f>EXACT(Tabla4[[#This Row],[VALOR ATENCIÓN (8 MESES)]],Tabla4[[#This Row],[VALOR TOTAL]])</f>
        <v>1</v>
      </c>
      <c r="BF1232" s="23">
        <f>Tabla4[[#This Row],[VALOR ATENCIÓN (8 MESES)]]-Tabla4[[#This Row],[VALOR TOTAL]]</f>
        <v>0</v>
      </c>
      <c r="BG1232" s="12" t="b">
        <f>EXACT(Tabla4[[#This Row],[TOTAL DESEMBOLSOS]],Tabla4[[#This Row],[VALOR ATENCIÓN (8 MESES)]])</f>
        <v>1</v>
      </c>
      <c r="BH1232" s="29">
        <f>Tabla4[[#This Row],[TOTAL DESEMBOLSOS]]-Tabla4[[#This Row],[VALOR ATENCIÓN (8 MESES)]]</f>
        <v>0</v>
      </c>
      <c r="BI1232" t="s">
        <v>98</v>
      </c>
      <c r="BJ1232">
        <v>2024</v>
      </c>
    </row>
    <row r="1233" spans="1:62">
      <c r="A1233" s="13">
        <v>2024</v>
      </c>
      <c r="B1233" s="13" t="s">
        <v>2639</v>
      </c>
      <c r="C1233" s="12" t="s">
        <v>87</v>
      </c>
      <c r="D1233" s="12" t="s">
        <v>482</v>
      </c>
      <c r="E1233" s="12" t="s">
        <v>2640</v>
      </c>
      <c r="F1233" s="12" t="s">
        <v>18</v>
      </c>
      <c r="G1233" s="12" t="s">
        <v>90</v>
      </c>
      <c r="H1233" s="12" t="s">
        <v>2677</v>
      </c>
      <c r="I1233" s="12">
        <v>58931152806</v>
      </c>
      <c r="J1233" s="12" t="s">
        <v>2678</v>
      </c>
      <c r="K1233" s="12">
        <v>1</v>
      </c>
      <c r="L1233" s="12">
        <v>12</v>
      </c>
      <c r="M1233" s="12"/>
      <c r="N1233" s="13">
        <v>2024</v>
      </c>
      <c r="O1233" s="12" t="s">
        <v>93</v>
      </c>
      <c r="P1233" s="12"/>
      <c r="Q1233" s="12"/>
      <c r="R1233" s="12" t="s">
        <v>94</v>
      </c>
      <c r="S1233" s="12">
        <v>10</v>
      </c>
      <c r="T1233" s="12" t="s">
        <v>486</v>
      </c>
      <c r="U1233" s="12" t="s">
        <v>487</v>
      </c>
      <c r="V1233" s="12">
        <f>VLOOKUP(Tabla4[[#This Row],[ZONA DEFINITIVO]],Hoja1!$A$1:$D$121,3,0)</f>
        <v>229166</v>
      </c>
      <c r="W1233" s="12">
        <f>VLOOKUP(Tabla4[[#This Row],[ZONA DEFINITIVO]],Hoja1!$A$1:$D$121,2,0)</f>
        <v>15252</v>
      </c>
      <c r="X1233" s="12">
        <f>VLOOKUP(Tabla4[[#This Row],[ZONA DEFINITIVO]],Hoja1!$A$1:$D$121,4,0)</f>
        <v>89525</v>
      </c>
      <c r="Y1233" s="12" t="str">
        <f>+IF(Tabla4[[#This Row],[AGRUPACIONES]]=1,SUMIFS(Tabla4[UDS],Tabla4[ZONA DEFINITIVO],Tabla4[[#This Row],[ZONA DEFINITIVO]])," ")</f>
        <v xml:space="preserve"> </v>
      </c>
      <c r="Z1233" s="12" t="str">
        <f>+IF(Tabla4[[#This Row],[AGRUPACIONES]]=1,SUMIFS(Tabla4[TOTAL COBERTURA],Tabla4[ZONA DEFINITIVO],Tabla4[[#This Row],[ZONA DEFINITIVO]])," ")</f>
        <v xml:space="preserve"> </v>
      </c>
      <c r="AA1233" s="12"/>
      <c r="AB1233" s="38">
        <v>26162316</v>
      </c>
      <c r="AC1233" s="37">
        <v>0.02</v>
      </c>
      <c r="AD1233" s="38">
        <f t="shared" si="19"/>
        <v>523246.32</v>
      </c>
      <c r="AE1233" s="12"/>
      <c r="AF1233" s="12">
        <f>COUNTIF($A$20:A1233,A1233)</f>
        <v>19</v>
      </c>
      <c r="AG1233" s="38">
        <v>26162316</v>
      </c>
      <c r="AH1233" s="38">
        <f>Tabla4[[#This Row],[VALOR CONTRAPARTIDA]]+Tabla4[[#This Row],[TOTAL APORTES ICBF]]</f>
        <v>26685562.32</v>
      </c>
      <c r="AI1233" s="35"/>
      <c r="AJ1233" s="38"/>
      <c r="AK1233" s="38"/>
      <c r="AL1233" s="23"/>
      <c r="AM1233" s="35">
        <f>VLOOKUP(Tabla4[[#This Row],[SERVICIO 2025]],$J$2:$V$14,5,0)*Tabla4[[#This Row],[TOTAL COBERTURA]]</f>
        <v>592512</v>
      </c>
      <c r="AN1233" s="35">
        <f>VLOOKUP(Tabla4[[#This Row],[SERVICIO 2025]],$J$2:$V$14,6,0)*Tabla4[[#This Row],[TOTAL COBERTURA]]</f>
        <v>492348</v>
      </c>
      <c r="AO1233" s="35">
        <f>VLOOKUP(Tabla4[[#This Row],[SERVICIO 2025]],$J$2:$V$14,8,0)*Tabla4[[#This Row],[TOTAL COBERTURA]]</f>
        <v>349200</v>
      </c>
      <c r="AP1233" s="35">
        <f>VLOOKUP(Tabla4[[#This Row],[SERVICIO 2025]],$J$2:$V$14,3,0)*Tabla4[[#This Row],[TOTAL COBERTURA]]*8</f>
        <v>24728256</v>
      </c>
      <c r="AQ1233" s="35"/>
      <c r="AR1233" s="35">
        <f>Tabla4[[#This Row],[VALOR FASE PREPARATORIA DE ALISTAMIENTO]]+Tabla4[[#This Row],[VALOR FASE PREPARATORIA DE CIERRE]]+Tabla4[[#This Row],[DOTACIÓN ÚNICA]]+Tabla4[[#This Row],[VALOR ATENCIÓN]]+Tabla4[[#This Row],[VALOR RACION PREPARADA]]</f>
        <v>26162316</v>
      </c>
      <c r="AS1233" s="35" t="str">
        <f>+IF(Tabla4[[#This Row],[AGRUPACIONES]]=1,SUMIFS(Tabla4[VALOR TOTAL],Tabla4[ZONA DEFINITIVO],Tabla4[[#This Row],[ZONA DEFINITIVO]])," ")</f>
        <v xml:space="preserve"> </v>
      </c>
      <c r="AT1233" s="27">
        <f>(VLOOKUP(Tabla4[[#This Row],[SERVICIO 2025]],$J$2:$V$14,3,0)*Tabla4[[#This Row],[TOTAL COBERTURA]])+Tabla4[[#This Row],[VALOR FASE PREPARATORIA DE ALISTAMIENTO]]+Tabla4[[#This Row],[DOTACIÓN ÚNICA]]</f>
        <v>4032744</v>
      </c>
      <c r="AU1233" s="35">
        <f>(VLOOKUP(Tabla4[[#This Row],[SERVICIO 2025]],$J$2:$V$14,3,0)*Tabla4[[#This Row],[TOTAL COBERTURA]])</f>
        <v>3091032</v>
      </c>
      <c r="AV1233" s="35">
        <f>(VLOOKUP(Tabla4[[#This Row],[SERVICIO 2025]],$J$2:$V$14,3,0)*Tabla4[[#This Row],[TOTAL COBERTURA]])</f>
        <v>3091032</v>
      </c>
      <c r="AW1233" s="35">
        <f>(VLOOKUP(Tabla4[[#This Row],[SERVICIO 2025]],$J$2:$V$14,3,0)*Tabla4[[#This Row],[TOTAL COBERTURA]])</f>
        <v>3091032</v>
      </c>
      <c r="AX1233" s="35">
        <f>(VLOOKUP(Tabla4[[#This Row],[SERVICIO 2025]],$J$2:$V$14,3,0)*Tabla4[[#This Row],[TOTAL COBERTURA]])</f>
        <v>3091032</v>
      </c>
      <c r="AY1233" s="35">
        <f>(VLOOKUP(Tabla4[[#This Row],[SERVICIO 2025]],$J$2:$V$14,3,0)*Tabla4[[#This Row],[TOTAL COBERTURA]])</f>
        <v>3091032</v>
      </c>
      <c r="AZ1233" s="35">
        <f>(VLOOKUP(Tabla4[[#This Row],[SERVICIO 2025]],$J$2:$V$14,3,0)*Tabla4[[#This Row],[TOTAL COBERTURA]])</f>
        <v>3091032</v>
      </c>
      <c r="BA1233" s="35">
        <f>(VLOOKUP(Tabla4[[#This Row],[SERVICIO 2025]],$J$2:$V$14,3,0)*Tabla4[[#This Row],[TOTAL COBERTURA]])+Tabla4[[#This Row],[VALOR FASE PREPARATORIA DE CIERRE]]</f>
        <v>3583380</v>
      </c>
      <c r="BB1233" s="35">
        <f>SUM(Tabla4[[#This Row],[DESEMBOLSO 1]:[DESEMBOLSO 8]])</f>
        <v>26162316</v>
      </c>
      <c r="BC1233" s="35">
        <f>VLOOKUP(Tabla4[[#This Row],[SERVICIO 2025]],$J$2:$V$14,10,0)*Tabla4[[#This Row],[TOTAL COBERTURA]]*$W$3</f>
        <v>17316768</v>
      </c>
      <c r="BD1233" s="47" t="s">
        <v>211</v>
      </c>
      <c r="BE1233" s="12" t="b">
        <f>EXACT(Tabla4[[#This Row],[VALOR ATENCIÓN (8 MESES)]],Tabla4[[#This Row],[VALOR TOTAL]])</f>
        <v>1</v>
      </c>
      <c r="BF1233" s="23">
        <f>Tabla4[[#This Row],[VALOR ATENCIÓN (8 MESES)]]-Tabla4[[#This Row],[VALOR TOTAL]]</f>
        <v>0</v>
      </c>
      <c r="BG1233" s="12" t="b">
        <f>EXACT(Tabla4[[#This Row],[TOTAL DESEMBOLSOS]],Tabla4[[#This Row],[VALOR ATENCIÓN (8 MESES)]])</f>
        <v>1</v>
      </c>
      <c r="BH1233" s="29">
        <f>Tabla4[[#This Row],[TOTAL DESEMBOLSOS]]-Tabla4[[#This Row],[VALOR ATENCIÓN (8 MESES)]]</f>
        <v>0</v>
      </c>
      <c r="BI1233" t="s">
        <v>98</v>
      </c>
      <c r="BJ1233">
        <v>2024</v>
      </c>
    </row>
    <row r="1234" spans="1:62">
      <c r="A1234" s="13">
        <v>2024</v>
      </c>
      <c r="B1234" s="13" t="s">
        <v>2639</v>
      </c>
      <c r="C1234" s="12" t="s">
        <v>87</v>
      </c>
      <c r="D1234" s="12" t="s">
        <v>482</v>
      </c>
      <c r="E1234" s="12" t="s">
        <v>2640</v>
      </c>
      <c r="F1234" s="12" t="s">
        <v>13</v>
      </c>
      <c r="G1234" s="12" t="s">
        <v>90</v>
      </c>
      <c r="H1234" s="12" t="s">
        <v>2679</v>
      </c>
      <c r="I1234" s="12">
        <v>589300080791</v>
      </c>
      <c r="J1234" s="12" t="s">
        <v>2680</v>
      </c>
      <c r="K1234" s="12">
        <v>1</v>
      </c>
      <c r="L1234" s="12">
        <v>144</v>
      </c>
      <c r="M1234" s="12"/>
      <c r="N1234" s="13">
        <v>2024</v>
      </c>
      <c r="O1234" s="12" t="s">
        <v>93</v>
      </c>
      <c r="P1234" s="12"/>
      <c r="Q1234" s="12"/>
      <c r="R1234" s="12" t="s">
        <v>94</v>
      </c>
      <c r="S1234" s="12">
        <v>10</v>
      </c>
      <c r="T1234" s="12" t="s">
        <v>486</v>
      </c>
      <c r="U1234" s="12" t="s">
        <v>487</v>
      </c>
      <c r="V1234" s="12">
        <f>VLOOKUP(Tabla4[[#This Row],[ZONA DEFINITIVO]],Hoja1!$A$1:$D$121,3,0)</f>
        <v>229166</v>
      </c>
      <c r="W1234" s="12">
        <f>VLOOKUP(Tabla4[[#This Row],[ZONA DEFINITIVO]],Hoja1!$A$1:$D$121,2,0)</f>
        <v>15252</v>
      </c>
      <c r="X1234" s="12">
        <f>VLOOKUP(Tabla4[[#This Row],[ZONA DEFINITIVO]],Hoja1!$A$1:$D$121,4,0)</f>
        <v>89525</v>
      </c>
      <c r="Y1234" s="12" t="str">
        <f>+IF(Tabla4[[#This Row],[AGRUPACIONES]]=1,SUMIFS(Tabla4[UDS],Tabla4[ZONA DEFINITIVO],Tabla4[[#This Row],[ZONA DEFINITIVO]])," ")</f>
        <v xml:space="preserve"> </v>
      </c>
      <c r="Z1234" s="12" t="str">
        <f>+IF(Tabla4[[#This Row],[AGRUPACIONES]]=1,SUMIFS(Tabla4[TOTAL COBERTURA],Tabla4[ZONA DEFINITIVO],Tabla4[[#This Row],[ZONA DEFINITIVO]])," ")</f>
        <v xml:space="preserve"> </v>
      </c>
      <c r="AA1234" s="12"/>
      <c r="AB1234" s="38">
        <v>425765664</v>
      </c>
      <c r="AC1234" s="37">
        <v>0.02</v>
      </c>
      <c r="AD1234" s="38">
        <f t="shared" si="19"/>
        <v>8515313.2799999993</v>
      </c>
      <c r="AE1234" s="12"/>
      <c r="AF1234" s="12">
        <f>COUNTIF($A$20:A1234,A1234)</f>
        <v>20</v>
      </c>
      <c r="AG1234" s="38">
        <v>425765664</v>
      </c>
      <c r="AH1234" s="38">
        <f>Tabla4[[#This Row],[VALOR CONTRAPARTIDA]]+Tabla4[[#This Row],[TOTAL APORTES ICBF]]</f>
        <v>434280977.27999997</v>
      </c>
      <c r="AI1234" s="35"/>
      <c r="AJ1234" s="38"/>
      <c r="AK1234" s="38"/>
      <c r="AL1234" s="23"/>
      <c r="AM1234" s="35">
        <f>VLOOKUP(Tabla4[[#This Row],[SERVICIO 2025]],$J$2:$V$14,5,0)*Tabla4[[#This Row],[TOTAL COBERTURA]]</f>
        <v>12692592</v>
      </c>
      <c r="AN1234" s="35">
        <f>VLOOKUP(Tabla4[[#This Row],[SERVICIO 2025]],$J$2:$V$14,6,0)*Tabla4[[#This Row],[TOTAL COBERTURA]]</f>
        <v>10806192</v>
      </c>
      <c r="AO1234" s="35">
        <f>VLOOKUP(Tabla4[[#This Row],[SERVICIO 2025]],$J$2:$V$14,8,0)*Tabla4[[#This Row],[TOTAL COBERTURA]]</f>
        <v>0</v>
      </c>
      <c r="AP1234" s="35">
        <f>VLOOKUP(Tabla4[[#This Row],[SERVICIO 2025]],$J$2:$V$14,3,0)*Tabla4[[#This Row],[TOTAL COBERTURA]]*8</f>
        <v>402266880</v>
      </c>
      <c r="AQ1234" s="35"/>
      <c r="AR1234" s="35">
        <f>Tabla4[[#This Row],[VALOR FASE PREPARATORIA DE ALISTAMIENTO]]+Tabla4[[#This Row],[VALOR FASE PREPARATORIA DE CIERRE]]+Tabla4[[#This Row],[DOTACIÓN ÚNICA]]+Tabla4[[#This Row],[VALOR ATENCIÓN]]+Tabla4[[#This Row],[VALOR RACION PREPARADA]]</f>
        <v>425765664</v>
      </c>
      <c r="AS1234" s="35" t="str">
        <f>+IF(Tabla4[[#This Row],[AGRUPACIONES]]=1,SUMIFS(Tabla4[VALOR TOTAL],Tabla4[ZONA DEFINITIVO],Tabla4[[#This Row],[ZONA DEFINITIVO]])," ")</f>
        <v xml:space="preserve"> </v>
      </c>
      <c r="AT1234" s="27">
        <f>(VLOOKUP(Tabla4[[#This Row],[SERVICIO 2025]],$J$2:$V$14,3,0)*Tabla4[[#This Row],[TOTAL COBERTURA]])+Tabla4[[#This Row],[VALOR FASE PREPARATORIA DE ALISTAMIENTO]]+Tabla4[[#This Row],[DOTACIÓN ÚNICA]]</f>
        <v>62975952</v>
      </c>
      <c r="AU1234" s="35">
        <f>(VLOOKUP(Tabla4[[#This Row],[SERVICIO 2025]],$J$2:$V$14,3,0)*Tabla4[[#This Row],[TOTAL COBERTURA]])</f>
        <v>50283360</v>
      </c>
      <c r="AV1234" s="35">
        <f>(VLOOKUP(Tabla4[[#This Row],[SERVICIO 2025]],$J$2:$V$14,3,0)*Tabla4[[#This Row],[TOTAL COBERTURA]])</f>
        <v>50283360</v>
      </c>
      <c r="AW1234" s="35">
        <f>(VLOOKUP(Tabla4[[#This Row],[SERVICIO 2025]],$J$2:$V$14,3,0)*Tabla4[[#This Row],[TOTAL COBERTURA]])</f>
        <v>50283360</v>
      </c>
      <c r="AX1234" s="35">
        <f>(VLOOKUP(Tabla4[[#This Row],[SERVICIO 2025]],$J$2:$V$14,3,0)*Tabla4[[#This Row],[TOTAL COBERTURA]])</f>
        <v>50283360</v>
      </c>
      <c r="AY1234" s="35">
        <f>(VLOOKUP(Tabla4[[#This Row],[SERVICIO 2025]],$J$2:$V$14,3,0)*Tabla4[[#This Row],[TOTAL COBERTURA]])</f>
        <v>50283360</v>
      </c>
      <c r="AZ1234" s="35">
        <f>(VLOOKUP(Tabla4[[#This Row],[SERVICIO 2025]],$J$2:$V$14,3,0)*Tabla4[[#This Row],[TOTAL COBERTURA]])</f>
        <v>50283360</v>
      </c>
      <c r="BA1234" s="35">
        <f>(VLOOKUP(Tabla4[[#This Row],[SERVICIO 2025]],$J$2:$V$14,3,0)*Tabla4[[#This Row],[TOTAL COBERTURA]])+Tabla4[[#This Row],[VALOR FASE PREPARATORIA DE CIERRE]]</f>
        <v>61089552</v>
      </c>
      <c r="BB1234" s="35">
        <f>SUM(Tabla4[[#This Row],[DESEMBOLSO 1]:[DESEMBOLSO 8]])</f>
        <v>425765664</v>
      </c>
      <c r="BC1234" s="35">
        <f>VLOOKUP(Tabla4[[#This Row],[SERVICIO 2025]],$J$2:$V$14,10,0)*Tabla4[[#This Row],[TOTAL COBERTURA]]*$W$3</f>
        <v>177428736</v>
      </c>
      <c r="BD1234" s="47" t="s">
        <v>211</v>
      </c>
      <c r="BE1234" s="12" t="b">
        <f>EXACT(Tabla4[[#This Row],[VALOR ATENCIÓN (8 MESES)]],Tabla4[[#This Row],[VALOR TOTAL]])</f>
        <v>1</v>
      </c>
      <c r="BF1234" s="23">
        <f>Tabla4[[#This Row],[VALOR ATENCIÓN (8 MESES)]]-Tabla4[[#This Row],[VALOR TOTAL]]</f>
        <v>0</v>
      </c>
      <c r="BG1234" s="12" t="b">
        <f>EXACT(Tabla4[[#This Row],[TOTAL DESEMBOLSOS]],Tabla4[[#This Row],[VALOR ATENCIÓN (8 MESES)]])</f>
        <v>1</v>
      </c>
      <c r="BH1234" s="29">
        <f>Tabla4[[#This Row],[TOTAL DESEMBOLSOS]]-Tabla4[[#This Row],[VALOR ATENCIÓN (8 MESES)]]</f>
        <v>0</v>
      </c>
      <c r="BI1234" t="s">
        <v>98</v>
      </c>
      <c r="BJ1234">
        <v>2024</v>
      </c>
    </row>
    <row r="1235" spans="1:62">
      <c r="A1235" s="13">
        <v>2025</v>
      </c>
      <c r="B1235" s="13" t="s">
        <v>2681</v>
      </c>
      <c r="C1235" s="12" t="s">
        <v>87</v>
      </c>
      <c r="D1235" s="12" t="s">
        <v>987</v>
      </c>
      <c r="E1235" s="12" t="s">
        <v>2682</v>
      </c>
      <c r="F1235" s="12" t="s">
        <v>15</v>
      </c>
      <c r="G1235" s="12" t="s">
        <v>90</v>
      </c>
      <c r="H1235" s="12" t="s">
        <v>2683</v>
      </c>
      <c r="I1235" s="12">
        <v>589500106480</v>
      </c>
      <c r="J1235" s="12" t="s">
        <v>2684</v>
      </c>
      <c r="K1235" s="12">
        <v>1</v>
      </c>
      <c r="L1235" s="12">
        <v>226</v>
      </c>
      <c r="M1235" s="12"/>
      <c r="N1235" s="13">
        <v>2025</v>
      </c>
      <c r="O1235" s="12" t="s">
        <v>93</v>
      </c>
      <c r="P1235" s="12"/>
      <c r="Q1235" s="12"/>
      <c r="R1235" s="12" t="s">
        <v>94</v>
      </c>
      <c r="S1235" s="12">
        <v>10</v>
      </c>
      <c r="T1235" s="12" t="s">
        <v>2685</v>
      </c>
      <c r="U1235" s="12" t="s">
        <v>2686</v>
      </c>
      <c r="V1235" s="12">
        <f>VLOOKUP(Tabla4[[#This Row],[ZONA DEFINITIVO]],Hoja1!$A$1:$D$121,3,0)</f>
        <v>229171</v>
      </c>
      <c r="W1235" s="12">
        <f>VLOOKUP(Tabla4[[#This Row],[ZONA DEFINITIVO]],Hoja1!$A$1:$D$121,2,0)</f>
        <v>15258</v>
      </c>
      <c r="X1235" s="12">
        <f>VLOOKUP(Tabla4[[#This Row],[ZONA DEFINITIVO]],Hoja1!$A$1:$D$121,4,0)</f>
        <v>90125</v>
      </c>
      <c r="Y1235" s="12">
        <f>+IF(Tabla4[[#This Row],[AGRUPACIONES]]=1,SUMIFS(Tabla4[UDS],Tabla4[ZONA DEFINITIVO],Tabla4[[#This Row],[ZONA DEFINITIVO]])," ")</f>
        <v>2</v>
      </c>
      <c r="Z1235" s="12">
        <f>+IF(Tabla4[[#This Row],[AGRUPACIONES]]=1,SUMIFS(Tabla4[TOTAL COBERTURA],Tabla4[ZONA DEFINITIVO],Tabla4[[#This Row],[ZONA DEFINITIVO]])," ")</f>
        <v>314</v>
      </c>
      <c r="AA1235" s="12"/>
      <c r="AB1235" s="38">
        <v>978444852</v>
      </c>
      <c r="AC1235" s="37">
        <v>0.02</v>
      </c>
      <c r="AD1235" s="38">
        <f t="shared" si="19"/>
        <v>19568897.039999999</v>
      </c>
      <c r="AE1235" s="12"/>
      <c r="AF1235" s="12">
        <f>COUNTIF($A$20:A1235,A1235)</f>
        <v>1</v>
      </c>
      <c r="AG1235" s="38">
        <v>978444852</v>
      </c>
      <c r="AH1235" s="38">
        <f>Tabla4[[#This Row],[VALOR CONTRAPARTIDA]]+Tabla4[[#This Row],[TOTAL APORTES ICBF]]</f>
        <v>998013749.03999996</v>
      </c>
      <c r="AI1235" s="35">
        <f>ROUND(+IF(Tabla4[[#This Row],[AGRUPACIONES]]=1,SUMIFS(Tabla4[TOTAL APORTES ICBF],Tabla4[ZONA DEFINITIVO],Tabla4[[#This Row],[ZONA DEFINITIVO]])," "),0)</f>
        <v>1347063652</v>
      </c>
      <c r="AJ1235" s="38">
        <f>ROUND(+IF(Tabla4[[#This Row],[AGRUPACIONES]]=1,SUMIFS(Tabla4[VALOR CONTRAPARTIDA],Tabla4[ZONA DEFINITIVO],Tabla4[[#This Row],[ZONA DEFINITIVO]])," "),0)</f>
        <v>26941273</v>
      </c>
      <c r="AK1235" s="38">
        <f>Tabla4[[#This Row],[TOTAL APORTES ICBF AGRUPADO]]+Tabla4[[#This Row],[TOTAL CONTRAPARTIDA AGRUPADO]]</f>
        <v>1374004925</v>
      </c>
      <c r="AL1235" s="23">
        <f>Tabla4[[#This Row],[TOTAL APORTES ICBF AGRUPADO]]/$AL$18</f>
        <v>946.30393537056545</v>
      </c>
      <c r="AM1235" s="35">
        <f>VLOOKUP(Tabla4[[#This Row],[SERVICIO 2025]],$J$2:$V$14,5,0)*Tabla4[[#This Row],[TOTAL COBERTURA]]</f>
        <v>19920318</v>
      </c>
      <c r="AN1235" s="35">
        <f>VLOOKUP(Tabla4[[#This Row],[SERVICIO 2025]],$J$2:$V$14,6,0)*Tabla4[[#This Row],[TOTAL COBERTURA]]</f>
        <v>16959718</v>
      </c>
      <c r="AO1235" s="35">
        <f>VLOOKUP(Tabla4[[#This Row],[SERVICIO 2025]],$J$2:$V$14,8,0)*Tabla4[[#This Row],[TOTAL COBERTURA]]</f>
        <v>0</v>
      </c>
      <c r="AP1235" s="35">
        <f>VLOOKUP(Tabla4[[#This Row],[SERVICIO 2025]],$J$2:$V$14,3,0)*Tabla4[[#This Row],[TOTAL COBERTURA]]*8</f>
        <v>941564816</v>
      </c>
      <c r="AQ1235" s="35"/>
      <c r="AR1235" s="35">
        <f>Tabla4[[#This Row],[VALOR FASE PREPARATORIA DE ALISTAMIENTO]]+Tabla4[[#This Row],[VALOR FASE PREPARATORIA DE CIERRE]]+Tabla4[[#This Row],[DOTACIÓN ÚNICA]]+Tabla4[[#This Row],[VALOR ATENCIÓN]]+Tabla4[[#This Row],[VALOR RACION PREPARADA]]</f>
        <v>978444852</v>
      </c>
      <c r="AS1235" s="35">
        <f>+IF(Tabla4[[#This Row],[AGRUPACIONES]]=1,SUMIFS(Tabla4[VALOR TOTAL],Tabla4[ZONA DEFINITIVO],Tabla4[[#This Row],[ZONA DEFINITIVO]])," ")</f>
        <v>1347063652</v>
      </c>
      <c r="AT1235" s="27">
        <f>(VLOOKUP(Tabla4[[#This Row],[SERVICIO 2025]],$J$2:$V$14,3,0)*Tabla4[[#This Row],[TOTAL COBERTURA]])+Tabla4[[#This Row],[VALOR FASE PREPARATORIA DE ALISTAMIENTO]]+Tabla4[[#This Row],[DOTACIÓN ÚNICA]]</f>
        <v>137615920</v>
      </c>
      <c r="AU1235" s="35">
        <f>(VLOOKUP(Tabla4[[#This Row],[SERVICIO 2025]],$J$2:$V$14,3,0)*Tabla4[[#This Row],[TOTAL COBERTURA]])</f>
        <v>117695602</v>
      </c>
      <c r="AV1235" s="35">
        <f>(VLOOKUP(Tabla4[[#This Row],[SERVICIO 2025]],$J$2:$V$14,3,0)*Tabla4[[#This Row],[TOTAL COBERTURA]])</f>
        <v>117695602</v>
      </c>
      <c r="AW1235" s="35">
        <f>(VLOOKUP(Tabla4[[#This Row],[SERVICIO 2025]],$J$2:$V$14,3,0)*Tabla4[[#This Row],[TOTAL COBERTURA]])</f>
        <v>117695602</v>
      </c>
      <c r="AX1235" s="35">
        <f>(VLOOKUP(Tabla4[[#This Row],[SERVICIO 2025]],$J$2:$V$14,3,0)*Tabla4[[#This Row],[TOTAL COBERTURA]])</f>
        <v>117695602</v>
      </c>
      <c r="AY1235" s="35">
        <f>(VLOOKUP(Tabla4[[#This Row],[SERVICIO 2025]],$J$2:$V$14,3,0)*Tabla4[[#This Row],[TOTAL COBERTURA]])</f>
        <v>117695602</v>
      </c>
      <c r="AZ1235" s="35">
        <f>(VLOOKUP(Tabla4[[#This Row],[SERVICIO 2025]],$J$2:$V$14,3,0)*Tabla4[[#This Row],[TOTAL COBERTURA]])</f>
        <v>117695602</v>
      </c>
      <c r="BA1235" s="35">
        <f>(VLOOKUP(Tabla4[[#This Row],[SERVICIO 2025]],$J$2:$V$14,3,0)*Tabla4[[#This Row],[TOTAL COBERTURA]])+Tabla4[[#This Row],[VALOR FASE PREPARATORIA DE CIERRE]]</f>
        <v>134655320</v>
      </c>
      <c r="BB1235" s="35">
        <f>SUM(Tabla4[[#This Row],[DESEMBOLSO 1]:[DESEMBOLSO 8]])</f>
        <v>978444852</v>
      </c>
      <c r="BC1235" s="35">
        <f>VLOOKUP(Tabla4[[#This Row],[SERVICIO 2025]],$J$2:$V$14,10,0)*Tabla4[[#This Row],[TOTAL COBERTURA]]*$W$3</f>
        <v>0</v>
      </c>
      <c r="BD1235" s="47" t="s">
        <v>145</v>
      </c>
      <c r="BE1235" s="12" t="b">
        <f>EXACT(Tabla4[[#This Row],[VALOR ATENCIÓN (8 MESES)]],Tabla4[[#This Row],[VALOR TOTAL]])</f>
        <v>1</v>
      </c>
      <c r="BF1235" s="23">
        <f>Tabla4[[#This Row],[VALOR ATENCIÓN (8 MESES)]]-Tabla4[[#This Row],[VALOR TOTAL]]</f>
        <v>0</v>
      </c>
      <c r="BG1235" s="12" t="b">
        <f>EXACT(Tabla4[[#This Row],[TOTAL DESEMBOLSOS]],Tabla4[[#This Row],[VALOR ATENCIÓN (8 MESES)]])</f>
        <v>1</v>
      </c>
      <c r="BH1235" s="29">
        <f>Tabla4[[#This Row],[TOTAL DESEMBOLSOS]]-Tabla4[[#This Row],[VALOR ATENCIÓN (8 MESES)]]</f>
        <v>0</v>
      </c>
      <c r="BI1235" t="s">
        <v>98</v>
      </c>
    </row>
    <row r="1236" spans="1:62">
      <c r="A1236" s="13">
        <v>2025</v>
      </c>
      <c r="B1236" s="13" t="s">
        <v>2681</v>
      </c>
      <c r="C1236" s="12" t="s">
        <v>87</v>
      </c>
      <c r="D1236" s="12" t="s">
        <v>987</v>
      </c>
      <c r="E1236" s="12" t="s">
        <v>2682</v>
      </c>
      <c r="F1236" s="12" t="s">
        <v>14</v>
      </c>
      <c r="G1236" s="12" t="s">
        <v>90</v>
      </c>
      <c r="H1236" s="12" t="s">
        <v>2687</v>
      </c>
      <c r="I1236" s="12">
        <v>589500119540</v>
      </c>
      <c r="J1236" s="12" t="s">
        <v>2688</v>
      </c>
      <c r="K1236" s="12">
        <v>1</v>
      </c>
      <c r="L1236" s="12">
        <v>88</v>
      </c>
      <c r="M1236" s="12"/>
      <c r="N1236" s="13">
        <v>2025</v>
      </c>
      <c r="O1236" s="12" t="s">
        <v>93</v>
      </c>
      <c r="P1236" s="12"/>
      <c r="Q1236" s="12"/>
      <c r="R1236" s="12" t="s">
        <v>94</v>
      </c>
      <c r="S1236" s="12">
        <v>10</v>
      </c>
      <c r="T1236" s="12" t="s">
        <v>2685</v>
      </c>
      <c r="U1236" s="12" t="s">
        <v>2686</v>
      </c>
      <c r="V1236" s="12">
        <f>VLOOKUP(Tabla4[[#This Row],[ZONA DEFINITIVO]],Hoja1!$A$1:$D$121,3,0)</f>
        <v>229171</v>
      </c>
      <c r="W1236" s="12">
        <f>VLOOKUP(Tabla4[[#This Row],[ZONA DEFINITIVO]],Hoja1!$A$1:$D$121,2,0)</f>
        <v>15258</v>
      </c>
      <c r="X1236" s="12">
        <f>VLOOKUP(Tabla4[[#This Row],[ZONA DEFINITIVO]],Hoja1!$A$1:$D$121,4,0)</f>
        <v>90125</v>
      </c>
      <c r="Y1236" s="12" t="str">
        <f>+IF(Tabla4[[#This Row],[AGRUPACIONES]]=1,SUMIFS(Tabla4[UDS],Tabla4[ZONA DEFINITIVO],Tabla4[[#This Row],[ZONA DEFINITIVO]])," ")</f>
        <v xml:space="preserve"> </v>
      </c>
      <c r="Z1236" s="12" t="str">
        <f>+IF(Tabla4[[#This Row],[AGRUPACIONES]]=1,SUMIFS(Tabla4[TOTAL COBERTURA],Tabla4[ZONA DEFINITIVO],Tabla4[[#This Row],[ZONA DEFINITIVO]])," ")</f>
        <v xml:space="preserve"> </v>
      </c>
      <c r="AA1236" s="12"/>
      <c r="AB1236" s="38">
        <v>368618800</v>
      </c>
      <c r="AC1236" s="37">
        <v>0.02</v>
      </c>
      <c r="AD1236" s="38">
        <f t="shared" ref="AD1236:AD1299" si="20">AB1236*AC1236</f>
        <v>7372376</v>
      </c>
      <c r="AE1236" s="12"/>
      <c r="AF1236" s="12">
        <f>COUNTIF($A$20:A1236,A1236)</f>
        <v>2</v>
      </c>
      <c r="AG1236" s="38">
        <v>368618800</v>
      </c>
      <c r="AH1236" s="38">
        <f>Tabla4[[#This Row],[VALOR CONTRAPARTIDA]]+Tabla4[[#This Row],[TOTAL APORTES ICBF]]</f>
        <v>375991176</v>
      </c>
      <c r="AI1236" s="35"/>
      <c r="AJ1236" s="38"/>
      <c r="AK1236" s="38"/>
      <c r="AL1236" s="23"/>
      <c r="AM1236" s="35">
        <f>VLOOKUP(Tabla4[[#This Row],[SERVICIO 2025]],$J$2:$V$14,5,0)*Tabla4[[#This Row],[TOTAL COBERTURA]]</f>
        <v>7756584</v>
      </c>
      <c r="AN1236" s="35">
        <f>VLOOKUP(Tabla4[[#This Row],[SERVICIO 2025]],$J$2:$V$14,6,0)*Tabla4[[#This Row],[TOTAL COBERTURA]]</f>
        <v>6603784</v>
      </c>
      <c r="AO1236" s="35">
        <f>VLOOKUP(Tabla4[[#This Row],[SERVICIO 2025]],$J$2:$V$14,8,0)*Tabla4[[#This Row],[TOTAL COBERTURA]]</f>
        <v>0</v>
      </c>
      <c r="AP1236" s="35">
        <f>VLOOKUP(Tabla4[[#This Row],[SERVICIO 2025]],$J$2:$V$14,3,0)*Tabla4[[#This Row],[TOTAL COBERTURA]]*8</f>
        <v>354258432</v>
      </c>
      <c r="AQ1236" s="35"/>
      <c r="AR1236" s="35">
        <f>Tabla4[[#This Row],[VALOR FASE PREPARATORIA DE ALISTAMIENTO]]+Tabla4[[#This Row],[VALOR FASE PREPARATORIA DE CIERRE]]+Tabla4[[#This Row],[DOTACIÓN ÚNICA]]+Tabla4[[#This Row],[VALOR ATENCIÓN]]+Tabla4[[#This Row],[VALOR RACION PREPARADA]]</f>
        <v>368618800</v>
      </c>
      <c r="AS1236" s="35" t="str">
        <f>+IF(Tabla4[[#This Row],[AGRUPACIONES]]=1,SUMIFS(Tabla4[VALOR TOTAL],Tabla4[ZONA DEFINITIVO],Tabla4[[#This Row],[ZONA DEFINITIVO]])," ")</f>
        <v xml:space="preserve"> </v>
      </c>
      <c r="AT1236" s="27">
        <f>(VLOOKUP(Tabla4[[#This Row],[SERVICIO 2025]],$J$2:$V$14,3,0)*Tabla4[[#This Row],[TOTAL COBERTURA]])+Tabla4[[#This Row],[VALOR FASE PREPARATORIA DE ALISTAMIENTO]]+Tabla4[[#This Row],[DOTACIÓN ÚNICA]]</f>
        <v>52038888</v>
      </c>
      <c r="AU1236" s="35">
        <f>(VLOOKUP(Tabla4[[#This Row],[SERVICIO 2025]],$J$2:$V$14,3,0)*Tabla4[[#This Row],[TOTAL COBERTURA]])</f>
        <v>44282304</v>
      </c>
      <c r="AV1236" s="35">
        <f>(VLOOKUP(Tabla4[[#This Row],[SERVICIO 2025]],$J$2:$V$14,3,0)*Tabla4[[#This Row],[TOTAL COBERTURA]])</f>
        <v>44282304</v>
      </c>
      <c r="AW1236" s="35">
        <f>(VLOOKUP(Tabla4[[#This Row],[SERVICIO 2025]],$J$2:$V$14,3,0)*Tabla4[[#This Row],[TOTAL COBERTURA]])</f>
        <v>44282304</v>
      </c>
      <c r="AX1236" s="35">
        <f>(VLOOKUP(Tabla4[[#This Row],[SERVICIO 2025]],$J$2:$V$14,3,0)*Tabla4[[#This Row],[TOTAL COBERTURA]])</f>
        <v>44282304</v>
      </c>
      <c r="AY1236" s="35">
        <f>(VLOOKUP(Tabla4[[#This Row],[SERVICIO 2025]],$J$2:$V$14,3,0)*Tabla4[[#This Row],[TOTAL COBERTURA]])</f>
        <v>44282304</v>
      </c>
      <c r="AZ1236" s="35">
        <f>(VLOOKUP(Tabla4[[#This Row],[SERVICIO 2025]],$J$2:$V$14,3,0)*Tabla4[[#This Row],[TOTAL COBERTURA]])</f>
        <v>44282304</v>
      </c>
      <c r="BA1236" s="35">
        <f>(VLOOKUP(Tabla4[[#This Row],[SERVICIO 2025]],$J$2:$V$14,3,0)*Tabla4[[#This Row],[TOTAL COBERTURA]])+Tabla4[[#This Row],[VALOR FASE PREPARATORIA DE CIERRE]]</f>
        <v>50886088</v>
      </c>
      <c r="BB1236" s="35">
        <f>SUM(Tabla4[[#This Row],[DESEMBOLSO 1]:[DESEMBOLSO 8]])</f>
        <v>368618800</v>
      </c>
      <c r="BC1236" s="35">
        <f>VLOOKUP(Tabla4[[#This Row],[SERVICIO 2025]],$J$2:$V$14,10,0)*Tabla4[[#This Row],[TOTAL COBERTURA]]*$W$3</f>
        <v>0</v>
      </c>
      <c r="BD1236" s="47" t="s">
        <v>145</v>
      </c>
      <c r="BE1236" s="12" t="b">
        <f>EXACT(Tabla4[[#This Row],[VALOR ATENCIÓN (8 MESES)]],Tabla4[[#This Row],[VALOR TOTAL]])</f>
        <v>1</v>
      </c>
      <c r="BF1236" s="23">
        <f>Tabla4[[#This Row],[VALOR ATENCIÓN (8 MESES)]]-Tabla4[[#This Row],[VALOR TOTAL]]</f>
        <v>0</v>
      </c>
      <c r="BG1236" s="12" t="b">
        <f>EXACT(Tabla4[[#This Row],[TOTAL DESEMBOLSOS]],Tabla4[[#This Row],[VALOR ATENCIÓN (8 MESES)]])</f>
        <v>1</v>
      </c>
      <c r="BH1236" s="29">
        <f>Tabla4[[#This Row],[TOTAL DESEMBOLSOS]]-Tabla4[[#This Row],[VALOR ATENCIÓN (8 MESES)]]</f>
        <v>0</v>
      </c>
      <c r="BI1236" t="s">
        <v>98</v>
      </c>
    </row>
    <row r="1237" spans="1:62">
      <c r="A1237" s="13">
        <v>2026</v>
      </c>
      <c r="B1237" s="13" t="s">
        <v>2689</v>
      </c>
      <c r="C1237" s="12" t="s">
        <v>87</v>
      </c>
      <c r="D1237" s="12" t="s">
        <v>987</v>
      </c>
      <c r="E1237" s="12" t="s">
        <v>2682</v>
      </c>
      <c r="F1237" s="12" t="s">
        <v>18</v>
      </c>
      <c r="G1237" s="12" t="s">
        <v>90</v>
      </c>
      <c r="H1237" s="12" t="s">
        <v>290</v>
      </c>
      <c r="I1237" s="12">
        <v>58951117460</v>
      </c>
      <c r="J1237" s="12" t="s">
        <v>2690</v>
      </c>
      <c r="K1237" s="12">
        <v>1</v>
      </c>
      <c r="L1237" s="12">
        <v>43</v>
      </c>
      <c r="M1237" s="12"/>
      <c r="N1237" s="13">
        <v>2026</v>
      </c>
      <c r="O1237" s="12" t="s">
        <v>93</v>
      </c>
      <c r="P1237" s="12"/>
      <c r="Q1237" s="12"/>
      <c r="R1237" s="12" t="s">
        <v>94</v>
      </c>
      <c r="S1237" s="12">
        <v>10</v>
      </c>
      <c r="T1237" s="12" t="s">
        <v>677</v>
      </c>
      <c r="U1237" s="12" t="s">
        <v>678</v>
      </c>
      <c r="V1237" s="12">
        <f>VLOOKUP(Tabla4[[#This Row],[ZONA DEFINITIVO]],Hoja1!$A$1:$D$121,3,0)</f>
        <v>229187</v>
      </c>
      <c r="W1237" s="12">
        <f>VLOOKUP(Tabla4[[#This Row],[ZONA DEFINITIVO]],Hoja1!$A$1:$D$121,2,0)</f>
        <v>16476</v>
      </c>
      <c r="X1237" s="12">
        <f>VLOOKUP(Tabla4[[#This Row],[ZONA DEFINITIVO]],Hoja1!$A$1:$D$121,4,0)</f>
        <v>95725</v>
      </c>
      <c r="Y1237" s="12">
        <f>+IF(Tabla4[[#This Row],[AGRUPACIONES]]=1,SUMIFS(Tabla4[UDS],Tabla4[ZONA DEFINITIVO],Tabla4[[#This Row],[ZONA DEFINITIVO]])," ")</f>
        <v>29</v>
      </c>
      <c r="Z1237" s="12">
        <f>+IF(Tabla4[[#This Row],[AGRUPACIONES]]=1,SUMIFS(Tabla4[TOTAL COBERTURA],Tabla4[ZONA DEFINITIVO],Tabla4[[#This Row],[ZONA DEFINITIVO]])," ")</f>
        <v>701</v>
      </c>
      <c r="AA1237" s="12"/>
      <c r="AB1237" s="38">
        <v>93748299</v>
      </c>
      <c r="AC1237" s="37">
        <v>0.02</v>
      </c>
      <c r="AD1237" s="38">
        <f t="shared" si="20"/>
        <v>1874965.98</v>
      </c>
      <c r="AE1237" s="12"/>
      <c r="AF1237" s="12">
        <f>COUNTIF($A$20:A1237,A1237)</f>
        <v>1</v>
      </c>
      <c r="AG1237" s="38">
        <v>93748299</v>
      </c>
      <c r="AH1237" s="38">
        <f>Tabla4[[#This Row],[VALOR CONTRAPARTIDA]]+Tabla4[[#This Row],[TOTAL APORTES ICBF]]</f>
        <v>95623264.980000004</v>
      </c>
      <c r="AI1237" s="35">
        <f>ROUND(+IF(Tabla4[[#This Row],[AGRUPACIONES]]=1,SUMIFS(Tabla4[TOTAL APORTES ICBF],Tabla4[ZONA DEFINITIVO],Tabla4[[#This Row],[ZONA DEFINITIVO]])," "),0)</f>
        <v>1528315293</v>
      </c>
      <c r="AJ1237" s="38">
        <f>ROUND(+IF(Tabla4[[#This Row],[AGRUPACIONES]]=1,SUMIFS(Tabla4[VALOR CONTRAPARTIDA],Tabla4[ZONA DEFINITIVO],Tabla4[[#This Row],[ZONA DEFINITIVO]])," "),0)</f>
        <v>30566306</v>
      </c>
      <c r="AK1237" s="38">
        <f>Tabla4[[#This Row],[TOTAL APORTES ICBF AGRUPADO]]+Tabla4[[#This Row],[TOTAL CONTRAPARTIDA AGRUPADO]]</f>
        <v>1558881599</v>
      </c>
      <c r="AL1237" s="23">
        <f>Tabla4[[#This Row],[TOTAL APORTES ICBF AGRUPADO]]/$AL$18</f>
        <v>1073.6320990516333</v>
      </c>
      <c r="AM1237" s="35">
        <f>VLOOKUP(Tabla4[[#This Row],[SERVICIO 2025]],$J$2:$V$14,5,0)*Tabla4[[#This Row],[TOTAL COBERTURA]]</f>
        <v>2123168</v>
      </c>
      <c r="AN1237" s="35">
        <f>VLOOKUP(Tabla4[[#This Row],[SERVICIO 2025]],$J$2:$V$14,6,0)*Tabla4[[#This Row],[TOTAL COBERTURA]]</f>
        <v>1764247</v>
      </c>
      <c r="AO1237" s="35">
        <f>VLOOKUP(Tabla4[[#This Row],[SERVICIO 2025]],$J$2:$V$14,8,0)*Tabla4[[#This Row],[TOTAL COBERTURA]]</f>
        <v>1251300</v>
      </c>
      <c r="AP1237" s="35">
        <f>VLOOKUP(Tabla4[[#This Row],[SERVICIO 2025]],$J$2:$V$14,3,0)*Tabla4[[#This Row],[TOTAL COBERTURA]]*8</f>
        <v>88609584</v>
      </c>
      <c r="AQ1237" s="35"/>
      <c r="AR1237" s="35">
        <f>Tabla4[[#This Row],[VALOR FASE PREPARATORIA DE ALISTAMIENTO]]+Tabla4[[#This Row],[VALOR FASE PREPARATORIA DE CIERRE]]+Tabla4[[#This Row],[DOTACIÓN ÚNICA]]+Tabla4[[#This Row],[VALOR ATENCIÓN]]+Tabla4[[#This Row],[VALOR RACION PREPARADA]]</f>
        <v>93748299</v>
      </c>
      <c r="AS1237" s="35">
        <f>+IF(Tabla4[[#This Row],[AGRUPACIONES]]=1,SUMIFS(Tabla4[VALOR TOTAL],Tabla4[ZONA DEFINITIVO],Tabla4[[#This Row],[ZONA DEFINITIVO]])," ")</f>
        <v>1528315293</v>
      </c>
      <c r="AT1237" s="27">
        <f>(VLOOKUP(Tabla4[[#This Row],[SERVICIO 2025]],$J$2:$V$14,3,0)*Tabla4[[#This Row],[TOTAL COBERTURA]])+Tabla4[[#This Row],[VALOR FASE PREPARATORIA DE ALISTAMIENTO]]+Tabla4[[#This Row],[DOTACIÓN ÚNICA]]</f>
        <v>14450666</v>
      </c>
      <c r="AU1237" s="35">
        <f>(VLOOKUP(Tabla4[[#This Row],[SERVICIO 2025]],$J$2:$V$14,3,0)*Tabla4[[#This Row],[TOTAL COBERTURA]])</f>
        <v>11076198</v>
      </c>
      <c r="AV1237" s="35">
        <f>(VLOOKUP(Tabla4[[#This Row],[SERVICIO 2025]],$J$2:$V$14,3,0)*Tabla4[[#This Row],[TOTAL COBERTURA]])</f>
        <v>11076198</v>
      </c>
      <c r="AW1237" s="35">
        <f>(VLOOKUP(Tabla4[[#This Row],[SERVICIO 2025]],$J$2:$V$14,3,0)*Tabla4[[#This Row],[TOTAL COBERTURA]])</f>
        <v>11076198</v>
      </c>
      <c r="AX1237" s="35">
        <f>(VLOOKUP(Tabla4[[#This Row],[SERVICIO 2025]],$J$2:$V$14,3,0)*Tabla4[[#This Row],[TOTAL COBERTURA]])</f>
        <v>11076198</v>
      </c>
      <c r="AY1237" s="35">
        <f>(VLOOKUP(Tabla4[[#This Row],[SERVICIO 2025]],$J$2:$V$14,3,0)*Tabla4[[#This Row],[TOTAL COBERTURA]])</f>
        <v>11076198</v>
      </c>
      <c r="AZ1237" s="35">
        <f>(VLOOKUP(Tabla4[[#This Row],[SERVICIO 2025]],$J$2:$V$14,3,0)*Tabla4[[#This Row],[TOTAL COBERTURA]])</f>
        <v>11076198</v>
      </c>
      <c r="BA1237" s="35">
        <f>(VLOOKUP(Tabla4[[#This Row],[SERVICIO 2025]],$J$2:$V$14,3,0)*Tabla4[[#This Row],[TOTAL COBERTURA]])+Tabla4[[#This Row],[VALOR FASE PREPARATORIA DE CIERRE]]</f>
        <v>12840445</v>
      </c>
      <c r="BB1237" s="35">
        <f>SUM(Tabla4[[#This Row],[DESEMBOLSO 1]:[DESEMBOLSO 8]])</f>
        <v>93748299</v>
      </c>
      <c r="BC1237" s="35">
        <f>VLOOKUP(Tabla4[[#This Row],[SERVICIO 2025]],$J$2:$V$14,10,0)*Tabla4[[#This Row],[TOTAL COBERTURA]]*$W$3</f>
        <v>62051752</v>
      </c>
      <c r="BD1237" s="47" t="s">
        <v>211</v>
      </c>
      <c r="BE1237" s="12" t="b">
        <f>EXACT(Tabla4[[#This Row],[VALOR ATENCIÓN (8 MESES)]],Tabla4[[#This Row],[VALOR TOTAL]])</f>
        <v>1</v>
      </c>
      <c r="BF1237" s="23">
        <f>Tabla4[[#This Row],[VALOR ATENCIÓN (8 MESES)]]-Tabla4[[#This Row],[VALOR TOTAL]]</f>
        <v>0</v>
      </c>
      <c r="BG1237" s="12" t="b">
        <f>EXACT(Tabla4[[#This Row],[TOTAL DESEMBOLSOS]],Tabla4[[#This Row],[VALOR ATENCIÓN (8 MESES)]])</f>
        <v>1</v>
      </c>
      <c r="BH1237" s="29">
        <f>Tabla4[[#This Row],[TOTAL DESEMBOLSOS]]-Tabla4[[#This Row],[VALOR ATENCIÓN (8 MESES)]]</f>
        <v>0</v>
      </c>
      <c r="BI1237" t="s">
        <v>392</v>
      </c>
      <c r="BJ1237">
        <v>2026</v>
      </c>
    </row>
    <row r="1238" spans="1:62">
      <c r="A1238" s="13">
        <v>2026</v>
      </c>
      <c r="B1238" s="13" t="s">
        <v>2689</v>
      </c>
      <c r="C1238" s="12" t="s">
        <v>87</v>
      </c>
      <c r="D1238" s="12" t="s">
        <v>987</v>
      </c>
      <c r="E1238" s="12" t="s">
        <v>2682</v>
      </c>
      <c r="F1238" s="12" t="s">
        <v>18</v>
      </c>
      <c r="G1238" s="12" t="s">
        <v>90</v>
      </c>
      <c r="H1238" s="12" t="s">
        <v>2691</v>
      </c>
      <c r="I1238" s="12">
        <v>58951117464</v>
      </c>
      <c r="J1238" s="12" t="s">
        <v>2692</v>
      </c>
      <c r="K1238" s="12">
        <v>1</v>
      </c>
      <c r="L1238" s="12">
        <v>23</v>
      </c>
      <c r="M1238" s="12"/>
      <c r="N1238" s="13">
        <v>2026</v>
      </c>
      <c r="O1238" s="12" t="s">
        <v>93</v>
      </c>
      <c r="P1238" s="12"/>
      <c r="Q1238" s="12"/>
      <c r="R1238" s="12" t="s">
        <v>94</v>
      </c>
      <c r="S1238" s="12">
        <v>10</v>
      </c>
      <c r="T1238" s="12" t="s">
        <v>677</v>
      </c>
      <c r="U1238" s="12" t="s">
        <v>678</v>
      </c>
      <c r="V1238" s="12">
        <f>VLOOKUP(Tabla4[[#This Row],[ZONA DEFINITIVO]],Hoja1!$A$1:$D$121,3,0)</f>
        <v>229187</v>
      </c>
      <c r="W1238" s="12">
        <f>VLOOKUP(Tabla4[[#This Row],[ZONA DEFINITIVO]],Hoja1!$A$1:$D$121,2,0)</f>
        <v>16476</v>
      </c>
      <c r="X1238" s="12">
        <f>VLOOKUP(Tabla4[[#This Row],[ZONA DEFINITIVO]],Hoja1!$A$1:$D$121,4,0)</f>
        <v>95725</v>
      </c>
      <c r="Y1238" s="12" t="str">
        <f>+IF(Tabla4[[#This Row],[AGRUPACIONES]]=1,SUMIFS(Tabla4[UDS],Tabla4[ZONA DEFINITIVO],Tabla4[[#This Row],[ZONA DEFINITIVO]])," ")</f>
        <v xml:space="preserve"> </v>
      </c>
      <c r="Z1238" s="12" t="str">
        <f>+IF(Tabla4[[#This Row],[AGRUPACIONES]]=1,SUMIFS(Tabla4[TOTAL COBERTURA],Tabla4[ZONA DEFINITIVO],Tabla4[[#This Row],[ZONA DEFINITIVO]])," ")</f>
        <v xml:space="preserve"> </v>
      </c>
      <c r="AA1238" s="12"/>
      <c r="AB1238" s="38">
        <v>50144439</v>
      </c>
      <c r="AC1238" s="37">
        <v>0.02</v>
      </c>
      <c r="AD1238" s="38">
        <f t="shared" si="20"/>
        <v>1002888.78</v>
      </c>
      <c r="AE1238" s="12"/>
      <c r="AF1238" s="12">
        <f>COUNTIF($A$20:A1238,A1238)</f>
        <v>2</v>
      </c>
      <c r="AG1238" s="38">
        <v>50144439</v>
      </c>
      <c r="AH1238" s="38">
        <f>Tabla4[[#This Row],[VALOR CONTRAPARTIDA]]+Tabla4[[#This Row],[TOTAL APORTES ICBF]]</f>
        <v>51147327.780000001</v>
      </c>
      <c r="AI1238" s="35"/>
      <c r="AJ1238" s="38"/>
      <c r="AK1238" s="38"/>
      <c r="AL1238" s="23"/>
      <c r="AM1238" s="35">
        <f>VLOOKUP(Tabla4[[#This Row],[SERVICIO 2025]],$J$2:$V$14,5,0)*Tabla4[[#This Row],[TOTAL COBERTURA]]</f>
        <v>1135648</v>
      </c>
      <c r="AN1238" s="35">
        <f>VLOOKUP(Tabla4[[#This Row],[SERVICIO 2025]],$J$2:$V$14,6,0)*Tabla4[[#This Row],[TOTAL COBERTURA]]</f>
        <v>943667</v>
      </c>
      <c r="AO1238" s="35">
        <f>VLOOKUP(Tabla4[[#This Row],[SERVICIO 2025]],$J$2:$V$14,8,0)*Tabla4[[#This Row],[TOTAL COBERTURA]]</f>
        <v>669300</v>
      </c>
      <c r="AP1238" s="35">
        <f>VLOOKUP(Tabla4[[#This Row],[SERVICIO 2025]],$J$2:$V$14,3,0)*Tabla4[[#This Row],[TOTAL COBERTURA]]*8</f>
        <v>47395824</v>
      </c>
      <c r="AQ1238" s="35"/>
      <c r="AR1238" s="35">
        <f>Tabla4[[#This Row],[VALOR FASE PREPARATORIA DE ALISTAMIENTO]]+Tabla4[[#This Row],[VALOR FASE PREPARATORIA DE CIERRE]]+Tabla4[[#This Row],[DOTACIÓN ÚNICA]]+Tabla4[[#This Row],[VALOR ATENCIÓN]]+Tabla4[[#This Row],[VALOR RACION PREPARADA]]</f>
        <v>50144439</v>
      </c>
      <c r="AS1238" s="35" t="str">
        <f>+IF(Tabla4[[#This Row],[AGRUPACIONES]]=1,SUMIFS(Tabla4[VALOR TOTAL],Tabla4[ZONA DEFINITIVO],Tabla4[[#This Row],[ZONA DEFINITIVO]])," ")</f>
        <v xml:space="preserve"> </v>
      </c>
      <c r="AT1238" s="27">
        <f>(VLOOKUP(Tabla4[[#This Row],[SERVICIO 2025]],$J$2:$V$14,3,0)*Tabla4[[#This Row],[TOTAL COBERTURA]])+Tabla4[[#This Row],[VALOR FASE PREPARATORIA DE ALISTAMIENTO]]+Tabla4[[#This Row],[DOTACIÓN ÚNICA]]</f>
        <v>7729426</v>
      </c>
      <c r="AU1238" s="35">
        <f>(VLOOKUP(Tabla4[[#This Row],[SERVICIO 2025]],$J$2:$V$14,3,0)*Tabla4[[#This Row],[TOTAL COBERTURA]])</f>
        <v>5924478</v>
      </c>
      <c r="AV1238" s="35">
        <f>(VLOOKUP(Tabla4[[#This Row],[SERVICIO 2025]],$J$2:$V$14,3,0)*Tabla4[[#This Row],[TOTAL COBERTURA]])</f>
        <v>5924478</v>
      </c>
      <c r="AW1238" s="35">
        <f>(VLOOKUP(Tabla4[[#This Row],[SERVICIO 2025]],$J$2:$V$14,3,0)*Tabla4[[#This Row],[TOTAL COBERTURA]])</f>
        <v>5924478</v>
      </c>
      <c r="AX1238" s="35">
        <f>(VLOOKUP(Tabla4[[#This Row],[SERVICIO 2025]],$J$2:$V$14,3,0)*Tabla4[[#This Row],[TOTAL COBERTURA]])</f>
        <v>5924478</v>
      </c>
      <c r="AY1238" s="35">
        <f>(VLOOKUP(Tabla4[[#This Row],[SERVICIO 2025]],$J$2:$V$14,3,0)*Tabla4[[#This Row],[TOTAL COBERTURA]])</f>
        <v>5924478</v>
      </c>
      <c r="AZ1238" s="35">
        <f>(VLOOKUP(Tabla4[[#This Row],[SERVICIO 2025]],$J$2:$V$14,3,0)*Tabla4[[#This Row],[TOTAL COBERTURA]])</f>
        <v>5924478</v>
      </c>
      <c r="BA1238" s="35">
        <f>(VLOOKUP(Tabla4[[#This Row],[SERVICIO 2025]],$J$2:$V$14,3,0)*Tabla4[[#This Row],[TOTAL COBERTURA]])+Tabla4[[#This Row],[VALOR FASE PREPARATORIA DE CIERRE]]</f>
        <v>6868145</v>
      </c>
      <c r="BB1238" s="35">
        <f>SUM(Tabla4[[#This Row],[DESEMBOLSO 1]:[DESEMBOLSO 8]])</f>
        <v>50144439</v>
      </c>
      <c r="BC1238" s="35">
        <f>VLOOKUP(Tabla4[[#This Row],[SERVICIO 2025]],$J$2:$V$14,10,0)*Tabla4[[#This Row],[TOTAL COBERTURA]]*$W$3</f>
        <v>33190472</v>
      </c>
      <c r="BD1238" s="47" t="s">
        <v>211</v>
      </c>
      <c r="BE1238" s="12" t="b">
        <f>EXACT(Tabla4[[#This Row],[VALOR ATENCIÓN (8 MESES)]],Tabla4[[#This Row],[VALOR TOTAL]])</f>
        <v>1</v>
      </c>
      <c r="BF1238" s="23">
        <f>Tabla4[[#This Row],[VALOR ATENCIÓN (8 MESES)]]-Tabla4[[#This Row],[VALOR TOTAL]]</f>
        <v>0</v>
      </c>
      <c r="BG1238" s="12" t="b">
        <f>EXACT(Tabla4[[#This Row],[TOTAL DESEMBOLSOS]],Tabla4[[#This Row],[VALOR ATENCIÓN (8 MESES)]])</f>
        <v>1</v>
      </c>
      <c r="BH1238" s="29">
        <f>Tabla4[[#This Row],[TOTAL DESEMBOLSOS]]-Tabla4[[#This Row],[VALOR ATENCIÓN (8 MESES)]]</f>
        <v>0</v>
      </c>
      <c r="BI1238" t="s">
        <v>392</v>
      </c>
      <c r="BJ1238">
        <v>2026</v>
      </c>
    </row>
    <row r="1239" spans="1:62">
      <c r="A1239" s="13">
        <v>2026</v>
      </c>
      <c r="B1239" s="13" t="s">
        <v>2689</v>
      </c>
      <c r="C1239" s="12" t="s">
        <v>87</v>
      </c>
      <c r="D1239" s="12" t="s">
        <v>987</v>
      </c>
      <c r="E1239" s="12" t="s">
        <v>2682</v>
      </c>
      <c r="F1239" s="12" t="s">
        <v>18</v>
      </c>
      <c r="G1239" s="12" t="s">
        <v>90</v>
      </c>
      <c r="H1239" s="12" t="s">
        <v>2693</v>
      </c>
      <c r="I1239" s="12">
        <v>58951117465</v>
      </c>
      <c r="J1239" s="12" t="s">
        <v>2694</v>
      </c>
      <c r="K1239" s="12">
        <v>1</v>
      </c>
      <c r="L1239" s="12">
        <v>28</v>
      </c>
      <c r="M1239" s="12"/>
      <c r="N1239" s="13">
        <v>2026</v>
      </c>
      <c r="O1239" s="12" t="s">
        <v>93</v>
      </c>
      <c r="P1239" s="12"/>
      <c r="Q1239" s="12"/>
      <c r="R1239" s="12" t="s">
        <v>94</v>
      </c>
      <c r="S1239" s="12">
        <v>10</v>
      </c>
      <c r="T1239" s="12" t="s">
        <v>677</v>
      </c>
      <c r="U1239" s="12" t="s">
        <v>678</v>
      </c>
      <c r="V1239" s="12">
        <f>VLOOKUP(Tabla4[[#This Row],[ZONA DEFINITIVO]],Hoja1!$A$1:$D$121,3,0)</f>
        <v>229187</v>
      </c>
      <c r="W1239" s="12">
        <f>VLOOKUP(Tabla4[[#This Row],[ZONA DEFINITIVO]],Hoja1!$A$1:$D$121,2,0)</f>
        <v>16476</v>
      </c>
      <c r="X1239" s="12">
        <f>VLOOKUP(Tabla4[[#This Row],[ZONA DEFINITIVO]],Hoja1!$A$1:$D$121,4,0)</f>
        <v>95725</v>
      </c>
      <c r="Y1239" s="12" t="str">
        <f>+IF(Tabla4[[#This Row],[AGRUPACIONES]]=1,SUMIFS(Tabla4[UDS],Tabla4[ZONA DEFINITIVO],Tabla4[[#This Row],[ZONA DEFINITIVO]])," ")</f>
        <v xml:space="preserve"> </v>
      </c>
      <c r="Z1239" s="12" t="str">
        <f>+IF(Tabla4[[#This Row],[AGRUPACIONES]]=1,SUMIFS(Tabla4[TOTAL COBERTURA],Tabla4[ZONA DEFINITIVO],Tabla4[[#This Row],[ZONA DEFINITIVO]])," ")</f>
        <v xml:space="preserve"> </v>
      </c>
      <c r="AA1239" s="12"/>
      <c r="AB1239" s="38">
        <v>61045404</v>
      </c>
      <c r="AC1239" s="37">
        <v>0.02</v>
      </c>
      <c r="AD1239" s="38">
        <f t="shared" si="20"/>
        <v>1220908.08</v>
      </c>
      <c r="AE1239" s="12"/>
      <c r="AF1239" s="12">
        <f>COUNTIF($A$20:A1239,A1239)</f>
        <v>3</v>
      </c>
      <c r="AG1239" s="38">
        <v>61045404</v>
      </c>
      <c r="AH1239" s="38">
        <f>Tabla4[[#This Row],[VALOR CONTRAPARTIDA]]+Tabla4[[#This Row],[TOTAL APORTES ICBF]]</f>
        <v>62266312.079999998</v>
      </c>
      <c r="AI1239" s="35"/>
      <c r="AJ1239" s="38"/>
      <c r="AK1239" s="38"/>
      <c r="AL1239" s="23"/>
      <c r="AM1239" s="35">
        <f>VLOOKUP(Tabla4[[#This Row],[SERVICIO 2025]],$J$2:$V$14,5,0)*Tabla4[[#This Row],[TOTAL COBERTURA]]</f>
        <v>1382528</v>
      </c>
      <c r="AN1239" s="35">
        <f>VLOOKUP(Tabla4[[#This Row],[SERVICIO 2025]],$J$2:$V$14,6,0)*Tabla4[[#This Row],[TOTAL COBERTURA]]</f>
        <v>1148812</v>
      </c>
      <c r="AO1239" s="35">
        <f>VLOOKUP(Tabla4[[#This Row],[SERVICIO 2025]],$J$2:$V$14,8,0)*Tabla4[[#This Row],[TOTAL COBERTURA]]</f>
        <v>814800</v>
      </c>
      <c r="AP1239" s="35">
        <f>VLOOKUP(Tabla4[[#This Row],[SERVICIO 2025]],$J$2:$V$14,3,0)*Tabla4[[#This Row],[TOTAL COBERTURA]]*8</f>
        <v>57699264</v>
      </c>
      <c r="AQ1239" s="35"/>
      <c r="AR1239" s="35">
        <f>Tabla4[[#This Row],[VALOR FASE PREPARATORIA DE ALISTAMIENTO]]+Tabla4[[#This Row],[VALOR FASE PREPARATORIA DE CIERRE]]+Tabla4[[#This Row],[DOTACIÓN ÚNICA]]+Tabla4[[#This Row],[VALOR ATENCIÓN]]+Tabla4[[#This Row],[VALOR RACION PREPARADA]]</f>
        <v>61045404</v>
      </c>
      <c r="AS1239" s="35" t="str">
        <f>+IF(Tabla4[[#This Row],[AGRUPACIONES]]=1,SUMIFS(Tabla4[VALOR TOTAL],Tabla4[ZONA DEFINITIVO],Tabla4[[#This Row],[ZONA DEFINITIVO]])," ")</f>
        <v xml:space="preserve"> </v>
      </c>
      <c r="AT1239" s="27">
        <f>(VLOOKUP(Tabla4[[#This Row],[SERVICIO 2025]],$J$2:$V$14,3,0)*Tabla4[[#This Row],[TOTAL COBERTURA]])+Tabla4[[#This Row],[VALOR FASE PREPARATORIA DE ALISTAMIENTO]]+Tabla4[[#This Row],[DOTACIÓN ÚNICA]]</f>
        <v>9409736</v>
      </c>
      <c r="AU1239" s="35">
        <f>(VLOOKUP(Tabla4[[#This Row],[SERVICIO 2025]],$J$2:$V$14,3,0)*Tabla4[[#This Row],[TOTAL COBERTURA]])</f>
        <v>7212408</v>
      </c>
      <c r="AV1239" s="35">
        <f>(VLOOKUP(Tabla4[[#This Row],[SERVICIO 2025]],$J$2:$V$14,3,0)*Tabla4[[#This Row],[TOTAL COBERTURA]])</f>
        <v>7212408</v>
      </c>
      <c r="AW1239" s="35">
        <f>(VLOOKUP(Tabla4[[#This Row],[SERVICIO 2025]],$J$2:$V$14,3,0)*Tabla4[[#This Row],[TOTAL COBERTURA]])</f>
        <v>7212408</v>
      </c>
      <c r="AX1239" s="35">
        <f>(VLOOKUP(Tabla4[[#This Row],[SERVICIO 2025]],$J$2:$V$14,3,0)*Tabla4[[#This Row],[TOTAL COBERTURA]])</f>
        <v>7212408</v>
      </c>
      <c r="AY1239" s="35">
        <f>(VLOOKUP(Tabla4[[#This Row],[SERVICIO 2025]],$J$2:$V$14,3,0)*Tabla4[[#This Row],[TOTAL COBERTURA]])</f>
        <v>7212408</v>
      </c>
      <c r="AZ1239" s="35">
        <f>(VLOOKUP(Tabla4[[#This Row],[SERVICIO 2025]],$J$2:$V$14,3,0)*Tabla4[[#This Row],[TOTAL COBERTURA]])</f>
        <v>7212408</v>
      </c>
      <c r="BA1239" s="35">
        <f>(VLOOKUP(Tabla4[[#This Row],[SERVICIO 2025]],$J$2:$V$14,3,0)*Tabla4[[#This Row],[TOTAL COBERTURA]])+Tabla4[[#This Row],[VALOR FASE PREPARATORIA DE CIERRE]]</f>
        <v>8361220</v>
      </c>
      <c r="BB1239" s="35">
        <f>SUM(Tabla4[[#This Row],[DESEMBOLSO 1]:[DESEMBOLSO 8]])</f>
        <v>61045404</v>
      </c>
      <c r="BC1239" s="35">
        <f>VLOOKUP(Tabla4[[#This Row],[SERVICIO 2025]],$J$2:$V$14,10,0)*Tabla4[[#This Row],[TOTAL COBERTURA]]*$W$3</f>
        <v>40405792</v>
      </c>
      <c r="BD1239" s="47" t="s">
        <v>211</v>
      </c>
      <c r="BE1239" s="12" t="b">
        <f>EXACT(Tabla4[[#This Row],[VALOR ATENCIÓN (8 MESES)]],Tabla4[[#This Row],[VALOR TOTAL]])</f>
        <v>1</v>
      </c>
      <c r="BF1239" s="23">
        <f>Tabla4[[#This Row],[VALOR ATENCIÓN (8 MESES)]]-Tabla4[[#This Row],[VALOR TOTAL]]</f>
        <v>0</v>
      </c>
      <c r="BG1239" s="12" t="b">
        <f>EXACT(Tabla4[[#This Row],[TOTAL DESEMBOLSOS]],Tabla4[[#This Row],[VALOR ATENCIÓN (8 MESES)]])</f>
        <v>1</v>
      </c>
      <c r="BH1239" s="29">
        <f>Tabla4[[#This Row],[TOTAL DESEMBOLSOS]]-Tabla4[[#This Row],[VALOR ATENCIÓN (8 MESES)]]</f>
        <v>0</v>
      </c>
      <c r="BI1239" t="s">
        <v>392</v>
      </c>
      <c r="BJ1239">
        <v>2026</v>
      </c>
    </row>
    <row r="1240" spans="1:62">
      <c r="A1240" s="13">
        <v>2026</v>
      </c>
      <c r="B1240" s="13" t="s">
        <v>2689</v>
      </c>
      <c r="C1240" s="12" t="s">
        <v>87</v>
      </c>
      <c r="D1240" s="12" t="s">
        <v>987</v>
      </c>
      <c r="E1240" s="12" t="s">
        <v>2682</v>
      </c>
      <c r="F1240" s="12" t="s">
        <v>18</v>
      </c>
      <c r="G1240" s="12" t="s">
        <v>90</v>
      </c>
      <c r="H1240" s="12" t="s">
        <v>2695</v>
      </c>
      <c r="I1240" s="12">
        <v>58951117469</v>
      </c>
      <c r="J1240" s="12" t="s">
        <v>2696</v>
      </c>
      <c r="K1240" s="12">
        <v>1</v>
      </c>
      <c r="L1240" s="12">
        <v>50</v>
      </c>
      <c r="M1240" s="12"/>
      <c r="N1240" s="13">
        <v>2026</v>
      </c>
      <c r="O1240" s="12" t="s">
        <v>93</v>
      </c>
      <c r="P1240" s="12"/>
      <c r="Q1240" s="12"/>
      <c r="R1240" s="12" t="s">
        <v>94</v>
      </c>
      <c r="S1240" s="12">
        <v>10</v>
      </c>
      <c r="T1240" s="12" t="s">
        <v>677</v>
      </c>
      <c r="U1240" s="12" t="s">
        <v>678</v>
      </c>
      <c r="V1240" s="12">
        <f>VLOOKUP(Tabla4[[#This Row],[ZONA DEFINITIVO]],Hoja1!$A$1:$D$121,3,0)</f>
        <v>229187</v>
      </c>
      <c r="W1240" s="12">
        <f>VLOOKUP(Tabla4[[#This Row],[ZONA DEFINITIVO]],Hoja1!$A$1:$D$121,2,0)</f>
        <v>16476</v>
      </c>
      <c r="X1240" s="12">
        <f>VLOOKUP(Tabla4[[#This Row],[ZONA DEFINITIVO]],Hoja1!$A$1:$D$121,4,0)</f>
        <v>95725</v>
      </c>
      <c r="Y1240" s="12" t="str">
        <f>+IF(Tabla4[[#This Row],[AGRUPACIONES]]=1,SUMIFS(Tabla4[UDS],Tabla4[ZONA DEFINITIVO],Tabla4[[#This Row],[ZONA DEFINITIVO]])," ")</f>
        <v xml:space="preserve"> </v>
      </c>
      <c r="Z1240" s="12" t="str">
        <f>+IF(Tabla4[[#This Row],[AGRUPACIONES]]=1,SUMIFS(Tabla4[TOTAL COBERTURA],Tabla4[ZONA DEFINITIVO],Tabla4[[#This Row],[ZONA DEFINITIVO]])," ")</f>
        <v xml:space="preserve"> </v>
      </c>
      <c r="AA1240" s="12"/>
      <c r="AB1240" s="38">
        <v>109009650</v>
      </c>
      <c r="AC1240" s="37">
        <v>0.02</v>
      </c>
      <c r="AD1240" s="38">
        <f t="shared" si="20"/>
        <v>2180193</v>
      </c>
      <c r="AE1240" s="12"/>
      <c r="AF1240" s="12">
        <f>COUNTIF($A$20:A1240,A1240)</f>
        <v>4</v>
      </c>
      <c r="AG1240" s="38">
        <v>109009650</v>
      </c>
      <c r="AH1240" s="38">
        <f>Tabla4[[#This Row],[VALOR CONTRAPARTIDA]]+Tabla4[[#This Row],[TOTAL APORTES ICBF]]</f>
        <v>111189843</v>
      </c>
      <c r="AI1240" s="35"/>
      <c r="AJ1240" s="38"/>
      <c r="AK1240" s="38"/>
      <c r="AL1240" s="23"/>
      <c r="AM1240" s="35">
        <f>VLOOKUP(Tabla4[[#This Row],[SERVICIO 2025]],$J$2:$V$14,5,0)*Tabla4[[#This Row],[TOTAL COBERTURA]]</f>
        <v>2468800</v>
      </c>
      <c r="AN1240" s="35">
        <f>VLOOKUP(Tabla4[[#This Row],[SERVICIO 2025]],$J$2:$V$14,6,0)*Tabla4[[#This Row],[TOTAL COBERTURA]]</f>
        <v>2051450</v>
      </c>
      <c r="AO1240" s="35">
        <f>VLOOKUP(Tabla4[[#This Row],[SERVICIO 2025]],$J$2:$V$14,8,0)*Tabla4[[#This Row],[TOTAL COBERTURA]]</f>
        <v>1455000</v>
      </c>
      <c r="AP1240" s="35">
        <f>VLOOKUP(Tabla4[[#This Row],[SERVICIO 2025]],$J$2:$V$14,3,0)*Tabla4[[#This Row],[TOTAL COBERTURA]]*8</f>
        <v>103034400</v>
      </c>
      <c r="AQ1240" s="35"/>
      <c r="AR1240" s="35">
        <f>Tabla4[[#This Row],[VALOR FASE PREPARATORIA DE ALISTAMIENTO]]+Tabla4[[#This Row],[VALOR FASE PREPARATORIA DE CIERRE]]+Tabla4[[#This Row],[DOTACIÓN ÚNICA]]+Tabla4[[#This Row],[VALOR ATENCIÓN]]+Tabla4[[#This Row],[VALOR RACION PREPARADA]]</f>
        <v>109009650</v>
      </c>
      <c r="AS1240" s="35" t="str">
        <f>+IF(Tabla4[[#This Row],[AGRUPACIONES]]=1,SUMIFS(Tabla4[VALOR TOTAL],Tabla4[ZONA DEFINITIVO],Tabla4[[#This Row],[ZONA DEFINITIVO]])," ")</f>
        <v xml:space="preserve"> </v>
      </c>
      <c r="AT1240" s="27">
        <f>(VLOOKUP(Tabla4[[#This Row],[SERVICIO 2025]],$J$2:$V$14,3,0)*Tabla4[[#This Row],[TOTAL COBERTURA]])+Tabla4[[#This Row],[VALOR FASE PREPARATORIA DE ALISTAMIENTO]]+Tabla4[[#This Row],[DOTACIÓN ÚNICA]]</f>
        <v>16803100</v>
      </c>
      <c r="AU1240" s="35">
        <f>(VLOOKUP(Tabla4[[#This Row],[SERVICIO 2025]],$J$2:$V$14,3,0)*Tabla4[[#This Row],[TOTAL COBERTURA]])</f>
        <v>12879300</v>
      </c>
      <c r="AV1240" s="35">
        <f>(VLOOKUP(Tabla4[[#This Row],[SERVICIO 2025]],$J$2:$V$14,3,0)*Tabla4[[#This Row],[TOTAL COBERTURA]])</f>
        <v>12879300</v>
      </c>
      <c r="AW1240" s="35">
        <f>(VLOOKUP(Tabla4[[#This Row],[SERVICIO 2025]],$J$2:$V$14,3,0)*Tabla4[[#This Row],[TOTAL COBERTURA]])</f>
        <v>12879300</v>
      </c>
      <c r="AX1240" s="35">
        <f>(VLOOKUP(Tabla4[[#This Row],[SERVICIO 2025]],$J$2:$V$14,3,0)*Tabla4[[#This Row],[TOTAL COBERTURA]])</f>
        <v>12879300</v>
      </c>
      <c r="AY1240" s="35">
        <f>(VLOOKUP(Tabla4[[#This Row],[SERVICIO 2025]],$J$2:$V$14,3,0)*Tabla4[[#This Row],[TOTAL COBERTURA]])</f>
        <v>12879300</v>
      </c>
      <c r="AZ1240" s="35">
        <f>(VLOOKUP(Tabla4[[#This Row],[SERVICIO 2025]],$J$2:$V$14,3,0)*Tabla4[[#This Row],[TOTAL COBERTURA]])</f>
        <v>12879300</v>
      </c>
      <c r="BA1240" s="35">
        <f>(VLOOKUP(Tabla4[[#This Row],[SERVICIO 2025]],$J$2:$V$14,3,0)*Tabla4[[#This Row],[TOTAL COBERTURA]])+Tabla4[[#This Row],[VALOR FASE PREPARATORIA DE CIERRE]]</f>
        <v>14930750</v>
      </c>
      <c r="BB1240" s="35">
        <f>SUM(Tabla4[[#This Row],[DESEMBOLSO 1]:[DESEMBOLSO 8]])</f>
        <v>109009650</v>
      </c>
      <c r="BC1240" s="35">
        <f>VLOOKUP(Tabla4[[#This Row],[SERVICIO 2025]],$J$2:$V$14,10,0)*Tabla4[[#This Row],[TOTAL COBERTURA]]*$W$3</f>
        <v>72153200</v>
      </c>
      <c r="BD1240" s="47" t="s">
        <v>211</v>
      </c>
      <c r="BE1240" s="12" t="b">
        <f>EXACT(Tabla4[[#This Row],[VALOR ATENCIÓN (8 MESES)]],Tabla4[[#This Row],[VALOR TOTAL]])</f>
        <v>1</v>
      </c>
      <c r="BF1240" s="23">
        <f>Tabla4[[#This Row],[VALOR ATENCIÓN (8 MESES)]]-Tabla4[[#This Row],[VALOR TOTAL]]</f>
        <v>0</v>
      </c>
      <c r="BG1240" s="12" t="b">
        <f>EXACT(Tabla4[[#This Row],[TOTAL DESEMBOLSOS]],Tabla4[[#This Row],[VALOR ATENCIÓN (8 MESES)]])</f>
        <v>1</v>
      </c>
      <c r="BH1240" s="29">
        <f>Tabla4[[#This Row],[TOTAL DESEMBOLSOS]]-Tabla4[[#This Row],[VALOR ATENCIÓN (8 MESES)]]</f>
        <v>0</v>
      </c>
      <c r="BI1240" t="s">
        <v>392</v>
      </c>
      <c r="BJ1240">
        <v>2026</v>
      </c>
    </row>
    <row r="1241" spans="1:62">
      <c r="A1241" s="13">
        <v>2026</v>
      </c>
      <c r="B1241" s="13" t="s">
        <v>2689</v>
      </c>
      <c r="C1241" s="12" t="s">
        <v>87</v>
      </c>
      <c r="D1241" s="12" t="s">
        <v>987</v>
      </c>
      <c r="E1241" s="12" t="s">
        <v>2682</v>
      </c>
      <c r="F1241" s="12" t="s">
        <v>18</v>
      </c>
      <c r="G1241" s="12" t="s">
        <v>90</v>
      </c>
      <c r="H1241" s="12" t="s">
        <v>2697</v>
      </c>
      <c r="I1241" s="12">
        <v>58951117470</v>
      </c>
      <c r="J1241" s="12" t="s">
        <v>2698</v>
      </c>
      <c r="K1241" s="12">
        <v>1</v>
      </c>
      <c r="L1241" s="12">
        <v>18</v>
      </c>
      <c r="M1241" s="12"/>
      <c r="N1241" s="13">
        <v>2026</v>
      </c>
      <c r="O1241" s="12" t="s">
        <v>93</v>
      </c>
      <c r="P1241" s="12"/>
      <c r="Q1241" s="12"/>
      <c r="R1241" s="12" t="s">
        <v>94</v>
      </c>
      <c r="S1241" s="12">
        <v>10</v>
      </c>
      <c r="T1241" s="12" t="s">
        <v>677</v>
      </c>
      <c r="U1241" s="12" t="s">
        <v>678</v>
      </c>
      <c r="V1241" s="12">
        <f>VLOOKUP(Tabla4[[#This Row],[ZONA DEFINITIVO]],Hoja1!$A$1:$D$121,3,0)</f>
        <v>229187</v>
      </c>
      <c r="W1241" s="12">
        <f>VLOOKUP(Tabla4[[#This Row],[ZONA DEFINITIVO]],Hoja1!$A$1:$D$121,2,0)</f>
        <v>16476</v>
      </c>
      <c r="X1241" s="12">
        <f>VLOOKUP(Tabla4[[#This Row],[ZONA DEFINITIVO]],Hoja1!$A$1:$D$121,4,0)</f>
        <v>95725</v>
      </c>
      <c r="Y1241" s="12" t="str">
        <f>+IF(Tabla4[[#This Row],[AGRUPACIONES]]=1,SUMIFS(Tabla4[UDS],Tabla4[ZONA DEFINITIVO],Tabla4[[#This Row],[ZONA DEFINITIVO]])," ")</f>
        <v xml:space="preserve"> </v>
      </c>
      <c r="Z1241" s="12" t="str">
        <f>+IF(Tabla4[[#This Row],[AGRUPACIONES]]=1,SUMIFS(Tabla4[TOTAL COBERTURA],Tabla4[ZONA DEFINITIVO],Tabla4[[#This Row],[ZONA DEFINITIVO]])," ")</f>
        <v xml:space="preserve"> </v>
      </c>
      <c r="AA1241" s="12"/>
      <c r="AB1241" s="38">
        <v>39243474</v>
      </c>
      <c r="AC1241" s="37">
        <v>0.02</v>
      </c>
      <c r="AD1241" s="38">
        <f t="shared" si="20"/>
        <v>784869.48</v>
      </c>
      <c r="AE1241" s="12"/>
      <c r="AF1241" s="12">
        <f>COUNTIF($A$20:A1241,A1241)</f>
        <v>5</v>
      </c>
      <c r="AG1241" s="38">
        <v>39243474</v>
      </c>
      <c r="AH1241" s="38">
        <f>Tabla4[[#This Row],[VALOR CONTRAPARTIDA]]+Tabla4[[#This Row],[TOTAL APORTES ICBF]]</f>
        <v>40028343.479999997</v>
      </c>
      <c r="AI1241" s="35"/>
      <c r="AJ1241" s="38"/>
      <c r="AK1241" s="38"/>
      <c r="AL1241" s="23"/>
      <c r="AM1241" s="35">
        <f>VLOOKUP(Tabla4[[#This Row],[SERVICIO 2025]],$J$2:$V$14,5,0)*Tabla4[[#This Row],[TOTAL COBERTURA]]</f>
        <v>888768</v>
      </c>
      <c r="AN1241" s="35">
        <f>VLOOKUP(Tabla4[[#This Row],[SERVICIO 2025]],$J$2:$V$14,6,0)*Tabla4[[#This Row],[TOTAL COBERTURA]]</f>
        <v>738522</v>
      </c>
      <c r="AO1241" s="35">
        <f>VLOOKUP(Tabla4[[#This Row],[SERVICIO 2025]],$J$2:$V$14,8,0)*Tabla4[[#This Row],[TOTAL COBERTURA]]</f>
        <v>523800</v>
      </c>
      <c r="AP1241" s="35">
        <f>VLOOKUP(Tabla4[[#This Row],[SERVICIO 2025]],$J$2:$V$14,3,0)*Tabla4[[#This Row],[TOTAL COBERTURA]]*8</f>
        <v>37092384</v>
      </c>
      <c r="AQ1241" s="35"/>
      <c r="AR1241" s="35">
        <f>Tabla4[[#This Row],[VALOR FASE PREPARATORIA DE ALISTAMIENTO]]+Tabla4[[#This Row],[VALOR FASE PREPARATORIA DE CIERRE]]+Tabla4[[#This Row],[DOTACIÓN ÚNICA]]+Tabla4[[#This Row],[VALOR ATENCIÓN]]+Tabla4[[#This Row],[VALOR RACION PREPARADA]]</f>
        <v>39243474</v>
      </c>
      <c r="AS1241" s="35" t="str">
        <f>+IF(Tabla4[[#This Row],[AGRUPACIONES]]=1,SUMIFS(Tabla4[VALOR TOTAL],Tabla4[ZONA DEFINITIVO],Tabla4[[#This Row],[ZONA DEFINITIVO]])," ")</f>
        <v xml:space="preserve"> </v>
      </c>
      <c r="AT1241" s="27">
        <f>(VLOOKUP(Tabla4[[#This Row],[SERVICIO 2025]],$J$2:$V$14,3,0)*Tabla4[[#This Row],[TOTAL COBERTURA]])+Tabla4[[#This Row],[VALOR FASE PREPARATORIA DE ALISTAMIENTO]]+Tabla4[[#This Row],[DOTACIÓN ÚNICA]]</f>
        <v>6049116</v>
      </c>
      <c r="AU1241" s="35">
        <f>(VLOOKUP(Tabla4[[#This Row],[SERVICIO 2025]],$J$2:$V$14,3,0)*Tabla4[[#This Row],[TOTAL COBERTURA]])</f>
        <v>4636548</v>
      </c>
      <c r="AV1241" s="35">
        <f>(VLOOKUP(Tabla4[[#This Row],[SERVICIO 2025]],$J$2:$V$14,3,0)*Tabla4[[#This Row],[TOTAL COBERTURA]])</f>
        <v>4636548</v>
      </c>
      <c r="AW1241" s="35">
        <f>(VLOOKUP(Tabla4[[#This Row],[SERVICIO 2025]],$J$2:$V$14,3,0)*Tabla4[[#This Row],[TOTAL COBERTURA]])</f>
        <v>4636548</v>
      </c>
      <c r="AX1241" s="35">
        <f>(VLOOKUP(Tabla4[[#This Row],[SERVICIO 2025]],$J$2:$V$14,3,0)*Tabla4[[#This Row],[TOTAL COBERTURA]])</f>
        <v>4636548</v>
      </c>
      <c r="AY1241" s="35">
        <f>(VLOOKUP(Tabla4[[#This Row],[SERVICIO 2025]],$J$2:$V$14,3,0)*Tabla4[[#This Row],[TOTAL COBERTURA]])</f>
        <v>4636548</v>
      </c>
      <c r="AZ1241" s="35">
        <f>(VLOOKUP(Tabla4[[#This Row],[SERVICIO 2025]],$J$2:$V$14,3,0)*Tabla4[[#This Row],[TOTAL COBERTURA]])</f>
        <v>4636548</v>
      </c>
      <c r="BA1241" s="35">
        <f>(VLOOKUP(Tabla4[[#This Row],[SERVICIO 2025]],$J$2:$V$14,3,0)*Tabla4[[#This Row],[TOTAL COBERTURA]])+Tabla4[[#This Row],[VALOR FASE PREPARATORIA DE CIERRE]]</f>
        <v>5375070</v>
      </c>
      <c r="BB1241" s="35">
        <f>SUM(Tabla4[[#This Row],[DESEMBOLSO 1]:[DESEMBOLSO 8]])</f>
        <v>39243474</v>
      </c>
      <c r="BC1241" s="35">
        <f>VLOOKUP(Tabla4[[#This Row],[SERVICIO 2025]],$J$2:$V$14,10,0)*Tabla4[[#This Row],[TOTAL COBERTURA]]*$W$3</f>
        <v>25975152</v>
      </c>
      <c r="BD1241" s="47" t="s">
        <v>211</v>
      </c>
      <c r="BE1241" s="12" t="b">
        <f>EXACT(Tabla4[[#This Row],[VALOR ATENCIÓN (8 MESES)]],Tabla4[[#This Row],[VALOR TOTAL]])</f>
        <v>1</v>
      </c>
      <c r="BF1241" s="23">
        <f>Tabla4[[#This Row],[VALOR ATENCIÓN (8 MESES)]]-Tabla4[[#This Row],[VALOR TOTAL]]</f>
        <v>0</v>
      </c>
      <c r="BG1241" s="12" t="b">
        <f>EXACT(Tabla4[[#This Row],[TOTAL DESEMBOLSOS]],Tabla4[[#This Row],[VALOR ATENCIÓN (8 MESES)]])</f>
        <v>1</v>
      </c>
      <c r="BH1241" s="29">
        <f>Tabla4[[#This Row],[TOTAL DESEMBOLSOS]]-Tabla4[[#This Row],[VALOR ATENCIÓN (8 MESES)]]</f>
        <v>0</v>
      </c>
      <c r="BI1241" t="s">
        <v>392</v>
      </c>
      <c r="BJ1241">
        <v>2026</v>
      </c>
    </row>
    <row r="1242" spans="1:62">
      <c r="A1242" s="13">
        <v>2026</v>
      </c>
      <c r="B1242" s="13" t="s">
        <v>2689</v>
      </c>
      <c r="C1242" s="12" t="s">
        <v>87</v>
      </c>
      <c r="D1242" s="12" t="s">
        <v>987</v>
      </c>
      <c r="E1242" s="12" t="s">
        <v>2682</v>
      </c>
      <c r="F1242" s="12" t="s">
        <v>18</v>
      </c>
      <c r="G1242" s="12" t="s">
        <v>90</v>
      </c>
      <c r="H1242" s="12" t="s">
        <v>2699</v>
      </c>
      <c r="I1242" s="12">
        <v>58951117471</v>
      </c>
      <c r="J1242" s="12" t="s">
        <v>2700</v>
      </c>
      <c r="K1242" s="12">
        <v>1</v>
      </c>
      <c r="L1242" s="12">
        <v>52</v>
      </c>
      <c r="M1242" s="12"/>
      <c r="N1242" s="13">
        <v>2026</v>
      </c>
      <c r="O1242" s="12" t="s">
        <v>93</v>
      </c>
      <c r="P1242" s="12"/>
      <c r="Q1242" s="12"/>
      <c r="R1242" s="12" t="s">
        <v>94</v>
      </c>
      <c r="S1242" s="12">
        <v>10</v>
      </c>
      <c r="T1242" s="12" t="s">
        <v>677</v>
      </c>
      <c r="U1242" s="12" t="s">
        <v>678</v>
      </c>
      <c r="V1242" s="12">
        <f>VLOOKUP(Tabla4[[#This Row],[ZONA DEFINITIVO]],Hoja1!$A$1:$D$121,3,0)</f>
        <v>229187</v>
      </c>
      <c r="W1242" s="12">
        <f>VLOOKUP(Tabla4[[#This Row],[ZONA DEFINITIVO]],Hoja1!$A$1:$D$121,2,0)</f>
        <v>16476</v>
      </c>
      <c r="X1242" s="12">
        <f>VLOOKUP(Tabla4[[#This Row],[ZONA DEFINITIVO]],Hoja1!$A$1:$D$121,4,0)</f>
        <v>95725</v>
      </c>
      <c r="Y1242" s="12" t="str">
        <f>+IF(Tabla4[[#This Row],[AGRUPACIONES]]=1,SUMIFS(Tabla4[UDS],Tabla4[ZONA DEFINITIVO],Tabla4[[#This Row],[ZONA DEFINITIVO]])," ")</f>
        <v xml:space="preserve"> </v>
      </c>
      <c r="Z1242" s="12" t="str">
        <f>+IF(Tabla4[[#This Row],[AGRUPACIONES]]=1,SUMIFS(Tabla4[TOTAL COBERTURA],Tabla4[ZONA DEFINITIVO],Tabla4[[#This Row],[ZONA DEFINITIVO]])," ")</f>
        <v xml:space="preserve"> </v>
      </c>
      <c r="AA1242" s="12"/>
      <c r="AB1242" s="38">
        <v>113370036</v>
      </c>
      <c r="AC1242" s="37">
        <v>0.02</v>
      </c>
      <c r="AD1242" s="38">
        <f t="shared" si="20"/>
        <v>2267400.7200000002</v>
      </c>
      <c r="AE1242" s="12"/>
      <c r="AF1242" s="12">
        <f>COUNTIF($A$20:A1242,A1242)</f>
        <v>6</v>
      </c>
      <c r="AG1242" s="38">
        <v>113370036</v>
      </c>
      <c r="AH1242" s="38">
        <f>Tabla4[[#This Row],[VALOR CONTRAPARTIDA]]+Tabla4[[#This Row],[TOTAL APORTES ICBF]]</f>
        <v>115637436.72</v>
      </c>
      <c r="AI1242" s="35"/>
      <c r="AJ1242" s="38"/>
      <c r="AK1242" s="38"/>
      <c r="AL1242" s="23"/>
      <c r="AM1242" s="35">
        <f>VLOOKUP(Tabla4[[#This Row],[SERVICIO 2025]],$J$2:$V$14,5,0)*Tabla4[[#This Row],[TOTAL COBERTURA]]</f>
        <v>2567552</v>
      </c>
      <c r="AN1242" s="35">
        <f>VLOOKUP(Tabla4[[#This Row],[SERVICIO 2025]],$J$2:$V$14,6,0)*Tabla4[[#This Row],[TOTAL COBERTURA]]</f>
        <v>2133508</v>
      </c>
      <c r="AO1242" s="35">
        <f>VLOOKUP(Tabla4[[#This Row],[SERVICIO 2025]],$J$2:$V$14,8,0)*Tabla4[[#This Row],[TOTAL COBERTURA]]</f>
        <v>1513200</v>
      </c>
      <c r="AP1242" s="35">
        <f>VLOOKUP(Tabla4[[#This Row],[SERVICIO 2025]],$J$2:$V$14,3,0)*Tabla4[[#This Row],[TOTAL COBERTURA]]*8</f>
        <v>107155776</v>
      </c>
      <c r="AQ1242" s="35"/>
      <c r="AR1242" s="35">
        <f>Tabla4[[#This Row],[VALOR FASE PREPARATORIA DE ALISTAMIENTO]]+Tabla4[[#This Row],[VALOR FASE PREPARATORIA DE CIERRE]]+Tabla4[[#This Row],[DOTACIÓN ÚNICA]]+Tabla4[[#This Row],[VALOR ATENCIÓN]]+Tabla4[[#This Row],[VALOR RACION PREPARADA]]</f>
        <v>113370036</v>
      </c>
      <c r="AS1242" s="35" t="str">
        <f>+IF(Tabla4[[#This Row],[AGRUPACIONES]]=1,SUMIFS(Tabla4[VALOR TOTAL],Tabla4[ZONA DEFINITIVO],Tabla4[[#This Row],[ZONA DEFINITIVO]])," ")</f>
        <v xml:space="preserve"> </v>
      </c>
      <c r="AT1242" s="27">
        <f>(VLOOKUP(Tabla4[[#This Row],[SERVICIO 2025]],$J$2:$V$14,3,0)*Tabla4[[#This Row],[TOTAL COBERTURA]])+Tabla4[[#This Row],[VALOR FASE PREPARATORIA DE ALISTAMIENTO]]+Tabla4[[#This Row],[DOTACIÓN ÚNICA]]</f>
        <v>17475224</v>
      </c>
      <c r="AU1242" s="35">
        <f>(VLOOKUP(Tabla4[[#This Row],[SERVICIO 2025]],$J$2:$V$14,3,0)*Tabla4[[#This Row],[TOTAL COBERTURA]])</f>
        <v>13394472</v>
      </c>
      <c r="AV1242" s="35">
        <f>(VLOOKUP(Tabla4[[#This Row],[SERVICIO 2025]],$J$2:$V$14,3,0)*Tabla4[[#This Row],[TOTAL COBERTURA]])</f>
        <v>13394472</v>
      </c>
      <c r="AW1242" s="35">
        <f>(VLOOKUP(Tabla4[[#This Row],[SERVICIO 2025]],$J$2:$V$14,3,0)*Tabla4[[#This Row],[TOTAL COBERTURA]])</f>
        <v>13394472</v>
      </c>
      <c r="AX1242" s="35">
        <f>(VLOOKUP(Tabla4[[#This Row],[SERVICIO 2025]],$J$2:$V$14,3,0)*Tabla4[[#This Row],[TOTAL COBERTURA]])</f>
        <v>13394472</v>
      </c>
      <c r="AY1242" s="35">
        <f>(VLOOKUP(Tabla4[[#This Row],[SERVICIO 2025]],$J$2:$V$14,3,0)*Tabla4[[#This Row],[TOTAL COBERTURA]])</f>
        <v>13394472</v>
      </c>
      <c r="AZ1242" s="35">
        <f>(VLOOKUP(Tabla4[[#This Row],[SERVICIO 2025]],$J$2:$V$14,3,0)*Tabla4[[#This Row],[TOTAL COBERTURA]])</f>
        <v>13394472</v>
      </c>
      <c r="BA1242" s="35">
        <f>(VLOOKUP(Tabla4[[#This Row],[SERVICIO 2025]],$J$2:$V$14,3,0)*Tabla4[[#This Row],[TOTAL COBERTURA]])+Tabla4[[#This Row],[VALOR FASE PREPARATORIA DE CIERRE]]</f>
        <v>15527980</v>
      </c>
      <c r="BB1242" s="35">
        <f>SUM(Tabla4[[#This Row],[DESEMBOLSO 1]:[DESEMBOLSO 8]])</f>
        <v>113370036</v>
      </c>
      <c r="BC1242" s="35">
        <f>VLOOKUP(Tabla4[[#This Row],[SERVICIO 2025]],$J$2:$V$14,10,0)*Tabla4[[#This Row],[TOTAL COBERTURA]]*$W$3</f>
        <v>75039328</v>
      </c>
      <c r="BD1242" s="47" t="s">
        <v>211</v>
      </c>
      <c r="BE1242" s="12" t="b">
        <f>EXACT(Tabla4[[#This Row],[VALOR ATENCIÓN (8 MESES)]],Tabla4[[#This Row],[VALOR TOTAL]])</f>
        <v>1</v>
      </c>
      <c r="BF1242" s="23">
        <f>Tabla4[[#This Row],[VALOR ATENCIÓN (8 MESES)]]-Tabla4[[#This Row],[VALOR TOTAL]]</f>
        <v>0</v>
      </c>
      <c r="BG1242" s="12" t="b">
        <f>EXACT(Tabla4[[#This Row],[TOTAL DESEMBOLSOS]],Tabla4[[#This Row],[VALOR ATENCIÓN (8 MESES)]])</f>
        <v>1</v>
      </c>
      <c r="BH1242" s="29">
        <f>Tabla4[[#This Row],[TOTAL DESEMBOLSOS]]-Tabla4[[#This Row],[VALOR ATENCIÓN (8 MESES)]]</f>
        <v>0</v>
      </c>
      <c r="BI1242" t="s">
        <v>392</v>
      </c>
      <c r="BJ1242">
        <v>2026</v>
      </c>
    </row>
    <row r="1243" spans="1:62">
      <c r="A1243" s="13">
        <v>2026</v>
      </c>
      <c r="B1243" s="13" t="s">
        <v>2689</v>
      </c>
      <c r="C1243" s="12" t="s">
        <v>87</v>
      </c>
      <c r="D1243" s="12" t="s">
        <v>987</v>
      </c>
      <c r="E1243" s="12" t="s">
        <v>2682</v>
      </c>
      <c r="F1243" s="12" t="s">
        <v>18</v>
      </c>
      <c r="G1243" s="12" t="s">
        <v>90</v>
      </c>
      <c r="H1243" s="12" t="s">
        <v>2701</v>
      </c>
      <c r="I1243" s="12">
        <v>58951117479</v>
      </c>
      <c r="J1243" s="12" t="s">
        <v>2702</v>
      </c>
      <c r="K1243" s="12">
        <v>1</v>
      </c>
      <c r="L1243" s="12">
        <v>32</v>
      </c>
      <c r="M1243" s="12"/>
      <c r="N1243" s="13">
        <v>2026</v>
      </c>
      <c r="O1243" s="12" t="s">
        <v>93</v>
      </c>
      <c r="P1243" s="12"/>
      <c r="Q1243" s="12"/>
      <c r="R1243" s="12" t="s">
        <v>94</v>
      </c>
      <c r="S1243" s="12">
        <v>10</v>
      </c>
      <c r="T1243" s="12" t="s">
        <v>677</v>
      </c>
      <c r="U1243" s="12" t="s">
        <v>678</v>
      </c>
      <c r="V1243" s="12">
        <f>VLOOKUP(Tabla4[[#This Row],[ZONA DEFINITIVO]],Hoja1!$A$1:$D$121,3,0)</f>
        <v>229187</v>
      </c>
      <c r="W1243" s="12">
        <f>VLOOKUP(Tabla4[[#This Row],[ZONA DEFINITIVO]],Hoja1!$A$1:$D$121,2,0)</f>
        <v>16476</v>
      </c>
      <c r="X1243" s="12">
        <f>VLOOKUP(Tabla4[[#This Row],[ZONA DEFINITIVO]],Hoja1!$A$1:$D$121,4,0)</f>
        <v>95725</v>
      </c>
      <c r="Y1243" s="12" t="str">
        <f>+IF(Tabla4[[#This Row],[AGRUPACIONES]]=1,SUMIFS(Tabla4[UDS],Tabla4[ZONA DEFINITIVO],Tabla4[[#This Row],[ZONA DEFINITIVO]])," ")</f>
        <v xml:space="preserve"> </v>
      </c>
      <c r="Z1243" s="12" t="str">
        <f>+IF(Tabla4[[#This Row],[AGRUPACIONES]]=1,SUMIFS(Tabla4[TOTAL COBERTURA],Tabla4[ZONA DEFINITIVO],Tabla4[[#This Row],[ZONA DEFINITIVO]])," ")</f>
        <v xml:space="preserve"> </v>
      </c>
      <c r="AA1243" s="12"/>
      <c r="AB1243" s="38">
        <v>69766176</v>
      </c>
      <c r="AC1243" s="37">
        <v>0.02</v>
      </c>
      <c r="AD1243" s="38">
        <f t="shared" si="20"/>
        <v>1395323.52</v>
      </c>
      <c r="AE1243" s="12"/>
      <c r="AF1243" s="12">
        <f>COUNTIF($A$20:A1243,A1243)</f>
        <v>7</v>
      </c>
      <c r="AG1243" s="38">
        <v>69766176</v>
      </c>
      <c r="AH1243" s="38">
        <f>Tabla4[[#This Row],[VALOR CONTRAPARTIDA]]+Tabla4[[#This Row],[TOTAL APORTES ICBF]]</f>
        <v>71161499.519999996</v>
      </c>
      <c r="AI1243" s="35"/>
      <c r="AJ1243" s="38"/>
      <c r="AK1243" s="38"/>
      <c r="AL1243" s="23"/>
      <c r="AM1243" s="35">
        <f>VLOOKUP(Tabla4[[#This Row],[SERVICIO 2025]],$J$2:$V$14,5,0)*Tabla4[[#This Row],[TOTAL COBERTURA]]</f>
        <v>1580032</v>
      </c>
      <c r="AN1243" s="35">
        <f>VLOOKUP(Tabla4[[#This Row],[SERVICIO 2025]],$J$2:$V$14,6,0)*Tabla4[[#This Row],[TOTAL COBERTURA]]</f>
        <v>1312928</v>
      </c>
      <c r="AO1243" s="35">
        <f>VLOOKUP(Tabla4[[#This Row],[SERVICIO 2025]],$J$2:$V$14,8,0)*Tabla4[[#This Row],[TOTAL COBERTURA]]</f>
        <v>931200</v>
      </c>
      <c r="AP1243" s="35">
        <f>VLOOKUP(Tabla4[[#This Row],[SERVICIO 2025]],$J$2:$V$14,3,0)*Tabla4[[#This Row],[TOTAL COBERTURA]]*8</f>
        <v>65942016</v>
      </c>
      <c r="AQ1243" s="35"/>
      <c r="AR1243" s="35">
        <f>Tabla4[[#This Row],[VALOR FASE PREPARATORIA DE ALISTAMIENTO]]+Tabla4[[#This Row],[VALOR FASE PREPARATORIA DE CIERRE]]+Tabla4[[#This Row],[DOTACIÓN ÚNICA]]+Tabla4[[#This Row],[VALOR ATENCIÓN]]+Tabla4[[#This Row],[VALOR RACION PREPARADA]]</f>
        <v>69766176</v>
      </c>
      <c r="AS1243" s="35" t="str">
        <f>+IF(Tabla4[[#This Row],[AGRUPACIONES]]=1,SUMIFS(Tabla4[VALOR TOTAL],Tabla4[ZONA DEFINITIVO],Tabla4[[#This Row],[ZONA DEFINITIVO]])," ")</f>
        <v xml:space="preserve"> </v>
      </c>
      <c r="AT1243" s="27">
        <f>(VLOOKUP(Tabla4[[#This Row],[SERVICIO 2025]],$J$2:$V$14,3,0)*Tabla4[[#This Row],[TOTAL COBERTURA]])+Tabla4[[#This Row],[VALOR FASE PREPARATORIA DE ALISTAMIENTO]]+Tabla4[[#This Row],[DOTACIÓN ÚNICA]]</f>
        <v>10753984</v>
      </c>
      <c r="AU1243" s="35">
        <f>(VLOOKUP(Tabla4[[#This Row],[SERVICIO 2025]],$J$2:$V$14,3,0)*Tabla4[[#This Row],[TOTAL COBERTURA]])</f>
        <v>8242752</v>
      </c>
      <c r="AV1243" s="35">
        <f>(VLOOKUP(Tabla4[[#This Row],[SERVICIO 2025]],$J$2:$V$14,3,0)*Tabla4[[#This Row],[TOTAL COBERTURA]])</f>
        <v>8242752</v>
      </c>
      <c r="AW1243" s="35">
        <f>(VLOOKUP(Tabla4[[#This Row],[SERVICIO 2025]],$J$2:$V$14,3,0)*Tabla4[[#This Row],[TOTAL COBERTURA]])</f>
        <v>8242752</v>
      </c>
      <c r="AX1243" s="35">
        <f>(VLOOKUP(Tabla4[[#This Row],[SERVICIO 2025]],$J$2:$V$14,3,0)*Tabla4[[#This Row],[TOTAL COBERTURA]])</f>
        <v>8242752</v>
      </c>
      <c r="AY1243" s="35">
        <f>(VLOOKUP(Tabla4[[#This Row],[SERVICIO 2025]],$J$2:$V$14,3,0)*Tabla4[[#This Row],[TOTAL COBERTURA]])</f>
        <v>8242752</v>
      </c>
      <c r="AZ1243" s="35">
        <f>(VLOOKUP(Tabla4[[#This Row],[SERVICIO 2025]],$J$2:$V$14,3,0)*Tabla4[[#This Row],[TOTAL COBERTURA]])</f>
        <v>8242752</v>
      </c>
      <c r="BA1243" s="35">
        <f>(VLOOKUP(Tabla4[[#This Row],[SERVICIO 2025]],$J$2:$V$14,3,0)*Tabla4[[#This Row],[TOTAL COBERTURA]])+Tabla4[[#This Row],[VALOR FASE PREPARATORIA DE CIERRE]]</f>
        <v>9555680</v>
      </c>
      <c r="BB1243" s="35">
        <f>SUM(Tabla4[[#This Row],[DESEMBOLSO 1]:[DESEMBOLSO 8]])</f>
        <v>69766176</v>
      </c>
      <c r="BC1243" s="35">
        <f>VLOOKUP(Tabla4[[#This Row],[SERVICIO 2025]],$J$2:$V$14,10,0)*Tabla4[[#This Row],[TOTAL COBERTURA]]*$W$3</f>
        <v>46178048</v>
      </c>
      <c r="BD1243" s="47" t="s">
        <v>211</v>
      </c>
      <c r="BE1243" s="12" t="b">
        <f>EXACT(Tabla4[[#This Row],[VALOR ATENCIÓN (8 MESES)]],Tabla4[[#This Row],[VALOR TOTAL]])</f>
        <v>1</v>
      </c>
      <c r="BF1243" s="23">
        <f>Tabla4[[#This Row],[VALOR ATENCIÓN (8 MESES)]]-Tabla4[[#This Row],[VALOR TOTAL]]</f>
        <v>0</v>
      </c>
      <c r="BG1243" s="12" t="b">
        <f>EXACT(Tabla4[[#This Row],[TOTAL DESEMBOLSOS]],Tabla4[[#This Row],[VALOR ATENCIÓN (8 MESES)]])</f>
        <v>1</v>
      </c>
      <c r="BH1243" s="29">
        <f>Tabla4[[#This Row],[TOTAL DESEMBOLSOS]]-Tabla4[[#This Row],[VALOR ATENCIÓN (8 MESES)]]</f>
        <v>0</v>
      </c>
      <c r="BI1243" t="s">
        <v>392</v>
      </c>
      <c r="BJ1243">
        <v>2026</v>
      </c>
    </row>
    <row r="1244" spans="1:62">
      <c r="A1244" s="13">
        <v>2026</v>
      </c>
      <c r="B1244" s="13" t="s">
        <v>2689</v>
      </c>
      <c r="C1244" s="12" t="s">
        <v>87</v>
      </c>
      <c r="D1244" s="12" t="s">
        <v>987</v>
      </c>
      <c r="E1244" s="12" t="s">
        <v>2682</v>
      </c>
      <c r="F1244" s="12" t="s">
        <v>18</v>
      </c>
      <c r="G1244" s="12" t="s">
        <v>90</v>
      </c>
      <c r="H1244" s="12" t="s">
        <v>2703</v>
      </c>
      <c r="I1244" s="12">
        <v>58951143949</v>
      </c>
      <c r="J1244" s="12" t="s">
        <v>2704</v>
      </c>
      <c r="K1244" s="12">
        <v>1</v>
      </c>
      <c r="L1244" s="12">
        <v>22</v>
      </c>
      <c r="M1244" s="12"/>
      <c r="N1244" s="13">
        <v>2026</v>
      </c>
      <c r="O1244" s="12" t="s">
        <v>93</v>
      </c>
      <c r="P1244" s="12"/>
      <c r="Q1244" s="12"/>
      <c r="R1244" s="12" t="s">
        <v>94</v>
      </c>
      <c r="S1244" s="12">
        <v>10</v>
      </c>
      <c r="T1244" s="12" t="s">
        <v>677</v>
      </c>
      <c r="U1244" s="12" t="s">
        <v>678</v>
      </c>
      <c r="V1244" s="12">
        <f>VLOOKUP(Tabla4[[#This Row],[ZONA DEFINITIVO]],Hoja1!$A$1:$D$121,3,0)</f>
        <v>229187</v>
      </c>
      <c r="W1244" s="12">
        <f>VLOOKUP(Tabla4[[#This Row],[ZONA DEFINITIVO]],Hoja1!$A$1:$D$121,2,0)</f>
        <v>16476</v>
      </c>
      <c r="X1244" s="12">
        <f>VLOOKUP(Tabla4[[#This Row],[ZONA DEFINITIVO]],Hoja1!$A$1:$D$121,4,0)</f>
        <v>95725</v>
      </c>
      <c r="Y1244" s="12" t="str">
        <f>+IF(Tabla4[[#This Row],[AGRUPACIONES]]=1,SUMIFS(Tabla4[UDS],Tabla4[ZONA DEFINITIVO],Tabla4[[#This Row],[ZONA DEFINITIVO]])," ")</f>
        <v xml:space="preserve"> </v>
      </c>
      <c r="Z1244" s="12" t="str">
        <f>+IF(Tabla4[[#This Row],[AGRUPACIONES]]=1,SUMIFS(Tabla4[TOTAL COBERTURA],Tabla4[ZONA DEFINITIVO],Tabla4[[#This Row],[ZONA DEFINITIVO]])," ")</f>
        <v xml:space="preserve"> </v>
      </c>
      <c r="AA1244" s="12"/>
      <c r="AB1244" s="38">
        <v>47964246</v>
      </c>
      <c r="AC1244" s="37">
        <v>0.02</v>
      </c>
      <c r="AD1244" s="38">
        <f t="shared" si="20"/>
        <v>959284.92</v>
      </c>
      <c r="AE1244" s="12"/>
      <c r="AF1244" s="12">
        <f>COUNTIF($A$20:A1244,A1244)</f>
        <v>8</v>
      </c>
      <c r="AG1244" s="38">
        <v>47964246</v>
      </c>
      <c r="AH1244" s="38">
        <f>Tabla4[[#This Row],[VALOR CONTRAPARTIDA]]+Tabla4[[#This Row],[TOTAL APORTES ICBF]]</f>
        <v>48923530.920000002</v>
      </c>
      <c r="AI1244" s="35"/>
      <c r="AJ1244" s="38"/>
      <c r="AK1244" s="38"/>
      <c r="AL1244" s="23"/>
      <c r="AM1244" s="35">
        <f>VLOOKUP(Tabla4[[#This Row],[SERVICIO 2025]],$J$2:$V$14,5,0)*Tabla4[[#This Row],[TOTAL COBERTURA]]</f>
        <v>1086272</v>
      </c>
      <c r="AN1244" s="35">
        <f>VLOOKUP(Tabla4[[#This Row],[SERVICIO 2025]],$J$2:$V$14,6,0)*Tabla4[[#This Row],[TOTAL COBERTURA]]</f>
        <v>902638</v>
      </c>
      <c r="AO1244" s="35">
        <f>VLOOKUP(Tabla4[[#This Row],[SERVICIO 2025]],$J$2:$V$14,8,0)*Tabla4[[#This Row],[TOTAL COBERTURA]]</f>
        <v>640200</v>
      </c>
      <c r="AP1244" s="35">
        <f>VLOOKUP(Tabla4[[#This Row],[SERVICIO 2025]],$J$2:$V$14,3,0)*Tabla4[[#This Row],[TOTAL COBERTURA]]*8</f>
        <v>45335136</v>
      </c>
      <c r="AQ1244" s="35"/>
      <c r="AR1244" s="35">
        <f>Tabla4[[#This Row],[VALOR FASE PREPARATORIA DE ALISTAMIENTO]]+Tabla4[[#This Row],[VALOR FASE PREPARATORIA DE CIERRE]]+Tabla4[[#This Row],[DOTACIÓN ÚNICA]]+Tabla4[[#This Row],[VALOR ATENCIÓN]]+Tabla4[[#This Row],[VALOR RACION PREPARADA]]</f>
        <v>47964246</v>
      </c>
      <c r="AS1244" s="35" t="str">
        <f>+IF(Tabla4[[#This Row],[AGRUPACIONES]]=1,SUMIFS(Tabla4[VALOR TOTAL],Tabla4[ZONA DEFINITIVO],Tabla4[[#This Row],[ZONA DEFINITIVO]])," ")</f>
        <v xml:space="preserve"> </v>
      </c>
      <c r="AT1244" s="27">
        <f>(VLOOKUP(Tabla4[[#This Row],[SERVICIO 2025]],$J$2:$V$14,3,0)*Tabla4[[#This Row],[TOTAL COBERTURA]])+Tabla4[[#This Row],[VALOR FASE PREPARATORIA DE ALISTAMIENTO]]+Tabla4[[#This Row],[DOTACIÓN ÚNICA]]</f>
        <v>7393364</v>
      </c>
      <c r="AU1244" s="35">
        <f>(VLOOKUP(Tabla4[[#This Row],[SERVICIO 2025]],$J$2:$V$14,3,0)*Tabla4[[#This Row],[TOTAL COBERTURA]])</f>
        <v>5666892</v>
      </c>
      <c r="AV1244" s="35">
        <f>(VLOOKUP(Tabla4[[#This Row],[SERVICIO 2025]],$J$2:$V$14,3,0)*Tabla4[[#This Row],[TOTAL COBERTURA]])</f>
        <v>5666892</v>
      </c>
      <c r="AW1244" s="35">
        <f>(VLOOKUP(Tabla4[[#This Row],[SERVICIO 2025]],$J$2:$V$14,3,0)*Tabla4[[#This Row],[TOTAL COBERTURA]])</f>
        <v>5666892</v>
      </c>
      <c r="AX1244" s="35">
        <f>(VLOOKUP(Tabla4[[#This Row],[SERVICIO 2025]],$J$2:$V$14,3,0)*Tabla4[[#This Row],[TOTAL COBERTURA]])</f>
        <v>5666892</v>
      </c>
      <c r="AY1244" s="35">
        <f>(VLOOKUP(Tabla4[[#This Row],[SERVICIO 2025]],$J$2:$V$14,3,0)*Tabla4[[#This Row],[TOTAL COBERTURA]])</f>
        <v>5666892</v>
      </c>
      <c r="AZ1244" s="35">
        <f>(VLOOKUP(Tabla4[[#This Row],[SERVICIO 2025]],$J$2:$V$14,3,0)*Tabla4[[#This Row],[TOTAL COBERTURA]])</f>
        <v>5666892</v>
      </c>
      <c r="BA1244" s="35">
        <f>(VLOOKUP(Tabla4[[#This Row],[SERVICIO 2025]],$J$2:$V$14,3,0)*Tabla4[[#This Row],[TOTAL COBERTURA]])+Tabla4[[#This Row],[VALOR FASE PREPARATORIA DE CIERRE]]</f>
        <v>6569530</v>
      </c>
      <c r="BB1244" s="35">
        <f>SUM(Tabla4[[#This Row],[DESEMBOLSO 1]:[DESEMBOLSO 8]])</f>
        <v>47964246</v>
      </c>
      <c r="BC1244" s="35">
        <f>VLOOKUP(Tabla4[[#This Row],[SERVICIO 2025]],$J$2:$V$14,10,0)*Tabla4[[#This Row],[TOTAL COBERTURA]]*$W$3</f>
        <v>31747408</v>
      </c>
      <c r="BD1244" s="47" t="s">
        <v>211</v>
      </c>
      <c r="BE1244" s="12" t="b">
        <f>EXACT(Tabla4[[#This Row],[VALOR ATENCIÓN (8 MESES)]],Tabla4[[#This Row],[VALOR TOTAL]])</f>
        <v>1</v>
      </c>
      <c r="BF1244" s="23">
        <f>Tabla4[[#This Row],[VALOR ATENCIÓN (8 MESES)]]-Tabla4[[#This Row],[VALOR TOTAL]]</f>
        <v>0</v>
      </c>
      <c r="BG1244" s="12" t="b">
        <f>EXACT(Tabla4[[#This Row],[TOTAL DESEMBOLSOS]],Tabla4[[#This Row],[VALOR ATENCIÓN (8 MESES)]])</f>
        <v>1</v>
      </c>
      <c r="BH1244" s="29">
        <f>Tabla4[[#This Row],[TOTAL DESEMBOLSOS]]-Tabla4[[#This Row],[VALOR ATENCIÓN (8 MESES)]]</f>
        <v>0</v>
      </c>
      <c r="BI1244" t="s">
        <v>392</v>
      </c>
      <c r="BJ1244">
        <v>2026</v>
      </c>
    </row>
    <row r="1245" spans="1:62">
      <c r="A1245" s="13">
        <v>2026</v>
      </c>
      <c r="B1245" s="13" t="s">
        <v>2689</v>
      </c>
      <c r="C1245" s="12" t="s">
        <v>87</v>
      </c>
      <c r="D1245" s="12" t="s">
        <v>987</v>
      </c>
      <c r="E1245" s="12" t="s">
        <v>2682</v>
      </c>
      <c r="F1245" s="12" t="s">
        <v>18</v>
      </c>
      <c r="G1245" s="12" t="s">
        <v>90</v>
      </c>
      <c r="H1245" s="12" t="s">
        <v>2705</v>
      </c>
      <c r="I1245" s="12">
        <v>58951143953</v>
      </c>
      <c r="J1245" s="12" t="s">
        <v>2706</v>
      </c>
      <c r="K1245" s="12">
        <v>1</v>
      </c>
      <c r="L1245" s="12">
        <v>34</v>
      </c>
      <c r="M1245" s="12"/>
      <c r="N1245" s="13">
        <v>2026</v>
      </c>
      <c r="O1245" s="12" t="s">
        <v>93</v>
      </c>
      <c r="P1245" s="12"/>
      <c r="Q1245" s="12"/>
      <c r="R1245" s="12" t="s">
        <v>94</v>
      </c>
      <c r="S1245" s="12">
        <v>10</v>
      </c>
      <c r="T1245" s="12" t="s">
        <v>677</v>
      </c>
      <c r="U1245" s="12" t="s">
        <v>678</v>
      </c>
      <c r="V1245" s="12">
        <f>VLOOKUP(Tabla4[[#This Row],[ZONA DEFINITIVO]],Hoja1!$A$1:$D$121,3,0)</f>
        <v>229187</v>
      </c>
      <c r="W1245" s="12">
        <f>VLOOKUP(Tabla4[[#This Row],[ZONA DEFINITIVO]],Hoja1!$A$1:$D$121,2,0)</f>
        <v>16476</v>
      </c>
      <c r="X1245" s="12">
        <f>VLOOKUP(Tabla4[[#This Row],[ZONA DEFINITIVO]],Hoja1!$A$1:$D$121,4,0)</f>
        <v>95725</v>
      </c>
      <c r="Y1245" s="12" t="str">
        <f>+IF(Tabla4[[#This Row],[AGRUPACIONES]]=1,SUMIFS(Tabla4[UDS],Tabla4[ZONA DEFINITIVO],Tabla4[[#This Row],[ZONA DEFINITIVO]])," ")</f>
        <v xml:space="preserve"> </v>
      </c>
      <c r="Z1245" s="12" t="str">
        <f>+IF(Tabla4[[#This Row],[AGRUPACIONES]]=1,SUMIFS(Tabla4[TOTAL COBERTURA],Tabla4[ZONA DEFINITIVO],Tabla4[[#This Row],[ZONA DEFINITIVO]])," ")</f>
        <v xml:space="preserve"> </v>
      </c>
      <c r="AA1245" s="12"/>
      <c r="AB1245" s="38">
        <v>74126562</v>
      </c>
      <c r="AC1245" s="37">
        <v>0.02</v>
      </c>
      <c r="AD1245" s="38">
        <f t="shared" si="20"/>
        <v>1482531.24</v>
      </c>
      <c r="AE1245" s="12"/>
      <c r="AF1245" s="12">
        <f>COUNTIF($A$20:A1245,A1245)</f>
        <v>9</v>
      </c>
      <c r="AG1245" s="38">
        <v>74126562</v>
      </c>
      <c r="AH1245" s="38">
        <f>Tabla4[[#This Row],[VALOR CONTRAPARTIDA]]+Tabla4[[#This Row],[TOTAL APORTES ICBF]]</f>
        <v>75609093.239999995</v>
      </c>
      <c r="AI1245" s="35"/>
      <c r="AJ1245" s="38"/>
      <c r="AK1245" s="38"/>
      <c r="AL1245" s="23"/>
      <c r="AM1245" s="35">
        <f>VLOOKUP(Tabla4[[#This Row],[SERVICIO 2025]],$J$2:$V$14,5,0)*Tabla4[[#This Row],[TOTAL COBERTURA]]</f>
        <v>1678784</v>
      </c>
      <c r="AN1245" s="35">
        <f>VLOOKUP(Tabla4[[#This Row],[SERVICIO 2025]],$J$2:$V$14,6,0)*Tabla4[[#This Row],[TOTAL COBERTURA]]</f>
        <v>1394986</v>
      </c>
      <c r="AO1245" s="35">
        <f>VLOOKUP(Tabla4[[#This Row],[SERVICIO 2025]],$J$2:$V$14,8,0)*Tabla4[[#This Row],[TOTAL COBERTURA]]</f>
        <v>989400</v>
      </c>
      <c r="AP1245" s="35">
        <f>VLOOKUP(Tabla4[[#This Row],[SERVICIO 2025]],$J$2:$V$14,3,0)*Tabla4[[#This Row],[TOTAL COBERTURA]]*8</f>
        <v>70063392</v>
      </c>
      <c r="AQ1245" s="35"/>
      <c r="AR1245" s="35">
        <f>Tabla4[[#This Row],[VALOR FASE PREPARATORIA DE ALISTAMIENTO]]+Tabla4[[#This Row],[VALOR FASE PREPARATORIA DE CIERRE]]+Tabla4[[#This Row],[DOTACIÓN ÚNICA]]+Tabla4[[#This Row],[VALOR ATENCIÓN]]+Tabla4[[#This Row],[VALOR RACION PREPARADA]]</f>
        <v>74126562</v>
      </c>
      <c r="AS1245" s="35" t="str">
        <f>+IF(Tabla4[[#This Row],[AGRUPACIONES]]=1,SUMIFS(Tabla4[VALOR TOTAL],Tabla4[ZONA DEFINITIVO],Tabla4[[#This Row],[ZONA DEFINITIVO]])," ")</f>
        <v xml:space="preserve"> </v>
      </c>
      <c r="AT1245" s="27">
        <f>(VLOOKUP(Tabla4[[#This Row],[SERVICIO 2025]],$J$2:$V$14,3,0)*Tabla4[[#This Row],[TOTAL COBERTURA]])+Tabla4[[#This Row],[VALOR FASE PREPARATORIA DE ALISTAMIENTO]]+Tabla4[[#This Row],[DOTACIÓN ÚNICA]]</f>
        <v>11426108</v>
      </c>
      <c r="AU1245" s="35">
        <f>(VLOOKUP(Tabla4[[#This Row],[SERVICIO 2025]],$J$2:$V$14,3,0)*Tabla4[[#This Row],[TOTAL COBERTURA]])</f>
        <v>8757924</v>
      </c>
      <c r="AV1245" s="35">
        <f>(VLOOKUP(Tabla4[[#This Row],[SERVICIO 2025]],$J$2:$V$14,3,0)*Tabla4[[#This Row],[TOTAL COBERTURA]])</f>
        <v>8757924</v>
      </c>
      <c r="AW1245" s="35">
        <f>(VLOOKUP(Tabla4[[#This Row],[SERVICIO 2025]],$J$2:$V$14,3,0)*Tabla4[[#This Row],[TOTAL COBERTURA]])</f>
        <v>8757924</v>
      </c>
      <c r="AX1245" s="35">
        <f>(VLOOKUP(Tabla4[[#This Row],[SERVICIO 2025]],$J$2:$V$14,3,0)*Tabla4[[#This Row],[TOTAL COBERTURA]])</f>
        <v>8757924</v>
      </c>
      <c r="AY1245" s="35">
        <f>(VLOOKUP(Tabla4[[#This Row],[SERVICIO 2025]],$J$2:$V$14,3,0)*Tabla4[[#This Row],[TOTAL COBERTURA]])</f>
        <v>8757924</v>
      </c>
      <c r="AZ1245" s="35">
        <f>(VLOOKUP(Tabla4[[#This Row],[SERVICIO 2025]],$J$2:$V$14,3,0)*Tabla4[[#This Row],[TOTAL COBERTURA]])</f>
        <v>8757924</v>
      </c>
      <c r="BA1245" s="35">
        <f>(VLOOKUP(Tabla4[[#This Row],[SERVICIO 2025]],$J$2:$V$14,3,0)*Tabla4[[#This Row],[TOTAL COBERTURA]])+Tabla4[[#This Row],[VALOR FASE PREPARATORIA DE CIERRE]]</f>
        <v>10152910</v>
      </c>
      <c r="BB1245" s="35">
        <f>SUM(Tabla4[[#This Row],[DESEMBOLSO 1]:[DESEMBOLSO 8]])</f>
        <v>74126562</v>
      </c>
      <c r="BC1245" s="35">
        <f>VLOOKUP(Tabla4[[#This Row],[SERVICIO 2025]],$J$2:$V$14,10,0)*Tabla4[[#This Row],[TOTAL COBERTURA]]*$W$3</f>
        <v>49064176</v>
      </c>
      <c r="BD1245" s="47" t="s">
        <v>211</v>
      </c>
      <c r="BE1245" s="12" t="b">
        <f>EXACT(Tabla4[[#This Row],[VALOR ATENCIÓN (8 MESES)]],Tabla4[[#This Row],[VALOR TOTAL]])</f>
        <v>1</v>
      </c>
      <c r="BF1245" s="23">
        <f>Tabla4[[#This Row],[VALOR ATENCIÓN (8 MESES)]]-Tabla4[[#This Row],[VALOR TOTAL]]</f>
        <v>0</v>
      </c>
      <c r="BG1245" s="12" t="b">
        <f>EXACT(Tabla4[[#This Row],[TOTAL DESEMBOLSOS]],Tabla4[[#This Row],[VALOR ATENCIÓN (8 MESES)]])</f>
        <v>1</v>
      </c>
      <c r="BH1245" s="29">
        <f>Tabla4[[#This Row],[TOTAL DESEMBOLSOS]]-Tabla4[[#This Row],[VALOR ATENCIÓN (8 MESES)]]</f>
        <v>0</v>
      </c>
      <c r="BI1245" t="s">
        <v>392</v>
      </c>
      <c r="BJ1245">
        <v>2026</v>
      </c>
    </row>
    <row r="1246" spans="1:62">
      <c r="A1246" s="13">
        <v>2026</v>
      </c>
      <c r="B1246" s="13" t="s">
        <v>2689</v>
      </c>
      <c r="C1246" s="12" t="s">
        <v>87</v>
      </c>
      <c r="D1246" s="12" t="s">
        <v>987</v>
      </c>
      <c r="E1246" s="12" t="s">
        <v>2682</v>
      </c>
      <c r="F1246" s="12" t="s">
        <v>18</v>
      </c>
      <c r="G1246" s="12" t="s">
        <v>90</v>
      </c>
      <c r="H1246" s="12" t="s">
        <v>2707</v>
      </c>
      <c r="I1246" s="12">
        <v>58951143958</v>
      </c>
      <c r="J1246" s="12" t="s">
        <v>2708</v>
      </c>
      <c r="K1246" s="12">
        <v>1</v>
      </c>
      <c r="L1246" s="12">
        <v>24</v>
      </c>
      <c r="M1246" s="12"/>
      <c r="N1246" s="13">
        <v>2026</v>
      </c>
      <c r="O1246" s="12" t="s">
        <v>93</v>
      </c>
      <c r="P1246" s="12"/>
      <c r="Q1246" s="12"/>
      <c r="R1246" s="12" t="s">
        <v>94</v>
      </c>
      <c r="S1246" s="12">
        <v>10</v>
      </c>
      <c r="T1246" s="12" t="s">
        <v>677</v>
      </c>
      <c r="U1246" s="12" t="s">
        <v>678</v>
      </c>
      <c r="V1246" s="12">
        <f>VLOOKUP(Tabla4[[#This Row],[ZONA DEFINITIVO]],Hoja1!$A$1:$D$121,3,0)</f>
        <v>229187</v>
      </c>
      <c r="W1246" s="12">
        <f>VLOOKUP(Tabla4[[#This Row],[ZONA DEFINITIVO]],Hoja1!$A$1:$D$121,2,0)</f>
        <v>16476</v>
      </c>
      <c r="X1246" s="12">
        <f>VLOOKUP(Tabla4[[#This Row],[ZONA DEFINITIVO]],Hoja1!$A$1:$D$121,4,0)</f>
        <v>95725</v>
      </c>
      <c r="Y1246" s="12" t="str">
        <f>+IF(Tabla4[[#This Row],[AGRUPACIONES]]=1,SUMIFS(Tabla4[UDS],Tabla4[ZONA DEFINITIVO],Tabla4[[#This Row],[ZONA DEFINITIVO]])," ")</f>
        <v xml:space="preserve"> </v>
      </c>
      <c r="Z1246" s="12" t="str">
        <f>+IF(Tabla4[[#This Row],[AGRUPACIONES]]=1,SUMIFS(Tabla4[TOTAL COBERTURA],Tabla4[ZONA DEFINITIVO],Tabla4[[#This Row],[ZONA DEFINITIVO]])," ")</f>
        <v xml:space="preserve"> </v>
      </c>
      <c r="AA1246" s="12"/>
      <c r="AB1246" s="38">
        <v>52324632</v>
      </c>
      <c r="AC1246" s="37">
        <v>0.02</v>
      </c>
      <c r="AD1246" s="38">
        <f t="shared" si="20"/>
        <v>1046492.64</v>
      </c>
      <c r="AE1246" s="12"/>
      <c r="AF1246" s="12">
        <f>COUNTIF($A$20:A1246,A1246)</f>
        <v>10</v>
      </c>
      <c r="AG1246" s="38">
        <v>52324632</v>
      </c>
      <c r="AH1246" s="38">
        <f>Tabla4[[#This Row],[VALOR CONTRAPARTIDA]]+Tabla4[[#This Row],[TOTAL APORTES ICBF]]</f>
        <v>53371124.640000001</v>
      </c>
      <c r="AI1246" s="35"/>
      <c r="AJ1246" s="38"/>
      <c r="AK1246" s="38"/>
      <c r="AL1246" s="23"/>
      <c r="AM1246" s="35">
        <f>VLOOKUP(Tabla4[[#This Row],[SERVICIO 2025]],$J$2:$V$14,5,0)*Tabla4[[#This Row],[TOTAL COBERTURA]]</f>
        <v>1185024</v>
      </c>
      <c r="AN1246" s="35">
        <f>VLOOKUP(Tabla4[[#This Row],[SERVICIO 2025]],$J$2:$V$14,6,0)*Tabla4[[#This Row],[TOTAL COBERTURA]]</f>
        <v>984696</v>
      </c>
      <c r="AO1246" s="35">
        <f>VLOOKUP(Tabla4[[#This Row],[SERVICIO 2025]],$J$2:$V$14,8,0)*Tabla4[[#This Row],[TOTAL COBERTURA]]</f>
        <v>698400</v>
      </c>
      <c r="AP1246" s="35">
        <f>VLOOKUP(Tabla4[[#This Row],[SERVICIO 2025]],$J$2:$V$14,3,0)*Tabla4[[#This Row],[TOTAL COBERTURA]]*8</f>
        <v>49456512</v>
      </c>
      <c r="AQ1246" s="35"/>
      <c r="AR1246" s="35">
        <f>Tabla4[[#This Row],[VALOR FASE PREPARATORIA DE ALISTAMIENTO]]+Tabla4[[#This Row],[VALOR FASE PREPARATORIA DE CIERRE]]+Tabla4[[#This Row],[DOTACIÓN ÚNICA]]+Tabla4[[#This Row],[VALOR ATENCIÓN]]+Tabla4[[#This Row],[VALOR RACION PREPARADA]]</f>
        <v>52324632</v>
      </c>
      <c r="AS1246" s="35" t="str">
        <f>+IF(Tabla4[[#This Row],[AGRUPACIONES]]=1,SUMIFS(Tabla4[VALOR TOTAL],Tabla4[ZONA DEFINITIVO],Tabla4[[#This Row],[ZONA DEFINITIVO]])," ")</f>
        <v xml:space="preserve"> </v>
      </c>
      <c r="AT1246" s="27">
        <f>(VLOOKUP(Tabla4[[#This Row],[SERVICIO 2025]],$J$2:$V$14,3,0)*Tabla4[[#This Row],[TOTAL COBERTURA]])+Tabla4[[#This Row],[VALOR FASE PREPARATORIA DE ALISTAMIENTO]]+Tabla4[[#This Row],[DOTACIÓN ÚNICA]]</f>
        <v>8065488</v>
      </c>
      <c r="AU1246" s="35">
        <f>(VLOOKUP(Tabla4[[#This Row],[SERVICIO 2025]],$J$2:$V$14,3,0)*Tabla4[[#This Row],[TOTAL COBERTURA]])</f>
        <v>6182064</v>
      </c>
      <c r="AV1246" s="35">
        <f>(VLOOKUP(Tabla4[[#This Row],[SERVICIO 2025]],$J$2:$V$14,3,0)*Tabla4[[#This Row],[TOTAL COBERTURA]])</f>
        <v>6182064</v>
      </c>
      <c r="AW1246" s="35">
        <f>(VLOOKUP(Tabla4[[#This Row],[SERVICIO 2025]],$J$2:$V$14,3,0)*Tabla4[[#This Row],[TOTAL COBERTURA]])</f>
        <v>6182064</v>
      </c>
      <c r="AX1246" s="35">
        <f>(VLOOKUP(Tabla4[[#This Row],[SERVICIO 2025]],$J$2:$V$14,3,0)*Tabla4[[#This Row],[TOTAL COBERTURA]])</f>
        <v>6182064</v>
      </c>
      <c r="AY1246" s="35">
        <f>(VLOOKUP(Tabla4[[#This Row],[SERVICIO 2025]],$J$2:$V$14,3,0)*Tabla4[[#This Row],[TOTAL COBERTURA]])</f>
        <v>6182064</v>
      </c>
      <c r="AZ1246" s="35">
        <f>(VLOOKUP(Tabla4[[#This Row],[SERVICIO 2025]],$J$2:$V$14,3,0)*Tabla4[[#This Row],[TOTAL COBERTURA]])</f>
        <v>6182064</v>
      </c>
      <c r="BA1246" s="35">
        <f>(VLOOKUP(Tabla4[[#This Row],[SERVICIO 2025]],$J$2:$V$14,3,0)*Tabla4[[#This Row],[TOTAL COBERTURA]])+Tabla4[[#This Row],[VALOR FASE PREPARATORIA DE CIERRE]]</f>
        <v>7166760</v>
      </c>
      <c r="BB1246" s="35">
        <f>SUM(Tabla4[[#This Row],[DESEMBOLSO 1]:[DESEMBOLSO 8]])</f>
        <v>52324632</v>
      </c>
      <c r="BC1246" s="35">
        <f>VLOOKUP(Tabla4[[#This Row],[SERVICIO 2025]],$J$2:$V$14,10,0)*Tabla4[[#This Row],[TOTAL COBERTURA]]*$W$3</f>
        <v>34633536</v>
      </c>
      <c r="BD1246" s="47" t="s">
        <v>211</v>
      </c>
      <c r="BE1246" s="12" t="b">
        <f>EXACT(Tabla4[[#This Row],[VALOR ATENCIÓN (8 MESES)]],Tabla4[[#This Row],[VALOR TOTAL]])</f>
        <v>1</v>
      </c>
      <c r="BF1246" s="23">
        <f>Tabla4[[#This Row],[VALOR ATENCIÓN (8 MESES)]]-Tabla4[[#This Row],[VALOR TOTAL]]</f>
        <v>0</v>
      </c>
      <c r="BG1246" s="12" t="b">
        <f>EXACT(Tabla4[[#This Row],[TOTAL DESEMBOLSOS]],Tabla4[[#This Row],[VALOR ATENCIÓN (8 MESES)]])</f>
        <v>1</v>
      </c>
      <c r="BH1246" s="29">
        <f>Tabla4[[#This Row],[TOTAL DESEMBOLSOS]]-Tabla4[[#This Row],[VALOR ATENCIÓN (8 MESES)]]</f>
        <v>0</v>
      </c>
      <c r="BI1246" t="s">
        <v>392</v>
      </c>
      <c r="BJ1246">
        <v>2026</v>
      </c>
    </row>
    <row r="1247" spans="1:62">
      <c r="A1247" s="13">
        <v>2026</v>
      </c>
      <c r="B1247" s="13" t="s">
        <v>2689</v>
      </c>
      <c r="C1247" s="12" t="s">
        <v>87</v>
      </c>
      <c r="D1247" s="12" t="s">
        <v>987</v>
      </c>
      <c r="E1247" s="12" t="s">
        <v>2682</v>
      </c>
      <c r="F1247" s="12" t="s">
        <v>18</v>
      </c>
      <c r="G1247" s="12" t="s">
        <v>90</v>
      </c>
      <c r="H1247" s="12" t="s">
        <v>2709</v>
      </c>
      <c r="I1247" s="12">
        <v>58951143962</v>
      </c>
      <c r="J1247" s="12" t="s">
        <v>2710</v>
      </c>
      <c r="K1247" s="12">
        <v>1</v>
      </c>
      <c r="L1247" s="12">
        <v>16</v>
      </c>
      <c r="M1247" s="12"/>
      <c r="N1247" s="13">
        <v>2026</v>
      </c>
      <c r="O1247" s="12" t="s">
        <v>93</v>
      </c>
      <c r="P1247" s="12"/>
      <c r="Q1247" s="12"/>
      <c r="R1247" s="12" t="s">
        <v>94</v>
      </c>
      <c r="S1247" s="12">
        <v>10</v>
      </c>
      <c r="T1247" s="12" t="s">
        <v>677</v>
      </c>
      <c r="U1247" s="12" t="s">
        <v>678</v>
      </c>
      <c r="V1247" s="12">
        <f>VLOOKUP(Tabla4[[#This Row],[ZONA DEFINITIVO]],Hoja1!$A$1:$D$121,3,0)</f>
        <v>229187</v>
      </c>
      <c r="W1247" s="12">
        <f>VLOOKUP(Tabla4[[#This Row],[ZONA DEFINITIVO]],Hoja1!$A$1:$D$121,2,0)</f>
        <v>16476</v>
      </c>
      <c r="X1247" s="12">
        <f>VLOOKUP(Tabla4[[#This Row],[ZONA DEFINITIVO]],Hoja1!$A$1:$D$121,4,0)</f>
        <v>95725</v>
      </c>
      <c r="Y1247" s="12" t="str">
        <f>+IF(Tabla4[[#This Row],[AGRUPACIONES]]=1,SUMIFS(Tabla4[UDS],Tabla4[ZONA DEFINITIVO],Tabla4[[#This Row],[ZONA DEFINITIVO]])," ")</f>
        <v xml:space="preserve"> </v>
      </c>
      <c r="Z1247" s="12" t="str">
        <f>+IF(Tabla4[[#This Row],[AGRUPACIONES]]=1,SUMIFS(Tabla4[TOTAL COBERTURA],Tabla4[ZONA DEFINITIVO],Tabla4[[#This Row],[ZONA DEFINITIVO]])," ")</f>
        <v xml:space="preserve"> </v>
      </c>
      <c r="AA1247" s="12"/>
      <c r="AB1247" s="38">
        <v>34883088</v>
      </c>
      <c r="AC1247" s="37">
        <v>0.02</v>
      </c>
      <c r="AD1247" s="38">
        <f t="shared" si="20"/>
        <v>697661.76</v>
      </c>
      <c r="AE1247" s="12"/>
      <c r="AF1247" s="12">
        <f>COUNTIF($A$20:A1247,A1247)</f>
        <v>11</v>
      </c>
      <c r="AG1247" s="38">
        <v>34883088</v>
      </c>
      <c r="AH1247" s="38">
        <f>Tabla4[[#This Row],[VALOR CONTRAPARTIDA]]+Tabla4[[#This Row],[TOTAL APORTES ICBF]]</f>
        <v>35580749.759999998</v>
      </c>
      <c r="AI1247" s="35"/>
      <c r="AJ1247" s="38"/>
      <c r="AK1247" s="38"/>
      <c r="AL1247" s="23"/>
      <c r="AM1247" s="35">
        <f>VLOOKUP(Tabla4[[#This Row],[SERVICIO 2025]],$J$2:$V$14,5,0)*Tabla4[[#This Row],[TOTAL COBERTURA]]</f>
        <v>790016</v>
      </c>
      <c r="AN1247" s="35">
        <f>VLOOKUP(Tabla4[[#This Row],[SERVICIO 2025]],$J$2:$V$14,6,0)*Tabla4[[#This Row],[TOTAL COBERTURA]]</f>
        <v>656464</v>
      </c>
      <c r="AO1247" s="35">
        <f>VLOOKUP(Tabla4[[#This Row],[SERVICIO 2025]],$J$2:$V$14,8,0)*Tabla4[[#This Row],[TOTAL COBERTURA]]</f>
        <v>465600</v>
      </c>
      <c r="AP1247" s="35">
        <f>VLOOKUP(Tabla4[[#This Row],[SERVICIO 2025]],$J$2:$V$14,3,0)*Tabla4[[#This Row],[TOTAL COBERTURA]]*8</f>
        <v>32971008</v>
      </c>
      <c r="AQ1247" s="35"/>
      <c r="AR1247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247" s="35" t="str">
        <f>+IF(Tabla4[[#This Row],[AGRUPACIONES]]=1,SUMIFS(Tabla4[VALOR TOTAL],Tabla4[ZONA DEFINITIVO],Tabla4[[#This Row],[ZONA DEFINITIVO]])," ")</f>
        <v xml:space="preserve"> </v>
      </c>
      <c r="AT1247" s="27">
        <f>(VLOOKUP(Tabla4[[#This Row],[SERVICIO 2025]],$J$2:$V$14,3,0)*Tabla4[[#This Row],[TOTAL COBERTURA]])+Tabla4[[#This Row],[VALOR FASE PREPARATORIA DE ALISTAMIENTO]]+Tabla4[[#This Row],[DOTACIÓN ÚNICA]]</f>
        <v>5376992</v>
      </c>
      <c r="AU1247" s="35">
        <f>(VLOOKUP(Tabla4[[#This Row],[SERVICIO 2025]],$J$2:$V$14,3,0)*Tabla4[[#This Row],[TOTAL COBERTURA]])</f>
        <v>4121376</v>
      </c>
      <c r="AV1247" s="35">
        <f>(VLOOKUP(Tabla4[[#This Row],[SERVICIO 2025]],$J$2:$V$14,3,0)*Tabla4[[#This Row],[TOTAL COBERTURA]])</f>
        <v>4121376</v>
      </c>
      <c r="AW1247" s="35">
        <f>(VLOOKUP(Tabla4[[#This Row],[SERVICIO 2025]],$J$2:$V$14,3,0)*Tabla4[[#This Row],[TOTAL COBERTURA]])</f>
        <v>4121376</v>
      </c>
      <c r="AX1247" s="35">
        <f>(VLOOKUP(Tabla4[[#This Row],[SERVICIO 2025]],$J$2:$V$14,3,0)*Tabla4[[#This Row],[TOTAL COBERTURA]])</f>
        <v>4121376</v>
      </c>
      <c r="AY1247" s="35">
        <f>(VLOOKUP(Tabla4[[#This Row],[SERVICIO 2025]],$J$2:$V$14,3,0)*Tabla4[[#This Row],[TOTAL COBERTURA]])</f>
        <v>4121376</v>
      </c>
      <c r="AZ1247" s="35">
        <f>(VLOOKUP(Tabla4[[#This Row],[SERVICIO 2025]],$J$2:$V$14,3,0)*Tabla4[[#This Row],[TOTAL COBERTURA]])</f>
        <v>4121376</v>
      </c>
      <c r="BA1247" s="35">
        <f>(VLOOKUP(Tabla4[[#This Row],[SERVICIO 2025]],$J$2:$V$14,3,0)*Tabla4[[#This Row],[TOTAL COBERTURA]])+Tabla4[[#This Row],[VALOR FASE PREPARATORIA DE CIERRE]]</f>
        <v>4777840</v>
      </c>
      <c r="BB1247" s="35">
        <f>SUM(Tabla4[[#This Row],[DESEMBOLSO 1]:[DESEMBOLSO 8]])</f>
        <v>34883088</v>
      </c>
      <c r="BC1247" s="35">
        <f>VLOOKUP(Tabla4[[#This Row],[SERVICIO 2025]],$J$2:$V$14,10,0)*Tabla4[[#This Row],[TOTAL COBERTURA]]*$W$3</f>
        <v>23089024</v>
      </c>
      <c r="BD1247" s="47" t="s">
        <v>211</v>
      </c>
      <c r="BE1247" s="12" t="b">
        <f>EXACT(Tabla4[[#This Row],[VALOR ATENCIÓN (8 MESES)]],Tabla4[[#This Row],[VALOR TOTAL]])</f>
        <v>1</v>
      </c>
      <c r="BF1247" s="23">
        <f>Tabla4[[#This Row],[VALOR ATENCIÓN (8 MESES)]]-Tabla4[[#This Row],[VALOR TOTAL]]</f>
        <v>0</v>
      </c>
      <c r="BG1247" s="12" t="b">
        <f>EXACT(Tabla4[[#This Row],[TOTAL DESEMBOLSOS]],Tabla4[[#This Row],[VALOR ATENCIÓN (8 MESES)]])</f>
        <v>1</v>
      </c>
      <c r="BH1247" s="29">
        <f>Tabla4[[#This Row],[TOTAL DESEMBOLSOS]]-Tabla4[[#This Row],[VALOR ATENCIÓN (8 MESES)]]</f>
        <v>0</v>
      </c>
      <c r="BI1247" t="s">
        <v>392</v>
      </c>
      <c r="BJ1247">
        <v>2026</v>
      </c>
    </row>
    <row r="1248" spans="1:62">
      <c r="A1248" s="13">
        <v>2026</v>
      </c>
      <c r="B1248" s="13" t="s">
        <v>2689</v>
      </c>
      <c r="C1248" s="12" t="s">
        <v>87</v>
      </c>
      <c r="D1248" s="12" t="s">
        <v>987</v>
      </c>
      <c r="E1248" s="12" t="s">
        <v>2682</v>
      </c>
      <c r="F1248" s="12" t="s">
        <v>18</v>
      </c>
      <c r="G1248" s="12" t="s">
        <v>90</v>
      </c>
      <c r="H1248" s="12" t="s">
        <v>2711</v>
      </c>
      <c r="I1248" s="12">
        <v>58951143967</v>
      </c>
      <c r="J1248" s="12" t="s">
        <v>2712</v>
      </c>
      <c r="K1248" s="12">
        <v>1</v>
      </c>
      <c r="L1248" s="12">
        <v>20</v>
      </c>
      <c r="M1248" s="12"/>
      <c r="N1248" s="13">
        <v>2026</v>
      </c>
      <c r="O1248" s="12" t="s">
        <v>93</v>
      </c>
      <c r="P1248" s="12"/>
      <c r="Q1248" s="12"/>
      <c r="R1248" s="12" t="s">
        <v>94</v>
      </c>
      <c r="S1248" s="12">
        <v>10</v>
      </c>
      <c r="T1248" s="12" t="s">
        <v>677</v>
      </c>
      <c r="U1248" s="12" t="s">
        <v>678</v>
      </c>
      <c r="V1248" s="12">
        <f>VLOOKUP(Tabla4[[#This Row],[ZONA DEFINITIVO]],Hoja1!$A$1:$D$121,3,0)</f>
        <v>229187</v>
      </c>
      <c r="W1248" s="12">
        <f>VLOOKUP(Tabla4[[#This Row],[ZONA DEFINITIVO]],Hoja1!$A$1:$D$121,2,0)</f>
        <v>16476</v>
      </c>
      <c r="X1248" s="12">
        <f>VLOOKUP(Tabla4[[#This Row],[ZONA DEFINITIVO]],Hoja1!$A$1:$D$121,4,0)</f>
        <v>95725</v>
      </c>
      <c r="Y1248" s="12" t="str">
        <f>+IF(Tabla4[[#This Row],[AGRUPACIONES]]=1,SUMIFS(Tabla4[UDS],Tabla4[ZONA DEFINITIVO],Tabla4[[#This Row],[ZONA DEFINITIVO]])," ")</f>
        <v xml:space="preserve"> </v>
      </c>
      <c r="Z1248" s="12" t="str">
        <f>+IF(Tabla4[[#This Row],[AGRUPACIONES]]=1,SUMIFS(Tabla4[TOTAL COBERTURA],Tabla4[ZONA DEFINITIVO],Tabla4[[#This Row],[ZONA DEFINITIVO]])," ")</f>
        <v xml:space="preserve"> </v>
      </c>
      <c r="AA1248" s="12"/>
      <c r="AB1248" s="38">
        <v>43603860</v>
      </c>
      <c r="AC1248" s="37">
        <v>0.02</v>
      </c>
      <c r="AD1248" s="38">
        <f t="shared" si="20"/>
        <v>872077.20000000007</v>
      </c>
      <c r="AE1248" s="12"/>
      <c r="AF1248" s="12">
        <f>COUNTIF($A$20:A1248,A1248)</f>
        <v>12</v>
      </c>
      <c r="AG1248" s="38">
        <v>43603860</v>
      </c>
      <c r="AH1248" s="38">
        <f>Tabla4[[#This Row],[VALOR CONTRAPARTIDA]]+Tabla4[[#This Row],[TOTAL APORTES ICBF]]</f>
        <v>44475937.200000003</v>
      </c>
      <c r="AI1248" s="35"/>
      <c r="AJ1248" s="38"/>
      <c r="AK1248" s="38"/>
      <c r="AL1248" s="23"/>
      <c r="AM1248" s="35">
        <f>VLOOKUP(Tabla4[[#This Row],[SERVICIO 2025]],$J$2:$V$14,5,0)*Tabla4[[#This Row],[TOTAL COBERTURA]]</f>
        <v>987520</v>
      </c>
      <c r="AN1248" s="35">
        <f>VLOOKUP(Tabla4[[#This Row],[SERVICIO 2025]],$J$2:$V$14,6,0)*Tabla4[[#This Row],[TOTAL COBERTURA]]</f>
        <v>820580</v>
      </c>
      <c r="AO1248" s="35">
        <f>VLOOKUP(Tabla4[[#This Row],[SERVICIO 2025]],$J$2:$V$14,8,0)*Tabla4[[#This Row],[TOTAL COBERTURA]]</f>
        <v>582000</v>
      </c>
      <c r="AP1248" s="35">
        <f>VLOOKUP(Tabla4[[#This Row],[SERVICIO 2025]],$J$2:$V$14,3,0)*Tabla4[[#This Row],[TOTAL COBERTURA]]*8</f>
        <v>41213760</v>
      </c>
      <c r="AQ1248" s="35"/>
      <c r="AR1248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248" s="35" t="str">
        <f>+IF(Tabla4[[#This Row],[AGRUPACIONES]]=1,SUMIFS(Tabla4[VALOR TOTAL],Tabla4[ZONA DEFINITIVO],Tabla4[[#This Row],[ZONA DEFINITIVO]])," ")</f>
        <v xml:space="preserve"> </v>
      </c>
      <c r="AT1248" s="27">
        <f>(VLOOKUP(Tabla4[[#This Row],[SERVICIO 2025]],$J$2:$V$14,3,0)*Tabla4[[#This Row],[TOTAL COBERTURA]])+Tabla4[[#This Row],[VALOR FASE PREPARATORIA DE ALISTAMIENTO]]+Tabla4[[#This Row],[DOTACIÓN ÚNICA]]</f>
        <v>6721240</v>
      </c>
      <c r="AU1248" s="35">
        <f>(VLOOKUP(Tabla4[[#This Row],[SERVICIO 2025]],$J$2:$V$14,3,0)*Tabla4[[#This Row],[TOTAL COBERTURA]])</f>
        <v>5151720</v>
      </c>
      <c r="AV1248" s="35">
        <f>(VLOOKUP(Tabla4[[#This Row],[SERVICIO 2025]],$J$2:$V$14,3,0)*Tabla4[[#This Row],[TOTAL COBERTURA]])</f>
        <v>5151720</v>
      </c>
      <c r="AW1248" s="35">
        <f>(VLOOKUP(Tabla4[[#This Row],[SERVICIO 2025]],$J$2:$V$14,3,0)*Tabla4[[#This Row],[TOTAL COBERTURA]])</f>
        <v>5151720</v>
      </c>
      <c r="AX1248" s="35">
        <f>(VLOOKUP(Tabla4[[#This Row],[SERVICIO 2025]],$J$2:$V$14,3,0)*Tabla4[[#This Row],[TOTAL COBERTURA]])</f>
        <v>5151720</v>
      </c>
      <c r="AY1248" s="35">
        <f>(VLOOKUP(Tabla4[[#This Row],[SERVICIO 2025]],$J$2:$V$14,3,0)*Tabla4[[#This Row],[TOTAL COBERTURA]])</f>
        <v>5151720</v>
      </c>
      <c r="AZ1248" s="35">
        <f>(VLOOKUP(Tabla4[[#This Row],[SERVICIO 2025]],$J$2:$V$14,3,0)*Tabla4[[#This Row],[TOTAL COBERTURA]])</f>
        <v>5151720</v>
      </c>
      <c r="BA1248" s="35">
        <f>(VLOOKUP(Tabla4[[#This Row],[SERVICIO 2025]],$J$2:$V$14,3,0)*Tabla4[[#This Row],[TOTAL COBERTURA]])+Tabla4[[#This Row],[VALOR FASE PREPARATORIA DE CIERRE]]</f>
        <v>5972300</v>
      </c>
      <c r="BB1248" s="35">
        <f>SUM(Tabla4[[#This Row],[DESEMBOLSO 1]:[DESEMBOLSO 8]])</f>
        <v>43603860</v>
      </c>
      <c r="BC1248" s="35">
        <f>VLOOKUP(Tabla4[[#This Row],[SERVICIO 2025]],$J$2:$V$14,10,0)*Tabla4[[#This Row],[TOTAL COBERTURA]]*$W$3</f>
        <v>28861280</v>
      </c>
      <c r="BD1248" s="47" t="s">
        <v>211</v>
      </c>
      <c r="BE1248" s="12" t="b">
        <f>EXACT(Tabla4[[#This Row],[VALOR ATENCIÓN (8 MESES)]],Tabla4[[#This Row],[VALOR TOTAL]])</f>
        <v>1</v>
      </c>
      <c r="BF1248" s="23">
        <f>Tabla4[[#This Row],[VALOR ATENCIÓN (8 MESES)]]-Tabla4[[#This Row],[VALOR TOTAL]]</f>
        <v>0</v>
      </c>
      <c r="BG1248" s="12" t="b">
        <f>EXACT(Tabla4[[#This Row],[TOTAL DESEMBOLSOS]],Tabla4[[#This Row],[VALOR ATENCIÓN (8 MESES)]])</f>
        <v>1</v>
      </c>
      <c r="BH1248" s="29">
        <f>Tabla4[[#This Row],[TOTAL DESEMBOLSOS]]-Tabla4[[#This Row],[VALOR ATENCIÓN (8 MESES)]]</f>
        <v>0</v>
      </c>
      <c r="BI1248" t="s">
        <v>392</v>
      </c>
      <c r="BJ1248">
        <v>2026</v>
      </c>
    </row>
    <row r="1249" spans="1:62">
      <c r="A1249" s="13">
        <v>2026</v>
      </c>
      <c r="B1249" s="13" t="s">
        <v>2689</v>
      </c>
      <c r="C1249" s="12" t="s">
        <v>87</v>
      </c>
      <c r="D1249" s="12" t="s">
        <v>987</v>
      </c>
      <c r="E1249" s="12" t="s">
        <v>2682</v>
      </c>
      <c r="F1249" s="12" t="s">
        <v>18</v>
      </c>
      <c r="G1249" s="12" t="s">
        <v>90</v>
      </c>
      <c r="H1249" s="12" t="s">
        <v>2713</v>
      </c>
      <c r="I1249" s="12">
        <v>58951150106</v>
      </c>
      <c r="J1249" s="12" t="s">
        <v>2714</v>
      </c>
      <c r="K1249" s="12">
        <v>1</v>
      </c>
      <c r="L1249" s="12">
        <v>21</v>
      </c>
      <c r="M1249" s="12"/>
      <c r="N1249" s="13">
        <v>2026</v>
      </c>
      <c r="O1249" s="12" t="s">
        <v>93</v>
      </c>
      <c r="P1249" s="12"/>
      <c r="Q1249" s="12"/>
      <c r="R1249" s="12" t="s">
        <v>94</v>
      </c>
      <c r="S1249" s="12">
        <v>10</v>
      </c>
      <c r="T1249" s="12" t="s">
        <v>677</v>
      </c>
      <c r="U1249" s="12" t="s">
        <v>678</v>
      </c>
      <c r="V1249" s="12">
        <f>VLOOKUP(Tabla4[[#This Row],[ZONA DEFINITIVO]],Hoja1!$A$1:$D$121,3,0)</f>
        <v>229187</v>
      </c>
      <c r="W1249" s="12">
        <f>VLOOKUP(Tabla4[[#This Row],[ZONA DEFINITIVO]],Hoja1!$A$1:$D$121,2,0)</f>
        <v>16476</v>
      </c>
      <c r="X1249" s="12">
        <f>VLOOKUP(Tabla4[[#This Row],[ZONA DEFINITIVO]],Hoja1!$A$1:$D$121,4,0)</f>
        <v>95725</v>
      </c>
      <c r="Y1249" s="12" t="str">
        <f>+IF(Tabla4[[#This Row],[AGRUPACIONES]]=1,SUMIFS(Tabla4[UDS],Tabla4[ZONA DEFINITIVO],Tabla4[[#This Row],[ZONA DEFINITIVO]])," ")</f>
        <v xml:space="preserve"> </v>
      </c>
      <c r="Z1249" s="12" t="str">
        <f>+IF(Tabla4[[#This Row],[AGRUPACIONES]]=1,SUMIFS(Tabla4[TOTAL COBERTURA],Tabla4[ZONA DEFINITIVO],Tabla4[[#This Row],[ZONA DEFINITIVO]])," ")</f>
        <v xml:space="preserve"> </v>
      </c>
      <c r="AA1249" s="12"/>
      <c r="AB1249" s="38">
        <v>45784053</v>
      </c>
      <c r="AC1249" s="37">
        <v>0.02</v>
      </c>
      <c r="AD1249" s="38">
        <f t="shared" si="20"/>
        <v>915681.06</v>
      </c>
      <c r="AE1249" s="12"/>
      <c r="AF1249" s="12">
        <f>COUNTIF($A$20:A1249,A1249)</f>
        <v>13</v>
      </c>
      <c r="AG1249" s="38">
        <v>45784053</v>
      </c>
      <c r="AH1249" s="38">
        <f>Tabla4[[#This Row],[VALOR CONTRAPARTIDA]]+Tabla4[[#This Row],[TOTAL APORTES ICBF]]</f>
        <v>46699734.060000002</v>
      </c>
      <c r="AI1249" s="35"/>
      <c r="AJ1249" s="38"/>
      <c r="AK1249" s="38"/>
      <c r="AL1249" s="23"/>
      <c r="AM1249" s="35">
        <f>VLOOKUP(Tabla4[[#This Row],[SERVICIO 2025]],$J$2:$V$14,5,0)*Tabla4[[#This Row],[TOTAL COBERTURA]]</f>
        <v>1036896</v>
      </c>
      <c r="AN1249" s="35">
        <f>VLOOKUP(Tabla4[[#This Row],[SERVICIO 2025]],$J$2:$V$14,6,0)*Tabla4[[#This Row],[TOTAL COBERTURA]]</f>
        <v>861609</v>
      </c>
      <c r="AO1249" s="35">
        <f>VLOOKUP(Tabla4[[#This Row],[SERVICIO 2025]],$J$2:$V$14,8,0)*Tabla4[[#This Row],[TOTAL COBERTURA]]</f>
        <v>611100</v>
      </c>
      <c r="AP1249" s="35">
        <f>VLOOKUP(Tabla4[[#This Row],[SERVICIO 2025]],$J$2:$V$14,3,0)*Tabla4[[#This Row],[TOTAL COBERTURA]]*8</f>
        <v>43274448</v>
      </c>
      <c r="AQ1249" s="35"/>
      <c r="AR1249" s="35">
        <f>Tabla4[[#This Row],[VALOR FASE PREPARATORIA DE ALISTAMIENTO]]+Tabla4[[#This Row],[VALOR FASE PREPARATORIA DE CIERRE]]+Tabla4[[#This Row],[DOTACIÓN ÚNICA]]+Tabla4[[#This Row],[VALOR ATENCIÓN]]+Tabla4[[#This Row],[VALOR RACION PREPARADA]]</f>
        <v>45784053</v>
      </c>
      <c r="AS1249" s="35" t="str">
        <f>+IF(Tabla4[[#This Row],[AGRUPACIONES]]=1,SUMIFS(Tabla4[VALOR TOTAL],Tabla4[ZONA DEFINITIVO],Tabla4[[#This Row],[ZONA DEFINITIVO]])," ")</f>
        <v xml:space="preserve"> </v>
      </c>
      <c r="AT1249" s="27">
        <f>(VLOOKUP(Tabla4[[#This Row],[SERVICIO 2025]],$J$2:$V$14,3,0)*Tabla4[[#This Row],[TOTAL COBERTURA]])+Tabla4[[#This Row],[VALOR FASE PREPARATORIA DE ALISTAMIENTO]]+Tabla4[[#This Row],[DOTACIÓN ÚNICA]]</f>
        <v>7057302</v>
      </c>
      <c r="AU1249" s="35">
        <f>(VLOOKUP(Tabla4[[#This Row],[SERVICIO 2025]],$J$2:$V$14,3,0)*Tabla4[[#This Row],[TOTAL COBERTURA]])</f>
        <v>5409306</v>
      </c>
      <c r="AV1249" s="35">
        <f>(VLOOKUP(Tabla4[[#This Row],[SERVICIO 2025]],$J$2:$V$14,3,0)*Tabla4[[#This Row],[TOTAL COBERTURA]])</f>
        <v>5409306</v>
      </c>
      <c r="AW1249" s="35">
        <f>(VLOOKUP(Tabla4[[#This Row],[SERVICIO 2025]],$J$2:$V$14,3,0)*Tabla4[[#This Row],[TOTAL COBERTURA]])</f>
        <v>5409306</v>
      </c>
      <c r="AX1249" s="35">
        <f>(VLOOKUP(Tabla4[[#This Row],[SERVICIO 2025]],$J$2:$V$14,3,0)*Tabla4[[#This Row],[TOTAL COBERTURA]])</f>
        <v>5409306</v>
      </c>
      <c r="AY1249" s="35">
        <f>(VLOOKUP(Tabla4[[#This Row],[SERVICIO 2025]],$J$2:$V$14,3,0)*Tabla4[[#This Row],[TOTAL COBERTURA]])</f>
        <v>5409306</v>
      </c>
      <c r="AZ1249" s="35">
        <f>(VLOOKUP(Tabla4[[#This Row],[SERVICIO 2025]],$J$2:$V$14,3,0)*Tabla4[[#This Row],[TOTAL COBERTURA]])</f>
        <v>5409306</v>
      </c>
      <c r="BA1249" s="35">
        <f>(VLOOKUP(Tabla4[[#This Row],[SERVICIO 2025]],$J$2:$V$14,3,0)*Tabla4[[#This Row],[TOTAL COBERTURA]])+Tabla4[[#This Row],[VALOR FASE PREPARATORIA DE CIERRE]]</f>
        <v>6270915</v>
      </c>
      <c r="BB1249" s="35">
        <f>SUM(Tabla4[[#This Row],[DESEMBOLSO 1]:[DESEMBOLSO 8]])</f>
        <v>45784053</v>
      </c>
      <c r="BC1249" s="35">
        <f>VLOOKUP(Tabla4[[#This Row],[SERVICIO 2025]],$J$2:$V$14,10,0)*Tabla4[[#This Row],[TOTAL COBERTURA]]*$W$3</f>
        <v>30304344</v>
      </c>
      <c r="BD1249" s="47" t="s">
        <v>211</v>
      </c>
      <c r="BE1249" s="12" t="b">
        <f>EXACT(Tabla4[[#This Row],[VALOR ATENCIÓN (8 MESES)]],Tabla4[[#This Row],[VALOR TOTAL]])</f>
        <v>1</v>
      </c>
      <c r="BF1249" s="23">
        <f>Tabla4[[#This Row],[VALOR ATENCIÓN (8 MESES)]]-Tabla4[[#This Row],[VALOR TOTAL]]</f>
        <v>0</v>
      </c>
      <c r="BG1249" s="12" t="b">
        <f>EXACT(Tabla4[[#This Row],[TOTAL DESEMBOLSOS]],Tabla4[[#This Row],[VALOR ATENCIÓN (8 MESES)]])</f>
        <v>1</v>
      </c>
      <c r="BH1249" s="29">
        <f>Tabla4[[#This Row],[TOTAL DESEMBOLSOS]]-Tabla4[[#This Row],[VALOR ATENCIÓN (8 MESES)]]</f>
        <v>0</v>
      </c>
      <c r="BI1249" t="s">
        <v>392</v>
      </c>
      <c r="BJ1249">
        <v>2026</v>
      </c>
    </row>
    <row r="1250" spans="1:62">
      <c r="A1250" s="13">
        <v>2026</v>
      </c>
      <c r="B1250" s="13" t="s">
        <v>2689</v>
      </c>
      <c r="C1250" s="12" t="s">
        <v>87</v>
      </c>
      <c r="D1250" s="12" t="s">
        <v>987</v>
      </c>
      <c r="E1250" s="12" t="s">
        <v>2682</v>
      </c>
      <c r="F1250" s="12" t="s">
        <v>18</v>
      </c>
      <c r="G1250" s="12" t="s">
        <v>90</v>
      </c>
      <c r="H1250" s="12" t="s">
        <v>2715</v>
      </c>
      <c r="I1250" s="12">
        <v>58951150322</v>
      </c>
      <c r="J1250" s="12" t="s">
        <v>2716</v>
      </c>
      <c r="K1250" s="12">
        <v>1</v>
      </c>
      <c r="L1250" s="12">
        <v>20</v>
      </c>
      <c r="M1250" s="12"/>
      <c r="N1250" s="13">
        <v>2026</v>
      </c>
      <c r="O1250" s="12" t="s">
        <v>93</v>
      </c>
      <c r="P1250" s="12"/>
      <c r="Q1250" s="12"/>
      <c r="R1250" s="12" t="s">
        <v>94</v>
      </c>
      <c r="S1250" s="12">
        <v>10</v>
      </c>
      <c r="T1250" s="12" t="s">
        <v>677</v>
      </c>
      <c r="U1250" s="12" t="s">
        <v>678</v>
      </c>
      <c r="V1250" s="12">
        <f>VLOOKUP(Tabla4[[#This Row],[ZONA DEFINITIVO]],Hoja1!$A$1:$D$121,3,0)</f>
        <v>229187</v>
      </c>
      <c r="W1250" s="12">
        <f>VLOOKUP(Tabla4[[#This Row],[ZONA DEFINITIVO]],Hoja1!$A$1:$D$121,2,0)</f>
        <v>16476</v>
      </c>
      <c r="X1250" s="12">
        <f>VLOOKUP(Tabla4[[#This Row],[ZONA DEFINITIVO]],Hoja1!$A$1:$D$121,4,0)</f>
        <v>95725</v>
      </c>
      <c r="Y1250" s="12" t="str">
        <f>+IF(Tabla4[[#This Row],[AGRUPACIONES]]=1,SUMIFS(Tabla4[UDS],Tabla4[ZONA DEFINITIVO],Tabla4[[#This Row],[ZONA DEFINITIVO]])," ")</f>
        <v xml:space="preserve"> </v>
      </c>
      <c r="Z1250" s="12" t="str">
        <f>+IF(Tabla4[[#This Row],[AGRUPACIONES]]=1,SUMIFS(Tabla4[TOTAL COBERTURA],Tabla4[ZONA DEFINITIVO],Tabla4[[#This Row],[ZONA DEFINITIVO]])," ")</f>
        <v xml:space="preserve"> </v>
      </c>
      <c r="AA1250" s="12"/>
      <c r="AB1250" s="38">
        <v>43603860</v>
      </c>
      <c r="AC1250" s="37">
        <v>0.02</v>
      </c>
      <c r="AD1250" s="38">
        <f t="shared" si="20"/>
        <v>872077.20000000007</v>
      </c>
      <c r="AE1250" s="12"/>
      <c r="AF1250" s="12">
        <f>COUNTIF($A$20:A1250,A1250)</f>
        <v>14</v>
      </c>
      <c r="AG1250" s="38">
        <v>43603860</v>
      </c>
      <c r="AH1250" s="38">
        <f>Tabla4[[#This Row],[VALOR CONTRAPARTIDA]]+Tabla4[[#This Row],[TOTAL APORTES ICBF]]</f>
        <v>44475937.200000003</v>
      </c>
      <c r="AI1250" s="35"/>
      <c r="AJ1250" s="38"/>
      <c r="AK1250" s="38"/>
      <c r="AL1250" s="23"/>
      <c r="AM1250" s="35">
        <f>VLOOKUP(Tabla4[[#This Row],[SERVICIO 2025]],$J$2:$V$14,5,0)*Tabla4[[#This Row],[TOTAL COBERTURA]]</f>
        <v>987520</v>
      </c>
      <c r="AN1250" s="35">
        <f>VLOOKUP(Tabla4[[#This Row],[SERVICIO 2025]],$J$2:$V$14,6,0)*Tabla4[[#This Row],[TOTAL COBERTURA]]</f>
        <v>820580</v>
      </c>
      <c r="AO1250" s="35">
        <f>VLOOKUP(Tabla4[[#This Row],[SERVICIO 2025]],$J$2:$V$14,8,0)*Tabla4[[#This Row],[TOTAL COBERTURA]]</f>
        <v>582000</v>
      </c>
      <c r="AP1250" s="35">
        <f>VLOOKUP(Tabla4[[#This Row],[SERVICIO 2025]],$J$2:$V$14,3,0)*Tabla4[[#This Row],[TOTAL COBERTURA]]*8</f>
        <v>41213760</v>
      </c>
      <c r="AQ1250" s="35"/>
      <c r="AR1250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250" s="35" t="str">
        <f>+IF(Tabla4[[#This Row],[AGRUPACIONES]]=1,SUMIFS(Tabla4[VALOR TOTAL],Tabla4[ZONA DEFINITIVO],Tabla4[[#This Row],[ZONA DEFINITIVO]])," ")</f>
        <v xml:space="preserve"> </v>
      </c>
      <c r="AT1250" s="27">
        <f>(VLOOKUP(Tabla4[[#This Row],[SERVICIO 2025]],$J$2:$V$14,3,0)*Tabla4[[#This Row],[TOTAL COBERTURA]])+Tabla4[[#This Row],[VALOR FASE PREPARATORIA DE ALISTAMIENTO]]+Tabla4[[#This Row],[DOTACIÓN ÚNICA]]</f>
        <v>6721240</v>
      </c>
      <c r="AU1250" s="35">
        <f>(VLOOKUP(Tabla4[[#This Row],[SERVICIO 2025]],$J$2:$V$14,3,0)*Tabla4[[#This Row],[TOTAL COBERTURA]])</f>
        <v>5151720</v>
      </c>
      <c r="AV1250" s="35">
        <f>(VLOOKUP(Tabla4[[#This Row],[SERVICIO 2025]],$J$2:$V$14,3,0)*Tabla4[[#This Row],[TOTAL COBERTURA]])</f>
        <v>5151720</v>
      </c>
      <c r="AW1250" s="35">
        <f>(VLOOKUP(Tabla4[[#This Row],[SERVICIO 2025]],$J$2:$V$14,3,0)*Tabla4[[#This Row],[TOTAL COBERTURA]])</f>
        <v>5151720</v>
      </c>
      <c r="AX1250" s="35">
        <f>(VLOOKUP(Tabla4[[#This Row],[SERVICIO 2025]],$J$2:$V$14,3,0)*Tabla4[[#This Row],[TOTAL COBERTURA]])</f>
        <v>5151720</v>
      </c>
      <c r="AY1250" s="35">
        <f>(VLOOKUP(Tabla4[[#This Row],[SERVICIO 2025]],$J$2:$V$14,3,0)*Tabla4[[#This Row],[TOTAL COBERTURA]])</f>
        <v>5151720</v>
      </c>
      <c r="AZ1250" s="35">
        <f>(VLOOKUP(Tabla4[[#This Row],[SERVICIO 2025]],$J$2:$V$14,3,0)*Tabla4[[#This Row],[TOTAL COBERTURA]])</f>
        <v>5151720</v>
      </c>
      <c r="BA1250" s="35">
        <f>(VLOOKUP(Tabla4[[#This Row],[SERVICIO 2025]],$J$2:$V$14,3,0)*Tabla4[[#This Row],[TOTAL COBERTURA]])+Tabla4[[#This Row],[VALOR FASE PREPARATORIA DE CIERRE]]</f>
        <v>5972300</v>
      </c>
      <c r="BB1250" s="35">
        <f>SUM(Tabla4[[#This Row],[DESEMBOLSO 1]:[DESEMBOLSO 8]])</f>
        <v>43603860</v>
      </c>
      <c r="BC1250" s="35">
        <f>VLOOKUP(Tabla4[[#This Row],[SERVICIO 2025]],$J$2:$V$14,10,0)*Tabla4[[#This Row],[TOTAL COBERTURA]]*$W$3</f>
        <v>28861280</v>
      </c>
      <c r="BD1250" s="47" t="s">
        <v>211</v>
      </c>
      <c r="BE1250" s="12" t="b">
        <f>EXACT(Tabla4[[#This Row],[VALOR ATENCIÓN (8 MESES)]],Tabla4[[#This Row],[VALOR TOTAL]])</f>
        <v>1</v>
      </c>
      <c r="BF1250" s="23">
        <f>Tabla4[[#This Row],[VALOR ATENCIÓN (8 MESES)]]-Tabla4[[#This Row],[VALOR TOTAL]]</f>
        <v>0</v>
      </c>
      <c r="BG1250" s="12" t="b">
        <f>EXACT(Tabla4[[#This Row],[TOTAL DESEMBOLSOS]],Tabla4[[#This Row],[VALOR ATENCIÓN (8 MESES)]])</f>
        <v>1</v>
      </c>
      <c r="BH1250" s="29">
        <f>Tabla4[[#This Row],[TOTAL DESEMBOLSOS]]-Tabla4[[#This Row],[VALOR ATENCIÓN (8 MESES)]]</f>
        <v>0</v>
      </c>
      <c r="BI1250" t="s">
        <v>392</v>
      </c>
      <c r="BJ1250">
        <v>2026</v>
      </c>
    </row>
    <row r="1251" spans="1:62">
      <c r="A1251" s="13">
        <v>2026</v>
      </c>
      <c r="B1251" s="13" t="s">
        <v>2689</v>
      </c>
      <c r="C1251" s="12" t="s">
        <v>87</v>
      </c>
      <c r="D1251" s="12" t="s">
        <v>987</v>
      </c>
      <c r="E1251" s="12" t="s">
        <v>2682</v>
      </c>
      <c r="F1251" s="12" t="s">
        <v>18</v>
      </c>
      <c r="G1251" s="12" t="s">
        <v>90</v>
      </c>
      <c r="H1251" s="12" t="s">
        <v>2717</v>
      </c>
      <c r="I1251" s="12">
        <v>58951150563</v>
      </c>
      <c r="J1251" s="12" t="s">
        <v>2718</v>
      </c>
      <c r="K1251" s="12">
        <v>1</v>
      </c>
      <c r="L1251" s="12">
        <v>19</v>
      </c>
      <c r="M1251" s="12"/>
      <c r="N1251" s="13">
        <v>2026</v>
      </c>
      <c r="O1251" s="12" t="s">
        <v>93</v>
      </c>
      <c r="P1251" s="12"/>
      <c r="Q1251" s="12"/>
      <c r="R1251" s="12" t="s">
        <v>94</v>
      </c>
      <c r="S1251" s="12">
        <v>10</v>
      </c>
      <c r="T1251" s="12" t="s">
        <v>677</v>
      </c>
      <c r="U1251" s="12" t="s">
        <v>678</v>
      </c>
      <c r="V1251" s="12">
        <f>VLOOKUP(Tabla4[[#This Row],[ZONA DEFINITIVO]],Hoja1!$A$1:$D$121,3,0)</f>
        <v>229187</v>
      </c>
      <c r="W1251" s="12">
        <f>VLOOKUP(Tabla4[[#This Row],[ZONA DEFINITIVO]],Hoja1!$A$1:$D$121,2,0)</f>
        <v>16476</v>
      </c>
      <c r="X1251" s="12">
        <f>VLOOKUP(Tabla4[[#This Row],[ZONA DEFINITIVO]],Hoja1!$A$1:$D$121,4,0)</f>
        <v>95725</v>
      </c>
      <c r="Y1251" s="12" t="str">
        <f>+IF(Tabla4[[#This Row],[AGRUPACIONES]]=1,SUMIFS(Tabla4[UDS],Tabla4[ZONA DEFINITIVO],Tabla4[[#This Row],[ZONA DEFINITIVO]])," ")</f>
        <v xml:space="preserve"> </v>
      </c>
      <c r="Z1251" s="12" t="str">
        <f>+IF(Tabla4[[#This Row],[AGRUPACIONES]]=1,SUMIFS(Tabla4[TOTAL COBERTURA],Tabla4[ZONA DEFINITIVO],Tabla4[[#This Row],[ZONA DEFINITIVO]])," ")</f>
        <v xml:space="preserve"> </v>
      </c>
      <c r="AA1251" s="12"/>
      <c r="AB1251" s="38">
        <v>41423667</v>
      </c>
      <c r="AC1251" s="37">
        <v>0.02</v>
      </c>
      <c r="AD1251" s="38">
        <f t="shared" si="20"/>
        <v>828473.34</v>
      </c>
      <c r="AE1251" s="12"/>
      <c r="AF1251" s="12">
        <f>COUNTIF($A$20:A1251,A1251)</f>
        <v>15</v>
      </c>
      <c r="AG1251" s="38">
        <v>41423667</v>
      </c>
      <c r="AH1251" s="38">
        <f>Tabla4[[#This Row],[VALOR CONTRAPARTIDA]]+Tabla4[[#This Row],[TOTAL APORTES ICBF]]</f>
        <v>42252140.340000004</v>
      </c>
      <c r="AI1251" s="35"/>
      <c r="AJ1251" s="38"/>
      <c r="AK1251" s="38"/>
      <c r="AL1251" s="23"/>
      <c r="AM1251" s="35">
        <f>VLOOKUP(Tabla4[[#This Row],[SERVICIO 2025]],$J$2:$V$14,5,0)*Tabla4[[#This Row],[TOTAL COBERTURA]]</f>
        <v>938144</v>
      </c>
      <c r="AN1251" s="35">
        <f>VLOOKUP(Tabla4[[#This Row],[SERVICIO 2025]],$J$2:$V$14,6,0)*Tabla4[[#This Row],[TOTAL COBERTURA]]</f>
        <v>779551</v>
      </c>
      <c r="AO1251" s="35">
        <f>VLOOKUP(Tabla4[[#This Row],[SERVICIO 2025]],$J$2:$V$14,8,0)*Tabla4[[#This Row],[TOTAL COBERTURA]]</f>
        <v>552900</v>
      </c>
      <c r="AP1251" s="35">
        <f>VLOOKUP(Tabla4[[#This Row],[SERVICIO 2025]],$J$2:$V$14,3,0)*Tabla4[[#This Row],[TOTAL COBERTURA]]*8</f>
        <v>39153072</v>
      </c>
      <c r="AQ1251" s="35"/>
      <c r="AR1251" s="35">
        <f>Tabla4[[#This Row],[VALOR FASE PREPARATORIA DE ALISTAMIENTO]]+Tabla4[[#This Row],[VALOR FASE PREPARATORIA DE CIERRE]]+Tabla4[[#This Row],[DOTACIÓN ÚNICA]]+Tabla4[[#This Row],[VALOR ATENCIÓN]]+Tabla4[[#This Row],[VALOR RACION PREPARADA]]</f>
        <v>41423667</v>
      </c>
      <c r="AS1251" s="35" t="str">
        <f>+IF(Tabla4[[#This Row],[AGRUPACIONES]]=1,SUMIFS(Tabla4[VALOR TOTAL],Tabla4[ZONA DEFINITIVO],Tabla4[[#This Row],[ZONA DEFINITIVO]])," ")</f>
        <v xml:space="preserve"> </v>
      </c>
      <c r="AT1251" s="27">
        <f>(VLOOKUP(Tabla4[[#This Row],[SERVICIO 2025]],$J$2:$V$14,3,0)*Tabla4[[#This Row],[TOTAL COBERTURA]])+Tabla4[[#This Row],[VALOR FASE PREPARATORIA DE ALISTAMIENTO]]+Tabla4[[#This Row],[DOTACIÓN ÚNICA]]</f>
        <v>6385178</v>
      </c>
      <c r="AU1251" s="35">
        <f>(VLOOKUP(Tabla4[[#This Row],[SERVICIO 2025]],$J$2:$V$14,3,0)*Tabla4[[#This Row],[TOTAL COBERTURA]])</f>
        <v>4894134</v>
      </c>
      <c r="AV1251" s="35">
        <f>(VLOOKUP(Tabla4[[#This Row],[SERVICIO 2025]],$J$2:$V$14,3,0)*Tabla4[[#This Row],[TOTAL COBERTURA]])</f>
        <v>4894134</v>
      </c>
      <c r="AW1251" s="35">
        <f>(VLOOKUP(Tabla4[[#This Row],[SERVICIO 2025]],$J$2:$V$14,3,0)*Tabla4[[#This Row],[TOTAL COBERTURA]])</f>
        <v>4894134</v>
      </c>
      <c r="AX1251" s="35">
        <f>(VLOOKUP(Tabla4[[#This Row],[SERVICIO 2025]],$J$2:$V$14,3,0)*Tabla4[[#This Row],[TOTAL COBERTURA]])</f>
        <v>4894134</v>
      </c>
      <c r="AY1251" s="35">
        <f>(VLOOKUP(Tabla4[[#This Row],[SERVICIO 2025]],$J$2:$V$14,3,0)*Tabla4[[#This Row],[TOTAL COBERTURA]])</f>
        <v>4894134</v>
      </c>
      <c r="AZ1251" s="35">
        <f>(VLOOKUP(Tabla4[[#This Row],[SERVICIO 2025]],$J$2:$V$14,3,0)*Tabla4[[#This Row],[TOTAL COBERTURA]])</f>
        <v>4894134</v>
      </c>
      <c r="BA1251" s="35">
        <f>(VLOOKUP(Tabla4[[#This Row],[SERVICIO 2025]],$J$2:$V$14,3,0)*Tabla4[[#This Row],[TOTAL COBERTURA]])+Tabla4[[#This Row],[VALOR FASE PREPARATORIA DE CIERRE]]</f>
        <v>5673685</v>
      </c>
      <c r="BB1251" s="35">
        <f>SUM(Tabla4[[#This Row],[DESEMBOLSO 1]:[DESEMBOLSO 8]])</f>
        <v>41423667</v>
      </c>
      <c r="BC1251" s="35">
        <f>VLOOKUP(Tabla4[[#This Row],[SERVICIO 2025]],$J$2:$V$14,10,0)*Tabla4[[#This Row],[TOTAL COBERTURA]]*$W$3</f>
        <v>27418216</v>
      </c>
      <c r="BD1251" s="47" t="s">
        <v>211</v>
      </c>
      <c r="BE1251" s="12" t="b">
        <f>EXACT(Tabla4[[#This Row],[VALOR ATENCIÓN (8 MESES)]],Tabla4[[#This Row],[VALOR TOTAL]])</f>
        <v>1</v>
      </c>
      <c r="BF1251" s="23">
        <f>Tabla4[[#This Row],[VALOR ATENCIÓN (8 MESES)]]-Tabla4[[#This Row],[VALOR TOTAL]]</f>
        <v>0</v>
      </c>
      <c r="BG1251" s="12" t="b">
        <f>EXACT(Tabla4[[#This Row],[TOTAL DESEMBOLSOS]],Tabla4[[#This Row],[VALOR ATENCIÓN (8 MESES)]])</f>
        <v>1</v>
      </c>
      <c r="BH1251" s="29">
        <f>Tabla4[[#This Row],[TOTAL DESEMBOLSOS]]-Tabla4[[#This Row],[VALOR ATENCIÓN (8 MESES)]]</f>
        <v>0</v>
      </c>
      <c r="BI1251" t="s">
        <v>392</v>
      </c>
      <c r="BJ1251">
        <v>2026</v>
      </c>
    </row>
    <row r="1252" spans="1:62">
      <c r="A1252" s="13">
        <v>2026</v>
      </c>
      <c r="B1252" s="13" t="s">
        <v>2689</v>
      </c>
      <c r="C1252" s="12" t="s">
        <v>87</v>
      </c>
      <c r="D1252" s="12" t="s">
        <v>987</v>
      </c>
      <c r="E1252" s="12" t="s">
        <v>2682</v>
      </c>
      <c r="F1252" s="12" t="s">
        <v>18</v>
      </c>
      <c r="G1252" s="12" t="s">
        <v>90</v>
      </c>
      <c r="H1252" s="12" t="s">
        <v>2719</v>
      </c>
      <c r="I1252" s="12">
        <v>58951150564</v>
      </c>
      <c r="J1252" s="12" t="s">
        <v>2720</v>
      </c>
      <c r="K1252" s="12">
        <v>1</v>
      </c>
      <c r="L1252" s="12">
        <v>20</v>
      </c>
      <c r="M1252" s="12"/>
      <c r="N1252" s="13">
        <v>2026</v>
      </c>
      <c r="O1252" s="12" t="s">
        <v>93</v>
      </c>
      <c r="P1252" s="12"/>
      <c r="Q1252" s="12"/>
      <c r="R1252" s="12" t="s">
        <v>94</v>
      </c>
      <c r="S1252" s="12">
        <v>10</v>
      </c>
      <c r="T1252" s="12" t="s">
        <v>677</v>
      </c>
      <c r="U1252" s="12" t="s">
        <v>678</v>
      </c>
      <c r="V1252" s="12">
        <f>VLOOKUP(Tabla4[[#This Row],[ZONA DEFINITIVO]],Hoja1!$A$1:$D$121,3,0)</f>
        <v>229187</v>
      </c>
      <c r="W1252" s="12">
        <f>VLOOKUP(Tabla4[[#This Row],[ZONA DEFINITIVO]],Hoja1!$A$1:$D$121,2,0)</f>
        <v>16476</v>
      </c>
      <c r="X1252" s="12">
        <f>VLOOKUP(Tabla4[[#This Row],[ZONA DEFINITIVO]],Hoja1!$A$1:$D$121,4,0)</f>
        <v>95725</v>
      </c>
      <c r="Y1252" s="12" t="str">
        <f>+IF(Tabla4[[#This Row],[AGRUPACIONES]]=1,SUMIFS(Tabla4[UDS],Tabla4[ZONA DEFINITIVO],Tabla4[[#This Row],[ZONA DEFINITIVO]])," ")</f>
        <v xml:space="preserve"> </v>
      </c>
      <c r="Z1252" s="12" t="str">
        <f>+IF(Tabla4[[#This Row],[AGRUPACIONES]]=1,SUMIFS(Tabla4[TOTAL COBERTURA],Tabla4[ZONA DEFINITIVO],Tabla4[[#This Row],[ZONA DEFINITIVO]])," ")</f>
        <v xml:space="preserve"> </v>
      </c>
      <c r="AA1252" s="12"/>
      <c r="AB1252" s="38">
        <v>43603860</v>
      </c>
      <c r="AC1252" s="37">
        <v>0.02</v>
      </c>
      <c r="AD1252" s="38">
        <f t="shared" si="20"/>
        <v>872077.20000000007</v>
      </c>
      <c r="AE1252" s="12"/>
      <c r="AF1252" s="12">
        <f>COUNTIF($A$20:A1252,A1252)</f>
        <v>16</v>
      </c>
      <c r="AG1252" s="38">
        <v>43603860</v>
      </c>
      <c r="AH1252" s="38">
        <f>Tabla4[[#This Row],[VALOR CONTRAPARTIDA]]+Tabla4[[#This Row],[TOTAL APORTES ICBF]]</f>
        <v>44475937.200000003</v>
      </c>
      <c r="AI1252" s="35"/>
      <c r="AJ1252" s="38"/>
      <c r="AK1252" s="38"/>
      <c r="AL1252" s="23"/>
      <c r="AM1252" s="35">
        <f>VLOOKUP(Tabla4[[#This Row],[SERVICIO 2025]],$J$2:$V$14,5,0)*Tabla4[[#This Row],[TOTAL COBERTURA]]</f>
        <v>987520</v>
      </c>
      <c r="AN1252" s="35">
        <f>VLOOKUP(Tabla4[[#This Row],[SERVICIO 2025]],$J$2:$V$14,6,0)*Tabla4[[#This Row],[TOTAL COBERTURA]]</f>
        <v>820580</v>
      </c>
      <c r="AO1252" s="35">
        <f>VLOOKUP(Tabla4[[#This Row],[SERVICIO 2025]],$J$2:$V$14,8,0)*Tabla4[[#This Row],[TOTAL COBERTURA]]</f>
        <v>582000</v>
      </c>
      <c r="AP1252" s="35">
        <f>VLOOKUP(Tabla4[[#This Row],[SERVICIO 2025]],$J$2:$V$14,3,0)*Tabla4[[#This Row],[TOTAL COBERTURA]]*8</f>
        <v>41213760</v>
      </c>
      <c r="AQ1252" s="35"/>
      <c r="AR1252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252" s="35" t="str">
        <f>+IF(Tabla4[[#This Row],[AGRUPACIONES]]=1,SUMIFS(Tabla4[VALOR TOTAL],Tabla4[ZONA DEFINITIVO],Tabla4[[#This Row],[ZONA DEFINITIVO]])," ")</f>
        <v xml:space="preserve"> </v>
      </c>
      <c r="AT1252" s="27">
        <f>(VLOOKUP(Tabla4[[#This Row],[SERVICIO 2025]],$J$2:$V$14,3,0)*Tabla4[[#This Row],[TOTAL COBERTURA]])+Tabla4[[#This Row],[VALOR FASE PREPARATORIA DE ALISTAMIENTO]]+Tabla4[[#This Row],[DOTACIÓN ÚNICA]]</f>
        <v>6721240</v>
      </c>
      <c r="AU1252" s="35">
        <f>(VLOOKUP(Tabla4[[#This Row],[SERVICIO 2025]],$J$2:$V$14,3,0)*Tabla4[[#This Row],[TOTAL COBERTURA]])</f>
        <v>5151720</v>
      </c>
      <c r="AV1252" s="35">
        <f>(VLOOKUP(Tabla4[[#This Row],[SERVICIO 2025]],$J$2:$V$14,3,0)*Tabla4[[#This Row],[TOTAL COBERTURA]])</f>
        <v>5151720</v>
      </c>
      <c r="AW1252" s="35">
        <f>(VLOOKUP(Tabla4[[#This Row],[SERVICIO 2025]],$J$2:$V$14,3,0)*Tabla4[[#This Row],[TOTAL COBERTURA]])</f>
        <v>5151720</v>
      </c>
      <c r="AX1252" s="35">
        <f>(VLOOKUP(Tabla4[[#This Row],[SERVICIO 2025]],$J$2:$V$14,3,0)*Tabla4[[#This Row],[TOTAL COBERTURA]])</f>
        <v>5151720</v>
      </c>
      <c r="AY1252" s="35">
        <f>(VLOOKUP(Tabla4[[#This Row],[SERVICIO 2025]],$J$2:$V$14,3,0)*Tabla4[[#This Row],[TOTAL COBERTURA]])</f>
        <v>5151720</v>
      </c>
      <c r="AZ1252" s="35">
        <f>(VLOOKUP(Tabla4[[#This Row],[SERVICIO 2025]],$J$2:$V$14,3,0)*Tabla4[[#This Row],[TOTAL COBERTURA]])</f>
        <v>5151720</v>
      </c>
      <c r="BA1252" s="35">
        <f>(VLOOKUP(Tabla4[[#This Row],[SERVICIO 2025]],$J$2:$V$14,3,0)*Tabla4[[#This Row],[TOTAL COBERTURA]])+Tabla4[[#This Row],[VALOR FASE PREPARATORIA DE CIERRE]]</f>
        <v>5972300</v>
      </c>
      <c r="BB1252" s="35">
        <f>SUM(Tabla4[[#This Row],[DESEMBOLSO 1]:[DESEMBOLSO 8]])</f>
        <v>43603860</v>
      </c>
      <c r="BC1252" s="35">
        <f>VLOOKUP(Tabla4[[#This Row],[SERVICIO 2025]],$J$2:$V$14,10,0)*Tabla4[[#This Row],[TOTAL COBERTURA]]*$W$3</f>
        <v>28861280</v>
      </c>
      <c r="BD1252" s="47" t="s">
        <v>211</v>
      </c>
      <c r="BE1252" s="12" t="b">
        <f>EXACT(Tabla4[[#This Row],[VALOR ATENCIÓN (8 MESES)]],Tabla4[[#This Row],[VALOR TOTAL]])</f>
        <v>1</v>
      </c>
      <c r="BF1252" s="23">
        <f>Tabla4[[#This Row],[VALOR ATENCIÓN (8 MESES)]]-Tabla4[[#This Row],[VALOR TOTAL]]</f>
        <v>0</v>
      </c>
      <c r="BG1252" s="12" t="b">
        <f>EXACT(Tabla4[[#This Row],[TOTAL DESEMBOLSOS]],Tabla4[[#This Row],[VALOR ATENCIÓN (8 MESES)]])</f>
        <v>1</v>
      </c>
      <c r="BH1252" s="29">
        <f>Tabla4[[#This Row],[TOTAL DESEMBOLSOS]]-Tabla4[[#This Row],[VALOR ATENCIÓN (8 MESES)]]</f>
        <v>0</v>
      </c>
      <c r="BI1252" t="s">
        <v>392</v>
      </c>
      <c r="BJ1252">
        <v>2026</v>
      </c>
    </row>
    <row r="1253" spans="1:62">
      <c r="A1253" s="13">
        <v>2026</v>
      </c>
      <c r="B1253" s="13" t="s">
        <v>2689</v>
      </c>
      <c r="C1253" s="12" t="s">
        <v>87</v>
      </c>
      <c r="D1253" s="12" t="s">
        <v>987</v>
      </c>
      <c r="E1253" s="12" t="s">
        <v>2682</v>
      </c>
      <c r="F1253" s="12" t="s">
        <v>18</v>
      </c>
      <c r="G1253" s="12" t="s">
        <v>90</v>
      </c>
      <c r="H1253" s="12" t="s">
        <v>2721</v>
      </c>
      <c r="I1253" s="12">
        <v>58951150565</v>
      </c>
      <c r="J1253" s="12" t="s">
        <v>2721</v>
      </c>
      <c r="K1253" s="12">
        <v>1</v>
      </c>
      <c r="L1253" s="12">
        <v>20</v>
      </c>
      <c r="M1253" s="12"/>
      <c r="N1253" s="13">
        <v>2026</v>
      </c>
      <c r="O1253" s="12" t="s">
        <v>93</v>
      </c>
      <c r="P1253" s="12"/>
      <c r="Q1253" s="12"/>
      <c r="R1253" s="12" t="s">
        <v>94</v>
      </c>
      <c r="S1253" s="12">
        <v>10</v>
      </c>
      <c r="T1253" s="12" t="s">
        <v>677</v>
      </c>
      <c r="U1253" s="12" t="s">
        <v>678</v>
      </c>
      <c r="V1253" s="12">
        <f>VLOOKUP(Tabla4[[#This Row],[ZONA DEFINITIVO]],Hoja1!$A$1:$D$121,3,0)</f>
        <v>229187</v>
      </c>
      <c r="W1253" s="12">
        <f>VLOOKUP(Tabla4[[#This Row],[ZONA DEFINITIVO]],Hoja1!$A$1:$D$121,2,0)</f>
        <v>16476</v>
      </c>
      <c r="X1253" s="12">
        <f>VLOOKUP(Tabla4[[#This Row],[ZONA DEFINITIVO]],Hoja1!$A$1:$D$121,4,0)</f>
        <v>95725</v>
      </c>
      <c r="Y1253" s="12" t="str">
        <f>+IF(Tabla4[[#This Row],[AGRUPACIONES]]=1,SUMIFS(Tabla4[UDS],Tabla4[ZONA DEFINITIVO],Tabla4[[#This Row],[ZONA DEFINITIVO]])," ")</f>
        <v xml:space="preserve"> </v>
      </c>
      <c r="Z1253" s="12" t="str">
        <f>+IF(Tabla4[[#This Row],[AGRUPACIONES]]=1,SUMIFS(Tabla4[TOTAL COBERTURA],Tabla4[ZONA DEFINITIVO],Tabla4[[#This Row],[ZONA DEFINITIVO]])," ")</f>
        <v xml:space="preserve"> </v>
      </c>
      <c r="AA1253" s="12"/>
      <c r="AB1253" s="38">
        <v>43603860</v>
      </c>
      <c r="AC1253" s="37">
        <v>0.02</v>
      </c>
      <c r="AD1253" s="38">
        <f t="shared" si="20"/>
        <v>872077.20000000007</v>
      </c>
      <c r="AE1253" s="12"/>
      <c r="AF1253" s="12">
        <f>COUNTIF($A$20:A1253,A1253)</f>
        <v>17</v>
      </c>
      <c r="AG1253" s="38">
        <v>43603860</v>
      </c>
      <c r="AH1253" s="38">
        <f>Tabla4[[#This Row],[VALOR CONTRAPARTIDA]]+Tabla4[[#This Row],[TOTAL APORTES ICBF]]</f>
        <v>44475937.200000003</v>
      </c>
      <c r="AI1253" s="35"/>
      <c r="AJ1253" s="38"/>
      <c r="AK1253" s="38"/>
      <c r="AL1253" s="23"/>
      <c r="AM1253" s="35">
        <f>VLOOKUP(Tabla4[[#This Row],[SERVICIO 2025]],$J$2:$V$14,5,0)*Tabla4[[#This Row],[TOTAL COBERTURA]]</f>
        <v>987520</v>
      </c>
      <c r="AN1253" s="35">
        <f>VLOOKUP(Tabla4[[#This Row],[SERVICIO 2025]],$J$2:$V$14,6,0)*Tabla4[[#This Row],[TOTAL COBERTURA]]</f>
        <v>820580</v>
      </c>
      <c r="AO1253" s="35">
        <f>VLOOKUP(Tabla4[[#This Row],[SERVICIO 2025]],$J$2:$V$14,8,0)*Tabla4[[#This Row],[TOTAL COBERTURA]]</f>
        <v>582000</v>
      </c>
      <c r="AP1253" s="35">
        <f>VLOOKUP(Tabla4[[#This Row],[SERVICIO 2025]],$J$2:$V$14,3,0)*Tabla4[[#This Row],[TOTAL COBERTURA]]*8</f>
        <v>41213760</v>
      </c>
      <c r="AQ1253" s="35"/>
      <c r="AR1253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253" s="35" t="str">
        <f>+IF(Tabla4[[#This Row],[AGRUPACIONES]]=1,SUMIFS(Tabla4[VALOR TOTAL],Tabla4[ZONA DEFINITIVO],Tabla4[[#This Row],[ZONA DEFINITIVO]])," ")</f>
        <v xml:space="preserve"> </v>
      </c>
      <c r="AT1253" s="27">
        <f>(VLOOKUP(Tabla4[[#This Row],[SERVICIO 2025]],$J$2:$V$14,3,0)*Tabla4[[#This Row],[TOTAL COBERTURA]])+Tabla4[[#This Row],[VALOR FASE PREPARATORIA DE ALISTAMIENTO]]+Tabla4[[#This Row],[DOTACIÓN ÚNICA]]</f>
        <v>6721240</v>
      </c>
      <c r="AU1253" s="35">
        <f>(VLOOKUP(Tabla4[[#This Row],[SERVICIO 2025]],$J$2:$V$14,3,0)*Tabla4[[#This Row],[TOTAL COBERTURA]])</f>
        <v>5151720</v>
      </c>
      <c r="AV1253" s="35">
        <f>(VLOOKUP(Tabla4[[#This Row],[SERVICIO 2025]],$J$2:$V$14,3,0)*Tabla4[[#This Row],[TOTAL COBERTURA]])</f>
        <v>5151720</v>
      </c>
      <c r="AW1253" s="35">
        <f>(VLOOKUP(Tabla4[[#This Row],[SERVICIO 2025]],$J$2:$V$14,3,0)*Tabla4[[#This Row],[TOTAL COBERTURA]])</f>
        <v>5151720</v>
      </c>
      <c r="AX1253" s="35">
        <f>(VLOOKUP(Tabla4[[#This Row],[SERVICIO 2025]],$J$2:$V$14,3,0)*Tabla4[[#This Row],[TOTAL COBERTURA]])</f>
        <v>5151720</v>
      </c>
      <c r="AY1253" s="35">
        <f>(VLOOKUP(Tabla4[[#This Row],[SERVICIO 2025]],$J$2:$V$14,3,0)*Tabla4[[#This Row],[TOTAL COBERTURA]])</f>
        <v>5151720</v>
      </c>
      <c r="AZ1253" s="35">
        <f>(VLOOKUP(Tabla4[[#This Row],[SERVICIO 2025]],$J$2:$V$14,3,0)*Tabla4[[#This Row],[TOTAL COBERTURA]])</f>
        <v>5151720</v>
      </c>
      <c r="BA1253" s="35">
        <f>(VLOOKUP(Tabla4[[#This Row],[SERVICIO 2025]],$J$2:$V$14,3,0)*Tabla4[[#This Row],[TOTAL COBERTURA]])+Tabla4[[#This Row],[VALOR FASE PREPARATORIA DE CIERRE]]</f>
        <v>5972300</v>
      </c>
      <c r="BB1253" s="35">
        <f>SUM(Tabla4[[#This Row],[DESEMBOLSO 1]:[DESEMBOLSO 8]])</f>
        <v>43603860</v>
      </c>
      <c r="BC1253" s="35">
        <f>VLOOKUP(Tabla4[[#This Row],[SERVICIO 2025]],$J$2:$V$14,10,0)*Tabla4[[#This Row],[TOTAL COBERTURA]]*$W$3</f>
        <v>28861280</v>
      </c>
      <c r="BD1253" s="47" t="s">
        <v>211</v>
      </c>
      <c r="BE1253" s="12" t="b">
        <f>EXACT(Tabla4[[#This Row],[VALOR ATENCIÓN (8 MESES)]],Tabla4[[#This Row],[VALOR TOTAL]])</f>
        <v>1</v>
      </c>
      <c r="BF1253" s="23">
        <f>Tabla4[[#This Row],[VALOR ATENCIÓN (8 MESES)]]-Tabla4[[#This Row],[VALOR TOTAL]]</f>
        <v>0</v>
      </c>
      <c r="BG1253" s="12" t="b">
        <f>EXACT(Tabla4[[#This Row],[TOTAL DESEMBOLSOS]],Tabla4[[#This Row],[VALOR ATENCIÓN (8 MESES)]])</f>
        <v>1</v>
      </c>
      <c r="BH1253" s="29">
        <f>Tabla4[[#This Row],[TOTAL DESEMBOLSOS]]-Tabla4[[#This Row],[VALOR ATENCIÓN (8 MESES)]]</f>
        <v>0</v>
      </c>
      <c r="BI1253" t="s">
        <v>392</v>
      </c>
      <c r="BJ1253">
        <v>2026</v>
      </c>
    </row>
    <row r="1254" spans="1:62">
      <c r="A1254" s="13">
        <v>2026</v>
      </c>
      <c r="B1254" s="13" t="s">
        <v>2689</v>
      </c>
      <c r="C1254" s="12" t="s">
        <v>87</v>
      </c>
      <c r="D1254" s="12" t="s">
        <v>987</v>
      </c>
      <c r="E1254" s="12" t="s">
        <v>2682</v>
      </c>
      <c r="F1254" s="12" t="s">
        <v>18</v>
      </c>
      <c r="G1254" s="12" t="s">
        <v>90</v>
      </c>
      <c r="H1254" s="12" t="s">
        <v>2722</v>
      </c>
      <c r="I1254" s="12">
        <v>58951150566</v>
      </c>
      <c r="J1254" s="12" t="s">
        <v>2723</v>
      </c>
      <c r="K1254" s="12">
        <v>1</v>
      </c>
      <c r="L1254" s="12">
        <v>20</v>
      </c>
      <c r="M1254" s="12"/>
      <c r="N1254" s="13">
        <v>2026</v>
      </c>
      <c r="O1254" s="12" t="s">
        <v>93</v>
      </c>
      <c r="P1254" s="12"/>
      <c r="Q1254" s="12"/>
      <c r="R1254" s="12" t="s">
        <v>94</v>
      </c>
      <c r="S1254" s="12">
        <v>10</v>
      </c>
      <c r="T1254" s="12" t="s">
        <v>677</v>
      </c>
      <c r="U1254" s="12" t="s">
        <v>678</v>
      </c>
      <c r="V1254" s="12">
        <f>VLOOKUP(Tabla4[[#This Row],[ZONA DEFINITIVO]],Hoja1!$A$1:$D$121,3,0)</f>
        <v>229187</v>
      </c>
      <c r="W1254" s="12">
        <f>VLOOKUP(Tabla4[[#This Row],[ZONA DEFINITIVO]],Hoja1!$A$1:$D$121,2,0)</f>
        <v>16476</v>
      </c>
      <c r="X1254" s="12">
        <f>VLOOKUP(Tabla4[[#This Row],[ZONA DEFINITIVO]],Hoja1!$A$1:$D$121,4,0)</f>
        <v>95725</v>
      </c>
      <c r="Y1254" s="12" t="str">
        <f>+IF(Tabla4[[#This Row],[AGRUPACIONES]]=1,SUMIFS(Tabla4[UDS],Tabla4[ZONA DEFINITIVO],Tabla4[[#This Row],[ZONA DEFINITIVO]])," ")</f>
        <v xml:space="preserve"> </v>
      </c>
      <c r="Z1254" s="12" t="str">
        <f>+IF(Tabla4[[#This Row],[AGRUPACIONES]]=1,SUMIFS(Tabla4[TOTAL COBERTURA],Tabla4[ZONA DEFINITIVO],Tabla4[[#This Row],[ZONA DEFINITIVO]])," ")</f>
        <v xml:space="preserve"> </v>
      </c>
      <c r="AA1254" s="12"/>
      <c r="AB1254" s="38">
        <v>43603860</v>
      </c>
      <c r="AC1254" s="37">
        <v>0.02</v>
      </c>
      <c r="AD1254" s="38">
        <f t="shared" si="20"/>
        <v>872077.20000000007</v>
      </c>
      <c r="AE1254" s="12"/>
      <c r="AF1254" s="12">
        <f>COUNTIF($A$20:A1254,A1254)</f>
        <v>18</v>
      </c>
      <c r="AG1254" s="38">
        <v>43603860</v>
      </c>
      <c r="AH1254" s="38">
        <f>Tabla4[[#This Row],[VALOR CONTRAPARTIDA]]+Tabla4[[#This Row],[TOTAL APORTES ICBF]]</f>
        <v>44475937.200000003</v>
      </c>
      <c r="AI1254" s="35"/>
      <c r="AJ1254" s="38"/>
      <c r="AK1254" s="38"/>
      <c r="AL1254" s="23"/>
      <c r="AM1254" s="35">
        <f>VLOOKUP(Tabla4[[#This Row],[SERVICIO 2025]],$J$2:$V$14,5,0)*Tabla4[[#This Row],[TOTAL COBERTURA]]</f>
        <v>987520</v>
      </c>
      <c r="AN1254" s="35">
        <f>VLOOKUP(Tabla4[[#This Row],[SERVICIO 2025]],$J$2:$V$14,6,0)*Tabla4[[#This Row],[TOTAL COBERTURA]]</f>
        <v>820580</v>
      </c>
      <c r="AO1254" s="35">
        <f>VLOOKUP(Tabla4[[#This Row],[SERVICIO 2025]],$J$2:$V$14,8,0)*Tabla4[[#This Row],[TOTAL COBERTURA]]</f>
        <v>582000</v>
      </c>
      <c r="AP1254" s="35">
        <f>VLOOKUP(Tabla4[[#This Row],[SERVICIO 2025]],$J$2:$V$14,3,0)*Tabla4[[#This Row],[TOTAL COBERTURA]]*8</f>
        <v>41213760</v>
      </c>
      <c r="AQ1254" s="35"/>
      <c r="AR1254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254" s="35" t="str">
        <f>+IF(Tabla4[[#This Row],[AGRUPACIONES]]=1,SUMIFS(Tabla4[VALOR TOTAL],Tabla4[ZONA DEFINITIVO],Tabla4[[#This Row],[ZONA DEFINITIVO]])," ")</f>
        <v xml:space="preserve"> </v>
      </c>
      <c r="AT1254" s="27">
        <f>(VLOOKUP(Tabla4[[#This Row],[SERVICIO 2025]],$J$2:$V$14,3,0)*Tabla4[[#This Row],[TOTAL COBERTURA]])+Tabla4[[#This Row],[VALOR FASE PREPARATORIA DE ALISTAMIENTO]]+Tabla4[[#This Row],[DOTACIÓN ÚNICA]]</f>
        <v>6721240</v>
      </c>
      <c r="AU1254" s="35">
        <f>(VLOOKUP(Tabla4[[#This Row],[SERVICIO 2025]],$J$2:$V$14,3,0)*Tabla4[[#This Row],[TOTAL COBERTURA]])</f>
        <v>5151720</v>
      </c>
      <c r="AV1254" s="35">
        <f>(VLOOKUP(Tabla4[[#This Row],[SERVICIO 2025]],$J$2:$V$14,3,0)*Tabla4[[#This Row],[TOTAL COBERTURA]])</f>
        <v>5151720</v>
      </c>
      <c r="AW1254" s="35">
        <f>(VLOOKUP(Tabla4[[#This Row],[SERVICIO 2025]],$J$2:$V$14,3,0)*Tabla4[[#This Row],[TOTAL COBERTURA]])</f>
        <v>5151720</v>
      </c>
      <c r="AX1254" s="35">
        <f>(VLOOKUP(Tabla4[[#This Row],[SERVICIO 2025]],$J$2:$V$14,3,0)*Tabla4[[#This Row],[TOTAL COBERTURA]])</f>
        <v>5151720</v>
      </c>
      <c r="AY1254" s="35">
        <f>(VLOOKUP(Tabla4[[#This Row],[SERVICIO 2025]],$J$2:$V$14,3,0)*Tabla4[[#This Row],[TOTAL COBERTURA]])</f>
        <v>5151720</v>
      </c>
      <c r="AZ1254" s="35">
        <f>(VLOOKUP(Tabla4[[#This Row],[SERVICIO 2025]],$J$2:$V$14,3,0)*Tabla4[[#This Row],[TOTAL COBERTURA]])</f>
        <v>5151720</v>
      </c>
      <c r="BA1254" s="35">
        <f>(VLOOKUP(Tabla4[[#This Row],[SERVICIO 2025]],$J$2:$V$14,3,0)*Tabla4[[#This Row],[TOTAL COBERTURA]])+Tabla4[[#This Row],[VALOR FASE PREPARATORIA DE CIERRE]]</f>
        <v>5972300</v>
      </c>
      <c r="BB1254" s="35">
        <f>SUM(Tabla4[[#This Row],[DESEMBOLSO 1]:[DESEMBOLSO 8]])</f>
        <v>43603860</v>
      </c>
      <c r="BC1254" s="35">
        <f>VLOOKUP(Tabla4[[#This Row],[SERVICIO 2025]],$J$2:$V$14,10,0)*Tabla4[[#This Row],[TOTAL COBERTURA]]*$W$3</f>
        <v>28861280</v>
      </c>
      <c r="BD1254" s="47" t="s">
        <v>211</v>
      </c>
      <c r="BE1254" s="12" t="b">
        <f>EXACT(Tabla4[[#This Row],[VALOR ATENCIÓN (8 MESES)]],Tabla4[[#This Row],[VALOR TOTAL]])</f>
        <v>1</v>
      </c>
      <c r="BF1254" s="23">
        <f>Tabla4[[#This Row],[VALOR ATENCIÓN (8 MESES)]]-Tabla4[[#This Row],[VALOR TOTAL]]</f>
        <v>0</v>
      </c>
      <c r="BG1254" s="12" t="b">
        <f>EXACT(Tabla4[[#This Row],[TOTAL DESEMBOLSOS]],Tabla4[[#This Row],[VALOR ATENCIÓN (8 MESES)]])</f>
        <v>1</v>
      </c>
      <c r="BH1254" s="29">
        <f>Tabla4[[#This Row],[TOTAL DESEMBOLSOS]]-Tabla4[[#This Row],[VALOR ATENCIÓN (8 MESES)]]</f>
        <v>0</v>
      </c>
      <c r="BI1254" t="s">
        <v>392</v>
      </c>
      <c r="BJ1254">
        <v>2026</v>
      </c>
    </row>
    <row r="1255" spans="1:62">
      <c r="A1255" s="13">
        <v>2026</v>
      </c>
      <c r="B1255" s="13" t="s">
        <v>2689</v>
      </c>
      <c r="C1255" s="12" t="s">
        <v>87</v>
      </c>
      <c r="D1255" s="12" t="s">
        <v>987</v>
      </c>
      <c r="E1255" s="12" t="s">
        <v>2682</v>
      </c>
      <c r="F1255" s="12" t="s">
        <v>18</v>
      </c>
      <c r="G1255" s="12" t="s">
        <v>90</v>
      </c>
      <c r="H1255" s="12" t="s">
        <v>2724</v>
      </c>
      <c r="I1255" s="12">
        <v>58951150567</v>
      </c>
      <c r="J1255" s="12" t="s">
        <v>2724</v>
      </c>
      <c r="K1255" s="12">
        <v>1</v>
      </c>
      <c r="L1255" s="12">
        <v>20</v>
      </c>
      <c r="M1255" s="12"/>
      <c r="N1255" s="13">
        <v>2026</v>
      </c>
      <c r="O1255" s="12" t="s">
        <v>93</v>
      </c>
      <c r="P1255" s="12"/>
      <c r="Q1255" s="12"/>
      <c r="R1255" s="12" t="s">
        <v>94</v>
      </c>
      <c r="S1255" s="12">
        <v>10</v>
      </c>
      <c r="T1255" s="12" t="s">
        <v>677</v>
      </c>
      <c r="U1255" s="12" t="s">
        <v>678</v>
      </c>
      <c r="V1255" s="12">
        <f>VLOOKUP(Tabla4[[#This Row],[ZONA DEFINITIVO]],Hoja1!$A$1:$D$121,3,0)</f>
        <v>229187</v>
      </c>
      <c r="W1255" s="12">
        <f>VLOOKUP(Tabla4[[#This Row],[ZONA DEFINITIVO]],Hoja1!$A$1:$D$121,2,0)</f>
        <v>16476</v>
      </c>
      <c r="X1255" s="12">
        <f>VLOOKUP(Tabla4[[#This Row],[ZONA DEFINITIVO]],Hoja1!$A$1:$D$121,4,0)</f>
        <v>95725</v>
      </c>
      <c r="Y1255" s="12" t="str">
        <f>+IF(Tabla4[[#This Row],[AGRUPACIONES]]=1,SUMIFS(Tabla4[UDS],Tabla4[ZONA DEFINITIVO],Tabla4[[#This Row],[ZONA DEFINITIVO]])," ")</f>
        <v xml:space="preserve"> </v>
      </c>
      <c r="Z1255" s="12" t="str">
        <f>+IF(Tabla4[[#This Row],[AGRUPACIONES]]=1,SUMIFS(Tabla4[TOTAL COBERTURA],Tabla4[ZONA DEFINITIVO],Tabla4[[#This Row],[ZONA DEFINITIVO]])," ")</f>
        <v xml:space="preserve"> </v>
      </c>
      <c r="AA1255" s="12"/>
      <c r="AB1255" s="38">
        <v>43603860</v>
      </c>
      <c r="AC1255" s="37">
        <v>0.02</v>
      </c>
      <c r="AD1255" s="38">
        <f t="shared" si="20"/>
        <v>872077.20000000007</v>
      </c>
      <c r="AE1255" s="12"/>
      <c r="AF1255" s="12">
        <f>COUNTIF($A$20:A1255,A1255)</f>
        <v>19</v>
      </c>
      <c r="AG1255" s="38">
        <v>43603860</v>
      </c>
      <c r="AH1255" s="38">
        <f>Tabla4[[#This Row],[VALOR CONTRAPARTIDA]]+Tabla4[[#This Row],[TOTAL APORTES ICBF]]</f>
        <v>44475937.200000003</v>
      </c>
      <c r="AI1255" s="35"/>
      <c r="AJ1255" s="38"/>
      <c r="AK1255" s="38"/>
      <c r="AL1255" s="23"/>
      <c r="AM1255" s="35">
        <f>VLOOKUP(Tabla4[[#This Row],[SERVICIO 2025]],$J$2:$V$14,5,0)*Tabla4[[#This Row],[TOTAL COBERTURA]]</f>
        <v>987520</v>
      </c>
      <c r="AN1255" s="35">
        <f>VLOOKUP(Tabla4[[#This Row],[SERVICIO 2025]],$J$2:$V$14,6,0)*Tabla4[[#This Row],[TOTAL COBERTURA]]</f>
        <v>820580</v>
      </c>
      <c r="AO1255" s="35">
        <f>VLOOKUP(Tabla4[[#This Row],[SERVICIO 2025]],$J$2:$V$14,8,0)*Tabla4[[#This Row],[TOTAL COBERTURA]]</f>
        <v>582000</v>
      </c>
      <c r="AP1255" s="35">
        <f>VLOOKUP(Tabla4[[#This Row],[SERVICIO 2025]],$J$2:$V$14,3,0)*Tabla4[[#This Row],[TOTAL COBERTURA]]*8</f>
        <v>41213760</v>
      </c>
      <c r="AQ1255" s="35"/>
      <c r="AR1255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255" s="35" t="str">
        <f>+IF(Tabla4[[#This Row],[AGRUPACIONES]]=1,SUMIFS(Tabla4[VALOR TOTAL],Tabla4[ZONA DEFINITIVO],Tabla4[[#This Row],[ZONA DEFINITIVO]])," ")</f>
        <v xml:space="preserve"> </v>
      </c>
      <c r="AT1255" s="27">
        <f>(VLOOKUP(Tabla4[[#This Row],[SERVICIO 2025]],$J$2:$V$14,3,0)*Tabla4[[#This Row],[TOTAL COBERTURA]])+Tabla4[[#This Row],[VALOR FASE PREPARATORIA DE ALISTAMIENTO]]+Tabla4[[#This Row],[DOTACIÓN ÚNICA]]</f>
        <v>6721240</v>
      </c>
      <c r="AU1255" s="35">
        <f>(VLOOKUP(Tabla4[[#This Row],[SERVICIO 2025]],$J$2:$V$14,3,0)*Tabla4[[#This Row],[TOTAL COBERTURA]])</f>
        <v>5151720</v>
      </c>
      <c r="AV1255" s="35">
        <f>(VLOOKUP(Tabla4[[#This Row],[SERVICIO 2025]],$J$2:$V$14,3,0)*Tabla4[[#This Row],[TOTAL COBERTURA]])</f>
        <v>5151720</v>
      </c>
      <c r="AW1255" s="35">
        <f>(VLOOKUP(Tabla4[[#This Row],[SERVICIO 2025]],$J$2:$V$14,3,0)*Tabla4[[#This Row],[TOTAL COBERTURA]])</f>
        <v>5151720</v>
      </c>
      <c r="AX1255" s="35">
        <f>(VLOOKUP(Tabla4[[#This Row],[SERVICIO 2025]],$J$2:$V$14,3,0)*Tabla4[[#This Row],[TOTAL COBERTURA]])</f>
        <v>5151720</v>
      </c>
      <c r="AY1255" s="35">
        <f>(VLOOKUP(Tabla4[[#This Row],[SERVICIO 2025]],$J$2:$V$14,3,0)*Tabla4[[#This Row],[TOTAL COBERTURA]])</f>
        <v>5151720</v>
      </c>
      <c r="AZ1255" s="35">
        <f>(VLOOKUP(Tabla4[[#This Row],[SERVICIO 2025]],$J$2:$V$14,3,0)*Tabla4[[#This Row],[TOTAL COBERTURA]])</f>
        <v>5151720</v>
      </c>
      <c r="BA1255" s="35">
        <f>(VLOOKUP(Tabla4[[#This Row],[SERVICIO 2025]],$J$2:$V$14,3,0)*Tabla4[[#This Row],[TOTAL COBERTURA]])+Tabla4[[#This Row],[VALOR FASE PREPARATORIA DE CIERRE]]</f>
        <v>5972300</v>
      </c>
      <c r="BB1255" s="35">
        <f>SUM(Tabla4[[#This Row],[DESEMBOLSO 1]:[DESEMBOLSO 8]])</f>
        <v>43603860</v>
      </c>
      <c r="BC1255" s="35">
        <f>VLOOKUP(Tabla4[[#This Row],[SERVICIO 2025]],$J$2:$V$14,10,0)*Tabla4[[#This Row],[TOTAL COBERTURA]]*$W$3</f>
        <v>28861280</v>
      </c>
      <c r="BD1255" s="47" t="s">
        <v>211</v>
      </c>
      <c r="BE1255" s="12" t="b">
        <f>EXACT(Tabla4[[#This Row],[VALOR ATENCIÓN (8 MESES)]],Tabla4[[#This Row],[VALOR TOTAL]])</f>
        <v>1</v>
      </c>
      <c r="BF1255" s="23">
        <f>Tabla4[[#This Row],[VALOR ATENCIÓN (8 MESES)]]-Tabla4[[#This Row],[VALOR TOTAL]]</f>
        <v>0</v>
      </c>
      <c r="BG1255" s="12" t="b">
        <f>EXACT(Tabla4[[#This Row],[TOTAL DESEMBOLSOS]],Tabla4[[#This Row],[VALOR ATENCIÓN (8 MESES)]])</f>
        <v>1</v>
      </c>
      <c r="BH1255" s="29">
        <f>Tabla4[[#This Row],[TOTAL DESEMBOLSOS]]-Tabla4[[#This Row],[VALOR ATENCIÓN (8 MESES)]]</f>
        <v>0</v>
      </c>
      <c r="BI1255" t="s">
        <v>392</v>
      </c>
      <c r="BJ1255">
        <v>2026</v>
      </c>
    </row>
    <row r="1256" spans="1:62">
      <c r="A1256" s="13">
        <v>2026</v>
      </c>
      <c r="B1256" s="13" t="s">
        <v>2689</v>
      </c>
      <c r="C1256" s="12" t="s">
        <v>87</v>
      </c>
      <c r="D1256" s="12" t="s">
        <v>987</v>
      </c>
      <c r="E1256" s="12" t="s">
        <v>2682</v>
      </c>
      <c r="F1256" s="12" t="s">
        <v>18</v>
      </c>
      <c r="G1256" s="12" t="s">
        <v>90</v>
      </c>
      <c r="H1256" s="12" t="s">
        <v>2725</v>
      </c>
      <c r="I1256" s="12">
        <v>58951150568</v>
      </c>
      <c r="J1256" s="12" t="s">
        <v>2726</v>
      </c>
      <c r="K1256" s="12">
        <v>1</v>
      </c>
      <c r="L1256" s="12">
        <v>20</v>
      </c>
      <c r="M1256" s="12"/>
      <c r="N1256" s="13">
        <v>2026</v>
      </c>
      <c r="O1256" s="12" t="s">
        <v>93</v>
      </c>
      <c r="P1256" s="12"/>
      <c r="Q1256" s="12"/>
      <c r="R1256" s="12" t="s">
        <v>94</v>
      </c>
      <c r="S1256" s="12">
        <v>10</v>
      </c>
      <c r="T1256" s="12" t="s">
        <v>677</v>
      </c>
      <c r="U1256" s="12" t="s">
        <v>678</v>
      </c>
      <c r="V1256" s="12">
        <f>VLOOKUP(Tabla4[[#This Row],[ZONA DEFINITIVO]],Hoja1!$A$1:$D$121,3,0)</f>
        <v>229187</v>
      </c>
      <c r="W1256" s="12">
        <f>VLOOKUP(Tabla4[[#This Row],[ZONA DEFINITIVO]],Hoja1!$A$1:$D$121,2,0)</f>
        <v>16476</v>
      </c>
      <c r="X1256" s="12">
        <f>VLOOKUP(Tabla4[[#This Row],[ZONA DEFINITIVO]],Hoja1!$A$1:$D$121,4,0)</f>
        <v>95725</v>
      </c>
      <c r="Y1256" s="12" t="str">
        <f>+IF(Tabla4[[#This Row],[AGRUPACIONES]]=1,SUMIFS(Tabla4[UDS],Tabla4[ZONA DEFINITIVO],Tabla4[[#This Row],[ZONA DEFINITIVO]])," ")</f>
        <v xml:space="preserve"> </v>
      </c>
      <c r="Z1256" s="12" t="str">
        <f>+IF(Tabla4[[#This Row],[AGRUPACIONES]]=1,SUMIFS(Tabla4[TOTAL COBERTURA],Tabla4[ZONA DEFINITIVO],Tabla4[[#This Row],[ZONA DEFINITIVO]])," ")</f>
        <v xml:space="preserve"> </v>
      </c>
      <c r="AA1256" s="12"/>
      <c r="AB1256" s="38">
        <v>43603860</v>
      </c>
      <c r="AC1256" s="37">
        <v>0.02</v>
      </c>
      <c r="AD1256" s="38">
        <f t="shared" si="20"/>
        <v>872077.20000000007</v>
      </c>
      <c r="AE1256" s="12"/>
      <c r="AF1256" s="12">
        <f>COUNTIF($A$20:A1256,A1256)</f>
        <v>20</v>
      </c>
      <c r="AG1256" s="38">
        <v>43603860</v>
      </c>
      <c r="AH1256" s="38">
        <f>Tabla4[[#This Row],[VALOR CONTRAPARTIDA]]+Tabla4[[#This Row],[TOTAL APORTES ICBF]]</f>
        <v>44475937.200000003</v>
      </c>
      <c r="AI1256" s="35"/>
      <c r="AJ1256" s="38"/>
      <c r="AK1256" s="38"/>
      <c r="AL1256" s="23"/>
      <c r="AM1256" s="35">
        <f>VLOOKUP(Tabla4[[#This Row],[SERVICIO 2025]],$J$2:$V$14,5,0)*Tabla4[[#This Row],[TOTAL COBERTURA]]</f>
        <v>987520</v>
      </c>
      <c r="AN1256" s="35">
        <f>VLOOKUP(Tabla4[[#This Row],[SERVICIO 2025]],$J$2:$V$14,6,0)*Tabla4[[#This Row],[TOTAL COBERTURA]]</f>
        <v>820580</v>
      </c>
      <c r="AO1256" s="35">
        <f>VLOOKUP(Tabla4[[#This Row],[SERVICIO 2025]],$J$2:$V$14,8,0)*Tabla4[[#This Row],[TOTAL COBERTURA]]</f>
        <v>582000</v>
      </c>
      <c r="AP1256" s="35">
        <f>VLOOKUP(Tabla4[[#This Row],[SERVICIO 2025]],$J$2:$V$14,3,0)*Tabla4[[#This Row],[TOTAL COBERTURA]]*8</f>
        <v>41213760</v>
      </c>
      <c r="AQ1256" s="35"/>
      <c r="AR1256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256" s="35" t="str">
        <f>+IF(Tabla4[[#This Row],[AGRUPACIONES]]=1,SUMIFS(Tabla4[VALOR TOTAL],Tabla4[ZONA DEFINITIVO],Tabla4[[#This Row],[ZONA DEFINITIVO]])," ")</f>
        <v xml:space="preserve"> </v>
      </c>
      <c r="AT1256" s="27">
        <f>(VLOOKUP(Tabla4[[#This Row],[SERVICIO 2025]],$J$2:$V$14,3,0)*Tabla4[[#This Row],[TOTAL COBERTURA]])+Tabla4[[#This Row],[VALOR FASE PREPARATORIA DE ALISTAMIENTO]]+Tabla4[[#This Row],[DOTACIÓN ÚNICA]]</f>
        <v>6721240</v>
      </c>
      <c r="AU1256" s="35">
        <f>(VLOOKUP(Tabla4[[#This Row],[SERVICIO 2025]],$J$2:$V$14,3,0)*Tabla4[[#This Row],[TOTAL COBERTURA]])</f>
        <v>5151720</v>
      </c>
      <c r="AV1256" s="35">
        <f>(VLOOKUP(Tabla4[[#This Row],[SERVICIO 2025]],$J$2:$V$14,3,0)*Tabla4[[#This Row],[TOTAL COBERTURA]])</f>
        <v>5151720</v>
      </c>
      <c r="AW1256" s="35">
        <f>(VLOOKUP(Tabla4[[#This Row],[SERVICIO 2025]],$J$2:$V$14,3,0)*Tabla4[[#This Row],[TOTAL COBERTURA]])</f>
        <v>5151720</v>
      </c>
      <c r="AX1256" s="35">
        <f>(VLOOKUP(Tabla4[[#This Row],[SERVICIO 2025]],$J$2:$V$14,3,0)*Tabla4[[#This Row],[TOTAL COBERTURA]])</f>
        <v>5151720</v>
      </c>
      <c r="AY1256" s="35">
        <f>(VLOOKUP(Tabla4[[#This Row],[SERVICIO 2025]],$J$2:$V$14,3,0)*Tabla4[[#This Row],[TOTAL COBERTURA]])</f>
        <v>5151720</v>
      </c>
      <c r="AZ1256" s="35">
        <f>(VLOOKUP(Tabla4[[#This Row],[SERVICIO 2025]],$J$2:$V$14,3,0)*Tabla4[[#This Row],[TOTAL COBERTURA]])</f>
        <v>5151720</v>
      </c>
      <c r="BA1256" s="35">
        <f>(VLOOKUP(Tabla4[[#This Row],[SERVICIO 2025]],$J$2:$V$14,3,0)*Tabla4[[#This Row],[TOTAL COBERTURA]])+Tabla4[[#This Row],[VALOR FASE PREPARATORIA DE CIERRE]]</f>
        <v>5972300</v>
      </c>
      <c r="BB1256" s="35">
        <f>SUM(Tabla4[[#This Row],[DESEMBOLSO 1]:[DESEMBOLSO 8]])</f>
        <v>43603860</v>
      </c>
      <c r="BC1256" s="35">
        <f>VLOOKUP(Tabla4[[#This Row],[SERVICIO 2025]],$J$2:$V$14,10,0)*Tabla4[[#This Row],[TOTAL COBERTURA]]*$W$3</f>
        <v>28861280</v>
      </c>
      <c r="BD1256" s="47" t="s">
        <v>211</v>
      </c>
      <c r="BE1256" s="12" t="b">
        <f>EXACT(Tabla4[[#This Row],[VALOR ATENCIÓN (8 MESES)]],Tabla4[[#This Row],[VALOR TOTAL]])</f>
        <v>1</v>
      </c>
      <c r="BF1256" s="23">
        <f>Tabla4[[#This Row],[VALOR ATENCIÓN (8 MESES)]]-Tabla4[[#This Row],[VALOR TOTAL]]</f>
        <v>0</v>
      </c>
      <c r="BG1256" s="12" t="b">
        <f>EXACT(Tabla4[[#This Row],[TOTAL DESEMBOLSOS]],Tabla4[[#This Row],[VALOR ATENCIÓN (8 MESES)]])</f>
        <v>1</v>
      </c>
      <c r="BH1256" s="29">
        <f>Tabla4[[#This Row],[TOTAL DESEMBOLSOS]]-Tabla4[[#This Row],[VALOR ATENCIÓN (8 MESES)]]</f>
        <v>0</v>
      </c>
      <c r="BI1256" t="s">
        <v>392</v>
      </c>
      <c r="BJ1256">
        <v>2026</v>
      </c>
    </row>
    <row r="1257" spans="1:62">
      <c r="A1257" s="13">
        <v>2026</v>
      </c>
      <c r="B1257" s="13" t="s">
        <v>2689</v>
      </c>
      <c r="C1257" s="12" t="s">
        <v>87</v>
      </c>
      <c r="D1257" s="12" t="s">
        <v>987</v>
      </c>
      <c r="E1257" s="12" t="s">
        <v>2682</v>
      </c>
      <c r="F1257" s="12" t="s">
        <v>18</v>
      </c>
      <c r="G1257" s="12" t="s">
        <v>90</v>
      </c>
      <c r="H1257" s="12" t="s">
        <v>2727</v>
      </c>
      <c r="I1257" s="12">
        <v>58951150569</v>
      </c>
      <c r="J1257" s="12" t="s">
        <v>2727</v>
      </c>
      <c r="K1257" s="12">
        <v>1</v>
      </c>
      <c r="L1257" s="12">
        <v>20</v>
      </c>
      <c r="M1257" s="12"/>
      <c r="N1257" s="13">
        <v>2026</v>
      </c>
      <c r="O1257" s="12" t="s">
        <v>93</v>
      </c>
      <c r="P1257" s="12"/>
      <c r="Q1257" s="12"/>
      <c r="R1257" s="12" t="s">
        <v>94</v>
      </c>
      <c r="S1257" s="12">
        <v>10</v>
      </c>
      <c r="T1257" s="12" t="s">
        <v>677</v>
      </c>
      <c r="U1257" s="12" t="s">
        <v>678</v>
      </c>
      <c r="V1257" s="12">
        <f>VLOOKUP(Tabla4[[#This Row],[ZONA DEFINITIVO]],Hoja1!$A$1:$D$121,3,0)</f>
        <v>229187</v>
      </c>
      <c r="W1257" s="12">
        <f>VLOOKUP(Tabla4[[#This Row],[ZONA DEFINITIVO]],Hoja1!$A$1:$D$121,2,0)</f>
        <v>16476</v>
      </c>
      <c r="X1257" s="12">
        <f>VLOOKUP(Tabla4[[#This Row],[ZONA DEFINITIVO]],Hoja1!$A$1:$D$121,4,0)</f>
        <v>95725</v>
      </c>
      <c r="Y1257" s="12" t="str">
        <f>+IF(Tabla4[[#This Row],[AGRUPACIONES]]=1,SUMIFS(Tabla4[UDS],Tabla4[ZONA DEFINITIVO],Tabla4[[#This Row],[ZONA DEFINITIVO]])," ")</f>
        <v xml:space="preserve"> </v>
      </c>
      <c r="Z1257" s="12" t="str">
        <f>+IF(Tabla4[[#This Row],[AGRUPACIONES]]=1,SUMIFS(Tabla4[TOTAL COBERTURA],Tabla4[ZONA DEFINITIVO],Tabla4[[#This Row],[ZONA DEFINITIVO]])," ")</f>
        <v xml:space="preserve"> </v>
      </c>
      <c r="AA1257" s="12"/>
      <c r="AB1257" s="38">
        <v>43603860</v>
      </c>
      <c r="AC1257" s="37">
        <v>0.02</v>
      </c>
      <c r="AD1257" s="38">
        <f t="shared" si="20"/>
        <v>872077.20000000007</v>
      </c>
      <c r="AE1257" s="12"/>
      <c r="AF1257" s="12">
        <f>COUNTIF($A$20:A1257,A1257)</f>
        <v>21</v>
      </c>
      <c r="AG1257" s="38">
        <v>43603860</v>
      </c>
      <c r="AH1257" s="38">
        <f>Tabla4[[#This Row],[VALOR CONTRAPARTIDA]]+Tabla4[[#This Row],[TOTAL APORTES ICBF]]</f>
        <v>44475937.200000003</v>
      </c>
      <c r="AI1257" s="35"/>
      <c r="AJ1257" s="38"/>
      <c r="AK1257" s="38"/>
      <c r="AL1257" s="23"/>
      <c r="AM1257" s="35">
        <f>VLOOKUP(Tabla4[[#This Row],[SERVICIO 2025]],$J$2:$V$14,5,0)*Tabla4[[#This Row],[TOTAL COBERTURA]]</f>
        <v>987520</v>
      </c>
      <c r="AN1257" s="35">
        <f>VLOOKUP(Tabla4[[#This Row],[SERVICIO 2025]],$J$2:$V$14,6,0)*Tabla4[[#This Row],[TOTAL COBERTURA]]</f>
        <v>820580</v>
      </c>
      <c r="AO1257" s="35">
        <f>VLOOKUP(Tabla4[[#This Row],[SERVICIO 2025]],$J$2:$V$14,8,0)*Tabla4[[#This Row],[TOTAL COBERTURA]]</f>
        <v>582000</v>
      </c>
      <c r="AP1257" s="35">
        <f>VLOOKUP(Tabla4[[#This Row],[SERVICIO 2025]],$J$2:$V$14,3,0)*Tabla4[[#This Row],[TOTAL COBERTURA]]*8</f>
        <v>41213760</v>
      </c>
      <c r="AQ1257" s="35"/>
      <c r="AR1257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257" s="35" t="str">
        <f>+IF(Tabla4[[#This Row],[AGRUPACIONES]]=1,SUMIFS(Tabla4[VALOR TOTAL],Tabla4[ZONA DEFINITIVO],Tabla4[[#This Row],[ZONA DEFINITIVO]])," ")</f>
        <v xml:space="preserve"> </v>
      </c>
      <c r="AT1257" s="27">
        <f>(VLOOKUP(Tabla4[[#This Row],[SERVICIO 2025]],$J$2:$V$14,3,0)*Tabla4[[#This Row],[TOTAL COBERTURA]])+Tabla4[[#This Row],[VALOR FASE PREPARATORIA DE ALISTAMIENTO]]+Tabla4[[#This Row],[DOTACIÓN ÚNICA]]</f>
        <v>6721240</v>
      </c>
      <c r="AU1257" s="35">
        <f>(VLOOKUP(Tabla4[[#This Row],[SERVICIO 2025]],$J$2:$V$14,3,0)*Tabla4[[#This Row],[TOTAL COBERTURA]])</f>
        <v>5151720</v>
      </c>
      <c r="AV1257" s="35">
        <f>(VLOOKUP(Tabla4[[#This Row],[SERVICIO 2025]],$J$2:$V$14,3,0)*Tabla4[[#This Row],[TOTAL COBERTURA]])</f>
        <v>5151720</v>
      </c>
      <c r="AW1257" s="35">
        <f>(VLOOKUP(Tabla4[[#This Row],[SERVICIO 2025]],$J$2:$V$14,3,0)*Tabla4[[#This Row],[TOTAL COBERTURA]])</f>
        <v>5151720</v>
      </c>
      <c r="AX1257" s="35">
        <f>(VLOOKUP(Tabla4[[#This Row],[SERVICIO 2025]],$J$2:$V$14,3,0)*Tabla4[[#This Row],[TOTAL COBERTURA]])</f>
        <v>5151720</v>
      </c>
      <c r="AY1257" s="35">
        <f>(VLOOKUP(Tabla4[[#This Row],[SERVICIO 2025]],$J$2:$V$14,3,0)*Tabla4[[#This Row],[TOTAL COBERTURA]])</f>
        <v>5151720</v>
      </c>
      <c r="AZ1257" s="35">
        <f>(VLOOKUP(Tabla4[[#This Row],[SERVICIO 2025]],$J$2:$V$14,3,0)*Tabla4[[#This Row],[TOTAL COBERTURA]])</f>
        <v>5151720</v>
      </c>
      <c r="BA1257" s="35">
        <f>(VLOOKUP(Tabla4[[#This Row],[SERVICIO 2025]],$J$2:$V$14,3,0)*Tabla4[[#This Row],[TOTAL COBERTURA]])+Tabla4[[#This Row],[VALOR FASE PREPARATORIA DE CIERRE]]</f>
        <v>5972300</v>
      </c>
      <c r="BB1257" s="35">
        <f>SUM(Tabla4[[#This Row],[DESEMBOLSO 1]:[DESEMBOLSO 8]])</f>
        <v>43603860</v>
      </c>
      <c r="BC1257" s="35">
        <f>VLOOKUP(Tabla4[[#This Row],[SERVICIO 2025]],$J$2:$V$14,10,0)*Tabla4[[#This Row],[TOTAL COBERTURA]]*$W$3</f>
        <v>28861280</v>
      </c>
      <c r="BD1257" s="47" t="s">
        <v>211</v>
      </c>
      <c r="BE1257" s="12" t="b">
        <f>EXACT(Tabla4[[#This Row],[VALOR ATENCIÓN (8 MESES)]],Tabla4[[#This Row],[VALOR TOTAL]])</f>
        <v>1</v>
      </c>
      <c r="BF1257" s="23">
        <f>Tabla4[[#This Row],[VALOR ATENCIÓN (8 MESES)]]-Tabla4[[#This Row],[VALOR TOTAL]]</f>
        <v>0</v>
      </c>
      <c r="BG1257" s="12" t="b">
        <f>EXACT(Tabla4[[#This Row],[TOTAL DESEMBOLSOS]],Tabla4[[#This Row],[VALOR ATENCIÓN (8 MESES)]])</f>
        <v>1</v>
      </c>
      <c r="BH1257" s="29">
        <f>Tabla4[[#This Row],[TOTAL DESEMBOLSOS]]-Tabla4[[#This Row],[VALOR ATENCIÓN (8 MESES)]]</f>
        <v>0</v>
      </c>
      <c r="BI1257" t="s">
        <v>392</v>
      </c>
      <c r="BJ1257">
        <v>2026</v>
      </c>
    </row>
    <row r="1258" spans="1:62">
      <c r="A1258" s="13">
        <v>2026</v>
      </c>
      <c r="B1258" s="13" t="s">
        <v>2689</v>
      </c>
      <c r="C1258" s="12" t="s">
        <v>87</v>
      </c>
      <c r="D1258" s="12" t="s">
        <v>987</v>
      </c>
      <c r="E1258" s="12" t="s">
        <v>2682</v>
      </c>
      <c r="F1258" s="12" t="s">
        <v>18</v>
      </c>
      <c r="G1258" s="12" t="s">
        <v>90</v>
      </c>
      <c r="H1258" s="12" t="s">
        <v>2728</v>
      </c>
      <c r="I1258" s="12">
        <v>58951150570</v>
      </c>
      <c r="J1258" s="12" t="s">
        <v>2728</v>
      </c>
      <c r="K1258" s="12">
        <v>1</v>
      </c>
      <c r="L1258" s="12">
        <v>20</v>
      </c>
      <c r="M1258" s="12"/>
      <c r="N1258" s="13">
        <v>2026</v>
      </c>
      <c r="O1258" s="12" t="s">
        <v>93</v>
      </c>
      <c r="P1258" s="12"/>
      <c r="Q1258" s="12"/>
      <c r="R1258" s="12" t="s">
        <v>94</v>
      </c>
      <c r="S1258" s="12">
        <v>10</v>
      </c>
      <c r="T1258" s="12" t="s">
        <v>677</v>
      </c>
      <c r="U1258" s="12" t="s">
        <v>678</v>
      </c>
      <c r="V1258" s="12">
        <f>VLOOKUP(Tabla4[[#This Row],[ZONA DEFINITIVO]],Hoja1!$A$1:$D$121,3,0)</f>
        <v>229187</v>
      </c>
      <c r="W1258" s="12">
        <f>VLOOKUP(Tabla4[[#This Row],[ZONA DEFINITIVO]],Hoja1!$A$1:$D$121,2,0)</f>
        <v>16476</v>
      </c>
      <c r="X1258" s="12">
        <f>VLOOKUP(Tabla4[[#This Row],[ZONA DEFINITIVO]],Hoja1!$A$1:$D$121,4,0)</f>
        <v>95725</v>
      </c>
      <c r="Y1258" s="12" t="str">
        <f>+IF(Tabla4[[#This Row],[AGRUPACIONES]]=1,SUMIFS(Tabla4[UDS],Tabla4[ZONA DEFINITIVO],Tabla4[[#This Row],[ZONA DEFINITIVO]])," ")</f>
        <v xml:space="preserve"> </v>
      </c>
      <c r="Z1258" s="12" t="str">
        <f>+IF(Tabla4[[#This Row],[AGRUPACIONES]]=1,SUMIFS(Tabla4[TOTAL COBERTURA],Tabla4[ZONA DEFINITIVO],Tabla4[[#This Row],[ZONA DEFINITIVO]])," ")</f>
        <v xml:space="preserve"> </v>
      </c>
      <c r="AA1258" s="12"/>
      <c r="AB1258" s="38">
        <v>43603860</v>
      </c>
      <c r="AC1258" s="37">
        <v>0.02</v>
      </c>
      <c r="AD1258" s="38">
        <f t="shared" si="20"/>
        <v>872077.20000000007</v>
      </c>
      <c r="AE1258" s="12"/>
      <c r="AF1258" s="12">
        <f>COUNTIF($A$20:A1258,A1258)</f>
        <v>22</v>
      </c>
      <c r="AG1258" s="38">
        <v>43603860</v>
      </c>
      <c r="AH1258" s="38">
        <f>Tabla4[[#This Row],[VALOR CONTRAPARTIDA]]+Tabla4[[#This Row],[TOTAL APORTES ICBF]]</f>
        <v>44475937.200000003</v>
      </c>
      <c r="AI1258" s="35"/>
      <c r="AJ1258" s="38"/>
      <c r="AK1258" s="38"/>
      <c r="AL1258" s="23"/>
      <c r="AM1258" s="35">
        <f>VLOOKUP(Tabla4[[#This Row],[SERVICIO 2025]],$J$2:$V$14,5,0)*Tabla4[[#This Row],[TOTAL COBERTURA]]</f>
        <v>987520</v>
      </c>
      <c r="AN1258" s="35">
        <f>VLOOKUP(Tabla4[[#This Row],[SERVICIO 2025]],$J$2:$V$14,6,0)*Tabla4[[#This Row],[TOTAL COBERTURA]]</f>
        <v>820580</v>
      </c>
      <c r="AO1258" s="35">
        <f>VLOOKUP(Tabla4[[#This Row],[SERVICIO 2025]],$J$2:$V$14,8,0)*Tabla4[[#This Row],[TOTAL COBERTURA]]</f>
        <v>582000</v>
      </c>
      <c r="AP1258" s="35">
        <f>VLOOKUP(Tabla4[[#This Row],[SERVICIO 2025]],$J$2:$V$14,3,0)*Tabla4[[#This Row],[TOTAL COBERTURA]]*8</f>
        <v>41213760</v>
      </c>
      <c r="AQ1258" s="35"/>
      <c r="AR1258" s="35">
        <f>Tabla4[[#This Row],[VALOR FASE PREPARATORIA DE ALISTAMIENTO]]+Tabla4[[#This Row],[VALOR FASE PREPARATORIA DE CIERRE]]+Tabla4[[#This Row],[DOTACIÓN ÚNICA]]+Tabla4[[#This Row],[VALOR ATENCIÓN]]+Tabla4[[#This Row],[VALOR RACION PREPARADA]]</f>
        <v>43603860</v>
      </c>
      <c r="AS1258" s="35" t="str">
        <f>+IF(Tabla4[[#This Row],[AGRUPACIONES]]=1,SUMIFS(Tabla4[VALOR TOTAL],Tabla4[ZONA DEFINITIVO],Tabla4[[#This Row],[ZONA DEFINITIVO]])," ")</f>
        <v xml:space="preserve"> </v>
      </c>
      <c r="AT1258" s="27">
        <f>(VLOOKUP(Tabla4[[#This Row],[SERVICIO 2025]],$J$2:$V$14,3,0)*Tabla4[[#This Row],[TOTAL COBERTURA]])+Tabla4[[#This Row],[VALOR FASE PREPARATORIA DE ALISTAMIENTO]]+Tabla4[[#This Row],[DOTACIÓN ÚNICA]]</f>
        <v>6721240</v>
      </c>
      <c r="AU1258" s="35">
        <f>(VLOOKUP(Tabla4[[#This Row],[SERVICIO 2025]],$J$2:$V$14,3,0)*Tabla4[[#This Row],[TOTAL COBERTURA]])</f>
        <v>5151720</v>
      </c>
      <c r="AV1258" s="35">
        <f>(VLOOKUP(Tabla4[[#This Row],[SERVICIO 2025]],$J$2:$V$14,3,0)*Tabla4[[#This Row],[TOTAL COBERTURA]])</f>
        <v>5151720</v>
      </c>
      <c r="AW1258" s="35">
        <f>(VLOOKUP(Tabla4[[#This Row],[SERVICIO 2025]],$J$2:$V$14,3,0)*Tabla4[[#This Row],[TOTAL COBERTURA]])</f>
        <v>5151720</v>
      </c>
      <c r="AX1258" s="35">
        <f>(VLOOKUP(Tabla4[[#This Row],[SERVICIO 2025]],$J$2:$V$14,3,0)*Tabla4[[#This Row],[TOTAL COBERTURA]])</f>
        <v>5151720</v>
      </c>
      <c r="AY1258" s="35">
        <f>(VLOOKUP(Tabla4[[#This Row],[SERVICIO 2025]],$J$2:$V$14,3,0)*Tabla4[[#This Row],[TOTAL COBERTURA]])</f>
        <v>5151720</v>
      </c>
      <c r="AZ1258" s="35">
        <f>(VLOOKUP(Tabla4[[#This Row],[SERVICIO 2025]],$J$2:$V$14,3,0)*Tabla4[[#This Row],[TOTAL COBERTURA]])</f>
        <v>5151720</v>
      </c>
      <c r="BA1258" s="35">
        <f>(VLOOKUP(Tabla4[[#This Row],[SERVICIO 2025]],$J$2:$V$14,3,0)*Tabla4[[#This Row],[TOTAL COBERTURA]])+Tabla4[[#This Row],[VALOR FASE PREPARATORIA DE CIERRE]]</f>
        <v>5972300</v>
      </c>
      <c r="BB1258" s="35">
        <f>SUM(Tabla4[[#This Row],[DESEMBOLSO 1]:[DESEMBOLSO 8]])</f>
        <v>43603860</v>
      </c>
      <c r="BC1258" s="35">
        <f>VLOOKUP(Tabla4[[#This Row],[SERVICIO 2025]],$J$2:$V$14,10,0)*Tabla4[[#This Row],[TOTAL COBERTURA]]*$W$3</f>
        <v>28861280</v>
      </c>
      <c r="BD1258" s="47" t="s">
        <v>211</v>
      </c>
      <c r="BE1258" s="12" t="b">
        <f>EXACT(Tabla4[[#This Row],[VALOR ATENCIÓN (8 MESES)]],Tabla4[[#This Row],[VALOR TOTAL]])</f>
        <v>1</v>
      </c>
      <c r="BF1258" s="23">
        <f>Tabla4[[#This Row],[VALOR ATENCIÓN (8 MESES)]]-Tabla4[[#This Row],[VALOR TOTAL]]</f>
        <v>0</v>
      </c>
      <c r="BG1258" s="12" t="b">
        <f>EXACT(Tabla4[[#This Row],[TOTAL DESEMBOLSOS]],Tabla4[[#This Row],[VALOR ATENCIÓN (8 MESES)]])</f>
        <v>1</v>
      </c>
      <c r="BH1258" s="29">
        <f>Tabla4[[#This Row],[TOTAL DESEMBOLSOS]]-Tabla4[[#This Row],[VALOR ATENCIÓN (8 MESES)]]</f>
        <v>0</v>
      </c>
      <c r="BI1258" t="s">
        <v>392</v>
      </c>
      <c r="BJ1258">
        <v>2026</v>
      </c>
    </row>
    <row r="1259" spans="1:62">
      <c r="A1259" s="13">
        <v>2026</v>
      </c>
      <c r="B1259" s="13" t="s">
        <v>2689</v>
      </c>
      <c r="C1259" s="12" t="s">
        <v>87</v>
      </c>
      <c r="D1259" s="12" t="s">
        <v>987</v>
      </c>
      <c r="E1259" s="12" t="s">
        <v>2682</v>
      </c>
      <c r="F1259" s="12" t="s">
        <v>18</v>
      </c>
      <c r="G1259" s="12" t="s">
        <v>90</v>
      </c>
      <c r="H1259" s="12" t="s">
        <v>2729</v>
      </c>
      <c r="I1259" s="12">
        <v>58951150571</v>
      </c>
      <c r="J1259" s="12" t="s">
        <v>2730</v>
      </c>
      <c r="K1259" s="12">
        <v>1</v>
      </c>
      <c r="L1259" s="12">
        <v>16</v>
      </c>
      <c r="M1259" s="12"/>
      <c r="N1259" s="13">
        <v>2026</v>
      </c>
      <c r="O1259" s="12" t="s">
        <v>93</v>
      </c>
      <c r="P1259" s="12"/>
      <c r="Q1259" s="12"/>
      <c r="R1259" s="12" t="s">
        <v>94</v>
      </c>
      <c r="S1259" s="12">
        <v>10</v>
      </c>
      <c r="T1259" s="12" t="s">
        <v>677</v>
      </c>
      <c r="U1259" s="12" t="s">
        <v>678</v>
      </c>
      <c r="V1259" s="12">
        <f>VLOOKUP(Tabla4[[#This Row],[ZONA DEFINITIVO]],Hoja1!$A$1:$D$121,3,0)</f>
        <v>229187</v>
      </c>
      <c r="W1259" s="12">
        <f>VLOOKUP(Tabla4[[#This Row],[ZONA DEFINITIVO]],Hoja1!$A$1:$D$121,2,0)</f>
        <v>16476</v>
      </c>
      <c r="X1259" s="12">
        <f>VLOOKUP(Tabla4[[#This Row],[ZONA DEFINITIVO]],Hoja1!$A$1:$D$121,4,0)</f>
        <v>95725</v>
      </c>
      <c r="Y1259" s="12" t="str">
        <f>+IF(Tabla4[[#This Row],[AGRUPACIONES]]=1,SUMIFS(Tabla4[UDS],Tabla4[ZONA DEFINITIVO],Tabla4[[#This Row],[ZONA DEFINITIVO]])," ")</f>
        <v xml:space="preserve"> </v>
      </c>
      <c r="Z1259" s="12" t="str">
        <f>+IF(Tabla4[[#This Row],[AGRUPACIONES]]=1,SUMIFS(Tabla4[TOTAL COBERTURA],Tabla4[ZONA DEFINITIVO],Tabla4[[#This Row],[ZONA DEFINITIVO]])," ")</f>
        <v xml:space="preserve"> </v>
      </c>
      <c r="AA1259" s="12"/>
      <c r="AB1259" s="38">
        <v>34883088</v>
      </c>
      <c r="AC1259" s="37">
        <v>0.02</v>
      </c>
      <c r="AD1259" s="38">
        <f t="shared" si="20"/>
        <v>697661.76</v>
      </c>
      <c r="AE1259" s="12"/>
      <c r="AF1259" s="12">
        <f>COUNTIF($A$20:A1259,A1259)</f>
        <v>23</v>
      </c>
      <c r="AG1259" s="38">
        <v>34883088</v>
      </c>
      <c r="AH1259" s="38">
        <f>Tabla4[[#This Row],[VALOR CONTRAPARTIDA]]+Tabla4[[#This Row],[TOTAL APORTES ICBF]]</f>
        <v>35580749.759999998</v>
      </c>
      <c r="AI1259" s="35"/>
      <c r="AJ1259" s="38"/>
      <c r="AK1259" s="38"/>
      <c r="AL1259" s="23"/>
      <c r="AM1259" s="35">
        <f>VLOOKUP(Tabla4[[#This Row],[SERVICIO 2025]],$J$2:$V$14,5,0)*Tabla4[[#This Row],[TOTAL COBERTURA]]</f>
        <v>790016</v>
      </c>
      <c r="AN1259" s="35">
        <f>VLOOKUP(Tabla4[[#This Row],[SERVICIO 2025]],$J$2:$V$14,6,0)*Tabla4[[#This Row],[TOTAL COBERTURA]]</f>
        <v>656464</v>
      </c>
      <c r="AO1259" s="35">
        <f>VLOOKUP(Tabla4[[#This Row],[SERVICIO 2025]],$J$2:$V$14,8,0)*Tabla4[[#This Row],[TOTAL COBERTURA]]</f>
        <v>465600</v>
      </c>
      <c r="AP1259" s="35">
        <f>VLOOKUP(Tabla4[[#This Row],[SERVICIO 2025]],$J$2:$V$14,3,0)*Tabla4[[#This Row],[TOTAL COBERTURA]]*8</f>
        <v>32971008</v>
      </c>
      <c r="AQ1259" s="35"/>
      <c r="AR1259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259" s="35" t="str">
        <f>+IF(Tabla4[[#This Row],[AGRUPACIONES]]=1,SUMIFS(Tabla4[VALOR TOTAL],Tabla4[ZONA DEFINITIVO],Tabla4[[#This Row],[ZONA DEFINITIVO]])," ")</f>
        <v xml:space="preserve"> </v>
      </c>
      <c r="AT1259" s="27">
        <f>(VLOOKUP(Tabla4[[#This Row],[SERVICIO 2025]],$J$2:$V$14,3,0)*Tabla4[[#This Row],[TOTAL COBERTURA]])+Tabla4[[#This Row],[VALOR FASE PREPARATORIA DE ALISTAMIENTO]]+Tabla4[[#This Row],[DOTACIÓN ÚNICA]]</f>
        <v>5376992</v>
      </c>
      <c r="AU1259" s="35">
        <f>(VLOOKUP(Tabla4[[#This Row],[SERVICIO 2025]],$J$2:$V$14,3,0)*Tabla4[[#This Row],[TOTAL COBERTURA]])</f>
        <v>4121376</v>
      </c>
      <c r="AV1259" s="35">
        <f>(VLOOKUP(Tabla4[[#This Row],[SERVICIO 2025]],$J$2:$V$14,3,0)*Tabla4[[#This Row],[TOTAL COBERTURA]])</f>
        <v>4121376</v>
      </c>
      <c r="AW1259" s="35">
        <f>(VLOOKUP(Tabla4[[#This Row],[SERVICIO 2025]],$J$2:$V$14,3,0)*Tabla4[[#This Row],[TOTAL COBERTURA]])</f>
        <v>4121376</v>
      </c>
      <c r="AX1259" s="35">
        <f>(VLOOKUP(Tabla4[[#This Row],[SERVICIO 2025]],$J$2:$V$14,3,0)*Tabla4[[#This Row],[TOTAL COBERTURA]])</f>
        <v>4121376</v>
      </c>
      <c r="AY1259" s="35">
        <f>(VLOOKUP(Tabla4[[#This Row],[SERVICIO 2025]],$J$2:$V$14,3,0)*Tabla4[[#This Row],[TOTAL COBERTURA]])</f>
        <v>4121376</v>
      </c>
      <c r="AZ1259" s="35">
        <f>(VLOOKUP(Tabla4[[#This Row],[SERVICIO 2025]],$J$2:$V$14,3,0)*Tabla4[[#This Row],[TOTAL COBERTURA]])</f>
        <v>4121376</v>
      </c>
      <c r="BA1259" s="35">
        <f>(VLOOKUP(Tabla4[[#This Row],[SERVICIO 2025]],$J$2:$V$14,3,0)*Tabla4[[#This Row],[TOTAL COBERTURA]])+Tabla4[[#This Row],[VALOR FASE PREPARATORIA DE CIERRE]]</f>
        <v>4777840</v>
      </c>
      <c r="BB1259" s="35">
        <f>SUM(Tabla4[[#This Row],[DESEMBOLSO 1]:[DESEMBOLSO 8]])</f>
        <v>34883088</v>
      </c>
      <c r="BC1259" s="35">
        <f>VLOOKUP(Tabla4[[#This Row],[SERVICIO 2025]],$J$2:$V$14,10,0)*Tabla4[[#This Row],[TOTAL COBERTURA]]*$W$3</f>
        <v>23089024</v>
      </c>
      <c r="BD1259" s="47" t="s">
        <v>211</v>
      </c>
      <c r="BE1259" s="12" t="b">
        <f>EXACT(Tabla4[[#This Row],[VALOR ATENCIÓN (8 MESES)]],Tabla4[[#This Row],[VALOR TOTAL]])</f>
        <v>1</v>
      </c>
      <c r="BF1259" s="23">
        <f>Tabla4[[#This Row],[VALOR ATENCIÓN (8 MESES)]]-Tabla4[[#This Row],[VALOR TOTAL]]</f>
        <v>0</v>
      </c>
      <c r="BG1259" s="12" t="b">
        <f>EXACT(Tabla4[[#This Row],[TOTAL DESEMBOLSOS]],Tabla4[[#This Row],[VALOR ATENCIÓN (8 MESES)]])</f>
        <v>1</v>
      </c>
      <c r="BH1259" s="29">
        <f>Tabla4[[#This Row],[TOTAL DESEMBOLSOS]]-Tabla4[[#This Row],[VALOR ATENCIÓN (8 MESES)]]</f>
        <v>0</v>
      </c>
      <c r="BI1259" t="s">
        <v>392</v>
      </c>
      <c r="BJ1259">
        <v>2026</v>
      </c>
    </row>
    <row r="1260" spans="1:62">
      <c r="A1260" s="13">
        <v>2026</v>
      </c>
      <c r="B1260" s="13" t="s">
        <v>2689</v>
      </c>
      <c r="C1260" s="12" t="s">
        <v>87</v>
      </c>
      <c r="D1260" s="12" t="s">
        <v>987</v>
      </c>
      <c r="E1260" s="12" t="s">
        <v>2682</v>
      </c>
      <c r="F1260" s="12" t="s">
        <v>18</v>
      </c>
      <c r="G1260" s="12" t="s">
        <v>90</v>
      </c>
      <c r="H1260" s="12" t="s">
        <v>2731</v>
      </c>
      <c r="I1260" s="12">
        <v>58951150572</v>
      </c>
      <c r="J1260" s="12" t="s">
        <v>2732</v>
      </c>
      <c r="K1260" s="12">
        <v>1</v>
      </c>
      <c r="L1260" s="12">
        <v>16</v>
      </c>
      <c r="M1260" s="12"/>
      <c r="N1260" s="13">
        <v>2026</v>
      </c>
      <c r="O1260" s="12" t="s">
        <v>93</v>
      </c>
      <c r="P1260" s="12"/>
      <c r="Q1260" s="12"/>
      <c r="R1260" s="12" t="s">
        <v>94</v>
      </c>
      <c r="S1260" s="12">
        <v>10</v>
      </c>
      <c r="T1260" s="12" t="s">
        <v>677</v>
      </c>
      <c r="U1260" s="12" t="s">
        <v>678</v>
      </c>
      <c r="V1260" s="12">
        <f>VLOOKUP(Tabla4[[#This Row],[ZONA DEFINITIVO]],Hoja1!$A$1:$D$121,3,0)</f>
        <v>229187</v>
      </c>
      <c r="W1260" s="12">
        <f>VLOOKUP(Tabla4[[#This Row],[ZONA DEFINITIVO]],Hoja1!$A$1:$D$121,2,0)</f>
        <v>16476</v>
      </c>
      <c r="X1260" s="12">
        <f>VLOOKUP(Tabla4[[#This Row],[ZONA DEFINITIVO]],Hoja1!$A$1:$D$121,4,0)</f>
        <v>95725</v>
      </c>
      <c r="Y1260" s="12" t="str">
        <f>+IF(Tabla4[[#This Row],[AGRUPACIONES]]=1,SUMIFS(Tabla4[UDS],Tabla4[ZONA DEFINITIVO],Tabla4[[#This Row],[ZONA DEFINITIVO]])," ")</f>
        <v xml:space="preserve"> </v>
      </c>
      <c r="Z1260" s="12" t="str">
        <f>+IF(Tabla4[[#This Row],[AGRUPACIONES]]=1,SUMIFS(Tabla4[TOTAL COBERTURA],Tabla4[ZONA DEFINITIVO],Tabla4[[#This Row],[ZONA DEFINITIVO]])," ")</f>
        <v xml:space="preserve"> </v>
      </c>
      <c r="AA1260" s="12"/>
      <c r="AB1260" s="38">
        <v>34883088</v>
      </c>
      <c r="AC1260" s="37">
        <v>0.02</v>
      </c>
      <c r="AD1260" s="38">
        <f t="shared" si="20"/>
        <v>697661.76</v>
      </c>
      <c r="AE1260" s="12"/>
      <c r="AF1260" s="12">
        <f>COUNTIF($A$20:A1260,A1260)</f>
        <v>24</v>
      </c>
      <c r="AG1260" s="38">
        <v>34883088</v>
      </c>
      <c r="AH1260" s="38">
        <f>Tabla4[[#This Row],[VALOR CONTRAPARTIDA]]+Tabla4[[#This Row],[TOTAL APORTES ICBF]]</f>
        <v>35580749.759999998</v>
      </c>
      <c r="AI1260" s="35"/>
      <c r="AJ1260" s="38"/>
      <c r="AK1260" s="38"/>
      <c r="AL1260" s="23"/>
      <c r="AM1260" s="35">
        <f>VLOOKUP(Tabla4[[#This Row],[SERVICIO 2025]],$J$2:$V$14,5,0)*Tabla4[[#This Row],[TOTAL COBERTURA]]</f>
        <v>790016</v>
      </c>
      <c r="AN1260" s="35">
        <f>VLOOKUP(Tabla4[[#This Row],[SERVICIO 2025]],$J$2:$V$14,6,0)*Tabla4[[#This Row],[TOTAL COBERTURA]]</f>
        <v>656464</v>
      </c>
      <c r="AO1260" s="35">
        <f>VLOOKUP(Tabla4[[#This Row],[SERVICIO 2025]],$J$2:$V$14,8,0)*Tabla4[[#This Row],[TOTAL COBERTURA]]</f>
        <v>465600</v>
      </c>
      <c r="AP1260" s="35">
        <f>VLOOKUP(Tabla4[[#This Row],[SERVICIO 2025]],$J$2:$V$14,3,0)*Tabla4[[#This Row],[TOTAL COBERTURA]]*8</f>
        <v>32971008</v>
      </c>
      <c r="AQ1260" s="35"/>
      <c r="AR1260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260" s="35" t="str">
        <f>+IF(Tabla4[[#This Row],[AGRUPACIONES]]=1,SUMIFS(Tabla4[VALOR TOTAL],Tabla4[ZONA DEFINITIVO],Tabla4[[#This Row],[ZONA DEFINITIVO]])," ")</f>
        <v xml:space="preserve"> </v>
      </c>
      <c r="AT1260" s="27">
        <f>(VLOOKUP(Tabla4[[#This Row],[SERVICIO 2025]],$J$2:$V$14,3,0)*Tabla4[[#This Row],[TOTAL COBERTURA]])+Tabla4[[#This Row],[VALOR FASE PREPARATORIA DE ALISTAMIENTO]]+Tabla4[[#This Row],[DOTACIÓN ÚNICA]]</f>
        <v>5376992</v>
      </c>
      <c r="AU1260" s="35">
        <f>(VLOOKUP(Tabla4[[#This Row],[SERVICIO 2025]],$J$2:$V$14,3,0)*Tabla4[[#This Row],[TOTAL COBERTURA]])</f>
        <v>4121376</v>
      </c>
      <c r="AV1260" s="35">
        <f>(VLOOKUP(Tabla4[[#This Row],[SERVICIO 2025]],$J$2:$V$14,3,0)*Tabla4[[#This Row],[TOTAL COBERTURA]])</f>
        <v>4121376</v>
      </c>
      <c r="AW1260" s="35">
        <f>(VLOOKUP(Tabla4[[#This Row],[SERVICIO 2025]],$J$2:$V$14,3,0)*Tabla4[[#This Row],[TOTAL COBERTURA]])</f>
        <v>4121376</v>
      </c>
      <c r="AX1260" s="35">
        <f>(VLOOKUP(Tabla4[[#This Row],[SERVICIO 2025]],$J$2:$V$14,3,0)*Tabla4[[#This Row],[TOTAL COBERTURA]])</f>
        <v>4121376</v>
      </c>
      <c r="AY1260" s="35">
        <f>(VLOOKUP(Tabla4[[#This Row],[SERVICIO 2025]],$J$2:$V$14,3,0)*Tabla4[[#This Row],[TOTAL COBERTURA]])</f>
        <v>4121376</v>
      </c>
      <c r="AZ1260" s="35">
        <f>(VLOOKUP(Tabla4[[#This Row],[SERVICIO 2025]],$J$2:$V$14,3,0)*Tabla4[[#This Row],[TOTAL COBERTURA]])</f>
        <v>4121376</v>
      </c>
      <c r="BA1260" s="35">
        <f>(VLOOKUP(Tabla4[[#This Row],[SERVICIO 2025]],$J$2:$V$14,3,0)*Tabla4[[#This Row],[TOTAL COBERTURA]])+Tabla4[[#This Row],[VALOR FASE PREPARATORIA DE CIERRE]]</f>
        <v>4777840</v>
      </c>
      <c r="BB1260" s="35">
        <f>SUM(Tabla4[[#This Row],[DESEMBOLSO 1]:[DESEMBOLSO 8]])</f>
        <v>34883088</v>
      </c>
      <c r="BC1260" s="35">
        <f>VLOOKUP(Tabla4[[#This Row],[SERVICIO 2025]],$J$2:$V$14,10,0)*Tabla4[[#This Row],[TOTAL COBERTURA]]*$W$3</f>
        <v>23089024</v>
      </c>
      <c r="BD1260" s="47" t="s">
        <v>211</v>
      </c>
      <c r="BE1260" s="12" t="b">
        <f>EXACT(Tabla4[[#This Row],[VALOR ATENCIÓN (8 MESES)]],Tabla4[[#This Row],[VALOR TOTAL]])</f>
        <v>1</v>
      </c>
      <c r="BF1260" s="23">
        <f>Tabla4[[#This Row],[VALOR ATENCIÓN (8 MESES)]]-Tabla4[[#This Row],[VALOR TOTAL]]</f>
        <v>0</v>
      </c>
      <c r="BG1260" s="12" t="b">
        <f>EXACT(Tabla4[[#This Row],[TOTAL DESEMBOLSOS]],Tabla4[[#This Row],[VALOR ATENCIÓN (8 MESES)]])</f>
        <v>1</v>
      </c>
      <c r="BH1260" s="29">
        <f>Tabla4[[#This Row],[TOTAL DESEMBOLSOS]]-Tabla4[[#This Row],[VALOR ATENCIÓN (8 MESES)]]</f>
        <v>0</v>
      </c>
      <c r="BI1260" t="s">
        <v>392</v>
      </c>
      <c r="BJ1260">
        <v>2026</v>
      </c>
    </row>
    <row r="1261" spans="1:62">
      <c r="A1261" s="13">
        <v>2026</v>
      </c>
      <c r="B1261" s="13" t="s">
        <v>2689</v>
      </c>
      <c r="C1261" s="12" t="s">
        <v>87</v>
      </c>
      <c r="D1261" s="12" t="s">
        <v>987</v>
      </c>
      <c r="E1261" s="12" t="s">
        <v>2682</v>
      </c>
      <c r="F1261" s="12" t="s">
        <v>18</v>
      </c>
      <c r="G1261" s="12" t="s">
        <v>90</v>
      </c>
      <c r="H1261" s="12" t="s">
        <v>2733</v>
      </c>
      <c r="I1261" s="12">
        <v>58951150573</v>
      </c>
      <c r="J1261" s="12" t="s">
        <v>2733</v>
      </c>
      <c r="K1261" s="12">
        <v>1</v>
      </c>
      <c r="L1261" s="12">
        <v>16</v>
      </c>
      <c r="M1261" s="12"/>
      <c r="N1261" s="13">
        <v>2026</v>
      </c>
      <c r="O1261" s="12" t="s">
        <v>93</v>
      </c>
      <c r="P1261" s="12"/>
      <c r="Q1261" s="12"/>
      <c r="R1261" s="12" t="s">
        <v>94</v>
      </c>
      <c r="S1261" s="12">
        <v>10</v>
      </c>
      <c r="T1261" s="12" t="s">
        <v>677</v>
      </c>
      <c r="U1261" s="12" t="s">
        <v>678</v>
      </c>
      <c r="V1261" s="12">
        <f>VLOOKUP(Tabla4[[#This Row],[ZONA DEFINITIVO]],Hoja1!$A$1:$D$121,3,0)</f>
        <v>229187</v>
      </c>
      <c r="W1261" s="12">
        <f>VLOOKUP(Tabla4[[#This Row],[ZONA DEFINITIVO]],Hoja1!$A$1:$D$121,2,0)</f>
        <v>16476</v>
      </c>
      <c r="X1261" s="12">
        <f>VLOOKUP(Tabla4[[#This Row],[ZONA DEFINITIVO]],Hoja1!$A$1:$D$121,4,0)</f>
        <v>95725</v>
      </c>
      <c r="Y1261" s="12" t="str">
        <f>+IF(Tabla4[[#This Row],[AGRUPACIONES]]=1,SUMIFS(Tabla4[UDS],Tabla4[ZONA DEFINITIVO],Tabla4[[#This Row],[ZONA DEFINITIVO]])," ")</f>
        <v xml:space="preserve"> </v>
      </c>
      <c r="Z1261" s="12" t="str">
        <f>+IF(Tabla4[[#This Row],[AGRUPACIONES]]=1,SUMIFS(Tabla4[TOTAL COBERTURA],Tabla4[ZONA DEFINITIVO],Tabla4[[#This Row],[ZONA DEFINITIVO]])," ")</f>
        <v xml:space="preserve"> </v>
      </c>
      <c r="AA1261" s="12"/>
      <c r="AB1261" s="38">
        <v>34883088</v>
      </c>
      <c r="AC1261" s="37">
        <v>0.02</v>
      </c>
      <c r="AD1261" s="38">
        <f t="shared" si="20"/>
        <v>697661.76</v>
      </c>
      <c r="AE1261" s="12"/>
      <c r="AF1261" s="12">
        <f>COUNTIF($A$20:A1261,A1261)</f>
        <v>25</v>
      </c>
      <c r="AG1261" s="38">
        <v>34883088</v>
      </c>
      <c r="AH1261" s="38">
        <f>Tabla4[[#This Row],[VALOR CONTRAPARTIDA]]+Tabla4[[#This Row],[TOTAL APORTES ICBF]]</f>
        <v>35580749.759999998</v>
      </c>
      <c r="AI1261" s="35"/>
      <c r="AJ1261" s="38"/>
      <c r="AK1261" s="38"/>
      <c r="AL1261" s="23"/>
      <c r="AM1261" s="35">
        <f>VLOOKUP(Tabla4[[#This Row],[SERVICIO 2025]],$J$2:$V$14,5,0)*Tabla4[[#This Row],[TOTAL COBERTURA]]</f>
        <v>790016</v>
      </c>
      <c r="AN1261" s="35">
        <f>VLOOKUP(Tabla4[[#This Row],[SERVICIO 2025]],$J$2:$V$14,6,0)*Tabla4[[#This Row],[TOTAL COBERTURA]]</f>
        <v>656464</v>
      </c>
      <c r="AO1261" s="35">
        <f>VLOOKUP(Tabla4[[#This Row],[SERVICIO 2025]],$J$2:$V$14,8,0)*Tabla4[[#This Row],[TOTAL COBERTURA]]</f>
        <v>465600</v>
      </c>
      <c r="AP1261" s="35">
        <f>VLOOKUP(Tabla4[[#This Row],[SERVICIO 2025]],$J$2:$V$14,3,0)*Tabla4[[#This Row],[TOTAL COBERTURA]]*8</f>
        <v>32971008</v>
      </c>
      <c r="AQ1261" s="35"/>
      <c r="AR1261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261" s="35" t="str">
        <f>+IF(Tabla4[[#This Row],[AGRUPACIONES]]=1,SUMIFS(Tabla4[VALOR TOTAL],Tabla4[ZONA DEFINITIVO],Tabla4[[#This Row],[ZONA DEFINITIVO]])," ")</f>
        <v xml:space="preserve"> </v>
      </c>
      <c r="AT1261" s="27">
        <f>(VLOOKUP(Tabla4[[#This Row],[SERVICIO 2025]],$J$2:$V$14,3,0)*Tabla4[[#This Row],[TOTAL COBERTURA]])+Tabla4[[#This Row],[VALOR FASE PREPARATORIA DE ALISTAMIENTO]]+Tabla4[[#This Row],[DOTACIÓN ÚNICA]]</f>
        <v>5376992</v>
      </c>
      <c r="AU1261" s="35">
        <f>(VLOOKUP(Tabla4[[#This Row],[SERVICIO 2025]],$J$2:$V$14,3,0)*Tabla4[[#This Row],[TOTAL COBERTURA]])</f>
        <v>4121376</v>
      </c>
      <c r="AV1261" s="35">
        <f>(VLOOKUP(Tabla4[[#This Row],[SERVICIO 2025]],$J$2:$V$14,3,0)*Tabla4[[#This Row],[TOTAL COBERTURA]])</f>
        <v>4121376</v>
      </c>
      <c r="AW1261" s="35">
        <f>(VLOOKUP(Tabla4[[#This Row],[SERVICIO 2025]],$J$2:$V$14,3,0)*Tabla4[[#This Row],[TOTAL COBERTURA]])</f>
        <v>4121376</v>
      </c>
      <c r="AX1261" s="35">
        <f>(VLOOKUP(Tabla4[[#This Row],[SERVICIO 2025]],$J$2:$V$14,3,0)*Tabla4[[#This Row],[TOTAL COBERTURA]])</f>
        <v>4121376</v>
      </c>
      <c r="AY1261" s="35">
        <f>(VLOOKUP(Tabla4[[#This Row],[SERVICIO 2025]],$J$2:$V$14,3,0)*Tabla4[[#This Row],[TOTAL COBERTURA]])</f>
        <v>4121376</v>
      </c>
      <c r="AZ1261" s="35">
        <f>(VLOOKUP(Tabla4[[#This Row],[SERVICIO 2025]],$J$2:$V$14,3,0)*Tabla4[[#This Row],[TOTAL COBERTURA]])</f>
        <v>4121376</v>
      </c>
      <c r="BA1261" s="35">
        <f>(VLOOKUP(Tabla4[[#This Row],[SERVICIO 2025]],$J$2:$V$14,3,0)*Tabla4[[#This Row],[TOTAL COBERTURA]])+Tabla4[[#This Row],[VALOR FASE PREPARATORIA DE CIERRE]]</f>
        <v>4777840</v>
      </c>
      <c r="BB1261" s="35">
        <f>SUM(Tabla4[[#This Row],[DESEMBOLSO 1]:[DESEMBOLSO 8]])</f>
        <v>34883088</v>
      </c>
      <c r="BC1261" s="35">
        <f>VLOOKUP(Tabla4[[#This Row],[SERVICIO 2025]],$J$2:$V$14,10,0)*Tabla4[[#This Row],[TOTAL COBERTURA]]*$W$3</f>
        <v>23089024</v>
      </c>
      <c r="BD1261" s="47" t="s">
        <v>211</v>
      </c>
      <c r="BE1261" s="12" t="b">
        <f>EXACT(Tabla4[[#This Row],[VALOR ATENCIÓN (8 MESES)]],Tabla4[[#This Row],[VALOR TOTAL]])</f>
        <v>1</v>
      </c>
      <c r="BF1261" s="23">
        <f>Tabla4[[#This Row],[VALOR ATENCIÓN (8 MESES)]]-Tabla4[[#This Row],[VALOR TOTAL]]</f>
        <v>0</v>
      </c>
      <c r="BG1261" s="12" t="b">
        <f>EXACT(Tabla4[[#This Row],[TOTAL DESEMBOLSOS]],Tabla4[[#This Row],[VALOR ATENCIÓN (8 MESES)]])</f>
        <v>1</v>
      </c>
      <c r="BH1261" s="29">
        <f>Tabla4[[#This Row],[TOTAL DESEMBOLSOS]]-Tabla4[[#This Row],[VALOR ATENCIÓN (8 MESES)]]</f>
        <v>0</v>
      </c>
      <c r="BI1261" t="s">
        <v>392</v>
      </c>
      <c r="BJ1261">
        <v>2026</v>
      </c>
    </row>
    <row r="1262" spans="1:62">
      <c r="A1262" s="13">
        <v>2026</v>
      </c>
      <c r="B1262" s="13" t="s">
        <v>2689</v>
      </c>
      <c r="C1262" s="12" t="s">
        <v>87</v>
      </c>
      <c r="D1262" s="12" t="s">
        <v>987</v>
      </c>
      <c r="E1262" s="12" t="s">
        <v>2682</v>
      </c>
      <c r="F1262" s="12" t="s">
        <v>18</v>
      </c>
      <c r="G1262" s="12" t="s">
        <v>90</v>
      </c>
      <c r="H1262" s="12" t="s">
        <v>2734</v>
      </c>
      <c r="I1262" s="12">
        <v>58951150574</v>
      </c>
      <c r="J1262" s="12" t="s">
        <v>2735</v>
      </c>
      <c r="K1262" s="12">
        <v>1</v>
      </c>
      <c r="L1262" s="12">
        <v>16</v>
      </c>
      <c r="M1262" s="12"/>
      <c r="N1262" s="13">
        <v>2026</v>
      </c>
      <c r="O1262" s="12" t="s">
        <v>93</v>
      </c>
      <c r="P1262" s="12"/>
      <c r="Q1262" s="12"/>
      <c r="R1262" s="12" t="s">
        <v>94</v>
      </c>
      <c r="S1262" s="12">
        <v>10</v>
      </c>
      <c r="T1262" s="12" t="s">
        <v>677</v>
      </c>
      <c r="U1262" s="12" t="s">
        <v>678</v>
      </c>
      <c r="V1262" s="12">
        <f>VLOOKUP(Tabla4[[#This Row],[ZONA DEFINITIVO]],Hoja1!$A$1:$D$121,3,0)</f>
        <v>229187</v>
      </c>
      <c r="W1262" s="12">
        <f>VLOOKUP(Tabla4[[#This Row],[ZONA DEFINITIVO]],Hoja1!$A$1:$D$121,2,0)</f>
        <v>16476</v>
      </c>
      <c r="X1262" s="12">
        <f>VLOOKUP(Tabla4[[#This Row],[ZONA DEFINITIVO]],Hoja1!$A$1:$D$121,4,0)</f>
        <v>95725</v>
      </c>
      <c r="Y1262" s="12" t="str">
        <f>+IF(Tabla4[[#This Row],[AGRUPACIONES]]=1,SUMIFS(Tabla4[UDS],Tabla4[ZONA DEFINITIVO],Tabla4[[#This Row],[ZONA DEFINITIVO]])," ")</f>
        <v xml:space="preserve"> </v>
      </c>
      <c r="Z1262" s="12" t="str">
        <f>+IF(Tabla4[[#This Row],[AGRUPACIONES]]=1,SUMIFS(Tabla4[TOTAL COBERTURA],Tabla4[ZONA DEFINITIVO],Tabla4[[#This Row],[ZONA DEFINITIVO]])," ")</f>
        <v xml:space="preserve"> </v>
      </c>
      <c r="AA1262" s="12"/>
      <c r="AB1262" s="38">
        <v>34883088</v>
      </c>
      <c r="AC1262" s="37">
        <v>0.02</v>
      </c>
      <c r="AD1262" s="38">
        <f t="shared" si="20"/>
        <v>697661.76</v>
      </c>
      <c r="AE1262" s="12"/>
      <c r="AF1262" s="12">
        <f>COUNTIF($A$20:A1262,A1262)</f>
        <v>26</v>
      </c>
      <c r="AG1262" s="38">
        <v>34883088</v>
      </c>
      <c r="AH1262" s="38">
        <f>Tabla4[[#This Row],[VALOR CONTRAPARTIDA]]+Tabla4[[#This Row],[TOTAL APORTES ICBF]]</f>
        <v>35580749.759999998</v>
      </c>
      <c r="AI1262" s="35"/>
      <c r="AJ1262" s="38"/>
      <c r="AK1262" s="38"/>
      <c r="AL1262" s="23"/>
      <c r="AM1262" s="35">
        <f>VLOOKUP(Tabla4[[#This Row],[SERVICIO 2025]],$J$2:$V$14,5,0)*Tabla4[[#This Row],[TOTAL COBERTURA]]</f>
        <v>790016</v>
      </c>
      <c r="AN1262" s="35">
        <f>VLOOKUP(Tabla4[[#This Row],[SERVICIO 2025]],$J$2:$V$14,6,0)*Tabla4[[#This Row],[TOTAL COBERTURA]]</f>
        <v>656464</v>
      </c>
      <c r="AO1262" s="35">
        <f>VLOOKUP(Tabla4[[#This Row],[SERVICIO 2025]],$J$2:$V$14,8,0)*Tabla4[[#This Row],[TOTAL COBERTURA]]</f>
        <v>465600</v>
      </c>
      <c r="AP1262" s="35">
        <f>VLOOKUP(Tabla4[[#This Row],[SERVICIO 2025]],$J$2:$V$14,3,0)*Tabla4[[#This Row],[TOTAL COBERTURA]]*8</f>
        <v>32971008</v>
      </c>
      <c r="AQ1262" s="35"/>
      <c r="AR1262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262" s="35" t="str">
        <f>+IF(Tabla4[[#This Row],[AGRUPACIONES]]=1,SUMIFS(Tabla4[VALOR TOTAL],Tabla4[ZONA DEFINITIVO],Tabla4[[#This Row],[ZONA DEFINITIVO]])," ")</f>
        <v xml:space="preserve"> </v>
      </c>
      <c r="AT1262" s="27">
        <f>(VLOOKUP(Tabla4[[#This Row],[SERVICIO 2025]],$J$2:$V$14,3,0)*Tabla4[[#This Row],[TOTAL COBERTURA]])+Tabla4[[#This Row],[VALOR FASE PREPARATORIA DE ALISTAMIENTO]]+Tabla4[[#This Row],[DOTACIÓN ÚNICA]]</f>
        <v>5376992</v>
      </c>
      <c r="AU1262" s="35">
        <f>(VLOOKUP(Tabla4[[#This Row],[SERVICIO 2025]],$J$2:$V$14,3,0)*Tabla4[[#This Row],[TOTAL COBERTURA]])</f>
        <v>4121376</v>
      </c>
      <c r="AV1262" s="35">
        <f>(VLOOKUP(Tabla4[[#This Row],[SERVICIO 2025]],$J$2:$V$14,3,0)*Tabla4[[#This Row],[TOTAL COBERTURA]])</f>
        <v>4121376</v>
      </c>
      <c r="AW1262" s="35">
        <f>(VLOOKUP(Tabla4[[#This Row],[SERVICIO 2025]],$J$2:$V$14,3,0)*Tabla4[[#This Row],[TOTAL COBERTURA]])</f>
        <v>4121376</v>
      </c>
      <c r="AX1262" s="35">
        <f>(VLOOKUP(Tabla4[[#This Row],[SERVICIO 2025]],$J$2:$V$14,3,0)*Tabla4[[#This Row],[TOTAL COBERTURA]])</f>
        <v>4121376</v>
      </c>
      <c r="AY1262" s="35">
        <f>(VLOOKUP(Tabla4[[#This Row],[SERVICIO 2025]],$J$2:$V$14,3,0)*Tabla4[[#This Row],[TOTAL COBERTURA]])</f>
        <v>4121376</v>
      </c>
      <c r="AZ1262" s="35">
        <f>(VLOOKUP(Tabla4[[#This Row],[SERVICIO 2025]],$J$2:$V$14,3,0)*Tabla4[[#This Row],[TOTAL COBERTURA]])</f>
        <v>4121376</v>
      </c>
      <c r="BA1262" s="35">
        <f>(VLOOKUP(Tabla4[[#This Row],[SERVICIO 2025]],$J$2:$V$14,3,0)*Tabla4[[#This Row],[TOTAL COBERTURA]])+Tabla4[[#This Row],[VALOR FASE PREPARATORIA DE CIERRE]]</f>
        <v>4777840</v>
      </c>
      <c r="BB1262" s="35">
        <f>SUM(Tabla4[[#This Row],[DESEMBOLSO 1]:[DESEMBOLSO 8]])</f>
        <v>34883088</v>
      </c>
      <c r="BC1262" s="35">
        <f>VLOOKUP(Tabla4[[#This Row],[SERVICIO 2025]],$J$2:$V$14,10,0)*Tabla4[[#This Row],[TOTAL COBERTURA]]*$W$3</f>
        <v>23089024</v>
      </c>
      <c r="BD1262" s="47" t="s">
        <v>211</v>
      </c>
      <c r="BE1262" s="12" t="b">
        <f>EXACT(Tabla4[[#This Row],[VALOR ATENCIÓN (8 MESES)]],Tabla4[[#This Row],[VALOR TOTAL]])</f>
        <v>1</v>
      </c>
      <c r="BF1262" s="23">
        <f>Tabla4[[#This Row],[VALOR ATENCIÓN (8 MESES)]]-Tabla4[[#This Row],[VALOR TOTAL]]</f>
        <v>0</v>
      </c>
      <c r="BG1262" s="12" t="b">
        <f>EXACT(Tabla4[[#This Row],[TOTAL DESEMBOLSOS]],Tabla4[[#This Row],[VALOR ATENCIÓN (8 MESES)]])</f>
        <v>1</v>
      </c>
      <c r="BH1262" s="29">
        <f>Tabla4[[#This Row],[TOTAL DESEMBOLSOS]]-Tabla4[[#This Row],[VALOR ATENCIÓN (8 MESES)]]</f>
        <v>0</v>
      </c>
      <c r="BI1262" t="s">
        <v>392</v>
      </c>
      <c r="BJ1262">
        <v>2026</v>
      </c>
    </row>
    <row r="1263" spans="1:62">
      <c r="A1263" s="13">
        <v>2026</v>
      </c>
      <c r="B1263" s="13" t="s">
        <v>2689</v>
      </c>
      <c r="C1263" s="12" t="s">
        <v>87</v>
      </c>
      <c r="D1263" s="12" t="s">
        <v>987</v>
      </c>
      <c r="E1263" s="12" t="s">
        <v>2682</v>
      </c>
      <c r="F1263" s="12" t="s">
        <v>18</v>
      </c>
      <c r="G1263" s="12" t="s">
        <v>90</v>
      </c>
      <c r="H1263" s="12" t="s">
        <v>2736</v>
      </c>
      <c r="I1263" s="12">
        <v>58951150575</v>
      </c>
      <c r="J1263" s="12" t="s">
        <v>2737</v>
      </c>
      <c r="K1263" s="12">
        <v>1</v>
      </c>
      <c r="L1263" s="12">
        <v>16</v>
      </c>
      <c r="M1263" s="12"/>
      <c r="N1263" s="13">
        <v>2026</v>
      </c>
      <c r="O1263" s="12" t="s">
        <v>93</v>
      </c>
      <c r="P1263" s="12"/>
      <c r="Q1263" s="12"/>
      <c r="R1263" s="12" t="s">
        <v>94</v>
      </c>
      <c r="S1263" s="12">
        <v>10</v>
      </c>
      <c r="T1263" s="12" t="s">
        <v>677</v>
      </c>
      <c r="U1263" s="12" t="s">
        <v>678</v>
      </c>
      <c r="V1263" s="12">
        <f>VLOOKUP(Tabla4[[#This Row],[ZONA DEFINITIVO]],Hoja1!$A$1:$D$121,3,0)</f>
        <v>229187</v>
      </c>
      <c r="W1263" s="12">
        <f>VLOOKUP(Tabla4[[#This Row],[ZONA DEFINITIVO]],Hoja1!$A$1:$D$121,2,0)</f>
        <v>16476</v>
      </c>
      <c r="X1263" s="12">
        <f>VLOOKUP(Tabla4[[#This Row],[ZONA DEFINITIVO]],Hoja1!$A$1:$D$121,4,0)</f>
        <v>95725</v>
      </c>
      <c r="Y1263" s="12" t="str">
        <f>+IF(Tabla4[[#This Row],[AGRUPACIONES]]=1,SUMIFS(Tabla4[UDS],Tabla4[ZONA DEFINITIVO],Tabla4[[#This Row],[ZONA DEFINITIVO]])," ")</f>
        <v xml:space="preserve"> </v>
      </c>
      <c r="Z1263" s="12" t="str">
        <f>+IF(Tabla4[[#This Row],[AGRUPACIONES]]=1,SUMIFS(Tabla4[TOTAL COBERTURA],Tabla4[ZONA DEFINITIVO],Tabla4[[#This Row],[ZONA DEFINITIVO]])," ")</f>
        <v xml:space="preserve"> </v>
      </c>
      <c r="AA1263" s="12"/>
      <c r="AB1263" s="38">
        <v>34883088</v>
      </c>
      <c r="AC1263" s="37">
        <v>0.02</v>
      </c>
      <c r="AD1263" s="38">
        <f t="shared" si="20"/>
        <v>697661.76</v>
      </c>
      <c r="AE1263" s="12"/>
      <c r="AF1263" s="12">
        <f>COUNTIF($A$20:A1263,A1263)</f>
        <v>27</v>
      </c>
      <c r="AG1263" s="38">
        <v>34883088</v>
      </c>
      <c r="AH1263" s="38">
        <f>Tabla4[[#This Row],[VALOR CONTRAPARTIDA]]+Tabla4[[#This Row],[TOTAL APORTES ICBF]]</f>
        <v>35580749.759999998</v>
      </c>
      <c r="AI1263" s="35"/>
      <c r="AJ1263" s="38"/>
      <c r="AK1263" s="38"/>
      <c r="AL1263" s="23"/>
      <c r="AM1263" s="35">
        <f>VLOOKUP(Tabla4[[#This Row],[SERVICIO 2025]],$J$2:$V$14,5,0)*Tabla4[[#This Row],[TOTAL COBERTURA]]</f>
        <v>790016</v>
      </c>
      <c r="AN1263" s="35">
        <f>VLOOKUP(Tabla4[[#This Row],[SERVICIO 2025]],$J$2:$V$14,6,0)*Tabla4[[#This Row],[TOTAL COBERTURA]]</f>
        <v>656464</v>
      </c>
      <c r="AO1263" s="35">
        <f>VLOOKUP(Tabla4[[#This Row],[SERVICIO 2025]],$J$2:$V$14,8,0)*Tabla4[[#This Row],[TOTAL COBERTURA]]</f>
        <v>465600</v>
      </c>
      <c r="AP1263" s="35">
        <f>VLOOKUP(Tabla4[[#This Row],[SERVICIO 2025]],$J$2:$V$14,3,0)*Tabla4[[#This Row],[TOTAL COBERTURA]]*8</f>
        <v>32971008</v>
      </c>
      <c r="AQ1263" s="35"/>
      <c r="AR1263" s="35">
        <f>Tabla4[[#This Row],[VALOR FASE PREPARATORIA DE ALISTAMIENTO]]+Tabla4[[#This Row],[VALOR FASE PREPARATORIA DE CIERRE]]+Tabla4[[#This Row],[DOTACIÓN ÚNICA]]+Tabla4[[#This Row],[VALOR ATENCIÓN]]+Tabla4[[#This Row],[VALOR RACION PREPARADA]]</f>
        <v>34883088</v>
      </c>
      <c r="AS1263" s="35" t="str">
        <f>+IF(Tabla4[[#This Row],[AGRUPACIONES]]=1,SUMIFS(Tabla4[VALOR TOTAL],Tabla4[ZONA DEFINITIVO],Tabla4[[#This Row],[ZONA DEFINITIVO]])," ")</f>
        <v xml:space="preserve"> </v>
      </c>
      <c r="AT1263" s="27">
        <f>(VLOOKUP(Tabla4[[#This Row],[SERVICIO 2025]],$J$2:$V$14,3,0)*Tabla4[[#This Row],[TOTAL COBERTURA]])+Tabla4[[#This Row],[VALOR FASE PREPARATORIA DE ALISTAMIENTO]]+Tabla4[[#This Row],[DOTACIÓN ÚNICA]]</f>
        <v>5376992</v>
      </c>
      <c r="AU1263" s="35">
        <f>(VLOOKUP(Tabla4[[#This Row],[SERVICIO 2025]],$J$2:$V$14,3,0)*Tabla4[[#This Row],[TOTAL COBERTURA]])</f>
        <v>4121376</v>
      </c>
      <c r="AV1263" s="35">
        <f>(VLOOKUP(Tabla4[[#This Row],[SERVICIO 2025]],$J$2:$V$14,3,0)*Tabla4[[#This Row],[TOTAL COBERTURA]])</f>
        <v>4121376</v>
      </c>
      <c r="AW1263" s="35">
        <f>(VLOOKUP(Tabla4[[#This Row],[SERVICIO 2025]],$J$2:$V$14,3,0)*Tabla4[[#This Row],[TOTAL COBERTURA]])</f>
        <v>4121376</v>
      </c>
      <c r="AX1263" s="35">
        <f>(VLOOKUP(Tabla4[[#This Row],[SERVICIO 2025]],$J$2:$V$14,3,0)*Tabla4[[#This Row],[TOTAL COBERTURA]])</f>
        <v>4121376</v>
      </c>
      <c r="AY1263" s="35">
        <f>(VLOOKUP(Tabla4[[#This Row],[SERVICIO 2025]],$J$2:$V$14,3,0)*Tabla4[[#This Row],[TOTAL COBERTURA]])</f>
        <v>4121376</v>
      </c>
      <c r="AZ1263" s="35">
        <f>(VLOOKUP(Tabla4[[#This Row],[SERVICIO 2025]],$J$2:$V$14,3,0)*Tabla4[[#This Row],[TOTAL COBERTURA]])</f>
        <v>4121376</v>
      </c>
      <c r="BA1263" s="35">
        <f>(VLOOKUP(Tabla4[[#This Row],[SERVICIO 2025]],$J$2:$V$14,3,0)*Tabla4[[#This Row],[TOTAL COBERTURA]])+Tabla4[[#This Row],[VALOR FASE PREPARATORIA DE CIERRE]]</f>
        <v>4777840</v>
      </c>
      <c r="BB1263" s="35">
        <f>SUM(Tabla4[[#This Row],[DESEMBOLSO 1]:[DESEMBOLSO 8]])</f>
        <v>34883088</v>
      </c>
      <c r="BC1263" s="35">
        <f>VLOOKUP(Tabla4[[#This Row],[SERVICIO 2025]],$J$2:$V$14,10,0)*Tabla4[[#This Row],[TOTAL COBERTURA]]*$W$3</f>
        <v>23089024</v>
      </c>
      <c r="BD1263" s="47" t="s">
        <v>211</v>
      </c>
      <c r="BE1263" s="12" t="b">
        <f>EXACT(Tabla4[[#This Row],[VALOR ATENCIÓN (8 MESES)]],Tabla4[[#This Row],[VALOR TOTAL]])</f>
        <v>1</v>
      </c>
      <c r="BF1263" s="23">
        <f>Tabla4[[#This Row],[VALOR ATENCIÓN (8 MESES)]]-Tabla4[[#This Row],[VALOR TOTAL]]</f>
        <v>0</v>
      </c>
      <c r="BG1263" s="12" t="b">
        <f>EXACT(Tabla4[[#This Row],[TOTAL DESEMBOLSOS]],Tabla4[[#This Row],[VALOR ATENCIÓN (8 MESES)]])</f>
        <v>1</v>
      </c>
      <c r="BH1263" s="29">
        <f>Tabla4[[#This Row],[TOTAL DESEMBOLSOS]]-Tabla4[[#This Row],[VALOR ATENCIÓN (8 MESES)]]</f>
        <v>0</v>
      </c>
      <c r="BI1263" t="s">
        <v>392</v>
      </c>
      <c r="BJ1263">
        <v>2026</v>
      </c>
    </row>
    <row r="1264" spans="1:62">
      <c r="A1264" s="13">
        <v>2026</v>
      </c>
      <c r="B1264" s="13" t="s">
        <v>2689</v>
      </c>
      <c r="C1264" s="12" t="s">
        <v>87</v>
      </c>
      <c r="D1264" s="12" t="s">
        <v>987</v>
      </c>
      <c r="E1264" s="12" t="s">
        <v>2682</v>
      </c>
      <c r="F1264" s="12" t="s">
        <v>18</v>
      </c>
      <c r="G1264" s="12" t="s">
        <v>90</v>
      </c>
      <c r="H1264" s="12" t="s">
        <v>2738</v>
      </c>
      <c r="I1264" s="12">
        <v>589500104334</v>
      </c>
      <c r="J1264" s="12" t="s">
        <v>2739</v>
      </c>
      <c r="K1264" s="12">
        <v>1</v>
      </c>
      <c r="L1264" s="12">
        <v>28</v>
      </c>
      <c r="M1264" s="12"/>
      <c r="N1264" s="13">
        <v>2026</v>
      </c>
      <c r="O1264" s="12" t="s">
        <v>93</v>
      </c>
      <c r="P1264" s="12"/>
      <c r="Q1264" s="12"/>
      <c r="R1264" s="12" t="s">
        <v>94</v>
      </c>
      <c r="S1264" s="12">
        <v>10</v>
      </c>
      <c r="T1264" s="12" t="s">
        <v>677</v>
      </c>
      <c r="U1264" s="12" t="s">
        <v>678</v>
      </c>
      <c r="V1264" s="12">
        <f>VLOOKUP(Tabla4[[#This Row],[ZONA DEFINITIVO]],Hoja1!$A$1:$D$121,3,0)</f>
        <v>229187</v>
      </c>
      <c r="W1264" s="12">
        <f>VLOOKUP(Tabla4[[#This Row],[ZONA DEFINITIVO]],Hoja1!$A$1:$D$121,2,0)</f>
        <v>16476</v>
      </c>
      <c r="X1264" s="12">
        <f>VLOOKUP(Tabla4[[#This Row],[ZONA DEFINITIVO]],Hoja1!$A$1:$D$121,4,0)</f>
        <v>95725</v>
      </c>
      <c r="Y1264" s="12" t="str">
        <f>+IF(Tabla4[[#This Row],[AGRUPACIONES]]=1,SUMIFS(Tabla4[UDS],Tabla4[ZONA DEFINITIVO],Tabla4[[#This Row],[ZONA DEFINITIVO]])," ")</f>
        <v xml:space="preserve"> </v>
      </c>
      <c r="Z1264" s="12" t="str">
        <f>+IF(Tabla4[[#This Row],[AGRUPACIONES]]=1,SUMIFS(Tabla4[TOTAL COBERTURA],Tabla4[ZONA DEFINITIVO],Tabla4[[#This Row],[ZONA DEFINITIVO]])," ")</f>
        <v xml:space="preserve"> </v>
      </c>
      <c r="AA1264" s="12"/>
      <c r="AB1264" s="38">
        <v>61045404</v>
      </c>
      <c r="AC1264" s="37">
        <v>0.02</v>
      </c>
      <c r="AD1264" s="38">
        <f t="shared" si="20"/>
        <v>1220908.08</v>
      </c>
      <c r="AE1264" s="12"/>
      <c r="AF1264" s="12">
        <f>COUNTIF($A$20:A1264,A1264)</f>
        <v>28</v>
      </c>
      <c r="AG1264" s="38">
        <v>61045404</v>
      </c>
      <c r="AH1264" s="38">
        <f>Tabla4[[#This Row],[VALOR CONTRAPARTIDA]]+Tabla4[[#This Row],[TOTAL APORTES ICBF]]</f>
        <v>62266312.079999998</v>
      </c>
      <c r="AI1264" s="35"/>
      <c r="AJ1264" s="38"/>
      <c r="AK1264" s="38"/>
      <c r="AL1264" s="23"/>
      <c r="AM1264" s="35">
        <f>VLOOKUP(Tabla4[[#This Row],[SERVICIO 2025]],$J$2:$V$14,5,0)*Tabla4[[#This Row],[TOTAL COBERTURA]]</f>
        <v>1382528</v>
      </c>
      <c r="AN1264" s="35">
        <f>VLOOKUP(Tabla4[[#This Row],[SERVICIO 2025]],$J$2:$V$14,6,0)*Tabla4[[#This Row],[TOTAL COBERTURA]]</f>
        <v>1148812</v>
      </c>
      <c r="AO1264" s="35">
        <f>VLOOKUP(Tabla4[[#This Row],[SERVICIO 2025]],$J$2:$V$14,8,0)*Tabla4[[#This Row],[TOTAL COBERTURA]]</f>
        <v>814800</v>
      </c>
      <c r="AP1264" s="35">
        <f>VLOOKUP(Tabla4[[#This Row],[SERVICIO 2025]],$J$2:$V$14,3,0)*Tabla4[[#This Row],[TOTAL COBERTURA]]*8</f>
        <v>57699264</v>
      </c>
      <c r="AQ1264" s="35"/>
      <c r="AR1264" s="35">
        <f>Tabla4[[#This Row],[VALOR FASE PREPARATORIA DE ALISTAMIENTO]]+Tabla4[[#This Row],[VALOR FASE PREPARATORIA DE CIERRE]]+Tabla4[[#This Row],[DOTACIÓN ÚNICA]]+Tabla4[[#This Row],[VALOR ATENCIÓN]]+Tabla4[[#This Row],[VALOR RACION PREPARADA]]</f>
        <v>61045404</v>
      </c>
      <c r="AS1264" s="35" t="str">
        <f>+IF(Tabla4[[#This Row],[AGRUPACIONES]]=1,SUMIFS(Tabla4[VALOR TOTAL],Tabla4[ZONA DEFINITIVO],Tabla4[[#This Row],[ZONA DEFINITIVO]])," ")</f>
        <v xml:space="preserve"> </v>
      </c>
      <c r="AT1264" s="27">
        <f>(VLOOKUP(Tabla4[[#This Row],[SERVICIO 2025]],$J$2:$V$14,3,0)*Tabla4[[#This Row],[TOTAL COBERTURA]])+Tabla4[[#This Row],[VALOR FASE PREPARATORIA DE ALISTAMIENTO]]+Tabla4[[#This Row],[DOTACIÓN ÚNICA]]</f>
        <v>9409736</v>
      </c>
      <c r="AU1264" s="35">
        <f>(VLOOKUP(Tabla4[[#This Row],[SERVICIO 2025]],$J$2:$V$14,3,0)*Tabla4[[#This Row],[TOTAL COBERTURA]])</f>
        <v>7212408</v>
      </c>
      <c r="AV1264" s="35">
        <f>(VLOOKUP(Tabla4[[#This Row],[SERVICIO 2025]],$J$2:$V$14,3,0)*Tabla4[[#This Row],[TOTAL COBERTURA]])</f>
        <v>7212408</v>
      </c>
      <c r="AW1264" s="35">
        <f>(VLOOKUP(Tabla4[[#This Row],[SERVICIO 2025]],$J$2:$V$14,3,0)*Tabla4[[#This Row],[TOTAL COBERTURA]])</f>
        <v>7212408</v>
      </c>
      <c r="AX1264" s="35">
        <f>(VLOOKUP(Tabla4[[#This Row],[SERVICIO 2025]],$J$2:$V$14,3,0)*Tabla4[[#This Row],[TOTAL COBERTURA]])</f>
        <v>7212408</v>
      </c>
      <c r="AY1264" s="35">
        <f>(VLOOKUP(Tabla4[[#This Row],[SERVICIO 2025]],$J$2:$V$14,3,0)*Tabla4[[#This Row],[TOTAL COBERTURA]])</f>
        <v>7212408</v>
      </c>
      <c r="AZ1264" s="35">
        <f>(VLOOKUP(Tabla4[[#This Row],[SERVICIO 2025]],$J$2:$V$14,3,0)*Tabla4[[#This Row],[TOTAL COBERTURA]])</f>
        <v>7212408</v>
      </c>
      <c r="BA1264" s="35">
        <f>(VLOOKUP(Tabla4[[#This Row],[SERVICIO 2025]],$J$2:$V$14,3,0)*Tabla4[[#This Row],[TOTAL COBERTURA]])+Tabla4[[#This Row],[VALOR FASE PREPARATORIA DE CIERRE]]</f>
        <v>8361220</v>
      </c>
      <c r="BB1264" s="35">
        <f>SUM(Tabla4[[#This Row],[DESEMBOLSO 1]:[DESEMBOLSO 8]])</f>
        <v>61045404</v>
      </c>
      <c r="BC1264" s="35">
        <f>VLOOKUP(Tabla4[[#This Row],[SERVICIO 2025]],$J$2:$V$14,10,0)*Tabla4[[#This Row],[TOTAL COBERTURA]]*$W$3</f>
        <v>40405792</v>
      </c>
      <c r="BD1264" s="47" t="s">
        <v>211</v>
      </c>
      <c r="BE1264" s="12" t="b">
        <f>EXACT(Tabla4[[#This Row],[VALOR ATENCIÓN (8 MESES)]],Tabla4[[#This Row],[VALOR TOTAL]])</f>
        <v>1</v>
      </c>
      <c r="BF1264" s="23">
        <f>Tabla4[[#This Row],[VALOR ATENCIÓN (8 MESES)]]-Tabla4[[#This Row],[VALOR TOTAL]]</f>
        <v>0</v>
      </c>
      <c r="BG1264" s="12" t="b">
        <f>EXACT(Tabla4[[#This Row],[TOTAL DESEMBOLSOS]],Tabla4[[#This Row],[VALOR ATENCIÓN (8 MESES)]])</f>
        <v>1</v>
      </c>
      <c r="BH1264" s="29">
        <f>Tabla4[[#This Row],[TOTAL DESEMBOLSOS]]-Tabla4[[#This Row],[VALOR ATENCIÓN (8 MESES)]]</f>
        <v>0</v>
      </c>
      <c r="BI1264" t="s">
        <v>392</v>
      </c>
      <c r="BJ1264">
        <v>2026</v>
      </c>
    </row>
    <row r="1265" spans="1:62">
      <c r="A1265" s="13">
        <v>2026</v>
      </c>
      <c r="B1265" s="13" t="s">
        <v>2689</v>
      </c>
      <c r="C1265" s="12" t="s">
        <v>87</v>
      </c>
      <c r="D1265" s="12" t="s">
        <v>987</v>
      </c>
      <c r="E1265" s="12" t="s">
        <v>2682</v>
      </c>
      <c r="F1265" s="12" t="s">
        <v>18</v>
      </c>
      <c r="G1265" s="12" t="s">
        <v>90</v>
      </c>
      <c r="H1265" s="12" t="s">
        <v>2740</v>
      </c>
      <c r="I1265" s="12">
        <v>589500112229</v>
      </c>
      <c r="J1265" s="12" t="s">
        <v>2741</v>
      </c>
      <c r="K1265" s="12">
        <v>1</v>
      </c>
      <c r="L1265" s="12">
        <v>31</v>
      </c>
      <c r="M1265" s="12"/>
      <c r="N1265" s="13">
        <v>2026</v>
      </c>
      <c r="O1265" s="12" t="s">
        <v>93</v>
      </c>
      <c r="P1265" s="12"/>
      <c r="Q1265" s="12"/>
      <c r="R1265" s="12" t="s">
        <v>94</v>
      </c>
      <c r="S1265" s="12">
        <v>10</v>
      </c>
      <c r="T1265" s="12" t="s">
        <v>677</v>
      </c>
      <c r="U1265" s="12" t="s">
        <v>678</v>
      </c>
      <c r="V1265" s="12">
        <f>VLOOKUP(Tabla4[[#This Row],[ZONA DEFINITIVO]],Hoja1!$A$1:$D$121,3,0)</f>
        <v>229187</v>
      </c>
      <c r="W1265" s="12">
        <f>VLOOKUP(Tabla4[[#This Row],[ZONA DEFINITIVO]],Hoja1!$A$1:$D$121,2,0)</f>
        <v>16476</v>
      </c>
      <c r="X1265" s="12">
        <f>VLOOKUP(Tabla4[[#This Row],[ZONA DEFINITIVO]],Hoja1!$A$1:$D$121,4,0)</f>
        <v>95725</v>
      </c>
      <c r="Y1265" s="12" t="str">
        <f>+IF(Tabla4[[#This Row],[AGRUPACIONES]]=1,SUMIFS(Tabla4[UDS],Tabla4[ZONA DEFINITIVO],Tabla4[[#This Row],[ZONA DEFINITIVO]])," ")</f>
        <v xml:space="preserve"> </v>
      </c>
      <c r="Z1265" s="12" t="str">
        <f>+IF(Tabla4[[#This Row],[AGRUPACIONES]]=1,SUMIFS(Tabla4[TOTAL COBERTURA],Tabla4[ZONA DEFINITIVO],Tabla4[[#This Row],[ZONA DEFINITIVO]])," ")</f>
        <v xml:space="preserve"> </v>
      </c>
      <c r="AA1265" s="12"/>
      <c r="AB1265" s="38">
        <v>67585983</v>
      </c>
      <c r="AC1265" s="37">
        <v>0.02</v>
      </c>
      <c r="AD1265" s="38">
        <f t="shared" si="20"/>
        <v>1351719.66</v>
      </c>
      <c r="AE1265" s="12"/>
      <c r="AF1265" s="12">
        <f>COUNTIF($A$20:A1265,A1265)</f>
        <v>29</v>
      </c>
      <c r="AG1265" s="38">
        <v>67585983</v>
      </c>
      <c r="AH1265" s="38">
        <f>Tabla4[[#This Row],[VALOR CONTRAPARTIDA]]+Tabla4[[#This Row],[TOTAL APORTES ICBF]]</f>
        <v>68937702.659999996</v>
      </c>
      <c r="AI1265" s="35"/>
      <c r="AJ1265" s="38"/>
      <c r="AK1265" s="38"/>
      <c r="AL1265" s="23"/>
      <c r="AM1265" s="35">
        <f>VLOOKUP(Tabla4[[#This Row],[SERVICIO 2025]],$J$2:$V$14,5,0)*Tabla4[[#This Row],[TOTAL COBERTURA]]</f>
        <v>1530656</v>
      </c>
      <c r="AN1265" s="35">
        <f>VLOOKUP(Tabla4[[#This Row],[SERVICIO 2025]],$J$2:$V$14,6,0)*Tabla4[[#This Row],[TOTAL COBERTURA]]</f>
        <v>1271899</v>
      </c>
      <c r="AO1265" s="35">
        <f>VLOOKUP(Tabla4[[#This Row],[SERVICIO 2025]],$J$2:$V$14,8,0)*Tabla4[[#This Row],[TOTAL COBERTURA]]</f>
        <v>902100</v>
      </c>
      <c r="AP1265" s="35">
        <f>VLOOKUP(Tabla4[[#This Row],[SERVICIO 2025]],$J$2:$V$14,3,0)*Tabla4[[#This Row],[TOTAL COBERTURA]]*8</f>
        <v>63881328</v>
      </c>
      <c r="AQ1265" s="35"/>
      <c r="AR1265" s="35">
        <f>Tabla4[[#This Row],[VALOR FASE PREPARATORIA DE ALISTAMIENTO]]+Tabla4[[#This Row],[VALOR FASE PREPARATORIA DE CIERRE]]+Tabla4[[#This Row],[DOTACIÓN ÚNICA]]+Tabla4[[#This Row],[VALOR ATENCIÓN]]+Tabla4[[#This Row],[VALOR RACION PREPARADA]]</f>
        <v>67585983</v>
      </c>
      <c r="AS1265" s="35" t="str">
        <f>+IF(Tabla4[[#This Row],[AGRUPACIONES]]=1,SUMIFS(Tabla4[VALOR TOTAL],Tabla4[ZONA DEFINITIVO],Tabla4[[#This Row],[ZONA DEFINITIVO]])," ")</f>
        <v xml:space="preserve"> </v>
      </c>
      <c r="AT1265" s="27">
        <f>(VLOOKUP(Tabla4[[#This Row],[SERVICIO 2025]],$J$2:$V$14,3,0)*Tabla4[[#This Row],[TOTAL COBERTURA]])+Tabla4[[#This Row],[VALOR FASE PREPARATORIA DE ALISTAMIENTO]]+Tabla4[[#This Row],[DOTACIÓN ÚNICA]]</f>
        <v>10417922</v>
      </c>
      <c r="AU1265" s="35">
        <f>(VLOOKUP(Tabla4[[#This Row],[SERVICIO 2025]],$J$2:$V$14,3,0)*Tabla4[[#This Row],[TOTAL COBERTURA]])</f>
        <v>7985166</v>
      </c>
      <c r="AV1265" s="35">
        <f>(VLOOKUP(Tabla4[[#This Row],[SERVICIO 2025]],$J$2:$V$14,3,0)*Tabla4[[#This Row],[TOTAL COBERTURA]])</f>
        <v>7985166</v>
      </c>
      <c r="AW1265" s="35">
        <f>(VLOOKUP(Tabla4[[#This Row],[SERVICIO 2025]],$J$2:$V$14,3,0)*Tabla4[[#This Row],[TOTAL COBERTURA]])</f>
        <v>7985166</v>
      </c>
      <c r="AX1265" s="35">
        <f>(VLOOKUP(Tabla4[[#This Row],[SERVICIO 2025]],$J$2:$V$14,3,0)*Tabla4[[#This Row],[TOTAL COBERTURA]])</f>
        <v>7985166</v>
      </c>
      <c r="AY1265" s="35">
        <f>(VLOOKUP(Tabla4[[#This Row],[SERVICIO 2025]],$J$2:$V$14,3,0)*Tabla4[[#This Row],[TOTAL COBERTURA]])</f>
        <v>7985166</v>
      </c>
      <c r="AZ1265" s="35">
        <f>(VLOOKUP(Tabla4[[#This Row],[SERVICIO 2025]],$J$2:$V$14,3,0)*Tabla4[[#This Row],[TOTAL COBERTURA]])</f>
        <v>7985166</v>
      </c>
      <c r="BA1265" s="35">
        <f>(VLOOKUP(Tabla4[[#This Row],[SERVICIO 2025]],$J$2:$V$14,3,0)*Tabla4[[#This Row],[TOTAL COBERTURA]])+Tabla4[[#This Row],[VALOR FASE PREPARATORIA DE CIERRE]]</f>
        <v>9257065</v>
      </c>
      <c r="BB1265" s="35">
        <f>SUM(Tabla4[[#This Row],[DESEMBOLSO 1]:[DESEMBOLSO 8]])</f>
        <v>67585983</v>
      </c>
      <c r="BC1265" s="35">
        <f>VLOOKUP(Tabla4[[#This Row],[SERVICIO 2025]],$J$2:$V$14,10,0)*Tabla4[[#This Row],[TOTAL COBERTURA]]*$W$3</f>
        <v>44734984</v>
      </c>
      <c r="BD1265" s="47" t="s">
        <v>211</v>
      </c>
      <c r="BE1265" s="12" t="b">
        <f>EXACT(Tabla4[[#This Row],[VALOR ATENCIÓN (8 MESES)]],Tabla4[[#This Row],[VALOR TOTAL]])</f>
        <v>1</v>
      </c>
      <c r="BF1265" s="23">
        <f>Tabla4[[#This Row],[VALOR ATENCIÓN (8 MESES)]]-Tabla4[[#This Row],[VALOR TOTAL]]</f>
        <v>0</v>
      </c>
      <c r="BG1265" s="12" t="b">
        <f>EXACT(Tabla4[[#This Row],[TOTAL DESEMBOLSOS]],Tabla4[[#This Row],[VALOR ATENCIÓN (8 MESES)]])</f>
        <v>1</v>
      </c>
      <c r="BH1265" s="29">
        <f>Tabla4[[#This Row],[TOTAL DESEMBOLSOS]]-Tabla4[[#This Row],[VALOR ATENCIÓN (8 MESES)]]</f>
        <v>0</v>
      </c>
      <c r="BI1265" t="s">
        <v>392</v>
      </c>
      <c r="BJ1265">
        <v>2026</v>
      </c>
    </row>
    <row r="1266" spans="1:62">
      <c r="A1266" s="13">
        <v>2027</v>
      </c>
      <c r="B1266" s="13" t="s">
        <v>2742</v>
      </c>
      <c r="C1266" s="12" t="s">
        <v>87</v>
      </c>
      <c r="D1266" s="12" t="s">
        <v>88</v>
      </c>
      <c r="E1266" s="12" t="s">
        <v>2743</v>
      </c>
      <c r="F1266" s="12" t="s">
        <v>15</v>
      </c>
      <c r="G1266" s="12" t="s">
        <v>90</v>
      </c>
      <c r="H1266" s="12" t="s">
        <v>2744</v>
      </c>
      <c r="I1266" s="12">
        <v>508800099803</v>
      </c>
      <c r="J1266" s="12" t="s">
        <v>2745</v>
      </c>
      <c r="K1266" s="12">
        <v>1</v>
      </c>
      <c r="L1266" s="12">
        <v>308</v>
      </c>
      <c r="M1266" s="12"/>
      <c r="N1266" s="13">
        <v>2027</v>
      </c>
      <c r="O1266" s="12" t="s">
        <v>93</v>
      </c>
      <c r="P1266" s="12"/>
      <c r="Q1266" s="12"/>
      <c r="R1266" s="12" t="s">
        <v>94</v>
      </c>
      <c r="S1266" s="12">
        <v>10</v>
      </c>
      <c r="T1266" s="12" t="s">
        <v>2746</v>
      </c>
      <c r="U1266" s="12" t="s">
        <v>2747</v>
      </c>
      <c r="V1266" s="12">
        <f>VLOOKUP(Tabla4[[#This Row],[ZONA DEFINITIVO]],Hoja1!$A$1:$D$121,3,0)</f>
        <v>229172</v>
      </c>
      <c r="W1266" s="12">
        <f>VLOOKUP(Tabla4[[#This Row],[ZONA DEFINITIVO]],Hoja1!$A$1:$D$121,2,0)</f>
        <v>15228</v>
      </c>
      <c r="X1266" s="12">
        <f>VLOOKUP(Tabla4[[#This Row],[ZONA DEFINITIVO]],Hoja1!$A$1:$D$121,4,0)</f>
        <v>87025</v>
      </c>
      <c r="Y1266" s="12">
        <f>+IF(Tabla4[[#This Row],[AGRUPACIONES]]=1,SUMIFS(Tabla4[UDS],Tabla4[ZONA DEFINITIVO],Tabla4[[#This Row],[ZONA DEFINITIVO]])," ")</f>
        <v>3</v>
      </c>
      <c r="Z1266" s="12">
        <f>+IF(Tabla4[[#This Row],[AGRUPACIONES]]=1,SUMIFS(Tabla4[TOTAL COBERTURA],Tabla4[ZONA DEFINITIVO],Tabla4[[#This Row],[ZONA DEFINITIVO]])," ")</f>
        <v>611</v>
      </c>
      <c r="AA1266" s="12"/>
      <c r="AB1266" s="38">
        <v>1333455816</v>
      </c>
      <c r="AC1266" s="37">
        <v>0.02</v>
      </c>
      <c r="AD1266" s="38">
        <f t="shared" si="20"/>
        <v>26669116.32</v>
      </c>
      <c r="AE1266" s="12"/>
      <c r="AF1266" s="12">
        <f>COUNTIF($A$20:A1266,A1266)</f>
        <v>1</v>
      </c>
      <c r="AG1266" s="38">
        <v>1333455816</v>
      </c>
      <c r="AH1266" s="38">
        <f>Tabla4[[#This Row],[VALOR CONTRAPARTIDA]]+Tabla4[[#This Row],[TOTAL APORTES ICBF]]</f>
        <v>1360124932.3199999</v>
      </c>
      <c r="AI1266" s="35">
        <f>ROUND(+IF(Tabla4[[#This Row],[AGRUPACIONES]]=1,SUMIFS(Tabla4[TOTAL APORTES ICBF],Tabla4[ZONA DEFINITIVO],Tabla4[[#This Row],[ZONA DEFINITIVO]])," "),0)</f>
        <v>2602677366</v>
      </c>
      <c r="AJ1266" s="38">
        <f>ROUND(+IF(Tabla4[[#This Row],[AGRUPACIONES]]=1,SUMIFS(Tabla4[VALOR CONTRAPARTIDA],Tabla4[ZONA DEFINITIVO],Tabla4[[#This Row],[ZONA DEFINITIVO]])," "),0)</f>
        <v>52053547</v>
      </c>
      <c r="AK1266" s="38">
        <f>Tabla4[[#This Row],[TOTAL APORTES ICBF AGRUPADO]]+Tabla4[[#This Row],[TOTAL CONTRAPARTIDA AGRUPADO]]</f>
        <v>2654730913</v>
      </c>
      <c r="AL1266" s="23">
        <f>Tabla4[[#This Row],[TOTAL APORTES ICBF AGRUPADO]]/$AL$18</f>
        <v>1828.3648514225501</v>
      </c>
      <c r="AM1266" s="35">
        <f>VLOOKUP(Tabla4[[#This Row],[SERVICIO 2025]],$J$2:$V$14,5,0)*Tabla4[[#This Row],[TOTAL COBERTURA]]</f>
        <v>27148044</v>
      </c>
      <c r="AN1266" s="35">
        <f>VLOOKUP(Tabla4[[#This Row],[SERVICIO 2025]],$J$2:$V$14,6,0)*Tabla4[[#This Row],[TOTAL COBERTURA]]</f>
        <v>23113244</v>
      </c>
      <c r="AO1266" s="35">
        <f>VLOOKUP(Tabla4[[#This Row],[SERVICIO 2025]],$J$2:$V$14,8,0)*Tabla4[[#This Row],[TOTAL COBERTURA]]</f>
        <v>0</v>
      </c>
      <c r="AP1266" s="35">
        <f>VLOOKUP(Tabla4[[#This Row],[SERVICIO 2025]],$J$2:$V$14,3,0)*Tabla4[[#This Row],[TOTAL COBERTURA]]*8</f>
        <v>1283194528</v>
      </c>
      <c r="AQ1266" s="35"/>
      <c r="AR1266" s="35">
        <f>Tabla4[[#This Row],[VALOR FASE PREPARATORIA DE ALISTAMIENTO]]+Tabla4[[#This Row],[VALOR FASE PREPARATORIA DE CIERRE]]+Tabla4[[#This Row],[DOTACIÓN ÚNICA]]+Tabla4[[#This Row],[VALOR ATENCIÓN]]+Tabla4[[#This Row],[VALOR RACION PREPARADA]]</f>
        <v>1333455816</v>
      </c>
      <c r="AS1266" s="35">
        <f>+IF(Tabla4[[#This Row],[AGRUPACIONES]]=1,SUMIFS(Tabla4[VALOR TOTAL],Tabla4[ZONA DEFINITIVO],Tabla4[[#This Row],[ZONA DEFINITIVO]])," ")</f>
        <v>2602677366</v>
      </c>
      <c r="AT1266" s="27">
        <f>(VLOOKUP(Tabla4[[#This Row],[SERVICIO 2025]],$J$2:$V$14,3,0)*Tabla4[[#This Row],[TOTAL COBERTURA]])+Tabla4[[#This Row],[VALOR FASE PREPARATORIA DE ALISTAMIENTO]]+Tabla4[[#This Row],[DOTACIÓN ÚNICA]]</f>
        <v>187547360</v>
      </c>
      <c r="AU1266" s="35">
        <f>(VLOOKUP(Tabla4[[#This Row],[SERVICIO 2025]],$J$2:$V$14,3,0)*Tabla4[[#This Row],[TOTAL COBERTURA]])</f>
        <v>160399316</v>
      </c>
      <c r="AV1266" s="35">
        <f>(VLOOKUP(Tabla4[[#This Row],[SERVICIO 2025]],$J$2:$V$14,3,0)*Tabla4[[#This Row],[TOTAL COBERTURA]])</f>
        <v>160399316</v>
      </c>
      <c r="AW1266" s="35">
        <f>(VLOOKUP(Tabla4[[#This Row],[SERVICIO 2025]],$J$2:$V$14,3,0)*Tabla4[[#This Row],[TOTAL COBERTURA]])</f>
        <v>160399316</v>
      </c>
      <c r="AX1266" s="35">
        <f>(VLOOKUP(Tabla4[[#This Row],[SERVICIO 2025]],$J$2:$V$14,3,0)*Tabla4[[#This Row],[TOTAL COBERTURA]])</f>
        <v>160399316</v>
      </c>
      <c r="AY1266" s="35">
        <f>(VLOOKUP(Tabla4[[#This Row],[SERVICIO 2025]],$J$2:$V$14,3,0)*Tabla4[[#This Row],[TOTAL COBERTURA]])</f>
        <v>160399316</v>
      </c>
      <c r="AZ1266" s="35">
        <f>(VLOOKUP(Tabla4[[#This Row],[SERVICIO 2025]],$J$2:$V$14,3,0)*Tabla4[[#This Row],[TOTAL COBERTURA]])</f>
        <v>160399316</v>
      </c>
      <c r="BA1266" s="35">
        <f>(VLOOKUP(Tabla4[[#This Row],[SERVICIO 2025]],$J$2:$V$14,3,0)*Tabla4[[#This Row],[TOTAL COBERTURA]])+Tabla4[[#This Row],[VALOR FASE PREPARATORIA DE CIERRE]]</f>
        <v>183512560</v>
      </c>
      <c r="BB1266" s="35">
        <f>SUM(Tabla4[[#This Row],[DESEMBOLSO 1]:[DESEMBOLSO 8]])</f>
        <v>1333455816</v>
      </c>
      <c r="BC1266" s="35">
        <f>VLOOKUP(Tabla4[[#This Row],[SERVICIO 2025]],$J$2:$V$14,10,0)*Tabla4[[#This Row],[TOTAL COBERTURA]]*$W$3</f>
        <v>0</v>
      </c>
      <c r="BD1266" s="47" t="s">
        <v>145</v>
      </c>
      <c r="BE1266" s="12" t="b">
        <f>EXACT(Tabla4[[#This Row],[VALOR ATENCIÓN (8 MESES)]],Tabla4[[#This Row],[VALOR TOTAL]])</f>
        <v>1</v>
      </c>
      <c r="BF1266" s="23">
        <f>Tabla4[[#This Row],[VALOR ATENCIÓN (8 MESES)]]-Tabla4[[#This Row],[VALOR TOTAL]]</f>
        <v>0</v>
      </c>
      <c r="BG1266" s="12" t="b">
        <f>EXACT(Tabla4[[#This Row],[TOTAL DESEMBOLSOS]],Tabla4[[#This Row],[VALOR ATENCIÓN (8 MESES)]])</f>
        <v>1</v>
      </c>
      <c r="BH1266" s="29">
        <f>Tabla4[[#This Row],[TOTAL DESEMBOLSOS]]-Tabla4[[#This Row],[VALOR ATENCIÓN (8 MESES)]]</f>
        <v>0</v>
      </c>
      <c r="BI1266" t="s">
        <v>98</v>
      </c>
    </row>
    <row r="1267" spans="1:62">
      <c r="A1267" s="13">
        <v>2027</v>
      </c>
      <c r="B1267" s="13" t="s">
        <v>2742</v>
      </c>
      <c r="C1267" s="12" t="s">
        <v>87</v>
      </c>
      <c r="D1267" s="12" t="s">
        <v>88</v>
      </c>
      <c r="E1267" s="12" t="s">
        <v>2743</v>
      </c>
      <c r="F1267" s="12" t="s">
        <v>14</v>
      </c>
      <c r="G1267" s="12" t="s">
        <v>90</v>
      </c>
      <c r="H1267" s="12" t="s">
        <v>2748</v>
      </c>
      <c r="I1267" s="12">
        <v>508800113500</v>
      </c>
      <c r="J1267" s="12" t="s">
        <v>2749</v>
      </c>
      <c r="K1267" s="12">
        <v>1</v>
      </c>
      <c r="L1267" s="12">
        <v>99</v>
      </c>
      <c r="M1267" s="12"/>
      <c r="N1267" s="13">
        <v>2027</v>
      </c>
      <c r="O1267" s="12" t="s">
        <v>93</v>
      </c>
      <c r="P1267" s="12"/>
      <c r="Q1267" s="12"/>
      <c r="R1267" s="12" t="s">
        <v>94</v>
      </c>
      <c r="S1267" s="12">
        <v>10</v>
      </c>
      <c r="T1267" s="12" t="s">
        <v>2746</v>
      </c>
      <c r="U1267" s="12" t="s">
        <v>2747</v>
      </c>
      <c r="V1267" s="12">
        <f>VLOOKUP(Tabla4[[#This Row],[ZONA DEFINITIVO]],Hoja1!$A$1:$D$121,3,0)</f>
        <v>229172</v>
      </c>
      <c r="W1267" s="12">
        <f>VLOOKUP(Tabla4[[#This Row],[ZONA DEFINITIVO]],Hoja1!$A$1:$D$121,2,0)</f>
        <v>15228</v>
      </c>
      <c r="X1267" s="12">
        <f>VLOOKUP(Tabla4[[#This Row],[ZONA DEFINITIVO]],Hoja1!$A$1:$D$121,4,0)</f>
        <v>87025</v>
      </c>
      <c r="Y1267" s="12" t="str">
        <f>+IF(Tabla4[[#This Row],[AGRUPACIONES]]=1,SUMIFS(Tabla4[UDS],Tabla4[ZONA DEFINITIVO],Tabla4[[#This Row],[ZONA DEFINITIVO]])," ")</f>
        <v xml:space="preserve"> </v>
      </c>
      <c r="Z1267" s="12" t="str">
        <f>+IF(Tabla4[[#This Row],[AGRUPACIONES]]=1,SUMIFS(Tabla4[TOTAL COBERTURA],Tabla4[ZONA DEFINITIVO],Tabla4[[#This Row],[ZONA DEFINITIVO]])," ")</f>
        <v xml:space="preserve"> </v>
      </c>
      <c r="AA1267" s="12"/>
      <c r="AB1267" s="38">
        <v>414696150</v>
      </c>
      <c r="AC1267" s="37">
        <v>0.02</v>
      </c>
      <c r="AD1267" s="38">
        <f t="shared" si="20"/>
        <v>8293923</v>
      </c>
      <c r="AE1267" s="12"/>
      <c r="AF1267" s="12">
        <f>COUNTIF($A$20:A1267,A1267)</f>
        <v>2</v>
      </c>
      <c r="AG1267" s="38">
        <v>414696150</v>
      </c>
      <c r="AH1267" s="38">
        <f>Tabla4[[#This Row],[VALOR CONTRAPARTIDA]]+Tabla4[[#This Row],[TOTAL APORTES ICBF]]</f>
        <v>422990073</v>
      </c>
      <c r="AI1267" s="35"/>
      <c r="AJ1267" s="38"/>
      <c r="AK1267" s="38"/>
      <c r="AL1267" s="23"/>
      <c r="AM1267" s="35">
        <f>VLOOKUP(Tabla4[[#This Row],[SERVICIO 2025]],$J$2:$V$14,5,0)*Tabla4[[#This Row],[TOTAL COBERTURA]]</f>
        <v>8726157</v>
      </c>
      <c r="AN1267" s="35">
        <f>VLOOKUP(Tabla4[[#This Row],[SERVICIO 2025]],$J$2:$V$14,6,0)*Tabla4[[#This Row],[TOTAL COBERTURA]]</f>
        <v>7429257</v>
      </c>
      <c r="AO1267" s="35">
        <f>VLOOKUP(Tabla4[[#This Row],[SERVICIO 2025]],$J$2:$V$14,8,0)*Tabla4[[#This Row],[TOTAL COBERTURA]]</f>
        <v>0</v>
      </c>
      <c r="AP1267" s="35">
        <f>VLOOKUP(Tabla4[[#This Row],[SERVICIO 2025]],$J$2:$V$14,3,0)*Tabla4[[#This Row],[TOTAL COBERTURA]]*8</f>
        <v>398540736</v>
      </c>
      <c r="AQ1267" s="35"/>
      <c r="AR1267" s="35">
        <f>Tabla4[[#This Row],[VALOR FASE PREPARATORIA DE ALISTAMIENTO]]+Tabla4[[#This Row],[VALOR FASE PREPARATORIA DE CIERRE]]+Tabla4[[#This Row],[DOTACIÓN ÚNICA]]+Tabla4[[#This Row],[VALOR ATENCIÓN]]+Tabla4[[#This Row],[VALOR RACION PREPARADA]]</f>
        <v>414696150</v>
      </c>
      <c r="AS1267" s="35" t="str">
        <f>+IF(Tabla4[[#This Row],[AGRUPACIONES]]=1,SUMIFS(Tabla4[VALOR TOTAL],Tabla4[ZONA DEFINITIVO],Tabla4[[#This Row],[ZONA DEFINITIVO]])," ")</f>
        <v xml:space="preserve"> </v>
      </c>
      <c r="AT1267" s="27">
        <f>(VLOOKUP(Tabla4[[#This Row],[SERVICIO 2025]],$J$2:$V$14,3,0)*Tabla4[[#This Row],[TOTAL COBERTURA]])+Tabla4[[#This Row],[VALOR FASE PREPARATORIA DE ALISTAMIENTO]]+Tabla4[[#This Row],[DOTACIÓN ÚNICA]]</f>
        <v>58543749</v>
      </c>
      <c r="AU1267" s="35">
        <f>(VLOOKUP(Tabla4[[#This Row],[SERVICIO 2025]],$J$2:$V$14,3,0)*Tabla4[[#This Row],[TOTAL COBERTURA]])</f>
        <v>49817592</v>
      </c>
      <c r="AV1267" s="35">
        <f>(VLOOKUP(Tabla4[[#This Row],[SERVICIO 2025]],$J$2:$V$14,3,0)*Tabla4[[#This Row],[TOTAL COBERTURA]])</f>
        <v>49817592</v>
      </c>
      <c r="AW1267" s="35">
        <f>(VLOOKUP(Tabla4[[#This Row],[SERVICIO 2025]],$J$2:$V$14,3,0)*Tabla4[[#This Row],[TOTAL COBERTURA]])</f>
        <v>49817592</v>
      </c>
      <c r="AX1267" s="35">
        <f>(VLOOKUP(Tabla4[[#This Row],[SERVICIO 2025]],$J$2:$V$14,3,0)*Tabla4[[#This Row],[TOTAL COBERTURA]])</f>
        <v>49817592</v>
      </c>
      <c r="AY1267" s="35">
        <f>(VLOOKUP(Tabla4[[#This Row],[SERVICIO 2025]],$J$2:$V$14,3,0)*Tabla4[[#This Row],[TOTAL COBERTURA]])</f>
        <v>49817592</v>
      </c>
      <c r="AZ1267" s="35">
        <f>(VLOOKUP(Tabla4[[#This Row],[SERVICIO 2025]],$J$2:$V$14,3,0)*Tabla4[[#This Row],[TOTAL COBERTURA]])</f>
        <v>49817592</v>
      </c>
      <c r="BA1267" s="35">
        <f>(VLOOKUP(Tabla4[[#This Row],[SERVICIO 2025]],$J$2:$V$14,3,0)*Tabla4[[#This Row],[TOTAL COBERTURA]])+Tabla4[[#This Row],[VALOR FASE PREPARATORIA DE CIERRE]]</f>
        <v>57246849</v>
      </c>
      <c r="BB1267" s="35">
        <f>SUM(Tabla4[[#This Row],[DESEMBOLSO 1]:[DESEMBOLSO 8]])</f>
        <v>414696150</v>
      </c>
      <c r="BC1267" s="35">
        <f>VLOOKUP(Tabla4[[#This Row],[SERVICIO 2025]],$J$2:$V$14,10,0)*Tabla4[[#This Row],[TOTAL COBERTURA]]*$W$3</f>
        <v>0</v>
      </c>
      <c r="BD1267" s="47" t="s">
        <v>145</v>
      </c>
      <c r="BE1267" s="12" t="b">
        <f>EXACT(Tabla4[[#This Row],[VALOR ATENCIÓN (8 MESES)]],Tabla4[[#This Row],[VALOR TOTAL]])</f>
        <v>1</v>
      </c>
      <c r="BF1267" s="23">
        <f>Tabla4[[#This Row],[VALOR ATENCIÓN (8 MESES)]]-Tabla4[[#This Row],[VALOR TOTAL]]</f>
        <v>0</v>
      </c>
      <c r="BG1267" s="12" t="b">
        <f>EXACT(Tabla4[[#This Row],[TOTAL DESEMBOLSOS]],Tabla4[[#This Row],[VALOR ATENCIÓN (8 MESES)]])</f>
        <v>1</v>
      </c>
      <c r="BH1267" s="29">
        <f>Tabla4[[#This Row],[TOTAL DESEMBOLSOS]]-Tabla4[[#This Row],[VALOR ATENCIÓN (8 MESES)]]</f>
        <v>0</v>
      </c>
      <c r="BI1267" t="s">
        <v>98</v>
      </c>
    </row>
    <row r="1268" spans="1:62">
      <c r="A1268" s="13">
        <v>2027</v>
      </c>
      <c r="B1268" s="13" t="s">
        <v>2742</v>
      </c>
      <c r="C1268" s="12" t="s">
        <v>87</v>
      </c>
      <c r="D1268" s="12" t="s">
        <v>88</v>
      </c>
      <c r="E1268" s="12" t="s">
        <v>2743</v>
      </c>
      <c r="F1268" s="12" t="s">
        <v>14</v>
      </c>
      <c r="G1268" s="12" t="s">
        <v>90</v>
      </c>
      <c r="H1268" s="12" t="s">
        <v>2750</v>
      </c>
      <c r="I1268" s="12">
        <v>508800116590</v>
      </c>
      <c r="J1268" s="12" t="s">
        <v>566</v>
      </c>
      <c r="K1268" s="12">
        <v>1</v>
      </c>
      <c r="L1268" s="12">
        <v>204</v>
      </c>
      <c r="M1268" s="12"/>
      <c r="N1268" s="13">
        <v>2027</v>
      </c>
      <c r="O1268" s="12" t="s">
        <v>93</v>
      </c>
      <c r="P1268" s="12"/>
      <c r="Q1268" s="12"/>
      <c r="R1268" s="12" t="s">
        <v>94</v>
      </c>
      <c r="S1268" s="12">
        <v>10</v>
      </c>
      <c r="T1268" s="12" t="s">
        <v>2746</v>
      </c>
      <c r="U1268" s="12" t="s">
        <v>2747</v>
      </c>
      <c r="V1268" s="12">
        <f>VLOOKUP(Tabla4[[#This Row],[ZONA DEFINITIVO]],Hoja1!$A$1:$D$121,3,0)</f>
        <v>229172</v>
      </c>
      <c r="W1268" s="12">
        <f>VLOOKUP(Tabla4[[#This Row],[ZONA DEFINITIVO]],Hoja1!$A$1:$D$121,2,0)</f>
        <v>15228</v>
      </c>
      <c r="X1268" s="12">
        <f>VLOOKUP(Tabla4[[#This Row],[ZONA DEFINITIVO]],Hoja1!$A$1:$D$121,4,0)</f>
        <v>87025</v>
      </c>
      <c r="Y1268" s="12" t="str">
        <f>+IF(Tabla4[[#This Row],[AGRUPACIONES]]=1,SUMIFS(Tabla4[UDS],Tabla4[ZONA DEFINITIVO],Tabla4[[#This Row],[ZONA DEFINITIVO]])," ")</f>
        <v xml:space="preserve"> </v>
      </c>
      <c r="Z1268" s="12" t="str">
        <f>+IF(Tabla4[[#This Row],[AGRUPACIONES]]=1,SUMIFS(Tabla4[TOTAL COBERTURA],Tabla4[ZONA DEFINITIVO],Tabla4[[#This Row],[ZONA DEFINITIVO]])," ")</f>
        <v xml:space="preserve"> </v>
      </c>
      <c r="AA1268" s="12"/>
      <c r="AB1268" s="38">
        <v>854525400</v>
      </c>
      <c r="AC1268" s="37">
        <v>0.02</v>
      </c>
      <c r="AD1268" s="38">
        <f t="shared" si="20"/>
        <v>17090508</v>
      </c>
      <c r="AE1268" s="12"/>
      <c r="AF1268" s="12">
        <f>COUNTIF($A$20:A1268,A1268)</f>
        <v>3</v>
      </c>
      <c r="AG1268" s="38">
        <v>854525400</v>
      </c>
      <c r="AH1268" s="38">
        <f>Tabla4[[#This Row],[VALOR CONTRAPARTIDA]]+Tabla4[[#This Row],[TOTAL APORTES ICBF]]</f>
        <v>871615908</v>
      </c>
      <c r="AI1268" s="35"/>
      <c r="AJ1268" s="38"/>
      <c r="AK1268" s="38"/>
      <c r="AL1268" s="23"/>
      <c r="AM1268" s="35">
        <f>VLOOKUP(Tabla4[[#This Row],[SERVICIO 2025]],$J$2:$V$14,5,0)*Tabla4[[#This Row],[TOTAL COBERTURA]]</f>
        <v>17981172</v>
      </c>
      <c r="AN1268" s="35">
        <f>VLOOKUP(Tabla4[[#This Row],[SERVICIO 2025]],$J$2:$V$14,6,0)*Tabla4[[#This Row],[TOTAL COBERTURA]]</f>
        <v>15308772</v>
      </c>
      <c r="AO1268" s="35">
        <f>VLOOKUP(Tabla4[[#This Row],[SERVICIO 2025]],$J$2:$V$14,8,0)*Tabla4[[#This Row],[TOTAL COBERTURA]]</f>
        <v>0</v>
      </c>
      <c r="AP1268" s="35">
        <f>VLOOKUP(Tabla4[[#This Row],[SERVICIO 2025]],$J$2:$V$14,3,0)*Tabla4[[#This Row],[TOTAL COBERTURA]]*8</f>
        <v>821235456</v>
      </c>
      <c r="AQ1268" s="35"/>
      <c r="AR1268" s="35">
        <f>Tabla4[[#This Row],[VALOR FASE PREPARATORIA DE ALISTAMIENTO]]+Tabla4[[#This Row],[VALOR FASE PREPARATORIA DE CIERRE]]+Tabla4[[#This Row],[DOTACIÓN ÚNICA]]+Tabla4[[#This Row],[VALOR ATENCIÓN]]+Tabla4[[#This Row],[VALOR RACION PREPARADA]]</f>
        <v>854525400</v>
      </c>
      <c r="AS1268" s="35" t="str">
        <f>+IF(Tabla4[[#This Row],[AGRUPACIONES]]=1,SUMIFS(Tabla4[VALOR TOTAL],Tabla4[ZONA DEFINITIVO],Tabla4[[#This Row],[ZONA DEFINITIVO]])," ")</f>
        <v xml:space="preserve"> </v>
      </c>
      <c r="AT1268" s="27">
        <f>(VLOOKUP(Tabla4[[#This Row],[SERVICIO 2025]],$J$2:$V$14,3,0)*Tabla4[[#This Row],[TOTAL COBERTURA]])+Tabla4[[#This Row],[VALOR FASE PREPARATORIA DE ALISTAMIENTO]]+Tabla4[[#This Row],[DOTACIÓN ÚNICA]]</f>
        <v>120635604</v>
      </c>
      <c r="AU1268" s="35">
        <f>(VLOOKUP(Tabla4[[#This Row],[SERVICIO 2025]],$J$2:$V$14,3,0)*Tabla4[[#This Row],[TOTAL COBERTURA]])</f>
        <v>102654432</v>
      </c>
      <c r="AV1268" s="35">
        <f>(VLOOKUP(Tabla4[[#This Row],[SERVICIO 2025]],$J$2:$V$14,3,0)*Tabla4[[#This Row],[TOTAL COBERTURA]])</f>
        <v>102654432</v>
      </c>
      <c r="AW1268" s="35">
        <f>(VLOOKUP(Tabla4[[#This Row],[SERVICIO 2025]],$J$2:$V$14,3,0)*Tabla4[[#This Row],[TOTAL COBERTURA]])</f>
        <v>102654432</v>
      </c>
      <c r="AX1268" s="35">
        <f>(VLOOKUP(Tabla4[[#This Row],[SERVICIO 2025]],$J$2:$V$14,3,0)*Tabla4[[#This Row],[TOTAL COBERTURA]])</f>
        <v>102654432</v>
      </c>
      <c r="AY1268" s="35">
        <f>(VLOOKUP(Tabla4[[#This Row],[SERVICIO 2025]],$J$2:$V$14,3,0)*Tabla4[[#This Row],[TOTAL COBERTURA]])</f>
        <v>102654432</v>
      </c>
      <c r="AZ1268" s="35">
        <f>(VLOOKUP(Tabla4[[#This Row],[SERVICIO 2025]],$J$2:$V$14,3,0)*Tabla4[[#This Row],[TOTAL COBERTURA]])</f>
        <v>102654432</v>
      </c>
      <c r="BA1268" s="35">
        <f>(VLOOKUP(Tabla4[[#This Row],[SERVICIO 2025]],$J$2:$V$14,3,0)*Tabla4[[#This Row],[TOTAL COBERTURA]])+Tabla4[[#This Row],[VALOR FASE PREPARATORIA DE CIERRE]]</f>
        <v>117963204</v>
      </c>
      <c r="BB1268" s="35">
        <f>SUM(Tabla4[[#This Row],[DESEMBOLSO 1]:[DESEMBOLSO 8]])</f>
        <v>854525400</v>
      </c>
      <c r="BC1268" s="35">
        <f>VLOOKUP(Tabla4[[#This Row],[SERVICIO 2025]],$J$2:$V$14,10,0)*Tabla4[[#This Row],[TOTAL COBERTURA]]*$W$3</f>
        <v>0</v>
      </c>
      <c r="BD1268" s="47" t="s">
        <v>145</v>
      </c>
      <c r="BE1268" s="12" t="b">
        <f>EXACT(Tabla4[[#This Row],[VALOR ATENCIÓN (8 MESES)]],Tabla4[[#This Row],[VALOR TOTAL]])</f>
        <v>1</v>
      </c>
      <c r="BF1268" s="23">
        <f>Tabla4[[#This Row],[VALOR ATENCIÓN (8 MESES)]]-Tabla4[[#This Row],[VALOR TOTAL]]</f>
        <v>0</v>
      </c>
      <c r="BG1268" s="12" t="b">
        <f>EXACT(Tabla4[[#This Row],[TOTAL DESEMBOLSOS]],Tabla4[[#This Row],[VALOR ATENCIÓN (8 MESES)]])</f>
        <v>1</v>
      </c>
      <c r="BH1268" s="29">
        <f>Tabla4[[#This Row],[TOTAL DESEMBOLSOS]]-Tabla4[[#This Row],[VALOR ATENCIÓN (8 MESES)]]</f>
        <v>0</v>
      </c>
      <c r="BI1268" t="s">
        <v>98</v>
      </c>
    </row>
    <row r="1269" spans="1:62">
      <c r="A1269" s="13">
        <v>2028</v>
      </c>
      <c r="B1269" s="13" t="s">
        <v>2751</v>
      </c>
      <c r="C1269" s="12" t="s">
        <v>87</v>
      </c>
      <c r="D1269" s="12" t="s">
        <v>88</v>
      </c>
      <c r="E1269" s="12" t="s">
        <v>2743</v>
      </c>
      <c r="F1269" s="12" t="s">
        <v>15</v>
      </c>
      <c r="G1269" s="12" t="s">
        <v>90</v>
      </c>
      <c r="H1269" s="12" t="s">
        <v>2752</v>
      </c>
      <c r="I1269" s="12">
        <v>50881118663</v>
      </c>
      <c r="J1269" s="12" t="s">
        <v>543</v>
      </c>
      <c r="K1269" s="12">
        <v>1</v>
      </c>
      <c r="L1269" s="12">
        <v>60</v>
      </c>
      <c r="M1269" s="12"/>
      <c r="N1269" s="13">
        <v>2028</v>
      </c>
      <c r="O1269" s="12" t="s">
        <v>93</v>
      </c>
      <c r="P1269" s="12"/>
      <c r="Q1269" s="12"/>
      <c r="R1269" s="12" t="s">
        <v>94</v>
      </c>
      <c r="S1269" s="12">
        <v>10</v>
      </c>
      <c r="T1269" s="12" t="s">
        <v>2753</v>
      </c>
      <c r="U1269" s="12" t="s">
        <v>2754</v>
      </c>
      <c r="V1269" s="12">
        <f>VLOOKUP(Tabla4[[#This Row],[ZONA DEFINITIVO]],Hoja1!$A$1:$D$121,3,0)</f>
        <v>229173</v>
      </c>
      <c r="W1269" s="12">
        <f>VLOOKUP(Tabla4[[#This Row],[ZONA DEFINITIVO]],Hoja1!$A$1:$D$121,2,0)</f>
        <v>15254</v>
      </c>
      <c r="X1269" s="12">
        <f>VLOOKUP(Tabla4[[#This Row],[ZONA DEFINITIVO]],Hoja1!$A$1:$D$121,4,0)</f>
        <v>89725</v>
      </c>
      <c r="Y1269" s="12">
        <f>+IF(Tabla4[[#This Row],[AGRUPACIONES]]=1,SUMIFS(Tabla4[UDS],Tabla4[ZONA DEFINITIVO],Tabla4[[#This Row],[ZONA DEFINITIVO]])," ")</f>
        <v>7</v>
      </c>
      <c r="Z1269" s="12">
        <f>+IF(Tabla4[[#This Row],[AGRUPACIONES]]=1,SUMIFS(Tabla4[TOTAL COBERTURA],Tabla4[ZONA DEFINITIVO],Tabla4[[#This Row],[ZONA DEFINITIVO]])," ")</f>
        <v>598</v>
      </c>
      <c r="AA1269" s="12"/>
      <c r="AB1269" s="38">
        <v>259764120</v>
      </c>
      <c r="AC1269" s="37">
        <v>0.02</v>
      </c>
      <c r="AD1269" s="38">
        <f t="shared" si="20"/>
        <v>5195282.4000000004</v>
      </c>
      <c r="AE1269" s="12"/>
      <c r="AF1269" s="12">
        <f>COUNTIF($A$20:A1269,A1269)</f>
        <v>1</v>
      </c>
      <c r="AG1269" s="38">
        <v>259764120</v>
      </c>
      <c r="AH1269" s="38">
        <f>Tabla4[[#This Row],[VALOR CONTRAPARTIDA]]+Tabla4[[#This Row],[TOTAL APORTES ICBF]]</f>
        <v>264959402.40000001</v>
      </c>
      <c r="AI1269" s="35">
        <f>ROUND(+IF(Tabla4[[#This Row],[AGRUPACIONES]]=1,SUMIFS(Tabla4[TOTAL APORTES ICBF],Tabla4[ZONA DEFINITIVO],Tabla4[[#This Row],[ZONA DEFINITIVO]])," "),0)</f>
        <v>2588982396</v>
      </c>
      <c r="AJ1269" s="38">
        <f>ROUND(+IF(Tabla4[[#This Row],[AGRUPACIONES]]=1,SUMIFS(Tabla4[VALOR CONTRAPARTIDA],Tabla4[ZONA DEFINITIVO],Tabla4[[#This Row],[ZONA DEFINITIVO]])," "),0)</f>
        <v>51779648</v>
      </c>
      <c r="AK1269" s="38">
        <f>Tabla4[[#This Row],[TOTAL APORTES ICBF AGRUPADO]]+Tabla4[[#This Row],[TOTAL CONTRAPARTIDA AGRUPADO]]</f>
        <v>2640762044</v>
      </c>
      <c r="AL1269" s="23">
        <f>Tabla4[[#This Row],[TOTAL APORTES ICBF AGRUPADO]]/$AL$18</f>
        <v>1818.7442191780822</v>
      </c>
      <c r="AM1269" s="35">
        <f>VLOOKUP(Tabla4[[#This Row],[SERVICIO 2025]],$J$2:$V$14,5,0)*Tabla4[[#This Row],[TOTAL COBERTURA]]</f>
        <v>5288580</v>
      </c>
      <c r="AN1269" s="35">
        <f>VLOOKUP(Tabla4[[#This Row],[SERVICIO 2025]],$J$2:$V$14,6,0)*Tabla4[[#This Row],[TOTAL COBERTURA]]</f>
        <v>4502580</v>
      </c>
      <c r="AO1269" s="35">
        <f>VLOOKUP(Tabla4[[#This Row],[SERVICIO 2025]],$J$2:$V$14,8,0)*Tabla4[[#This Row],[TOTAL COBERTURA]]</f>
        <v>0</v>
      </c>
      <c r="AP1269" s="35">
        <f>VLOOKUP(Tabla4[[#This Row],[SERVICIO 2025]],$J$2:$V$14,3,0)*Tabla4[[#This Row],[TOTAL COBERTURA]]*8</f>
        <v>249972960</v>
      </c>
      <c r="AQ1269" s="35"/>
      <c r="AR1269" s="35">
        <f>Tabla4[[#This Row],[VALOR FASE PREPARATORIA DE ALISTAMIENTO]]+Tabla4[[#This Row],[VALOR FASE PREPARATORIA DE CIERRE]]+Tabla4[[#This Row],[DOTACIÓN ÚNICA]]+Tabla4[[#This Row],[VALOR ATENCIÓN]]+Tabla4[[#This Row],[VALOR RACION PREPARADA]]</f>
        <v>259764120</v>
      </c>
      <c r="AS1269" s="35">
        <f>+IF(Tabla4[[#This Row],[AGRUPACIONES]]=1,SUMIFS(Tabla4[VALOR TOTAL],Tabla4[ZONA DEFINITIVO],Tabla4[[#This Row],[ZONA DEFINITIVO]])," ")</f>
        <v>2588982396</v>
      </c>
      <c r="AT1269" s="27">
        <f>(VLOOKUP(Tabla4[[#This Row],[SERVICIO 2025]],$J$2:$V$14,3,0)*Tabla4[[#This Row],[TOTAL COBERTURA]])+Tabla4[[#This Row],[VALOR FASE PREPARATORIA DE ALISTAMIENTO]]+Tabla4[[#This Row],[DOTACIÓN ÚNICA]]</f>
        <v>36535200</v>
      </c>
      <c r="AU1269" s="35">
        <f>(VLOOKUP(Tabla4[[#This Row],[SERVICIO 2025]],$J$2:$V$14,3,0)*Tabla4[[#This Row],[TOTAL COBERTURA]])</f>
        <v>31246620</v>
      </c>
      <c r="AV1269" s="35">
        <f>(VLOOKUP(Tabla4[[#This Row],[SERVICIO 2025]],$J$2:$V$14,3,0)*Tabla4[[#This Row],[TOTAL COBERTURA]])</f>
        <v>31246620</v>
      </c>
      <c r="AW1269" s="35">
        <f>(VLOOKUP(Tabla4[[#This Row],[SERVICIO 2025]],$J$2:$V$14,3,0)*Tabla4[[#This Row],[TOTAL COBERTURA]])</f>
        <v>31246620</v>
      </c>
      <c r="AX1269" s="35">
        <f>(VLOOKUP(Tabla4[[#This Row],[SERVICIO 2025]],$J$2:$V$14,3,0)*Tabla4[[#This Row],[TOTAL COBERTURA]])</f>
        <v>31246620</v>
      </c>
      <c r="AY1269" s="35">
        <f>(VLOOKUP(Tabla4[[#This Row],[SERVICIO 2025]],$J$2:$V$14,3,0)*Tabla4[[#This Row],[TOTAL COBERTURA]])</f>
        <v>31246620</v>
      </c>
      <c r="AZ1269" s="35">
        <f>(VLOOKUP(Tabla4[[#This Row],[SERVICIO 2025]],$J$2:$V$14,3,0)*Tabla4[[#This Row],[TOTAL COBERTURA]])</f>
        <v>31246620</v>
      </c>
      <c r="BA1269" s="35">
        <f>(VLOOKUP(Tabla4[[#This Row],[SERVICIO 2025]],$J$2:$V$14,3,0)*Tabla4[[#This Row],[TOTAL COBERTURA]])+Tabla4[[#This Row],[VALOR FASE PREPARATORIA DE CIERRE]]</f>
        <v>35749200</v>
      </c>
      <c r="BB1269" s="35">
        <f>SUM(Tabla4[[#This Row],[DESEMBOLSO 1]:[DESEMBOLSO 8]])</f>
        <v>259764120</v>
      </c>
      <c r="BC1269" s="35">
        <f>VLOOKUP(Tabla4[[#This Row],[SERVICIO 2025]],$J$2:$V$14,10,0)*Tabla4[[#This Row],[TOTAL COBERTURA]]*$W$3</f>
        <v>0</v>
      </c>
      <c r="BD1269" s="47" t="s">
        <v>145</v>
      </c>
      <c r="BE1269" s="12" t="b">
        <f>EXACT(Tabla4[[#This Row],[VALOR ATENCIÓN (8 MESES)]],Tabla4[[#This Row],[VALOR TOTAL]])</f>
        <v>1</v>
      </c>
      <c r="BF1269" s="23">
        <f>Tabla4[[#This Row],[VALOR ATENCIÓN (8 MESES)]]-Tabla4[[#This Row],[VALOR TOTAL]]</f>
        <v>0</v>
      </c>
      <c r="BG1269" s="12" t="b">
        <f>EXACT(Tabla4[[#This Row],[TOTAL DESEMBOLSOS]],Tabla4[[#This Row],[VALOR ATENCIÓN (8 MESES)]])</f>
        <v>1</v>
      </c>
      <c r="BH1269" s="29">
        <f>Tabla4[[#This Row],[TOTAL DESEMBOLSOS]]-Tabla4[[#This Row],[VALOR ATENCIÓN (8 MESES)]]</f>
        <v>0</v>
      </c>
      <c r="BI1269" t="s">
        <v>98</v>
      </c>
    </row>
    <row r="1270" spans="1:62">
      <c r="A1270" s="13">
        <v>2028</v>
      </c>
      <c r="B1270" s="13" t="s">
        <v>2751</v>
      </c>
      <c r="C1270" s="12" t="s">
        <v>87</v>
      </c>
      <c r="D1270" s="12" t="s">
        <v>88</v>
      </c>
      <c r="E1270" s="12" t="s">
        <v>2743</v>
      </c>
      <c r="F1270" s="12" t="s">
        <v>15</v>
      </c>
      <c r="G1270" s="12" t="s">
        <v>90</v>
      </c>
      <c r="H1270" s="12" t="s">
        <v>2755</v>
      </c>
      <c r="I1270" s="12">
        <v>50881119600</v>
      </c>
      <c r="J1270" s="12" t="s">
        <v>2756</v>
      </c>
      <c r="K1270" s="12">
        <v>1</v>
      </c>
      <c r="L1270" s="12">
        <v>66</v>
      </c>
      <c r="M1270" s="12"/>
      <c r="N1270" s="13">
        <v>2028</v>
      </c>
      <c r="O1270" s="12" t="s">
        <v>93</v>
      </c>
      <c r="P1270" s="12"/>
      <c r="Q1270" s="12"/>
      <c r="R1270" s="12" t="s">
        <v>94</v>
      </c>
      <c r="S1270" s="12">
        <v>10</v>
      </c>
      <c r="T1270" s="12" t="s">
        <v>2753</v>
      </c>
      <c r="U1270" s="12" t="s">
        <v>2754</v>
      </c>
      <c r="V1270" s="12">
        <f>VLOOKUP(Tabla4[[#This Row],[ZONA DEFINITIVO]],Hoja1!$A$1:$D$121,3,0)</f>
        <v>229173</v>
      </c>
      <c r="W1270" s="12">
        <f>VLOOKUP(Tabla4[[#This Row],[ZONA DEFINITIVO]],Hoja1!$A$1:$D$121,2,0)</f>
        <v>15254</v>
      </c>
      <c r="X1270" s="12">
        <f>VLOOKUP(Tabla4[[#This Row],[ZONA DEFINITIVO]],Hoja1!$A$1:$D$121,4,0)</f>
        <v>89725</v>
      </c>
      <c r="Y1270" s="12" t="str">
        <f>+IF(Tabla4[[#This Row],[AGRUPACIONES]]=1,SUMIFS(Tabla4[UDS],Tabla4[ZONA DEFINITIVO],Tabla4[[#This Row],[ZONA DEFINITIVO]])," ")</f>
        <v xml:space="preserve"> </v>
      </c>
      <c r="Z1270" s="12" t="str">
        <f>+IF(Tabla4[[#This Row],[AGRUPACIONES]]=1,SUMIFS(Tabla4[TOTAL COBERTURA],Tabla4[ZONA DEFINITIVO],Tabla4[[#This Row],[ZONA DEFINITIVO]])," ")</f>
        <v xml:space="preserve"> </v>
      </c>
      <c r="AA1270" s="12"/>
      <c r="AB1270" s="38">
        <v>285740532</v>
      </c>
      <c r="AC1270" s="37">
        <v>0.02</v>
      </c>
      <c r="AD1270" s="38">
        <f t="shared" si="20"/>
        <v>5714810.6399999997</v>
      </c>
      <c r="AE1270" s="12"/>
      <c r="AF1270" s="12">
        <f>COUNTIF($A$20:A1270,A1270)</f>
        <v>2</v>
      </c>
      <c r="AG1270" s="38">
        <v>285740532</v>
      </c>
      <c r="AH1270" s="38">
        <f>Tabla4[[#This Row],[VALOR CONTRAPARTIDA]]+Tabla4[[#This Row],[TOTAL APORTES ICBF]]</f>
        <v>291455342.63999999</v>
      </c>
      <c r="AI1270" s="35"/>
      <c r="AJ1270" s="38"/>
      <c r="AK1270" s="38"/>
      <c r="AL1270" s="23"/>
      <c r="AM1270" s="35">
        <f>VLOOKUP(Tabla4[[#This Row],[SERVICIO 2025]],$J$2:$V$14,5,0)*Tabla4[[#This Row],[TOTAL COBERTURA]]</f>
        <v>5817438</v>
      </c>
      <c r="AN1270" s="35">
        <f>VLOOKUP(Tabla4[[#This Row],[SERVICIO 2025]],$J$2:$V$14,6,0)*Tabla4[[#This Row],[TOTAL COBERTURA]]</f>
        <v>4952838</v>
      </c>
      <c r="AO1270" s="35">
        <f>VLOOKUP(Tabla4[[#This Row],[SERVICIO 2025]],$J$2:$V$14,8,0)*Tabla4[[#This Row],[TOTAL COBERTURA]]</f>
        <v>0</v>
      </c>
      <c r="AP1270" s="35">
        <f>VLOOKUP(Tabla4[[#This Row],[SERVICIO 2025]],$J$2:$V$14,3,0)*Tabla4[[#This Row],[TOTAL COBERTURA]]*8</f>
        <v>274970256</v>
      </c>
      <c r="AQ1270" s="35"/>
      <c r="AR1270" s="35">
        <f>Tabla4[[#This Row],[VALOR FASE PREPARATORIA DE ALISTAMIENTO]]+Tabla4[[#This Row],[VALOR FASE PREPARATORIA DE CIERRE]]+Tabla4[[#This Row],[DOTACIÓN ÚNICA]]+Tabla4[[#This Row],[VALOR ATENCIÓN]]+Tabla4[[#This Row],[VALOR RACION PREPARADA]]</f>
        <v>285740532</v>
      </c>
      <c r="AS1270" s="35" t="str">
        <f>+IF(Tabla4[[#This Row],[AGRUPACIONES]]=1,SUMIFS(Tabla4[VALOR TOTAL],Tabla4[ZONA DEFINITIVO],Tabla4[[#This Row],[ZONA DEFINITIVO]])," ")</f>
        <v xml:space="preserve"> </v>
      </c>
      <c r="AT1270" s="27">
        <f>(VLOOKUP(Tabla4[[#This Row],[SERVICIO 2025]],$J$2:$V$14,3,0)*Tabla4[[#This Row],[TOTAL COBERTURA]])+Tabla4[[#This Row],[VALOR FASE PREPARATORIA DE ALISTAMIENTO]]+Tabla4[[#This Row],[DOTACIÓN ÚNICA]]</f>
        <v>40188720</v>
      </c>
      <c r="AU1270" s="35">
        <f>(VLOOKUP(Tabla4[[#This Row],[SERVICIO 2025]],$J$2:$V$14,3,0)*Tabla4[[#This Row],[TOTAL COBERTURA]])</f>
        <v>34371282</v>
      </c>
      <c r="AV1270" s="35">
        <f>(VLOOKUP(Tabla4[[#This Row],[SERVICIO 2025]],$J$2:$V$14,3,0)*Tabla4[[#This Row],[TOTAL COBERTURA]])</f>
        <v>34371282</v>
      </c>
      <c r="AW1270" s="35">
        <f>(VLOOKUP(Tabla4[[#This Row],[SERVICIO 2025]],$J$2:$V$14,3,0)*Tabla4[[#This Row],[TOTAL COBERTURA]])</f>
        <v>34371282</v>
      </c>
      <c r="AX1270" s="35">
        <f>(VLOOKUP(Tabla4[[#This Row],[SERVICIO 2025]],$J$2:$V$14,3,0)*Tabla4[[#This Row],[TOTAL COBERTURA]])</f>
        <v>34371282</v>
      </c>
      <c r="AY1270" s="35">
        <f>(VLOOKUP(Tabla4[[#This Row],[SERVICIO 2025]],$J$2:$V$14,3,0)*Tabla4[[#This Row],[TOTAL COBERTURA]])</f>
        <v>34371282</v>
      </c>
      <c r="AZ1270" s="35">
        <f>(VLOOKUP(Tabla4[[#This Row],[SERVICIO 2025]],$J$2:$V$14,3,0)*Tabla4[[#This Row],[TOTAL COBERTURA]])</f>
        <v>34371282</v>
      </c>
      <c r="BA1270" s="35">
        <f>(VLOOKUP(Tabla4[[#This Row],[SERVICIO 2025]],$J$2:$V$14,3,0)*Tabla4[[#This Row],[TOTAL COBERTURA]])+Tabla4[[#This Row],[VALOR FASE PREPARATORIA DE CIERRE]]</f>
        <v>39324120</v>
      </c>
      <c r="BB1270" s="35">
        <f>SUM(Tabla4[[#This Row],[DESEMBOLSO 1]:[DESEMBOLSO 8]])</f>
        <v>285740532</v>
      </c>
      <c r="BC1270" s="35">
        <f>VLOOKUP(Tabla4[[#This Row],[SERVICIO 2025]],$J$2:$V$14,10,0)*Tabla4[[#This Row],[TOTAL COBERTURA]]*$W$3</f>
        <v>0</v>
      </c>
      <c r="BD1270" s="47" t="s">
        <v>145</v>
      </c>
      <c r="BE1270" s="12" t="b">
        <f>EXACT(Tabla4[[#This Row],[VALOR ATENCIÓN (8 MESES)]],Tabla4[[#This Row],[VALOR TOTAL]])</f>
        <v>1</v>
      </c>
      <c r="BF1270" s="23">
        <f>Tabla4[[#This Row],[VALOR ATENCIÓN (8 MESES)]]-Tabla4[[#This Row],[VALOR TOTAL]]</f>
        <v>0</v>
      </c>
      <c r="BG1270" s="12" t="b">
        <f>EXACT(Tabla4[[#This Row],[TOTAL DESEMBOLSOS]],Tabla4[[#This Row],[VALOR ATENCIÓN (8 MESES)]])</f>
        <v>1</v>
      </c>
      <c r="BH1270" s="29">
        <f>Tabla4[[#This Row],[TOTAL DESEMBOLSOS]]-Tabla4[[#This Row],[VALOR ATENCIÓN (8 MESES)]]</f>
        <v>0</v>
      </c>
      <c r="BI1270" t="s">
        <v>98</v>
      </c>
    </row>
    <row r="1271" spans="1:62">
      <c r="A1271" s="13">
        <v>2028</v>
      </c>
      <c r="B1271" s="13" t="s">
        <v>2751</v>
      </c>
      <c r="C1271" s="12" t="s">
        <v>87</v>
      </c>
      <c r="D1271" s="12" t="s">
        <v>88</v>
      </c>
      <c r="E1271" s="12" t="s">
        <v>2743</v>
      </c>
      <c r="F1271" s="12" t="s">
        <v>15</v>
      </c>
      <c r="G1271" s="12" t="s">
        <v>90</v>
      </c>
      <c r="H1271" s="12" t="s">
        <v>2757</v>
      </c>
      <c r="I1271" s="12">
        <v>50881139600</v>
      </c>
      <c r="J1271" s="12" t="s">
        <v>2758</v>
      </c>
      <c r="K1271" s="12">
        <v>1</v>
      </c>
      <c r="L1271" s="12">
        <v>200</v>
      </c>
      <c r="M1271" s="12"/>
      <c r="N1271" s="13">
        <v>2028</v>
      </c>
      <c r="O1271" s="12" t="s">
        <v>93</v>
      </c>
      <c r="P1271" s="12"/>
      <c r="Q1271" s="12"/>
      <c r="R1271" s="12" t="s">
        <v>94</v>
      </c>
      <c r="S1271" s="12">
        <v>10</v>
      </c>
      <c r="T1271" s="12" t="s">
        <v>2753</v>
      </c>
      <c r="U1271" s="12" t="s">
        <v>2754</v>
      </c>
      <c r="V1271" s="12">
        <f>VLOOKUP(Tabla4[[#This Row],[ZONA DEFINITIVO]],Hoja1!$A$1:$D$121,3,0)</f>
        <v>229173</v>
      </c>
      <c r="W1271" s="12">
        <f>VLOOKUP(Tabla4[[#This Row],[ZONA DEFINITIVO]],Hoja1!$A$1:$D$121,2,0)</f>
        <v>15254</v>
      </c>
      <c r="X1271" s="12">
        <f>VLOOKUP(Tabla4[[#This Row],[ZONA DEFINITIVO]],Hoja1!$A$1:$D$121,4,0)</f>
        <v>89725</v>
      </c>
      <c r="Y1271" s="12" t="str">
        <f>+IF(Tabla4[[#This Row],[AGRUPACIONES]]=1,SUMIFS(Tabla4[UDS],Tabla4[ZONA DEFINITIVO],Tabla4[[#This Row],[ZONA DEFINITIVO]])," ")</f>
        <v xml:space="preserve"> </v>
      </c>
      <c r="Z1271" s="12" t="str">
        <f>+IF(Tabla4[[#This Row],[AGRUPACIONES]]=1,SUMIFS(Tabla4[TOTAL COBERTURA],Tabla4[ZONA DEFINITIVO],Tabla4[[#This Row],[ZONA DEFINITIVO]])," ")</f>
        <v xml:space="preserve"> </v>
      </c>
      <c r="AA1271" s="12"/>
      <c r="AB1271" s="38">
        <v>865880400</v>
      </c>
      <c r="AC1271" s="37">
        <v>0.02</v>
      </c>
      <c r="AD1271" s="38">
        <f t="shared" si="20"/>
        <v>17317608</v>
      </c>
      <c r="AE1271" s="12"/>
      <c r="AF1271" s="12">
        <f>COUNTIF($A$20:A1271,A1271)</f>
        <v>3</v>
      </c>
      <c r="AG1271" s="38">
        <v>865880400</v>
      </c>
      <c r="AH1271" s="38">
        <f>Tabla4[[#This Row],[VALOR CONTRAPARTIDA]]+Tabla4[[#This Row],[TOTAL APORTES ICBF]]</f>
        <v>883198008</v>
      </c>
      <c r="AI1271" s="35"/>
      <c r="AJ1271" s="38"/>
      <c r="AK1271" s="38"/>
      <c r="AL1271" s="23"/>
      <c r="AM1271" s="35">
        <f>VLOOKUP(Tabla4[[#This Row],[SERVICIO 2025]],$J$2:$V$14,5,0)*Tabla4[[#This Row],[TOTAL COBERTURA]]</f>
        <v>17628600</v>
      </c>
      <c r="AN1271" s="35">
        <f>VLOOKUP(Tabla4[[#This Row],[SERVICIO 2025]],$J$2:$V$14,6,0)*Tabla4[[#This Row],[TOTAL COBERTURA]]</f>
        <v>15008600</v>
      </c>
      <c r="AO1271" s="35">
        <f>VLOOKUP(Tabla4[[#This Row],[SERVICIO 2025]],$J$2:$V$14,8,0)*Tabla4[[#This Row],[TOTAL COBERTURA]]</f>
        <v>0</v>
      </c>
      <c r="AP1271" s="35">
        <f>VLOOKUP(Tabla4[[#This Row],[SERVICIO 2025]],$J$2:$V$14,3,0)*Tabla4[[#This Row],[TOTAL COBERTURA]]*8</f>
        <v>833243200</v>
      </c>
      <c r="AQ1271" s="35"/>
      <c r="AR1271" s="35">
        <f>Tabla4[[#This Row],[VALOR FASE PREPARATORIA DE ALISTAMIENTO]]+Tabla4[[#This Row],[VALOR FASE PREPARATORIA DE CIERRE]]+Tabla4[[#This Row],[DOTACIÓN ÚNICA]]+Tabla4[[#This Row],[VALOR ATENCIÓN]]+Tabla4[[#This Row],[VALOR RACION PREPARADA]]</f>
        <v>865880400</v>
      </c>
      <c r="AS1271" s="35" t="str">
        <f>+IF(Tabla4[[#This Row],[AGRUPACIONES]]=1,SUMIFS(Tabla4[VALOR TOTAL],Tabla4[ZONA DEFINITIVO],Tabla4[[#This Row],[ZONA DEFINITIVO]])," ")</f>
        <v xml:space="preserve"> </v>
      </c>
      <c r="AT1271" s="27">
        <f>(VLOOKUP(Tabla4[[#This Row],[SERVICIO 2025]],$J$2:$V$14,3,0)*Tabla4[[#This Row],[TOTAL COBERTURA]])+Tabla4[[#This Row],[VALOR FASE PREPARATORIA DE ALISTAMIENTO]]+Tabla4[[#This Row],[DOTACIÓN ÚNICA]]</f>
        <v>121784000</v>
      </c>
      <c r="AU1271" s="35">
        <f>(VLOOKUP(Tabla4[[#This Row],[SERVICIO 2025]],$J$2:$V$14,3,0)*Tabla4[[#This Row],[TOTAL COBERTURA]])</f>
        <v>104155400</v>
      </c>
      <c r="AV1271" s="35">
        <f>(VLOOKUP(Tabla4[[#This Row],[SERVICIO 2025]],$J$2:$V$14,3,0)*Tabla4[[#This Row],[TOTAL COBERTURA]])</f>
        <v>104155400</v>
      </c>
      <c r="AW1271" s="35">
        <f>(VLOOKUP(Tabla4[[#This Row],[SERVICIO 2025]],$J$2:$V$14,3,0)*Tabla4[[#This Row],[TOTAL COBERTURA]])</f>
        <v>104155400</v>
      </c>
      <c r="AX1271" s="35">
        <f>(VLOOKUP(Tabla4[[#This Row],[SERVICIO 2025]],$J$2:$V$14,3,0)*Tabla4[[#This Row],[TOTAL COBERTURA]])</f>
        <v>104155400</v>
      </c>
      <c r="AY1271" s="35">
        <f>(VLOOKUP(Tabla4[[#This Row],[SERVICIO 2025]],$J$2:$V$14,3,0)*Tabla4[[#This Row],[TOTAL COBERTURA]])</f>
        <v>104155400</v>
      </c>
      <c r="AZ1271" s="35">
        <f>(VLOOKUP(Tabla4[[#This Row],[SERVICIO 2025]],$J$2:$V$14,3,0)*Tabla4[[#This Row],[TOTAL COBERTURA]])</f>
        <v>104155400</v>
      </c>
      <c r="BA1271" s="35">
        <f>(VLOOKUP(Tabla4[[#This Row],[SERVICIO 2025]],$J$2:$V$14,3,0)*Tabla4[[#This Row],[TOTAL COBERTURA]])+Tabla4[[#This Row],[VALOR FASE PREPARATORIA DE CIERRE]]</f>
        <v>119164000</v>
      </c>
      <c r="BB1271" s="35">
        <f>SUM(Tabla4[[#This Row],[DESEMBOLSO 1]:[DESEMBOLSO 8]])</f>
        <v>865880400</v>
      </c>
      <c r="BC1271" s="35">
        <f>VLOOKUP(Tabla4[[#This Row],[SERVICIO 2025]],$J$2:$V$14,10,0)*Tabla4[[#This Row],[TOTAL COBERTURA]]*$W$3</f>
        <v>0</v>
      </c>
      <c r="BD1271" s="47" t="s">
        <v>145</v>
      </c>
      <c r="BE1271" s="12" t="b">
        <f>EXACT(Tabla4[[#This Row],[VALOR ATENCIÓN (8 MESES)]],Tabla4[[#This Row],[VALOR TOTAL]])</f>
        <v>1</v>
      </c>
      <c r="BF1271" s="23">
        <f>Tabla4[[#This Row],[VALOR ATENCIÓN (8 MESES)]]-Tabla4[[#This Row],[VALOR TOTAL]]</f>
        <v>0</v>
      </c>
      <c r="BG1271" s="12" t="b">
        <f>EXACT(Tabla4[[#This Row],[TOTAL DESEMBOLSOS]],Tabla4[[#This Row],[VALOR ATENCIÓN (8 MESES)]])</f>
        <v>1</v>
      </c>
      <c r="BH1271" s="29">
        <f>Tabla4[[#This Row],[TOTAL DESEMBOLSOS]]-Tabla4[[#This Row],[VALOR ATENCIÓN (8 MESES)]]</f>
        <v>0</v>
      </c>
      <c r="BI1271" t="s">
        <v>98</v>
      </c>
    </row>
    <row r="1272" spans="1:62">
      <c r="A1272" s="13">
        <v>2028</v>
      </c>
      <c r="B1272" s="13" t="s">
        <v>2751</v>
      </c>
      <c r="C1272" s="12" t="s">
        <v>87</v>
      </c>
      <c r="D1272" s="12" t="s">
        <v>88</v>
      </c>
      <c r="E1272" s="12" t="s">
        <v>2743</v>
      </c>
      <c r="F1272" s="12" t="s">
        <v>15</v>
      </c>
      <c r="G1272" s="12" t="s">
        <v>90</v>
      </c>
      <c r="H1272" s="12" t="s">
        <v>2759</v>
      </c>
      <c r="I1272" s="12">
        <v>508800043268</v>
      </c>
      <c r="J1272" s="12" t="s">
        <v>2760</v>
      </c>
      <c r="K1272" s="12">
        <v>1</v>
      </c>
      <c r="L1272" s="12">
        <v>60</v>
      </c>
      <c r="M1272" s="12"/>
      <c r="N1272" s="13">
        <v>2028</v>
      </c>
      <c r="O1272" s="12" t="s">
        <v>93</v>
      </c>
      <c r="P1272" s="12"/>
      <c r="Q1272" s="12"/>
      <c r="R1272" s="12" t="s">
        <v>94</v>
      </c>
      <c r="S1272" s="12">
        <v>10</v>
      </c>
      <c r="T1272" s="12" t="s">
        <v>2753</v>
      </c>
      <c r="U1272" s="12" t="s">
        <v>2754</v>
      </c>
      <c r="V1272" s="12">
        <f>VLOOKUP(Tabla4[[#This Row],[ZONA DEFINITIVO]],Hoja1!$A$1:$D$121,3,0)</f>
        <v>229173</v>
      </c>
      <c r="W1272" s="12">
        <f>VLOOKUP(Tabla4[[#This Row],[ZONA DEFINITIVO]],Hoja1!$A$1:$D$121,2,0)</f>
        <v>15254</v>
      </c>
      <c r="X1272" s="12">
        <f>VLOOKUP(Tabla4[[#This Row],[ZONA DEFINITIVO]],Hoja1!$A$1:$D$121,4,0)</f>
        <v>89725</v>
      </c>
      <c r="Y1272" s="12" t="str">
        <f>+IF(Tabla4[[#This Row],[AGRUPACIONES]]=1,SUMIFS(Tabla4[UDS],Tabla4[ZONA DEFINITIVO],Tabla4[[#This Row],[ZONA DEFINITIVO]])," ")</f>
        <v xml:space="preserve"> </v>
      </c>
      <c r="Z1272" s="12" t="str">
        <f>+IF(Tabla4[[#This Row],[AGRUPACIONES]]=1,SUMIFS(Tabla4[TOTAL COBERTURA],Tabla4[ZONA DEFINITIVO],Tabla4[[#This Row],[ZONA DEFINITIVO]])," ")</f>
        <v xml:space="preserve"> </v>
      </c>
      <c r="AA1272" s="12"/>
      <c r="AB1272" s="38">
        <v>259764120</v>
      </c>
      <c r="AC1272" s="37">
        <v>0.02</v>
      </c>
      <c r="AD1272" s="38">
        <f t="shared" si="20"/>
        <v>5195282.4000000004</v>
      </c>
      <c r="AE1272" s="12"/>
      <c r="AF1272" s="12">
        <f>COUNTIF($A$20:A1272,A1272)</f>
        <v>4</v>
      </c>
      <c r="AG1272" s="38">
        <v>259764120</v>
      </c>
      <c r="AH1272" s="38">
        <f>Tabla4[[#This Row],[VALOR CONTRAPARTIDA]]+Tabla4[[#This Row],[TOTAL APORTES ICBF]]</f>
        <v>264959402.40000001</v>
      </c>
      <c r="AI1272" s="35"/>
      <c r="AJ1272" s="38"/>
      <c r="AK1272" s="38"/>
      <c r="AL1272" s="23"/>
      <c r="AM1272" s="35">
        <f>VLOOKUP(Tabla4[[#This Row],[SERVICIO 2025]],$J$2:$V$14,5,0)*Tabla4[[#This Row],[TOTAL COBERTURA]]</f>
        <v>5288580</v>
      </c>
      <c r="AN1272" s="35">
        <f>VLOOKUP(Tabla4[[#This Row],[SERVICIO 2025]],$J$2:$V$14,6,0)*Tabla4[[#This Row],[TOTAL COBERTURA]]</f>
        <v>4502580</v>
      </c>
      <c r="AO1272" s="35">
        <f>VLOOKUP(Tabla4[[#This Row],[SERVICIO 2025]],$J$2:$V$14,8,0)*Tabla4[[#This Row],[TOTAL COBERTURA]]</f>
        <v>0</v>
      </c>
      <c r="AP1272" s="35">
        <f>VLOOKUP(Tabla4[[#This Row],[SERVICIO 2025]],$J$2:$V$14,3,0)*Tabla4[[#This Row],[TOTAL COBERTURA]]*8</f>
        <v>249972960</v>
      </c>
      <c r="AQ1272" s="35"/>
      <c r="AR1272" s="35">
        <f>Tabla4[[#This Row],[VALOR FASE PREPARATORIA DE ALISTAMIENTO]]+Tabla4[[#This Row],[VALOR FASE PREPARATORIA DE CIERRE]]+Tabla4[[#This Row],[DOTACIÓN ÚNICA]]+Tabla4[[#This Row],[VALOR ATENCIÓN]]+Tabla4[[#This Row],[VALOR RACION PREPARADA]]</f>
        <v>259764120</v>
      </c>
      <c r="AS1272" s="35" t="str">
        <f>+IF(Tabla4[[#This Row],[AGRUPACIONES]]=1,SUMIFS(Tabla4[VALOR TOTAL],Tabla4[ZONA DEFINITIVO],Tabla4[[#This Row],[ZONA DEFINITIVO]])," ")</f>
        <v xml:space="preserve"> </v>
      </c>
      <c r="AT1272" s="27">
        <f>(VLOOKUP(Tabla4[[#This Row],[SERVICIO 2025]],$J$2:$V$14,3,0)*Tabla4[[#This Row],[TOTAL COBERTURA]])+Tabla4[[#This Row],[VALOR FASE PREPARATORIA DE ALISTAMIENTO]]+Tabla4[[#This Row],[DOTACIÓN ÚNICA]]</f>
        <v>36535200</v>
      </c>
      <c r="AU1272" s="35">
        <f>(VLOOKUP(Tabla4[[#This Row],[SERVICIO 2025]],$J$2:$V$14,3,0)*Tabla4[[#This Row],[TOTAL COBERTURA]])</f>
        <v>31246620</v>
      </c>
      <c r="AV1272" s="35">
        <f>(VLOOKUP(Tabla4[[#This Row],[SERVICIO 2025]],$J$2:$V$14,3,0)*Tabla4[[#This Row],[TOTAL COBERTURA]])</f>
        <v>31246620</v>
      </c>
      <c r="AW1272" s="35">
        <f>(VLOOKUP(Tabla4[[#This Row],[SERVICIO 2025]],$J$2:$V$14,3,0)*Tabla4[[#This Row],[TOTAL COBERTURA]])</f>
        <v>31246620</v>
      </c>
      <c r="AX1272" s="35">
        <f>(VLOOKUP(Tabla4[[#This Row],[SERVICIO 2025]],$J$2:$V$14,3,0)*Tabla4[[#This Row],[TOTAL COBERTURA]])</f>
        <v>31246620</v>
      </c>
      <c r="AY1272" s="35">
        <f>(VLOOKUP(Tabla4[[#This Row],[SERVICIO 2025]],$J$2:$V$14,3,0)*Tabla4[[#This Row],[TOTAL COBERTURA]])</f>
        <v>31246620</v>
      </c>
      <c r="AZ1272" s="35">
        <f>(VLOOKUP(Tabla4[[#This Row],[SERVICIO 2025]],$J$2:$V$14,3,0)*Tabla4[[#This Row],[TOTAL COBERTURA]])</f>
        <v>31246620</v>
      </c>
      <c r="BA1272" s="35">
        <f>(VLOOKUP(Tabla4[[#This Row],[SERVICIO 2025]],$J$2:$V$14,3,0)*Tabla4[[#This Row],[TOTAL COBERTURA]])+Tabla4[[#This Row],[VALOR FASE PREPARATORIA DE CIERRE]]</f>
        <v>35749200</v>
      </c>
      <c r="BB1272" s="35">
        <f>SUM(Tabla4[[#This Row],[DESEMBOLSO 1]:[DESEMBOLSO 8]])</f>
        <v>259764120</v>
      </c>
      <c r="BC1272" s="35">
        <f>VLOOKUP(Tabla4[[#This Row],[SERVICIO 2025]],$J$2:$V$14,10,0)*Tabla4[[#This Row],[TOTAL COBERTURA]]*$W$3</f>
        <v>0</v>
      </c>
      <c r="BD1272" s="47" t="s">
        <v>145</v>
      </c>
      <c r="BE1272" s="12" t="b">
        <f>EXACT(Tabla4[[#This Row],[VALOR ATENCIÓN (8 MESES)]],Tabla4[[#This Row],[VALOR TOTAL]])</f>
        <v>1</v>
      </c>
      <c r="BF1272" s="23">
        <f>Tabla4[[#This Row],[VALOR ATENCIÓN (8 MESES)]]-Tabla4[[#This Row],[VALOR TOTAL]]</f>
        <v>0</v>
      </c>
      <c r="BG1272" s="12" t="b">
        <f>EXACT(Tabla4[[#This Row],[TOTAL DESEMBOLSOS]],Tabla4[[#This Row],[VALOR ATENCIÓN (8 MESES)]])</f>
        <v>1</v>
      </c>
      <c r="BH1272" s="29">
        <f>Tabla4[[#This Row],[TOTAL DESEMBOLSOS]]-Tabla4[[#This Row],[VALOR ATENCIÓN (8 MESES)]]</f>
        <v>0</v>
      </c>
      <c r="BI1272" t="s">
        <v>98</v>
      </c>
    </row>
    <row r="1273" spans="1:62">
      <c r="A1273" s="13">
        <v>2028</v>
      </c>
      <c r="B1273" s="13" t="s">
        <v>2751</v>
      </c>
      <c r="C1273" s="12" t="s">
        <v>87</v>
      </c>
      <c r="D1273" s="12" t="s">
        <v>88</v>
      </c>
      <c r="E1273" s="12" t="s">
        <v>2743</v>
      </c>
      <c r="F1273" s="12" t="s">
        <v>15</v>
      </c>
      <c r="G1273" s="12" t="s">
        <v>90</v>
      </c>
      <c r="H1273" s="12" t="s">
        <v>2761</v>
      </c>
      <c r="I1273" s="12">
        <v>508800083289</v>
      </c>
      <c r="J1273" s="12" t="s">
        <v>2762</v>
      </c>
      <c r="K1273" s="12">
        <v>1</v>
      </c>
      <c r="L1273" s="12">
        <v>110</v>
      </c>
      <c r="M1273" s="12"/>
      <c r="N1273" s="13">
        <v>2028</v>
      </c>
      <c r="O1273" s="12" t="s">
        <v>93</v>
      </c>
      <c r="P1273" s="12"/>
      <c r="Q1273" s="12"/>
      <c r="R1273" s="12" t="s">
        <v>94</v>
      </c>
      <c r="S1273" s="12">
        <v>10</v>
      </c>
      <c r="T1273" s="12" t="s">
        <v>2753</v>
      </c>
      <c r="U1273" s="12" t="s">
        <v>2754</v>
      </c>
      <c r="V1273" s="12">
        <f>VLOOKUP(Tabla4[[#This Row],[ZONA DEFINITIVO]],Hoja1!$A$1:$D$121,3,0)</f>
        <v>229173</v>
      </c>
      <c r="W1273" s="12">
        <f>VLOOKUP(Tabla4[[#This Row],[ZONA DEFINITIVO]],Hoja1!$A$1:$D$121,2,0)</f>
        <v>15254</v>
      </c>
      <c r="X1273" s="12">
        <f>VLOOKUP(Tabla4[[#This Row],[ZONA DEFINITIVO]],Hoja1!$A$1:$D$121,4,0)</f>
        <v>89725</v>
      </c>
      <c r="Y1273" s="12" t="str">
        <f>+IF(Tabla4[[#This Row],[AGRUPACIONES]]=1,SUMIFS(Tabla4[UDS],Tabla4[ZONA DEFINITIVO],Tabla4[[#This Row],[ZONA DEFINITIVO]])," ")</f>
        <v xml:space="preserve"> </v>
      </c>
      <c r="Z1273" s="12" t="str">
        <f>+IF(Tabla4[[#This Row],[AGRUPACIONES]]=1,SUMIFS(Tabla4[TOTAL COBERTURA],Tabla4[ZONA DEFINITIVO],Tabla4[[#This Row],[ZONA DEFINITIVO]])," ")</f>
        <v xml:space="preserve"> </v>
      </c>
      <c r="AA1273" s="12"/>
      <c r="AB1273" s="38">
        <v>476234220</v>
      </c>
      <c r="AC1273" s="37">
        <v>0.02</v>
      </c>
      <c r="AD1273" s="38">
        <f t="shared" si="20"/>
        <v>9524684.4000000004</v>
      </c>
      <c r="AE1273" s="12"/>
      <c r="AF1273" s="12">
        <f>COUNTIF($A$20:A1273,A1273)</f>
        <v>5</v>
      </c>
      <c r="AG1273" s="38">
        <v>476234220</v>
      </c>
      <c r="AH1273" s="38">
        <f>Tabla4[[#This Row],[VALOR CONTRAPARTIDA]]+Tabla4[[#This Row],[TOTAL APORTES ICBF]]</f>
        <v>485758904.39999998</v>
      </c>
      <c r="AI1273" s="35"/>
      <c r="AJ1273" s="38"/>
      <c r="AK1273" s="38"/>
      <c r="AL1273" s="23"/>
      <c r="AM1273" s="35">
        <f>VLOOKUP(Tabla4[[#This Row],[SERVICIO 2025]],$J$2:$V$14,5,0)*Tabla4[[#This Row],[TOTAL COBERTURA]]</f>
        <v>9695730</v>
      </c>
      <c r="AN1273" s="35">
        <f>VLOOKUP(Tabla4[[#This Row],[SERVICIO 2025]],$J$2:$V$14,6,0)*Tabla4[[#This Row],[TOTAL COBERTURA]]</f>
        <v>8254730</v>
      </c>
      <c r="AO1273" s="35">
        <f>VLOOKUP(Tabla4[[#This Row],[SERVICIO 2025]],$J$2:$V$14,8,0)*Tabla4[[#This Row],[TOTAL COBERTURA]]</f>
        <v>0</v>
      </c>
      <c r="AP1273" s="35">
        <f>VLOOKUP(Tabla4[[#This Row],[SERVICIO 2025]],$J$2:$V$14,3,0)*Tabla4[[#This Row],[TOTAL COBERTURA]]*8</f>
        <v>458283760</v>
      </c>
      <c r="AQ1273" s="35"/>
      <c r="AR1273" s="35">
        <f>Tabla4[[#This Row],[VALOR FASE PREPARATORIA DE ALISTAMIENTO]]+Tabla4[[#This Row],[VALOR FASE PREPARATORIA DE CIERRE]]+Tabla4[[#This Row],[DOTACIÓN ÚNICA]]+Tabla4[[#This Row],[VALOR ATENCIÓN]]+Tabla4[[#This Row],[VALOR RACION PREPARADA]]</f>
        <v>476234220</v>
      </c>
      <c r="AS1273" s="35" t="str">
        <f>+IF(Tabla4[[#This Row],[AGRUPACIONES]]=1,SUMIFS(Tabla4[VALOR TOTAL],Tabla4[ZONA DEFINITIVO],Tabla4[[#This Row],[ZONA DEFINITIVO]])," ")</f>
        <v xml:space="preserve"> </v>
      </c>
      <c r="AT1273" s="27">
        <f>(VLOOKUP(Tabla4[[#This Row],[SERVICIO 2025]],$J$2:$V$14,3,0)*Tabla4[[#This Row],[TOTAL COBERTURA]])+Tabla4[[#This Row],[VALOR FASE PREPARATORIA DE ALISTAMIENTO]]+Tabla4[[#This Row],[DOTACIÓN ÚNICA]]</f>
        <v>66981200</v>
      </c>
      <c r="AU1273" s="35">
        <f>(VLOOKUP(Tabla4[[#This Row],[SERVICIO 2025]],$J$2:$V$14,3,0)*Tabla4[[#This Row],[TOTAL COBERTURA]])</f>
        <v>57285470</v>
      </c>
      <c r="AV1273" s="35">
        <f>(VLOOKUP(Tabla4[[#This Row],[SERVICIO 2025]],$J$2:$V$14,3,0)*Tabla4[[#This Row],[TOTAL COBERTURA]])</f>
        <v>57285470</v>
      </c>
      <c r="AW1273" s="35">
        <f>(VLOOKUP(Tabla4[[#This Row],[SERVICIO 2025]],$J$2:$V$14,3,0)*Tabla4[[#This Row],[TOTAL COBERTURA]])</f>
        <v>57285470</v>
      </c>
      <c r="AX1273" s="35">
        <f>(VLOOKUP(Tabla4[[#This Row],[SERVICIO 2025]],$J$2:$V$14,3,0)*Tabla4[[#This Row],[TOTAL COBERTURA]])</f>
        <v>57285470</v>
      </c>
      <c r="AY1273" s="35">
        <f>(VLOOKUP(Tabla4[[#This Row],[SERVICIO 2025]],$J$2:$V$14,3,0)*Tabla4[[#This Row],[TOTAL COBERTURA]])</f>
        <v>57285470</v>
      </c>
      <c r="AZ1273" s="35">
        <f>(VLOOKUP(Tabla4[[#This Row],[SERVICIO 2025]],$J$2:$V$14,3,0)*Tabla4[[#This Row],[TOTAL COBERTURA]])</f>
        <v>57285470</v>
      </c>
      <c r="BA1273" s="35">
        <f>(VLOOKUP(Tabla4[[#This Row],[SERVICIO 2025]],$J$2:$V$14,3,0)*Tabla4[[#This Row],[TOTAL COBERTURA]])+Tabla4[[#This Row],[VALOR FASE PREPARATORIA DE CIERRE]]</f>
        <v>65540200</v>
      </c>
      <c r="BB1273" s="35">
        <f>SUM(Tabla4[[#This Row],[DESEMBOLSO 1]:[DESEMBOLSO 8]])</f>
        <v>476234220</v>
      </c>
      <c r="BC1273" s="35">
        <f>VLOOKUP(Tabla4[[#This Row],[SERVICIO 2025]],$J$2:$V$14,10,0)*Tabla4[[#This Row],[TOTAL COBERTURA]]*$W$3</f>
        <v>0</v>
      </c>
      <c r="BD1273" s="47" t="s">
        <v>145</v>
      </c>
      <c r="BE1273" s="12" t="b">
        <f>EXACT(Tabla4[[#This Row],[VALOR ATENCIÓN (8 MESES)]],Tabla4[[#This Row],[VALOR TOTAL]])</f>
        <v>1</v>
      </c>
      <c r="BF1273" s="23">
        <f>Tabla4[[#This Row],[VALOR ATENCIÓN (8 MESES)]]-Tabla4[[#This Row],[VALOR TOTAL]]</f>
        <v>0</v>
      </c>
      <c r="BG1273" s="12" t="b">
        <f>EXACT(Tabla4[[#This Row],[TOTAL DESEMBOLSOS]],Tabla4[[#This Row],[VALOR ATENCIÓN (8 MESES)]])</f>
        <v>1</v>
      </c>
      <c r="BH1273" s="29">
        <f>Tabla4[[#This Row],[TOTAL DESEMBOLSOS]]-Tabla4[[#This Row],[VALOR ATENCIÓN (8 MESES)]]</f>
        <v>0</v>
      </c>
      <c r="BI1273" t="s">
        <v>98</v>
      </c>
    </row>
    <row r="1274" spans="1:62">
      <c r="A1274" s="13">
        <v>2028</v>
      </c>
      <c r="B1274" s="13" t="s">
        <v>2751</v>
      </c>
      <c r="C1274" s="12" t="s">
        <v>87</v>
      </c>
      <c r="D1274" s="12" t="s">
        <v>88</v>
      </c>
      <c r="E1274" s="12" t="s">
        <v>2743</v>
      </c>
      <c r="F1274" s="12" t="s">
        <v>15</v>
      </c>
      <c r="G1274" s="12" t="s">
        <v>90</v>
      </c>
      <c r="H1274" s="12" t="s">
        <v>2763</v>
      </c>
      <c r="I1274" s="12">
        <v>508800083328</v>
      </c>
      <c r="J1274" s="12" t="s">
        <v>545</v>
      </c>
      <c r="K1274" s="12">
        <v>1</v>
      </c>
      <c r="L1274" s="12">
        <v>35</v>
      </c>
      <c r="M1274" s="12"/>
      <c r="N1274" s="13">
        <v>2028</v>
      </c>
      <c r="O1274" s="12" t="s">
        <v>93</v>
      </c>
      <c r="P1274" s="12"/>
      <c r="Q1274" s="12"/>
      <c r="R1274" s="12" t="s">
        <v>94</v>
      </c>
      <c r="S1274" s="12">
        <v>10</v>
      </c>
      <c r="T1274" s="12" t="s">
        <v>2753</v>
      </c>
      <c r="U1274" s="12" t="s">
        <v>2754</v>
      </c>
      <c r="V1274" s="12">
        <f>VLOOKUP(Tabla4[[#This Row],[ZONA DEFINITIVO]],Hoja1!$A$1:$D$121,3,0)</f>
        <v>229173</v>
      </c>
      <c r="W1274" s="12">
        <f>VLOOKUP(Tabla4[[#This Row],[ZONA DEFINITIVO]],Hoja1!$A$1:$D$121,2,0)</f>
        <v>15254</v>
      </c>
      <c r="X1274" s="12">
        <f>VLOOKUP(Tabla4[[#This Row],[ZONA DEFINITIVO]],Hoja1!$A$1:$D$121,4,0)</f>
        <v>89725</v>
      </c>
      <c r="Y1274" s="12" t="str">
        <f>+IF(Tabla4[[#This Row],[AGRUPACIONES]]=1,SUMIFS(Tabla4[UDS],Tabla4[ZONA DEFINITIVO],Tabla4[[#This Row],[ZONA DEFINITIVO]])," ")</f>
        <v xml:space="preserve"> </v>
      </c>
      <c r="Z1274" s="12" t="str">
        <f>+IF(Tabla4[[#This Row],[AGRUPACIONES]]=1,SUMIFS(Tabla4[TOTAL COBERTURA],Tabla4[ZONA DEFINITIVO],Tabla4[[#This Row],[ZONA DEFINITIVO]])," ")</f>
        <v xml:space="preserve"> </v>
      </c>
      <c r="AA1274" s="12"/>
      <c r="AB1274" s="38">
        <v>151529070</v>
      </c>
      <c r="AC1274" s="37">
        <v>0.02</v>
      </c>
      <c r="AD1274" s="38">
        <f t="shared" si="20"/>
        <v>3030581.4</v>
      </c>
      <c r="AE1274" s="12"/>
      <c r="AF1274" s="12">
        <f>COUNTIF($A$20:A1274,A1274)</f>
        <v>6</v>
      </c>
      <c r="AG1274" s="38">
        <v>151529070</v>
      </c>
      <c r="AH1274" s="38">
        <f>Tabla4[[#This Row],[VALOR CONTRAPARTIDA]]+Tabla4[[#This Row],[TOTAL APORTES ICBF]]</f>
        <v>154559651.40000001</v>
      </c>
      <c r="AI1274" s="35"/>
      <c r="AJ1274" s="38"/>
      <c r="AK1274" s="38"/>
      <c r="AL1274" s="23"/>
      <c r="AM1274" s="35">
        <f>VLOOKUP(Tabla4[[#This Row],[SERVICIO 2025]],$J$2:$V$14,5,0)*Tabla4[[#This Row],[TOTAL COBERTURA]]</f>
        <v>3085005</v>
      </c>
      <c r="AN1274" s="35">
        <f>VLOOKUP(Tabla4[[#This Row],[SERVICIO 2025]],$J$2:$V$14,6,0)*Tabla4[[#This Row],[TOTAL COBERTURA]]</f>
        <v>2626505</v>
      </c>
      <c r="AO1274" s="35">
        <f>VLOOKUP(Tabla4[[#This Row],[SERVICIO 2025]],$J$2:$V$14,8,0)*Tabla4[[#This Row],[TOTAL COBERTURA]]</f>
        <v>0</v>
      </c>
      <c r="AP1274" s="35">
        <f>VLOOKUP(Tabla4[[#This Row],[SERVICIO 2025]],$J$2:$V$14,3,0)*Tabla4[[#This Row],[TOTAL COBERTURA]]*8</f>
        <v>145817560</v>
      </c>
      <c r="AQ1274" s="35"/>
      <c r="AR1274" s="35">
        <f>Tabla4[[#This Row],[VALOR FASE PREPARATORIA DE ALISTAMIENTO]]+Tabla4[[#This Row],[VALOR FASE PREPARATORIA DE CIERRE]]+Tabla4[[#This Row],[DOTACIÓN ÚNICA]]+Tabla4[[#This Row],[VALOR ATENCIÓN]]+Tabla4[[#This Row],[VALOR RACION PREPARADA]]</f>
        <v>151529070</v>
      </c>
      <c r="AS1274" s="35" t="str">
        <f>+IF(Tabla4[[#This Row],[AGRUPACIONES]]=1,SUMIFS(Tabla4[VALOR TOTAL],Tabla4[ZONA DEFINITIVO],Tabla4[[#This Row],[ZONA DEFINITIVO]])," ")</f>
        <v xml:space="preserve"> </v>
      </c>
      <c r="AT1274" s="27">
        <f>(VLOOKUP(Tabla4[[#This Row],[SERVICIO 2025]],$J$2:$V$14,3,0)*Tabla4[[#This Row],[TOTAL COBERTURA]])+Tabla4[[#This Row],[VALOR FASE PREPARATORIA DE ALISTAMIENTO]]+Tabla4[[#This Row],[DOTACIÓN ÚNICA]]</f>
        <v>21312200</v>
      </c>
      <c r="AU1274" s="35">
        <f>(VLOOKUP(Tabla4[[#This Row],[SERVICIO 2025]],$J$2:$V$14,3,0)*Tabla4[[#This Row],[TOTAL COBERTURA]])</f>
        <v>18227195</v>
      </c>
      <c r="AV1274" s="35">
        <f>(VLOOKUP(Tabla4[[#This Row],[SERVICIO 2025]],$J$2:$V$14,3,0)*Tabla4[[#This Row],[TOTAL COBERTURA]])</f>
        <v>18227195</v>
      </c>
      <c r="AW1274" s="35">
        <f>(VLOOKUP(Tabla4[[#This Row],[SERVICIO 2025]],$J$2:$V$14,3,0)*Tabla4[[#This Row],[TOTAL COBERTURA]])</f>
        <v>18227195</v>
      </c>
      <c r="AX1274" s="35">
        <f>(VLOOKUP(Tabla4[[#This Row],[SERVICIO 2025]],$J$2:$V$14,3,0)*Tabla4[[#This Row],[TOTAL COBERTURA]])</f>
        <v>18227195</v>
      </c>
      <c r="AY1274" s="35">
        <f>(VLOOKUP(Tabla4[[#This Row],[SERVICIO 2025]],$J$2:$V$14,3,0)*Tabla4[[#This Row],[TOTAL COBERTURA]])</f>
        <v>18227195</v>
      </c>
      <c r="AZ1274" s="35">
        <f>(VLOOKUP(Tabla4[[#This Row],[SERVICIO 2025]],$J$2:$V$14,3,0)*Tabla4[[#This Row],[TOTAL COBERTURA]])</f>
        <v>18227195</v>
      </c>
      <c r="BA1274" s="35">
        <f>(VLOOKUP(Tabla4[[#This Row],[SERVICIO 2025]],$J$2:$V$14,3,0)*Tabla4[[#This Row],[TOTAL COBERTURA]])+Tabla4[[#This Row],[VALOR FASE PREPARATORIA DE CIERRE]]</f>
        <v>20853700</v>
      </c>
      <c r="BB1274" s="35">
        <f>SUM(Tabla4[[#This Row],[DESEMBOLSO 1]:[DESEMBOLSO 8]])</f>
        <v>151529070</v>
      </c>
      <c r="BC1274" s="35">
        <f>VLOOKUP(Tabla4[[#This Row],[SERVICIO 2025]],$J$2:$V$14,10,0)*Tabla4[[#This Row],[TOTAL COBERTURA]]*$W$3</f>
        <v>0</v>
      </c>
      <c r="BD1274" s="47" t="s">
        <v>145</v>
      </c>
      <c r="BE1274" s="12" t="b">
        <f>EXACT(Tabla4[[#This Row],[VALOR ATENCIÓN (8 MESES)]],Tabla4[[#This Row],[VALOR TOTAL]])</f>
        <v>1</v>
      </c>
      <c r="BF1274" s="23">
        <f>Tabla4[[#This Row],[VALOR ATENCIÓN (8 MESES)]]-Tabla4[[#This Row],[VALOR TOTAL]]</f>
        <v>0</v>
      </c>
      <c r="BG1274" s="12" t="b">
        <f>EXACT(Tabla4[[#This Row],[TOTAL DESEMBOLSOS]],Tabla4[[#This Row],[VALOR ATENCIÓN (8 MESES)]])</f>
        <v>1</v>
      </c>
      <c r="BH1274" s="29">
        <f>Tabla4[[#This Row],[TOTAL DESEMBOLSOS]]-Tabla4[[#This Row],[VALOR ATENCIÓN (8 MESES)]]</f>
        <v>0</v>
      </c>
      <c r="BI1274" t="s">
        <v>98</v>
      </c>
    </row>
    <row r="1275" spans="1:62">
      <c r="A1275" s="13">
        <v>2028</v>
      </c>
      <c r="B1275" s="13" t="s">
        <v>2751</v>
      </c>
      <c r="C1275" s="12" t="s">
        <v>87</v>
      </c>
      <c r="D1275" s="12" t="s">
        <v>88</v>
      </c>
      <c r="E1275" s="12" t="s">
        <v>2743</v>
      </c>
      <c r="F1275" s="12" t="s">
        <v>15</v>
      </c>
      <c r="G1275" s="12" t="s">
        <v>90</v>
      </c>
      <c r="H1275" s="12" t="s">
        <v>2764</v>
      </c>
      <c r="I1275" s="12">
        <v>508800101926</v>
      </c>
      <c r="J1275" s="12" t="s">
        <v>2765</v>
      </c>
      <c r="K1275" s="12">
        <v>1</v>
      </c>
      <c r="L1275" s="12">
        <v>67</v>
      </c>
      <c r="M1275" s="12"/>
      <c r="N1275" s="13">
        <v>2028</v>
      </c>
      <c r="O1275" s="12" t="s">
        <v>93</v>
      </c>
      <c r="P1275" s="12"/>
      <c r="Q1275" s="12"/>
      <c r="R1275" s="12" t="s">
        <v>94</v>
      </c>
      <c r="S1275" s="12">
        <v>10</v>
      </c>
      <c r="T1275" s="12" t="s">
        <v>2753</v>
      </c>
      <c r="U1275" s="12" t="s">
        <v>2754</v>
      </c>
      <c r="V1275" s="12">
        <f>VLOOKUP(Tabla4[[#This Row],[ZONA DEFINITIVO]],Hoja1!$A$1:$D$121,3,0)</f>
        <v>229173</v>
      </c>
      <c r="W1275" s="12">
        <f>VLOOKUP(Tabla4[[#This Row],[ZONA DEFINITIVO]],Hoja1!$A$1:$D$121,2,0)</f>
        <v>15254</v>
      </c>
      <c r="X1275" s="12">
        <f>VLOOKUP(Tabla4[[#This Row],[ZONA DEFINITIVO]],Hoja1!$A$1:$D$121,4,0)</f>
        <v>89725</v>
      </c>
      <c r="Y1275" s="12" t="str">
        <f>+IF(Tabla4[[#This Row],[AGRUPACIONES]]=1,SUMIFS(Tabla4[UDS],Tabla4[ZONA DEFINITIVO],Tabla4[[#This Row],[ZONA DEFINITIVO]])," ")</f>
        <v xml:space="preserve"> </v>
      </c>
      <c r="Z1275" s="12" t="str">
        <f>+IF(Tabla4[[#This Row],[AGRUPACIONES]]=1,SUMIFS(Tabla4[TOTAL COBERTURA],Tabla4[ZONA DEFINITIVO],Tabla4[[#This Row],[ZONA DEFINITIVO]])," ")</f>
        <v xml:space="preserve"> </v>
      </c>
      <c r="AA1275" s="12"/>
      <c r="AB1275" s="38">
        <v>290069934</v>
      </c>
      <c r="AC1275" s="37">
        <v>0.02</v>
      </c>
      <c r="AD1275" s="38">
        <f t="shared" si="20"/>
        <v>5801398.6799999997</v>
      </c>
      <c r="AE1275" s="12"/>
      <c r="AF1275" s="12">
        <f>COUNTIF($A$20:A1275,A1275)</f>
        <v>7</v>
      </c>
      <c r="AG1275" s="38">
        <v>290069934</v>
      </c>
      <c r="AH1275" s="38">
        <f>Tabla4[[#This Row],[VALOR CONTRAPARTIDA]]+Tabla4[[#This Row],[TOTAL APORTES ICBF]]</f>
        <v>295871332.68000001</v>
      </c>
      <c r="AI1275" s="35"/>
      <c r="AJ1275" s="38"/>
      <c r="AK1275" s="38"/>
      <c r="AL1275" s="23"/>
      <c r="AM1275" s="35">
        <f>VLOOKUP(Tabla4[[#This Row],[SERVICIO 2025]],$J$2:$V$14,5,0)*Tabla4[[#This Row],[TOTAL COBERTURA]]</f>
        <v>5905581</v>
      </c>
      <c r="AN1275" s="35">
        <f>VLOOKUP(Tabla4[[#This Row],[SERVICIO 2025]],$J$2:$V$14,6,0)*Tabla4[[#This Row],[TOTAL COBERTURA]]</f>
        <v>5027881</v>
      </c>
      <c r="AO1275" s="35">
        <f>VLOOKUP(Tabla4[[#This Row],[SERVICIO 2025]],$J$2:$V$14,8,0)*Tabla4[[#This Row],[TOTAL COBERTURA]]</f>
        <v>0</v>
      </c>
      <c r="AP1275" s="35">
        <f>VLOOKUP(Tabla4[[#This Row],[SERVICIO 2025]],$J$2:$V$14,3,0)*Tabla4[[#This Row],[TOTAL COBERTURA]]*8</f>
        <v>279136472</v>
      </c>
      <c r="AQ1275" s="35"/>
      <c r="AR1275" s="35">
        <f>Tabla4[[#This Row],[VALOR FASE PREPARATORIA DE ALISTAMIENTO]]+Tabla4[[#This Row],[VALOR FASE PREPARATORIA DE CIERRE]]+Tabla4[[#This Row],[DOTACIÓN ÚNICA]]+Tabla4[[#This Row],[VALOR ATENCIÓN]]+Tabla4[[#This Row],[VALOR RACION PREPARADA]]</f>
        <v>290069934</v>
      </c>
      <c r="AS1275" s="35" t="str">
        <f>+IF(Tabla4[[#This Row],[AGRUPACIONES]]=1,SUMIFS(Tabla4[VALOR TOTAL],Tabla4[ZONA DEFINITIVO],Tabla4[[#This Row],[ZONA DEFINITIVO]])," ")</f>
        <v xml:space="preserve"> </v>
      </c>
      <c r="AT1275" s="27">
        <f>(VLOOKUP(Tabla4[[#This Row],[SERVICIO 2025]],$J$2:$V$14,3,0)*Tabla4[[#This Row],[TOTAL COBERTURA]])+Tabla4[[#This Row],[VALOR FASE PREPARATORIA DE ALISTAMIENTO]]+Tabla4[[#This Row],[DOTACIÓN ÚNICA]]</f>
        <v>40797640</v>
      </c>
      <c r="AU1275" s="35">
        <f>(VLOOKUP(Tabla4[[#This Row],[SERVICIO 2025]],$J$2:$V$14,3,0)*Tabla4[[#This Row],[TOTAL COBERTURA]])</f>
        <v>34892059</v>
      </c>
      <c r="AV1275" s="35">
        <f>(VLOOKUP(Tabla4[[#This Row],[SERVICIO 2025]],$J$2:$V$14,3,0)*Tabla4[[#This Row],[TOTAL COBERTURA]])</f>
        <v>34892059</v>
      </c>
      <c r="AW1275" s="35">
        <f>(VLOOKUP(Tabla4[[#This Row],[SERVICIO 2025]],$J$2:$V$14,3,0)*Tabla4[[#This Row],[TOTAL COBERTURA]])</f>
        <v>34892059</v>
      </c>
      <c r="AX1275" s="35">
        <f>(VLOOKUP(Tabla4[[#This Row],[SERVICIO 2025]],$J$2:$V$14,3,0)*Tabla4[[#This Row],[TOTAL COBERTURA]])</f>
        <v>34892059</v>
      </c>
      <c r="AY1275" s="35">
        <f>(VLOOKUP(Tabla4[[#This Row],[SERVICIO 2025]],$J$2:$V$14,3,0)*Tabla4[[#This Row],[TOTAL COBERTURA]])</f>
        <v>34892059</v>
      </c>
      <c r="AZ1275" s="35">
        <f>(VLOOKUP(Tabla4[[#This Row],[SERVICIO 2025]],$J$2:$V$14,3,0)*Tabla4[[#This Row],[TOTAL COBERTURA]])</f>
        <v>34892059</v>
      </c>
      <c r="BA1275" s="35">
        <f>(VLOOKUP(Tabla4[[#This Row],[SERVICIO 2025]],$J$2:$V$14,3,0)*Tabla4[[#This Row],[TOTAL COBERTURA]])+Tabla4[[#This Row],[VALOR FASE PREPARATORIA DE CIERRE]]</f>
        <v>39919940</v>
      </c>
      <c r="BB1275" s="35">
        <f>SUM(Tabla4[[#This Row],[DESEMBOLSO 1]:[DESEMBOLSO 8]])</f>
        <v>290069934</v>
      </c>
      <c r="BC1275" s="35">
        <f>VLOOKUP(Tabla4[[#This Row],[SERVICIO 2025]],$J$2:$V$14,10,0)*Tabla4[[#This Row],[TOTAL COBERTURA]]*$W$3</f>
        <v>0</v>
      </c>
      <c r="BD1275" s="47" t="s">
        <v>145</v>
      </c>
      <c r="BE1275" s="12" t="b">
        <f>EXACT(Tabla4[[#This Row],[VALOR ATENCIÓN (8 MESES)]],Tabla4[[#This Row],[VALOR TOTAL]])</f>
        <v>1</v>
      </c>
      <c r="BF1275" s="23">
        <f>Tabla4[[#This Row],[VALOR ATENCIÓN (8 MESES)]]-Tabla4[[#This Row],[VALOR TOTAL]]</f>
        <v>0</v>
      </c>
      <c r="BG1275" s="12" t="b">
        <f>EXACT(Tabla4[[#This Row],[TOTAL DESEMBOLSOS]],Tabla4[[#This Row],[VALOR ATENCIÓN (8 MESES)]])</f>
        <v>1</v>
      </c>
      <c r="BH1275" s="29">
        <f>Tabla4[[#This Row],[TOTAL DESEMBOLSOS]]-Tabla4[[#This Row],[VALOR ATENCIÓN (8 MESES)]]</f>
        <v>0</v>
      </c>
      <c r="BI1275" t="s">
        <v>98</v>
      </c>
    </row>
    <row r="1276" spans="1:62">
      <c r="A1276" s="13">
        <v>2029</v>
      </c>
      <c r="B1276" s="13" t="s">
        <v>2766</v>
      </c>
      <c r="C1276" s="12" t="s">
        <v>87</v>
      </c>
      <c r="D1276" s="12" t="s">
        <v>88</v>
      </c>
      <c r="E1276" s="12" t="s">
        <v>2743</v>
      </c>
      <c r="F1276" s="12" t="s">
        <v>21</v>
      </c>
      <c r="G1276" s="12" t="s">
        <v>90</v>
      </c>
      <c r="H1276" s="12" t="s">
        <v>2767</v>
      </c>
      <c r="I1276" s="12">
        <v>50881119395</v>
      </c>
      <c r="J1276" s="12" t="s">
        <v>2768</v>
      </c>
      <c r="K1276" s="12">
        <v>1</v>
      </c>
      <c r="L1276" s="12">
        <v>53</v>
      </c>
      <c r="M1276" s="12"/>
      <c r="N1276" s="13">
        <v>2029</v>
      </c>
      <c r="O1276" s="12" t="s">
        <v>93</v>
      </c>
      <c r="P1276" s="12"/>
      <c r="Q1276" s="12"/>
      <c r="R1276" s="12" t="s">
        <v>94</v>
      </c>
      <c r="S1276" s="12">
        <v>10</v>
      </c>
      <c r="T1276" s="12" t="s">
        <v>2769</v>
      </c>
      <c r="U1276" s="12" t="s">
        <v>2770</v>
      </c>
      <c r="V1276" s="12">
        <f>VLOOKUP(Tabla4[[#This Row],[ZONA DEFINITIVO]],Hoja1!$A$1:$D$121,3,0)</f>
        <v>229174</v>
      </c>
      <c r="W1276" s="12">
        <f>VLOOKUP(Tabla4[[#This Row],[ZONA DEFINITIVO]],Hoja1!$A$1:$D$121,2,0)</f>
        <v>15259</v>
      </c>
      <c r="X1276" s="12">
        <f>VLOOKUP(Tabla4[[#This Row],[ZONA DEFINITIVO]],Hoja1!$A$1:$D$121,4,0)</f>
        <v>90225</v>
      </c>
      <c r="Y1276" s="12">
        <f>+IF(Tabla4[[#This Row],[AGRUPACIONES]]=1,SUMIFS(Tabla4[UDS],Tabla4[ZONA DEFINITIVO],Tabla4[[#This Row],[ZONA DEFINITIVO]])," ")</f>
        <v>11</v>
      </c>
      <c r="Z1276" s="12">
        <f>+IF(Tabla4[[#This Row],[AGRUPACIONES]]=1,SUMIFS(Tabla4[TOTAL COBERTURA],Tabla4[ZONA DEFINITIVO],Tabla4[[#This Row],[ZONA DEFINITIVO]])," ")</f>
        <v>1011</v>
      </c>
      <c r="AA1276" s="12"/>
      <c r="AB1276" s="38">
        <v>80523165</v>
      </c>
      <c r="AC1276" s="37">
        <v>0.02</v>
      </c>
      <c r="AD1276" s="38">
        <f t="shared" si="20"/>
        <v>1610463.3</v>
      </c>
      <c r="AE1276" s="12"/>
      <c r="AF1276" s="12">
        <f>COUNTIF($A$20:A1276,A1276)</f>
        <v>1</v>
      </c>
      <c r="AG1276" s="38">
        <v>80523165</v>
      </c>
      <c r="AH1276" s="38">
        <f>Tabla4[[#This Row],[VALOR CONTRAPARTIDA]]+Tabla4[[#This Row],[TOTAL APORTES ICBF]]</f>
        <v>82133628.299999997</v>
      </c>
      <c r="AI1276" s="35">
        <f>ROUND(+IF(Tabla4[[#This Row],[AGRUPACIONES]]=1,SUMIFS(Tabla4[TOTAL APORTES ICBF],Tabla4[ZONA DEFINITIVO],Tabla4[[#This Row],[ZONA DEFINITIVO]])," "),0)</f>
        <v>1536017355</v>
      </c>
      <c r="AJ1276" s="38">
        <f>ROUND(+IF(Tabla4[[#This Row],[AGRUPACIONES]]=1,SUMIFS(Tabla4[VALOR CONTRAPARTIDA],Tabla4[ZONA DEFINITIVO],Tabla4[[#This Row],[ZONA DEFINITIVO]])," "),0)</f>
        <v>30720347</v>
      </c>
      <c r="AK1276" s="38">
        <f>Tabla4[[#This Row],[TOTAL APORTES ICBF AGRUPADO]]+Tabla4[[#This Row],[TOTAL CONTRAPARTIDA AGRUPADO]]</f>
        <v>1566737702</v>
      </c>
      <c r="AL1276" s="23">
        <f>Tabla4[[#This Row],[TOTAL APORTES ICBF AGRUPADO]]/$AL$18</f>
        <v>1079.0427502634352</v>
      </c>
      <c r="AM1276" s="35">
        <f>VLOOKUP(Tabla4[[#This Row],[SERVICIO 2025]],$J$2:$V$14,5,0)*Tabla4[[#This Row],[TOTAL COBERTURA]]</f>
        <v>2477432</v>
      </c>
      <c r="AN1276" s="35">
        <f>VLOOKUP(Tabla4[[#This Row],[SERVICIO 2025]],$J$2:$V$14,6,0)*Tabla4[[#This Row],[TOTAL COBERTURA]]</f>
        <v>2005573</v>
      </c>
      <c r="AO1276" s="35">
        <f>VLOOKUP(Tabla4[[#This Row],[SERVICIO 2025]],$J$2:$V$14,8,0)*Tabla4[[#This Row],[TOTAL COBERTURA]]</f>
        <v>0</v>
      </c>
      <c r="AP1276" s="35">
        <f>VLOOKUP(Tabla4[[#This Row],[SERVICIO 2025]],$J$2:$V$14,3,0)*Tabla4[[#This Row],[TOTAL COBERTURA]]*8</f>
        <v>76040160</v>
      </c>
      <c r="AQ1276" s="35"/>
      <c r="AR1276" s="35">
        <f>Tabla4[[#This Row],[VALOR FASE PREPARATORIA DE ALISTAMIENTO]]+Tabla4[[#This Row],[VALOR FASE PREPARATORIA DE CIERRE]]+Tabla4[[#This Row],[DOTACIÓN ÚNICA]]+Tabla4[[#This Row],[VALOR ATENCIÓN]]+Tabla4[[#This Row],[VALOR RACION PREPARADA]]</f>
        <v>80523165</v>
      </c>
      <c r="AS1276" s="35">
        <f>+IF(Tabla4[[#This Row],[AGRUPACIONES]]=1,SUMIFS(Tabla4[VALOR TOTAL],Tabla4[ZONA DEFINITIVO],Tabla4[[#This Row],[ZONA DEFINITIVO]])," ")</f>
        <v>1536017355</v>
      </c>
      <c r="AT1276" s="27">
        <f>(VLOOKUP(Tabla4[[#This Row],[SERVICIO 2025]],$J$2:$V$14,3,0)*Tabla4[[#This Row],[TOTAL COBERTURA]])+Tabla4[[#This Row],[VALOR FASE PREPARATORIA DE ALISTAMIENTO]]+Tabla4[[#This Row],[DOTACIÓN ÚNICA]]</f>
        <v>11982452</v>
      </c>
      <c r="AU1276" s="35">
        <f>(VLOOKUP(Tabla4[[#This Row],[SERVICIO 2025]],$J$2:$V$14,3,0)*Tabla4[[#This Row],[TOTAL COBERTURA]])</f>
        <v>9505020</v>
      </c>
      <c r="AV1276" s="35">
        <f>(VLOOKUP(Tabla4[[#This Row],[SERVICIO 2025]],$J$2:$V$14,3,0)*Tabla4[[#This Row],[TOTAL COBERTURA]])</f>
        <v>9505020</v>
      </c>
      <c r="AW1276" s="35">
        <f>(VLOOKUP(Tabla4[[#This Row],[SERVICIO 2025]],$J$2:$V$14,3,0)*Tabla4[[#This Row],[TOTAL COBERTURA]])</f>
        <v>9505020</v>
      </c>
      <c r="AX1276" s="35">
        <f>(VLOOKUP(Tabla4[[#This Row],[SERVICIO 2025]],$J$2:$V$14,3,0)*Tabla4[[#This Row],[TOTAL COBERTURA]])</f>
        <v>9505020</v>
      </c>
      <c r="AY1276" s="35">
        <f>(VLOOKUP(Tabla4[[#This Row],[SERVICIO 2025]],$J$2:$V$14,3,0)*Tabla4[[#This Row],[TOTAL COBERTURA]])</f>
        <v>9505020</v>
      </c>
      <c r="AZ1276" s="35">
        <f>(VLOOKUP(Tabla4[[#This Row],[SERVICIO 2025]],$J$2:$V$14,3,0)*Tabla4[[#This Row],[TOTAL COBERTURA]])</f>
        <v>9505020</v>
      </c>
      <c r="BA1276" s="35">
        <f>(VLOOKUP(Tabla4[[#This Row],[SERVICIO 2025]],$J$2:$V$14,3,0)*Tabla4[[#This Row],[TOTAL COBERTURA]])+Tabla4[[#This Row],[VALOR FASE PREPARATORIA DE CIERRE]]</f>
        <v>11510593</v>
      </c>
      <c r="BB1276" s="35">
        <f>SUM(Tabla4[[#This Row],[DESEMBOLSO 1]:[DESEMBOLSO 8]])</f>
        <v>80523165</v>
      </c>
      <c r="BC1276" s="35">
        <f>VLOOKUP(Tabla4[[#This Row],[SERVICIO 2025]],$J$2:$V$14,10,0)*Tabla4[[#This Row],[TOTAL COBERTURA]]*$W$3</f>
        <v>79848104</v>
      </c>
      <c r="BD1276" s="47" t="s">
        <v>211</v>
      </c>
      <c r="BE1276" s="12" t="b">
        <f>EXACT(Tabla4[[#This Row],[VALOR ATENCIÓN (8 MESES)]],Tabla4[[#This Row],[VALOR TOTAL]])</f>
        <v>1</v>
      </c>
      <c r="BF1276" s="23">
        <f>Tabla4[[#This Row],[VALOR ATENCIÓN (8 MESES)]]-Tabla4[[#This Row],[VALOR TOTAL]]</f>
        <v>0</v>
      </c>
      <c r="BG1276" s="12" t="b">
        <f>EXACT(Tabla4[[#This Row],[TOTAL DESEMBOLSOS]],Tabla4[[#This Row],[VALOR ATENCIÓN (8 MESES)]])</f>
        <v>1</v>
      </c>
      <c r="BH1276" s="29">
        <f>Tabla4[[#This Row],[TOTAL DESEMBOLSOS]]-Tabla4[[#This Row],[VALOR ATENCIÓN (8 MESES)]]</f>
        <v>0</v>
      </c>
      <c r="BI1276" t="s">
        <v>98</v>
      </c>
      <c r="BJ1276">
        <v>2029</v>
      </c>
    </row>
    <row r="1277" spans="1:62">
      <c r="A1277" s="13">
        <v>2029</v>
      </c>
      <c r="B1277" s="13" t="s">
        <v>2766</v>
      </c>
      <c r="C1277" s="12" t="s">
        <v>87</v>
      </c>
      <c r="D1277" s="12" t="s">
        <v>88</v>
      </c>
      <c r="E1277" s="12" t="s">
        <v>2743</v>
      </c>
      <c r="F1277" s="12" t="s">
        <v>21</v>
      </c>
      <c r="G1277" s="12" t="s">
        <v>90</v>
      </c>
      <c r="H1277" s="12" t="s">
        <v>2771</v>
      </c>
      <c r="I1277" s="12">
        <v>50881119470</v>
      </c>
      <c r="J1277" s="12" t="s">
        <v>2772</v>
      </c>
      <c r="K1277" s="12">
        <v>1</v>
      </c>
      <c r="L1277" s="12">
        <v>54</v>
      </c>
      <c r="M1277" s="12"/>
      <c r="N1277" s="13">
        <v>2029</v>
      </c>
      <c r="O1277" s="12" t="s">
        <v>93</v>
      </c>
      <c r="P1277" s="12"/>
      <c r="Q1277" s="12"/>
      <c r="R1277" s="12" t="s">
        <v>94</v>
      </c>
      <c r="S1277" s="12">
        <v>10</v>
      </c>
      <c r="T1277" s="12" t="s">
        <v>2769</v>
      </c>
      <c r="U1277" s="12" t="s">
        <v>2770</v>
      </c>
      <c r="V1277" s="12">
        <f>VLOOKUP(Tabla4[[#This Row],[ZONA DEFINITIVO]],Hoja1!$A$1:$D$121,3,0)</f>
        <v>229174</v>
      </c>
      <c r="W1277" s="12">
        <f>VLOOKUP(Tabla4[[#This Row],[ZONA DEFINITIVO]],Hoja1!$A$1:$D$121,2,0)</f>
        <v>15259</v>
      </c>
      <c r="X1277" s="12">
        <f>VLOOKUP(Tabla4[[#This Row],[ZONA DEFINITIVO]],Hoja1!$A$1:$D$121,4,0)</f>
        <v>90225</v>
      </c>
      <c r="Y1277" s="12" t="str">
        <f>+IF(Tabla4[[#This Row],[AGRUPACIONES]]=1,SUMIFS(Tabla4[UDS],Tabla4[ZONA DEFINITIVO],Tabla4[[#This Row],[ZONA DEFINITIVO]])," ")</f>
        <v xml:space="preserve"> </v>
      </c>
      <c r="Z1277" s="12" t="str">
        <f>+IF(Tabla4[[#This Row],[AGRUPACIONES]]=1,SUMIFS(Tabla4[TOTAL COBERTURA],Tabla4[ZONA DEFINITIVO],Tabla4[[#This Row],[ZONA DEFINITIVO]])," ")</f>
        <v xml:space="preserve"> </v>
      </c>
      <c r="AA1277" s="12"/>
      <c r="AB1277" s="38">
        <v>82042470</v>
      </c>
      <c r="AC1277" s="37">
        <v>0.02</v>
      </c>
      <c r="AD1277" s="38">
        <f t="shared" si="20"/>
        <v>1640849.4000000001</v>
      </c>
      <c r="AE1277" s="12"/>
      <c r="AF1277" s="12">
        <f>COUNTIF($A$20:A1277,A1277)</f>
        <v>2</v>
      </c>
      <c r="AG1277" s="38">
        <v>82042470</v>
      </c>
      <c r="AH1277" s="38">
        <f>Tabla4[[#This Row],[VALOR CONTRAPARTIDA]]+Tabla4[[#This Row],[TOTAL APORTES ICBF]]</f>
        <v>83683319.400000006</v>
      </c>
      <c r="AI1277" s="35"/>
      <c r="AJ1277" s="38"/>
      <c r="AK1277" s="38"/>
      <c r="AL1277" s="23"/>
      <c r="AM1277" s="35">
        <f>VLOOKUP(Tabla4[[#This Row],[SERVICIO 2025]],$J$2:$V$14,5,0)*Tabla4[[#This Row],[TOTAL COBERTURA]]</f>
        <v>2524176</v>
      </c>
      <c r="AN1277" s="35">
        <f>VLOOKUP(Tabla4[[#This Row],[SERVICIO 2025]],$J$2:$V$14,6,0)*Tabla4[[#This Row],[TOTAL COBERTURA]]</f>
        <v>2043414</v>
      </c>
      <c r="AO1277" s="35">
        <f>VLOOKUP(Tabla4[[#This Row],[SERVICIO 2025]],$J$2:$V$14,8,0)*Tabla4[[#This Row],[TOTAL COBERTURA]]</f>
        <v>0</v>
      </c>
      <c r="AP1277" s="35">
        <f>VLOOKUP(Tabla4[[#This Row],[SERVICIO 2025]],$J$2:$V$14,3,0)*Tabla4[[#This Row],[TOTAL COBERTURA]]*8</f>
        <v>77474880</v>
      </c>
      <c r="AQ1277" s="35"/>
      <c r="AR1277" s="35">
        <f>Tabla4[[#This Row],[VALOR FASE PREPARATORIA DE ALISTAMIENTO]]+Tabla4[[#This Row],[VALOR FASE PREPARATORIA DE CIERRE]]+Tabla4[[#This Row],[DOTACIÓN ÚNICA]]+Tabla4[[#This Row],[VALOR ATENCIÓN]]+Tabla4[[#This Row],[VALOR RACION PREPARADA]]</f>
        <v>82042470</v>
      </c>
      <c r="AS1277" s="35" t="str">
        <f>+IF(Tabla4[[#This Row],[AGRUPACIONES]]=1,SUMIFS(Tabla4[VALOR TOTAL],Tabla4[ZONA DEFINITIVO],Tabla4[[#This Row],[ZONA DEFINITIVO]])," ")</f>
        <v xml:space="preserve"> </v>
      </c>
      <c r="AT1277" s="27">
        <f>(VLOOKUP(Tabla4[[#This Row],[SERVICIO 2025]],$J$2:$V$14,3,0)*Tabla4[[#This Row],[TOTAL COBERTURA]])+Tabla4[[#This Row],[VALOR FASE PREPARATORIA DE ALISTAMIENTO]]+Tabla4[[#This Row],[DOTACIÓN ÚNICA]]</f>
        <v>12208536</v>
      </c>
      <c r="AU1277" s="35">
        <f>(VLOOKUP(Tabla4[[#This Row],[SERVICIO 2025]],$J$2:$V$14,3,0)*Tabla4[[#This Row],[TOTAL COBERTURA]])</f>
        <v>9684360</v>
      </c>
      <c r="AV1277" s="35">
        <f>(VLOOKUP(Tabla4[[#This Row],[SERVICIO 2025]],$J$2:$V$14,3,0)*Tabla4[[#This Row],[TOTAL COBERTURA]])</f>
        <v>9684360</v>
      </c>
      <c r="AW1277" s="35">
        <f>(VLOOKUP(Tabla4[[#This Row],[SERVICIO 2025]],$J$2:$V$14,3,0)*Tabla4[[#This Row],[TOTAL COBERTURA]])</f>
        <v>9684360</v>
      </c>
      <c r="AX1277" s="35">
        <f>(VLOOKUP(Tabla4[[#This Row],[SERVICIO 2025]],$J$2:$V$14,3,0)*Tabla4[[#This Row],[TOTAL COBERTURA]])</f>
        <v>9684360</v>
      </c>
      <c r="AY1277" s="35">
        <f>(VLOOKUP(Tabla4[[#This Row],[SERVICIO 2025]],$J$2:$V$14,3,0)*Tabla4[[#This Row],[TOTAL COBERTURA]])</f>
        <v>9684360</v>
      </c>
      <c r="AZ1277" s="35">
        <f>(VLOOKUP(Tabla4[[#This Row],[SERVICIO 2025]],$J$2:$V$14,3,0)*Tabla4[[#This Row],[TOTAL COBERTURA]])</f>
        <v>9684360</v>
      </c>
      <c r="BA1277" s="35">
        <f>(VLOOKUP(Tabla4[[#This Row],[SERVICIO 2025]],$J$2:$V$14,3,0)*Tabla4[[#This Row],[TOTAL COBERTURA]])+Tabla4[[#This Row],[VALOR FASE PREPARATORIA DE CIERRE]]</f>
        <v>11727774</v>
      </c>
      <c r="BB1277" s="35">
        <f>SUM(Tabla4[[#This Row],[DESEMBOLSO 1]:[DESEMBOLSO 8]])</f>
        <v>82042470</v>
      </c>
      <c r="BC1277" s="35">
        <f>VLOOKUP(Tabla4[[#This Row],[SERVICIO 2025]],$J$2:$V$14,10,0)*Tabla4[[#This Row],[TOTAL COBERTURA]]*$W$3</f>
        <v>81354672</v>
      </c>
      <c r="BD1277" s="47" t="s">
        <v>211</v>
      </c>
      <c r="BE1277" s="12" t="b">
        <f>EXACT(Tabla4[[#This Row],[VALOR ATENCIÓN (8 MESES)]],Tabla4[[#This Row],[VALOR TOTAL]])</f>
        <v>1</v>
      </c>
      <c r="BF1277" s="23">
        <f>Tabla4[[#This Row],[VALOR ATENCIÓN (8 MESES)]]-Tabla4[[#This Row],[VALOR TOTAL]]</f>
        <v>0</v>
      </c>
      <c r="BG1277" s="12" t="b">
        <f>EXACT(Tabla4[[#This Row],[TOTAL DESEMBOLSOS]],Tabla4[[#This Row],[VALOR ATENCIÓN (8 MESES)]])</f>
        <v>1</v>
      </c>
      <c r="BH1277" s="29">
        <f>Tabla4[[#This Row],[TOTAL DESEMBOLSOS]]-Tabla4[[#This Row],[VALOR ATENCIÓN (8 MESES)]]</f>
        <v>0</v>
      </c>
      <c r="BI1277" t="s">
        <v>98</v>
      </c>
      <c r="BJ1277">
        <v>2029</v>
      </c>
    </row>
    <row r="1278" spans="1:62">
      <c r="A1278" s="13">
        <v>2029</v>
      </c>
      <c r="B1278" s="13" t="s">
        <v>2766</v>
      </c>
      <c r="C1278" s="12" t="s">
        <v>87</v>
      </c>
      <c r="D1278" s="12" t="s">
        <v>88</v>
      </c>
      <c r="E1278" s="12" t="s">
        <v>2743</v>
      </c>
      <c r="F1278" s="12" t="s">
        <v>21</v>
      </c>
      <c r="G1278" s="12" t="s">
        <v>90</v>
      </c>
      <c r="H1278" s="12" t="s">
        <v>2773</v>
      </c>
      <c r="I1278" s="12">
        <v>50881119476</v>
      </c>
      <c r="J1278" s="12" t="s">
        <v>2774</v>
      </c>
      <c r="K1278" s="12">
        <v>1</v>
      </c>
      <c r="L1278" s="12">
        <v>54</v>
      </c>
      <c r="M1278" s="12"/>
      <c r="N1278" s="13">
        <v>2029</v>
      </c>
      <c r="O1278" s="12" t="s">
        <v>93</v>
      </c>
      <c r="P1278" s="12"/>
      <c r="Q1278" s="12"/>
      <c r="R1278" s="12" t="s">
        <v>94</v>
      </c>
      <c r="S1278" s="12">
        <v>10</v>
      </c>
      <c r="T1278" s="12" t="s">
        <v>2769</v>
      </c>
      <c r="U1278" s="12" t="s">
        <v>2770</v>
      </c>
      <c r="V1278" s="12">
        <f>VLOOKUP(Tabla4[[#This Row],[ZONA DEFINITIVO]],Hoja1!$A$1:$D$121,3,0)</f>
        <v>229174</v>
      </c>
      <c r="W1278" s="12">
        <f>VLOOKUP(Tabla4[[#This Row],[ZONA DEFINITIVO]],Hoja1!$A$1:$D$121,2,0)</f>
        <v>15259</v>
      </c>
      <c r="X1278" s="12">
        <f>VLOOKUP(Tabla4[[#This Row],[ZONA DEFINITIVO]],Hoja1!$A$1:$D$121,4,0)</f>
        <v>90225</v>
      </c>
      <c r="Y1278" s="12" t="str">
        <f>+IF(Tabla4[[#This Row],[AGRUPACIONES]]=1,SUMIFS(Tabla4[UDS],Tabla4[ZONA DEFINITIVO],Tabla4[[#This Row],[ZONA DEFINITIVO]])," ")</f>
        <v xml:space="preserve"> </v>
      </c>
      <c r="Z1278" s="12" t="str">
        <f>+IF(Tabla4[[#This Row],[AGRUPACIONES]]=1,SUMIFS(Tabla4[TOTAL COBERTURA],Tabla4[ZONA DEFINITIVO],Tabla4[[#This Row],[ZONA DEFINITIVO]])," ")</f>
        <v xml:space="preserve"> </v>
      </c>
      <c r="AA1278" s="12"/>
      <c r="AB1278" s="38">
        <v>82042470</v>
      </c>
      <c r="AC1278" s="37">
        <v>0.02</v>
      </c>
      <c r="AD1278" s="38">
        <f t="shared" si="20"/>
        <v>1640849.4000000001</v>
      </c>
      <c r="AE1278" s="12"/>
      <c r="AF1278" s="12">
        <f>COUNTIF($A$20:A1278,A1278)</f>
        <v>3</v>
      </c>
      <c r="AG1278" s="38">
        <v>82042470</v>
      </c>
      <c r="AH1278" s="38">
        <f>Tabla4[[#This Row],[VALOR CONTRAPARTIDA]]+Tabla4[[#This Row],[TOTAL APORTES ICBF]]</f>
        <v>83683319.400000006</v>
      </c>
      <c r="AI1278" s="35"/>
      <c r="AJ1278" s="38"/>
      <c r="AK1278" s="38"/>
      <c r="AL1278" s="23"/>
      <c r="AM1278" s="35">
        <f>VLOOKUP(Tabla4[[#This Row],[SERVICIO 2025]],$J$2:$V$14,5,0)*Tabla4[[#This Row],[TOTAL COBERTURA]]</f>
        <v>2524176</v>
      </c>
      <c r="AN1278" s="35">
        <f>VLOOKUP(Tabla4[[#This Row],[SERVICIO 2025]],$J$2:$V$14,6,0)*Tabla4[[#This Row],[TOTAL COBERTURA]]</f>
        <v>2043414</v>
      </c>
      <c r="AO1278" s="35">
        <f>VLOOKUP(Tabla4[[#This Row],[SERVICIO 2025]],$J$2:$V$14,8,0)*Tabla4[[#This Row],[TOTAL COBERTURA]]</f>
        <v>0</v>
      </c>
      <c r="AP1278" s="35">
        <f>VLOOKUP(Tabla4[[#This Row],[SERVICIO 2025]],$J$2:$V$14,3,0)*Tabla4[[#This Row],[TOTAL COBERTURA]]*8</f>
        <v>77474880</v>
      </c>
      <c r="AQ1278" s="35"/>
      <c r="AR1278" s="35">
        <f>Tabla4[[#This Row],[VALOR FASE PREPARATORIA DE ALISTAMIENTO]]+Tabla4[[#This Row],[VALOR FASE PREPARATORIA DE CIERRE]]+Tabla4[[#This Row],[DOTACIÓN ÚNICA]]+Tabla4[[#This Row],[VALOR ATENCIÓN]]+Tabla4[[#This Row],[VALOR RACION PREPARADA]]</f>
        <v>82042470</v>
      </c>
      <c r="AS1278" s="35" t="str">
        <f>+IF(Tabla4[[#This Row],[AGRUPACIONES]]=1,SUMIFS(Tabla4[VALOR TOTAL],Tabla4[ZONA DEFINITIVO],Tabla4[[#This Row],[ZONA DEFINITIVO]])," ")</f>
        <v xml:space="preserve"> </v>
      </c>
      <c r="AT1278" s="27">
        <f>(VLOOKUP(Tabla4[[#This Row],[SERVICIO 2025]],$J$2:$V$14,3,0)*Tabla4[[#This Row],[TOTAL COBERTURA]])+Tabla4[[#This Row],[VALOR FASE PREPARATORIA DE ALISTAMIENTO]]+Tabla4[[#This Row],[DOTACIÓN ÚNICA]]</f>
        <v>12208536</v>
      </c>
      <c r="AU1278" s="35">
        <f>(VLOOKUP(Tabla4[[#This Row],[SERVICIO 2025]],$J$2:$V$14,3,0)*Tabla4[[#This Row],[TOTAL COBERTURA]])</f>
        <v>9684360</v>
      </c>
      <c r="AV1278" s="35">
        <f>(VLOOKUP(Tabla4[[#This Row],[SERVICIO 2025]],$J$2:$V$14,3,0)*Tabla4[[#This Row],[TOTAL COBERTURA]])</f>
        <v>9684360</v>
      </c>
      <c r="AW1278" s="35">
        <f>(VLOOKUP(Tabla4[[#This Row],[SERVICIO 2025]],$J$2:$V$14,3,0)*Tabla4[[#This Row],[TOTAL COBERTURA]])</f>
        <v>9684360</v>
      </c>
      <c r="AX1278" s="35">
        <f>(VLOOKUP(Tabla4[[#This Row],[SERVICIO 2025]],$J$2:$V$14,3,0)*Tabla4[[#This Row],[TOTAL COBERTURA]])</f>
        <v>9684360</v>
      </c>
      <c r="AY1278" s="35">
        <f>(VLOOKUP(Tabla4[[#This Row],[SERVICIO 2025]],$J$2:$V$14,3,0)*Tabla4[[#This Row],[TOTAL COBERTURA]])</f>
        <v>9684360</v>
      </c>
      <c r="AZ1278" s="35">
        <f>(VLOOKUP(Tabla4[[#This Row],[SERVICIO 2025]],$J$2:$V$14,3,0)*Tabla4[[#This Row],[TOTAL COBERTURA]])</f>
        <v>9684360</v>
      </c>
      <c r="BA1278" s="35">
        <f>(VLOOKUP(Tabla4[[#This Row],[SERVICIO 2025]],$J$2:$V$14,3,0)*Tabla4[[#This Row],[TOTAL COBERTURA]])+Tabla4[[#This Row],[VALOR FASE PREPARATORIA DE CIERRE]]</f>
        <v>11727774</v>
      </c>
      <c r="BB1278" s="35">
        <f>SUM(Tabla4[[#This Row],[DESEMBOLSO 1]:[DESEMBOLSO 8]])</f>
        <v>82042470</v>
      </c>
      <c r="BC1278" s="35">
        <f>VLOOKUP(Tabla4[[#This Row],[SERVICIO 2025]],$J$2:$V$14,10,0)*Tabla4[[#This Row],[TOTAL COBERTURA]]*$W$3</f>
        <v>81354672</v>
      </c>
      <c r="BD1278" s="47" t="s">
        <v>211</v>
      </c>
      <c r="BE1278" s="12" t="b">
        <f>EXACT(Tabla4[[#This Row],[VALOR ATENCIÓN (8 MESES)]],Tabla4[[#This Row],[VALOR TOTAL]])</f>
        <v>1</v>
      </c>
      <c r="BF1278" s="23">
        <f>Tabla4[[#This Row],[VALOR ATENCIÓN (8 MESES)]]-Tabla4[[#This Row],[VALOR TOTAL]]</f>
        <v>0</v>
      </c>
      <c r="BG1278" s="12" t="b">
        <f>EXACT(Tabla4[[#This Row],[TOTAL DESEMBOLSOS]],Tabla4[[#This Row],[VALOR ATENCIÓN (8 MESES)]])</f>
        <v>1</v>
      </c>
      <c r="BH1278" s="29">
        <f>Tabla4[[#This Row],[TOTAL DESEMBOLSOS]]-Tabla4[[#This Row],[VALOR ATENCIÓN (8 MESES)]]</f>
        <v>0</v>
      </c>
      <c r="BI1278" t="s">
        <v>98</v>
      </c>
      <c r="BJ1278">
        <v>2029</v>
      </c>
    </row>
    <row r="1279" spans="1:62">
      <c r="A1279" s="13">
        <v>2029</v>
      </c>
      <c r="B1279" s="13" t="s">
        <v>2766</v>
      </c>
      <c r="C1279" s="12" t="s">
        <v>87</v>
      </c>
      <c r="D1279" s="12" t="s">
        <v>88</v>
      </c>
      <c r="E1279" s="12" t="s">
        <v>2743</v>
      </c>
      <c r="F1279" s="12" t="s">
        <v>21</v>
      </c>
      <c r="G1279" s="12" t="s">
        <v>90</v>
      </c>
      <c r="H1279" s="12" t="s">
        <v>2775</v>
      </c>
      <c r="I1279" s="12">
        <v>50881135605</v>
      </c>
      <c r="J1279" s="12" t="s">
        <v>2776</v>
      </c>
      <c r="K1279" s="12">
        <v>1</v>
      </c>
      <c r="L1279" s="12">
        <v>98</v>
      </c>
      <c r="M1279" s="12"/>
      <c r="N1279" s="13">
        <v>2029</v>
      </c>
      <c r="O1279" s="12" t="s">
        <v>93</v>
      </c>
      <c r="P1279" s="12"/>
      <c r="Q1279" s="12"/>
      <c r="R1279" s="12" t="s">
        <v>94</v>
      </c>
      <c r="S1279" s="12">
        <v>10</v>
      </c>
      <c r="T1279" s="12" t="s">
        <v>2769</v>
      </c>
      <c r="U1279" s="12" t="s">
        <v>2770</v>
      </c>
      <c r="V1279" s="12">
        <f>VLOOKUP(Tabla4[[#This Row],[ZONA DEFINITIVO]],Hoja1!$A$1:$D$121,3,0)</f>
        <v>229174</v>
      </c>
      <c r="W1279" s="12">
        <f>VLOOKUP(Tabla4[[#This Row],[ZONA DEFINITIVO]],Hoja1!$A$1:$D$121,2,0)</f>
        <v>15259</v>
      </c>
      <c r="X1279" s="12">
        <f>VLOOKUP(Tabla4[[#This Row],[ZONA DEFINITIVO]],Hoja1!$A$1:$D$121,4,0)</f>
        <v>90225</v>
      </c>
      <c r="Y1279" s="12" t="str">
        <f>+IF(Tabla4[[#This Row],[AGRUPACIONES]]=1,SUMIFS(Tabla4[UDS],Tabla4[ZONA DEFINITIVO],Tabla4[[#This Row],[ZONA DEFINITIVO]])," ")</f>
        <v xml:space="preserve"> </v>
      </c>
      <c r="Z1279" s="12" t="str">
        <f>+IF(Tabla4[[#This Row],[AGRUPACIONES]]=1,SUMIFS(Tabla4[TOTAL COBERTURA],Tabla4[ZONA DEFINITIVO],Tabla4[[#This Row],[ZONA DEFINITIVO]])," ")</f>
        <v xml:space="preserve"> </v>
      </c>
      <c r="AA1279" s="12"/>
      <c r="AB1279" s="38">
        <v>148891890</v>
      </c>
      <c r="AC1279" s="37">
        <v>0.02</v>
      </c>
      <c r="AD1279" s="38">
        <f t="shared" si="20"/>
        <v>2977837.8000000003</v>
      </c>
      <c r="AE1279" s="12"/>
      <c r="AF1279" s="12">
        <f>COUNTIF($A$20:A1279,A1279)</f>
        <v>4</v>
      </c>
      <c r="AG1279" s="38">
        <v>148891890</v>
      </c>
      <c r="AH1279" s="38">
        <f>Tabla4[[#This Row],[VALOR CONTRAPARTIDA]]+Tabla4[[#This Row],[TOTAL APORTES ICBF]]</f>
        <v>151869727.80000001</v>
      </c>
      <c r="AI1279" s="35"/>
      <c r="AJ1279" s="38"/>
      <c r="AK1279" s="38"/>
      <c r="AL1279" s="23"/>
      <c r="AM1279" s="35">
        <f>VLOOKUP(Tabla4[[#This Row],[SERVICIO 2025]],$J$2:$V$14,5,0)*Tabla4[[#This Row],[TOTAL COBERTURA]]</f>
        <v>4580912</v>
      </c>
      <c r="AN1279" s="35">
        <f>VLOOKUP(Tabla4[[#This Row],[SERVICIO 2025]],$J$2:$V$14,6,0)*Tabla4[[#This Row],[TOTAL COBERTURA]]</f>
        <v>3708418</v>
      </c>
      <c r="AO1279" s="35">
        <f>VLOOKUP(Tabla4[[#This Row],[SERVICIO 2025]],$J$2:$V$14,8,0)*Tabla4[[#This Row],[TOTAL COBERTURA]]</f>
        <v>0</v>
      </c>
      <c r="AP1279" s="35">
        <f>VLOOKUP(Tabla4[[#This Row],[SERVICIO 2025]],$J$2:$V$14,3,0)*Tabla4[[#This Row],[TOTAL COBERTURA]]*8</f>
        <v>140602560</v>
      </c>
      <c r="AQ1279" s="35"/>
      <c r="AR1279" s="35">
        <f>Tabla4[[#This Row],[VALOR FASE PREPARATORIA DE ALISTAMIENTO]]+Tabla4[[#This Row],[VALOR FASE PREPARATORIA DE CIERRE]]+Tabla4[[#This Row],[DOTACIÓN ÚNICA]]+Tabla4[[#This Row],[VALOR ATENCIÓN]]+Tabla4[[#This Row],[VALOR RACION PREPARADA]]</f>
        <v>148891890</v>
      </c>
      <c r="AS1279" s="35" t="str">
        <f>+IF(Tabla4[[#This Row],[AGRUPACIONES]]=1,SUMIFS(Tabla4[VALOR TOTAL],Tabla4[ZONA DEFINITIVO],Tabla4[[#This Row],[ZONA DEFINITIVO]])," ")</f>
        <v xml:space="preserve"> </v>
      </c>
      <c r="AT1279" s="27">
        <f>(VLOOKUP(Tabla4[[#This Row],[SERVICIO 2025]],$J$2:$V$14,3,0)*Tabla4[[#This Row],[TOTAL COBERTURA]])+Tabla4[[#This Row],[VALOR FASE PREPARATORIA DE ALISTAMIENTO]]+Tabla4[[#This Row],[DOTACIÓN ÚNICA]]</f>
        <v>22156232</v>
      </c>
      <c r="AU1279" s="35">
        <f>(VLOOKUP(Tabla4[[#This Row],[SERVICIO 2025]],$J$2:$V$14,3,0)*Tabla4[[#This Row],[TOTAL COBERTURA]])</f>
        <v>17575320</v>
      </c>
      <c r="AV1279" s="35">
        <f>(VLOOKUP(Tabla4[[#This Row],[SERVICIO 2025]],$J$2:$V$14,3,0)*Tabla4[[#This Row],[TOTAL COBERTURA]])</f>
        <v>17575320</v>
      </c>
      <c r="AW1279" s="35">
        <f>(VLOOKUP(Tabla4[[#This Row],[SERVICIO 2025]],$J$2:$V$14,3,0)*Tabla4[[#This Row],[TOTAL COBERTURA]])</f>
        <v>17575320</v>
      </c>
      <c r="AX1279" s="35">
        <f>(VLOOKUP(Tabla4[[#This Row],[SERVICIO 2025]],$J$2:$V$14,3,0)*Tabla4[[#This Row],[TOTAL COBERTURA]])</f>
        <v>17575320</v>
      </c>
      <c r="AY1279" s="35">
        <f>(VLOOKUP(Tabla4[[#This Row],[SERVICIO 2025]],$J$2:$V$14,3,0)*Tabla4[[#This Row],[TOTAL COBERTURA]])</f>
        <v>17575320</v>
      </c>
      <c r="AZ1279" s="35">
        <f>(VLOOKUP(Tabla4[[#This Row],[SERVICIO 2025]],$J$2:$V$14,3,0)*Tabla4[[#This Row],[TOTAL COBERTURA]])</f>
        <v>17575320</v>
      </c>
      <c r="BA1279" s="35">
        <f>(VLOOKUP(Tabla4[[#This Row],[SERVICIO 2025]],$J$2:$V$14,3,0)*Tabla4[[#This Row],[TOTAL COBERTURA]])+Tabla4[[#This Row],[VALOR FASE PREPARATORIA DE CIERRE]]</f>
        <v>21283738</v>
      </c>
      <c r="BB1279" s="35">
        <f>SUM(Tabla4[[#This Row],[DESEMBOLSO 1]:[DESEMBOLSO 8]])</f>
        <v>148891890</v>
      </c>
      <c r="BC1279" s="35">
        <f>VLOOKUP(Tabla4[[#This Row],[SERVICIO 2025]],$J$2:$V$14,10,0)*Tabla4[[#This Row],[TOTAL COBERTURA]]*$W$3</f>
        <v>147643664</v>
      </c>
      <c r="BD1279" s="47" t="s">
        <v>211</v>
      </c>
      <c r="BE1279" s="12" t="b">
        <f>EXACT(Tabla4[[#This Row],[VALOR ATENCIÓN (8 MESES)]],Tabla4[[#This Row],[VALOR TOTAL]])</f>
        <v>1</v>
      </c>
      <c r="BF1279" s="23">
        <f>Tabla4[[#This Row],[VALOR ATENCIÓN (8 MESES)]]-Tabla4[[#This Row],[VALOR TOTAL]]</f>
        <v>0</v>
      </c>
      <c r="BG1279" s="12" t="b">
        <f>EXACT(Tabla4[[#This Row],[TOTAL DESEMBOLSOS]],Tabla4[[#This Row],[VALOR ATENCIÓN (8 MESES)]])</f>
        <v>1</v>
      </c>
      <c r="BH1279" s="29">
        <f>Tabla4[[#This Row],[TOTAL DESEMBOLSOS]]-Tabla4[[#This Row],[VALOR ATENCIÓN (8 MESES)]]</f>
        <v>0</v>
      </c>
      <c r="BI1279" t="s">
        <v>98</v>
      </c>
      <c r="BJ1279">
        <v>2029</v>
      </c>
    </row>
    <row r="1280" spans="1:62">
      <c r="A1280" s="13">
        <v>2029</v>
      </c>
      <c r="B1280" s="13" t="s">
        <v>2766</v>
      </c>
      <c r="C1280" s="12" t="s">
        <v>87</v>
      </c>
      <c r="D1280" s="12" t="s">
        <v>88</v>
      </c>
      <c r="E1280" s="12" t="s">
        <v>2743</v>
      </c>
      <c r="F1280" s="12" t="s">
        <v>21</v>
      </c>
      <c r="G1280" s="12" t="s">
        <v>90</v>
      </c>
      <c r="H1280" s="12" t="s">
        <v>2777</v>
      </c>
      <c r="I1280" s="12">
        <v>50881135615</v>
      </c>
      <c r="J1280" s="12" t="s">
        <v>2778</v>
      </c>
      <c r="K1280" s="12">
        <v>1</v>
      </c>
      <c r="L1280" s="12">
        <v>155</v>
      </c>
      <c r="M1280" s="12"/>
      <c r="N1280" s="13">
        <v>2029</v>
      </c>
      <c r="O1280" s="12" t="s">
        <v>93</v>
      </c>
      <c r="P1280" s="12"/>
      <c r="Q1280" s="12"/>
      <c r="R1280" s="12" t="s">
        <v>94</v>
      </c>
      <c r="S1280" s="12">
        <v>10</v>
      </c>
      <c r="T1280" s="12" t="s">
        <v>2769</v>
      </c>
      <c r="U1280" s="12" t="s">
        <v>2770</v>
      </c>
      <c r="V1280" s="12">
        <f>VLOOKUP(Tabla4[[#This Row],[ZONA DEFINITIVO]],Hoja1!$A$1:$D$121,3,0)</f>
        <v>229174</v>
      </c>
      <c r="W1280" s="12">
        <f>VLOOKUP(Tabla4[[#This Row],[ZONA DEFINITIVO]],Hoja1!$A$1:$D$121,2,0)</f>
        <v>15259</v>
      </c>
      <c r="X1280" s="12">
        <f>VLOOKUP(Tabla4[[#This Row],[ZONA DEFINITIVO]],Hoja1!$A$1:$D$121,4,0)</f>
        <v>90225</v>
      </c>
      <c r="Y1280" s="12" t="str">
        <f>+IF(Tabla4[[#This Row],[AGRUPACIONES]]=1,SUMIFS(Tabla4[UDS],Tabla4[ZONA DEFINITIVO],Tabla4[[#This Row],[ZONA DEFINITIVO]])," ")</f>
        <v xml:space="preserve"> </v>
      </c>
      <c r="Z1280" s="12" t="str">
        <f>+IF(Tabla4[[#This Row],[AGRUPACIONES]]=1,SUMIFS(Tabla4[TOTAL COBERTURA],Tabla4[ZONA DEFINITIVO],Tabla4[[#This Row],[ZONA DEFINITIVO]])," ")</f>
        <v xml:space="preserve"> </v>
      </c>
      <c r="AA1280" s="12"/>
      <c r="AB1280" s="38">
        <v>235492275</v>
      </c>
      <c r="AC1280" s="37">
        <v>0.02</v>
      </c>
      <c r="AD1280" s="38">
        <f t="shared" si="20"/>
        <v>4709845.5</v>
      </c>
      <c r="AE1280" s="12"/>
      <c r="AF1280" s="12">
        <f>COUNTIF($A$20:A1280,A1280)</f>
        <v>5</v>
      </c>
      <c r="AG1280" s="38">
        <v>235492275</v>
      </c>
      <c r="AH1280" s="38">
        <f>Tabla4[[#This Row],[VALOR CONTRAPARTIDA]]+Tabla4[[#This Row],[TOTAL APORTES ICBF]]</f>
        <v>240202120.5</v>
      </c>
      <c r="AI1280" s="35"/>
      <c r="AJ1280" s="38"/>
      <c r="AK1280" s="38"/>
      <c r="AL1280" s="23"/>
      <c r="AM1280" s="35">
        <f>VLOOKUP(Tabla4[[#This Row],[SERVICIO 2025]],$J$2:$V$14,5,0)*Tabla4[[#This Row],[TOTAL COBERTURA]]</f>
        <v>7245320</v>
      </c>
      <c r="AN1280" s="35">
        <f>VLOOKUP(Tabla4[[#This Row],[SERVICIO 2025]],$J$2:$V$14,6,0)*Tabla4[[#This Row],[TOTAL COBERTURA]]</f>
        <v>5865355</v>
      </c>
      <c r="AO1280" s="35">
        <f>VLOOKUP(Tabla4[[#This Row],[SERVICIO 2025]],$J$2:$V$14,8,0)*Tabla4[[#This Row],[TOTAL COBERTURA]]</f>
        <v>0</v>
      </c>
      <c r="AP1280" s="35">
        <f>VLOOKUP(Tabla4[[#This Row],[SERVICIO 2025]],$J$2:$V$14,3,0)*Tabla4[[#This Row],[TOTAL COBERTURA]]*8</f>
        <v>222381600</v>
      </c>
      <c r="AQ1280" s="35"/>
      <c r="AR1280" s="35">
        <f>Tabla4[[#This Row],[VALOR FASE PREPARATORIA DE ALISTAMIENTO]]+Tabla4[[#This Row],[VALOR FASE PREPARATORIA DE CIERRE]]+Tabla4[[#This Row],[DOTACIÓN ÚNICA]]+Tabla4[[#This Row],[VALOR ATENCIÓN]]+Tabla4[[#This Row],[VALOR RACION PREPARADA]]</f>
        <v>235492275</v>
      </c>
      <c r="AS1280" s="35" t="str">
        <f>+IF(Tabla4[[#This Row],[AGRUPACIONES]]=1,SUMIFS(Tabla4[VALOR TOTAL],Tabla4[ZONA DEFINITIVO],Tabla4[[#This Row],[ZONA DEFINITIVO]])," ")</f>
        <v xml:space="preserve"> </v>
      </c>
      <c r="AT1280" s="27">
        <f>(VLOOKUP(Tabla4[[#This Row],[SERVICIO 2025]],$J$2:$V$14,3,0)*Tabla4[[#This Row],[TOTAL COBERTURA]])+Tabla4[[#This Row],[VALOR FASE PREPARATORIA DE ALISTAMIENTO]]+Tabla4[[#This Row],[DOTACIÓN ÚNICA]]</f>
        <v>35043020</v>
      </c>
      <c r="AU1280" s="35">
        <f>(VLOOKUP(Tabla4[[#This Row],[SERVICIO 2025]],$J$2:$V$14,3,0)*Tabla4[[#This Row],[TOTAL COBERTURA]])</f>
        <v>27797700</v>
      </c>
      <c r="AV1280" s="35">
        <f>(VLOOKUP(Tabla4[[#This Row],[SERVICIO 2025]],$J$2:$V$14,3,0)*Tabla4[[#This Row],[TOTAL COBERTURA]])</f>
        <v>27797700</v>
      </c>
      <c r="AW1280" s="35">
        <f>(VLOOKUP(Tabla4[[#This Row],[SERVICIO 2025]],$J$2:$V$14,3,0)*Tabla4[[#This Row],[TOTAL COBERTURA]])</f>
        <v>27797700</v>
      </c>
      <c r="AX1280" s="35">
        <f>(VLOOKUP(Tabla4[[#This Row],[SERVICIO 2025]],$J$2:$V$14,3,0)*Tabla4[[#This Row],[TOTAL COBERTURA]])</f>
        <v>27797700</v>
      </c>
      <c r="AY1280" s="35">
        <f>(VLOOKUP(Tabla4[[#This Row],[SERVICIO 2025]],$J$2:$V$14,3,0)*Tabla4[[#This Row],[TOTAL COBERTURA]])</f>
        <v>27797700</v>
      </c>
      <c r="AZ1280" s="35">
        <f>(VLOOKUP(Tabla4[[#This Row],[SERVICIO 2025]],$J$2:$V$14,3,0)*Tabla4[[#This Row],[TOTAL COBERTURA]])</f>
        <v>27797700</v>
      </c>
      <c r="BA1280" s="35">
        <f>(VLOOKUP(Tabla4[[#This Row],[SERVICIO 2025]],$J$2:$V$14,3,0)*Tabla4[[#This Row],[TOTAL COBERTURA]])+Tabla4[[#This Row],[VALOR FASE PREPARATORIA DE CIERRE]]</f>
        <v>33663055</v>
      </c>
      <c r="BB1280" s="35">
        <f>SUM(Tabla4[[#This Row],[DESEMBOLSO 1]:[DESEMBOLSO 8]])</f>
        <v>235492275</v>
      </c>
      <c r="BC1280" s="35">
        <f>VLOOKUP(Tabla4[[#This Row],[SERVICIO 2025]],$J$2:$V$14,10,0)*Tabla4[[#This Row],[TOTAL COBERTURA]]*$W$3</f>
        <v>233518040</v>
      </c>
      <c r="BD1280" s="47" t="s">
        <v>211</v>
      </c>
      <c r="BE1280" s="12" t="b">
        <f>EXACT(Tabla4[[#This Row],[VALOR ATENCIÓN (8 MESES)]],Tabla4[[#This Row],[VALOR TOTAL]])</f>
        <v>1</v>
      </c>
      <c r="BF1280" s="23">
        <f>Tabla4[[#This Row],[VALOR ATENCIÓN (8 MESES)]]-Tabla4[[#This Row],[VALOR TOTAL]]</f>
        <v>0</v>
      </c>
      <c r="BG1280" s="12" t="b">
        <f>EXACT(Tabla4[[#This Row],[TOTAL DESEMBOLSOS]],Tabla4[[#This Row],[VALOR ATENCIÓN (8 MESES)]])</f>
        <v>1</v>
      </c>
      <c r="BH1280" s="29">
        <f>Tabla4[[#This Row],[TOTAL DESEMBOLSOS]]-Tabla4[[#This Row],[VALOR ATENCIÓN (8 MESES)]]</f>
        <v>0</v>
      </c>
      <c r="BI1280" t="s">
        <v>98</v>
      </c>
      <c r="BJ1280">
        <v>2029</v>
      </c>
    </row>
    <row r="1281" spans="1:62">
      <c r="A1281" s="13">
        <v>2029</v>
      </c>
      <c r="B1281" s="13" t="s">
        <v>2766</v>
      </c>
      <c r="C1281" s="12" t="s">
        <v>87</v>
      </c>
      <c r="D1281" s="12" t="s">
        <v>88</v>
      </c>
      <c r="E1281" s="12" t="s">
        <v>2743</v>
      </c>
      <c r="F1281" s="12" t="s">
        <v>21</v>
      </c>
      <c r="G1281" s="12" t="s">
        <v>90</v>
      </c>
      <c r="H1281" s="12" t="s">
        <v>2779</v>
      </c>
      <c r="I1281" s="12">
        <v>50881135616</v>
      </c>
      <c r="J1281" s="12" t="s">
        <v>2780</v>
      </c>
      <c r="K1281" s="12">
        <v>1</v>
      </c>
      <c r="L1281" s="12">
        <v>200</v>
      </c>
      <c r="M1281" s="12"/>
      <c r="N1281" s="13">
        <v>2029</v>
      </c>
      <c r="O1281" s="12" t="s">
        <v>93</v>
      </c>
      <c r="P1281" s="12"/>
      <c r="Q1281" s="12"/>
      <c r="R1281" s="12" t="s">
        <v>94</v>
      </c>
      <c r="S1281" s="12">
        <v>10</v>
      </c>
      <c r="T1281" s="12" t="s">
        <v>2769</v>
      </c>
      <c r="U1281" s="12" t="s">
        <v>2770</v>
      </c>
      <c r="V1281" s="12">
        <f>VLOOKUP(Tabla4[[#This Row],[ZONA DEFINITIVO]],Hoja1!$A$1:$D$121,3,0)</f>
        <v>229174</v>
      </c>
      <c r="W1281" s="12">
        <f>VLOOKUP(Tabla4[[#This Row],[ZONA DEFINITIVO]],Hoja1!$A$1:$D$121,2,0)</f>
        <v>15259</v>
      </c>
      <c r="X1281" s="12">
        <f>VLOOKUP(Tabla4[[#This Row],[ZONA DEFINITIVO]],Hoja1!$A$1:$D$121,4,0)</f>
        <v>90225</v>
      </c>
      <c r="Y1281" s="12" t="str">
        <f>+IF(Tabla4[[#This Row],[AGRUPACIONES]]=1,SUMIFS(Tabla4[UDS],Tabla4[ZONA DEFINITIVO],Tabla4[[#This Row],[ZONA DEFINITIVO]])," ")</f>
        <v xml:space="preserve"> </v>
      </c>
      <c r="Z1281" s="12" t="str">
        <f>+IF(Tabla4[[#This Row],[AGRUPACIONES]]=1,SUMIFS(Tabla4[TOTAL COBERTURA],Tabla4[ZONA DEFINITIVO],Tabla4[[#This Row],[ZONA DEFINITIVO]])," ")</f>
        <v xml:space="preserve"> </v>
      </c>
      <c r="AA1281" s="12"/>
      <c r="AB1281" s="38">
        <v>303861000</v>
      </c>
      <c r="AC1281" s="37">
        <v>0.02</v>
      </c>
      <c r="AD1281" s="38">
        <f t="shared" si="20"/>
        <v>6077220</v>
      </c>
      <c r="AE1281" s="12"/>
      <c r="AF1281" s="12">
        <f>COUNTIF($A$20:A1281,A1281)</f>
        <v>6</v>
      </c>
      <c r="AG1281" s="38">
        <v>303861000</v>
      </c>
      <c r="AH1281" s="38">
        <f>Tabla4[[#This Row],[VALOR CONTRAPARTIDA]]+Tabla4[[#This Row],[TOTAL APORTES ICBF]]</f>
        <v>309938220</v>
      </c>
      <c r="AI1281" s="35"/>
      <c r="AJ1281" s="38"/>
      <c r="AK1281" s="38"/>
      <c r="AL1281" s="23"/>
      <c r="AM1281" s="35">
        <f>VLOOKUP(Tabla4[[#This Row],[SERVICIO 2025]],$J$2:$V$14,5,0)*Tabla4[[#This Row],[TOTAL COBERTURA]]</f>
        <v>9348800</v>
      </c>
      <c r="AN1281" s="35">
        <f>VLOOKUP(Tabla4[[#This Row],[SERVICIO 2025]],$J$2:$V$14,6,0)*Tabla4[[#This Row],[TOTAL COBERTURA]]</f>
        <v>7568200</v>
      </c>
      <c r="AO1281" s="35">
        <f>VLOOKUP(Tabla4[[#This Row],[SERVICIO 2025]],$J$2:$V$14,8,0)*Tabla4[[#This Row],[TOTAL COBERTURA]]</f>
        <v>0</v>
      </c>
      <c r="AP1281" s="35">
        <f>VLOOKUP(Tabla4[[#This Row],[SERVICIO 2025]],$J$2:$V$14,3,0)*Tabla4[[#This Row],[TOTAL COBERTURA]]*8</f>
        <v>286944000</v>
      </c>
      <c r="AQ1281" s="35"/>
      <c r="AR1281" s="35">
        <f>Tabla4[[#This Row],[VALOR FASE PREPARATORIA DE ALISTAMIENTO]]+Tabla4[[#This Row],[VALOR FASE PREPARATORIA DE CIERRE]]+Tabla4[[#This Row],[DOTACIÓN ÚNICA]]+Tabla4[[#This Row],[VALOR ATENCIÓN]]+Tabla4[[#This Row],[VALOR RACION PREPARADA]]</f>
        <v>303861000</v>
      </c>
      <c r="AS1281" s="35" t="str">
        <f>+IF(Tabla4[[#This Row],[AGRUPACIONES]]=1,SUMIFS(Tabla4[VALOR TOTAL],Tabla4[ZONA DEFINITIVO],Tabla4[[#This Row],[ZONA DEFINITIVO]])," ")</f>
        <v xml:space="preserve"> </v>
      </c>
      <c r="AT1281" s="27">
        <f>(VLOOKUP(Tabla4[[#This Row],[SERVICIO 2025]],$J$2:$V$14,3,0)*Tabla4[[#This Row],[TOTAL COBERTURA]])+Tabla4[[#This Row],[VALOR FASE PREPARATORIA DE ALISTAMIENTO]]+Tabla4[[#This Row],[DOTACIÓN ÚNICA]]</f>
        <v>45216800</v>
      </c>
      <c r="AU1281" s="35">
        <f>(VLOOKUP(Tabla4[[#This Row],[SERVICIO 2025]],$J$2:$V$14,3,0)*Tabla4[[#This Row],[TOTAL COBERTURA]])</f>
        <v>35868000</v>
      </c>
      <c r="AV1281" s="35">
        <f>(VLOOKUP(Tabla4[[#This Row],[SERVICIO 2025]],$J$2:$V$14,3,0)*Tabla4[[#This Row],[TOTAL COBERTURA]])</f>
        <v>35868000</v>
      </c>
      <c r="AW1281" s="35">
        <f>(VLOOKUP(Tabla4[[#This Row],[SERVICIO 2025]],$J$2:$V$14,3,0)*Tabla4[[#This Row],[TOTAL COBERTURA]])</f>
        <v>35868000</v>
      </c>
      <c r="AX1281" s="35">
        <f>(VLOOKUP(Tabla4[[#This Row],[SERVICIO 2025]],$J$2:$V$14,3,0)*Tabla4[[#This Row],[TOTAL COBERTURA]])</f>
        <v>35868000</v>
      </c>
      <c r="AY1281" s="35">
        <f>(VLOOKUP(Tabla4[[#This Row],[SERVICIO 2025]],$J$2:$V$14,3,0)*Tabla4[[#This Row],[TOTAL COBERTURA]])</f>
        <v>35868000</v>
      </c>
      <c r="AZ1281" s="35">
        <f>(VLOOKUP(Tabla4[[#This Row],[SERVICIO 2025]],$J$2:$V$14,3,0)*Tabla4[[#This Row],[TOTAL COBERTURA]])</f>
        <v>35868000</v>
      </c>
      <c r="BA1281" s="35">
        <f>(VLOOKUP(Tabla4[[#This Row],[SERVICIO 2025]],$J$2:$V$14,3,0)*Tabla4[[#This Row],[TOTAL COBERTURA]])+Tabla4[[#This Row],[VALOR FASE PREPARATORIA DE CIERRE]]</f>
        <v>43436200</v>
      </c>
      <c r="BB1281" s="35">
        <f>SUM(Tabla4[[#This Row],[DESEMBOLSO 1]:[DESEMBOLSO 8]])</f>
        <v>303861000</v>
      </c>
      <c r="BC1281" s="35">
        <f>VLOOKUP(Tabla4[[#This Row],[SERVICIO 2025]],$J$2:$V$14,10,0)*Tabla4[[#This Row],[TOTAL COBERTURA]]*$W$3</f>
        <v>301313600</v>
      </c>
      <c r="BD1281" s="47" t="s">
        <v>211</v>
      </c>
      <c r="BE1281" s="12" t="b">
        <f>EXACT(Tabla4[[#This Row],[VALOR ATENCIÓN (8 MESES)]],Tabla4[[#This Row],[VALOR TOTAL]])</f>
        <v>1</v>
      </c>
      <c r="BF1281" s="23">
        <f>Tabla4[[#This Row],[VALOR ATENCIÓN (8 MESES)]]-Tabla4[[#This Row],[VALOR TOTAL]]</f>
        <v>0</v>
      </c>
      <c r="BG1281" s="12" t="b">
        <f>EXACT(Tabla4[[#This Row],[TOTAL DESEMBOLSOS]],Tabla4[[#This Row],[VALOR ATENCIÓN (8 MESES)]])</f>
        <v>1</v>
      </c>
      <c r="BH1281" s="29">
        <f>Tabla4[[#This Row],[TOTAL DESEMBOLSOS]]-Tabla4[[#This Row],[VALOR ATENCIÓN (8 MESES)]]</f>
        <v>0</v>
      </c>
      <c r="BI1281" t="s">
        <v>98</v>
      </c>
      <c r="BJ1281">
        <v>2029</v>
      </c>
    </row>
    <row r="1282" spans="1:62">
      <c r="A1282" s="13">
        <v>2029</v>
      </c>
      <c r="B1282" s="13" t="s">
        <v>2766</v>
      </c>
      <c r="C1282" s="12" t="s">
        <v>87</v>
      </c>
      <c r="D1282" s="12" t="s">
        <v>88</v>
      </c>
      <c r="E1282" s="12" t="s">
        <v>2743</v>
      </c>
      <c r="F1282" s="12" t="s">
        <v>21</v>
      </c>
      <c r="G1282" s="12" t="s">
        <v>90</v>
      </c>
      <c r="H1282" s="12" t="s">
        <v>2781</v>
      </c>
      <c r="I1282" s="12">
        <v>50881135619</v>
      </c>
      <c r="J1282" s="12" t="s">
        <v>2781</v>
      </c>
      <c r="K1282" s="12">
        <v>1</v>
      </c>
      <c r="L1282" s="12">
        <v>55</v>
      </c>
      <c r="M1282" s="12"/>
      <c r="N1282" s="13">
        <v>2029</v>
      </c>
      <c r="O1282" s="12" t="s">
        <v>93</v>
      </c>
      <c r="P1282" s="12"/>
      <c r="Q1282" s="12"/>
      <c r="R1282" s="12" t="s">
        <v>94</v>
      </c>
      <c r="S1282" s="12">
        <v>10</v>
      </c>
      <c r="T1282" s="12" t="s">
        <v>2769</v>
      </c>
      <c r="U1282" s="12" t="s">
        <v>2770</v>
      </c>
      <c r="V1282" s="12">
        <f>VLOOKUP(Tabla4[[#This Row],[ZONA DEFINITIVO]],Hoja1!$A$1:$D$121,3,0)</f>
        <v>229174</v>
      </c>
      <c r="W1282" s="12">
        <f>VLOOKUP(Tabla4[[#This Row],[ZONA DEFINITIVO]],Hoja1!$A$1:$D$121,2,0)</f>
        <v>15259</v>
      </c>
      <c r="X1282" s="12">
        <f>VLOOKUP(Tabla4[[#This Row],[ZONA DEFINITIVO]],Hoja1!$A$1:$D$121,4,0)</f>
        <v>90225</v>
      </c>
      <c r="Y1282" s="12" t="str">
        <f>+IF(Tabla4[[#This Row],[AGRUPACIONES]]=1,SUMIFS(Tabla4[UDS],Tabla4[ZONA DEFINITIVO],Tabla4[[#This Row],[ZONA DEFINITIVO]])," ")</f>
        <v xml:space="preserve"> </v>
      </c>
      <c r="Z1282" s="12" t="str">
        <f>+IF(Tabla4[[#This Row],[AGRUPACIONES]]=1,SUMIFS(Tabla4[TOTAL COBERTURA],Tabla4[ZONA DEFINITIVO],Tabla4[[#This Row],[ZONA DEFINITIVO]])," ")</f>
        <v xml:space="preserve"> </v>
      </c>
      <c r="AA1282" s="12"/>
      <c r="AB1282" s="38">
        <v>83561775</v>
      </c>
      <c r="AC1282" s="37">
        <v>0.02</v>
      </c>
      <c r="AD1282" s="38">
        <f t="shared" si="20"/>
        <v>1671235.5</v>
      </c>
      <c r="AE1282" s="12"/>
      <c r="AF1282" s="12">
        <f>COUNTIF($A$20:A1282,A1282)</f>
        <v>7</v>
      </c>
      <c r="AG1282" s="38">
        <v>83561775</v>
      </c>
      <c r="AH1282" s="38">
        <f>Tabla4[[#This Row],[VALOR CONTRAPARTIDA]]+Tabla4[[#This Row],[TOTAL APORTES ICBF]]</f>
        <v>85233010.5</v>
      </c>
      <c r="AI1282" s="35"/>
      <c r="AJ1282" s="38"/>
      <c r="AK1282" s="38"/>
      <c r="AL1282" s="23"/>
      <c r="AM1282" s="35">
        <f>VLOOKUP(Tabla4[[#This Row],[SERVICIO 2025]],$J$2:$V$14,5,0)*Tabla4[[#This Row],[TOTAL COBERTURA]]</f>
        <v>2570920</v>
      </c>
      <c r="AN1282" s="35">
        <f>VLOOKUP(Tabla4[[#This Row],[SERVICIO 2025]],$J$2:$V$14,6,0)*Tabla4[[#This Row],[TOTAL COBERTURA]]</f>
        <v>2081255</v>
      </c>
      <c r="AO1282" s="35">
        <f>VLOOKUP(Tabla4[[#This Row],[SERVICIO 2025]],$J$2:$V$14,8,0)*Tabla4[[#This Row],[TOTAL COBERTURA]]</f>
        <v>0</v>
      </c>
      <c r="AP1282" s="35">
        <f>VLOOKUP(Tabla4[[#This Row],[SERVICIO 2025]],$J$2:$V$14,3,0)*Tabla4[[#This Row],[TOTAL COBERTURA]]*8</f>
        <v>78909600</v>
      </c>
      <c r="AQ1282" s="35"/>
      <c r="AR1282" s="35">
        <f>Tabla4[[#This Row],[VALOR FASE PREPARATORIA DE ALISTAMIENTO]]+Tabla4[[#This Row],[VALOR FASE PREPARATORIA DE CIERRE]]+Tabla4[[#This Row],[DOTACIÓN ÚNICA]]+Tabla4[[#This Row],[VALOR ATENCIÓN]]+Tabla4[[#This Row],[VALOR RACION PREPARADA]]</f>
        <v>83561775</v>
      </c>
      <c r="AS1282" s="35" t="str">
        <f>+IF(Tabla4[[#This Row],[AGRUPACIONES]]=1,SUMIFS(Tabla4[VALOR TOTAL],Tabla4[ZONA DEFINITIVO],Tabla4[[#This Row],[ZONA DEFINITIVO]])," ")</f>
        <v xml:space="preserve"> </v>
      </c>
      <c r="AT1282" s="27">
        <f>(VLOOKUP(Tabla4[[#This Row],[SERVICIO 2025]],$J$2:$V$14,3,0)*Tabla4[[#This Row],[TOTAL COBERTURA]])+Tabla4[[#This Row],[VALOR FASE PREPARATORIA DE ALISTAMIENTO]]+Tabla4[[#This Row],[DOTACIÓN ÚNICA]]</f>
        <v>12434620</v>
      </c>
      <c r="AU1282" s="35">
        <f>(VLOOKUP(Tabla4[[#This Row],[SERVICIO 2025]],$J$2:$V$14,3,0)*Tabla4[[#This Row],[TOTAL COBERTURA]])</f>
        <v>9863700</v>
      </c>
      <c r="AV1282" s="35">
        <f>(VLOOKUP(Tabla4[[#This Row],[SERVICIO 2025]],$J$2:$V$14,3,0)*Tabla4[[#This Row],[TOTAL COBERTURA]])</f>
        <v>9863700</v>
      </c>
      <c r="AW1282" s="35">
        <f>(VLOOKUP(Tabla4[[#This Row],[SERVICIO 2025]],$J$2:$V$14,3,0)*Tabla4[[#This Row],[TOTAL COBERTURA]])</f>
        <v>9863700</v>
      </c>
      <c r="AX1282" s="35">
        <f>(VLOOKUP(Tabla4[[#This Row],[SERVICIO 2025]],$J$2:$V$14,3,0)*Tabla4[[#This Row],[TOTAL COBERTURA]])</f>
        <v>9863700</v>
      </c>
      <c r="AY1282" s="35">
        <f>(VLOOKUP(Tabla4[[#This Row],[SERVICIO 2025]],$J$2:$V$14,3,0)*Tabla4[[#This Row],[TOTAL COBERTURA]])</f>
        <v>9863700</v>
      </c>
      <c r="AZ1282" s="35">
        <f>(VLOOKUP(Tabla4[[#This Row],[SERVICIO 2025]],$J$2:$V$14,3,0)*Tabla4[[#This Row],[TOTAL COBERTURA]])</f>
        <v>9863700</v>
      </c>
      <c r="BA1282" s="35">
        <f>(VLOOKUP(Tabla4[[#This Row],[SERVICIO 2025]],$J$2:$V$14,3,0)*Tabla4[[#This Row],[TOTAL COBERTURA]])+Tabla4[[#This Row],[VALOR FASE PREPARATORIA DE CIERRE]]</f>
        <v>11944955</v>
      </c>
      <c r="BB1282" s="35">
        <f>SUM(Tabla4[[#This Row],[DESEMBOLSO 1]:[DESEMBOLSO 8]])</f>
        <v>83561775</v>
      </c>
      <c r="BC1282" s="35">
        <f>VLOOKUP(Tabla4[[#This Row],[SERVICIO 2025]],$J$2:$V$14,10,0)*Tabla4[[#This Row],[TOTAL COBERTURA]]*$W$3</f>
        <v>82861240</v>
      </c>
      <c r="BD1282" s="47" t="s">
        <v>211</v>
      </c>
      <c r="BE1282" s="12" t="b">
        <f>EXACT(Tabla4[[#This Row],[VALOR ATENCIÓN (8 MESES)]],Tabla4[[#This Row],[VALOR TOTAL]])</f>
        <v>1</v>
      </c>
      <c r="BF1282" s="23">
        <f>Tabla4[[#This Row],[VALOR ATENCIÓN (8 MESES)]]-Tabla4[[#This Row],[VALOR TOTAL]]</f>
        <v>0</v>
      </c>
      <c r="BG1282" s="12" t="b">
        <f>EXACT(Tabla4[[#This Row],[TOTAL DESEMBOLSOS]],Tabla4[[#This Row],[VALOR ATENCIÓN (8 MESES)]])</f>
        <v>1</v>
      </c>
      <c r="BH1282" s="29">
        <f>Tabla4[[#This Row],[TOTAL DESEMBOLSOS]]-Tabla4[[#This Row],[VALOR ATENCIÓN (8 MESES)]]</f>
        <v>0</v>
      </c>
      <c r="BI1282" t="s">
        <v>98</v>
      </c>
      <c r="BJ1282">
        <v>2029</v>
      </c>
    </row>
    <row r="1283" spans="1:62">
      <c r="A1283" s="13">
        <v>2029</v>
      </c>
      <c r="B1283" s="13" t="s">
        <v>2766</v>
      </c>
      <c r="C1283" s="12" t="s">
        <v>87</v>
      </c>
      <c r="D1283" s="12" t="s">
        <v>88</v>
      </c>
      <c r="E1283" s="12" t="s">
        <v>2743</v>
      </c>
      <c r="F1283" s="12" t="s">
        <v>21</v>
      </c>
      <c r="G1283" s="12" t="s">
        <v>90</v>
      </c>
      <c r="H1283" s="12" t="s">
        <v>2782</v>
      </c>
      <c r="I1283" s="12">
        <v>50881135620</v>
      </c>
      <c r="J1283" s="12" t="s">
        <v>2783</v>
      </c>
      <c r="K1283" s="12">
        <v>1</v>
      </c>
      <c r="L1283" s="12">
        <v>45</v>
      </c>
      <c r="M1283" s="12"/>
      <c r="N1283" s="13">
        <v>2029</v>
      </c>
      <c r="O1283" s="12" t="s">
        <v>93</v>
      </c>
      <c r="P1283" s="12"/>
      <c r="Q1283" s="12"/>
      <c r="R1283" s="12" t="s">
        <v>94</v>
      </c>
      <c r="S1283" s="12">
        <v>10</v>
      </c>
      <c r="T1283" s="12" t="s">
        <v>2769</v>
      </c>
      <c r="U1283" s="12" t="s">
        <v>2770</v>
      </c>
      <c r="V1283" s="12">
        <f>VLOOKUP(Tabla4[[#This Row],[ZONA DEFINITIVO]],Hoja1!$A$1:$D$121,3,0)</f>
        <v>229174</v>
      </c>
      <c r="W1283" s="12">
        <f>VLOOKUP(Tabla4[[#This Row],[ZONA DEFINITIVO]],Hoja1!$A$1:$D$121,2,0)</f>
        <v>15259</v>
      </c>
      <c r="X1283" s="12">
        <f>VLOOKUP(Tabla4[[#This Row],[ZONA DEFINITIVO]],Hoja1!$A$1:$D$121,4,0)</f>
        <v>90225</v>
      </c>
      <c r="Y1283" s="12" t="str">
        <f>+IF(Tabla4[[#This Row],[AGRUPACIONES]]=1,SUMIFS(Tabla4[UDS],Tabla4[ZONA DEFINITIVO],Tabla4[[#This Row],[ZONA DEFINITIVO]])," ")</f>
        <v xml:space="preserve"> </v>
      </c>
      <c r="Z1283" s="12" t="str">
        <f>+IF(Tabla4[[#This Row],[AGRUPACIONES]]=1,SUMIFS(Tabla4[TOTAL COBERTURA],Tabla4[ZONA DEFINITIVO],Tabla4[[#This Row],[ZONA DEFINITIVO]])," ")</f>
        <v xml:space="preserve"> </v>
      </c>
      <c r="AA1283" s="12"/>
      <c r="AB1283" s="38">
        <v>68368725</v>
      </c>
      <c r="AC1283" s="37">
        <v>0.02</v>
      </c>
      <c r="AD1283" s="38">
        <f t="shared" si="20"/>
        <v>1367374.5</v>
      </c>
      <c r="AE1283" s="12"/>
      <c r="AF1283" s="12">
        <f>COUNTIF($A$20:A1283,A1283)</f>
        <v>8</v>
      </c>
      <c r="AG1283" s="38">
        <v>68368725</v>
      </c>
      <c r="AH1283" s="38">
        <f>Tabla4[[#This Row],[VALOR CONTRAPARTIDA]]+Tabla4[[#This Row],[TOTAL APORTES ICBF]]</f>
        <v>69736099.5</v>
      </c>
      <c r="AI1283" s="35"/>
      <c r="AJ1283" s="38"/>
      <c r="AK1283" s="38"/>
      <c r="AL1283" s="23"/>
      <c r="AM1283" s="35">
        <f>VLOOKUP(Tabla4[[#This Row],[SERVICIO 2025]],$J$2:$V$14,5,0)*Tabla4[[#This Row],[TOTAL COBERTURA]]</f>
        <v>2103480</v>
      </c>
      <c r="AN1283" s="35">
        <f>VLOOKUP(Tabla4[[#This Row],[SERVICIO 2025]],$J$2:$V$14,6,0)*Tabla4[[#This Row],[TOTAL COBERTURA]]</f>
        <v>1702845</v>
      </c>
      <c r="AO1283" s="35">
        <f>VLOOKUP(Tabla4[[#This Row],[SERVICIO 2025]],$J$2:$V$14,8,0)*Tabla4[[#This Row],[TOTAL COBERTURA]]</f>
        <v>0</v>
      </c>
      <c r="AP1283" s="35">
        <f>VLOOKUP(Tabla4[[#This Row],[SERVICIO 2025]],$J$2:$V$14,3,0)*Tabla4[[#This Row],[TOTAL COBERTURA]]*8</f>
        <v>64562400</v>
      </c>
      <c r="AQ1283" s="35"/>
      <c r="AR1283" s="35">
        <f>Tabla4[[#This Row],[VALOR FASE PREPARATORIA DE ALISTAMIENTO]]+Tabla4[[#This Row],[VALOR FASE PREPARATORIA DE CIERRE]]+Tabla4[[#This Row],[DOTACIÓN ÚNICA]]+Tabla4[[#This Row],[VALOR ATENCIÓN]]+Tabla4[[#This Row],[VALOR RACION PREPARADA]]</f>
        <v>68368725</v>
      </c>
      <c r="AS1283" s="35" t="str">
        <f>+IF(Tabla4[[#This Row],[AGRUPACIONES]]=1,SUMIFS(Tabla4[VALOR TOTAL],Tabla4[ZONA DEFINITIVO],Tabla4[[#This Row],[ZONA DEFINITIVO]])," ")</f>
        <v xml:space="preserve"> </v>
      </c>
      <c r="AT1283" s="27">
        <f>(VLOOKUP(Tabla4[[#This Row],[SERVICIO 2025]],$J$2:$V$14,3,0)*Tabla4[[#This Row],[TOTAL COBERTURA]])+Tabla4[[#This Row],[VALOR FASE PREPARATORIA DE ALISTAMIENTO]]+Tabla4[[#This Row],[DOTACIÓN ÚNICA]]</f>
        <v>10173780</v>
      </c>
      <c r="AU1283" s="35">
        <f>(VLOOKUP(Tabla4[[#This Row],[SERVICIO 2025]],$J$2:$V$14,3,0)*Tabla4[[#This Row],[TOTAL COBERTURA]])</f>
        <v>8070300</v>
      </c>
      <c r="AV1283" s="35">
        <f>(VLOOKUP(Tabla4[[#This Row],[SERVICIO 2025]],$J$2:$V$14,3,0)*Tabla4[[#This Row],[TOTAL COBERTURA]])</f>
        <v>8070300</v>
      </c>
      <c r="AW1283" s="35">
        <f>(VLOOKUP(Tabla4[[#This Row],[SERVICIO 2025]],$J$2:$V$14,3,0)*Tabla4[[#This Row],[TOTAL COBERTURA]])</f>
        <v>8070300</v>
      </c>
      <c r="AX1283" s="35">
        <f>(VLOOKUP(Tabla4[[#This Row],[SERVICIO 2025]],$J$2:$V$14,3,0)*Tabla4[[#This Row],[TOTAL COBERTURA]])</f>
        <v>8070300</v>
      </c>
      <c r="AY1283" s="35">
        <f>(VLOOKUP(Tabla4[[#This Row],[SERVICIO 2025]],$J$2:$V$14,3,0)*Tabla4[[#This Row],[TOTAL COBERTURA]])</f>
        <v>8070300</v>
      </c>
      <c r="AZ1283" s="35">
        <f>(VLOOKUP(Tabla4[[#This Row],[SERVICIO 2025]],$J$2:$V$14,3,0)*Tabla4[[#This Row],[TOTAL COBERTURA]])</f>
        <v>8070300</v>
      </c>
      <c r="BA1283" s="35">
        <f>(VLOOKUP(Tabla4[[#This Row],[SERVICIO 2025]],$J$2:$V$14,3,0)*Tabla4[[#This Row],[TOTAL COBERTURA]])+Tabla4[[#This Row],[VALOR FASE PREPARATORIA DE CIERRE]]</f>
        <v>9773145</v>
      </c>
      <c r="BB1283" s="35">
        <f>SUM(Tabla4[[#This Row],[DESEMBOLSO 1]:[DESEMBOLSO 8]])</f>
        <v>68368725</v>
      </c>
      <c r="BC1283" s="35">
        <f>VLOOKUP(Tabla4[[#This Row],[SERVICIO 2025]],$J$2:$V$14,10,0)*Tabla4[[#This Row],[TOTAL COBERTURA]]*$W$3</f>
        <v>67795560</v>
      </c>
      <c r="BD1283" s="47" t="s">
        <v>211</v>
      </c>
      <c r="BE1283" s="12" t="b">
        <f>EXACT(Tabla4[[#This Row],[VALOR ATENCIÓN (8 MESES)]],Tabla4[[#This Row],[VALOR TOTAL]])</f>
        <v>1</v>
      </c>
      <c r="BF1283" s="23">
        <f>Tabla4[[#This Row],[VALOR ATENCIÓN (8 MESES)]]-Tabla4[[#This Row],[VALOR TOTAL]]</f>
        <v>0</v>
      </c>
      <c r="BG1283" s="12" t="b">
        <f>EXACT(Tabla4[[#This Row],[TOTAL DESEMBOLSOS]],Tabla4[[#This Row],[VALOR ATENCIÓN (8 MESES)]])</f>
        <v>1</v>
      </c>
      <c r="BH1283" s="29">
        <f>Tabla4[[#This Row],[TOTAL DESEMBOLSOS]]-Tabla4[[#This Row],[VALOR ATENCIÓN (8 MESES)]]</f>
        <v>0</v>
      </c>
      <c r="BI1283" t="s">
        <v>98</v>
      </c>
      <c r="BJ1283">
        <v>2029</v>
      </c>
    </row>
    <row r="1284" spans="1:62">
      <c r="A1284" s="13">
        <v>2029</v>
      </c>
      <c r="B1284" s="13" t="s">
        <v>2766</v>
      </c>
      <c r="C1284" s="12" t="s">
        <v>87</v>
      </c>
      <c r="D1284" s="12" t="s">
        <v>88</v>
      </c>
      <c r="E1284" s="12" t="s">
        <v>2743</v>
      </c>
      <c r="F1284" s="12" t="s">
        <v>21</v>
      </c>
      <c r="G1284" s="12" t="s">
        <v>90</v>
      </c>
      <c r="H1284" s="12" t="s">
        <v>2033</v>
      </c>
      <c r="I1284" s="12">
        <v>50881148706</v>
      </c>
      <c r="J1284" s="12" t="s">
        <v>2784</v>
      </c>
      <c r="K1284" s="12">
        <v>1</v>
      </c>
      <c r="L1284" s="12">
        <v>97</v>
      </c>
      <c r="M1284" s="12"/>
      <c r="N1284" s="13">
        <v>2029</v>
      </c>
      <c r="O1284" s="12" t="s">
        <v>93</v>
      </c>
      <c r="P1284" s="12"/>
      <c r="Q1284" s="12"/>
      <c r="R1284" s="12" t="s">
        <v>94</v>
      </c>
      <c r="S1284" s="12">
        <v>10</v>
      </c>
      <c r="T1284" s="12" t="s">
        <v>2769</v>
      </c>
      <c r="U1284" s="12" t="s">
        <v>2770</v>
      </c>
      <c r="V1284" s="12">
        <f>VLOOKUP(Tabla4[[#This Row],[ZONA DEFINITIVO]],Hoja1!$A$1:$D$121,3,0)</f>
        <v>229174</v>
      </c>
      <c r="W1284" s="12">
        <f>VLOOKUP(Tabla4[[#This Row],[ZONA DEFINITIVO]],Hoja1!$A$1:$D$121,2,0)</f>
        <v>15259</v>
      </c>
      <c r="X1284" s="12">
        <f>VLOOKUP(Tabla4[[#This Row],[ZONA DEFINITIVO]],Hoja1!$A$1:$D$121,4,0)</f>
        <v>90225</v>
      </c>
      <c r="Y1284" s="12" t="str">
        <f>+IF(Tabla4[[#This Row],[AGRUPACIONES]]=1,SUMIFS(Tabla4[UDS],Tabla4[ZONA DEFINITIVO],Tabla4[[#This Row],[ZONA DEFINITIVO]])," ")</f>
        <v xml:space="preserve"> </v>
      </c>
      <c r="Z1284" s="12" t="str">
        <f>+IF(Tabla4[[#This Row],[AGRUPACIONES]]=1,SUMIFS(Tabla4[TOTAL COBERTURA],Tabla4[ZONA DEFINITIVO],Tabla4[[#This Row],[ZONA DEFINITIVO]])," ")</f>
        <v xml:space="preserve"> </v>
      </c>
      <c r="AA1284" s="12"/>
      <c r="AB1284" s="38">
        <v>147372585</v>
      </c>
      <c r="AC1284" s="37">
        <v>0.02</v>
      </c>
      <c r="AD1284" s="38">
        <f t="shared" si="20"/>
        <v>2947451.7</v>
      </c>
      <c r="AE1284" s="12"/>
      <c r="AF1284" s="12">
        <f>COUNTIF($A$20:A1284,A1284)</f>
        <v>9</v>
      </c>
      <c r="AG1284" s="38">
        <v>147372585</v>
      </c>
      <c r="AH1284" s="38">
        <f>Tabla4[[#This Row],[VALOR CONTRAPARTIDA]]+Tabla4[[#This Row],[TOTAL APORTES ICBF]]</f>
        <v>150320036.69999999</v>
      </c>
      <c r="AI1284" s="35"/>
      <c r="AJ1284" s="38"/>
      <c r="AK1284" s="38"/>
      <c r="AL1284" s="23"/>
      <c r="AM1284" s="35">
        <f>VLOOKUP(Tabla4[[#This Row],[SERVICIO 2025]],$J$2:$V$14,5,0)*Tabla4[[#This Row],[TOTAL COBERTURA]]</f>
        <v>4534168</v>
      </c>
      <c r="AN1284" s="35">
        <f>VLOOKUP(Tabla4[[#This Row],[SERVICIO 2025]],$J$2:$V$14,6,0)*Tabla4[[#This Row],[TOTAL COBERTURA]]</f>
        <v>3670577</v>
      </c>
      <c r="AO1284" s="35">
        <f>VLOOKUP(Tabla4[[#This Row],[SERVICIO 2025]],$J$2:$V$14,8,0)*Tabla4[[#This Row],[TOTAL COBERTURA]]</f>
        <v>0</v>
      </c>
      <c r="AP1284" s="35">
        <f>VLOOKUP(Tabla4[[#This Row],[SERVICIO 2025]],$J$2:$V$14,3,0)*Tabla4[[#This Row],[TOTAL COBERTURA]]*8</f>
        <v>139167840</v>
      </c>
      <c r="AQ1284" s="35"/>
      <c r="AR1284" s="35">
        <f>Tabla4[[#This Row],[VALOR FASE PREPARATORIA DE ALISTAMIENTO]]+Tabla4[[#This Row],[VALOR FASE PREPARATORIA DE CIERRE]]+Tabla4[[#This Row],[DOTACIÓN ÚNICA]]+Tabla4[[#This Row],[VALOR ATENCIÓN]]+Tabla4[[#This Row],[VALOR RACION PREPARADA]]</f>
        <v>147372585</v>
      </c>
      <c r="AS1284" s="35" t="str">
        <f>+IF(Tabla4[[#This Row],[AGRUPACIONES]]=1,SUMIFS(Tabla4[VALOR TOTAL],Tabla4[ZONA DEFINITIVO],Tabla4[[#This Row],[ZONA DEFINITIVO]])," ")</f>
        <v xml:space="preserve"> </v>
      </c>
      <c r="AT1284" s="27">
        <f>(VLOOKUP(Tabla4[[#This Row],[SERVICIO 2025]],$J$2:$V$14,3,0)*Tabla4[[#This Row],[TOTAL COBERTURA]])+Tabla4[[#This Row],[VALOR FASE PREPARATORIA DE ALISTAMIENTO]]+Tabla4[[#This Row],[DOTACIÓN ÚNICA]]</f>
        <v>21930148</v>
      </c>
      <c r="AU1284" s="35">
        <f>(VLOOKUP(Tabla4[[#This Row],[SERVICIO 2025]],$J$2:$V$14,3,0)*Tabla4[[#This Row],[TOTAL COBERTURA]])</f>
        <v>17395980</v>
      </c>
      <c r="AV1284" s="35">
        <f>(VLOOKUP(Tabla4[[#This Row],[SERVICIO 2025]],$J$2:$V$14,3,0)*Tabla4[[#This Row],[TOTAL COBERTURA]])</f>
        <v>17395980</v>
      </c>
      <c r="AW1284" s="35">
        <f>(VLOOKUP(Tabla4[[#This Row],[SERVICIO 2025]],$J$2:$V$14,3,0)*Tabla4[[#This Row],[TOTAL COBERTURA]])</f>
        <v>17395980</v>
      </c>
      <c r="AX1284" s="35">
        <f>(VLOOKUP(Tabla4[[#This Row],[SERVICIO 2025]],$J$2:$V$14,3,0)*Tabla4[[#This Row],[TOTAL COBERTURA]])</f>
        <v>17395980</v>
      </c>
      <c r="AY1284" s="35">
        <f>(VLOOKUP(Tabla4[[#This Row],[SERVICIO 2025]],$J$2:$V$14,3,0)*Tabla4[[#This Row],[TOTAL COBERTURA]])</f>
        <v>17395980</v>
      </c>
      <c r="AZ1284" s="35">
        <f>(VLOOKUP(Tabla4[[#This Row],[SERVICIO 2025]],$J$2:$V$14,3,0)*Tabla4[[#This Row],[TOTAL COBERTURA]])</f>
        <v>17395980</v>
      </c>
      <c r="BA1284" s="35">
        <f>(VLOOKUP(Tabla4[[#This Row],[SERVICIO 2025]],$J$2:$V$14,3,0)*Tabla4[[#This Row],[TOTAL COBERTURA]])+Tabla4[[#This Row],[VALOR FASE PREPARATORIA DE CIERRE]]</f>
        <v>21066557</v>
      </c>
      <c r="BB1284" s="35">
        <f>SUM(Tabla4[[#This Row],[DESEMBOLSO 1]:[DESEMBOLSO 8]])</f>
        <v>147372585</v>
      </c>
      <c r="BC1284" s="35">
        <f>VLOOKUP(Tabla4[[#This Row],[SERVICIO 2025]],$J$2:$V$14,10,0)*Tabla4[[#This Row],[TOTAL COBERTURA]]*$W$3</f>
        <v>146137096</v>
      </c>
      <c r="BD1284" s="47" t="s">
        <v>211</v>
      </c>
      <c r="BE1284" s="12" t="b">
        <f>EXACT(Tabla4[[#This Row],[VALOR ATENCIÓN (8 MESES)]],Tabla4[[#This Row],[VALOR TOTAL]])</f>
        <v>1</v>
      </c>
      <c r="BF1284" s="23">
        <f>Tabla4[[#This Row],[VALOR ATENCIÓN (8 MESES)]]-Tabla4[[#This Row],[VALOR TOTAL]]</f>
        <v>0</v>
      </c>
      <c r="BG1284" s="12" t="b">
        <f>EXACT(Tabla4[[#This Row],[TOTAL DESEMBOLSOS]],Tabla4[[#This Row],[VALOR ATENCIÓN (8 MESES)]])</f>
        <v>1</v>
      </c>
      <c r="BH1284" s="29">
        <f>Tabla4[[#This Row],[TOTAL DESEMBOLSOS]]-Tabla4[[#This Row],[VALOR ATENCIÓN (8 MESES)]]</f>
        <v>0</v>
      </c>
      <c r="BI1284" t="s">
        <v>98</v>
      </c>
      <c r="BJ1284">
        <v>2029</v>
      </c>
    </row>
    <row r="1285" spans="1:62">
      <c r="A1285" s="13">
        <v>2029</v>
      </c>
      <c r="B1285" s="13" t="s">
        <v>2766</v>
      </c>
      <c r="C1285" s="12" t="s">
        <v>87</v>
      </c>
      <c r="D1285" s="12" t="s">
        <v>88</v>
      </c>
      <c r="E1285" s="12" t="s">
        <v>2743</v>
      </c>
      <c r="F1285" s="12" t="s">
        <v>21</v>
      </c>
      <c r="G1285" s="12" t="s">
        <v>90</v>
      </c>
      <c r="H1285" s="12" t="s">
        <v>2785</v>
      </c>
      <c r="I1285" s="12">
        <v>50881152200</v>
      </c>
      <c r="J1285" s="12" t="s">
        <v>2786</v>
      </c>
      <c r="K1285" s="12">
        <v>1</v>
      </c>
      <c r="L1285" s="12">
        <v>100</v>
      </c>
      <c r="M1285" s="12"/>
      <c r="N1285" s="13">
        <v>2029</v>
      </c>
      <c r="O1285" s="12" t="s">
        <v>93</v>
      </c>
      <c r="P1285" s="12"/>
      <c r="Q1285" s="12"/>
      <c r="R1285" s="12" t="s">
        <v>94</v>
      </c>
      <c r="S1285" s="12">
        <v>10</v>
      </c>
      <c r="T1285" s="12" t="s">
        <v>2769</v>
      </c>
      <c r="U1285" s="12" t="s">
        <v>2770</v>
      </c>
      <c r="V1285" s="12">
        <f>VLOOKUP(Tabla4[[#This Row],[ZONA DEFINITIVO]],Hoja1!$A$1:$D$121,3,0)</f>
        <v>229174</v>
      </c>
      <c r="W1285" s="12">
        <f>VLOOKUP(Tabla4[[#This Row],[ZONA DEFINITIVO]],Hoja1!$A$1:$D$121,2,0)</f>
        <v>15259</v>
      </c>
      <c r="X1285" s="12">
        <f>VLOOKUP(Tabla4[[#This Row],[ZONA DEFINITIVO]],Hoja1!$A$1:$D$121,4,0)</f>
        <v>90225</v>
      </c>
      <c r="Y1285" s="12" t="str">
        <f>+IF(Tabla4[[#This Row],[AGRUPACIONES]]=1,SUMIFS(Tabla4[UDS],Tabla4[ZONA DEFINITIVO],Tabla4[[#This Row],[ZONA DEFINITIVO]])," ")</f>
        <v xml:space="preserve"> </v>
      </c>
      <c r="Z1285" s="12" t="str">
        <f>+IF(Tabla4[[#This Row],[AGRUPACIONES]]=1,SUMIFS(Tabla4[TOTAL COBERTURA],Tabla4[ZONA DEFINITIVO],Tabla4[[#This Row],[ZONA DEFINITIVO]])," ")</f>
        <v xml:space="preserve"> </v>
      </c>
      <c r="AA1285" s="12"/>
      <c r="AB1285" s="38">
        <v>151930500</v>
      </c>
      <c r="AC1285" s="37">
        <v>0.02</v>
      </c>
      <c r="AD1285" s="38">
        <f t="shared" si="20"/>
        <v>3038610</v>
      </c>
      <c r="AE1285" s="12"/>
      <c r="AF1285" s="12">
        <f>COUNTIF($A$20:A1285,A1285)</f>
        <v>10</v>
      </c>
      <c r="AG1285" s="38">
        <v>151930500</v>
      </c>
      <c r="AH1285" s="38">
        <f>Tabla4[[#This Row],[VALOR CONTRAPARTIDA]]+Tabla4[[#This Row],[TOTAL APORTES ICBF]]</f>
        <v>154969110</v>
      </c>
      <c r="AI1285" s="35"/>
      <c r="AJ1285" s="38"/>
      <c r="AK1285" s="38"/>
      <c r="AL1285" s="23"/>
      <c r="AM1285" s="35">
        <f>VLOOKUP(Tabla4[[#This Row],[SERVICIO 2025]],$J$2:$V$14,5,0)*Tabla4[[#This Row],[TOTAL COBERTURA]]</f>
        <v>4674400</v>
      </c>
      <c r="AN1285" s="35">
        <f>VLOOKUP(Tabla4[[#This Row],[SERVICIO 2025]],$J$2:$V$14,6,0)*Tabla4[[#This Row],[TOTAL COBERTURA]]</f>
        <v>3784100</v>
      </c>
      <c r="AO1285" s="35">
        <f>VLOOKUP(Tabla4[[#This Row],[SERVICIO 2025]],$J$2:$V$14,8,0)*Tabla4[[#This Row],[TOTAL COBERTURA]]</f>
        <v>0</v>
      </c>
      <c r="AP1285" s="35">
        <f>VLOOKUP(Tabla4[[#This Row],[SERVICIO 2025]],$J$2:$V$14,3,0)*Tabla4[[#This Row],[TOTAL COBERTURA]]*8</f>
        <v>143472000</v>
      </c>
      <c r="AQ1285" s="35"/>
      <c r="AR1285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151930500</v>
      </c>
      <c r="AS1285" s="35" t="str">
        <f>+IF(Tabla4[[#This Row],[AGRUPACIONES]]=1,SUMIFS(Tabla4[VALOR TOTAL],Tabla4[ZONA DEFINITIVO],Tabla4[[#This Row],[ZONA DEFINITIVO]])," ")</f>
        <v xml:space="preserve"> </v>
      </c>
      <c r="AT1285" s="27">
        <f>(VLOOKUP(Tabla4[[#This Row],[SERVICIO 2025]],$J$2:$V$14,3,0)*Tabla4[[#This Row],[TOTAL COBERTURA]])+Tabla4[[#This Row],[VALOR FASE PREPARATORIA DE ALISTAMIENTO]]+Tabla4[[#This Row],[DOTACIÓN ÚNICA]]</f>
        <v>22608400</v>
      </c>
      <c r="AU1285" s="35">
        <f>(VLOOKUP(Tabla4[[#This Row],[SERVICIO 2025]],$J$2:$V$14,3,0)*Tabla4[[#This Row],[TOTAL COBERTURA]])</f>
        <v>17934000</v>
      </c>
      <c r="AV1285" s="35">
        <f>(VLOOKUP(Tabla4[[#This Row],[SERVICIO 2025]],$J$2:$V$14,3,0)*Tabla4[[#This Row],[TOTAL COBERTURA]])</f>
        <v>17934000</v>
      </c>
      <c r="AW1285" s="35">
        <f>(VLOOKUP(Tabla4[[#This Row],[SERVICIO 2025]],$J$2:$V$14,3,0)*Tabla4[[#This Row],[TOTAL COBERTURA]])</f>
        <v>17934000</v>
      </c>
      <c r="AX1285" s="35">
        <f>(VLOOKUP(Tabla4[[#This Row],[SERVICIO 2025]],$J$2:$V$14,3,0)*Tabla4[[#This Row],[TOTAL COBERTURA]])</f>
        <v>17934000</v>
      </c>
      <c r="AY1285" s="35">
        <f>(VLOOKUP(Tabla4[[#This Row],[SERVICIO 2025]],$J$2:$V$14,3,0)*Tabla4[[#This Row],[TOTAL COBERTURA]])</f>
        <v>17934000</v>
      </c>
      <c r="AZ1285" s="35">
        <f>(VLOOKUP(Tabla4[[#This Row],[SERVICIO 2025]],$J$2:$V$14,3,0)*Tabla4[[#This Row],[TOTAL COBERTURA]])</f>
        <v>17934000</v>
      </c>
      <c r="BA1285" s="35">
        <f>(VLOOKUP(Tabla4[[#This Row],[SERVICIO 2025]],$J$2:$V$14,3,0)*Tabla4[[#This Row],[TOTAL COBERTURA]])+Tabla4[[#This Row],[VALOR FASE PREPARATORIA DE CIERRE]]</f>
        <v>21718100</v>
      </c>
      <c r="BB1285" s="35">
        <f>SUM(Tabla4[[#This Row],[DESEMBOLSO 1]:[DESEMBOLSO 8]])</f>
        <v>151930500</v>
      </c>
      <c r="BC1285" s="35">
        <f>VLOOKUP(Tabla4[[#This Row],[SERVICIO 2025]],$J$2:$V$14,10,0)*Tabla4[[#This Row],[TOTAL COBERTURA]]*$W$3</f>
        <v>150656800</v>
      </c>
      <c r="BD1285" s="47" t="s">
        <v>211</v>
      </c>
      <c r="BE1285" s="12" t="b">
        <f>EXACT(Tabla4[[#This Row],[VALOR ATENCIÓN (8 MESES)]],Tabla4[[#This Row],[VALOR TOTAL]])</f>
        <v>1</v>
      </c>
      <c r="BF1285" s="23">
        <f>Tabla4[[#This Row],[VALOR ATENCIÓN (8 MESES)]]-Tabla4[[#This Row],[VALOR TOTAL]]</f>
        <v>0</v>
      </c>
      <c r="BG1285" s="12" t="b">
        <f>EXACT(Tabla4[[#This Row],[TOTAL DESEMBOLSOS]],Tabla4[[#This Row],[VALOR ATENCIÓN (8 MESES)]])</f>
        <v>1</v>
      </c>
      <c r="BH1285" s="29">
        <f>Tabla4[[#This Row],[TOTAL DESEMBOLSOS]]-Tabla4[[#This Row],[VALOR ATENCIÓN (8 MESES)]]</f>
        <v>0</v>
      </c>
      <c r="BI1285" t="s">
        <v>98</v>
      </c>
      <c r="BJ1285">
        <v>2029</v>
      </c>
    </row>
    <row r="1286" spans="1:62">
      <c r="A1286" s="13">
        <v>2029</v>
      </c>
      <c r="B1286" s="13" t="s">
        <v>2766</v>
      </c>
      <c r="C1286" s="12" t="s">
        <v>87</v>
      </c>
      <c r="D1286" s="12" t="s">
        <v>88</v>
      </c>
      <c r="E1286" s="12" t="s">
        <v>2743</v>
      </c>
      <c r="F1286" s="12" t="s">
        <v>21</v>
      </c>
      <c r="G1286" s="12" t="s">
        <v>90</v>
      </c>
      <c r="H1286" s="12" t="s">
        <v>2787</v>
      </c>
      <c r="I1286" s="12">
        <v>50881152485</v>
      </c>
      <c r="J1286" s="12" t="s">
        <v>2788</v>
      </c>
      <c r="K1286" s="12">
        <v>1</v>
      </c>
      <c r="L1286" s="12">
        <v>100</v>
      </c>
      <c r="M1286" s="12"/>
      <c r="N1286" s="13">
        <v>2029</v>
      </c>
      <c r="O1286" s="12" t="s">
        <v>93</v>
      </c>
      <c r="P1286" s="12"/>
      <c r="Q1286" s="12"/>
      <c r="R1286" s="12" t="s">
        <v>94</v>
      </c>
      <c r="S1286" s="12">
        <v>10</v>
      </c>
      <c r="T1286" s="12" t="s">
        <v>2769</v>
      </c>
      <c r="U1286" s="12" t="s">
        <v>2770</v>
      </c>
      <c r="V1286" s="12">
        <f>VLOOKUP(Tabla4[[#This Row],[ZONA DEFINITIVO]],Hoja1!$A$1:$D$121,3,0)</f>
        <v>229174</v>
      </c>
      <c r="W1286" s="12">
        <f>VLOOKUP(Tabla4[[#This Row],[ZONA DEFINITIVO]],Hoja1!$A$1:$D$121,2,0)</f>
        <v>15259</v>
      </c>
      <c r="X1286" s="12">
        <f>VLOOKUP(Tabla4[[#This Row],[ZONA DEFINITIVO]],Hoja1!$A$1:$D$121,4,0)</f>
        <v>90225</v>
      </c>
      <c r="Y1286" s="12" t="str">
        <f>+IF(Tabla4[[#This Row],[AGRUPACIONES]]=1,SUMIFS(Tabla4[UDS],Tabla4[ZONA DEFINITIVO],Tabla4[[#This Row],[ZONA DEFINITIVO]])," ")</f>
        <v xml:space="preserve"> </v>
      </c>
      <c r="Z1286" s="12" t="str">
        <f>+IF(Tabla4[[#This Row],[AGRUPACIONES]]=1,SUMIFS(Tabla4[TOTAL COBERTURA],Tabla4[ZONA DEFINITIVO],Tabla4[[#This Row],[ZONA DEFINITIVO]])," ")</f>
        <v xml:space="preserve"> </v>
      </c>
      <c r="AA1286" s="12"/>
      <c r="AB1286" s="38">
        <v>151930500</v>
      </c>
      <c r="AC1286" s="37">
        <v>0.02</v>
      </c>
      <c r="AD1286" s="38">
        <f t="shared" si="20"/>
        <v>3038610</v>
      </c>
      <c r="AE1286" s="12"/>
      <c r="AF1286" s="12">
        <f>COUNTIF($A$20:A1286,A1286)</f>
        <v>11</v>
      </c>
      <c r="AG1286" s="38">
        <v>151930500</v>
      </c>
      <c r="AH1286" s="38">
        <f>Tabla4[[#This Row],[VALOR CONTRAPARTIDA]]+Tabla4[[#This Row],[TOTAL APORTES ICBF]]</f>
        <v>154969110</v>
      </c>
      <c r="AI1286" s="35"/>
      <c r="AJ1286" s="38"/>
      <c r="AK1286" s="38"/>
      <c r="AL1286" s="23"/>
      <c r="AM1286" s="35">
        <f>VLOOKUP(Tabla4[[#This Row],[SERVICIO 2025]],$J$2:$V$14,5,0)*Tabla4[[#This Row],[TOTAL COBERTURA]]</f>
        <v>4674400</v>
      </c>
      <c r="AN1286" s="35">
        <f>VLOOKUP(Tabla4[[#This Row],[SERVICIO 2025]],$J$2:$V$14,6,0)*Tabla4[[#This Row],[TOTAL COBERTURA]]</f>
        <v>3784100</v>
      </c>
      <c r="AO1286" s="35">
        <f>VLOOKUP(Tabla4[[#This Row],[SERVICIO 2025]],$J$2:$V$14,8,0)*Tabla4[[#This Row],[TOTAL COBERTURA]]</f>
        <v>0</v>
      </c>
      <c r="AP1286" s="35">
        <f>VLOOKUP(Tabla4[[#This Row],[SERVICIO 2025]],$J$2:$V$14,3,0)*Tabla4[[#This Row],[TOTAL COBERTURA]]*8</f>
        <v>143472000</v>
      </c>
      <c r="AQ1286" s="35"/>
      <c r="AR1286" s="35">
        <f>Tabla4[[#This Row],[VALOR FASE PREPARATORIA DE ALISTAMIENTO]]+Tabla4[[#This Row],[VALOR FASE PREPARATORIA DE CIERRE]]+Tabla4[[#This Row],[DOTACIÓN ÚNICA]]+Tabla4[[#This Row],[VALOR ATENCIÓN]]+Tabla4[[#This Row],[VALOR RACION PREPARADA]]</f>
        <v>151930500</v>
      </c>
      <c r="AS1286" s="35" t="str">
        <f>+IF(Tabla4[[#This Row],[AGRUPACIONES]]=1,SUMIFS(Tabla4[VALOR TOTAL],Tabla4[ZONA DEFINITIVO],Tabla4[[#This Row],[ZONA DEFINITIVO]])," ")</f>
        <v xml:space="preserve"> </v>
      </c>
      <c r="AT1286" s="27">
        <f>(VLOOKUP(Tabla4[[#This Row],[SERVICIO 2025]],$J$2:$V$14,3,0)*Tabla4[[#This Row],[TOTAL COBERTURA]])+Tabla4[[#This Row],[VALOR FASE PREPARATORIA DE ALISTAMIENTO]]+Tabla4[[#This Row],[DOTACIÓN ÚNICA]]</f>
        <v>22608400</v>
      </c>
      <c r="AU1286" s="35">
        <f>(VLOOKUP(Tabla4[[#This Row],[SERVICIO 2025]],$J$2:$V$14,3,0)*Tabla4[[#This Row],[TOTAL COBERTURA]])</f>
        <v>17934000</v>
      </c>
      <c r="AV1286" s="35">
        <f>(VLOOKUP(Tabla4[[#This Row],[SERVICIO 2025]],$J$2:$V$14,3,0)*Tabla4[[#This Row],[TOTAL COBERTURA]])</f>
        <v>17934000</v>
      </c>
      <c r="AW1286" s="35">
        <f>(VLOOKUP(Tabla4[[#This Row],[SERVICIO 2025]],$J$2:$V$14,3,0)*Tabla4[[#This Row],[TOTAL COBERTURA]])</f>
        <v>17934000</v>
      </c>
      <c r="AX1286" s="35">
        <f>(VLOOKUP(Tabla4[[#This Row],[SERVICIO 2025]],$J$2:$V$14,3,0)*Tabla4[[#This Row],[TOTAL COBERTURA]])</f>
        <v>17934000</v>
      </c>
      <c r="AY1286" s="35">
        <f>(VLOOKUP(Tabla4[[#This Row],[SERVICIO 2025]],$J$2:$V$14,3,0)*Tabla4[[#This Row],[TOTAL COBERTURA]])</f>
        <v>17934000</v>
      </c>
      <c r="AZ1286" s="35">
        <f>(VLOOKUP(Tabla4[[#This Row],[SERVICIO 2025]],$J$2:$V$14,3,0)*Tabla4[[#This Row],[TOTAL COBERTURA]])</f>
        <v>17934000</v>
      </c>
      <c r="BA1286" s="35">
        <f>(VLOOKUP(Tabla4[[#This Row],[SERVICIO 2025]],$J$2:$V$14,3,0)*Tabla4[[#This Row],[TOTAL COBERTURA]])+Tabla4[[#This Row],[VALOR FASE PREPARATORIA DE CIERRE]]</f>
        <v>21718100</v>
      </c>
      <c r="BB1286" s="35">
        <f>SUM(Tabla4[[#This Row],[DESEMBOLSO 1]:[DESEMBOLSO 8]])</f>
        <v>151930500</v>
      </c>
      <c r="BC1286" s="35">
        <f>VLOOKUP(Tabla4[[#This Row],[SERVICIO 2025]],$J$2:$V$14,10,0)*Tabla4[[#This Row],[TOTAL COBERTURA]]*$W$3</f>
        <v>150656800</v>
      </c>
      <c r="BD1286" s="47" t="s">
        <v>211</v>
      </c>
      <c r="BE1286" s="12" t="b">
        <f>EXACT(Tabla4[[#This Row],[VALOR ATENCIÓN (8 MESES)]],Tabla4[[#This Row],[VALOR TOTAL]])</f>
        <v>1</v>
      </c>
      <c r="BF1286" s="23">
        <f>Tabla4[[#This Row],[VALOR ATENCIÓN (8 MESES)]]-Tabla4[[#This Row],[VALOR TOTAL]]</f>
        <v>0</v>
      </c>
      <c r="BG1286" s="12" t="b">
        <f>EXACT(Tabla4[[#This Row],[TOTAL DESEMBOLSOS]],Tabla4[[#This Row],[VALOR ATENCIÓN (8 MESES)]])</f>
        <v>1</v>
      </c>
      <c r="BH1286" s="29">
        <f>Tabla4[[#This Row],[TOTAL DESEMBOLSOS]]-Tabla4[[#This Row],[VALOR ATENCIÓN (8 MESES)]]</f>
        <v>0</v>
      </c>
      <c r="BI1286" t="s">
        <v>98</v>
      </c>
      <c r="BJ1286">
        <v>2029</v>
      </c>
    </row>
    <row r="1287" spans="1:62">
      <c r="A1287" s="13">
        <v>2030</v>
      </c>
      <c r="B1287" s="13" t="s">
        <v>2789</v>
      </c>
      <c r="C1287" s="12" t="s">
        <v>87</v>
      </c>
      <c r="D1287" s="12" t="s">
        <v>88</v>
      </c>
      <c r="E1287" s="12" t="s">
        <v>2743</v>
      </c>
      <c r="F1287" s="12" t="s">
        <v>21</v>
      </c>
      <c r="G1287" s="12" t="s">
        <v>90</v>
      </c>
      <c r="H1287" s="12" t="s">
        <v>2790</v>
      </c>
      <c r="I1287" s="12">
        <v>50881119453</v>
      </c>
      <c r="J1287" s="12" t="s">
        <v>2791</v>
      </c>
      <c r="K1287" s="12">
        <v>1</v>
      </c>
      <c r="L1287" s="12">
        <v>50</v>
      </c>
      <c r="M1287" s="12"/>
      <c r="N1287" s="13">
        <v>2030</v>
      </c>
      <c r="O1287" s="12" t="s">
        <v>93</v>
      </c>
      <c r="P1287" s="12"/>
      <c r="Q1287" s="12"/>
      <c r="R1287" s="12" t="s">
        <v>94</v>
      </c>
      <c r="S1287" s="12">
        <v>10</v>
      </c>
      <c r="T1287" s="12" t="s">
        <v>2792</v>
      </c>
      <c r="U1287" s="12" t="s">
        <v>2793</v>
      </c>
      <c r="V1287" s="12">
        <f>VLOOKUP(Tabla4[[#This Row],[ZONA DEFINITIVO]],Hoja1!$A$1:$D$121,3,0)</f>
        <v>229175</v>
      </c>
      <c r="W1287" s="12">
        <f>VLOOKUP(Tabla4[[#This Row],[ZONA DEFINITIVO]],Hoja1!$A$1:$D$121,2,0)</f>
        <v>15230</v>
      </c>
      <c r="X1287" s="12">
        <f>VLOOKUP(Tabla4[[#This Row],[ZONA DEFINITIVO]],Hoja1!$A$1:$D$121,4,0)</f>
        <v>87125</v>
      </c>
      <c r="Y1287" s="12">
        <f>+IF(Tabla4[[#This Row],[AGRUPACIONES]]=1,SUMIFS(Tabla4[UDS],Tabla4[ZONA DEFINITIVO],Tabla4[[#This Row],[ZONA DEFINITIVO]])," ")</f>
        <v>20</v>
      </c>
      <c r="Z1287" s="12">
        <f>+IF(Tabla4[[#This Row],[AGRUPACIONES]]=1,SUMIFS(Tabla4[TOTAL COBERTURA],Tabla4[ZONA DEFINITIVO],Tabla4[[#This Row],[ZONA DEFINITIVO]])," ")</f>
        <v>959</v>
      </c>
      <c r="AA1287" s="12"/>
      <c r="AB1287" s="38">
        <v>75965250</v>
      </c>
      <c r="AC1287" s="37">
        <v>0.02</v>
      </c>
      <c r="AD1287" s="38">
        <f t="shared" si="20"/>
        <v>1519305</v>
      </c>
      <c r="AE1287" s="12"/>
      <c r="AF1287" s="12">
        <f>COUNTIF($A$20:A1287,A1287)</f>
        <v>1</v>
      </c>
      <c r="AG1287" s="38">
        <v>75965250</v>
      </c>
      <c r="AH1287" s="38">
        <f>Tabla4[[#This Row],[VALOR CONTRAPARTIDA]]+Tabla4[[#This Row],[TOTAL APORTES ICBF]]</f>
        <v>77484555</v>
      </c>
      <c r="AI1287" s="35">
        <f>ROUND(+IF(Tabla4[[#This Row],[AGRUPACIONES]]=1,SUMIFS(Tabla4[TOTAL APORTES ICBF],Tabla4[ZONA DEFINITIVO],Tabla4[[#This Row],[ZONA DEFINITIVO]])," "),0)</f>
        <v>1457013495</v>
      </c>
      <c r="AJ1287" s="38">
        <f>ROUND(+IF(Tabla4[[#This Row],[AGRUPACIONES]]=1,SUMIFS(Tabla4[VALOR CONTRAPARTIDA],Tabla4[ZONA DEFINITIVO],Tabla4[[#This Row],[ZONA DEFINITIVO]])," "),0)</f>
        <v>29140270</v>
      </c>
      <c r="AK1287" s="38">
        <f>Tabla4[[#This Row],[TOTAL APORTES ICBF AGRUPADO]]+Tabla4[[#This Row],[TOTAL CONTRAPARTIDA AGRUPADO]]</f>
        <v>1486153765</v>
      </c>
      <c r="AL1287" s="23">
        <f>Tabla4[[#This Row],[TOTAL APORTES ICBF AGRUPADO]]/$AL$18</f>
        <v>1023.5430242360379</v>
      </c>
      <c r="AM1287" s="35">
        <f>VLOOKUP(Tabla4[[#This Row],[SERVICIO 2025]],$J$2:$V$14,5,0)*Tabla4[[#This Row],[TOTAL COBERTURA]]</f>
        <v>2337200</v>
      </c>
      <c r="AN1287" s="35">
        <f>VLOOKUP(Tabla4[[#This Row],[SERVICIO 2025]],$J$2:$V$14,6,0)*Tabla4[[#This Row],[TOTAL COBERTURA]]</f>
        <v>1892050</v>
      </c>
      <c r="AO1287" s="35">
        <f>VLOOKUP(Tabla4[[#This Row],[SERVICIO 2025]],$J$2:$V$14,8,0)*Tabla4[[#This Row],[TOTAL COBERTURA]]</f>
        <v>0</v>
      </c>
      <c r="AP1287" s="35">
        <f>VLOOKUP(Tabla4[[#This Row],[SERVICIO 2025]],$J$2:$V$14,3,0)*Tabla4[[#This Row],[TOTAL COBERTURA]]*8</f>
        <v>71736000</v>
      </c>
      <c r="AQ1287" s="35"/>
      <c r="AR1287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1287" s="35">
        <f>+IF(Tabla4[[#This Row],[AGRUPACIONES]]=1,SUMIFS(Tabla4[VALOR TOTAL],Tabla4[ZONA DEFINITIVO],Tabla4[[#This Row],[ZONA DEFINITIVO]])," ")</f>
        <v>1457013495</v>
      </c>
      <c r="AT1287" s="27">
        <f>(VLOOKUP(Tabla4[[#This Row],[SERVICIO 2025]],$J$2:$V$14,3,0)*Tabla4[[#This Row],[TOTAL COBERTURA]])+Tabla4[[#This Row],[VALOR FASE PREPARATORIA DE ALISTAMIENTO]]+Tabla4[[#This Row],[DOTACIÓN ÚNICA]]</f>
        <v>11304200</v>
      </c>
      <c r="AU1287" s="35">
        <f>(VLOOKUP(Tabla4[[#This Row],[SERVICIO 2025]],$J$2:$V$14,3,0)*Tabla4[[#This Row],[TOTAL COBERTURA]])</f>
        <v>8967000</v>
      </c>
      <c r="AV1287" s="35">
        <f>(VLOOKUP(Tabla4[[#This Row],[SERVICIO 2025]],$J$2:$V$14,3,0)*Tabla4[[#This Row],[TOTAL COBERTURA]])</f>
        <v>8967000</v>
      </c>
      <c r="AW1287" s="35">
        <f>(VLOOKUP(Tabla4[[#This Row],[SERVICIO 2025]],$J$2:$V$14,3,0)*Tabla4[[#This Row],[TOTAL COBERTURA]])</f>
        <v>8967000</v>
      </c>
      <c r="AX1287" s="35">
        <f>(VLOOKUP(Tabla4[[#This Row],[SERVICIO 2025]],$J$2:$V$14,3,0)*Tabla4[[#This Row],[TOTAL COBERTURA]])</f>
        <v>8967000</v>
      </c>
      <c r="AY1287" s="35">
        <f>(VLOOKUP(Tabla4[[#This Row],[SERVICIO 2025]],$J$2:$V$14,3,0)*Tabla4[[#This Row],[TOTAL COBERTURA]])</f>
        <v>8967000</v>
      </c>
      <c r="AZ1287" s="35">
        <f>(VLOOKUP(Tabla4[[#This Row],[SERVICIO 2025]],$J$2:$V$14,3,0)*Tabla4[[#This Row],[TOTAL COBERTURA]])</f>
        <v>8967000</v>
      </c>
      <c r="BA1287" s="35">
        <f>(VLOOKUP(Tabla4[[#This Row],[SERVICIO 2025]],$J$2:$V$14,3,0)*Tabla4[[#This Row],[TOTAL COBERTURA]])+Tabla4[[#This Row],[VALOR FASE PREPARATORIA DE CIERRE]]</f>
        <v>10859050</v>
      </c>
      <c r="BB1287" s="35">
        <f>SUM(Tabla4[[#This Row],[DESEMBOLSO 1]:[DESEMBOLSO 8]])</f>
        <v>75965250</v>
      </c>
      <c r="BC1287" s="35">
        <f>VLOOKUP(Tabla4[[#This Row],[SERVICIO 2025]],$J$2:$V$14,10,0)*Tabla4[[#This Row],[TOTAL COBERTURA]]*$W$3</f>
        <v>75328400</v>
      </c>
      <c r="BD1287" s="47" t="s">
        <v>211</v>
      </c>
      <c r="BE1287" s="12" t="b">
        <f>EXACT(Tabla4[[#This Row],[VALOR ATENCIÓN (8 MESES)]],Tabla4[[#This Row],[VALOR TOTAL]])</f>
        <v>1</v>
      </c>
      <c r="BF1287" s="23">
        <f>Tabla4[[#This Row],[VALOR ATENCIÓN (8 MESES)]]-Tabla4[[#This Row],[VALOR TOTAL]]</f>
        <v>0</v>
      </c>
      <c r="BG1287" s="12" t="b">
        <f>EXACT(Tabla4[[#This Row],[TOTAL DESEMBOLSOS]],Tabla4[[#This Row],[VALOR ATENCIÓN (8 MESES)]])</f>
        <v>1</v>
      </c>
      <c r="BH1287" s="29">
        <f>Tabla4[[#This Row],[TOTAL DESEMBOLSOS]]-Tabla4[[#This Row],[VALOR ATENCIÓN (8 MESES)]]</f>
        <v>0</v>
      </c>
      <c r="BI1287" t="s">
        <v>98</v>
      </c>
      <c r="BJ1287">
        <v>2030</v>
      </c>
    </row>
    <row r="1288" spans="1:62">
      <c r="A1288" s="13">
        <v>2030</v>
      </c>
      <c r="B1288" s="13" t="s">
        <v>2789</v>
      </c>
      <c r="C1288" s="12" t="s">
        <v>87</v>
      </c>
      <c r="D1288" s="12" t="s">
        <v>88</v>
      </c>
      <c r="E1288" s="12" t="s">
        <v>2743</v>
      </c>
      <c r="F1288" s="12" t="s">
        <v>21</v>
      </c>
      <c r="G1288" s="12" t="s">
        <v>90</v>
      </c>
      <c r="H1288" s="12" t="s">
        <v>2767</v>
      </c>
      <c r="I1288" s="12">
        <v>50881119467</v>
      </c>
      <c r="J1288" s="12" t="s">
        <v>2794</v>
      </c>
      <c r="K1288" s="12">
        <v>1</v>
      </c>
      <c r="L1288" s="12">
        <v>52</v>
      </c>
      <c r="M1288" s="12"/>
      <c r="N1288" s="13">
        <v>2030</v>
      </c>
      <c r="O1288" s="12" t="s">
        <v>93</v>
      </c>
      <c r="P1288" s="12"/>
      <c r="Q1288" s="12"/>
      <c r="R1288" s="12" t="s">
        <v>94</v>
      </c>
      <c r="S1288" s="12">
        <v>10</v>
      </c>
      <c r="T1288" s="12" t="s">
        <v>2792</v>
      </c>
      <c r="U1288" s="12" t="s">
        <v>2793</v>
      </c>
      <c r="V1288" s="12">
        <f>VLOOKUP(Tabla4[[#This Row],[ZONA DEFINITIVO]],Hoja1!$A$1:$D$121,3,0)</f>
        <v>229175</v>
      </c>
      <c r="W1288" s="12">
        <f>VLOOKUP(Tabla4[[#This Row],[ZONA DEFINITIVO]],Hoja1!$A$1:$D$121,2,0)</f>
        <v>15230</v>
      </c>
      <c r="X1288" s="12">
        <f>VLOOKUP(Tabla4[[#This Row],[ZONA DEFINITIVO]],Hoja1!$A$1:$D$121,4,0)</f>
        <v>87125</v>
      </c>
      <c r="Y1288" s="12" t="str">
        <f>+IF(Tabla4[[#This Row],[AGRUPACIONES]]=1,SUMIFS(Tabla4[UDS],Tabla4[ZONA DEFINITIVO],Tabla4[[#This Row],[ZONA DEFINITIVO]])," ")</f>
        <v xml:space="preserve"> </v>
      </c>
      <c r="Z1288" s="12" t="str">
        <f>+IF(Tabla4[[#This Row],[AGRUPACIONES]]=1,SUMIFS(Tabla4[TOTAL COBERTURA],Tabla4[ZONA DEFINITIVO],Tabla4[[#This Row],[ZONA DEFINITIVO]])," ")</f>
        <v xml:space="preserve"> </v>
      </c>
      <c r="AA1288" s="12"/>
      <c r="AB1288" s="38">
        <v>79003860</v>
      </c>
      <c r="AC1288" s="37">
        <v>0.02</v>
      </c>
      <c r="AD1288" s="38">
        <f t="shared" si="20"/>
        <v>1580077.2</v>
      </c>
      <c r="AE1288" s="12"/>
      <c r="AF1288" s="12">
        <f>COUNTIF($A$20:A1288,A1288)</f>
        <v>2</v>
      </c>
      <c r="AG1288" s="38">
        <v>79003860</v>
      </c>
      <c r="AH1288" s="38">
        <f>Tabla4[[#This Row],[VALOR CONTRAPARTIDA]]+Tabla4[[#This Row],[TOTAL APORTES ICBF]]</f>
        <v>80583937.200000003</v>
      </c>
      <c r="AI1288" s="35"/>
      <c r="AJ1288" s="38"/>
      <c r="AK1288" s="38"/>
      <c r="AL1288" s="23"/>
      <c r="AM1288" s="35">
        <f>VLOOKUP(Tabla4[[#This Row],[SERVICIO 2025]],$J$2:$V$14,5,0)*Tabla4[[#This Row],[TOTAL COBERTURA]]</f>
        <v>2430688</v>
      </c>
      <c r="AN1288" s="35">
        <f>VLOOKUP(Tabla4[[#This Row],[SERVICIO 2025]],$J$2:$V$14,6,0)*Tabla4[[#This Row],[TOTAL COBERTURA]]</f>
        <v>1967732</v>
      </c>
      <c r="AO1288" s="35">
        <f>VLOOKUP(Tabla4[[#This Row],[SERVICIO 2025]],$J$2:$V$14,8,0)*Tabla4[[#This Row],[TOTAL COBERTURA]]</f>
        <v>0</v>
      </c>
      <c r="AP1288" s="35">
        <f>VLOOKUP(Tabla4[[#This Row],[SERVICIO 2025]],$J$2:$V$14,3,0)*Tabla4[[#This Row],[TOTAL COBERTURA]]*8</f>
        <v>74605440</v>
      </c>
      <c r="AQ1288" s="35"/>
      <c r="AR1288" s="35">
        <f>Tabla4[[#This Row],[VALOR FASE PREPARATORIA DE ALISTAMIENTO]]+Tabla4[[#This Row],[VALOR FASE PREPARATORIA DE CIERRE]]+Tabla4[[#This Row],[DOTACIÓN ÚNICA]]+Tabla4[[#This Row],[VALOR ATENCIÓN]]+Tabla4[[#This Row],[VALOR RACION PREPARADA]]</f>
        <v>79003860</v>
      </c>
      <c r="AS1288" s="35" t="str">
        <f>+IF(Tabla4[[#This Row],[AGRUPACIONES]]=1,SUMIFS(Tabla4[VALOR TOTAL],Tabla4[ZONA DEFINITIVO],Tabla4[[#This Row],[ZONA DEFINITIVO]])," ")</f>
        <v xml:space="preserve"> </v>
      </c>
      <c r="AT1288" s="27">
        <f>(VLOOKUP(Tabla4[[#This Row],[SERVICIO 2025]],$J$2:$V$14,3,0)*Tabla4[[#This Row],[TOTAL COBERTURA]])+Tabla4[[#This Row],[VALOR FASE PREPARATORIA DE ALISTAMIENTO]]+Tabla4[[#This Row],[DOTACIÓN ÚNICA]]</f>
        <v>11756368</v>
      </c>
      <c r="AU1288" s="35">
        <f>(VLOOKUP(Tabla4[[#This Row],[SERVICIO 2025]],$J$2:$V$14,3,0)*Tabla4[[#This Row],[TOTAL COBERTURA]])</f>
        <v>9325680</v>
      </c>
      <c r="AV1288" s="35">
        <f>(VLOOKUP(Tabla4[[#This Row],[SERVICIO 2025]],$J$2:$V$14,3,0)*Tabla4[[#This Row],[TOTAL COBERTURA]])</f>
        <v>9325680</v>
      </c>
      <c r="AW1288" s="35">
        <f>(VLOOKUP(Tabla4[[#This Row],[SERVICIO 2025]],$J$2:$V$14,3,0)*Tabla4[[#This Row],[TOTAL COBERTURA]])</f>
        <v>9325680</v>
      </c>
      <c r="AX1288" s="35">
        <f>(VLOOKUP(Tabla4[[#This Row],[SERVICIO 2025]],$J$2:$V$14,3,0)*Tabla4[[#This Row],[TOTAL COBERTURA]])</f>
        <v>9325680</v>
      </c>
      <c r="AY1288" s="35">
        <f>(VLOOKUP(Tabla4[[#This Row],[SERVICIO 2025]],$J$2:$V$14,3,0)*Tabla4[[#This Row],[TOTAL COBERTURA]])</f>
        <v>9325680</v>
      </c>
      <c r="AZ1288" s="35">
        <f>(VLOOKUP(Tabla4[[#This Row],[SERVICIO 2025]],$J$2:$V$14,3,0)*Tabla4[[#This Row],[TOTAL COBERTURA]])</f>
        <v>9325680</v>
      </c>
      <c r="BA1288" s="35">
        <f>(VLOOKUP(Tabla4[[#This Row],[SERVICIO 2025]],$J$2:$V$14,3,0)*Tabla4[[#This Row],[TOTAL COBERTURA]])+Tabla4[[#This Row],[VALOR FASE PREPARATORIA DE CIERRE]]</f>
        <v>11293412</v>
      </c>
      <c r="BB1288" s="35">
        <f>SUM(Tabla4[[#This Row],[DESEMBOLSO 1]:[DESEMBOLSO 8]])</f>
        <v>79003860</v>
      </c>
      <c r="BC1288" s="35">
        <f>VLOOKUP(Tabla4[[#This Row],[SERVICIO 2025]],$J$2:$V$14,10,0)*Tabla4[[#This Row],[TOTAL COBERTURA]]*$W$3</f>
        <v>78341536</v>
      </c>
      <c r="BD1288" s="47" t="s">
        <v>211</v>
      </c>
      <c r="BE1288" s="12" t="b">
        <f>EXACT(Tabla4[[#This Row],[VALOR ATENCIÓN (8 MESES)]],Tabla4[[#This Row],[VALOR TOTAL]])</f>
        <v>1</v>
      </c>
      <c r="BF1288" s="23">
        <f>Tabla4[[#This Row],[VALOR ATENCIÓN (8 MESES)]]-Tabla4[[#This Row],[VALOR TOTAL]]</f>
        <v>0</v>
      </c>
      <c r="BG1288" s="12" t="b">
        <f>EXACT(Tabla4[[#This Row],[TOTAL DESEMBOLSOS]],Tabla4[[#This Row],[VALOR ATENCIÓN (8 MESES)]])</f>
        <v>1</v>
      </c>
      <c r="BH1288" s="29">
        <f>Tabla4[[#This Row],[TOTAL DESEMBOLSOS]]-Tabla4[[#This Row],[VALOR ATENCIÓN (8 MESES)]]</f>
        <v>0</v>
      </c>
      <c r="BI1288" t="s">
        <v>98</v>
      </c>
      <c r="BJ1288">
        <v>2030</v>
      </c>
    </row>
    <row r="1289" spans="1:62">
      <c r="A1289" s="13">
        <v>2030</v>
      </c>
      <c r="B1289" s="13" t="s">
        <v>2789</v>
      </c>
      <c r="C1289" s="12" t="s">
        <v>87</v>
      </c>
      <c r="D1289" s="12" t="s">
        <v>88</v>
      </c>
      <c r="E1289" s="12" t="s">
        <v>2743</v>
      </c>
      <c r="F1289" s="12" t="s">
        <v>21</v>
      </c>
      <c r="G1289" s="12" t="s">
        <v>90</v>
      </c>
      <c r="H1289" s="12" t="s">
        <v>2771</v>
      </c>
      <c r="I1289" s="12">
        <v>50881119474</v>
      </c>
      <c r="J1289" s="12" t="s">
        <v>2795</v>
      </c>
      <c r="K1289" s="12">
        <v>1</v>
      </c>
      <c r="L1289" s="12">
        <v>53</v>
      </c>
      <c r="M1289" s="12"/>
      <c r="N1289" s="13">
        <v>2030</v>
      </c>
      <c r="O1289" s="12" t="s">
        <v>93</v>
      </c>
      <c r="P1289" s="12"/>
      <c r="Q1289" s="12"/>
      <c r="R1289" s="12" t="s">
        <v>94</v>
      </c>
      <c r="S1289" s="12">
        <v>10</v>
      </c>
      <c r="T1289" s="12" t="s">
        <v>2792</v>
      </c>
      <c r="U1289" s="12" t="s">
        <v>2793</v>
      </c>
      <c r="V1289" s="12">
        <f>VLOOKUP(Tabla4[[#This Row],[ZONA DEFINITIVO]],Hoja1!$A$1:$D$121,3,0)</f>
        <v>229175</v>
      </c>
      <c r="W1289" s="12">
        <f>VLOOKUP(Tabla4[[#This Row],[ZONA DEFINITIVO]],Hoja1!$A$1:$D$121,2,0)</f>
        <v>15230</v>
      </c>
      <c r="X1289" s="12">
        <f>VLOOKUP(Tabla4[[#This Row],[ZONA DEFINITIVO]],Hoja1!$A$1:$D$121,4,0)</f>
        <v>87125</v>
      </c>
      <c r="Y1289" s="12" t="str">
        <f>+IF(Tabla4[[#This Row],[AGRUPACIONES]]=1,SUMIFS(Tabla4[UDS],Tabla4[ZONA DEFINITIVO],Tabla4[[#This Row],[ZONA DEFINITIVO]])," ")</f>
        <v xml:space="preserve"> </v>
      </c>
      <c r="Z1289" s="12" t="str">
        <f>+IF(Tabla4[[#This Row],[AGRUPACIONES]]=1,SUMIFS(Tabla4[TOTAL COBERTURA],Tabla4[ZONA DEFINITIVO],Tabla4[[#This Row],[ZONA DEFINITIVO]])," ")</f>
        <v xml:space="preserve"> </v>
      </c>
      <c r="AA1289" s="12"/>
      <c r="AB1289" s="38">
        <v>80523165</v>
      </c>
      <c r="AC1289" s="37">
        <v>0.02</v>
      </c>
      <c r="AD1289" s="38">
        <f t="shared" si="20"/>
        <v>1610463.3</v>
      </c>
      <c r="AE1289" s="12"/>
      <c r="AF1289" s="12">
        <f>COUNTIF($A$20:A1289,A1289)</f>
        <v>3</v>
      </c>
      <c r="AG1289" s="38">
        <v>80523165</v>
      </c>
      <c r="AH1289" s="38">
        <f>Tabla4[[#This Row],[VALOR CONTRAPARTIDA]]+Tabla4[[#This Row],[TOTAL APORTES ICBF]]</f>
        <v>82133628.299999997</v>
      </c>
      <c r="AI1289" s="35"/>
      <c r="AJ1289" s="38"/>
      <c r="AK1289" s="38"/>
      <c r="AL1289" s="23"/>
      <c r="AM1289" s="35">
        <f>VLOOKUP(Tabla4[[#This Row],[SERVICIO 2025]],$J$2:$V$14,5,0)*Tabla4[[#This Row],[TOTAL COBERTURA]]</f>
        <v>2477432</v>
      </c>
      <c r="AN1289" s="35">
        <f>VLOOKUP(Tabla4[[#This Row],[SERVICIO 2025]],$J$2:$V$14,6,0)*Tabla4[[#This Row],[TOTAL COBERTURA]]</f>
        <v>2005573</v>
      </c>
      <c r="AO1289" s="35">
        <f>VLOOKUP(Tabla4[[#This Row],[SERVICIO 2025]],$J$2:$V$14,8,0)*Tabla4[[#This Row],[TOTAL COBERTURA]]</f>
        <v>0</v>
      </c>
      <c r="AP1289" s="35">
        <f>VLOOKUP(Tabla4[[#This Row],[SERVICIO 2025]],$J$2:$V$14,3,0)*Tabla4[[#This Row],[TOTAL COBERTURA]]*8</f>
        <v>76040160</v>
      </c>
      <c r="AQ1289" s="35"/>
      <c r="AR1289" s="35">
        <f>Tabla4[[#This Row],[VALOR FASE PREPARATORIA DE ALISTAMIENTO]]+Tabla4[[#This Row],[VALOR FASE PREPARATORIA DE CIERRE]]+Tabla4[[#This Row],[DOTACIÓN ÚNICA]]+Tabla4[[#This Row],[VALOR ATENCIÓN]]+Tabla4[[#This Row],[VALOR RACION PREPARADA]]</f>
        <v>80523165</v>
      </c>
      <c r="AS1289" s="35" t="str">
        <f>+IF(Tabla4[[#This Row],[AGRUPACIONES]]=1,SUMIFS(Tabla4[VALOR TOTAL],Tabla4[ZONA DEFINITIVO],Tabla4[[#This Row],[ZONA DEFINITIVO]])," ")</f>
        <v xml:space="preserve"> </v>
      </c>
      <c r="AT1289" s="27">
        <f>(VLOOKUP(Tabla4[[#This Row],[SERVICIO 2025]],$J$2:$V$14,3,0)*Tabla4[[#This Row],[TOTAL COBERTURA]])+Tabla4[[#This Row],[VALOR FASE PREPARATORIA DE ALISTAMIENTO]]+Tabla4[[#This Row],[DOTACIÓN ÚNICA]]</f>
        <v>11982452</v>
      </c>
      <c r="AU1289" s="35">
        <f>(VLOOKUP(Tabla4[[#This Row],[SERVICIO 2025]],$J$2:$V$14,3,0)*Tabla4[[#This Row],[TOTAL COBERTURA]])</f>
        <v>9505020</v>
      </c>
      <c r="AV1289" s="35">
        <f>(VLOOKUP(Tabla4[[#This Row],[SERVICIO 2025]],$J$2:$V$14,3,0)*Tabla4[[#This Row],[TOTAL COBERTURA]])</f>
        <v>9505020</v>
      </c>
      <c r="AW1289" s="35">
        <f>(VLOOKUP(Tabla4[[#This Row],[SERVICIO 2025]],$J$2:$V$14,3,0)*Tabla4[[#This Row],[TOTAL COBERTURA]])</f>
        <v>9505020</v>
      </c>
      <c r="AX1289" s="35">
        <f>(VLOOKUP(Tabla4[[#This Row],[SERVICIO 2025]],$J$2:$V$14,3,0)*Tabla4[[#This Row],[TOTAL COBERTURA]])</f>
        <v>9505020</v>
      </c>
      <c r="AY1289" s="35">
        <f>(VLOOKUP(Tabla4[[#This Row],[SERVICIO 2025]],$J$2:$V$14,3,0)*Tabla4[[#This Row],[TOTAL COBERTURA]])</f>
        <v>9505020</v>
      </c>
      <c r="AZ1289" s="35">
        <f>(VLOOKUP(Tabla4[[#This Row],[SERVICIO 2025]],$J$2:$V$14,3,0)*Tabla4[[#This Row],[TOTAL COBERTURA]])</f>
        <v>9505020</v>
      </c>
      <c r="BA1289" s="35">
        <f>(VLOOKUP(Tabla4[[#This Row],[SERVICIO 2025]],$J$2:$V$14,3,0)*Tabla4[[#This Row],[TOTAL COBERTURA]])+Tabla4[[#This Row],[VALOR FASE PREPARATORIA DE CIERRE]]</f>
        <v>11510593</v>
      </c>
      <c r="BB1289" s="35">
        <f>SUM(Tabla4[[#This Row],[DESEMBOLSO 1]:[DESEMBOLSO 8]])</f>
        <v>80523165</v>
      </c>
      <c r="BC1289" s="35">
        <f>VLOOKUP(Tabla4[[#This Row],[SERVICIO 2025]],$J$2:$V$14,10,0)*Tabla4[[#This Row],[TOTAL COBERTURA]]*$W$3</f>
        <v>79848104</v>
      </c>
      <c r="BD1289" s="47" t="s">
        <v>211</v>
      </c>
      <c r="BE1289" s="12" t="b">
        <f>EXACT(Tabla4[[#This Row],[VALOR ATENCIÓN (8 MESES)]],Tabla4[[#This Row],[VALOR TOTAL]])</f>
        <v>1</v>
      </c>
      <c r="BF1289" s="23">
        <f>Tabla4[[#This Row],[VALOR ATENCIÓN (8 MESES)]]-Tabla4[[#This Row],[VALOR TOTAL]]</f>
        <v>0</v>
      </c>
      <c r="BG1289" s="12" t="b">
        <f>EXACT(Tabla4[[#This Row],[TOTAL DESEMBOLSOS]],Tabla4[[#This Row],[VALOR ATENCIÓN (8 MESES)]])</f>
        <v>1</v>
      </c>
      <c r="BH1289" s="29">
        <f>Tabla4[[#This Row],[TOTAL DESEMBOLSOS]]-Tabla4[[#This Row],[VALOR ATENCIÓN (8 MESES)]]</f>
        <v>0</v>
      </c>
      <c r="BI1289" t="s">
        <v>98</v>
      </c>
      <c r="BJ1289">
        <v>2030</v>
      </c>
    </row>
    <row r="1290" spans="1:62">
      <c r="A1290" s="13">
        <v>2030</v>
      </c>
      <c r="B1290" s="13" t="s">
        <v>2789</v>
      </c>
      <c r="C1290" s="12" t="s">
        <v>87</v>
      </c>
      <c r="D1290" s="12" t="s">
        <v>88</v>
      </c>
      <c r="E1290" s="12" t="s">
        <v>2743</v>
      </c>
      <c r="F1290" s="12" t="s">
        <v>21</v>
      </c>
      <c r="G1290" s="12" t="s">
        <v>90</v>
      </c>
      <c r="H1290" s="12" t="s">
        <v>2790</v>
      </c>
      <c r="I1290" s="12">
        <v>50881119477</v>
      </c>
      <c r="J1290" s="12" t="s">
        <v>2796</v>
      </c>
      <c r="K1290" s="12">
        <v>1</v>
      </c>
      <c r="L1290" s="12">
        <v>52</v>
      </c>
      <c r="M1290" s="12"/>
      <c r="N1290" s="13">
        <v>2030</v>
      </c>
      <c r="O1290" s="12" t="s">
        <v>93</v>
      </c>
      <c r="P1290" s="12"/>
      <c r="Q1290" s="12"/>
      <c r="R1290" s="12" t="s">
        <v>94</v>
      </c>
      <c r="S1290" s="12">
        <v>10</v>
      </c>
      <c r="T1290" s="12" t="s">
        <v>2792</v>
      </c>
      <c r="U1290" s="12" t="s">
        <v>2793</v>
      </c>
      <c r="V1290" s="12">
        <f>VLOOKUP(Tabla4[[#This Row],[ZONA DEFINITIVO]],Hoja1!$A$1:$D$121,3,0)</f>
        <v>229175</v>
      </c>
      <c r="W1290" s="12">
        <f>VLOOKUP(Tabla4[[#This Row],[ZONA DEFINITIVO]],Hoja1!$A$1:$D$121,2,0)</f>
        <v>15230</v>
      </c>
      <c r="X1290" s="12">
        <f>VLOOKUP(Tabla4[[#This Row],[ZONA DEFINITIVO]],Hoja1!$A$1:$D$121,4,0)</f>
        <v>87125</v>
      </c>
      <c r="Y1290" s="12" t="str">
        <f>+IF(Tabla4[[#This Row],[AGRUPACIONES]]=1,SUMIFS(Tabla4[UDS],Tabla4[ZONA DEFINITIVO],Tabla4[[#This Row],[ZONA DEFINITIVO]])," ")</f>
        <v xml:space="preserve"> </v>
      </c>
      <c r="Z1290" s="12" t="str">
        <f>+IF(Tabla4[[#This Row],[AGRUPACIONES]]=1,SUMIFS(Tabla4[TOTAL COBERTURA],Tabla4[ZONA DEFINITIVO],Tabla4[[#This Row],[ZONA DEFINITIVO]])," ")</f>
        <v xml:space="preserve"> </v>
      </c>
      <c r="AA1290" s="12"/>
      <c r="AB1290" s="38">
        <v>79003860</v>
      </c>
      <c r="AC1290" s="37">
        <v>0.02</v>
      </c>
      <c r="AD1290" s="38">
        <f t="shared" si="20"/>
        <v>1580077.2</v>
      </c>
      <c r="AE1290" s="12"/>
      <c r="AF1290" s="12">
        <f>COUNTIF($A$20:A1290,A1290)</f>
        <v>4</v>
      </c>
      <c r="AG1290" s="38">
        <v>79003860</v>
      </c>
      <c r="AH1290" s="38">
        <f>Tabla4[[#This Row],[VALOR CONTRAPARTIDA]]+Tabla4[[#This Row],[TOTAL APORTES ICBF]]</f>
        <v>80583937.200000003</v>
      </c>
      <c r="AI1290" s="35"/>
      <c r="AJ1290" s="38"/>
      <c r="AK1290" s="38"/>
      <c r="AL1290" s="23"/>
      <c r="AM1290" s="35">
        <f>VLOOKUP(Tabla4[[#This Row],[SERVICIO 2025]],$J$2:$V$14,5,0)*Tabla4[[#This Row],[TOTAL COBERTURA]]</f>
        <v>2430688</v>
      </c>
      <c r="AN1290" s="35">
        <f>VLOOKUP(Tabla4[[#This Row],[SERVICIO 2025]],$J$2:$V$14,6,0)*Tabla4[[#This Row],[TOTAL COBERTURA]]</f>
        <v>1967732</v>
      </c>
      <c r="AO1290" s="35">
        <f>VLOOKUP(Tabla4[[#This Row],[SERVICIO 2025]],$J$2:$V$14,8,0)*Tabla4[[#This Row],[TOTAL COBERTURA]]</f>
        <v>0</v>
      </c>
      <c r="AP1290" s="35">
        <f>VLOOKUP(Tabla4[[#This Row],[SERVICIO 2025]],$J$2:$V$14,3,0)*Tabla4[[#This Row],[TOTAL COBERTURA]]*8</f>
        <v>74605440</v>
      </c>
      <c r="AQ1290" s="35"/>
      <c r="AR1290" s="35">
        <f>Tabla4[[#This Row],[VALOR FASE PREPARATORIA DE ALISTAMIENTO]]+Tabla4[[#This Row],[VALOR FASE PREPARATORIA DE CIERRE]]+Tabla4[[#This Row],[DOTACIÓN ÚNICA]]+Tabla4[[#This Row],[VALOR ATENCIÓN]]+Tabla4[[#This Row],[VALOR RACION PREPARADA]]</f>
        <v>79003860</v>
      </c>
      <c r="AS1290" s="35" t="str">
        <f>+IF(Tabla4[[#This Row],[AGRUPACIONES]]=1,SUMIFS(Tabla4[VALOR TOTAL],Tabla4[ZONA DEFINITIVO],Tabla4[[#This Row],[ZONA DEFINITIVO]])," ")</f>
        <v xml:space="preserve"> </v>
      </c>
      <c r="AT1290" s="27">
        <f>(VLOOKUP(Tabla4[[#This Row],[SERVICIO 2025]],$J$2:$V$14,3,0)*Tabla4[[#This Row],[TOTAL COBERTURA]])+Tabla4[[#This Row],[VALOR FASE PREPARATORIA DE ALISTAMIENTO]]+Tabla4[[#This Row],[DOTACIÓN ÚNICA]]</f>
        <v>11756368</v>
      </c>
      <c r="AU1290" s="35">
        <f>(VLOOKUP(Tabla4[[#This Row],[SERVICIO 2025]],$J$2:$V$14,3,0)*Tabla4[[#This Row],[TOTAL COBERTURA]])</f>
        <v>9325680</v>
      </c>
      <c r="AV1290" s="35">
        <f>(VLOOKUP(Tabla4[[#This Row],[SERVICIO 2025]],$J$2:$V$14,3,0)*Tabla4[[#This Row],[TOTAL COBERTURA]])</f>
        <v>9325680</v>
      </c>
      <c r="AW1290" s="35">
        <f>(VLOOKUP(Tabla4[[#This Row],[SERVICIO 2025]],$J$2:$V$14,3,0)*Tabla4[[#This Row],[TOTAL COBERTURA]])</f>
        <v>9325680</v>
      </c>
      <c r="AX1290" s="35">
        <f>(VLOOKUP(Tabla4[[#This Row],[SERVICIO 2025]],$J$2:$V$14,3,0)*Tabla4[[#This Row],[TOTAL COBERTURA]])</f>
        <v>9325680</v>
      </c>
      <c r="AY1290" s="35">
        <f>(VLOOKUP(Tabla4[[#This Row],[SERVICIO 2025]],$J$2:$V$14,3,0)*Tabla4[[#This Row],[TOTAL COBERTURA]])</f>
        <v>9325680</v>
      </c>
      <c r="AZ1290" s="35">
        <f>(VLOOKUP(Tabla4[[#This Row],[SERVICIO 2025]],$J$2:$V$14,3,0)*Tabla4[[#This Row],[TOTAL COBERTURA]])</f>
        <v>9325680</v>
      </c>
      <c r="BA1290" s="35">
        <f>(VLOOKUP(Tabla4[[#This Row],[SERVICIO 2025]],$J$2:$V$14,3,0)*Tabla4[[#This Row],[TOTAL COBERTURA]])+Tabla4[[#This Row],[VALOR FASE PREPARATORIA DE CIERRE]]</f>
        <v>11293412</v>
      </c>
      <c r="BB1290" s="35">
        <f>SUM(Tabla4[[#This Row],[DESEMBOLSO 1]:[DESEMBOLSO 8]])</f>
        <v>79003860</v>
      </c>
      <c r="BC1290" s="35">
        <f>VLOOKUP(Tabla4[[#This Row],[SERVICIO 2025]],$J$2:$V$14,10,0)*Tabla4[[#This Row],[TOTAL COBERTURA]]*$W$3</f>
        <v>78341536</v>
      </c>
      <c r="BD1290" s="47" t="s">
        <v>211</v>
      </c>
      <c r="BE1290" s="12" t="b">
        <f>EXACT(Tabla4[[#This Row],[VALOR ATENCIÓN (8 MESES)]],Tabla4[[#This Row],[VALOR TOTAL]])</f>
        <v>1</v>
      </c>
      <c r="BF1290" s="23">
        <f>Tabla4[[#This Row],[VALOR ATENCIÓN (8 MESES)]]-Tabla4[[#This Row],[VALOR TOTAL]]</f>
        <v>0</v>
      </c>
      <c r="BG1290" s="12" t="b">
        <f>EXACT(Tabla4[[#This Row],[TOTAL DESEMBOLSOS]],Tabla4[[#This Row],[VALOR ATENCIÓN (8 MESES)]])</f>
        <v>1</v>
      </c>
      <c r="BH1290" s="29">
        <f>Tabla4[[#This Row],[TOTAL DESEMBOLSOS]]-Tabla4[[#This Row],[VALOR ATENCIÓN (8 MESES)]]</f>
        <v>0</v>
      </c>
      <c r="BI1290" t="s">
        <v>98</v>
      </c>
      <c r="BJ1290">
        <v>2030</v>
      </c>
    </row>
    <row r="1291" spans="1:62">
      <c r="A1291" s="13">
        <v>2030</v>
      </c>
      <c r="B1291" s="13" t="s">
        <v>2789</v>
      </c>
      <c r="C1291" s="12" t="s">
        <v>87</v>
      </c>
      <c r="D1291" s="12" t="s">
        <v>88</v>
      </c>
      <c r="E1291" s="12" t="s">
        <v>2743</v>
      </c>
      <c r="F1291" s="12" t="s">
        <v>21</v>
      </c>
      <c r="G1291" s="12" t="s">
        <v>90</v>
      </c>
      <c r="H1291" s="12" t="s">
        <v>2790</v>
      </c>
      <c r="I1291" s="12">
        <v>50881119479</v>
      </c>
      <c r="J1291" s="12" t="s">
        <v>2797</v>
      </c>
      <c r="K1291" s="12">
        <v>1</v>
      </c>
      <c r="L1291" s="12">
        <v>52</v>
      </c>
      <c r="M1291" s="12"/>
      <c r="N1291" s="13">
        <v>2030</v>
      </c>
      <c r="O1291" s="12" t="s">
        <v>93</v>
      </c>
      <c r="P1291" s="12"/>
      <c r="Q1291" s="12"/>
      <c r="R1291" s="12" t="s">
        <v>94</v>
      </c>
      <c r="S1291" s="12">
        <v>10</v>
      </c>
      <c r="T1291" s="12" t="s">
        <v>2792</v>
      </c>
      <c r="U1291" s="12" t="s">
        <v>2793</v>
      </c>
      <c r="V1291" s="12">
        <f>VLOOKUP(Tabla4[[#This Row],[ZONA DEFINITIVO]],Hoja1!$A$1:$D$121,3,0)</f>
        <v>229175</v>
      </c>
      <c r="W1291" s="12">
        <f>VLOOKUP(Tabla4[[#This Row],[ZONA DEFINITIVO]],Hoja1!$A$1:$D$121,2,0)</f>
        <v>15230</v>
      </c>
      <c r="X1291" s="12">
        <f>VLOOKUP(Tabla4[[#This Row],[ZONA DEFINITIVO]],Hoja1!$A$1:$D$121,4,0)</f>
        <v>87125</v>
      </c>
      <c r="Y1291" s="12" t="str">
        <f>+IF(Tabla4[[#This Row],[AGRUPACIONES]]=1,SUMIFS(Tabla4[UDS],Tabla4[ZONA DEFINITIVO],Tabla4[[#This Row],[ZONA DEFINITIVO]])," ")</f>
        <v xml:space="preserve"> </v>
      </c>
      <c r="Z1291" s="12" t="str">
        <f>+IF(Tabla4[[#This Row],[AGRUPACIONES]]=1,SUMIFS(Tabla4[TOTAL COBERTURA],Tabla4[ZONA DEFINITIVO],Tabla4[[#This Row],[ZONA DEFINITIVO]])," ")</f>
        <v xml:space="preserve"> </v>
      </c>
      <c r="AA1291" s="12"/>
      <c r="AB1291" s="38">
        <v>79003860</v>
      </c>
      <c r="AC1291" s="37">
        <v>0.02</v>
      </c>
      <c r="AD1291" s="38">
        <f t="shared" si="20"/>
        <v>1580077.2</v>
      </c>
      <c r="AE1291" s="12"/>
      <c r="AF1291" s="12">
        <f>COUNTIF($A$20:A1291,A1291)</f>
        <v>5</v>
      </c>
      <c r="AG1291" s="38">
        <v>79003860</v>
      </c>
      <c r="AH1291" s="38">
        <f>Tabla4[[#This Row],[VALOR CONTRAPARTIDA]]+Tabla4[[#This Row],[TOTAL APORTES ICBF]]</f>
        <v>80583937.200000003</v>
      </c>
      <c r="AI1291" s="35"/>
      <c r="AJ1291" s="38"/>
      <c r="AK1291" s="38"/>
      <c r="AL1291" s="23"/>
      <c r="AM1291" s="35">
        <f>VLOOKUP(Tabla4[[#This Row],[SERVICIO 2025]],$J$2:$V$14,5,0)*Tabla4[[#This Row],[TOTAL COBERTURA]]</f>
        <v>2430688</v>
      </c>
      <c r="AN1291" s="35">
        <f>VLOOKUP(Tabla4[[#This Row],[SERVICIO 2025]],$J$2:$V$14,6,0)*Tabla4[[#This Row],[TOTAL COBERTURA]]</f>
        <v>1967732</v>
      </c>
      <c r="AO1291" s="35">
        <f>VLOOKUP(Tabla4[[#This Row],[SERVICIO 2025]],$J$2:$V$14,8,0)*Tabla4[[#This Row],[TOTAL COBERTURA]]</f>
        <v>0</v>
      </c>
      <c r="AP1291" s="35">
        <f>VLOOKUP(Tabla4[[#This Row],[SERVICIO 2025]],$J$2:$V$14,3,0)*Tabla4[[#This Row],[TOTAL COBERTURA]]*8</f>
        <v>74605440</v>
      </c>
      <c r="AQ1291" s="35"/>
      <c r="AR1291" s="35">
        <f>Tabla4[[#This Row],[VALOR FASE PREPARATORIA DE ALISTAMIENTO]]+Tabla4[[#This Row],[VALOR FASE PREPARATORIA DE CIERRE]]+Tabla4[[#This Row],[DOTACIÓN ÚNICA]]+Tabla4[[#This Row],[VALOR ATENCIÓN]]+Tabla4[[#This Row],[VALOR RACION PREPARADA]]</f>
        <v>79003860</v>
      </c>
      <c r="AS1291" s="35" t="str">
        <f>+IF(Tabla4[[#This Row],[AGRUPACIONES]]=1,SUMIFS(Tabla4[VALOR TOTAL],Tabla4[ZONA DEFINITIVO],Tabla4[[#This Row],[ZONA DEFINITIVO]])," ")</f>
        <v xml:space="preserve"> </v>
      </c>
      <c r="AT1291" s="27">
        <f>(VLOOKUP(Tabla4[[#This Row],[SERVICIO 2025]],$J$2:$V$14,3,0)*Tabla4[[#This Row],[TOTAL COBERTURA]])+Tabla4[[#This Row],[VALOR FASE PREPARATORIA DE ALISTAMIENTO]]+Tabla4[[#This Row],[DOTACIÓN ÚNICA]]</f>
        <v>11756368</v>
      </c>
      <c r="AU1291" s="35">
        <f>(VLOOKUP(Tabla4[[#This Row],[SERVICIO 2025]],$J$2:$V$14,3,0)*Tabla4[[#This Row],[TOTAL COBERTURA]])</f>
        <v>9325680</v>
      </c>
      <c r="AV1291" s="35">
        <f>(VLOOKUP(Tabla4[[#This Row],[SERVICIO 2025]],$J$2:$V$14,3,0)*Tabla4[[#This Row],[TOTAL COBERTURA]])</f>
        <v>9325680</v>
      </c>
      <c r="AW1291" s="35">
        <f>(VLOOKUP(Tabla4[[#This Row],[SERVICIO 2025]],$J$2:$V$14,3,0)*Tabla4[[#This Row],[TOTAL COBERTURA]])</f>
        <v>9325680</v>
      </c>
      <c r="AX1291" s="35">
        <f>(VLOOKUP(Tabla4[[#This Row],[SERVICIO 2025]],$J$2:$V$14,3,0)*Tabla4[[#This Row],[TOTAL COBERTURA]])</f>
        <v>9325680</v>
      </c>
      <c r="AY1291" s="35">
        <f>(VLOOKUP(Tabla4[[#This Row],[SERVICIO 2025]],$J$2:$V$14,3,0)*Tabla4[[#This Row],[TOTAL COBERTURA]])</f>
        <v>9325680</v>
      </c>
      <c r="AZ1291" s="35">
        <f>(VLOOKUP(Tabla4[[#This Row],[SERVICIO 2025]],$J$2:$V$14,3,0)*Tabla4[[#This Row],[TOTAL COBERTURA]])</f>
        <v>9325680</v>
      </c>
      <c r="BA1291" s="35">
        <f>(VLOOKUP(Tabla4[[#This Row],[SERVICIO 2025]],$J$2:$V$14,3,0)*Tabla4[[#This Row],[TOTAL COBERTURA]])+Tabla4[[#This Row],[VALOR FASE PREPARATORIA DE CIERRE]]</f>
        <v>11293412</v>
      </c>
      <c r="BB1291" s="35">
        <f>SUM(Tabla4[[#This Row],[DESEMBOLSO 1]:[DESEMBOLSO 8]])</f>
        <v>79003860</v>
      </c>
      <c r="BC1291" s="35">
        <f>VLOOKUP(Tabla4[[#This Row],[SERVICIO 2025]],$J$2:$V$14,10,0)*Tabla4[[#This Row],[TOTAL COBERTURA]]*$W$3</f>
        <v>78341536</v>
      </c>
      <c r="BD1291" s="47" t="s">
        <v>211</v>
      </c>
      <c r="BE1291" s="12" t="b">
        <f>EXACT(Tabla4[[#This Row],[VALOR ATENCIÓN (8 MESES)]],Tabla4[[#This Row],[VALOR TOTAL]])</f>
        <v>1</v>
      </c>
      <c r="BF1291" s="23">
        <f>Tabla4[[#This Row],[VALOR ATENCIÓN (8 MESES)]]-Tabla4[[#This Row],[VALOR TOTAL]]</f>
        <v>0</v>
      </c>
      <c r="BG1291" s="12" t="b">
        <f>EXACT(Tabla4[[#This Row],[TOTAL DESEMBOLSOS]],Tabla4[[#This Row],[VALOR ATENCIÓN (8 MESES)]])</f>
        <v>1</v>
      </c>
      <c r="BH1291" s="29">
        <f>Tabla4[[#This Row],[TOTAL DESEMBOLSOS]]-Tabla4[[#This Row],[VALOR ATENCIÓN (8 MESES)]]</f>
        <v>0</v>
      </c>
      <c r="BI1291" t="s">
        <v>98</v>
      </c>
      <c r="BJ1291">
        <v>2030</v>
      </c>
    </row>
    <row r="1292" spans="1:62">
      <c r="A1292" s="13">
        <v>2030</v>
      </c>
      <c r="B1292" s="13" t="s">
        <v>2789</v>
      </c>
      <c r="C1292" s="12" t="s">
        <v>87</v>
      </c>
      <c r="D1292" s="12" t="s">
        <v>88</v>
      </c>
      <c r="E1292" s="12" t="s">
        <v>2743</v>
      </c>
      <c r="F1292" s="12" t="s">
        <v>21</v>
      </c>
      <c r="G1292" s="12" t="s">
        <v>90</v>
      </c>
      <c r="H1292" s="12" t="s">
        <v>2790</v>
      </c>
      <c r="I1292" s="12">
        <v>50881119480</v>
      </c>
      <c r="J1292" s="12" t="s">
        <v>2798</v>
      </c>
      <c r="K1292" s="12">
        <v>1</v>
      </c>
      <c r="L1292" s="12">
        <v>50</v>
      </c>
      <c r="M1292" s="12"/>
      <c r="N1292" s="13">
        <v>2030</v>
      </c>
      <c r="O1292" s="12" t="s">
        <v>93</v>
      </c>
      <c r="P1292" s="12"/>
      <c r="Q1292" s="12"/>
      <c r="R1292" s="12" t="s">
        <v>94</v>
      </c>
      <c r="S1292" s="12">
        <v>10</v>
      </c>
      <c r="T1292" s="12" t="s">
        <v>2792</v>
      </c>
      <c r="U1292" s="12" t="s">
        <v>2793</v>
      </c>
      <c r="V1292" s="12">
        <f>VLOOKUP(Tabla4[[#This Row],[ZONA DEFINITIVO]],Hoja1!$A$1:$D$121,3,0)</f>
        <v>229175</v>
      </c>
      <c r="W1292" s="12">
        <f>VLOOKUP(Tabla4[[#This Row],[ZONA DEFINITIVO]],Hoja1!$A$1:$D$121,2,0)</f>
        <v>15230</v>
      </c>
      <c r="X1292" s="12">
        <f>VLOOKUP(Tabla4[[#This Row],[ZONA DEFINITIVO]],Hoja1!$A$1:$D$121,4,0)</f>
        <v>87125</v>
      </c>
      <c r="Y1292" s="12" t="str">
        <f>+IF(Tabla4[[#This Row],[AGRUPACIONES]]=1,SUMIFS(Tabla4[UDS],Tabla4[ZONA DEFINITIVO],Tabla4[[#This Row],[ZONA DEFINITIVO]])," ")</f>
        <v xml:space="preserve"> </v>
      </c>
      <c r="Z1292" s="12" t="str">
        <f>+IF(Tabla4[[#This Row],[AGRUPACIONES]]=1,SUMIFS(Tabla4[TOTAL COBERTURA],Tabla4[ZONA DEFINITIVO],Tabla4[[#This Row],[ZONA DEFINITIVO]])," ")</f>
        <v xml:space="preserve"> </v>
      </c>
      <c r="AA1292" s="12"/>
      <c r="AB1292" s="38">
        <v>75965250</v>
      </c>
      <c r="AC1292" s="37">
        <v>0.02</v>
      </c>
      <c r="AD1292" s="38">
        <f t="shared" si="20"/>
        <v>1519305</v>
      </c>
      <c r="AE1292" s="12"/>
      <c r="AF1292" s="12">
        <f>COUNTIF($A$20:A1292,A1292)</f>
        <v>6</v>
      </c>
      <c r="AG1292" s="38">
        <v>75965250</v>
      </c>
      <c r="AH1292" s="38">
        <f>Tabla4[[#This Row],[VALOR CONTRAPARTIDA]]+Tabla4[[#This Row],[TOTAL APORTES ICBF]]</f>
        <v>77484555</v>
      </c>
      <c r="AI1292" s="35"/>
      <c r="AJ1292" s="38"/>
      <c r="AK1292" s="38"/>
      <c r="AL1292" s="23"/>
      <c r="AM1292" s="35">
        <f>VLOOKUP(Tabla4[[#This Row],[SERVICIO 2025]],$J$2:$V$14,5,0)*Tabla4[[#This Row],[TOTAL COBERTURA]]</f>
        <v>2337200</v>
      </c>
      <c r="AN1292" s="35">
        <f>VLOOKUP(Tabla4[[#This Row],[SERVICIO 2025]],$J$2:$V$14,6,0)*Tabla4[[#This Row],[TOTAL COBERTURA]]</f>
        <v>1892050</v>
      </c>
      <c r="AO1292" s="35">
        <f>VLOOKUP(Tabla4[[#This Row],[SERVICIO 2025]],$J$2:$V$14,8,0)*Tabla4[[#This Row],[TOTAL COBERTURA]]</f>
        <v>0</v>
      </c>
      <c r="AP1292" s="35">
        <f>VLOOKUP(Tabla4[[#This Row],[SERVICIO 2025]],$J$2:$V$14,3,0)*Tabla4[[#This Row],[TOTAL COBERTURA]]*8</f>
        <v>71736000</v>
      </c>
      <c r="AQ1292" s="35"/>
      <c r="AR1292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1292" s="35" t="str">
        <f>+IF(Tabla4[[#This Row],[AGRUPACIONES]]=1,SUMIFS(Tabla4[VALOR TOTAL],Tabla4[ZONA DEFINITIVO],Tabla4[[#This Row],[ZONA DEFINITIVO]])," ")</f>
        <v xml:space="preserve"> </v>
      </c>
      <c r="AT1292" s="27">
        <f>(VLOOKUP(Tabla4[[#This Row],[SERVICIO 2025]],$J$2:$V$14,3,0)*Tabla4[[#This Row],[TOTAL COBERTURA]])+Tabla4[[#This Row],[VALOR FASE PREPARATORIA DE ALISTAMIENTO]]+Tabla4[[#This Row],[DOTACIÓN ÚNICA]]</f>
        <v>11304200</v>
      </c>
      <c r="AU1292" s="35">
        <f>(VLOOKUP(Tabla4[[#This Row],[SERVICIO 2025]],$J$2:$V$14,3,0)*Tabla4[[#This Row],[TOTAL COBERTURA]])</f>
        <v>8967000</v>
      </c>
      <c r="AV1292" s="35">
        <f>(VLOOKUP(Tabla4[[#This Row],[SERVICIO 2025]],$J$2:$V$14,3,0)*Tabla4[[#This Row],[TOTAL COBERTURA]])</f>
        <v>8967000</v>
      </c>
      <c r="AW1292" s="35">
        <f>(VLOOKUP(Tabla4[[#This Row],[SERVICIO 2025]],$J$2:$V$14,3,0)*Tabla4[[#This Row],[TOTAL COBERTURA]])</f>
        <v>8967000</v>
      </c>
      <c r="AX1292" s="35">
        <f>(VLOOKUP(Tabla4[[#This Row],[SERVICIO 2025]],$J$2:$V$14,3,0)*Tabla4[[#This Row],[TOTAL COBERTURA]])</f>
        <v>8967000</v>
      </c>
      <c r="AY1292" s="35">
        <f>(VLOOKUP(Tabla4[[#This Row],[SERVICIO 2025]],$J$2:$V$14,3,0)*Tabla4[[#This Row],[TOTAL COBERTURA]])</f>
        <v>8967000</v>
      </c>
      <c r="AZ1292" s="35">
        <f>(VLOOKUP(Tabla4[[#This Row],[SERVICIO 2025]],$J$2:$V$14,3,0)*Tabla4[[#This Row],[TOTAL COBERTURA]])</f>
        <v>8967000</v>
      </c>
      <c r="BA1292" s="35">
        <f>(VLOOKUP(Tabla4[[#This Row],[SERVICIO 2025]],$J$2:$V$14,3,0)*Tabla4[[#This Row],[TOTAL COBERTURA]])+Tabla4[[#This Row],[VALOR FASE PREPARATORIA DE CIERRE]]</f>
        <v>10859050</v>
      </c>
      <c r="BB1292" s="35">
        <f>SUM(Tabla4[[#This Row],[DESEMBOLSO 1]:[DESEMBOLSO 8]])</f>
        <v>75965250</v>
      </c>
      <c r="BC1292" s="35">
        <f>VLOOKUP(Tabla4[[#This Row],[SERVICIO 2025]],$J$2:$V$14,10,0)*Tabla4[[#This Row],[TOTAL COBERTURA]]*$W$3</f>
        <v>75328400</v>
      </c>
      <c r="BD1292" s="47" t="s">
        <v>211</v>
      </c>
      <c r="BE1292" s="12" t="b">
        <f>EXACT(Tabla4[[#This Row],[VALOR ATENCIÓN (8 MESES)]],Tabla4[[#This Row],[VALOR TOTAL]])</f>
        <v>1</v>
      </c>
      <c r="BF1292" s="23">
        <f>Tabla4[[#This Row],[VALOR ATENCIÓN (8 MESES)]]-Tabla4[[#This Row],[VALOR TOTAL]]</f>
        <v>0</v>
      </c>
      <c r="BG1292" s="12" t="b">
        <f>EXACT(Tabla4[[#This Row],[TOTAL DESEMBOLSOS]],Tabla4[[#This Row],[VALOR ATENCIÓN (8 MESES)]])</f>
        <v>1</v>
      </c>
      <c r="BH1292" s="29">
        <f>Tabla4[[#This Row],[TOTAL DESEMBOLSOS]]-Tabla4[[#This Row],[VALOR ATENCIÓN (8 MESES)]]</f>
        <v>0</v>
      </c>
      <c r="BI1292" t="s">
        <v>98</v>
      </c>
      <c r="BJ1292">
        <v>2030</v>
      </c>
    </row>
    <row r="1293" spans="1:62">
      <c r="A1293" s="13">
        <v>2030</v>
      </c>
      <c r="B1293" s="13" t="s">
        <v>2789</v>
      </c>
      <c r="C1293" s="12" t="s">
        <v>87</v>
      </c>
      <c r="D1293" s="12" t="s">
        <v>88</v>
      </c>
      <c r="E1293" s="12" t="s">
        <v>2743</v>
      </c>
      <c r="F1293" s="12" t="s">
        <v>21</v>
      </c>
      <c r="G1293" s="12" t="s">
        <v>90</v>
      </c>
      <c r="H1293" s="12" t="s">
        <v>2799</v>
      </c>
      <c r="I1293" s="12">
        <v>50881135621</v>
      </c>
      <c r="J1293" s="12" t="s">
        <v>2800</v>
      </c>
      <c r="K1293" s="12">
        <v>1</v>
      </c>
      <c r="L1293" s="12">
        <v>33</v>
      </c>
      <c r="M1293" s="12"/>
      <c r="N1293" s="13">
        <v>2030</v>
      </c>
      <c r="O1293" s="12" t="s">
        <v>93</v>
      </c>
      <c r="P1293" s="12"/>
      <c r="Q1293" s="12"/>
      <c r="R1293" s="12" t="s">
        <v>94</v>
      </c>
      <c r="S1293" s="12">
        <v>10</v>
      </c>
      <c r="T1293" s="12" t="s">
        <v>2792</v>
      </c>
      <c r="U1293" s="12" t="s">
        <v>2793</v>
      </c>
      <c r="V1293" s="12">
        <f>VLOOKUP(Tabla4[[#This Row],[ZONA DEFINITIVO]],Hoja1!$A$1:$D$121,3,0)</f>
        <v>229175</v>
      </c>
      <c r="W1293" s="12">
        <f>VLOOKUP(Tabla4[[#This Row],[ZONA DEFINITIVO]],Hoja1!$A$1:$D$121,2,0)</f>
        <v>15230</v>
      </c>
      <c r="X1293" s="12">
        <f>VLOOKUP(Tabla4[[#This Row],[ZONA DEFINITIVO]],Hoja1!$A$1:$D$121,4,0)</f>
        <v>87125</v>
      </c>
      <c r="Y1293" s="12" t="str">
        <f>+IF(Tabla4[[#This Row],[AGRUPACIONES]]=1,SUMIFS(Tabla4[UDS],Tabla4[ZONA DEFINITIVO],Tabla4[[#This Row],[ZONA DEFINITIVO]])," ")</f>
        <v xml:space="preserve"> </v>
      </c>
      <c r="Z1293" s="12" t="str">
        <f>+IF(Tabla4[[#This Row],[AGRUPACIONES]]=1,SUMIFS(Tabla4[TOTAL COBERTURA],Tabla4[ZONA DEFINITIVO],Tabla4[[#This Row],[ZONA DEFINITIVO]])," ")</f>
        <v xml:space="preserve"> </v>
      </c>
      <c r="AA1293" s="12"/>
      <c r="AB1293" s="38">
        <v>50137065</v>
      </c>
      <c r="AC1293" s="37">
        <v>0.02</v>
      </c>
      <c r="AD1293" s="38">
        <f t="shared" si="20"/>
        <v>1002741.3</v>
      </c>
      <c r="AE1293" s="12"/>
      <c r="AF1293" s="12">
        <f>COUNTIF($A$20:A1293,A1293)</f>
        <v>7</v>
      </c>
      <c r="AG1293" s="38">
        <v>50137065</v>
      </c>
      <c r="AH1293" s="38">
        <f>Tabla4[[#This Row],[VALOR CONTRAPARTIDA]]+Tabla4[[#This Row],[TOTAL APORTES ICBF]]</f>
        <v>51139806.299999997</v>
      </c>
      <c r="AI1293" s="35"/>
      <c r="AJ1293" s="38"/>
      <c r="AK1293" s="38"/>
      <c r="AL1293" s="23"/>
      <c r="AM1293" s="35">
        <f>VLOOKUP(Tabla4[[#This Row],[SERVICIO 2025]],$J$2:$V$14,5,0)*Tabla4[[#This Row],[TOTAL COBERTURA]]</f>
        <v>1542552</v>
      </c>
      <c r="AN1293" s="35">
        <f>VLOOKUP(Tabla4[[#This Row],[SERVICIO 2025]],$J$2:$V$14,6,0)*Tabla4[[#This Row],[TOTAL COBERTURA]]</f>
        <v>1248753</v>
      </c>
      <c r="AO1293" s="35">
        <f>VLOOKUP(Tabla4[[#This Row],[SERVICIO 2025]],$J$2:$V$14,8,0)*Tabla4[[#This Row],[TOTAL COBERTURA]]</f>
        <v>0</v>
      </c>
      <c r="AP1293" s="35">
        <f>VLOOKUP(Tabla4[[#This Row],[SERVICIO 2025]],$J$2:$V$14,3,0)*Tabla4[[#This Row],[TOTAL COBERTURA]]*8</f>
        <v>47345760</v>
      </c>
      <c r="AQ1293" s="35"/>
      <c r="AR1293" s="35">
        <f>Tabla4[[#This Row],[VALOR FASE PREPARATORIA DE ALISTAMIENTO]]+Tabla4[[#This Row],[VALOR FASE PREPARATORIA DE CIERRE]]+Tabla4[[#This Row],[DOTACIÓN ÚNICA]]+Tabla4[[#This Row],[VALOR ATENCIÓN]]+Tabla4[[#This Row],[VALOR RACION PREPARADA]]</f>
        <v>50137065</v>
      </c>
      <c r="AS1293" s="35" t="str">
        <f>+IF(Tabla4[[#This Row],[AGRUPACIONES]]=1,SUMIFS(Tabla4[VALOR TOTAL],Tabla4[ZONA DEFINITIVO],Tabla4[[#This Row],[ZONA DEFINITIVO]])," ")</f>
        <v xml:space="preserve"> </v>
      </c>
      <c r="AT1293" s="27">
        <f>(VLOOKUP(Tabla4[[#This Row],[SERVICIO 2025]],$J$2:$V$14,3,0)*Tabla4[[#This Row],[TOTAL COBERTURA]])+Tabla4[[#This Row],[VALOR FASE PREPARATORIA DE ALISTAMIENTO]]+Tabla4[[#This Row],[DOTACIÓN ÚNICA]]</f>
        <v>7460772</v>
      </c>
      <c r="AU1293" s="35">
        <f>(VLOOKUP(Tabla4[[#This Row],[SERVICIO 2025]],$J$2:$V$14,3,0)*Tabla4[[#This Row],[TOTAL COBERTURA]])</f>
        <v>5918220</v>
      </c>
      <c r="AV1293" s="35">
        <f>(VLOOKUP(Tabla4[[#This Row],[SERVICIO 2025]],$J$2:$V$14,3,0)*Tabla4[[#This Row],[TOTAL COBERTURA]])</f>
        <v>5918220</v>
      </c>
      <c r="AW1293" s="35">
        <f>(VLOOKUP(Tabla4[[#This Row],[SERVICIO 2025]],$J$2:$V$14,3,0)*Tabla4[[#This Row],[TOTAL COBERTURA]])</f>
        <v>5918220</v>
      </c>
      <c r="AX1293" s="35">
        <f>(VLOOKUP(Tabla4[[#This Row],[SERVICIO 2025]],$J$2:$V$14,3,0)*Tabla4[[#This Row],[TOTAL COBERTURA]])</f>
        <v>5918220</v>
      </c>
      <c r="AY1293" s="35">
        <f>(VLOOKUP(Tabla4[[#This Row],[SERVICIO 2025]],$J$2:$V$14,3,0)*Tabla4[[#This Row],[TOTAL COBERTURA]])</f>
        <v>5918220</v>
      </c>
      <c r="AZ1293" s="35">
        <f>(VLOOKUP(Tabla4[[#This Row],[SERVICIO 2025]],$J$2:$V$14,3,0)*Tabla4[[#This Row],[TOTAL COBERTURA]])</f>
        <v>5918220</v>
      </c>
      <c r="BA1293" s="35">
        <f>(VLOOKUP(Tabla4[[#This Row],[SERVICIO 2025]],$J$2:$V$14,3,0)*Tabla4[[#This Row],[TOTAL COBERTURA]])+Tabla4[[#This Row],[VALOR FASE PREPARATORIA DE CIERRE]]</f>
        <v>7166973</v>
      </c>
      <c r="BB1293" s="35">
        <f>SUM(Tabla4[[#This Row],[DESEMBOLSO 1]:[DESEMBOLSO 8]])</f>
        <v>50137065</v>
      </c>
      <c r="BC1293" s="35">
        <f>VLOOKUP(Tabla4[[#This Row],[SERVICIO 2025]],$J$2:$V$14,10,0)*Tabla4[[#This Row],[TOTAL COBERTURA]]*$W$3</f>
        <v>49716744</v>
      </c>
      <c r="BD1293" s="47" t="s">
        <v>211</v>
      </c>
      <c r="BE1293" s="12" t="b">
        <f>EXACT(Tabla4[[#This Row],[VALOR ATENCIÓN (8 MESES)]],Tabla4[[#This Row],[VALOR TOTAL]])</f>
        <v>1</v>
      </c>
      <c r="BF1293" s="23">
        <f>Tabla4[[#This Row],[VALOR ATENCIÓN (8 MESES)]]-Tabla4[[#This Row],[VALOR TOTAL]]</f>
        <v>0</v>
      </c>
      <c r="BG1293" s="12" t="b">
        <f>EXACT(Tabla4[[#This Row],[TOTAL DESEMBOLSOS]],Tabla4[[#This Row],[VALOR ATENCIÓN (8 MESES)]])</f>
        <v>1</v>
      </c>
      <c r="BH1293" s="29">
        <f>Tabla4[[#This Row],[TOTAL DESEMBOLSOS]]-Tabla4[[#This Row],[VALOR ATENCIÓN (8 MESES)]]</f>
        <v>0</v>
      </c>
      <c r="BI1293" t="s">
        <v>98</v>
      </c>
      <c r="BJ1293">
        <v>2030</v>
      </c>
    </row>
    <row r="1294" spans="1:62">
      <c r="A1294" s="13">
        <v>2030</v>
      </c>
      <c r="B1294" s="13" t="s">
        <v>2789</v>
      </c>
      <c r="C1294" s="12" t="s">
        <v>87</v>
      </c>
      <c r="D1294" s="12" t="s">
        <v>88</v>
      </c>
      <c r="E1294" s="12" t="s">
        <v>2743</v>
      </c>
      <c r="F1294" s="12" t="s">
        <v>21</v>
      </c>
      <c r="G1294" s="12" t="s">
        <v>90</v>
      </c>
      <c r="H1294" s="12" t="s">
        <v>2801</v>
      </c>
      <c r="I1294" s="12">
        <v>50881135622</v>
      </c>
      <c r="J1294" s="12" t="s">
        <v>2802</v>
      </c>
      <c r="K1294" s="12">
        <v>1</v>
      </c>
      <c r="L1294" s="12">
        <v>16</v>
      </c>
      <c r="M1294" s="12"/>
      <c r="N1294" s="13">
        <v>2030</v>
      </c>
      <c r="O1294" s="12" t="s">
        <v>93</v>
      </c>
      <c r="P1294" s="12"/>
      <c r="Q1294" s="12"/>
      <c r="R1294" s="12" t="s">
        <v>94</v>
      </c>
      <c r="S1294" s="12">
        <v>10</v>
      </c>
      <c r="T1294" s="12" t="s">
        <v>2792</v>
      </c>
      <c r="U1294" s="12" t="s">
        <v>2793</v>
      </c>
      <c r="V1294" s="12">
        <f>VLOOKUP(Tabla4[[#This Row],[ZONA DEFINITIVO]],Hoja1!$A$1:$D$121,3,0)</f>
        <v>229175</v>
      </c>
      <c r="W1294" s="12">
        <f>VLOOKUP(Tabla4[[#This Row],[ZONA DEFINITIVO]],Hoja1!$A$1:$D$121,2,0)</f>
        <v>15230</v>
      </c>
      <c r="X1294" s="12">
        <f>VLOOKUP(Tabla4[[#This Row],[ZONA DEFINITIVO]],Hoja1!$A$1:$D$121,4,0)</f>
        <v>87125</v>
      </c>
      <c r="Y1294" s="12" t="str">
        <f>+IF(Tabla4[[#This Row],[AGRUPACIONES]]=1,SUMIFS(Tabla4[UDS],Tabla4[ZONA DEFINITIVO],Tabla4[[#This Row],[ZONA DEFINITIVO]])," ")</f>
        <v xml:space="preserve"> </v>
      </c>
      <c r="Z1294" s="12" t="str">
        <f>+IF(Tabla4[[#This Row],[AGRUPACIONES]]=1,SUMIFS(Tabla4[TOTAL COBERTURA],Tabla4[ZONA DEFINITIVO],Tabla4[[#This Row],[ZONA DEFINITIVO]])," ")</f>
        <v xml:space="preserve"> </v>
      </c>
      <c r="AA1294" s="12"/>
      <c r="AB1294" s="38">
        <v>24308880</v>
      </c>
      <c r="AC1294" s="37">
        <v>0.02</v>
      </c>
      <c r="AD1294" s="38">
        <f t="shared" si="20"/>
        <v>486177.60000000003</v>
      </c>
      <c r="AE1294" s="12"/>
      <c r="AF1294" s="12">
        <f>COUNTIF($A$20:A1294,A1294)</f>
        <v>8</v>
      </c>
      <c r="AG1294" s="38">
        <v>24308880</v>
      </c>
      <c r="AH1294" s="38">
        <f>Tabla4[[#This Row],[VALOR CONTRAPARTIDA]]+Tabla4[[#This Row],[TOTAL APORTES ICBF]]</f>
        <v>24795057.600000001</v>
      </c>
      <c r="AI1294" s="35"/>
      <c r="AJ1294" s="38"/>
      <c r="AK1294" s="38"/>
      <c r="AL1294" s="23"/>
      <c r="AM1294" s="35">
        <f>VLOOKUP(Tabla4[[#This Row],[SERVICIO 2025]],$J$2:$V$14,5,0)*Tabla4[[#This Row],[TOTAL COBERTURA]]</f>
        <v>747904</v>
      </c>
      <c r="AN1294" s="35">
        <f>VLOOKUP(Tabla4[[#This Row],[SERVICIO 2025]],$J$2:$V$14,6,0)*Tabla4[[#This Row],[TOTAL COBERTURA]]</f>
        <v>605456</v>
      </c>
      <c r="AO1294" s="35">
        <f>VLOOKUP(Tabla4[[#This Row],[SERVICIO 2025]],$J$2:$V$14,8,0)*Tabla4[[#This Row],[TOTAL COBERTURA]]</f>
        <v>0</v>
      </c>
      <c r="AP1294" s="35">
        <f>VLOOKUP(Tabla4[[#This Row],[SERVICIO 2025]],$J$2:$V$14,3,0)*Tabla4[[#This Row],[TOTAL COBERTURA]]*8</f>
        <v>22955520</v>
      </c>
      <c r="AQ1294" s="35"/>
      <c r="AR1294" s="35">
        <f>Tabla4[[#This Row],[VALOR FASE PREPARATORIA DE ALISTAMIENTO]]+Tabla4[[#This Row],[VALOR FASE PREPARATORIA DE CIERRE]]+Tabla4[[#This Row],[DOTACIÓN ÚNICA]]+Tabla4[[#This Row],[VALOR ATENCIÓN]]+Tabla4[[#This Row],[VALOR RACION PREPARADA]]</f>
        <v>24308880</v>
      </c>
      <c r="AS1294" s="35" t="str">
        <f>+IF(Tabla4[[#This Row],[AGRUPACIONES]]=1,SUMIFS(Tabla4[VALOR TOTAL],Tabla4[ZONA DEFINITIVO],Tabla4[[#This Row],[ZONA DEFINITIVO]])," ")</f>
        <v xml:space="preserve"> </v>
      </c>
      <c r="AT1294" s="27">
        <f>(VLOOKUP(Tabla4[[#This Row],[SERVICIO 2025]],$J$2:$V$14,3,0)*Tabla4[[#This Row],[TOTAL COBERTURA]])+Tabla4[[#This Row],[VALOR FASE PREPARATORIA DE ALISTAMIENTO]]+Tabla4[[#This Row],[DOTACIÓN ÚNICA]]</f>
        <v>3617344</v>
      </c>
      <c r="AU1294" s="35">
        <f>(VLOOKUP(Tabla4[[#This Row],[SERVICIO 2025]],$J$2:$V$14,3,0)*Tabla4[[#This Row],[TOTAL COBERTURA]])</f>
        <v>2869440</v>
      </c>
      <c r="AV1294" s="35">
        <f>(VLOOKUP(Tabla4[[#This Row],[SERVICIO 2025]],$J$2:$V$14,3,0)*Tabla4[[#This Row],[TOTAL COBERTURA]])</f>
        <v>2869440</v>
      </c>
      <c r="AW1294" s="35">
        <f>(VLOOKUP(Tabla4[[#This Row],[SERVICIO 2025]],$J$2:$V$14,3,0)*Tabla4[[#This Row],[TOTAL COBERTURA]])</f>
        <v>2869440</v>
      </c>
      <c r="AX1294" s="35">
        <f>(VLOOKUP(Tabla4[[#This Row],[SERVICIO 2025]],$J$2:$V$14,3,0)*Tabla4[[#This Row],[TOTAL COBERTURA]])</f>
        <v>2869440</v>
      </c>
      <c r="AY1294" s="35">
        <f>(VLOOKUP(Tabla4[[#This Row],[SERVICIO 2025]],$J$2:$V$14,3,0)*Tabla4[[#This Row],[TOTAL COBERTURA]])</f>
        <v>2869440</v>
      </c>
      <c r="AZ1294" s="35">
        <f>(VLOOKUP(Tabla4[[#This Row],[SERVICIO 2025]],$J$2:$V$14,3,0)*Tabla4[[#This Row],[TOTAL COBERTURA]])</f>
        <v>2869440</v>
      </c>
      <c r="BA1294" s="35">
        <f>(VLOOKUP(Tabla4[[#This Row],[SERVICIO 2025]],$J$2:$V$14,3,0)*Tabla4[[#This Row],[TOTAL COBERTURA]])+Tabla4[[#This Row],[VALOR FASE PREPARATORIA DE CIERRE]]</f>
        <v>3474896</v>
      </c>
      <c r="BB1294" s="35">
        <f>SUM(Tabla4[[#This Row],[DESEMBOLSO 1]:[DESEMBOLSO 8]])</f>
        <v>24308880</v>
      </c>
      <c r="BC1294" s="35">
        <f>VLOOKUP(Tabla4[[#This Row],[SERVICIO 2025]],$J$2:$V$14,10,0)*Tabla4[[#This Row],[TOTAL COBERTURA]]*$W$3</f>
        <v>24105088</v>
      </c>
      <c r="BD1294" s="47" t="s">
        <v>211</v>
      </c>
      <c r="BE1294" s="12" t="b">
        <f>EXACT(Tabla4[[#This Row],[VALOR ATENCIÓN (8 MESES)]],Tabla4[[#This Row],[VALOR TOTAL]])</f>
        <v>1</v>
      </c>
      <c r="BF1294" s="23">
        <f>Tabla4[[#This Row],[VALOR ATENCIÓN (8 MESES)]]-Tabla4[[#This Row],[VALOR TOTAL]]</f>
        <v>0</v>
      </c>
      <c r="BG1294" s="12" t="b">
        <f>EXACT(Tabla4[[#This Row],[TOTAL DESEMBOLSOS]],Tabla4[[#This Row],[VALOR ATENCIÓN (8 MESES)]])</f>
        <v>1</v>
      </c>
      <c r="BH1294" s="29">
        <f>Tabla4[[#This Row],[TOTAL DESEMBOLSOS]]-Tabla4[[#This Row],[VALOR ATENCIÓN (8 MESES)]]</f>
        <v>0</v>
      </c>
      <c r="BI1294" t="s">
        <v>98</v>
      </c>
      <c r="BJ1294">
        <v>2030</v>
      </c>
    </row>
    <row r="1295" spans="1:62">
      <c r="A1295" s="13">
        <v>2030</v>
      </c>
      <c r="B1295" s="13" t="s">
        <v>2789</v>
      </c>
      <c r="C1295" s="12" t="s">
        <v>87</v>
      </c>
      <c r="D1295" s="12" t="s">
        <v>88</v>
      </c>
      <c r="E1295" s="12" t="s">
        <v>2743</v>
      </c>
      <c r="F1295" s="12" t="s">
        <v>21</v>
      </c>
      <c r="G1295" s="12" t="s">
        <v>90</v>
      </c>
      <c r="H1295" s="12" t="s">
        <v>2803</v>
      </c>
      <c r="I1295" s="12">
        <v>50881136730</v>
      </c>
      <c r="J1295" s="12" t="s">
        <v>2804</v>
      </c>
      <c r="K1295" s="12">
        <v>1</v>
      </c>
      <c r="L1295" s="12">
        <v>50</v>
      </c>
      <c r="M1295" s="12"/>
      <c r="N1295" s="13">
        <v>2030</v>
      </c>
      <c r="O1295" s="12" t="s">
        <v>93</v>
      </c>
      <c r="P1295" s="12"/>
      <c r="Q1295" s="12"/>
      <c r="R1295" s="12" t="s">
        <v>94</v>
      </c>
      <c r="S1295" s="12">
        <v>10</v>
      </c>
      <c r="T1295" s="12" t="s">
        <v>2792</v>
      </c>
      <c r="U1295" s="12" t="s">
        <v>2793</v>
      </c>
      <c r="V1295" s="12">
        <f>VLOOKUP(Tabla4[[#This Row],[ZONA DEFINITIVO]],Hoja1!$A$1:$D$121,3,0)</f>
        <v>229175</v>
      </c>
      <c r="W1295" s="12">
        <f>VLOOKUP(Tabla4[[#This Row],[ZONA DEFINITIVO]],Hoja1!$A$1:$D$121,2,0)</f>
        <v>15230</v>
      </c>
      <c r="X1295" s="12">
        <f>VLOOKUP(Tabla4[[#This Row],[ZONA DEFINITIVO]],Hoja1!$A$1:$D$121,4,0)</f>
        <v>87125</v>
      </c>
      <c r="Y1295" s="12" t="str">
        <f>+IF(Tabla4[[#This Row],[AGRUPACIONES]]=1,SUMIFS(Tabla4[UDS],Tabla4[ZONA DEFINITIVO],Tabla4[[#This Row],[ZONA DEFINITIVO]])," ")</f>
        <v xml:space="preserve"> </v>
      </c>
      <c r="Z1295" s="12" t="str">
        <f>+IF(Tabla4[[#This Row],[AGRUPACIONES]]=1,SUMIFS(Tabla4[TOTAL COBERTURA],Tabla4[ZONA DEFINITIVO],Tabla4[[#This Row],[ZONA DEFINITIVO]])," ")</f>
        <v xml:space="preserve"> </v>
      </c>
      <c r="AA1295" s="12"/>
      <c r="AB1295" s="38">
        <v>75965250</v>
      </c>
      <c r="AC1295" s="37">
        <v>0.02</v>
      </c>
      <c r="AD1295" s="38">
        <f t="shared" si="20"/>
        <v>1519305</v>
      </c>
      <c r="AE1295" s="12"/>
      <c r="AF1295" s="12">
        <f>COUNTIF($A$20:A1295,A1295)</f>
        <v>9</v>
      </c>
      <c r="AG1295" s="38">
        <v>75965250</v>
      </c>
      <c r="AH1295" s="38">
        <f>Tabla4[[#This Row],[VALOR CONTRAPARTIDA]]+Tabla4[[#This Row],[TOTAL APORTES ICBF]]</f>
        <v>77484555</v>
      </c>
      <c r="AI1295" s="35"/>
      <c r="AJ1295" s="38"/>
      <c r="AK1295" s="38"/>
      <c r="AL1295" s="23"/>
      <c r="AM1295" s="35">
        <f>VLOOKUP(Tabla4[[#This Row],[SERVICIO 2025]],$J$2:$V$14,5,0)*Tabla4[[#This Row],[TOTAL COBERTURA]]</f>
        <v>2337200</v>
      </c>
      <c r="AN1295" s="35">
        <f>VLOOKUP(Tabla4[[#This Row],[SERVICIO 2025]],$J$2:$V$14,6,0)*Tabla4[[#This Row],[TOTAL COBERTURA]]</f>
        <v>1892050</v>
      </c>
      <c r="AO1295" s="35">
        <f>VLOOKUP(Tabla4[[#This Row],[SERVICIO 2025]],$J$2:$V$14,8,0)*Tabla4[[#This Row],[TOTAL COBERTURA]]</f>
        <v>0</v>
      </c>
      <c r="AP1295" s="35">
        <f>VLOOKUP(Tabla4[[#This Row],[SERVICIO 2025]],$J$2:$V$14,3,0)*Tabla4[[#This Row],[TOTAL COBERTURA]]*8</f>
        <v>71736000</v>
      </c>
      <c r="AQ1295" s="35"/>
      <c r="AR1295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1295" s="35" t="str">
        <f>+IF(Tabla4[[#This Row],[AGRUPACIONES]]=1,SUMIFS(Tabla4[VALOR TOTAL],Tabla4[ZONA DEFINITIVO],Tabla4[[#This Row],[ZONA DEFINITIVO]])," ")</f>
        <v xml:space="preserve"> </v>
      </c>
      <c r="AT1295" s="27">
        <f>(VLOOKUP(Tabla4[[#This Row],[SERVICIO 2025]],$J$2:$V$14,3,0)*Tabla4[[#This Row],[TOTAL COBERTURA]])+Tabla4[[#This Row],[VALOR FASE PREPARATORIA DE ALISTAMIENTO]]+Tabla4[[#This Row],[DOTACIÓN ÚNICA]]</f>
        <v>11304200</v>
      </c>
      <c r="AU1295" s="35">
        <f>(VLOOKUP(Tabla4[[#This Row],[SERVICIO 2025]],$J$2:$V$14,3,0)*Tabla4[[#This Row],[TOTAL COBERTURA]])</f>
        <v>8967000</v>
      </c>
      <c r="AV1295" s="35">
        <f>(VLOOKUP(Tabla4[[#This Row],[SERVICIO 2025]],$J$2:$V$14,3,0)*Tabla4[[#This Row],[TOTAL COBERTURA]])</f>
        <v>8967000</v>
      </c>
      <c r="AW1295" s="35">
        <f>(VLOOKUP(Tabla4[[#This Row],[SERVICIO 2025]],$J$2:$V$14,3,0)*Tabla4[[#This Row],[TOTAL COBERTURA]])</f>
        <v>8967000</v>
      </c>
      <c r="AX1295" s="35">
        <f>(VLOOKUP(Tabla4[[#This Row],[SERVICIO 2025]],$J$2:$V$14,3,0)*Tabla4[[#This Row],[TOTAL COBERTURA]])</f>
        <v>8967000</v>
      </c>
      <c r="AY1295" s="35">
        <f>(VLOOKUP(Tabla4[[#This Row],[SERVICIO 2025]],$J$2:$V$14,3,0)*Tabla4[[#This Row],[TOTAL COBERTURA]])</f>
        <v>8967000</v>
      </c>
      <c r="AZ1295" s="35">
        <f>(VLOOKUP(Tabla4[[#This Row],[SERVICIO 2025]],$J$2:$V$14,3,0)*Tabla4[[#This Row],[TOTAL COBERTURA]])</f>
        <v>8967000</v>
      </c>
      <c r="BA1295" s="35">
        <f>(VLOOKUP(Tabla4[[#This Row],[SERVICIO 2025]],$J$2:$V$14,3,0)*Tabla4[[#This Row],[TOTAL COBERTURA]])+Tabla4[[#This Row],[VALOR FASE PREPARATORIA DE CIERRE]]</f>
        <v>10859050</v>
      </c>
      <c r="BB1295" s="35">
        <f>SUM(Tabla4[[#This Row],[DESEMBOLSO 1]:[DESEMBOLSO 8]])</f>
        <v>75965250</v>
      </c>
      <c r="BC1295" s="35">
        <f>VLOOKUP(Tabla4[[#This Row],[SERVICIO 2025]],$J$2:$V$14,10,0)*Tabla4[[#This Row],[TOTAL COBERTURA]]*$W$3</f>
        <v>75328400</v>
      </c>
      <c r="BD1295" s="47" t="s">
        <v>211</v>
      </c>
      <c r="BE1295" s="12" t="b">
        <f>EXACT(Tabla4[[#This Row],[VALOR ATENCIÓN (8 MESES)]],Tabla4[[#This Row],[VALOR TOTAL]])</f>
        <v>1</v>
      </c>
      <c r="BF1295" s="23">
        <f>Tabla4[[#This Row],[VALOR ATENCIÓN (8 MESES)]]-Tabla4[[#This Row],[VALOR TOTAL]]</f>
        <v>0</v>
      </c>
      <c r="BG1295" s="12" t="b">
        <f>EXACT(Tabla4[[#This Row],[TOTAL DESEMBOLSOS]],Tabla4[[#This Row],[VALOR ATENCIÓN (8 MESES)]])</f>
        <v>1</v>
      </c>
      <c r="BH1295" s="29">
        <f>Tabla4[[#This Row],[TOTAL DESEMBOLSOS]]-Tabla4[[#This Row],[VALOR ATENCIÓN (8 MESES)]]</f>
        <v>0</v>
      </c>
      <c r="BI1295" t="s">
        <v>98</v>
      </c>
      <c r="BJ1295">
        <v>2030</v>
      </c>
    </row>
    <row r="1296" spans="1:62">
      <c r="A1296" s="13">
        <v>2030</v>
      </c>
      <c r="B1296" s="13" t="s">
        <v>2789</v>
      </c>
      <c r="C1296" s="12" t="s">
        <v>87</v>
      </c>
      <c r="D1296" s="12" t="s">
        <v>88</v>
      </c>
      <c r="E1296" s="12" t="s">
        <v>2743</v>
      </c>
      <c r="F1296" s="12" t="s">
        <v>21</v>
      </c>
      <c r="G1296" s="12" t="s">
        <v>90</v>
      </c>
      <c r="H1296" s="12" t="s">
        <v>2805</v>
      </c>
      <c r="I1296" s="12">
        <v>50881136745</v>
      </c>
      <c r="J1296" s="12" t="s">
        <v>2806</v>
      </c>
      <c r="K1296" s="12">
        <v>1</v>
      </c>
      <c r="L1296" s="12">
        <v>50</v>
      </c>
      <c r="M1296" s="12"/>
      <c r="N1296" s="13">
        <v>2030</v>
      </c>
      <c r="O1296" s="12" t="s">
        <v>93</v>
      </c>
      <c r="P1296" s="12"/>
      <c r="Q1296" s="12"/>
      <c r="R1296" s="12" t="s">
        <v>94</v>
      </c>
      <c r="S1296" s="12">
        <v>10</v>
      </c>
      <c r="T1296" s="12" t="s">
        <v>2792</v>
      </c>
      <c r="U1296" s="12" t="s">
        <v>2793</v>
      </c>
      <c r="V1296" s="12">
        <f>VLOOKUP(Tabla4[[#This Row],[ZONA DEFINITIVO]],Hoja1!$A$1:$D$121,3,0)</f>
        <v>229175</v>
      </c>
      <c r="W1296" s="12">
        <f>VLOOKUP(Tabla4[[#This Row],[ZONA DEFINITIVO]],Hoja1!$A$1:$D$121,2,0)</f>
        <v>15230</v>
      </c>
      <c r="X1296" s="12">
        <f>VLOOKUP(Tabla4[[#This Row],[ZONA DEFINITIVO]],Hoja1!$A$1:$D$121,4,0)</f>
        <v>87125</v>
      </c>
      <c r="Y1296" s="12" t="str">
        <f>+IF(Tabla4[[#This Row],[AGRUPACIONES]]=1,SUMIFS(Tabla4[UDS],Tabla4[ZONA DEFINITIVO],Tabla4[[#This Row],[ZONA DEFINITIVO]])," ")</f>
        <v xml:space="preserve"> </v>
      </c>
      <c r="Z1296" s="12" t="str">
        <f>+IF(Tabla4[[#This Row],[AGRUPACIONES]]=1,SUMIFS(Tabla4[TOTAL COBERTURA],Tabla4[ZONA DEFINITIVO],Tabla4[[#This Row],[ZONA DEFINITIVO]])," ")</f>
        <v xml:space="preserve"> </v>
      </c>
      <c r="AA1296" s="12"/>
      <c r="AB1296" s="38">
        <v>75965250</v>
      </c>
      <c r="AC1296" s="37">
        <v>0.02</v>
      </c>
      <c r="AD1296" s="38">
        <f t="shared" si="20"/>
        <v>1519305</v>
      </c>
      <c r="AE1296" s="12"/>
      <c r="AF1296" s="12">
        <f>COUNTIF($A$20:A1296,A1296)</f>
        <v>10</v>
      </c>
      <c r="AG1296" s="38">
        <v>75965250</v>
      </c>
      <c r="AH1296" s="38">
        <f>Tabla4[[#This Row],[VALOR CONTRAPARTIDA]]+Tabla4[[#This Row],[TOTAL APORTES ICBF]]</f>
        <v>77484555</v>
      </c>
      <c r="AI1296" s="35"/>
      <c r="AJ1296" s="38"/>
      <c r="AK1296" s="38"/>
      <c r="AL1296" s="23"/>
      <c r="AM1296" s="35">
        <f>VLOOKUP(Tabla4[[#This Row],[SERVICIO 2025]],$J$2:$V$14,5,0)*Tabla4[[#This Row],[TOTAL COBERTURA]]</f>
        <v>2337200</v>
      </c>
      <c r="AN1296" s="35">
        <f>VLOOKUP(Tabla4[[#This Row],[SERVICIO 2025]],$J$2:$V$14,6,0)*Tabla4[[#This Row],[TOTAL COBERTURA]]</f>
        <v>1892050</v>
      </c>
      <c r="AO1296" s="35">
        <f>VLOOKUP(Tabla4[[#This Row],[SERVICIO 2025]],$J$2:$V$14,8,0)*Tabla4[[#This Row],[TOTAL COBERTURA]]</f>
        <v>0</v>
      </c>
      <c r="AP1296" s="35">
        <f>VLOOKUP(Tabla4[[#This Row],[SERVICIO 2025]],$J$2:$V$14,3,0)*Tabla4[[#This Row],[TOTAL COBERTURA]]*8</f>
        <v>71736000</v>
      </c>
      <c r="AQ1296" s="35"/>
      <c r="AR1296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1296" s="35" t="str">
        <f>+IF(Tabla4[[#This Row],[AGRUPACIONES]]=1,SUMIFS(Tabla4[VALOR TOTAL],Tabla4[ZONA DEFINITIVO],Tabla4[[#This Row],[ZONA DEFINITIVO]])," ")</f>
        <v xml:space="preserve"> </v>
      </c>
      <c r="AT1296" s="27">
        <f>(VLOOKUP(Tabla4[[#This Row],[SERVICIO 2025]],$J$2:$V$14,3,0)*Tabla4[[#This Row],[TOTAL COBERTURA]])+Tabla4[[#This Row],[VALOR FASE PREPARATORIA DE ALISTAMIENTO]]+Tabla4[[#This Row],[DOTACIÓN ÚNICA]]</f>
        <v>11304200</v>
      </c>
      <c r="AU1296" s="35">
        <f>(VLOOKUP(Tabla4[[#This Row],[SERVICIO 2025]],$J$2:$V$14,3,0)*Tabla4[[#This Row],[TOTAL COBERTURA]])</f>
        <v>8967000</v>
      </c>
      <c r="AV1296" s="35">
        <f>(VLOOKUP(Tabla4[[#This Row],[SERVICIO 2025]],$J$2:$V$14,3,0)*Tabla4[[#This Row],[TOTAL COBERTURA]])</f>
        <v>8967000</v>
      </c>
      <c r="AW1296" s="35">
        <f>(VLOOKUP(Tabla4[[#This Row],[SERVICIO 2025]],$J$2:$V$14,3,0)*Tabla4[[#This Row],[TOTAL COBERTURA]])</f>
        <v>8967000</v>
      </c>
      <c r="AX1296" s="35">
        <f>(VLOOKUP(Tabla4[[#This Row],[SERVICIO 2025]],$J$2:$V$14,3,0)*Tabla4[[#This Row],[TOTAL COBERTURA]])</f>
        <v>8967000</v>
      </c>
      <c r="AY1296" s="35">
        <f>(VLOOKUP(Tabla4[[#This Row],[SERVICIO 2025]],$J$2:$V$14,3,0)*Tabla4[[#This Row],[TOTAL COBERTURA]])</f>
        <v>8967000</v>
      </c>
      <c r="AZ1296" s="35">
        <f>(VLOOKUP(Tabla4[[#This Row],[SERVICIO 2025]],$J$2:$V$14,3,0)*Tabla4[[#This Row],[TOTAL COBERTURA]])</f>
        <v>8967000</v>
      </c>
      <c r="BA1296" s="35">
        <f>(VLOOKUP(Tabla4[[#This Row],[SERVICIO 2025]],$J$2:$V$14,3,0)*Tabla4[[#This Row],[TOTAL COBERTURA]])+Tabla4[[#This Row],[VALOR FASE PREPARATORIA DE CIERRE]]</f>
        <v>10859050</v>
      </c>
      <c r="BB1296" s="35">
        <f>SUM(Tabla4[[#This Row],[DESEMBOLSO 1]:[DESEMBOLSO 8]])</f>
        <v>75965250</v>
      </c>
      <c r="BC1296" s="35">
        <f>VLOOKUP(Tabla4[[#This Row],[SERVICIO 2025]],$J$2:$V$14,10,0)*Tabla4[[#This Row],[TOTAL COBERTURA]]*$W$3</f>
        <v>75328400</v>
      </c>
      <c r="BD1296" s="47" t="s">
        <v>211</v>
      </c>
      <c r="BE1296" s="12" t="b">
        <f>EXACT(Tabla4[[#This Row],[VALOR ATENCIÓN (8 MESES)]],Tabla4[[#This Row],[VALOR TOTAL]])</f>
        <v>1</v>
      </c>
      <c r="BF1296" s="23">
        <f>Tabla4[[#This Row],[VALOR ATENCIÓN (8 MESES)]]-Tabla4[[#This Row],[VALOR TOTAL]]</f>
        <v>0</v>
      </c>
      <c r="BG1296" s="12" t="b">
        <f>EXACT(Tabla4[[#This Row],[TOTAL DESEMBOLSOS]],Tabla4[[#This Row],[VALOR ATENCIÓN (8 MESES)]])</f>
        <v>1</v>
      </c>
      <c r="BH1296" s="29">
        <f>Tabla4[[#This Row],[TOTAL DESEMBOLSOS]]-Tabla4[[#This Row],[VALOR ATENCIÓN (8 MESES)]]</f>
        <v>0</v>
      </c>
      <c r="BI1296" t="s">
        <v>98</v>
      </c>
      <c r="BJ1296">
        <v>2030</v>
      </c>
    </row>
    <row r="1297" spans="1:62">
      <c r="A1297" s="13">
        <v>2030</v>
      </c>
      <c r="B1297" s="13" t="s">
        <v>2789</v>
      </c>
      <c r="C1297" s="12" t="s">
        <v>87</v>
      </c>
      <c r="D1297" s="12" t="s">
        <v>88</v>
      </c>
      <c r="E1297" s="12" t="s">
        <v>2743</v>
      </c>
      <c r="F1297" s="12" t="s">
        <v>21</v>
      </c>
      <c r="G1297" s="12" t="s">
        <v>90</v>
      </c>
      <c r="H1297" s="12" t="s">
        <v>2033</v>
      </c>
      <c r="I1297" s="12">
        <v>50881152201</v>
      </c>
      <c r="J1297" s="12" t="s">
        <v>2807</v>
      </c>
      <c r="K1297" s="12">
        <v>1</v>
      </c>
      <c r="L1297" s="12">
        <v>49</v>
      </c>
      <c r="M1297" s="12"/>
      <c r="N1297" s="13">
        <v>2030</v>
      </c>
      <c r="O1297" s="12" t="s">
        <v>93</v>
      </c>
      <c r="P1297" s="12"/>
      <c r="Q1297" s="12"/>
      <c r="R1297" s="12" t="s">
        <v>94</v>
      </c>
      <c r="S1297" s="12">
        <v>10</v>
      </c>
      <c r="T1297" s="12" t="s">
        <v>2792</v>
      </c>
      <c r="U1297" s="12" t="s">
        <v>2793</v>
      </c>
      <c r="V1297" s="12">
        <f>VLOOKUP(Tabla4[[#This Row],[ZONA DEFINITIVO]],Hoja1!$A$1:$D$121,3,0)</f>
        <v>229175</v>
      </c>
      <c r="W1297" s="12">
        <f>VLOOKUP(Tabla4[[#This Row],[ZONA DEFINITIVO]],Hoja1!$A$1:$D$121,2,0)</f>
        <v>15230</v>
      </c>
      <c r="X1297" s="12">
        <f>VLOOKUP(Tabla4[[#This Row],[ZONA DEFINITIVO]],Hoja1!$A$1:$D$121,4,0)</f>
        <v>87125</v>
      </c>
      <c r="Y1297" s="12" t="str">
        <f>+IF(Tabla4[[#This Row],[AGRUPACIONES]]=1,SUMIFS(Tabla4[UDS],Tabla4[ZONA DEFINITIVO],Tabla4[[#This Row],[ZONA DEFINITIVO]])," ")</f>
        <v xml:space="preserve"> </v>
      </c>
      <c r="Z1297" s="12" t="str">
        <f>+IF(Tabla4[[#This Row],[AGRUPACIONES]]=1,SUMIFS(Tabla4[TOTAL COBERTURA],Tabla4[ZONA DEFINITIVO],Tabla4[[#This Row],[ZONA DEFINITIVO]])," ")</f>
        <v xml:space="preserve"> </v>
      </c>
      <c r="AA1297" s="12"/>
      <c r="AB1297" s="38">
        <v>74445945</v>
      </c>
      <c r="AC1297" s="37">
        <v>0.02</v>
      </c>
      <c r="AD1297" s="38">
        <f t="shared" si="20"/>
        <v>1488918.9000000001</v>
      </c>
      <c r="AE1297" s="12"/>
      <c r="AF1297" s="12">
        <f>COUNTIF($A$20:A1297,A1297)</f>
        <v>11</v>
      </c>
      <c r="AG1297" s="38">
        <v>74445945</v>
      </c>
      <c r="AH1297" s="38">
        <f>Tabla4[[#This Row],[VALOR CONTRAPARTIDA]]+Tabla4[[#This Row],[TOTAL APORTES ICBF]]</f>
        <v>75934863.900000006</v>
      </c>
      <c r="AI1297" s="35"/>
      <c r="AJ1297" s="38"/>
      <c r="AK1297" s="38"/>
      <c r="AL1297" s="23"/>
      <c r="AM1297" s="35">
        <f>VLOOKUP(Tabla4[[#This Row],[SERVICIO 2025]],$J$2:$V$14,5,0)*Tabla4[[#This Row],[TOTAL COBERTURA]]</f>
        <v>2290456</v>
      </c>
      <c r="AN1297" s="35">
        <f>VLOOKUP(Tabla4[[#This Row],[SERVICIO 2025]],$J$2:$V$14,6,0)*Tabla4[[#This Row],[TOTAL COBERTURA]]</f>
        <v>1854209</v>
      </c>
      <c r="AO1297" s="35">
        <f>VLOOKUP(Tabla4[[#This Row],[SERVICIO 2025]],$J$2:$V$14,8,0)*Tabla4[[#This Row],[TOTAL COBERTURA]]</f>
        <v>0</v>
      </c>
      <c r="AP1297" s="35">
        <f>VLOOKUP(Tabla4[[#This Row],[SERVICIO 2025]],$J$2:$V$14,3,0)*Tabla4[[#This Row],[TOTAL COBERTURA]]*8</f>
        <v>70301280</v>
      </c>
      <c r="AQ1297" s="35"/>
      <c r="AR1297" s="35">
        <f>Tabla4[[#This Row],[VALOR FASE PREPARATORIA DE ALISTAMIENTO]]+Tabla4[[#This Row],[VALOR FASE PREPARATORIA DE CIERRE]]+Tabla4[[#This Row],[DOTACIÓN ÚNICA]]+Tabla4[[#This Row],[VALOR ATENCIÓN]]+Tabla4[[#This Row],[VALOR RACION PREPARADA]]</f>
        <v>74445945</v>
      </c>
      <c r="AS1297" s="35" t="str">
        <f>+IF(Tabla4[[#This Row],[AGRUPACIONES]]=1,SUMIFS(Tabla4[VALOR TOTAL],Tabla4[ZONA DEFINITIVO],Tabla4[[#This Row],[ZONA DEFINITIVO]])," ")</f>
        <v xml:space="preserve"> </v>
      </c>
      <c r="AT1297" s="27">
        <f>(VLOOKUP(Tabla4[[#This Row],[SERVICIO 2025]],$J$2:$V$14,3,0)*Tabla4[[#This Row],[TOTAL COBERTURA]])+Tabla4[[#This Row],[VALOR FASE PREPARATORIA DE ALISTAMIENTO]]+Tabla4[[#This Row],[DOTACIÓN ÚNICA]]</f>
        <v>11078116</v>
      </c>
      <c r="AU1297" s="35">
        <f>(VLOOKUP(Tabla4[[#This Row],[SERVICIO 2025]],$J$2:$V$14,3,0)*Tabla4[[#This Row],[TOTAL COBERTURA]])</f>
        <v>8787660</v>
      </c>
      <c r="AV1297" s="35">
        <f>(VLOOKUP(Tabla4[[#This Row],[SERVICIO 2025]],$J$2:$V$14,3,0)*Tabla4[[#This Row],[TOTAL COBERTURA]])</f>
        <v>8787660</v>
      </c>
      <c r="AW1297" s="35">
        <f>(VLOOKUP(Tabla4[[#This Row],[SERVICIO 2025]],$J$2:$V$14,3,0)*Tabla4[[#This Row],[TOTAL COBERTURA]])</f>
        <v>8787660</v>
      </c>
      <c r="AX1297" s="35">
        <f>(VLOOKUP(Tabla4[[#This Row],[SERVICIO 2025]],$J$2:$V$14,3,0)*Tabla4[[#This Row],[TOTAL COBERTURA]])</f>
        <v>8787660</v>
      </c>
      <c r="AY1297" s="35">
        <f>(VLOOKUP(Tabla4[[#This Row],[SERVICIO 2025]],$J$2:$V$14,3,0)*Tabla4[[#This Row],[TOTAL COBERTURA]])</f>
        <v>8787660</v>
      </c>
      <c r="AZ1297" s="35">
        <f>(VLOOKUP(Tabla4[[#This Row],[SERVICIO 2025]],$J$2:$V$14,3,0)*Tabla4[[#This Row],[TOTAL COBERTURA]])</f>
        <v>8787660</v>
      </c>
      <c r="BA1297" s="35">
        <f>(VLOOKUP(Tabla4[[#This Row],[SERVICIO 2025]],$J$2:$V$14,3,0)*Tabla4[[#This Row],[TOTAL COBERTURA]])+Tabla4[[#This Row],[VALOR FASE PREPARATORIA DE CIERRE]]</f>
        <v>10641869</v>
      </c>
      <c r="BB1297" s="35">
        <f>SUM(Tabla4[[#This Row],[DESEMBOLSO 1]:[DESEMBOLSO 8]])</f>
        <v>74445945</v>
      </c>
      <c r="BC1297" s="35">
        <f>VLOOKUP(Tabla4[[#This Row],[SERVICIO 2025]],$J$2:$V$14,10,0)*Tabla4[[#This Row],[TOTAL COBERTURA]]*$W$3</f>
        <v>73821832</v>
      </c>
      <c r="BD1297" s="47" t="s">
        <v>211</v>
      </c>
      <c r="BE1297" s="12" t="b">
        <f>EXACT(Tabla4[[#This Row],[VALOR ATENCIÓN (8 MESES)]],Tabla4[[#This Row],[VALOR TOTAL]])</f>
        <v>1</v>
      </c>
      <c r="BF1297" s="23">
        <f>Tabla4[[#This Row],[VALOR ATENCIÓN (8 MESES)]]-Tabla4[[#This Row],[VALOR TOTAL]]</f>
        <v>0</v>
      </c>
      <c r="BG1297" s="12" t="b">
        <f>EXACT(Tabla4[[#This Row],[TOTAL DESEMBOLSOS]],Tabla4[[#This Row],[VALOR ATENCIÓN (8 MESES)]])</f>
        <v>1</v>
      </c>
      <c r="BH1297" s="29">
        <f>Tabla4[[#This Row],[TOTAL DESEMBOLSOS]]-Tabla4[[#This Row],[VALOR ATENCIÓN (8 MESES)]]</f>
        <v>0</v>
      </c>
      <c r="BI1297" t="s">
        <v>98</v>
      </c>
      <c r="BJ1297">
        <v>2030</v>
      </c>
    </row>
    <row r="1298" spans="1:62">
      <c r="A1298" s="13">
        <v>2030</v>
      </c>
      <c r="B1298" s="13" t="s">
        <v>2789</v>
      </c>
      <c r="C1298" s="12" t="s">
        <v>87</v>
      </c>
      <c r="D1298" s="12" t="s">
        <v>88</v>
      </c>
      <c r="E1298" s="12" t="s">
        <v>2743</v>
      </c>
      <c r="F1298" s="12" t="s">
        <v>21</v>
      </c>
      <c r="G1298" s="12" t="s">
        <v>90</v>
      </c>
      <c r="H1298" s="12" t="s">
        <v>2808</v>
      </c>
      <c r="I1298" s="12">
        <v>50881152490</v>
      </c>
      <c r="J1298" s="12" t="s">
        <v>2809</v>
      </c>
      <c r="K1298" s="12">
        <v>1</v>
      </c>
      <c r="L1298" s="12">
        <v>52</v>
      </c>
      <c r="M1298" s="12"/>
      <c r="N1298" s="13">
        <v>2030</v>
      </c>
      <c r="O1298" s="12" t="s">
        <v>93</v>
      </c>
      <c r="P1298" s="12"/>
      <c r="Q1298" s="12"/>
      <c r="R1298" s="12" t="s">
        <v>94</v>
      </c>
      <c r="S1298" s="12">
        <v>10</v>
      </c>
      <c r="T1298" s="12" t="s">
        <v>2792</v>
      </c>
      <c r="U1298" s="12" t="s">
        <v>2793</v>
      </c>
      <c r="V1298" s="12">
        <f>VLOOKUP(Tabla4[[#This Row],[ZONA DEFINITIVO]],Hoja1!$A$1:$D$121,3,0)</f>
        <v>229175</v>
      </c>
      <c r="W1298" s="12">
        <f>VLOOKUP(Tabla4[[#This Row],[ZONA DEFINITIVO]],Hoja1!$A$1:$D$121,2,0)</f>
        <v>15230</v>
      </c>
      <c r="X1298" s="12">
        <f>VLOOKUP(Tabla4[[#This Row],[ZONA DEFINITIVO]],Hoja1!$A$1:$D$121,4,0)</f>
        <v>87125</v>
      </c>
      <c r="Y1298" s="12" t="str">
        <f>+IF(Tabla4[[#This Row],[AGRUPACIONES]]=1,SUMIFS(Tabla4[UDS],Tabla4[ZONA DEFINITIVO],Tabla4[[#This Row],[ZONA DEFINITIVO]])," ")</f>
        <v xml:space="preserve"> </v>
      </c>
      <c r="Z1298" s="12" t="str">
        <f>+IF(Tabla4[[#This Row],[AGRUPACIONES]]=1,SUMIFS(Tabla4[TOTAL COBERTURA],Tabla4[ZONA DEFINITIVO],Tabla4[[#This Row],[ZONA DEFINITIVO]])," ")</f>
        <v xml:space="preserve"> </v>
      </c>
      <c r="AA1298" s="12"/>
      <c r="AB1298" s="38">
        <v>79003860</v>
      </c>
      <c r="AC1298" s="37">
        <v>0.02</v>
      </c>
      <c r="AD1298" s="38">
        <f t="shared" si="20"/>
        <v>1580077.2</v>
      </c>
      <c r="AE1298" s="12"/>
      <c r="AF1298" s="12">
        <f>COUNTIF($A$20:A1298,A1298)</f>
        <v>12</v>
      </c>
      <c r="AG1298" s="38">
        <v>79003860</v>
      </c>
      <c r="AH1298" s="38">
        <f>Tabla4[[#This Row],[VALOR CONTRAPARTIDA]]+Tabla4[[#This Row],[TOTAL APORTES ICBF]]</f>
        <v>80583937.200000003</v>
      </c>
      <c r="AI1298" s="35"/>
      <c r="AJ1298" s="38"/>
      <c r="AK1298" s="38"/>
      <c r="AL1298" s="23"/>
      <c r="AM1298" s="35">
        <f>VLOOKUP(Tabla4[[#This Row],[SERVICIO 2025]],$J$2:$V$14,5,0)*Tabla4[[#This Row],[TOTAL COBERTURA]]</f>
        <v>2430688</v>
      </c>
      <c r="AN1298" s="35">
        <f>VLOOKUP(Tabla4[[#This Row],[SERVICIO 2025]],$J$2:$V$14,6,0)*Tabla4[[#This Row],[TOTAL COBERTURA]]</f>
        <v>1967732</v>
      </c>
      <c r="AO1298" s="35">
        <f>VLOOKUP(Tabla4[[#This Row],[SERVICIO 2025]],$J$2:$V$14,8,0)*Tabla4[[#This Row],[TOTAL COBERTURA]]</f>
        <v>0</v>
      </c>
      <c r="AP1298" s="35">
        <f>VLOOKUP(Tabla4[[#This Row],[SERVICIO 2025]],$J$2:$V$14,3,0)*Tabla4[[#This Row],[TOTAL COBERTURA]]*8</f>
        <v>74605440</v>
      </c>
      <c r="AQ1298" s="35"/>
      <c r="AR1298" s="35">
        <f>Tabla4[[#This Row],[VALOR FASE PREPARATORIA DE ALISTAMIENTO]]+Tabla4[[#This Row],[VALOR FASE PREPARATORIA DE CIERRE]]+Tabla4[[#This Row],[DOTACIÓN ÚNICA]]+Tabla4[[#This Row],[VALOR ATENCIÓN]]+Tabla4[[#This Row],[VALOR RACION PREPARADA]]</f>
        <v>79003860</v>
      </c>
      <c r="AS1298" s="35" t="str">
        <f>+IF(Tabla4[[#This Row],[AGRUPACIONES]]=1,SUMIFS(Tabla4[VALOR TOTAL],Tabla4[ZONA DEFINITIVO],Tabla4[[#This Row],[ZONA DEFINITIVO]])," ")</f>
        <v xml:space="preserve"> </v>
      </c>
      <c r="AT1298" s="27">
        <f>(VLOOKUP(Tabla4[[#This Row],[SERVICIO 2025]],$J$2:$V$14,3,0)*Tabla4[[#This Row],[TOTAL COBERTURA]])+Tabla4[[#This Row],[VALOR FASE PREPARATORIA DE ALISTAMIENTO]]+Tabla4[[#This Row],[DOTACIÓN ÚNICA]]</f>
        <v>11756368</v>
      </c>
      <c r="AU1298" s="35">
        <f>(VLOOKUP(Tabla4[[#This Row],[SERVICIO 2025]],$J$2:$V$14,3,0)*Tabla4[[#This Row],[TOTAL COBERTURA]])</f>
        <v>9325680</v>
      </c>
      <c r="AV1298" s="35">
        <f>(VLOOKUP(Tabla4[[#This Row],[SERVICIO 2025]],$J$2:$V$14,3,0)*Tabla4[[#This Row],[TOTAL COBERTURA]])</f>
        <v>9325680</v>
      </c>
      <c r="AW1298" s="35">
        <f>(VLOOKUP(Tabla4[[#This Row],[SERVICIO 2025]],$J$2:$V$14,3,0)*Tabla4[[#This Row],[TOTAL COBERTURA]])</f>
        <v>9325680</v>
      </c>
      <c r="AX1298" s="35">
        <f>(VLOOKUP(Tabla4[[#This Row],[SERVICIO 2025]],$J$2:$V$14,3,0)*Tabla4[[#This Row],[TOTAL COBERTURA]])</f>
        <v>9325680</v>
      </c>
      <c r="AY1298" s="35">
        <f>(VLOOKUP(Tabla4[[#This Row],[SERVICIO 2025]],$J$2:$V$14,3,0)*Tabla4[[#This Row],[TOTAL COBERTURA]])</f>
        <v>9325680</v>
      </c>
      <c r="AZ1298" s="35">
        <f>(VLOOKUP(Tabla4[[#This Row],[SERVICIO 2025]],$J$2:$V$14,3,0)*Tabla4[[#This Row],[TOTAL COBERTURA]])</f>
        <v>9325680</v>
      </c>
      <c r="BA1298" s="35">
        <f>(VLOOKUP(Tabla4[[#This Row],[SERVICIO 2025]],$J$2:$V$14,3,0)*Tabla4[[#This Row],[TOTAL COBERTURA]])+Tabla4[[#This Row],[VALOR FASE PREPARATORIA DE CIERRE]]</f>
        <v>11293412</v>
      </c>
      <c r="BB1298" s="35">
        <f>SUM(Tabla4[[#This Row],[DESEMBOLSO 1]:[DESEMBOLSO 8]])</f>
        <v>79003860</v>
      </c>
      <c r="BC1298" s="35">
        <f>VLOOKUP(Tabla4[[#This Row],[SERVICIO 2025]],$J$2:$V$14,10,0)*Tabla4[[#This Row],[TOTAL COBERTURA]]*$W$3</f>
        <v>78341536</v>
      </c>
      <c r="BD1298" s="47" t="s">
        <v>211</v>
      </c>
      <c r="BE1298" s="12" t="b">
        <f>EXACT(Tabla4[[#This Row],[VALOR ATENCIÓN (8 MESES)]],Tabla4[[#This Row],[VALOR TOTAL]])</f>
        <v>1</v>
      </c>
      <c r="BF1298" s="23">
        <f>Tabla4[[#This Row],[VALOR ATENCIÓN (8 MESES)]]-Tabla4[[#This Row],[VALOR TOTAL]]</f>
        <v>0</v>
      </c>
      <c r="BG1298" s="12" t="b">
        <f>EXACT(Tabla4[[#This Row],[TOTAL DESEMBOLSOS]],Tabla4[[#This Row],[VALOR ATENCIÓN (8 MESES)]])</f>
        <v>1</v>
      </c>
      <c r="BH1298" s="29">
        <f>Tabla4[[#This Row],[TOTAL DESEMBOLSOS]]-Tabla4[[#This Row],[VALOR ATENCIÓN (8 MESES)]]</f>
        <v>0</v>
      </c>
      <c r="BI1298" t="s">
        <v>98</v>
      </c>
      <c r="BJ1298">
        <v>2030</v>
      </c>
    </row>
    <row r="1299" spans="1:62">
      <c r="A1299" s="13">
        <v>2030</v>
      </c>
      <c r="B1299" s="13" t="s">
        <v>2789</v>
      </c>
      <c r="C1299" s="12" t="s">
        <v>87</v>
      </c>
      <c r="D1299" s="12" t="s">
        <v>88</v>
      </c>
      <c r="E1299" s="12" t="s">
        <v>2743</v>
      </c>
      <c r="F1299" s="12" t="s">
        <v>21</v>
      </c>
      <c r="G1299" s="12" t="s">
        <v>90</v>
      </c>
      <c r="H1299" s="12" t="s">
        <v>2810</v>
      </c>
      <c r="I1299" s="12">
        <v>50881155672</v>
      </c>
      <c r="J1299" s="12" t="s">
        <v>2811</v>
      </c>
      <c r="K1299" s="12">
        <v>1</v>
      </c>
      <c r="L1299" s="12">
        <v>49</v>
      </c>
      <c r="M1299" s="12"/>
      <c r="N1299" s="13">
        <v>2030</v>
      </c>
      <c r="O1299" s="12" t="s">
        <v>93</v>
      </c>
      <c r="P1299" s="12"/>
      <c r="Q1299" s="12"/>
      <c r="R1299" s="12" t="s">
        <v>94</v>
      </c>
      <c r="S1299" s="12">
        <v>10</v>
      </c>
      <c r="T1299" s="12" t="s">
        <v>2792</v>
      </c>
      <c r="U1299" s="12" t="s">
        <v>2793</v>
      </c>
      <c r="V1299" s="12">
        <f>VLOOKUP(Tabla4[[#This Row],[ZONA DEFINITIVO]],Hoja1!$A$1:$D$121,3,0)</f>
        <v>229175</v>
      </c>
      <c r="W1299" s="12">
        <f>VLOOKUP(Tabla4[[#This Row],[ZONA DEFINITIVO]],Hoja1!$A$1:$D$121,2,0)</f>
        <v>15230</v>
      </c>
      <c r="X1299" s="12">
        <f>VLOOKUP(Tabla4[[#This Row],[ZONA DEFINITIVO]],Hoja1!$A$1:$D$121,4,0)</f>
        <v>87125</v>
      </c>
      <c r="Y1299" s="12" t="str">
        <f>+IF(Tabla4[[#This Row],[AGRUPACIONES]]=1,SUMIFS(Tabla4[UDS],Tabla4[ZONA DEFINITIVO],Tabla4[[#This Row],[ZONA DEFINITIVO]])," ")</f>
        <v xml:space="preserve"> </v>
      </c>
      <c r="Z1299" s="12" t="str">
        <f>+IF(Tabla4[[#This Row],[AGRUPACIONES]]=1,SUMIFS(Tabla4[TOTAL COBERTURA],Tabla4[ZONA DEFINITIVO],Tabla4[[#This Row],[ZONA DEFINITIVO]])," ")</f>
        <v xml:space="preserve"> </v>
      </c>
      <c r="AA1299" s="12"/>
      <c r="AB1299" s="38">
        <v>74445945</v>
      </c>
      <c r="AC1299" s="37">
        <v>0.02</v>
      </c>
      <c r="AD1299" s="38">
        <f t="shared" si="20"/>
        <v>1488918.9000000001</v>
      </c>
      <c r="AE1299" s="12"/>
      <c r="AF1299" s="12">
        <f>COUNTIF($A$20:A1299,A1299)</f>
        <v>13</v>
      </c>
      <c r="AG1299" s="38">
        <v>74445945</v>
      </c>
      <c r="AH1299" s="38">
        <f>Tabla4[[#This Row],[VALOR CONTRAPARTIDA]]+Tabla4[[#This Row],[TOTAL APORTES ICBF]]</f>
        <v>75934863.900000006</v>
      </c>
      <c r="AI1299" s="35"/>
      <c r="AJ1299" s="38"/>
      <c r="AK1299" s="38"/>
      <c r="AL1299" s="23"/>
      <c r="AM1299" s="35">
        <f>VLOOKUP(Tabla4[[#This Row],[SERVICIO 2025]],$J$2:$V$14,5,0)*Tabla4[[#This Row],[TOTAL COBERTURA]]</f>
        <v>2290456</v>
      </c>
      <c r="AN1299" s="35">
        <f>VLOOKUP(Tabla4[[#This Row],[SERVICIO 2025]],$J$2:$V$14,6,0)*Tabla4[[#This Row],[TOTAL COBERTURA]]</f>
        <v>1854209</v>
      </c>
      <c r="AO1299" s="35">
        <f>VLOOKUP(Tabla4[[#This Row],[SERVICIO 2025]],$J$2:$V$14,8,0)*Tabla4[[#This Row],[TOTAL COBERTURA]]</f>
        <v>0</v>
      </c>
      <c r="AP1299" s="35">
        <f>VLOOKUP(Tabla4[[#This Row],[SERVICIO 2025]],$J$2:$V$14,3,0)*Tabla4[[#This Row],[TOTAL COBERTURA]]*8</f>
        <v>70301280</v>
      </c>
      <c r="AQ1299" s="35"/>
      <c r="AR1299" s="35">
        <f>Tabla4[[#This Row],[VALOR FASE PREPARATORIA DE ALISTAMIENTO]]+Tabla4[[#This Row],[VALOR FASE PREPARATORIA DE CIERRE]]+Tabla4[[#This Row],[DOTACIÓN ÚNICA]]+Tabla4[[#This Row],[VALOR ATENCIÓN]]+Tabla4[[#This Row],[VALOR RACION PREPARADA]]</f>
        <v>74445945</v>
      </c>
      <c r="AS1299" s="35" t="str">
        <f>+IF(Tabla4[[#This Row],[AGRUPACIONES]]=1,SUMIFS(Tabla4[VALOR TOTAL],Tabla4[ZONA DEFINITIVO],Tabla4[[#This Row],[ZONA DEFINITIVO]])," ")</f>
        <v xml:space="preserve"> </v>
      </c>
      <c r="AT1299" s="27">
        <f>(VLOOKUP(Tabla4[[#This Row],[SERVICIO 2025]],$J$2:$V$14,3,0)*Tabla4[[#This Row],[TOTAL COBERTURA]])+Tabla4[[#This Row],[VALOR FASE PREPARATORIA DE ALISTAMIENTO]]+Tabla4[[#This Row],[DOTACIÓN ÚNICA]]</f>
        <v>11078116</v>
      </c>
      <c r="AU1299" s="35">
        <f>(VLOOKUP(Tabla4[[#This Row],[SERVICIO 2025]],$J$2:$V$14,3,0)*Tabla4[[#This Row],[TOTAL COBERTURA]])</f>
        <v>8787660</v>
      </c>
      <c r="AV1299" s="35">
        <f>(VLOOKUP(Tabla4[[#This Row],[SERVICIO 2025]],$J$2:$V$14,3,0)*Tabla4[[#This Row],[TOTAL COBERTURA]])</f>
        <v>8787660</v>
      </c>
      <c r="AW1299" s="35">
        <f>(VLOOKUP(Tabla4[[#This Row],[SERVICIO 2025]],$J$2:$V$14,3,0)*Tabla4[[#This Row],[TOTAL COBERTURA]])</f>
        <v>8787660</v>
      </c>
      <c r="AX1299" s="35">
        <f>(VLOOKUP(Tabla4[[#This Row],[SERVICIO 2025]],$J$2:$V$14,3,0)*Tabla4[[#This Row],[TOTAL COBERTURA]])</f>
        <v>8787660</v>
      </c>
      <c r="AY1299" s="35">
        <f>(VLOOKUP(Tabla4[[#This Row],[SERVICIO 2025]],$J$2:$V$14,3,0)*Tabla4[[#This Row],[TOTAL COBERTURA]])</f>
        <v>8787660</v>
      </c>
      <c r="AZ1299" s="35">
        <f>(VLOOKUP(Tabla4[[#This Row],[SERVICIO 2025]],$J$2:$V$14,3,0)*Tabla4[[#This Row],[TOTAL COBERTURA]])</f>
        <v>8787660</v>
      </c>
      <c r="BA1299" s="35">
        <f>(VLOOKUP(Tabla4[[#This Row],[SERVICIO 2025]],$J$2:$V$14,3,0)*Tabla4[[#This Row],[TOTAL COBERTURA]])+Tabla4[[#This Row],[VALOR FASE PREPARATORIA DE CIERRE]]</f>
        <v>10641869</v>
      </c>
      <c r="BB1299" s="35">
        <f>SUM(Tabla4[[#This Row],[DESEMBOLSO 1]:[DESEMBOLSO 8]])</f>
        <v>74445945</v>
      </c>
      <c r="BC1299" s="35">
        <f>VLOOKUP(Tabla4[[#This Row],[SERVICIO 2025]],$J$2:$V$14,10,0)*Tabla4[[#This Row],[TOTAL COBERTURA]]*$W$3</f>
        <v>73821832</v>
      </c>
      <c r="BD1299" s="47" t="s">
        <v>211</v>
      </c>
      <c r="BE1299" s="12" t="b">
        <f>EXACT(Tabla4[[#This Row],[VALOR ATENCIÓN (8 MESES)]],Tabla4[[#This Row],[VALOR TOTAL]])</f>
        <v>1</v>
      </c>
      <c r="BF1299" s="23">
        <f>Tabla4[[#This Row],[VALOR ATENCIÓN (8 MESES)]]-Tabla4[[#This Row],[VALOR TOTAL]]</f>
        <v>0</v>
      </c>
      <c r="BG1299" s="12" t="b">
        <f>EXACT(Tabla4[[#This Row],[TOTAL DESEMBOLSOS]],Tabla4[[#This Row],[VALOR ATENCIÓN (8 MESES)]])</f>
        <v>1</v>
      </c>
      <c r="BH1299" s="29">
        <f>Tabla4[[#This Row],[TOTAL DESEMBOLSOS]]-Tabla4[[#This Row],[VALOR ATENCIÓN (8 MESES)]]</f>
        <v>0</v>
      </c>
      <c r="BI1299" t="s">
        <v>98</v>
      </c>
      <c r="BJ1299">
        <v>2030</v>
      </c>
    </row>
    <row r="1300" spans="1:62">
      <c r="A1300" s="13">
        <v>2030</v>
      </c>
      <c r="B1300" s="13" t="s">
        <v>2789</v>
      </c>
      <c r="C1300" s="12" t="s">
        <v>87</v>
      </c>
      <c r="D1300" s="12" t="s">
        <v>88</v>
      </c>
      <c r="E1300" s="12" t="s">
        <v>2743</v>
      </c>
      <c r="F1300" s="12" t="s">
        <v>21</v>
      </c>
      <c r="G1300" s="12" t="s">
        <v>90</v>
      </c>
      <c r="H1300" s="12" t="s">
        <v>2812</v>
      </c>
      <c r="I1300" s="12">
        <v>50881155673</v>
      </c>
      <c r="J1300" s="12" t="s">
        <v>2813</v>
      </c>
      <c r="K1300" s="12">
        <v>1</v>
      </c>
      <c r="L1300" s="12">
        <v>50</v>
      </c>
      <c r="M1300" s="12"/>
      <c r="N1300" s="13">
        <v>2030</v>
      </c>
      <c r="O1300" s="12" t="s">
        <v>93</v>
      </c>
      <c r="P1300" s="12"/>
      <c r="Q1300" s="12"/>
      <c r="R1300" s="12" t="s">
        <v>94</v>
      </c>
      <c r="S1300" s="12">
        <v>10</v>
      </c>
      <c r="T1300" s="12" t="s">
        <v>2792</v>
      </c>
      <c r="U1300" s="12" t="s">
        <v>2793</v>
      </c>
      <c r="V1300" s="12">
        <f>VLOOKUP(Tabla4[[#This Row],[ZONA DEFINITIVO]],Hoja1!$A$1:$D$121,3,0)</f>
        <v>229175</v>
      </c>
      <c r="W1300" s="12">
        <f>VLOOKUP(Tabla4[[#This Row],[ZONA DEFINITIVO]],Hoja1!$A$1:$D$121,2,0)</f>
        <v>15230</v>
      </c>
      <c r="X1300" s="12">
        <f>VLOOKUP(Tabla4[[#This Row],[ZONA DEFINITIVO]],Hoja1!$A$1:$D$121,4,0)</f>
        <v>87125</v>
      </c>
      <c r="Y1300" s="12" t="str">
        <f>+IF(Tabla4[[#This Row],[AGRUPACIONES]]=1,SUMIFS(Tabla4[UDS],Tabla4[ZONA DEFINITIVO],Tabla4[[#This Row],[ZONA DEFINITIVO]])," ")</f>
        <v xml:space="preserve"> </v>
      </c>
      <c r="Z1300" s="12" t="str">
        <f>+IF(Tabla4[[#This Row],[AGRUPACIONES]]=1,SUMIFS(Tabla4[TOTAL COBERTURA],Tabla4[ZONA DEFINITIVO],Tabla4[[#This Row],[ZONA DEFINITIVO]])," ")</f>
        <v xml:space="preserve"> </v>
      </c>
      <c r="AA1300" s="12"/>
      <c r="AB1300" s="38">
        <v>75965250</v>
      </c>
      <c r="AC1300" s="37">
        <v>0.02</v>
      </c>
      <c r="AD1300" s="38">
        <f t="shared" ref="AD1300:AD1312" si="21">AB1300*AC1300</f>
        <v>1519305</v>
      </c>
      <c r="AE1300" s="12"/>
      <c r="AF1300" s="12">
        <f>COUNTIF($A$20:A1300,A1300)</f>
        <v>14</v>
      </c>
      <c r="AG1300" s="38">
        <v>75965250</v>
      </c>
      <c r="AH1300" s="38">
        <f>Tabla4[[#This Row],[VALOR CONTRAPARTIDA]]+Tabla4[[#This Row],[TOTAL APORTES ICBF]]</f>
        <v>77484555</v>
      </c>
      <c r="AI1300" s="35"/>
      <c r="AJ1300" s="38"/>
      <c r="AK1300" s="38"/>
      <c r="AL1300" s="23"/>
      <c r="AM1300" s="35">
        <f>VLOOKUP(Tabla4[[#This Row],[SERVICIO 2025]],$J$2:$V$14,5,0)*Tabla4[[#This Row],[TOTAL COBERTURA]]</f>
        <v>2337200</v>
      </c>
      <c r="AN1300" s="35">
        <f>VLOOKUP(Tabla4[[#This Row],[SERVICIO 2025]],$J$2:$V$14,6,0)*Tabla4[[#This Row],[TOTAL COBERTURA]]</f>
        <v>1892050</v>
      </c>
      <c r="AO1300" s="35">
        <f>VLOOKUP(Tabla4[[#This Row],[SERVICIO 2025]],$J$2:$V$14,8,0)*Tabla4[[#This Row],[TOTAL COBERTURA]]</f>
        <v>0</v>
      </c>
      <c r="AP1300" s="35">
        <f>VLOOKUP(Tabla4[[#This Row],[SERVICIO 2025]],$J$2:$V$14,3,0)*Tabla4[[#This Row],[TOTAL COBERTURA]]*8</f>
        <v>71736000</v>
      </c>
      <c r="AQ1300" s="35"/>
      <c r="AR1300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1300" s="35" t="str">
        <f>+IF(Tabla4[[#This Row],[AGRUPACIONES]]=1,SUMIFS(Tabla4[VALOR TOTAL],Tabla4[ZONA DEFINITIVO],Tabla4[[#This Row],[ZONA DEFINITIVO]])," ")</f>
        <v xml:space="preserve"> </v>
      </c>
      <c r="AT1300" s="27">
        <f>(VLOOKUP(Tabla4[[#This Row],[SERVICIO 2025]],$J$2:$V$14,3,0)*Tabla4[[#This Row],[TOTAL COBERTURA]])+Tabla4[[#This Row],[VALOR FASE PREPARATORIA DE ALISTAMIENTO]]+Tabla4[[#This Row],[DOTACIÓN ÚNICA]]</f>
        <v>11304200</v>
      </c>
      <c r="AU1300" s="35">
        <f>(VLOOKUP(Tabla4[[#This Row],[SERVICIO 2025]],$J$2:$V$14,3,0)*Tabla4[[#This Row],[TOTAL COBERTURA]])</f>
        <v>8967000</v>
      </c>
      <c r="AV1300" s="35">
        <f>(VLOOKUP(Tabla4[[#This Row],[SERVICIO 2025]],$J$2:$V$14,3,0)*Tabla4[[#This Row],[TOTAL COBERTURA]])</f>
        <v>8967000</v>
      </c>
      <c r="AW1300" s="35">
        <f>(VLOOKUP(Tabla4[[#This Row],[SERVICIO 2025]],$J$2:$V$14,3,0)*Tabla4[[#This Row],[TOTAL COBERTURA]])</f>
        <v>8967000</v>
      </c>
      <c r="AX1300" s="35">
        <f>(VLOOKUP(Tabla4[[#This Row],[SERVICIO 2025]],$J$2:$V$14,3,0)*Tabla4[[#This Row],[TOTAL COBERTURA]])</f>
        <v>8967000</v>
      </c>
      <c r="AY1300" s="35">
        <f>(VLOOKUP(Tabla4[[#This Row],[SERVICIO 2025]],$J$2:$V$14,3,0)*Tabla4[[#This Row],[TOTAL COBERTURA]])</f>
        <v>8967000</v>
      </c>
      <c r="AZ1300" s="35">
        <f>(VLOOKUP(Tabla4[[#This Row],[SERVICIO 2025]],$J$2:$V$14,3,0)*Tabla4[[#This Row],[TOTAL COBERTURA]])</f>
        <v>8967000</v>
      </c>
      <c r="BA1300" s="35">
        <f>(VLOOKUP(Tabla4[[#This Row],[SERVICIO 2025]],$J$2:$V$14,3,0)*Tabla4[[#This Row],[TOTAL COBERTURA]])+Tabla4[[#This Row],[VALOR FASE PREPARATORIA DE CIERRE]]</f>
        <v>10859050</v>
      </c>
      <c r="BB1300" s="35">
        <f>SUM(Tabla4[[#This Row],[DESEMBOLSO 1]:[DESEMBOLSO 8]])</f>
        <v>75965250</v>
      </c>
      <c r="BC1300" s="35">
        <f>VLOOKUP(Tabla4[[#This Row],[SERVICIO 2025]],$J$2:$V$14,10,0)*Tabla4[[#This Row],[TOTAL COBERTURA]]*$W$3</f>
        <v>75328400</v>
      </c>
      <c r="BD1300" s="47" t="s">
        <v>211</v>
      </c>
      <c r="BE1300" s="12" t="b">
        <f>EXACT(Tabla4[[#This Row],[VALOR ATENCIÓN (8 MESES)]],Tabla4[[#This Row],[VALOR TOTAL]])</f>
        <v>1</v>
      </c>
      <c r="BF1300" s="23">
        <f>Tabla4[[#This Row],[VALOR ATENCIÓN (8 MESES)]]-Tabla4[[#This Row],[VALOR TOTAL]]</f>
        <v>0</v>
      </c>
      <c r="BG1300" s="12" t="b">
        <f>EXACT(Tabla4[[#This Row],[TOTAL DESEMBOLSOS]],Tabla4[[#This Row],[VALOR ATENCIÓN (8 MESES)]])</f>
        <v>1</v>
      </c>
      <c r="BH1300" s="29">
        <f>Tabla4[[#This Row],[TOTAL DESEMBOLSOS]]-Tabla4[[#This Row],[VALOR ATENCIÓN (8 MESES)]]</f>
        <v>0</v>
      </c>
      <c r="BI1300" t="s">
        <v>98</v>
      </c>
      <c r="BJ1300">
        <v>2030</v>
      </c>
    </row>
    <row r="1301" spans="1:62">
      <c r="A1301" s="13">
        <v>2030</v>
      </c>
      <c r="B1301" s="13" t="s">
        <v>2789</v>
      </c>
      <c r="C1301" s="12" t="s">
        <v>87</v>
      </c>
      <c r="D1301" s="12" t="s">
        <v>88</v>
      </c>
      <c r="E1301" s="12" t="s">
        <v>2743</v>
      </c>
      <c r="F1301" s="12" t="s">
        <v>21</v>
      </c>
      <c r="G1301" s="12" t="s">
        <v>90</v>
      </c>
      <c r="H1301" s="12" t="s">
        <v>2814</v>
      </c>
      <c r="I1301" s="12">
        <v>50881155674</v>
      </c>
      <c r="J1301" s="12" t="s">
        <v>2815</v>
      </c>
      <c r="K1301" s="12">
        <v>1</v>
      </c>
      <c r="L1301" s="12">
        <v>50</v>
      </c>
      <c r="M1301" s="12"/>
      <c r="N1301" s="13">
        <v>2030</v>
      </c>
      <c r="O1301" s="12" t="s">
        <v>93</v>
      </c>
      <c r="P1301" s="12"/>
      <c r="Q1301" s="12"/>
      <c r="R1301" s="12" t="s">
        <v>94</v>
      </c>
      <c r="S1301" s="12">
        <v>10</v>
      </c>
      <c r="T1301" s="12" t="s">
        <v>2792</v>
      </c>
      <c r="U1301" s="12" t="s">
        <v>2793</v>
      </c>
      <c r="V1301" s="12">
        <f>VLOOKUP(Tabla4[[#This Row],[ZONA DEFINITIVO]],Hoja1!$A$1:$D$121,3,0)</f>
        <v>229175</v>
      </c>
      <c r="W1301" s="12">
        <f>VLOOKUP(Tabla4[[#This Row],[ZONA DEFINITIVO]],Hoja1!$A$1:$D$121,2,0)</f>
        <v>15230</v>
      </c>
      <c r="X1301" s="12">
        <f>VLOOKUP(Tabla4[[#This Row],[ZONA DEFINITIVO]],Hoja1!$A$1:$D$121,4,0)</f>
        <v>87125</v>
      </c>
      <c r="Y1301" s="12" t="str">
        <f>+IF(Tabla4[[#This Row],[AGRUPACIONES]]=1,SUMIFS(Tabla4[UDS],Tabla4[ZONA DEFINITIVO],Tabla4[[#This Row],[ZONA DEFINITIVO]])," ")</f>
        <v xml:space="preserve"> </v>
      </c>
      <c r="Z1301" s="12" t="str">
        <f>+IF(Tabla4[[#This Row],[AGRUPACIONES]]=1,SUMIFS(Tabla4[TOTAL COBERTURA],Tabla4[ZONA DEFINITIVO],Tabla4[[#This Row],[ZONA DEFINITIVO]])," ")</f>
        <v xml:space="preserve"> </v>
      </c>
      <c r="AA1301" s="12"/>
      <c r="AB1301" s="38">
        <v>75965250</v>
      </c>
      <c r="AC1301" s="37">
        <v>0.02</v>
      </c>
      <c r="AD1301" s="38">
        <f t="shared" si="21"/>
        <v>1519305</v>
      </c>
      <c r="AE1301" s="12"/>
      <c r="AF1301" s="12">
        <f>COUNTIF($A$20:A1301,A1301)</f>
        <v>15</v>
      </c>
      <c r="AG1301" s="38">
        <v>75965250</v>
      </c>
      <c r="AH1301" s="38">
        <f>Tabla4[[#This Row],[VALOR CONTRAPARTIDA]]+Tabla4[[#This Row],[TOTAL APORTES ICBF]]</f>
        <v>77484555</v>
      </c>
      <c r="AI1301" s="35"/>
      <c r="AJ1301" s="38"/>
      <c r="AK1301" s="38"/>
      <c r="AL1301" s="23"/>
      <c r="AM1301" s="35">
        <f>VLOOKUP(Tabla4[[#This Row],[SERVICIO 2025]],$J$2:$V$14,5,0)*Tabla4[[#This Row],[TOTAL COBERTURA]]</f>
        <v>2337200</v>
      </c>
      <c r="AN1301" s="35">
        <f>VLOOKUP(Tabla4[[#This Row],[SERVICIO 2025]],$J$2:$V$14,6,0)*Tabla4[[#This Row],[TOTAL COBERTURA]]</f>
        <v>1892050</v>
      </c>
      <c r="AO1301" s="35">
        <f>VLOOKUP(Tabla4[[#This Row],[SERVICIO 2025]],$J$2:$V$14,8,0)*Tabla4[[#This Row],[TOTAL COBERTURA]]</f>
        <v>0</v>
      </c>
      <c r="AP1301" s="35">
        <f>VLOOKUP(Tabla4[[#This Row],[SERVICIO 2025]],$J$2:$V$14,3,0)*Tabla4[[#This Row],[TOTAL COBERTURA]]*8</f>
        <v>71736000</v>
      </c>
      <c r="AQ1301" s="35"/>
      <c r="AR1301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1301" s="35" t="str">
        <f>+IF(Tabla4[[#This Row],[AGRUPACIONES]]=1,SUMIFS(Tabla4[VALOR TOTAL],Tabla4[ZONA DEFINITIVO],Tabla4[[#This Row],[ZONA DEFINITIVO]])," ")</f>
        <v xml:space="preserve"> </v>
      </c>
      <c r="AT1301" s="27">
        <f>(VLOOKUP(Tabla4[[#This Row],[SERVICIO 2025]],$J$2:$V$14,3,0)*Tabla4[[#This Row],[TOTAL COBERTURA]])+Tabla4[[#This Row],[VALOR FASE PREPARATORIA DE ALISTAMIENTO]]+Tabla4[[#This Row],[DOTACIÓN ÚNICA]]</f>
        <v>11304200</v>
      </c>
      <c r="AU1301" s="35">
        <f>(VLOOKUP(Tabla4[[#This Row],[SERVICIO 2025]],$J$2:$V$14,3,0)*Tabla4[[#This Row],[TOTAL COBERTURA]])</f>
        <v>8967000</v>
      </c>
      <c r="AV1301" s="35">
        <f>(VLOOKUP(Tabla4[[#This Row],[SERVICIO 2025]],$J$2:$V$14,3,0)*Tabla4[[#This Row],[TOTAL COBERTURA]])</f>
        <v>8967000</v>
      </c>
      <c r="AW1301" s="35">
        <f>(VLOOKUP(Tabla4[[#This Row],[SERVICIO 2025]],$J$2:$V$14,3,0)*Tabla4[[#This Row],[TOTAL COBERTURA]])</f>
        <v>8967000</v>
      </c>
      <c r="AX1301" s="35">
        <f>(VLOOKUP(Tabla4[[#This Row],[SERVICIO 2025]],$J$2:$V$14,3,0)*Tabla4[[#This Row],[TOTAL COBERTURA]])</f>
        <v>8967000</v>
      </c>
      <c r="AY1301" s="35">
        <f>(VLOOKUP(Tabla4[[#This Row],[SERVICIO 2025]],$J$2:$V$14,3,0)*Tabla4[[#This Row],[TOTAL COBERTURA]])</f>
        <v>8967000</v>
      </c>
      <c r="AZ1301" s="35">
        <f>(VLOOKUP(Tabla4[[#This Row],[SERVICIO 2025]],$J$2:$V$14,3,0)*Tabla4[[#This Row],[TOTAL COBERTURA]])</f>
        <v>8967000</v>
      </c>
      <c r="BA1301" s="35">
        <f>(VLOOKUP(Tabla4[[#This Row],[SERVICIO 2025]],$J$2:$V$14,3,0)*Tabla4[[#This Row],[TOTAL COBERTURA]])+Tabla4[[#This Row],[VALOR FASE PREPARATORIA DE CIERRE]]</f>
        <v>10859050</v>
      </c>
      <c r="BB1301" s="35">
        <f>SUM(Tabla4[[#This Row],[DESEMBOLSO 1]:[DESEMBOLSO 8]])</f>
        <v>75965250</v>
      </c>
      <c r="BC1301" s="35">
        <f>VLOOKUP(Tabla4[[#This Row],[SERVICIO 2025]],$J$2:$V$14,10,0)*Tabla4[[#This Row],[TOTAL COBERTURA]]*$W$3</f>
        <v>75328400</v>
      </c>
      <c r="BD1301" s="47" t="s">
        <v>211</v>
      </c>
      <c r="BE1301" s="12" t="b">
        <f>EXACT(Tabla4[[#This Row],[VALOR ATENCIÓN (8 MESES)]],Tabla4[[#This Row],[VALOR TOTAL]])</f>
        <v>1</v>
      </c>
      <c r="BF1301" s="23">
        <f>Tabla4[[#This Row],[VALOR ATENCIÓN (8 MESES)]]-Tabla4[[#This Row],[VALOR TOTAL]]</f>
        <v>0</v>
      </c>
      <c r="BG1301" s="12" t="b">
        <f>EXACT(Tabla4[[#This Row],[TOTAL DESEMBOLSOS]],Tabla4[[#This Row],[VALOR ATENCIÓN (8 MESES)]])</f>
        <v>1</v>
      </c>
      <c r="BH1301" s="29">
        <f>Tabla4[[#This Row],[TOTAL DESEMBOLSOS]]-Tabla4[[#This Row],[VALOR ATENCIÓN (8 MESES)]]</f>
        <v>0</v>
      </c>
      <c r="BI1301" t="s">
        <v>98</v>
      </c>
      <c r="BJ1301">
        <v>2030</v>
      </c>
    </row>
    <row r="1302" spans="1:62">
      <c r="A1302" s="13">
        <v>2030</v>
      </c>
      <c r="B1302" s="13" t="s">
        <v>2789</v>
      </c>
      <c r="C1302" s="12" t="s">
        <v>87</v>
      </c>
      <c r="D1302" s="12" t="s">
        <v>88</v>
      </c>
      <c r="E1302" s="12" t="s">
        <v>2743</v>
      </c>
      <c r="F1302" s="12" t="s">
        <v>21</v>
      </c>
      <c r="G1302" s="12" t="s">
        <v>90</v>
      </c>
      <c r="H1302" s="12" t="s">
        <v>2816</v>
      </c>
      <c r="I1302" s="12">
        <v>50881155675</v>
      </c>
      <c r="J1302" s="12" t="s">
        <v>2817</v>
      </c>
      <c r="K1302" s="12">
        <v>1</v>
      </c>
      <c r="L1302" s="12">
        <v>50</v>
      </c>
      <c r="M1302" s="12"/>
      <c r="N1302" s="13">
        <v>2030</v>
      </c>
      <c r="O1302" s="12" t="s">
        <v>93</v>
      </c>
      <c r="P1302" s="12"/>
      <c r="Q1302" s="12"/>
      <c r="R1302" s="12" t="s">
        <v>94</v>
      </c>
      <c r="S1302" s="12">
        <v>10</v>
      </c>
      <c r="T1302" s="12" t="s">
        <v>2792</v>
      </c>
      <c r="U1302" s="12" t="s">
        <v>2793</v>
      </c>
      <c r="V1302" s="12">
        <f>VLOOKUP(Tabla4[[#This Row],[ZONA DEFINITIVO]],Hoja1!$A$1:$D$121,3,0)</f>
        <v>229175</v>
      </c>
      <c r="W1302" s="12">
        <f>VLOOKUP(Tabla4[[#This Row],[ZONA DEFINITIVO]],Hoja1!$A$1:$D$121,2,0)</f>
        <v>15230</v>
      </c>
      <c r="X1302" s="12">
        <f>VLOOKUP(Tabla4[[#This Row],[ZONA DEFINITIVO]],Hoja1!$A$1:$D$121,4,0)</f>
        <v>87125</v>
      </c>
      <c r="Y1302" s="12" t="str">
        <f>+IF(Tabla4[[#This Row],[AGRUPACIONES]]=1,SUMIFS(Tabla4[UDS],Tabla4[ZONA DEFINITIVO],Tabla4[[#This Row],[ZONA DEFINITIVO]])," ")</f>
        <v xml:space="preserve"> </v>
      </c>
      <c r="Z1302" s="12" t="str">
        <f>+IF(Tabla4[[#This Row],[AGRUPACIONES]]=1,SUMIFS(Tabla4[TOTAL COBERTURA],Tabla4[ZONA DEFINITIVO],Tabla4[[#This Row],[ZONA DEFINITIVO]])," ")</f>
        <v xml:space="preserve"> </v>
      </c>
      <c r="AA1302" s="12"/>
      <c r="AB1302" s="38">
        <v>75965250</v>
      </c>
      <c r="AC1302" s="37">
        <v>0.02</v>
      </c>
      <c r="AD1302" s="38">
        <f t="shared" si="21"/>
        <v>1519305</v>
      </c>
      <c r="AE1302" s="12"/>
      <c r="AF1302" s="12">
        <f>COUNTIF($A$20:A1302,A1302)</f>
        <v>16</v>
      </c>
      <c r="AG1302" s="38">
        <v>75965250</v>
      </c>
      <c r="AH1302" s="38">
        <f>Tabla4[[#This Row],[VALOR CONTRAPARTIDA]]+Tabla4[[#This Row],[TOTAL APORTES ICBF]]</f>
        <v>77484555</v>
      </c>
      <c r="AI1302" s="35"/>
      <c r="AJ1302" s="38"/>
      <c r="AK1302" s="38"/>
      <c r="AL1302" s="23"/>
      <c r="AM1302" s="35">
        <f>VLOOKUP(Tabla4[[#This Row],[SERVICIO 2025]],$J$2:$V$14,5,0)*Tabla4[[#This Row],[TOTAL COBERTURA]]</f>
        <v>2337200</v>
      </c>
      <c r="AN1302" s="35">
        <f>VLOOKUP(Tabla4[[#This Row],[SERVICIO 2025]],$J$2:$V$14,6,0)*Tabla4[[#This Row],[TOTAL COBERTURA]]</f>
        <v>1892050</v>
      </c>
      <c r="AO1302" s="35">
        <f>VLOOKUP(Tabla4[[#This Row],[SERVICIO 2025]],$J$2:$V$14,8,0)*Tabla4[[#This Row],[TOTAL COBERTURA]]</f>
        <v>0</v>
      </c>
      <c r="AP1302" s="35">
        <f>VLOOKUP(Tabla4[[#This Row],[SERVICIO 2025]],$J$2:$V$14,3,0)*Tabla4[[#This Row],[TOTAL COBERTURA]]*8</f>
        <v>71736000</v>
      </c>
      <c r="AQ1302" s="35"/>
      <c r="AR1302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1302" s="35" t="str">
        <f>+IF(Tabla4[[#This Row],[AGRUPACIONES]]=1,SUMIFS(Tabla4[VALOR TOTAL],Tabla4[ZONA DEFINITIVO],Tabla4[[#This Row],[ZONA DEFINITIVO]])," ")</f>
        <v xml:space="preserve"> </v>
      </c>
      <c r="AT1302" s="27">
        <f>(VLOOKUP(Tabla4[[#This Row],[SERVICIO 2025]],$J$2:$V$14,3,0)*Tabla4[[#This Row],[TOTAL COBERTURA]])+Tabla4[[#This Row],[VALOR FASE PREPARATORIA DE ALISTAMIENTO]]+Tabla4[[#This Row],[DOTACIÓN ÚNICA]]</f>
        <v>11304200</v>
      </c>
      <c r="AU1302" s="35">
        <f>(VLOOKUP(Tabla4[[#This Row],[SERVICIO 2025]],$J$2:$V$14,3,0)*Tabla4[[#This Row],[TOTAL COBERTURA]])</f>
        <v>8967000</v>
      </c>
      <c r="AV1302" s="35">
        <f>(VLOOKUP(Tabla4[[#This Row],[SERVICIO 2025]],$J$2:$V$14,3,0)*Tabla4[[#This Row],[TOTAL COBERTURA]])</f>
        <v>8967000</v>
      </c>
      <c r="AW1302" s="35">
        <f>(VLOOKUP(Tabla4[[#This Row],[SERVICIO 2025]],$J$2:$V$14,3,0)*Tabla4[[#This Row],[TOTAL COBERTURA]])</f>
        <v>8967000</v>
      </c>
      <c r="AX1302" s="35">
        <f>(VLOOKUP(Tabla4[[#This Row],[SERVICIO 2025]],$J$2:$V$14,3,0)*Tabla4[[#This Row],[TOTAL COBERTURA]])</f>
        <v>8967000</v>
      </c>
      <c r="AY1302" s="35">
        <f>(VLOOKUP(Tabla4[[#This Row],[SERVICIO 2025]],$J$2:$V$14,3,0)*Tabla4[[#This Row],[TOTAL COBERTURA]])</f>
        <v>8967000</v>
      </c>
      <c r="AZ1302" s="35">
        <f>(VLOOKUP(Tabla4[[#This Row],[SERVICIO 2025]],$J$2:$V$14,3,0)*Tabla4[[#This Row],[TOTAL COBERTURA]])</f>
        <v>8967000</v>
      </c>
      <c r="BA1302" s="35">
        <f>(VLOOKUP(Tabla4[[#This Row],[SERVICIO 2025]],$J$2:$V$14,3,0)*Tabla4[[#This Row],[TOTAL COBERTURA]])+Tabla4[[#This Row],[VALOR FASE PREPARATORIA DE CIERRE]]</f>
        <v>10859050</v>
      </c>
      <c r="BB1302" s="35">
        <f>SUM(Tabla4[[#This Row],[DESEMBOLSO 1]:[DESEMBOLSO 8]])</f>
        <v>75965250</v>
      </c>
      <c r="BC1302" s="35">
        <f>VLOOKUP(Tabla4[[#This Row],[SERVICIO 2025]],$J$2:$V$14,10,0)*Tabla4[[#This Row],[TOTAL COBERTURA]]*$W$3</f>
        <v>75328400</v>
      </c>
      <c r="BD1302" s="47" t="s">
        <v>211</v>
      </c>
      <c r="BE1302" s="12" t="b">
        <f>EXACT(Tabla4[[#This Row],[VALOR ATENCIÓN (8 MESES)]],Tabla4[[#This Row],[VALOR TOTAL]])</f>
        <v>1</v>
      </c>
      <c r="BF1302" s="23">
        <f>Tabla4[[#This Row],[VALOR ATENCIÓN (8 MESES)]]-Tabla4[[#This Row],[VALOR TOTAL]]</f>
        <v>0</v>
      </c>
      <c r="BG1302" s="12" t="b">
        <f>EXACT(Tabla4[[#This Row],[TOTAL DESEMBOLSOS]],Tabla4[[#This Row],[VALOR ATENCIÓN (8 MESES)]])</f>
        <v>1</v>
      </c>
      <c r="BH1302" s="29">
        <f>Tabla4[[#This Row],[TOTAL DESEMBOLSOS]]-Tabla4[[#This Row],[VALOR ATENCIÓN (8 MESES)]]</f>
        <v>0</v>
      </c>
      <c r="BI1302" t="s">
        <v>98</v>
      </c>
      <c r="BJ1302">
        <v>2030</v>
      </c>
    </row>
    <row r="1303" spans="1:62">
      <c r="A1303" s="13">
        <v>2030</v>
      </c>
      <c r="B1303" s="13" t="s">
        <v>2789</v>
      </c>
      <c r="C1303" s="12" t="s">
        <v>87</v>
      </c>
      <c r="D1303" s="12" t="s">
        <v>88</v>
      </c>
      <c r="E1303" s="12" t="s">
        <v>2743</v>
      </c>
      <c r="F1303" s="12" t="s">
        <v>21</v>
      </c>
      <c r="G1303" s="12" t="s">
        <v>90</v>
      </c>
      <c r="H1303" s="12" t="s">
        <v>2818</v>
      </c>
      <c r="I1303" s="12">
        <v>50881155676</v>
      </c>
      <c r="J1303" s="12" t="s">
        <v>2819</v>
      </c>
      <c r="K1303" s="12">
        <v>1</v>
      </c>
      <c r="L1303" s="12">
        <v>50</v>
      </c>
      <c r="M1303" s="12"/>
      <c r="N1303" s="13">
        <v>2030</v>
      </c>
      <c r="O1303" s="12" t="s">
        <v>93</v>
      </c>
      <c r="P1303" s="12"/>
      <c r="Q1303" s="12"/>
      <c r="R1303" s="12" t="s">
        <v>94</v>
      </c>
      <c r="S1303" s="12">
        <v>10</v>
      </c>
      <c r="T1303" s="12" t="s">
        <v>2792</v>
      </c>
      <c r="U1303" s="12" t="s">
        <v>2793</v>
      </c>
      <c r="V1303" s="12">
        <f>VLOOKUP(Tabla4[[#This Row],[ZONA DEFINITIVO]],Hoja1!$A$1:$D$121,3,0)</f>
        <v>229175</v>
      </c>
      <c r="W1303" s="12">
        <f>VLOOKUP(Tabla4[[#This Row],[ZONA DEFINITIVO]],Hoja1!$A$1:$D$121,2,0)</f>
        <v>15230</v>
      </c>
      <c r="X1303" s="12">
        <f>VLOOKUP(Tabla4[[#This Row],[ZONA DEFINITIVO]],Hoja1!$A$1:$D$121,4,0)</f>
        <v>87125</v>
      </c>
      <c r="Y1303" s="12" t="str">
        <f>+IF(Tabla4[[#This Row],[AGRUPACIONES]]=1,SUMIFS(Tabla4[UDS],Tabla4[ZONA DEFINITIVO],Tabla4[[#This Row],[ZONA DEFINITIVO]])," ")</f>
        <v xml:space="preserve"> </v>
      </c>
      <c r="Z1303" s="12" t="str">
        <f>+IF(Tabla4[[#This Row],[AGRUPACIONES]]=1,SUMIFS(Tabla4[TOTAL COBERTURA],Tabla4[ZONA DEFINITIVO],Tabla4[[#This Row],[ZONA DEFINITIVO]])," ")</f>
        <v xml:space="preserve"> </v>
      </c>
      <c r="AA1303" s="12"/>
      <c r="AB1303" s="38">
        <v>75965250</v>
      </c>
      <c r="AC1303" s="37">
        <v>0.02</v>
      </c>
      <c r="AD1303" s="38">
        <f t="shared" si="21"/>
        <v>1519305</v>
      </c>
      <c r="AE1303" s="12"/>
      <c r="AF1303" s="12">
        <f>COUNTIF($A$20:A1303,A1303)</f>
        <v>17</v>
      </c>
      <c r="AG1303" s="38">
        <v>75965250</v>
      </c>
      <c r="AH1303" s="38">
        <f>Tabla4[[#This Row],[VALOR CONTRAPARTIDA]]+Tabla4[[#This Row],[TOTAL APORTES ICBF]]</f>
        <v>77484555</v>
      </c>
      <c r="AI1303" s="35"/>
      <c r="AJ1303" s="38"/>
      <c r="AK1303" s="38"/>
      <c r="AL1303" s="23"/>
      <c r="AM1303" s="35">
        <f>VLOOKUP(Tabla4[[#This Row],[SERVICIO 2025]],$J$2:$V$14,5,0)*Tabla4[[#This Row],[TOTAL COBERTURA]]</f>
        <v>2337200</v>
      </c>
      <c r="AN1303" s="35">
        <f>VLOOKUP(Tabla4[[#This Row],[SERVICIO 2025]],$J$2:$V$14,6,0)*Tabla4[[#This Row],[TOTAL COBERTURA]]</f>
        <v>1892050</v>
      </c>
      <c r="AO1303" s="35">
        <f>VLOOKUP(Tabla4[[#This Row],[SERVICIO 2025]],$J$2:$V$14,8,0)*Tabla4[[#This Row],[TOTAL COBERTURA]]</f>
        <v>0</v>
      </c>
      <c r="AP1303" s="35">
        <f>VLOOKUP(Tabla4[[#This Row],[SERVICIO 2025]],$J$2:$V$14,3,0)*Tabla4[[#This Row],[TOTAL COBERTURA]]*8</f>
        <v>71736000</v>
      </c>
      <c r="AQ1303" s="35"/>
      <c r="AR1303" s="35">
        <f>Tabla4[[#This Row],[VALOR FASE PREPARATORIA DE ALISTAMIENTO]]+Tabla4[[#This Row],[VALOR FASE PREPARATORIA DE CIERRE]]+Tabla4[[#This Row],[DOTACIÓN ÚNICA]]+Tabla4[[#This Row],[VALOR ATENCIÓN]]+Tabla4[[#This Row],[VALOR RACION PREPARADA]]</f>
        <v>75965250</v>
      </c>
      <c r="AS1303" s="35" t="str">
        <f>+IF(Tabla4[[#This Row],[AGRUPACIONES]]=1,SUMIFS(Tabla4[VALOR TOTAL],Tabla4[ZONA DEFINITIVO],Tabla4[[#This Row],[ZONA DEFINITIVO]])," ")</f>
        <v xml:space="preserve"> </v>
      </c>
      <c r="AT1303" s="27">
        <f>(VLOOKUP(Tabla4[[#This Row],[SERVICIO 2025]],$J$2:$V$14,3,0)*Tabla4[[#This Row],[TOTAL COBERTURA]])+Tabla4[[#This Row],[VALOR FASE PREPARATORIA DE ALISTAMIENTO]]+Tabla4[[#This Row],[DOTACIÓN ÚNICA]]</f>
        <v>11304200</v>
      </c>
      <c r="AU1303" s="35">
        <f>(VLOOKUP(Tabla4[[#This Row],[SERVICIO 2025]],$J$2:$V$14,3,0)*Tabla4[[#This Row],[TOTAL COBERTURA]])</f>
        <v>8967000</v>
      </c>
      <c r="AV1303" s="35">
        <f>(VLOOKUP(Tabla4[[#This Row],[SERVICIO 2025]],$J$2:$V$14,3,0)*Tabla4[[#This Row],[TOTAL COBERTURA]])</f>
        <v>8967000</v>
      </c>
      <c r="AW1303" s="35">
        <f>(VLOOKUP(Tabla4[[#This Row],[SERVICIO 2025]],$J$2:$V$14,3,0)*Tabla4[[#This Row],[TOTAL COBERTURA]])</f>
        <v>8967000</v>
      </c>
      <c r="AX1303" s="35">
        <f>(VLOOKUP(Tabla4[[#This Row],[SERVICIO 2025]],$J$2:$V$14,3,0)*Tabla4[[#This Row],[TOTAL COBERTURA]])</f>
        <v>8967000</v>
      </c>
      <c r="AY1303" s="35">
        <f>(VLOOKUP(Tabla4[[#This Row],[SERVICIO 2025]],$J$2:$V$14,3,0)*Tabla4[[#This Row],[TOTAL COBERTURA]])</f>
        <v>8967000</v>
      </c>
      <c r="AZ1303" s="35">
        <f>(VLOOKUP(Tabla4[[#This Row],[SERVICIO 2025]],$J$2:$V$14,3,0)*Tabla4[[#This Row],[TOTAL COBERTURA]])</f>
        <v>8967000</v>
      </c>
      <c r="BA1303" s="35">
        <f>(VLOOKUP(Tabla4[[#This Row],[SERVICIO 2025]],$J$2:$V$14,3,0)*Tabla4[[#This Row],[TOTAL COBERTURA]])+Tabla4[[#This Row],[VALOR FASE PREPARATORIA DE CIERRE]]</f>
        <v>10859050</v>
      </c>
      <c r="BB1303" s="35">
        <f>SUM(Tabla4[[#This Row],[DESEMBOLSO 1]:[DESEMBOLSO 8]])</f>
        <v>75965250</v>
      </c>
      <c r="BC1303" s="35">
        <f>VLOOKUP(Tabla4[[#This Row],[SERVICIO 2025]],$J$2:$V$14,10,0)*Tabla4[[#This Row],[TOTAL COBERTURA]]*$W$3</f>
        <v>75328400</v>
      </c>
      <c r="BD1303" s="47" t="s">
        <v>211</v>
      </c>
      <c r="BE1303" s="12" t="b">
        <f>EXACT(Tabla4[[#This Row],[VALOR ATENCIÓN (8 MESES)]],Tabla4[[#This Row],[VALOR TOTAL]])</f>
        <v>1</v>
      </c>
      <c r="BF1303" s="23">
        <f>Tabla4[[#This Row],[VALOR ATENCIÓN (8 MESES)]]-Tabla4[[#This Row],[VALOR TOTAL]]</f>
        <v>0</v>
      </c>
      <c r="BG1303" s="12" t="b">
        <f>EXACT(Tabla4[[#This Row],[TOTAL DESEMBOLSOS]],Tabla4[[#This Row],[VALOR ATENCIÓN (8 MESES)]])</f>
        <v>1</v>
      </c>
      <c r="BH1303" s="29">
        <f>Tabla4[[#This Row],[TOTAL DESEMBOLSOS]]-Tabla4[[#This Row],[VALOR ATENCIÓN (8 MESES)]]</f>
        <v>0</v>
      </c>
      <c r="BI1303" t="s">
        <v>98</v>
      </c>
      <c r="BJ1303">
        <v>2030</v>
      </c>
    </row>
    <row r="1304" spans="1:62">
      <c r="A1304" s="13">
        <v>2030</v>
      </c>
      <c r="B1304" s="13" t="s">
        <v>2789</v>
      </c>
      <c r="C1304" s="12" t="s">
        <v>87</v>
      </c>
      <c r="D1304" s="12" t="s">
        <v>88</v>
      </c>
      <c r="E1304" s="12" t="s">
        <v>2743</v>
      </c>
      <c r="F1304" s="12" t="s">
        <v>21</v>
      </c>
      <c r="G1304" s="12" t="s">
        <v>90</v>
      </c>
      <c r="H1304" s="12" t="s">
        <v>2820</v>
      </c>
      <c r="I1304" s="12">
        <v>50881155763</v>
      </c>
      <c r="J1304" s="12" t="s">
        <v>2821</v>
      </c>
      <c r="K1304" s="12">
        <v>1</v>
      </c>
      <c r="L1304" s="12">
        <v>46</v>
      </c>
      <c r="M1304" s="12"/>
      <c r="N1304" s="13">
        <v>2030</v>
      </c>
      <c r="O1304" s="12" t="s">
        <v>93</v>
      </c>
      <c r="P1304" s="12"/>
      <c r="Q1304" s="12"/>
      <c r="R1304" s="12" t="s">
        <v>94</v>
      </c>
      <c r="S1304" s="12">
        <v>10</v>
      </c>
      <c r="T1304" s="12" t="s">
        <v>2792</v>
      </c>
      <c r="U1304" s="12" t="s">
        <v>2793</v>
      </c>
      <c r="V1304" s="12">
        <f>VLOOKUP(Tabla4[[#This Row],[ZONA DEFINITIVO]],Hoja1!$A$1:$D$121,3,0)</f>
        <v>229175</v>
      </c>
      <c r="W1304" s="12">
        <f>VLOOKUP(Tabla4[[#This Row],[ZONA DEFINITIVO]],Hoja1!$A$1:$D$121,2,0)</f>
        <v>15230</v>
      </c>
      <c r="X1304" s="12">
        <f>VLOOKUP(Tabla4[[#This Row],[ZONA DEFINITIVO]],Hoja1!$A$1:$D$121,4,0)</f>
        <v>87125</v>
      </c>
      <c r="Y1304" s="12" t="str">
        <f>+IF(Tabla4[[#This Row],[AGRUPACIONES]]=1,SUMIFS(Tabla4[UDS],Tabla4[ZONA DEFINITIVO],Tabla4[[#This Row],[ZONA DEFINITIVO]])," ")</f>
        <v xml:space="preserve"> </v>
      </c>
      <c r="Z1304" s="12" t="str">
        <f>+IF(Tabla4[[#This Row],[AGRUPACIONES]]=1,SUMIFS(Tabla4[TOTAL COBERTURA],Tabla4[ZONA DEFINITIVO],Tabla4[[#This Row],[ZONA DEFINITIVO]])," ")</f>
        <v xml:space="preserve"> </v>
      </c>
      <c r="AA1304" s="12"/>
      <c r="AB1304" s="38">
        <v>69888030</v>
      </c>
      <c r="AC1304" s="37">
        <v>0.02</v>
      </c>
      <c r="AD1304" s="38">
        <f t="shared" si="21"/>
        <v>1397760.6</v>
      </c>
      <c r="AE1304" s="12"/>
      <c r="AF1304" s="12">
        <f>COUNTIF($A$20:A1304,A1304)</f>
        <v>18</v>
      </c>
      <c r="AG1304" s="38">
        <v>69888030</v>
      </c>
      <c r="AH1304" s="38">
        <f>Tabla4[[#This Row],[VALOR CONTRAPARTIDA]]+Tabla4[[#This Row],[TOTAL APORTES ICBF]]</f>
        <v>71285790.599999994</v>
      </c>
      <c r="AI1304" s="35"/>
      <c r="AJ1304" s="38"/>
      <c r="AK1304" s="38"/>
      <c r="AL1304" s="23"/>
      <c r="AM1304" s="35">
        <f>VLOOKUP(Tabla4[[#This Row],[SERVICIO 2025]],$J$2:$V$14,5,0)*Tabla4[[#This Row],[TOTAL COBERTURA]]</f>
        <v>2150224</v>
      </c>
      <c r="AN1304" s="35">
        <f>VLOOKUP(Tabla4[[#This Row],[SERVICIO 2025]],$J$2:$V$14,6,0)*Tabla4[[#This Row],[TOTAL COBERTURA]]</f>
        <v>1740686</v>
      </c>
      <c r="AO1304" s="35">
        <f>VLOOKUP(Tabla4[[#This Row],[SERVICIO 2025]],$J$2:$V$14,8,0)*Tabla4[[#This Row],[TOTAL COBERTURA]]</f>
        <v>0</v>
      </c>
      <c r="AP1304" s="35">
        <f>VLOOKUP(Tabla4[[#This Row],[SERVICIO 2025]],$J$2:$V$14,3,0)*Tabla4[[#This Row],[TOTAL COBERTURA]]*8</f>
        <v>65997120</v>
      </c>
      <c r="AQ1304" s="35"/>
      <c r="AR1304" s="35">
        <f>Tabla4[[#This Row],[VALOR FASE PREPARATORIA DE ALISTAMIENTO]]+Tabla4[[#This Row],[VALOR FASE PREPARATORIA DE CIERRE]]+Tabla4[[#This Row],[DOTACIÓN ÚNICA]]+Tabla4[[#This Row],[VALOR ATENCIÓN]]+Tabla4[[#This Row],[VALOR RACION PREPARADA]]</f>
        <v>69888030</v>
      </c>
      <c r="AS1304" s="35" t="str">
        <f>+IF(Tabla4[[#This Row],[AGRUPACIONES]]=1,SUMIFS(Tabla4[VALOR TOTAL],Tabla4[ZONA DEFINITIVO],Tabla4[[#This Row],[ZONA DEFINITIVO]])," ")</f>
        <v xml:space="preserve"> </v>
      </c>
      <c r="AT1304" s="27">
        <f>(VLOOKUP(Tabla4[[#This Row],[SERVICIO 2025]],$J$2:$V$14,3,0)*Tabla4[[#This Row],[TOTAL COBERTURA]])+Tabla4[[#This Row],[VALOR FASE PREPARATORIA DE ALISTAMIENTO]]+Tabla4[[#This Row],[DOTACIÓN ÚNICA]]</f>
        <v>10399864</v>
      </c>
      <c r="AU1304" s="35">
        <f>(VLOOKUP(Tabla4[[#This Row],[SERVICIO 2025]],$J$2:$V$14,3,0)*Tabla4[[#This Row],[TOTAL COBERTURA]])</f>
        <v>8249640</v>
      </c>
      <c r="AV1304" s="35">
        <f>(VLOOKUP(Tabla4[[#This Row],[SERVICIO 2025]],$J$2:$V$14,3,0)*Tabla4[[#This Row],[TOTAL COBERTURA]])</f>
        <v>8249640</v>
      </c>
      <c r="AW1304" s="35">
        <f>(VLOOKUP(Tabla4[[#This Row],[SERVICIO 2025]],$J$2:$V$14,3,0)*Tabla4[[#This Row],[TOTAL COBERTURA]])</f>
        <v>8249640</v>
      </c>
      <c r="AX1304" s="35">
        <f>(VLOOKUP(Tabla4[[#This Row],[SERVICIO 2025]],$J$2:$V$14,3,0)*Tabla4[[#This Row],[TOTAL COBERTURA]])</f>
        <v>8249640</v>
      </c>
      <c r="AY1304" s="35">
        <f>(VLOOKUP(Tabla4[[#This Row],[SERVICIO 2025]],$J$2:$V$14,3,0)*Tabla4[[#This Row],[TOTAL COBERTURA]])</f>
        <v>8249640</v>
      </c>
      <c r="AZ1304" s="35">
        <f>(VLOOKUP(Tabla4[[#This Row],[SERVICIO 2025]],$J$2:$V$14,3,0)*Tabla4[[#This Row],[TOTAL COBERTURA]])</f>
        <v>8249640</v>
      </c>
      <c r="BA1304" s="35">
        <f>(VLOOKUP(Tabla4[[#This Row],[SERVICIO 2025]],$J$2:$V$14,3,0)*Tabla4[[#This Row],[TOTAL COBERTURA]])+Tabla4[[#This Row],[VALOR FASE PREPARATORIA DE CIERRE]]</f>
        <v>9990326</v>
      </c>
      <c r="BB1304" s="35">
        <f>SUM(Tabla4[[#This Row],[DESEMBOLSO 1]:[DESEMBOLSO 8]])</f>
        <v>69888030</v>
      </c>
      <c r="BC1304" s="35">
        <f>VLOOKUP(Tabla4[[#This Row],[SERVICIO 2025]],$J$2:$V$14,10,0)*Tabla4[[#This Row],[TOTAL COBERTURA]]*$W$3</f>
        <v>69302128</v>
      </c>
      <c r="BD1304" s="47" t="s">
        <v>211</v>
      </c>
      <c r="BE1304" s="12" t="b">
        <f>EXACT(Tabla4[[#This Row],[VALOR ATENCIÓN (8 MESES)]],Tabla4[[#This Row],[VALOR TOTAL]])</f>
        <v>1</v>
      </c>
      <c r="BF1304" s="23">
        <f>Tabla4[[#This Row],[VALOR ATENCIÓN (8 MESES)]]-Tabla4[[#This Row],[VALOR TOTAL]]</f>
        <v>0</v>
      </c>
      <c r="BG1304" s="12" t="b">
        <f>EXACT(Tabla4[[#This Row],[TOTAL DESEMBOLSOS]],Tabla4[[#This Row],[VALOR ATENCIÓN (8 MESES)]])</f>
        <v>1</v>
      </c>
      <c r="BH1304" s="29">
        <f>Tabla4[[#This Row],[TOTAL DESEMBOLSOS]]-Tabla4[[#This Row],[VALOR ATENCIÓN (8 MESES)]]</f>
        <v>0</v>
      </c>
      <c r="BI1304" t="s">
        <v>98</v>
      </c>
      <c r="BJ1304">
        <v>2030</v>
      </c>
    </row>
    <row r="1305" spans="1:62">
      <c r="A1305" s="13">
        <v>2030</v>
      </c>
      <c r="B1305" s="13" t="s">
        <v>2789</v>
      </c>
      <c r="C1305" s="12" t="s">
        <v>87</v>
      </c>
      <c r="D1305" s="12" t="s">
        <v>88</v>
      </c>
      <c r="E1305" s="12" t="s">
        <v>2743</v>
      </c>
      <c r="F1305" s="12" t="s">
        <v>21</v>
      </c>
      <c r="G1305" s="12" t="s">
        <v>90</v>
      </c>
      <c r="H1305" s="12" t="s">
        <v>2822</v>
      </c>
      <c r="I1305" s="12">
        <v>508800115570</v>
      </c>
      <c r="J1305" s="12" t="s">
        <v>2823</v>
      </c>
      <c r="K1305" s="12">
        <v>1</v>
      </c>
      <c r="L1305" s="12">
        <v>53</v>
      </c>
      <c r="M1305" s="12"/>
      <c r="N1305" s="13">
        <v>2030</v>
      </c>
      <c r="O1305" s="12" t="s">
        <v>93</v>
      </c>
      <c r="P1305" s="12"/>
      <c r="Q1305" s="12"/>
      <c r="R1305" s="12" t="s">
        <v>94</v>
      </c>
      <c r="S1305" s="12">
        <v>10</v>
      </c>
      <c r="T1305" s="12" t="s">
        <v>2792</v>
      </c>
      <c r="U1305" s="12" t="s">
        <v>2793</v>
      </c>
      <c r="V1305" s="12">
        <f>VLOOKUP(Tabla4[[#This Row],[ZONA DEFINITIVO]],Hoja1!$A$1:$D$121,3,0)</f>
        <v>229175</v>
      </c>
      <c r="W1305" s="12">
        <f>VLOOKUP(Tabla4[[#This Row],[ZONA DEFINITIVO]],Hoja1!$A$1:$D$121,2,0)</f>
        <v>15230</v>
      </c>
      <c r="X1305" s="12">
        <f>VLOOKUP(Tabla4[[#This Row],[ZONA DEFINITIVO]],Hoja1!$A$1:$D$121,4,0)</f>
        <v>87125</v>
      </c>
      <c r="Y1305" s="12" t="str">
        <f>+IF(Tabla4[[#This Row],[AGRUPACIONES]]=1,SUMIFS(Tabla4[UDS],Tabla4[ZONA DEFINITIVO],Tabla4[[#This Row],[ZONA DEFINITIVO]])," ")</f>
        <v xml:space="preserve"> </v>
      </c>
      <c r="Z1305" s="12" t="str">
        <f>+IF(Tabla4[[#This Row],[AGRUPACIONES]]=1,SUMIFS(Tabla4[TOTAL COBERTURA],Tabla4[ZONA DEFINITIVO],Tabla4[[#This Row],[ZONA DEFINITIVO]])," ")</f>
        <v xml:space="preserve"> </v>
      </c>
      <c r="AA1305" s="12"/>
      <c r="AB1305" s="38">
        <v>80523165</v>
      </c>
      <c r="AC1305" s="37">
        <v>0.02</v>
      </c>
      <c r="AD1305" s="38">
        <f t="shared" si="21"/>
        <v>1610463.3</v>
      </c>
      <c r="AE1305" s="12"/>
      <c r="AF1305" s="12">
        <f>COUNTIF($A$20:A1305,A1305)</f>
        <v>19</v>
      </c>
      <c r="AG1305" s="38">
        <v>80523165</v>
      </c>
      <c r="AH1305" s="38">
        <f>Tabla4[[#This Row],[VALOR CONTRAPARTIDA]]+Tabla4[[#This Row],[TOTAL APORTES ICBF]]</f>
        <v>82133628.299999997</v>
      </c>
      <c r="AI1305" s="35"/>
      <c r="AJ1305" s="38"/>
      <c r="AK1305" s="38"/>
      <c r="AL1305" s="23"/>
      <c r="AM1305" s="35">
        <f>VLOOKUP(Tabla4[[#This Row],[SERVICIO 2025]],$J$2:$V$14,5,0)*Tabla4[[#This Row],[TOTAL COBERTURA]]</f>
        <v>2477432</v>
      </c>
      <c r="AN1305" s="35">
        <f>VLOOKUP(Tabla4[[#This Row],[SERVICIO 2025]],$J$2:$V$14,6,0)*Tabla4[[#This Row],[TOTAL COBERTURA]]</f>
        <v>2005573</v>
      </c>
      <c r="AO1305" s="35">
        <f>VLOOKUP(Tabla4[[#This Row],[SERVICIO 2025]],$J$2:$V$14,8,0)*Tabla4[[#This Row],[TOTAL COBERTURA]]</f>
        <v>0</v>
      </c>
      <c r="AP1305" s="35">
        <f>VLOOKUP(Tabla4[[#This Row],[SERVICIO 2025]],$J$2:$V$14,3,0)*Tabla4[[#This Row],[TOTAL COBERTURA]]*8</f>
        <v>76040160</v>
      </c>
      <c r="AQ1305" s="35"/>
      <c r="AR1305" s="35">
        <f>Tabla4[[#This Row],[VALOR FASE PREPARATORIA DE ALISTAMIENTO]]+Tabla4[[#This Row],[VALOR FASE PREPARATORIA DE CIERRE]]+Tabla4[[#This Row],[DOTACIÓN ÚNICA]]+Tabla4[[#This Row],[VALOR ATENCIÓN]]+Tabla4[[#This Row],[VALOR RACION PREPARADA]]</f>
        <v>80523165</v>
      </c>
      <c r="AS1305" s="35" t="str">
        <f>+IF(Tabla4[[#This Row],[AGRUPACIONES]]=1,SUMIFS(Tabla4[VALOR TOTAL],Tabla4[ZONA DEFINITIVO],Tabla4[[#This Row],[ZONA DEFINITIVO]])," ")</f>
        <v xml:space="preserve"> </v>
      </c>
      <c r="AT1305" s="27">
        <f>(VLOOKUP(Tabla4[[#This Row],[SERVICIO 2025]],$J$2:$V$14,3,0)*Tabla4[[#This Row],[TOTAL COBERTURA]])+Tabla4[[#This Row],[VALOR FASE PREPARATORIA DE ALISTAMIENTO]]+Tabla4[[#This Row],[DOTACIÓN ÚNICA]]</f>
        <v>11982452</v>
      </c>
      <c r="AU1305" s="35">
        <f>(VLOOKUP(Tabla4[[#This Row],[SERVICIO 2025]],$J$2:$V$14,3,0)*Tabla4[[#This Row],[TOTAL COBERTURA]])</f>
        <v>9505020</v>
      </c>
      <c r="AV1305" s="35">
        <f>(VLOOKUP(Tabla4[[#This Row],[SERVICIO 2025]],$J$2:$V$14,3,0)*Tabla4[[#This Row],[TOTAL COBERTURA]])</f>
        <v>9505020</v>
      </c>
      <c r="AW1305" s="35">
        <f>(VLOOKUP(Tabla4[[#This Row],[SERVICIO 2025]],$J$2:$V$14,3,0)*Tabla4[[#This Row],[TOTAL COBERTURA]])</f>
        <v>9505020</v>
      </c>
      <c r="AX1305" s="35">
        <f>(VLOOKUP(Tabla4[[#This Row],[SERVICIO 2025]],$J$2:$V$14,3,0)*Tabla4[[#This Row],[TOTAL COBERTURA]])</f>
        <v>9505020</v>
      </c>
      <c r="AY1305" s="35">
        <f>(VLOOKUP(Tabla4[[#This Row],[SERVICIO 2025]],$J$2:$V$14,3,0)*Tabla4[[#This Row],[TOTAL COBERTURA]])</f>
        <v>9505020</v>
      </c>
      <c r="AZ1305" s="35">
        <f>(VLOOKUP(Tabla4[[#This Row],[SERVICIO 2025]],$J$2:$V$14,3,0)*Tabla4[[#This Row],[TOTAL COBERTURA]])</f>
        <v>9505020</v>
      </c>
      <c r="BA1305" s="35">
        <f>(VLOOKUP(Tabla4[[#This Row],[SERVICIO 2025]],$J$2:$V$14,3,0)*Tabla4[[#This Row],[TOTAL COBERTURA]])+Tabla4[[#This Row],[VALOR FASE PREPARATORIA DE CIERRE]]</f>
        <v>11510593</v>
      </c>
      <c r="BB1305" s="35">
        <f>SUM(Tabla4[[#This Row],[DESEMBOLSO 1]:[DESEMBOLSO 8]])</f>
        <v>80523165</v>
      </c>
      <c r="BC1305" s="35">
        <f>VLOOKUP(Tabla4[[#This Row],[SERVICIO 2025]],$J$2:$V$14,10,0)*Tabla4[[#This Row],[TOTAL COBERTURA]]*$W$3</f>
        <v>79848104</v>
      </c>
      <c r="BD1305" s="47" t="s">
        <v>211</v>
      </c>
      <c r="BE1305" s="12" t="b">
        <f>EXACT(Tabla4[[#This Row],[VALOR ATENCIÓN (8 MESES)]],Tabla4[[#This Row],[VALOR TOTAL]])</f>
        <v>1</v>
      </c>
      <c r="BF1305" s="23">
        <f>Tabla4[[#This Row],[VALOR ATENCIÓN (8 MESES)]]-Tabla4[[#This Row],[VALOR TOTAL]]</f>
        <v>0</v>
      </c>
      <c r="BG1305" s="12" t="b">
        <f>EXACT(Tabla4[[#This Row],[TOTAL DESEMBOLSOS]],Tabla4[[#This Row],[VALOR ATENCIÓN (8 MESES)]])</f>
        <v>1</v>
      </c>
      <c r="BH1305" s="29">
        <f>Tabla4[[#This Row],[TOTAL DESEMBOLSOS]]-Tabla4[[#This Row],[VALOR ATENCIÓN (8 MESES)]]</f>
        <v>0</v>
      </c>
      <c r="BI1305" t="s">
        <v>98</v>
      </c>
      <c r="BJ1305">
        <v>2030</v>
      </c>
    </row>
    <row r="1306" spans="1:62">
      <c r="A1306" s="13">
        <v>2030</v>
      </c>
      <c r="B1306" s="13" t="s">
        <v>2789</v>
      </c>
      <c r="C1306" s="12" t="s">
        <v>87</v>
      </c>
      <c r="D1306" s="12" t="s">
        <v>88</v>
      </c>
      <c r="E1306" s="12" t="s">
        <v>2743</v>
      </c>
      <c r="F1306" s="12" t="s">
        <v>21</v>
      </c>
      <c r="G1306" s="12" t="s">
        <v>90</v>
      </c>
      <c r="H1306" s="12" t="s">
        <v>2822</v>
      </c>
      <c r="I1306" s="12">
        <v>508800115571</v>
      </c>
      <c r="J1306" s="12" t="s">
        <v>2824</v>
      </c>
      <c r="K1306" s="12">
        <v>1</v>
      </c>
      <c r="L1306" s="12">
        <v>52</v>
      </c>
      <c r="M1306" s="12"/>
      <c r="N1306" s="13">
        <v>2030</v>
      </c>
      <c r="O1306" s="12" t="s">
        <v>93</v>
      </c>
      <c r="P1306" s="12"/>
      <c r="Q1306" s="12"/>
      <c r="R1306" s="12" t="s">
        <v>94</v>
      </c>
      <c r="S1306" s="12">
        <v>10</v>
      </c>
      <c r="T1306" s="12" t="s">
        <v>2792</v>
      </c>
      <c r="U1306" s="12" t="s">
        <v>2793</v>
      </c>
      <c r="V1306" s="12">
        <f>VLOOKUP(Tabla4[[#This Row],[ZONA DEFINITIVO]],Hoja1!$A$1:$D$121,3,0)</f>
        <v>229175</v>
      </c>
      <c r="W1306" s="12">
        <f>VLOOKUP(Tabla4[[#This Row],[ZONA DEFINITIVO]],Hoja1!$A$1:$D$121,2,0)</f>
        <v>15230</v>
      </c>
      <c r="X1306" s="12">
        <f>VLOOKUP(Tabla4[[#This Row],[ZONA DEFINITIVO]],Hoja1!$A$1:$D$121,4,0)</f>
        <v>87125</v>
      </c>
      <c r="Y1306" s="12" t="str">
        <f>+IF(Tabla4[[#This Row],[AGRUPACIONES]]=1,SUMIFS(Tabla4[UDS],Tabla4[ZONA DEFINITIVO],Tabla4[[#This Row],[ZONA DEFINITIVO]])," ")</f>
        <v xml:space="preserve"> </v>
      </c>
      <c r="Z1306" s="12" t="str">
        <f>+IF(Tabla4[[#This Row],[AGRUPACIONES]]=1,SUMIFS(Tabla4[TOTAL COBERTURA],Tabla4[ZONA DEFINITIVO],Tabla4[[#This Row],[ZONA DEFINITIVO]])," ")</f>
        <v xml:space="preserve"> </v>
      </c>
      <c r="AA1306" s="12"/>
      <c r="AB1306" s="38">
        <v>79003860</v>
      </c>
      <c r="AC1306" s="37">
        <v>0.02</v>
      </c>
      <c r="AD1306" s="38">
        <f t="shared" si="21"/>
        <v>1580077.2</v>
      </c>
      <c r="AE1306" s="12"/>
      <c r="AF1306" s="12">
        <f>COUNTIF($A$20:A1306,A1306)</f>
        <v>20</v>
      </c>
      <c r="AG1306" s="38">
        <v>79003860</v>
      </c>
      <c r="AH1306" s="38">
        <f>Tabla4[[#This Row],[VALOR CONTRAPARTIDA]]+Tabla4[[#This Row],[TOTAL APORTES ICBF]]</f>
        <v>80583937.200000003</v>
      </c>
      <c r="AI1306" s="35"/>
      <c r="AJ1306" s="38"/>
      <c r="AK1306" s="38"/>
      <c r="AL1306" s="23"/>
      <c r="AM1306" s="35">
        <f>VLOOKUP(Tabla4[[#This Row],[SERVICIO 2025]],$J$2:$V$14,5,0)*Tabla4[[#This Row],[TOTAL COBERTURA]]</f>
        <v>2430688</v>
      </c>
      <c r="AN1306" s="35">
        <f>VLOOKUP(Tabla4[[#This Row],[SERVICIO 2025]],$J$2:$V$14,6,0)*Tabla4[[#This Row],[TOTAL COBERTURA]]</f>
        <v>1967732</v>
      </c>
      <c r="AO1306" s="35">
        <f>VLOOKUP(Tabla4[[#This Row],[SERVICIO 2025]],$J$2:$V$14,8,0)*Tabla4[[#This Row],[TOTAL COBERTURA]]</f>
        <v>0</v>
      </c>
      <c r="AP1306" s="35">
        <f>VLOOKUP(Tabla4[[#This Row],[SERVICIO 2025]],$J$2:$V$14,3,0)*Tabla4[[#This Row],[TOTAL COBERTURA]]*8</f>
        <v>74605440</v>
      </c>
      <c r="AQ1306" s="35"/>
      <c r="AR1306" s="35">
        <f>Tabla4[[#This Row],[VALOR FASE PREPARATORIA DE ALISTAMIENTO]]+Tabla4[[#This Row],[VALOR FASE PREPARATORIA DE CIERRE]]+Tabla4[[#This Row],[DOTACIÓN ÚNICA]]+Tabla4[[#This Row],[VALOR ATENCIÓN]]+Tabla4[[#This Row],[VALOR RACION PREPARADA]]</f>
        <v>79003860</v>
      </c>
      <c r="AS1306" s="35" t="str">
        <f>+IF(Tabla4[[#This Row],[AGRUPACIONES]]=1,SUMIFS(Tabla4[VALOR TOTAL],Tabla4[ZONA DEFINITIVO],Tabla4[[#This Row],[ZONA DEFINITIVO]])," ")</f>
        <v xml:space="preserve"> </v>
      </c>
      <c r="AT1306" s="27">
        <f>(VLOOKUP(Tabla4[[#This Row],[SERVICIO 2025]],$J$2:$V$14,3,0)*Tabla4[[#This Row],[TOTAL COBERTURA]])+Tabla4[[#This Row],[VALOR FASE PREPARATORIA DE ALISTAMIENTO]]+Tabla4[[#This Row],[DOTACIÓN ÚNICA]]</f>
        <v>11756368</v>
      </c>
      <c r="AU1306" s="35">
        <f>(VLOOKUP(Tabla4[[#This Row],[SERVICIO 2025]],$J$2:$V$14,3,0)*Tabla4[[#This Row],[TOTAL COBERTURA]])</f>
        <v>9325680</v>
      </c>
      <c r="AV1306" s="35">
        <f>(VLOOKUP(Tabla4[[#This Row],[SERVICIO 2025]],$J$2:$V$14,3,0)*Tabla4[[#This Row],[TOTAL COBERTURA]])</f>
        <v>9325680</v>
      </c>
      <c r="AW1306" s="35">
        <f>(VLOOKUP(Tabla4[[#This Row],[SERVICIO 2025]],$J$2:$V$14,3,0)*Tabla4[[#This Row],[TOTAL COBERTURA]])</f>
        <v>9325680</v>
      </c>
      <c r="AX1306" s="35">
        <f>(VLOOKUP(Tabla4[[#This Row],[SERVICIO 2025]],$J$2:$V$14,3,0)*Tabla4[[#This Row],[TOTAL COBERTURA]])</f>
        <v>9325680</v>
      </c>
      <c r="AY1306" s="35">
        <f>(VLOOKUP(Tabla4[[#This Row],[SERVICIO 2025]],$J$2:$V$14,3,0)*Tabla4[[#This Row],[TOTAL COBERTURA]])</f>
        <v>9325680</v>
      </c>
      <c r="AZ1306" s="35">
        <f>(VLOOKUP(Tabla4[[#This Row],[SERVICIO 2025]],$J$2:$V$14,3,0)*Tabla4[[#This Row],[TOTAL COBERTURA]])</f>
        <v>9325680</v>
      </c>
      <c r="BA1306" s="35">
        <f>(VLOOKUP(Tabla4[[#This Row],[SERVICIO 2025]],$J$2:$V$14,3,0)*Tabla4[[#This Row],[TOTAL COBERTURA]])+Tabla4[[#This Row],[VALOR FASE PREPARATORIA DE CIERRE]]</f>
        <v>11293412</v>
      </c>
      <c r="BB1306" s="35">
        <f>SUM(Tabla4[[#This Row],[DESEMBOLSO 1]:[DESEMBOLSO 8]])</f>
        <v>79003860</v>
      </c>
      <c r="BC1306" s="35">
        <f>VLOOKUP(Tabla4[[#This Row],[SERVICIO 2025]],$J$2:$V$14,10,0)*Tabla4[[#This Row],[TOTAL COBERTURA]]*$W$3</f>
        <v>78341536</v>
      </c>
      <c r="BD1306" s="47" t="s">
        <v>211</v>
      </c>
      <c r="BE1306" s="12" t="b">
        <f>EXACT(Tabla4[[#This Row],[VALOR ATENCIÓN (8 MESES)]],Tabla4[[#This Row],[VALOR TOTAL]])</f>
        <v>1</v>
      </c>
      <c r="BF1306" s="23">
        <f>Tabla4[[#This Row],[VALOR ATENCIÓN (8 MESES)]]-Tabla4[[#This Row],[VALOR TOTAL]]</f>
        <v>0</v>
      </c>
      <c r="BG1306" s="12" t="b">
        <f>EXACT(Tabla4[[#This Row],[TOTAL DESEMBOLSOS]],Tabla4[[#This Row],[VALOR ATENCIÓN (8 MESES)]])</f>
        <v>1</v>
      </c>
      <c r="BH1306" s="29">
        <f>Tabla4[[#This Row],[TOTAL DESEMBOLSOS]]-Tabla4[[#This Row],[VALOR ATENCIÓN (8 MESES)]]</f>
        <v>0</v>
      </c>
      <c r="BI1306" t="s">
        <v>98</v>
      </c>
      <c r="BJ1306">
        <v>2030</v>
      </c>
    </row>
    <row r="1307" spans="1:62">
      <c r="A1307" s="13">
        <v>2031</v>
      </c>
      <c r="B1307" s="13" t="s">
        <v>2825</v>
      </c>
      <c r="C1307" s="12" t="s">
        <v>87</v>
      </c>
      <c r="D1307" s="12" t="s">
        <v>88</v>
      </c>
      <c r="E1307" s="12" t="s">
        <v>2743</v>
      </c>
      <c r="F1307" s="12" t="s">
        <v>22</v>
      </c>
      <c r="G1307" s="12" t="s">
        <v>90</v>
      </c>
      <c r="H1307" s="12" t="s">
        <v>2826</v>
      </c>
      <c r="I1307" s="12">
        <v>500100049068</v>
      </c>
      <c r="J1307" s="12" t="s">
        <v>2827</v>
      </c>
      <c r="K1307" s="12">
        <v>1</v>
      </c>
      <c r="L1307" s="12">
        <v>48</v>
      </c>
      <c r="M1307" s="12"/>
      <c r="N1307" s="13">
        <v>2031</v>
      </c>
      <c r="O1307" s="12" t="s">
        <v>93</v>
      </c>
      <c r="P1307" s="12"/>
      <c r="Q1307" s="12"/>
      <c r="R1307" s="12" t="s">
        <v>94</v>
      </c>
      <c r="S1307" s="12">
        <v>10</v>
      </c>
      <c r="T1307" s="12" t="s">
        <v>2828</v>
      </c>
      <c r="U1307" s="12" t="s">
        <v>2829</v>
      </c>
      <c r="V1307" s="12">
        <f>VLOOKUP(Tabla4[[#This Row],[ZONA DEFINITIVO]],Hoja1!$A$1:$D$121,3,0)</f>
        <v>229176</v>
      </c>
      <c r="W1307" s="12">
        <f>VLOOKUP(Tabla4[[#This Row],[ZONA DEFINITIVO]],Hoja1!$A$1:$D$121,2,0)</f>
        <v>15256</v>
      </c>
      <c r="X1307" s="12">
        <f>VLOOKUP(Tabla4[[#This Row],[ZONA DEFINITIVO]],Hoja1!$A$1:$D$121,4,0)</f>
        <v>89925</v>
      </c>
      <c r="Y1307" s="12">
        <f>+IF(Tabla4[[#This Row],[AGRUPACIONES]]=1,SUMIFS(Tabla4[UDS],Tabla4[ZONA DEFINITIVO],Tabla4[[#This Row],[ZONA DEFINITIVO]])," ")</f>
        <v>5</v>
      </c>
      <c r="Z1307" s="12">
        <f>+IF(Tabla4[[#This Row],[AGRUPACIONES]]=1,SUMIFS(Tabla4[TOTAL COBERTURA],Tabla4[ZONA DEFINITIVO],Tabla4[[#This Row],[ZONA DEFINITIVO]])," ")</f>
        <v>762</v>
      </c>
      <c r="AA1307" s="12"/>
      <c r="AB1307" s="38">
        <v>201064800</v>
      </c>
      <c r="AC1307" s="37">
        <v>0.02</v>
      </c>
      <c r="AD1307" s="38">
        <f t="shared" si="21"/>
        <v>4021296</v>
      </c>
      <c r="AE1307" s="12"/>
      <c r="AF1307" s="12">
        <f>COUNTIF($A$20:A1307,A1307)</f>
        <v>1</v>
      </c>
      <c r="AG1307" s="38">
        <v>201064800</v>
      </c>
      <c r="AH1307" s="38">
        <f>Tabla4[[#This Row],[VALOR CONTRAPARTIDA]]+Tabla4[[#This Row],[TOTAL APORTES ICBF]]</f>
        <v>205086096</v>
      </c>
      <c r="AI1307" s="35">
        <f>ROUND(+IF(Tabla4[[#This Row],[AGRUPACIONES]]=1,SUMIFS(Tabla4[TOTAL APORTES ICBF],Tabla4[ZONA DEFINITIVO],Tabla4[[#This Row],[ZONA DEFINITIVO]])," "),0)</f>
        <v>3191903700</v>
      </c>
      <c r="AJ1307" s="38">
        <f>ROUND(+IF(Tabla4[[#This Row],[AGRUPACIONES]]=1,SUMIFS(Tabla4[VALOR CONTRAPARTIDA],Tabla4[ZONA DEFINITIVO],Tabla4[[#This Row],[ZONA DEFINITIVO]])," "),0)</f>
        <v>63838074</v>
      </c>
      <c r="AK1307" s="38">
        <f>Tabla4[[#This Row],[TOTAL APORTES ICBF AGRUPADO]]+Tabla4[[#This Row],[TOTAL CONTRAPARTIDA AGRUPADO]]</f>
        <v>3255741774</v>
      </c>
      <c r="AL1307" s="23">
        <f>Tabla4[[#This Row],[TOTAL APORTES ICBF AGRUPADO]]/$AL$18</f>
        <v>2242.2927291886194</v>
      </c>
      <c r="AM1307" s="35">
        <f>VLOOKUP(Tabla4[[#This Row],[SERVICIO 2025]],$J$2:$V$14,5,0)*Tabla4[[#This Row],[TOTAL COBERTURA]]</f>
        <v>4230864</v>
      </c>
      <c r="AN1307" s="35">
        <f>VLOOKUP(Tabla4[[#This Row],[SERVICIO 2025]],$J$2:$V$14,6,0)*Tabla4[[#This Row],[TOTAL COBERTURA]]</f>
        <v>3602064</v>
      </c>
      <c r="AO1307" s="35">
        <f>VLOOKUP(Tabla4[[#This Row],[SERVICIO 2025]],$J$2:$V$14,8,0)*Tabla4[[#This Row],[TOTAL COBERTURA]]</f>
        <v>0</v>
      </c>
      <c r="AP1307" s="35">
        <f>VLOOKUP(Tabla4[[#This Row],[SERVICIO 2025]],$J$2:$V$14,3,0)*Tabla4[[#This Row],[TOTAL COBERTURA]]*8</f>
        <v>193231872</v>
      </c>
      <c r="AQ1307" s="35"/>
      <c r="AR1307" s="35">
        <f>Tabla4[[#This Row],[VALOR FASE PREPARATORIA DE ALISTAMIENTO]]+Tabla4[[#This Row],[VALOR FASE PREPARATORIA DE CIERRE]]+Tabla4[[#This Row],[DOTACIÓN ÚNICA]]+Tabla4[[#This Row],[VALOR ATENCIÓN]]+Tabla4[[#This Row],[VALOR RACION PREPARADA]]</f>
        <v>201064800</v>
      </c>
      <c r="AS1307" s="35">
        <f>+IF(Tabla4[[#This Row],[AGRUPACIONES]]=1,SUMIFS(Tabla4[VALOR TOTAL],Tabla4[ZONA DEFINITIVO],Tabla4[[#This Row],[ZONA DEFINITIVO]])," ")</f>
        <v>3191903700</v>
      </c>
      <c r="AT1307" s="27">
        <f>(VLOOKUP(Tabla4[[#This Row],[SERVICIO 2025]],$J$2:$V$14,3,0)*Tabla4[[#This Row],[TOTAL COBERTURA]])+Tabla4[[#This Row],[VALOR FASE PREPARATORIA DE ALISTAMIENTO]]+Tabla4[[#This Row],[DOTACIÓN ÚNICA]]</f>
        <v>28384848</v>
      </c>
      <c r="AU1307" s="35">
        <f>(VLOOKUP(Tabla4[[#This Row],[SERVICIO 2025]],$J$2:$V$14,3,0)*Tabla4[[#This Row],[TOTAL COBERTURA]])</f>
        <v>24153984</v>
      </c>
      <c r="AV1307" s="35">
        <f>(VLOOKUP(Tabla4[[#This Row],[SERVICIO 2025]],$J$2:$V$14,3,0)*Tabla4[[#This Row],[TOTAL COBERTURA]])</f>
        <v>24153984</v>
      </c>
      <c r="AW1307" s="35">
        <f>(VLOOKUP(Tabla4[[#This Row],[SERVICIO 2025]],$J$2:$V$14,3,0)*Tabla4[[#This Row],[TOTAL COBERTURA]])</f>
        <v>24153984</v>
      </c>
      <c r="AX1307" s="35">
        <f>(VLOOKUP(Tabla4[[#This Row],[SERVICIO 2025]],$J$2:$V$14,3,0)*Tabla4[[#This Row],[TOTAL COBERTURA]])</f>
        <v>24153984</v>
      </c>
      <c r="AY1307" s="35">
        <f>(VLOOKUP(Tabla4[[#This Row],[SERVICIO 2025]],$J$2:$V$14,3,0)*Tabla4[[#This Row],[TOTAL COBERTURA]])</f>
        <v>24153984</v>
      </c>
      <c r="AZ1307" s="35">
        <f>(VLOOKUP(Tabla4[[#This Row],[SERVICIO 2025]],$J$2:$V$14,3,0)*Tabla4[[#This Row],[TOTAL COBERTURA]])</f>
        <v>24153984</v>
      </c>
      <c r="BA1307" s="35">
        <f>(VLOOKUP(Tabla4[[#This Row],[SERVICIO 2025]],$J$2:$V$14,3,0)*Tabla4[[#This Row],[TOTAL COBERTURA]])+Tabla4[[#This Row],[VALOR FASE PREPARATORIA DE CIERRE]]</f>
        <v>27756048</v>
      </c>
      <c r="BB1307" s="35">
        <f>SUM(Tabla4[[#This Row],[DESEMBOLSO 1]:[DESEMBOLSO 8]])</f>
        <v>201064800</v>
      </c>
      <c r="BC1307" s="35">
        <f>VLOOKUP(Tabla4[[#This Row],[SERVICIO 2025]],$J$2:$V$14,10,0)*Tabla4[[#This Row],[TOTAL COBERTURA]]*$W$3</f>
        <v>0</v>
      </c>
      <c r="BD1307" s="47" t="s">
        <v>145</v>
      </c>
      <c r="BE1307" s="12" t="b">
        <f>EXACT(Tabla4[[#This Row],[VALOR ATENCIÓN (8 MESES)]],Tabla4[[#This Row],[VALOR TOTAL]])</f>
        <v>1</v>
      </c>
      <c r="BF1307" s="23">
        <f>Tabla4[[#This Row],[VALOR ATENCIÓN (8 MESES)]]-Tabla4[[#This Row],[VALOR TOTAL]]</f>
        <v>0</v>
      </c>
      <c r="BG1307" s="12" t="b">
        <f>EXACT(Tabla4[[#This Row],[TOTAL DESEMBOLSOS]],Tabla4[[#This Row],[VALOR ATENCIÓN (8 MESES)]])</f>
        <v>1</v>
      </c>
      <c r="BH1307" s="29">
        <f>Tabla4[[#This Row],[TOTAL DESEMBOLSOS]]-Tabla4[[#This Row],[VALOR ATENCIÓN (8 MESES)]]</f>
        <v>0</v>
      </c>
      <c r="BI1307" t="s">
        <v>98</v>
      </c>
    </row>
    <row r="1308" spans="1:62">
      <c r="A1308" s="13">
        <v>2031</v>
      </c>
      <c r="B1308" s="13" t="s">
        <v>2825</v>
      </c>
      <c r="C1308" s="12" t="s">
        <v>87</v>
      </c>
      <c r="D1308" s="12" t="s">
        <v>88</v>
      </c>
      <c r="E1308" s="12" t="s">
        <v>2743</v>
      </c>
      <c r="F1308" s="12" t="s">
        <v>22</v>
      </c>
      <c r="G1308" s="12" t="s">
        <v>90</v>
      </c>
      <c r="H1308" s="12" t="s">
        <v>2830</v>
      </c>
      <c r="I1308" s="12">
        <v>508800049028</v>
      </c>
      <c r="J1308" s="12" t="s">
        <v>2831</v>
      </c>
      <c r="K1308" s="12">
        <v>1</v>
      </c>
      <c r="L1308" s="12">
        <v>415</v>
      </c>
      <c r="M1308" s="12"/>
      <c r="N1308" s="13">
        <v>2031</v>
      </c>
      <c r="O1308" s="12" t="s">
        <v>93</v>
      </c>
      <c r="P1308" s="12"/>
      <c r="Q1308" s="12"/>
      <c r="R1308" s="12" t="s">
        <v>94</v>
      </c>
      <c r="S1308" s="12">
        <v>10</v>
      </c>
      <c r="T1308" s="12" t="s">
        <v>2828</v>
      </c>
      <c r="U1308" s="12" t="s">
        <v>2829</v>
      </c>
      <c r="V1308" s="12">
        <f>VLOOKUP(Tabla4[[#This Row],[ZONA DEFINITIVO]],Hoja1!$A$1:$D$121,3,0)</f>
        <v>229176</v>
      </c>
      <c r="W1308" s="12">
        <f>VLOOKUP(Tabla4[[#This Row],[ZONA DEFINITIVO]],Hoja1!$A$1:$D$121,2,0)</f>
        <v>15256</v>
      </c>
      <c r="X1308" s="12">
        <f>VLOOKUP(Tabla4[[#This Row],[ZONA DEFINITIVO]],Hoja1!$A$1:$D$121,4,0)</f>
        <v>89925</v>
      </c>
      <c r="Y1308" s="12" t="str">
        <f>+IF(Tabla4[[#This Row],[AGRUPACIONES]]=1,SUMIFS(Tabla4[UDS],Tabla4[ZONA DEFINITIVO],Tabla4[[#This Row],[ZONA DEFINITIVO]])," ")</f>
        <v xml:space="preserve"> </v>
      </c>
      <c r="Z1308" s="12" t="str">
        <f>+IF(Tabla4[[#This Row],[AGRUPACIONES]]=1,SUMIFS(Tabla4[TOTAL COBERTURA],Tabla4[ZONA DEFINITIVO],Tabla4[[#This Row],[ZONA DEFINITIVO]])," ")</f>
        <v xml:space="preserve"> </v>
      </c>
      <c r="AA1308" s="12"/>
      <c r="AB1308" s="38">
        <v>1738372750</v>
      </c>
      <c r="AC1308" s="37">
        <v>0.02</v>
      </c>
      <c r="AD1308" s="38">
        <f t="shared" si="21"/>
        <v>34767455</v>
      </c>
      <c r="AE1308" s="12"/>
      <c r="AF1308" s="12">
        <f>COUNTIF($A$20:A1308,A1308)</f>
        <v>2</v>
      </c>
      <c r="AG1308" s="38">
        <v>1738372750</v>
      </c>
      <c r="AH1308" s="38">
        <f>Tabla4[[#This Row],[VALOR CONTRAPARTIDA]]+Tabla4[[#This Row],[TOTAL APORTES ICBF]]</f>
        <v>1773140205</v>
      </c>
      <c r="AI1308" s="35"/>
      <c r="AJ1308" s="38"/>
      <c r="AK1308" s="38"/>
      <c r="AL1308" s="23"/>
      <c r="AM1308" s="35">
        <f>VLOOKUP(Tabla4[[#This Row],[SERVICIO 2025]],$J$2:$V$14,5,0)*Tabla4[[#This Row],[TOTAL COBERTURA]]</f>
        <v>36579345</v>
      </c>
      <c r="AN1308" s="35">
        <f>VLOOKUP(Tabla4[[#This Row],[SERVICIO 2025]],$J$2:$V$14,6,0)*Tabla4[[#This Row],[TOTAL COBERTURA]]</f>
        <v>31142845</v>
      </c>
      <c r="AO1308" s="35">
        <f>VLOOKUP(Tabla4[[#This Row],[SERVICIO 2025]],$J$2:$V$14,8,0)*Tabla4[[#This Row],[TOTAL COBERTURA]]</f>
        <v>0</v>
      </c>
      <c r="AP1308" s="35">
        <f>VLOOKUP(Tabla4[[#This Row],[SERVICIO 2025]],$J$2:$V$14,3,0)*Tabla4[[#This Row],[TOTAL COBERTURA]]*8</f>
        <v>1670650560</v>
      </c>
      <c r="AQ1308" s="35"/>
      <c r="AR1308" s="35">
        <f>Tabla4[[#This Row],[VALOR FASE PREPARATORIA DE ALISTAMIENTO]]+Tabla4[[#This Row],[VALOR FASE PREPARATORIA DE CIERRE]]+Tabla4[[#This Row],[DOTACIÓN ÚNICA]]+Tabla4[[#This Row],[VALOR ATENCIÓN]]+Tabla4[[#This Row],[VALOR RACION PREPARADA]]</f>
        <v>1738372750</v>
      </c>
      <c r="AS1308" s="35" t="str">
        <f>+IF(Tabla4[[#This Row],[AGRUPACIONES]]=1,SUMIFS(Tabla4[VALOR TOTAL],Tabla4[ZONA DEFINITIVO],Tabla4[[#This Row],[ZONA DEFINITIVO]])," ")</f>
        <v xml:space="preserve"> </v>
      </c>
      <c r="AT1308" s="27">
        <f>(VLOOKUP(Tabla4[[#This Row],[SERVICIO 2025]],$J$2:$V$14,3,0)*Tabla4[[#This Row],[TOTAL COBERTURA]])+Tabla4[[#This Row],[VALOR FASE PREPARATORIA DE ALISTAMIENTO]]+Tabla4[[#This Row],[DOTACIÓN ÚNICA]]</f>
        <v>245410665</v>
      </c>
      <c r="AU1308" s="35">
        <f>(VLOOKUP(Tabla4[[#This Row],[SERVICIO 2025]],$J$2:$V$14,3,0)*Tabla4[[#This Row],[TOTAL COBERTURA]])</f>
        <v>208831320</v>
      </c>
      <c r="AV1308" s="35">
        <f>(VLOOKUP(Tabla4[[#This Row],[SERVICIO 2025]],$J$2:$V$14,3,0)*Tabla4[[#This Row],[TOTAL COBERTURA]])</f>
        <v>208831320</v>
      </c>
      <c r="AW1308" s="35">
        <f>(VLOOKUP(Tabla4[[#This Row],[SERVICIO 2025]],$J$2:$V$14,3,0)*Tabla4[[#This Row],[TOTAL COBERTURA]])</f>
        <v>208831320</v>
      </c>
      <c r="AX1308" s="35">
        <f>(VLOOKUP(Tabla4[[#This Row],[SERVICIO 2025]],$J$2:$V$14,3,0)*Tabla4[[#This Row],[TOTAL COBERTURA]])</f>
        <v>208831320</v>
      </c>
      <c r="AY1308" s="35">
        <f>(VLOOKUP(Tabla4[[#This Row],[SERVICIO 2025]],$J$2:$V$14,3,0)*Tabla4[[#This Row],[TOTAL COBERTURA]])</f>
        <v>208831320</v>
      </c>
      <c r="AZ1308" s="35">
        <f>(VLOOKUP(Tabla4[[#This Row],[SERVICIO 2025]],$J$2:$V$14,3,0)*Tabla4[[#This Row],[TOTAL COBERTURA]])</f>
        <v>208831320</v>
      </c>
      <c r="BA1308" s="35">
        <f>(VLOOKUP(Tabla4[[#This Row],[SERVICIO 2025]],$J$2:$V$14,3,0)*Tabla4[[#This Row],[TOTAL COBERTURA]])+Tabla4[[#This Row],[VALOR FASE PREPARATORIA DE CIERRE]]</f>
        <v>239974165</v>
      </c>
      <c r="BB1308" s="35">
        <f>SUM(Tabla4[[#This Row],[DESEMBOLSO 1]:[DESEMBOLSO 8]])</f>
        <v>1738372750</v>
      </c>
      <c r="BC1308" s="35">
        <f>VLOOKUP(Tabla4[[#This Row],[SERVICIO 2025]],$J$2:$V$14,10,0)*Tabla4[[#This Row],[TOTAL COBERTURA]]*$W$3</f>
        <v>0</v>
      </c>
      <c r="BD1308" s="47" t="s">
        <v>145</v>
      </c>
      <c r="BE1308" s="12" t="b">
        <f>EXACT(Tabla4[[#This Row],[VALOR ATENCIÓN (8 MESES)]],Tabla4[[#This Row],[VALOR TOTAL]])</f>
        <v>1</v>
      </c>
      <c r="BF1308" s="23">
        <f>Tabla4[[#This Row],[VALOR ATENCIÓN (8 MESES)]]-Tabla4[[#This Row],[VALOR TOTAL]]</f>
        <v>0</v>
      </c>
      <c r="BG1308" s="12" t="b">
        <f>EXACT(Tabla4[[#This Row],[TOTAL DESEMBOLSOS]],Tabla4[[#This Row],[VALOR ATENCIÓN (8 MESES)]])</f>
        <v>1</v>
      </c>
      <c r="BH1308" s="29">
        <f>Tabla4[[#This Row],[TOTAL DESEMBOLSOS]]-Tabla4[[#This Row],[VALOR ATENCIÓN (8 MESES)]]</f>
        <v>0</v>
      </c>
      <c r="BI1308" t="s">
        <v>98</v>
      </c>
    </row>
    <row r="1309" spans="1:62">
      <c r="A1309" s="13">
        <v>2031</v>
      </c>
      <c r="B1309" s="13" t="s">
        <v>2825</v>
      </c>
      <c r="C1309" s="12" t="s">
        <v>87</v>
      </c>
      <c r="D1309" s="12" t="s">
        <v>88</v>
      </c>
      <c r="E1309" s="12" t="s">
        <v>2743</v>
      </c>
      <c r="F1309" s="12" t="s">
        <v>22</v>
      </c>
      <c r="G1309" s="12" t="s">
        <v>90</v>
      </c>
      <c r="H1309" s="12" t="s">
        <v>2832</v>
      </c>
      <c r="I1309" s="12">
        <v>508800079783</v>
      </c>
      <c r="J1309" s="12" t="s">
        <v>2833</v>
      </c>
      <c r="K1309" s="12">
        <v>1</v>
      </c>
      <c r="L1309" s="12">
        <v>109</v>
      </c>
      <c r="M1309" s="12"/>
      <c r="N1309" s="13">
        <v>2031</v>
      </c>
      <c r="O1309" s="12" t="s">
        <v>93</v>
      </c>
      <c r="P1309" s="12"/>
      <c r="Q1309" s="12"/>
      <c r="R1309" s="12" t="s">
        <v>94</v>
      </c>
      <c r="S1309" s="12">
        <v>10</v>
      </c>
      <c r="T1309" s="12" t="s">
        <v>2828</v>
      </c>
      <c r="U1309" s="12" t="s">
        <v>2829</v>
      </c>
      <c r="V1309" s="12">
        <f>VLOOKUP(Tabla4[[#This Row],[ZONA DEFINITIVO]],Hoja1!$A$1:$D$121,3,0)</f>
        <v>229176</v>
      </c>
      <c r="W1309" s="12">
        <f>VLOOKUP(Tabla4[[#This Row],[ZONA DEFINITIVO]],Hoja1!$A$1:$D$121,2,0)</f>
        <v>15256</v>
      </c>
      <c r="X1309" s="12">
        <f>VLOOKUP(Tabla4[[#This Row],[ZONA DEFINITIVO]],Hoja1!$A$1:$D$121,4,0)</f>
        <v>89925</v>
      </c>
      <c r="Y1309" s="12" t="str">
        <f>+IF(Tabla4[[#This Row],[AGRUPACIONES]]=1,SUMIFS(Tabla4[UDS],Tabla4[ZONA DEFINITIVO],Tabla4[[#This Row],[ZONA DEFINITIVO]])," ")</f>
        <v xml:space="preserve"> </v>
      </c>
      <c r="Z1309" s="12" t="str">
        <f>+IF(Tabla4[[#This Row],[AGRUPACIONES]]=1,SUMIFS(Tabla4[TOTAL COBERTURA],Tabla4[ZONA DEFINITIVO],Tabla4[[#This Row],[ZONA DEFINITIVO]])," ")</f>
        <v xml:space="preserve"> </v>
      </c>
      <c r="AA1309" s="12"/>
      <c r="AB1309" s="38">
        <v>456584650</v>
      </c>
      <c r="AC1309" s="37">
        <v>0.02</v>
      </c>
      <c r="AD1309" s="38">
        <f t="shared" si="21"/>
        <v>9131693</v>
      </c>
      <c r="AE1309" s="12"/>
      <c r="AF1309" s="12">
        <f>COUNTIF($A$20:A1309,A1309)</f>
        <v>3</v>
      </c>
      <c r="AG1309" s="38">
        <v>456584650</v>
      </c>
      <c r="AH1309" s="38">
        <f>Tabla4[[#This Row],[VALOR CONTRAPARTIDA]]+Tabla4[[#This Row],[TOTAL APORTES ICBF]]</f>
        <v>465716343</v>
      </c>
      <c r="AI1309" s="35"/>
      <c r="AJ1309" s="38"/>
      <c r="AK1309" s="38"/>
      <c r="AL1309" s="23"/>
      <c r="AM1309" s="35">
        <f>VLOOKUP(Tabla4[[#This Row],[SERVICIO 2025]],$J$2:$V$14,5,0)*Tabla4[[#This Row],[TOTAL COBERTURA]]</f>
        <v>9607587</v>
      </c>
      <c r="AN1309" s="35">
        <f>VLOOKUP(Tabla4[[#This Row],[SERVICIO 2025]],$J$2:$V$14,6,0)*Tabla4[[#This Row],[TOTAL COBERTURA]]</f>
        <v>8179687</v>
      </c>
      <c r="AO1309" s="35">
        <f>VLOOKUP(Tabla4[[#This Row],[SERVICIO 2025]],$J$2:$V$14,8,0)*Tabla4[[#This Row],[TOTAL COBERTURA]]</f>
        <v>0</v>
      </c>
      <c r="AP1309" s="35">
        <f>VLOOKUP(Tabla4[[#This Row],[SERVICIO 2025]],$J$2:$V$14,3,0)*Tabla4[[#This Row],[TOTAL COBERTURA]]*8</f>
        <v>438797376</v>
      </c>
      <c r="AQ1309" s="35"/>
      <c r="AR1309" s="35">
        <f>Tabla4[[#This Row],[VALOR FASE PREPARATORIA DE ALISTAMIENTO]]+Tabla4[[#This Row],[VALOR FASE PREPARATORIA DE CIERRE]]+Tabla4[[#This Row],[DOTACIÓN ÚNICA]]+Tabla4[[#This Row],[VALOR ATENCIÓN]]+Tabla4[[#This Row],[VALOR RACION PREPARADA]]</f>
        <v>456584650</v>
      </c>
      <c r="AS1309" s="35" t="str">
        <f>+IF(Tabla4[[#This Row],[AGRUPACIONES]]=1,SUMIFS(Tabla4[VALOR TOTAL],Tabla4[ZONA DEFINITIVO],Tabla4[[#This Row],[ZONA DEFINITIVO]])," ")</f>
        <v xml:space="preserve"> </v>
      </c>
      <c r="AT1309" s="27">
        <f>(VLOOKUP(Tabla4[[#This Row],[SERVICIO 2025]],$J$2:$V$14,3,0)*Tabla4[[#This Row],[TOTAL COBERTURA]])+Tabla4[[#This Row],[VALOR FASE PREPARATORIA DE ALISTAMIENTO]]+Tabla4[[#This Row],[DOTACIÓN ÚNICA]]</f>
        <v>64457259</v>
      </c>
      <c r="AU1309" s="35">
        <f>(VLOOKUP(Tabla4[[#This Row],[SERVICIO 2025]],$J$2:$V$14,3,0)*Tabla4[[#This Row],[TOTAL COBERTURA]])</f>
        <v>54849672</v>
      </c>
      <c r="AV1309" s="35">
        <f>(VLOOKUP(Tabla4[[#This Row],[SERVICIO 2025]],$J$2:$V$14,3,0)*Tabla4[[#This Row],[TOTAL COBERTURA]])</f>
        <v>54849672</v>
      </c>
      <c r="AW1309" s="35">
        <f>(VLOOKUP(Tabla4[[#This Row],[SERVICIO 2025]],$J$2:$V$14,3,0)*Tabla4[[#This Row],[TOTAL COBERTURA]])</f>
        <v>54849672</v>
      </c>
      <c r="AX1309" s="35">
        <f>(VLOOKUP(Tabla4[[#This Row],[SERVICIO 2025]],$J$2:$V$14,3,0)*Tabla4[[#This Row],[TOTAL COBERTURA]])</f>
        <v>54849672</v>
      </c>
      <c r="AY1309" s="35">
        <f>(VLOOKUP(Tabla4[[#This Row],[SERVICIO 2025]],$J$2:$V$14,3,0)*Tabla4[[#This Row],[TOTAL COBERTURA]])</f>
        <v>54849672</v>
      </c>
      <c r="AZ1309" s="35">
        <f>(VLOOKUP(Tabla4[[#This Row],[SERVICIO 2025]],$J$2:$V$14,3,0)*Tabla4[[#This Row],[TOTAL COBERTURA]])</f>
        <v>54849672</v>
      </c>
      <c r="BA1309" s="35">
        <f>(VLOOKUP(Tabla4[[#This Row],[SERVICIO 2025]],$J$2:$V$14,3,0)*Tabla4[[#This Row],[TOTAL COBERTURA]])+Tabla4[[#This Row],[VALOR FASE PREPARATORIA DE CIERRE]]</f>
        <v>63029359</v>
      </c>
      <c r="BB1309" s="35">
        <f>SUM(Tabla4[[#This Row],[DESEMBOLSO 1]:[DESEMBOLSO 8]])</f>
        <v>456584650</v>
      </c>
      <c r="BC1309" s="35">
        <f>VLOOKUP(Tabla4[[#This Row],[SERVICIO 2025]],$J$2:$V$14,10,0)*Tabla4[[#This Row],[TOTAL COBERTURA]]*$W$3</f>
        <v>0</v>
      </c>
      <c r="BD1309" s="47" t="s">
        <v>145</v>
      </c>
      <c r="BE1309" s="12" t="b">
        <f>EXACT(Tabla4[[#This Row],[VALOR ATENCIÓN (8 MESES)]],Tabla4[[#This Row],[VALOR TOTAL]])</f>
        <v>1</v>
      </c>
      <c r="BF1309" s="23">
        <f>Tabla4[[#This Row],[VALOR ATENCIÓN (8 MESES)]]-Tabla4[[#This Row],[VALOR TOTAL]]</f>
        <v>0</v>
      </c>
      <c r="BG1309" s="12" t="b">
        <f>EXACT(Tabla4[[#This Row],[TOTAL DESEMBOLSOS]],Tabla4[[#This Row],[VALOR ATENCIÓN (8 MESES)]])</f>
        <v>1</v>
      </c>
      <c r="BH1309" s="29">
        <f>Tabla4[[#This Row],[TOTAL DESEMBOLSOS]]-Tabla4[[#This Row],[VALOR ATENCIÓN (8 MESES)]]</f>
        <v>0</v>
      </c>
      <c r="BI1309" t="s">
        <v>98</v>
      </c>
    </row>
    <row r="1310" spans="1:62">
      <c r="A1310" s="13">
        <v>2031</v>
      </c>
      <c r="B1310" s="13" t="s">
        <v>2825</v>
      </c>
      <c r="C1310" s="12" t="s">
        <v>87</v>
      </c>
      <c r="D1310" s="12" t="s">
        <v>88</v>
      </c>
      <c r="E1310" s="12" t="s">
        <v>2743</v>
      </c>
      <c r="F1310" s="12" t="s">
        <v>22</v>
      </c>
      <c r="G1310" s="12" t="s">
        <v>90</v>
      </c>
      <c r="H1310" s="12" t="s">
        <v>2834</v>
      </c>
      <c r="I1310" s="12">
        <v>508800080479</v>
      </c>
      <c r="J1310" s="12" t="s">
        <v>2835</v>
      </c>
      <c r="K1310" s="12">
        <v>1</v>
      </c>
      <c r="L1310" s="12">
        <v>100</v>
      </c>
      <c r="M1310" s="12"/>
      <c r="N1310" s="13">
        <v>2031</v>
      </c>
      <c r="O1310" s="12" t="s">
        <v>93</v>
      </c>
      <c r="P1310" s="12"/>
      <c r="Q1310" s="12"/>
      <c r="R1310" s="12" t="s">
        <v>94</v>
      </c>
      <c r="S1310" s="12">
        <v>10</v>
      </c>
      <c r="T1310" s="12" t="s">
        <v>2828</v>
      </c>
      <c r="U1310" s="12" t="s">
        <v>2829</v>
      </c>
      <c r="V1310" s="12">
        <f>VLOOKUP(Tabla4[[#This Row],[ZONA DEFINITIVO]],Hoja1!$A$1:$D$121,3,0)</f>
        <v>229176</v>
      </c>
      <c r="W1310" s="12">
        <f>VLOOKUP(Tabla4[[#This Row],[ZONA DEFINITIVO]],Hoja1!$A$1:$D$121,2,0)</f>
        <v>15256</v>
      </c>
      <c r="X1310" s="12">
        <f>VLOOKUP(Tabla4[[#This Row],[ZONA DEFINITIVO]],Hoja1!$A$1:$D$121,4,0)</f>
        <v>89925</v>
      </c>
      <c r="Y1310" s="12" t="str">
        <f>+IF(Tabla4[[#This Row],[AGRUPACIONES]]=1,SUMIFS(Tabla4[UDS],Tabla4[ZONA DEFINITIVO],Tabla4[[#This Row],[ZONA DEFINITIVO]])," ")</f>
        <v xml:space="preserve"> </v>
      </c>
      <c r="Z1310" s="12" t="str">
        <f>+IF(Tabla4[[#This Row],[AGRUPACIONES]]=1,SUMIFS(Tabla4[TOTAL COBERTURA],Tabla4[ZONA DEFINITIVO],Tabla4[[#This Row],[ZONA DEFINITIVO]])," ")</f>
        <v xml:space="preserve"> </v>
      </c>
      <c r="AA1310" s="12"/>
      <c r="AB1310" s="38">
        <v>418885000</v>
      </c>
      <c r="AC1310" s="37">
        <v>0.02</v>
      </c>
      <c r="AD1310" s="38">
        <f t="shared" si="21"/>
        <v>8377700</v>
      </c>
      <c r="AE1310" s="12"/>
      <c r="AF1310" s="12">
        <f>COUNTIF($A$20:A1310,A1310)</f>
        <v>4</v>
      </c>
      <c r="AG1310" s="38">
        <v>418885000</v>
      </c>
      <c r="AH1310" s="38">
        <f>Tabla4[[#This Row],[VALOR CONTRAPARTIDA]]+Tabla4[[#This Row],[TOTAL APORTES ICBF]]</f>
        <v>427262700</v>
      </c>
      <c r="AI1310" s="35"/>
      <c r="AJ1310" s="38"/>
      <c r="AK1310" s="38"/>
      <c r="AL1310" s="23"/>
      <c r="AM1310" s="35">
        <f>VLOOKUP(Tabla4[[#This Row],[SERVICIO 2025]],$J$2:$V$14,5,0)*Tabla4[[#This Row],[TOTAL COBERTURA]]</f>
        <v>8814300</v>
      </c>
      <c r="AN1310" s="35">
        <f>VLOOKUP(Tabla4[[#This Row],[SERVICIO 2025]],$J$2:$V$14,6,0)*Tabla4[[#This Row],[TOTAL COBERTURA]]</f>
        <v>7504300</v>
      </c>
      <c r="AO1310" s="35">
        <f>VLOOKUP(Tabla4[[#This Row],[SERVICIO 2025]],$J$2:$V$14,8,0)*Tabla4[[#This Row],[TOTAL COBERTURA]]</f>
        <v>0</v>
      </c>
      <c r="AP1310" s="35">
        <f>VLOOKUP(Tabla4[[#This Row],[SERVICIO 2025]],$J$2:$V$14,3,0)*Tabla4[[#This Row],[TOTAL COBERTURA]]*8</f>
        <v>402566400</v>
      </c>
      <c r="AQ1310" s="35"/>
      <c r="AR1310" s="35">
        <f>Tabla4[[#This Row],[VALOR FASE PREPARATORIA DE ALISTAMIENTO]]+Tabla4[[#This Row],[VALOR FASE PREPARATORIA DE CIERRE]]+Tabla4[[#This Row],[DOTACIÓN ÚNICA]]+Tabla4[[#This Row],[VALOR ATENCIÓN]]+Tabla4[[#This Row],[VALOR RACION PREPARADA]]</f>
        <v>418885000</v>
      </c>
      <c r="AS1310" s="35" t="str">
        <f>+IF(Tabla4[[#This Row],[AGRUPACIONES]]=1,SUMIFS(Tabla4[VALOR TOTAL],Tabla4[ZONA DEFINITIVO],Tabla4[[#This Row],[ZONA DEFINITIVO]])," ")</f>
        <v xml:space="preserve"> </v>
      </c>
      <c r="AT1310" s="27">
        <f>(VLOOKUP(Tabla4[[#This Row],[SERVICIO 2025]],$J$2:$V$14,3,0)*Tabla4[[#This Row],[TOTAL COBERTURA]])+Tabla4[[#This Row],[VALOR FASE PREPARATORIA DE ALISTAMIENTO]]+Tabla4[[#This Row],[DOTACIÓN ÚNICA]]</f>
        <v>59135100</v>
      </c>
      <c r="AU1310" s="35">
        <f>(VLOOKUP(Tabla4[[#This Row],[SERVICIO 2025]],$J$2:$V$14,3,0)*Tabla4[[#This Row],[TOTAL COBERTURA]])</f>
        <v>50320800</v>
      </c>
      <c r="AV1310" s="35">
        <f>(VLOOKUP(Tabla4[[#This Row],[SERVICIO 2025]],$J$2:$V$14,3,0)*Tabla4[[#This Row],[TOTAL COBERTURA]])</f>
        <v>50320800</v>
      </c>
      <c r="AW1310" s="35">
        <f>(VLOOKUP(Tabla4[[#This Row],[SERVICIO 2025]],$J$2:$V$14,3,0)*Tabla4[[#This Row],[TOTAL COBERTURA]])</f>
        <v>50320800</v>
      </c>
      <c r="AX1310" s="35">
        <f>(VLOOKUP(Tabla4[[#This Row],[SERVICIO 2025]],$J$2:$V$14,3,0)*Tabla4[[#This Row],[TOTAL COBERTURA]])</f>
        <v>50320800</v>
      </c>
      <c r="AY1310" s="35">
        <f>(VLOOKUP(Tabla4[[#This Row],[SERVICIO 2025]],$J$2:$V$14,3,0)*Tabla4[[#This Row],[TOTAL COBERTURA]])</f>
        <v>50320800</v>
      </c>
      <c r="AZ1310" s="35">
        <f>(VLOOKUP(Tabla4[[#This Row],[SERVICIO 2025]],$J$2:$V$14,3,0)*Tabla4[[#This Row],[TOTAL COBERTURA]])</f>
        <v>50320800</v>
      </c>
      <c r="BA1310" s="35">
        <f>(VLOOKUP(Tabla4[[#This Row],[SERVICIO 2025]],$J$2:$V$14,3,0)*Tabla4[[#This Row],[TOTAL COBERTURA]])+Tabla4[[#This Row],[VALOR FASE PREPARATORIA DE CIERRE]]</f>
        <v>57825100</v>
      </c>
      <c r="BB1310" s="35">
        <f>SUM(Tabla4[[#This Row],[DESEMBOLSO 1]:[DESEMBOLSO 8]])</f>
        <v>418885000</v>
      </c>
      <c r="BC1310" s="35">
        <f>VLOOKUP(Tabla4[[#This Row],[SERVICIO 2025]],$J$2:$V$14,10,0)*Tabla4[[#This Row],[TOTAL COBERTURA]]*$W$3</f>
        <v>0</v>
      </c>
      <c r="BD1310" s="47" t="s">
        <v>145</v>
      </c>
      <c r="BE1310" s="12" t="b">
        <f>EXACT(Tabla4[[#This Row],[VALOR ATENCIÓN (8 MESES)]],Tabla4[[#This Row],[VALOR TOTAL]])</f>
        <v>1</v>
      </c>
      <c r="BF1310" s="23">
        <f>Tabla4[[#This Row],[VALOR ATENCIÓN (8 MESES)]]-Tabla4[[#This Row],[VALOR TOTAL]]</f>
        <v>0</v>
      </c>
      <c r="BG1310" s="12" t="b">
        <f>EXACT(Tabla4[[#This Row],[TOTAL DESEMBOLSOS]],Tabla4[[#This Row],[VALOR ATENCIÓN (8 MESES)]])</f>
        <v>1</v>
      </c>
      <c r="BH1310" s="29">
        <f>Tabla4[[#This Row],[TOTAL DESEMBOLSOS]]-Tabla4[[#This Row],[VALOR ATENCIÓN (8 MESES)]]</f>
        <v>0</v>
      </c>
      <c r="BI1310" t="s">
        <v>98</v>
      </c>
    </row>
    <row r="1311" spans="1:62">
      <c r="A1311" s="13">
        <v>2031</v>
      </c>
      <c r="B1311" s="13" t="s">
        <v>2825</v>
      </c>
      <c r="C1311" s="12" t="s">
        <v>87</v>
      </c>
      <c r="D1311" s="12" t="s">
        <v>88</v>
      </c>
      <c r="E1311" s="12" t="s">
        <v>2743</v>
      </c>
      <c r="F1311" s="12" t="s">
        <v>22</v>
      </c>
      <c r="G1311" s="12" t="s">
        <v>90</v>
      </c>
      <c r="H1311" s="12" t="s">
        <v>2836</v>
      </c>
      <c r="I1311" s="12">
        <v>508800087300</v>
      </c>
      <c r="J1311" s="12" t="s">
        <v>2837</v>
      </c>
      <c r="K1311" s="12">
        <v>1</v>
      </c>
      <c r="L1311" s="12">
        <v>90</v>
      </c>
      <c r="M1311" s="12"/>
      <c r="N1311" s="13">
        <v>2031</v>
      </c>
      <c r="O1311" s="12" t="s">
        <v>93</v>
      </c>
      <c r="P1311" s="12"/>
      <c r="Q1311" s="12"/>
      <c r="R1311" s="12" t="s">
        <v>94</v>
      </c>
      <c r="S1311" s="12">
        <v>10</v>
      </c>
      <c r="T1311" s="12" t="s">
        <v>2828</v>
      </c>
      <c r="U1311" s="12" t="s">
        <v>2829</v>
      </c>
      <c r="V1311" s="12">
        <f>VLOOKUP(Tabla4[[#This Row],[ZONA DEFINITIVO]],Hoja1!$A$1:$D$121,3,0)</f>
        <v>229176</v>
      </c>
      <c r="W1311" s="12">
        <f>VLOOKUP(Tabla4[[#This Row],[ZONA DEFINITIVO]],Hoja1!$A$1:$D$121,2,0)</f>
        <v>15256</v>
      </c>
      <c r="X1311" s="12">
        <f>VLOOKUP(Tabla4[[#This Row],[ZONA DEFINITIVO]],Hoja1!$A$1:$D$121,4,0)</f>
        <v>89925</v>
      </c>
      <c r="Y1311" s="12" t="str">
        <f>+IF(Tabla4[[#This Row],[AGRUPACIONES]]=1,SUMIFS(Tabla4[UDS],Tabla4[ZONA DEFINITIVO],Tabla4[[#This Row],[ZONA DEFINITIVO]])," ")</f>
        <v xml:space="preserve"> </v>
      </c>
      <c r="Z1311" s="12" t="str">
        <f>+IF(Tabla4[[#This Row],[AGRUPACIONES]]=1,SUMIFS(Tabla4[TOTAL COBERTURA],Tabla4[ZONA DEFINITIVO],Tabla4[[#This Row],[ZONA DEFINITIVO]])," ")</f>
        <v xml:space="preserve"> </v>
      </c>
      <c r="AA1311" s="12"/>
      <c r="AB1311" s="38">
        <v>376996500</v>
      </c>
      <c r="AC1311" s="37">
        <v>0.02</v>
      </c>
      <c r="AD1311" s="38">
        <f t="shared" si="21"/>
        <v>7539930</v>
      </c>
      <c r="AE1311" s="12"/>
      <c r="AF1311" s="12">
        <f>COUNTIF($A$20:A1311,A1311)</f>
        <v>5</v>
      </c>
      <c r="AG1311" s="38">
        <v>376996500</v>
      </c>
      <c r="AH1311" s="38">
        <f>Tabla4[[#This Row],[VALOR CONTRAPARTIDA]]+Tabla4[[#This Row],[TOTAL APORTES ICBF]]</f>
        <v>384536430</v>
      </c>
      <c r="AI1311" s="35"/>
      <c r="AJ1311" s="38"/>
      <c r="AK1311" s="38"/>
      <c r="AL1311" s="23"/>
      <c r="AM1311" s="35">
        <f>VLOOKUP(Tabla4[[#This Row],[SERVICIO 2025]],$J$2:$V$14,5,0)*Tabla4[[#This Row],[TOTAL COBERTURA]]</f>
        <v>7932870</v>
      </c>
      <c r="AN1311" s="35">
        <f>VLOOKUP(Tabla4[[#This Row],[SERVICIO 2025]],$J$2:$V$14,6,0)*Tabla4[[#This Row],[TOTAL COBERTURA]]</f>
        <v>6753870</v>
      </c>
      <c r="AO1311" s="35">
        <f>VLOOKUP(Tabla4[[#This Row],[SERVICIO 2025]],$J$2:$V$14,8,0)*Tabla4[[#This Row],[TOTAL COBERTURA]]</f>
        <v>0</v>
      </c>
      <c r="AP1311" s="35">
        <f>VLOOKUP(Tabla4[[#This Row],[SERVICIO 2025]],$J$2:$V$14,3,0)*Tabla4[[#This Row],[TOTAL COBERTURA]]*8</f>
        <v>362309760</v>
      </c>
      <c r="AQ1311" s="35"/>
      <c r="AR1311" s="35">
        <f>Tabla4[[#This Row],[VALOR FASE PREPARATORIA DE ALISTAMIENTO]]+Tabla4[[#This Row],[VALOR FASE PREPARATORIA DE CIERRE]]+Tabla4[[#This Row],[DOTACIÓN ÚNICA]]+Tabla4[[#This Row],[VALOR ATENCIÓN]]+Tabla4[[#This Row],[VALOR RACION PREPARADA]]</f>
        <v>376996500</v>
      </c>
      <c r="AS1311" s="35" t="str">
        <f>+IF(Tabla4[[#This Row],[AGRUPACIONES]]=1,SUMIFS(Tabla4[VALOR TOTAL],Tabla4[ZONA DEFINITIVO],Tabla4[[#This Row],[ZONA DEFINITIVO]])," ")</f>
        <v xml:space="preserve"> </v>
      </c>
      <c r="AT1311" s="27">
        <f>(VLOOKUP(Tabla4[[#This Row],[SERVICIO 2025]],$J$2:$V$14,3,0)*Tabla4[[#This Row],[TOTAL COBERTURA]])+Tabla4[[#This Row],[VALOR FASE PREPARATORIA DE ALISTAMIENTO]]+Tabla4[[#This Row],[DOTACIÓN ÚNICA]]</f>
        <v>53221590</v>
      </c>
      <c r="AU1311" s="35">
        <f>(VLOOKUP(Tabla4[[#This Row],[SERVICIO 2025]],$J$2:$V$14,3,0)*Tabla4[[#This Row],[TOTAL COBERTURA]])</f>
        <v>45288720</v>
      </c>
      <c r="AV1311" s="35">
        <f>(VLOOKUP(Tabla4[[#This Row],[SERVICIO 2025]],$J$2:$V$14,3,0)*Tabla4[[#This Row],[TOTAL COBERTURA]])</f>
        <v>45288720</v>
      </c>
      <c r="AW1311" s="35">
        <f>(VLOOKUP(Tabla4[[#This Row],[SERVICIO 2025]],$J$2:$V$14,3,0)*Tabla4[[#This Row],[TOTAL COBERTURA]])</f>
        <v>45288720</v>
      </c>
      <c r="AX1311" s="35">
        <f>(VLOOKUP(Tabla4[[#This Row],[SERVICIO 2025]],$J$2:$V$14,3,0)*Tabla4[[#This Row],[TOTAL COBERTURA]])</f>
        <v>45288720</v>
      </c>
      <c r="AY1311" s="35">
        <f>(VLOOKUP(Tabla4[[#This Row],[SERVICIO 2025]],$J$2:$V$14,3,0)*Tabla4[[#This Row],[TOTAL COBERTURA]])</f>
        <v>45288720</v>
      </c>
      <c r="AZ1311" s="35">
        <f>(VLOOKUP(Tabla4[[#This Row],[SERVICIO 2025]],$J$2:$V$14,3,0)*Tabla4[[#This Row],[TOTAL COBERTURA]])</f>
        <v>45288720</v>
      </c>
      <c r="BA1311" s="35">
        <f>(VLOOKUP(Tabla4[[#This Row],[SERVICIO 2025]],$J$2:$V$14,3,0)*Tabla4[[#This Row],[TOTAL COBERTURA]])+Tabla4[[#This Row],[VALOR FASE PREPARATORIA DE CIERRE]]</f>
        <v>52042590</v>
      </c>
      <c r="BB1311" s="35">
        <f>SUM(Tabla4[[#This Row],[DESEMBOLSO 1]:[DESEMBOLSO 8]])</f>
        <v>376996500</v>
      </c>
      <c r="BC1311" s="35">
        <f>VLOOKUP(Tabla4[[#This Row],[SERVICIO 2025]],$J$2:$V$14,10,0)*Tabla4[[#This Row],[TOTAL COBERTURA]]*$W$3</f>
        <v>0</v>
      </c>
      <c r="BD1311" s="47" t="s">
        <v>145</v>
      </c>
      <c r="BE1311" s="12" t="b">
        <f>EXACT(Tabla4[[#This Row],[VALOR ATENCIÓN (8 MESES)]],Tabla4[[#This Row],[VALOR TOTAL]])</f>
        <v>1</v>
      </c>
      <c r="BF1311" s="23">
        <f>Tabla4[[#This Row],[VALOR ATENCIÓN (8 MESES)]]-Tabla4[[#This Row],[VALOR TOTAL]]</f>
        <v>0</v>
      </c>
      <c r="BG1311" s="12" t="b">
        <f>EXACT(Tabla4[[#This Row],[TOTAL DESEMBOLSOS]],Tabla4[[#This Row],[VALOR ATENCIÓN (8 MESES)]])</f>
        <v>1</v>
      </c>
      <c r="BH1311" s="29">
        <f>Tabla4[[#This Row],[TOTAL DESEMBOLSOS]]-Tabla4[[#This Row],[VALOR ATENCIÓN (8 MESES)]]</f>
        <v>0</v>
      </c>
      <c r="BI1311" t="s">
        <v>98</v>
      </c>
    </row>
    <row r="1312" spans="1:62">
      <c r="A1312" s="21">
        <v>2034</v>
      </c>
      <c r="B1312" s="21" t="s">
        <v>2838</v>
      </c>
      <c r="C1312" s="22" t="s">
        <v>87</v>
      </c>
      <c r="D1312" s="22" t="s">
        <v>462</v>
      </c>
      <c r="E1312" s="22" t="s">
        <v>463</v>
      </c>
      <c r="F1312" s="22" t="s">
        <v>15</v>
      </c>
      <c r="G1312" s="22" t="s">
        <v>90</v>
      </c>
      <c r="H1312" s="22" t="s">
        <v>2839</v>
      </c>
      <c r="I1312" s="22">
        <v>504500101469</v>
      </c>
      <c r="J1312" s="22" t="s">
        <v>2840</v>
      </c>
      <c r="K1312" s="22">
        <v>1</v>
      </c>
      <c r="L1312" s="22">
        <v>383</v>
      </c>
      <c r="M1312" s="22"/>
      <c r="N1312" s="21">
        <v>2034</v>
      </c>
      <c r="O1312" s="12" t="s">
        <v>93</v>
      </c>
      <c r="P1312" s="22"/>
      <c r="Q1312" s="22"/>
      <c r="R1312" s="12" t="s">
        <v>94</v>
      </c>
      <c r="S1312" s="12">
        <v>10</v>
      </c>
      <c r="T1312" s="22" t="s">
        <v>2841</v>
      </c>
      <c r="U1312" s="12" t="s">
        <v>2842</v>
      </c>
      <c r="V1312" s="12">
        <f>VLOOKUP(Tabla4[[#This Row],[ZONA DEFINITIVO]],Hoja1!$A$1:$D$121,3,0)</f>
        <v>229177</v>
      </c>
      <c r="W1312" s="12">
        <f>VLOOKUP(Tabla4[[#This Row],[ZONA DEFINITIVO]],Hoja1!$A$1:$D$121,2,0)</f>
        <v>15261</v>
      </c>
      <c r="X1312" s="12">
        <f>VLOOKUP(Tabla4[[#This Row],[ZONA DEFINITIVO]],Hoja1!$A$1:$D$121,4,0)</f>
        <v>90325</v>
      </c>
      <c r="Y1312" s="12">
        <f>+IF(Tabla4[[#This Row],[AGRUPACIONES]]=1,SUMIFS(Tabla4[UDS],Tabla4[ZONA DEFINITIVO],Tabla4[[#This Row],[ZONA DEFINITIVO]])," ")</f>
        <v>1</v>
      </c>
      <c r="Z1312" s="12">
        <f>+IF(Tabla4[[#This Row],[AGRUPACIONES]]=1,SUMIFS(Tabla4[TOTAL COBERTURA],Tabla4[ZONA DEFINITIVO],Tabla4[[#This Row],[ZONA DEFINITIVO]])," ")</f>
        <v>383</v>
      </c>
      <c r="AA1312" s="22"/>
      <c r="AB1312" s="41">
        <v>1658160966</v>
      </c>
      <c r="AC1312" s="50">
        <v>0.02</v>
      </c>
      <c r="AD1312" s="41">
        <f t="shared" si="21"/>
        <v>33163219.32</v>
      </c>
      <c r="AE1312" s="22"/>
      <c r="AF1312" s="22">
        <f>COUNTIF($A$20:A1312,A1312)</f>
        <v>1</v>
      </c>
      <c r="AG1312" s="41">
        <v>1658160966</v>
      </c>
      <c r="AH1312" s="41">
        <f>Tabla4[[#This Row],[VALOR CONTRAPARTIDA]]+Tabla4[[#This Row],[TOTAL APORTES ICBF]]</f>
        <v>1691324185.3199999</v>
      </c>
      <c r="AI1312" s="40">
        <f>ROUND(+IF(Tabla4[[#This Row],[AGRUPACIONES]]=1,SUMIFS(Tabla4[TOTAL APORTES ICBF],Tabla4[ZONA DEFINITIVO],Tabla4[[#This Row],[ZONA DEFINITIVO]])," "),0)</f>
        <v>1658160966</v>
      </c>
      <c r="AJ1312" s="38">
        <f>ROUND(+IF(Tabla4[[#This Row],[AGRUPACIONES]]=1,SUMIFS(Tabla4[VALOR CONTRAPARTIDA],Tabla4[ZONA DEFINITIVO],Tabla4[[#This Row],[ZONA DEFINITIVO]])," "),0)</f>
        <v>33163219</v>
      </c>
      <c r="AK1312" s="41">
        <f>Tabla4[[#This Row],[TOTAL APORTES ICBF AGRUPADO]]+Tabla4[[#This Row],[TOTAL CONTRAPARTIDA AGRUPADO]]</f>
        <v>1691324185</v>
      </c>
      <c r="AL1312" s="23">
        <f>Tabla4[[#This Row],[TOTAL APORTES ICBF AGRUPADO]]/$AL$18</f>
        <v>1164.8478861959959</v>
      </c>
      <c r="AM1312" s="40">
        <f>VLOOKUP(Tabla4[[#This Row],[SERVICIO 2025]],$J$2:$V$14,5,0)*Tabla4[[#This Row],[TOTAL COBERTURA]]</f>
        <v>33758769</v>
      </c>
      <c r="AN1312" s="40">
        <f>VLOOKUP(Tabla4[[#This Row],[SERVICIO 2025]],$J$2:$V$14,6,0)*Tabla4[[#This Row],[TOTAL COBERTURA]]</f>
        <v>28741469</v>
      </c>
      <c r="AO1312" s="40">
        <f>VLOOKUP(Tabla4[[#This Row],[SERVICIO 2025]],$J$2:$V$14,8,0)*Tabla4[[#This Row],[TOTAL COBERTURA]]</f>
        <v>0</v>
      </c>
      <c r="AP1312" s="40">
        <f>VLOOKUP(Tabla4[[#This Row],[SERVICIO 2025]],$J$2:$V$14,3,0)*Tabla4[[#This Row],[TOTAL COBERTURA]]*8</f>
        <v>1595660728</v>
      </c>
      <c r="AQ1312" s="40"/>
      <c r="AR1312" s="40">
        <f>Tabla4[[#This Row],[VALOR FASE PREPARATORIA DE ALISTAMIENTO]]+Tabla4[[#This Row],[VALOR FASE PREPARATORIA DE CIERRE]]+Tabla4[[#This Row],[DOTACIÓN ÚNICA]]+Tabla4[[#This Row],[VALOR ATENCIÓN]]+Tabla4[[#This Row],[VALOR RACION PREPARADA]]</f>
        <v>1658160966</v>
      </c>
      <c r="AS1312" s="40">
        <f>+IF(Tabla4[[#This Row],[AGRUPACIONES]]=1,SUMIFS(Tabla4[VALOR TOTAL],Tabla4[ZONA DEFINITIVO],Tabla4[[#This Row],[ZONA DEFINITIVO]])," ")</f>
        <v>1658160966</v>
      </c>
      <c r="AT1312" s="27">
        <f>(VLOOKUP(Tabla4[[#This Row],[SERVICIO 2025]],$J$2:$V$14,3,0)*Tabla4[[#This Row],[TOTAL COBERTURA]])+Tabla4[[#This Row],[VALOR FASE PREPARATORIA DE ALISTAMIENTO]]+Tabla4[[#This Row],[DOTACIÓN ÚNICA]]</f>
        <v>233216360</v>
      </c>
      <c r="AU1312" s="40">
        <f>(VLOOKUP(Tabla4[[#This Row],[SERVICIO 2025]],$J$2:$V$14,3,0)*Tabla4[[#This Row],[TOTAL COBERTURA]])</f>
        <v>199457591</v>
      </c>
      <c r="AV1312" s="40">
        <f>(VLOOKUP(Tabla4[[#This Row],[SERVICIO 2025]],$J$2:$V$14,3,0)*Tabla4[[#This Row],[TOTAL COBERTURA]])</f>
        <v>199457591</v>
      </c>
      <c r="AW1312" s="40">
        <f>(VLOOKUP(Tabla4[[#This Row],[SERVICIO 2025]],$J$2:$V$14,3,0)*Tabla4[[#This Row],[TOTAL COBERTURA]])</f>
        <v>199457591</v>
      </c>
      <c r="AX1312" s="40">
        <f>(VLOOKUP(Tabla4[[#This Row],[SERVICIO 2025]],$J$2:$V$14,3,0)*Tabla4[[#This Row],[TOTAL COBERTURA]])</f>
        <v>199457591</v>
      </c>
      <c r="AY1312" s="40">
        <f>(VLOOKUP(Tabla4[[#This Row],[SERVICIO 2025]],$J$2:$V$14,3,0)*Tabla4[[#This Row],[TOTAL COBERTURA]])</f>
        <v>199457591</v>
      </c>
      <c r="AZ1312" s="40">
        <f>(VLOOKUP(Tabla4[[#This Row],[SERVICIO 2025]],$J$2:$V$14,3,0)*Tabla4[[#This Row],[TOTAL COBERTURA]])</f>
        <v>199457591</v>
      </c>
      <c r="BA1312" s="40">
        <f>(VLOOKUP(Tabla4[[#This Row],[SERVICIO 2025]],$J$2:$V$14,3,0)*Tabla4[[#This Row],[TOTAL COBERTURA]])+Tabla4[[#This Row],[VALOR FASE PREPARATORIA DE CIERRE]]</f>
        <v>228199060</v>
      </c>
      <c r="BB1312" s="40">
        <f>SUM(Tabla4[[#This Row],[DESEMBOLSO 1]:[DESEMBOLSO 8]])</f>
        <v>1658160966</v>
      </c>
      <c r="BC1312" s="35">
        <f>VLOOKUP(Tabla4[[#This Row],[SERVICIO 2025]],$J$2:$V$14,10,0)*Tabla4[[#This Row],[TOTAL COBERTURA]]*$W$3</f>
        <v>0</v>
      </c>
      <c r="BD1312" s="47" t="s">
        <v>145</v>
      </c>
      <c r="BE1312" s="12" t="b">
        <f>EXACT(Tabla4[[#This Row],[VALOR ATENCIÓN (8 MESES)]],Tabla4[[#This Row],[VALOR TOTAL]])</f>
        <v>1</v>
      </c>
      <c r="BF1312" s="23">
        <f>Tabla4[[#This Row],[VALOR ATENCIÓN (8 MESES)]]-Tabla4[[#This Row],[VALOR TOTAL]]</f>
        <v>0</v>
      </c>
      <c r="BG1312" s="22" t="b">
        <f>EXACT(Tabla4[[#This Row],[TOTAL DESEMBOLSOS]],Tabla4[[#This Row],[VALOR ATENCIÓN (8 MESES)]])</f>
        <v>1</v>
      </c>
      <c r="BH1312" s="29">
        <f>Tabla4[[#This Row],[TOTAL DESEMBOLSOS]]-Tabla4[[#This Row],[VALOR ATENCIÓN (8 MESES)]]</f>
        <v>0</v>
      </c>
      <c r="BI1312" t="s">
        <v>98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C435D-84D6-4E80-A106-B43B18D6C204}">
  <dimension ref="A2:BJ561"/>
  <sheetViews>
    <sheetView zoomScale="85" zoomScaleNormal="85" workbookViewId="0">
      <selection activeCell="C14" sqref="C14"/>
    </sheetView>
  </sheetViews>
  <sheetFormatPr defaultColWidth="11.42578125" defaultRowHeight="14.45"/>
  <cols>
    <col min="1" max="2" width="18.140625" customWidth="1"/>
    <col min="3" max="3" width="38.5703125" customWidth="1"/>
    <col min="4" max="4" width="27.7109375" customWidth="1"/>
    <col min="5" max="5" width="22.5703125" customWidth="1"/>
    <col min="6" max="6" width="82.7109375" bestFit="1" customWidth="1"/>
    <col min="7" max="7" width="18.42578125" customWidth="1"/>
    <col min="8" max="8" width="25.5703125" customWidth="1"/>
    <col min="9" max="9" width="21.140625" customWidth="1"/>
    <col min="10" max="10" width="63.42578125" bestFit="1" customWidth="1"/>
    <col min="11" max="11" width="11.42578125" customWidth="1"/>
    <col min="12" max="12" width="20.5703125" customWidth="1"/>
    <col min="13" max="13" width="19.42578125" customWidth="1"/>
    <col min="14" max="14" width="23.7109375" customWidth="1"/>
    <col min="15" max="15" width="26" customWidth="1"/>
    <col min="16" max="16" width="24.85546875" customWidth="1"/>
    <col min="17" max="17" width="30.5703125" customWidth="1"/>
    <col min="18" max="18" width="35.28515625" customWidth="1"/>
    <col min="19" max="19" width="16.28515625" customWidth="1"/>
    <col min="20" max="20" width="11.42578125" customWidth="1"/>
    <col min="21" max="21" width="117.28515625" bestFit="1" customWidth="1"/>
    <col min="22" max="24" width="11.42578125" customWidth="1"/>
    <col min="25" max="25" width="27.85546875" customWidth="1"/>
    <col min="26" max="26" width="24.140625" customWidth="1"/>
    <col min="27" max="27" width="15.7109375" customWidth="1"/>
    <col min="28" max="28" width="27.7109375" customWidth="1"/>
    <col min="29" max="29" width="20.28515625" customWidth="1"/>
    <col min="30" max="30" width="24.28515625" customWidth="1"/>
    <col min="31" max="31" width="25.85546875" customWidth="1"/>
    <col min="32" max="32" width="24" bestFit="1" customWidth="1"/>
    <col min="33" max="33" width="21.5703125" customWidth="1"/>
    <col min="34" max="34" width="27" customWidth="1"/>
    <col min="35" max="35" width="31.7109375" customWidth="1"/>
    <col min="36" max="37" width="31.7109375" style="11" customWidth="1"/>
    <col min="38" max="38" width="17.28515625" customWidth="1"/>
    <col min="39" max="39" width="43.140625" style="25" customWidth="1"/>
    <col min="40" max="40" width="36.7109375" style="25" customWidth="1"/>
    <col min="41" max="41" width="19" style="25" customWidth="1"/>
    <col min="42" max="42" width="18.85546875" style="25" customWidth="1"/>
    <col min="43" max="43" width="27.28515625" style="25" customWidth="1"/>
    <col min="44" max="44" width="18.7109375" style="25" bestFit="1" customWidth="1"/>
    <col min="45" max="45" width="22.42578125" style="25" bestFit="1" customWidth="1"/>
    <col min="46" max="46" width="27.140625" style="11" customWidth="1"/>
    <col min="47" max="47" width="34.42578125" customWidth="1"/>
    <col min="48" max="48" width="25.85546875" bestFit="1" customWidth="1"/>
    <col min="49" max="54" width="25.85546875" style="11" bestFit="1" customWidth="1"/>
    <col min="55" max="55" width="20.42578125" style="11" customWidth="1"/>
    <col min="56" max="56" width="22.42578125" style="11" customWidth="1"/>
    <col min="57" max="57" width="13.7109375" customWidth="1"/>
    <col min="59" max="60" width="20.28515625" bestFit="1" customWidth="1"/>
    <col min="61" max="61" width="27.140625" customWidth="1"/>
    <col min="62" max="62" width="15.140625" customWidth="1"/>
    <col min="63" max="63" width="44.28515625" bestFit="1" customWidth="1"/>
  </cols>
  <sheetData>
    <row r="2" spans="10:46" ht="21.6">
      <c r="J2" s="1" t="s">
        <v>0</v>
      </c>
      <c r="K2" s="1" t="s">
        <v>1</v>
      </c>
      <c r="L2" s="1" t="s">
        <v>2</v>
      </c>
      <c r="M2" s="1" t="s">
        <v>3</v>
      </c>
      <c r="N2" s="1" t="s">
        <v>4</v>
      </c>
      <c r="O2" s="1" t="s">
        <v>5</v>
      </c>
      <c r="P2" s="1" t="s">
        <v>6</v>
      </c>
      <c r="Q2" s="1" t="s">
        <v>7</v>
      </c>
      <c r="R2" s="1" t="s">
        <v>8</v>
      </c>
      <c r="S2" s="1" t="s">
        <v>9</v>
      </c>
      <c r="T2" s="1" t="s">
        <v>10</v>
      </c>
      <c r="U2" s="1" t="s">
        <v>11</v>
      </c>
      <c r="V2" s="1" t="s">
        <v>12</v>
      </c>
    </row>
    <row r="3" spans="10:46">
      <c r="J3" s="2" t="s">
        <v>13</v>
      </c>
      <c r="K3" s="2"/>
      <c r="L3" s="3">
        <v>349190</v>
      </c>
      <c r="M3" s="4">
        <v>8</v>
      </c>
      <c r="N3" s="3">
        <v>88143</v>
      </c>
      <c r="O3" s="3">
        <v>75043</v>
      </c>
      <c r="P3" s="5">
        <v>8</v>
      </c>
      <c r="Q3" s="3"/>
      <c r="R3" s="3">
        <f>(L3*M3)+N3+O3</f>
        <v>2956706</v>
      </c>
      <c r="S3" s="3">
        <v>154018</v>
      </c>
      <c r="T3" s="6">
        <v>45930</v>
      </c>
      <c r="U3" s="7"/>
      <c r="V3" s="8">
        <v>2025</v>
      </c>
    </row>
    <row r="4" spans="10:46">
      <c r="J4" s="2" t="s">
        <v>14</v>
      </c>
      <c r="K4" s="2"/>
      <c r="L4" s="3">
        <v>503208</v>
      </c>
      <c r="M4" s="4">
        <v>8</v>
      </c>
      <c r="N4" s="3">
        <v>88143</v>
      </c>
      <c r="O4" s="3">
        <v>75043</v>
      </c>
      <c r="P4" s="5">
        <v>8</v>
      </c>
      <c r="Q4" s="3"/>
      <c r="R4" s="3">
        <f>(L4*M4)+N4+O4</f>
        <v>4188850</v>
      </c>
      <c r="S4" s="3"/>
      <c r="T4" s="6">
        <v>45930</v>
      </c>
      <c r="U4" s="7"/>
      <c r="V4" s="8">
        <v>2025</v>
      </c>
    </row>
    <row r="5" spans="10:46">
      <c r="J5" s="2" t="s">
        <v>15</v>
      </c>
      <c r="K5" s="2"/>
      <c r="L5" s="3">
        <v>520777</v>
      </c>
      <c r="M5" s="4">
        <v>8</v>
      </c>
      <c r="N5" s="3">
        <v>88143</v>
      </c>
      <c r="O5" s="3">
        <v>75043</v>
      </c>
      <c r="P5" s="5">
        <v>8</v>
      </c>
      <c r="Q5" s="3"/>
      <c r="R5" s="3">
        <f>(L5*M5)+N5+O5</f>
        <v>4329402</v>
      </c>
      <c r="S5" s="3"/>
      <c r="T5" s="6">
        <v>45930</v>
      </c>
      <c r="U5" s="7"/>
      <c r="V5" s="8">
        <v>2025</v>
      </c>
    </row>
    <row r="6" spans="10:46">
      <c r="J6" s="9" t="s">
        <v>16</v>
      </c>
      <c r="K6" s="2"/>
      <c r="L6" s="3">
        <v>462016</v>
      </c>
      <c r="M6" s="4">
        <v>8</v>
      </c>
      <c r="N6" s="3">
        <v>73965</v>
      </c>
      <c r="O6" s="3">
        <v>32651</v>
      </c>
      <c r="P6" s="5">
        <v>8</v>
      </c>
      <c r="Q6" s="3">
        <v>29099</v>
      </c>
      <c r="R6" s="3">
        <f t="shared" ref="R6:R14" si="0">(L6*M6)+N6+O6+Q6</f>
        <v>3831843</v>
      </c>
      <c r="S6" s="3"/>
      <c r="T6" s="6">
        <v>45930</v>
      </c>
      <c r="U6" s="7"/>
      <c r="V6" s="8">
        <v>2025</v>
      </c>
    </row>
    <row r="7" spans="10:46">
      <c r="J7" s="9" t="s">
        <v>17</v>
      </c>
      <c r="K7" s="2"/>
      <c r="L7" s="3">
        <v>298914</v>
      </c>
      <c r="M7" s="4">
        <v>8</v>
      </c>
      <c r="N7" s="3">
        <v>73965</v>
      </c>
      <c r="O7" s="3">
        <v>32651</v>
      </c>
      <c r="P7" s="5">
        <v>8</v>
      </c>
      <c r="Q7" s="3">
        <v>29099</v>
      </c>
      <c r="R7" s="3">
        <f t="shared" si="0"/>
        <v>2527027</v>
      </c>
      <c r="S7" s="3">
        <v>163102</v>
      </c>
      <c r="T7" s="6">
        <v>45930</v>
      </c>
      <c r="U7" s="7"/>
      <c r="V7" s="8">
        <v>2025</v>
      </c>
      <c r="X7">
        <v>8</v>
      </c>
    </row>
    <row r="8" spans="10:46">
      <c r="J8" s="9" t="s">
        <v>18</v>
      </c>
      <c r="K8" s="2"/>
      <c r="L8" s="3">
        <v>257586</v>
      </c>
      <c r="M8" s="4">
        <v>8</v>
      </c>
      <c r="N8" s="3">
        <v>49376</v>
      </c>
      <c r="O8" s="3">
        <v>41029</v>
      </c>
      <c r="P8" s="5">
        <v>8</v>
      </c>
      <c r="Q8" s="3">
        <f>27428+1672</f>
        <v>29100</v>
      </c>
      <c r="R8" s="3">
        <f t="shared" si="0"/>
        <v>2180193</v>
      </c>
      <c r="S8" s="3">
        <v>180383</v>
      </c>
      <c r="T8" s="6">
        <v>45930</v>
      </c>
      <c r="U8" s="7"/>
      <c r="V8" s="8">
        <v>2025</v>
      </c>
    </row>
    <row r="9" spans="10:46">
      <c r="J9" s="9" t="s">
        <v>19</v>
      </c>
      <c r="K9" s="2"/>
      <c r="L9" s="3">
        <v>265934</v>
      </c>
      <c r="M9" s="4">
        <v>8</v>
      </c>
      <c r="N9" s="3">
        <v>51463</v>
      </c>
      <c r="O9" s="3">
        <v>43116</v>
      </c>
      <c r="P9" s="5">
        <v>8</v>
      </c>
      <c r="Q9" s="3">
        <f>27428+1672</f>
        <v>29100</v>
      </c>
      <c r="R9" s="3">
        <f t="shared" si="0"/>
        <v>2251151</v>
      </c>
      <c r="S9" s="3">
        <v>180383</v>
      </c>
      <c r="T9" s="6">
        <v>45930</v>
      </c>
      <c r="U9" s="7"/>
      <c r="V9" s="8">
        <v>2025</v>
      </c>
    </row>
    <row r="10" spans="10:46">
      <c r="J10" s="9" t="s">
        <v>20</v>
      </c>
      <c r="K10" s="2"/>
      <c r="L10" s="3">
        <v>367661</v>
      </c>
      <c r="M10" s="4">
        <v>8</v>
      </c>
      <c r="N10" s="3">
        <v>46744</v>
      </c>
      <c r="O10" s="3">
        <v>37841</v>
      </c>
      <c r="P10" s="5">
        <v>8</v>
      </c>
      <c r="Q10" s="3"/>
      <c r="R10" s="3">
        <f t="shared" si="0"/>
        <v>3025873</v>
      </c>
      <c r="S10" s="3"/>
      <c r="T10" s="6">
        <v>45930</v>
      </c>
      <c r="U10" s="7"/>
      <c r="V10" s="8">
        <v>2025</v>
      </c>
    </row>
    <row r="11" spans="10:46">
      <c r="J11" s="9" t="s">
        <v>21</v>
      </c>
      <c r="K11" s="2"/>
      <c r="L11" s="3">
        <v>179340</v>
      </c>
      <c r="M11" s="4">
        <v>8</v>
      </c>
      <c r="N11" s="3">
        <v>46744</v>
      </c>
      <c r="O11" s="3">
        <v>37841</v>
      </c>
      <c r="P11" s="5">
        <v>8</v>
      </c>
      <c r="Q11" s="3"/>
      <c r="R11" s="3">
        <f t="shared" si="0"/>
        <v>1519305</v>
      </c>
      <c r="S11" s="3">
        <v>188321</v>
      </c>
      <c r="T11" s="6">
        <v>45930</v>
      </c>
      <c r="U11" s="7"/>
      <c r="V11" s="8">
        <v>2025</v>
      </c>
    </row>
    <row r="12" spans="10:46">
      <c r="J12" s="2" t="s">
        <v>22</v>
      </c>
      <c r="K12" s="2"/>
      <c r="L12" s="3">
        <v>503208</v>
      </c>
      <c r="M12" s="4">
        <v>8</v>
      </c>
      <c r="N12" s="3">
        <v>88143</v>
      </c>
      <c r="O12" s="3">
        <v>75043</v>
      </c>
      <c r="P12" s="5">
        <v>8</v>
      </c>
      <c r="Q12" s="3"/>
      <c r="R12" s="3">
        <f t="shared" si="0"/>
        <v>4188850</v>
      </c>
      <c r="S12" s="3"/>
      <c r="T12" s="6">
        <v>45930</v>
      </c>
      <c r="U12" s="7"/>
      <c r="V12" s="8">
        <v>2025</v>
      </c>
    </row>
    <row r="13" spans="10:46">
      <c r="J13" s="2" t="s">
        <v>23</v>
      </c>
      <c r="K13" s="2"/>
      <c r="L13" s="3">
        <v>349190</v>
      </c>
      <c r="M13" s="4">
        <v>8</v>
      </c>
      <c r="N13" s="3">
        <v>88143</v>
      </c>
      <c r="O13" s="3">
        <v>75043</v>
      </c>
      <c r="P13" s="5">
        <v>8</v>
      </c>
      <c r="Q13" s="3"/>
      <c r="R13" s="3">
        <f t="shared" si="0"/>
        <v>2956706</v>
      </c>
      <c r="S13" s="3">
        <v>154018</v>
      </c>
      <c r="T13" s="6">
        <v>45930</v>
      </c>
      <c r="U13" s="7"/>
      <c r="V13" s="8">
        <v>2025</v>
      </c>
    </row>
    <row r="14" spans="10:46">
      <c r="J14" s="2" t="s">
        <v>24</v>
      </c>
      <c r="K14" s="2"/>
      <c r="L14" s="3">
        <v>310056</v>
      </c>
      <c r="M14" s="4">
        <v>8</v>
      </c>
      <c r="N14" s="3">
        <v>66244</v>
      </c>
      <c r="O14" s="3">
        <v>28221</v>
      </c>
      <c r="P14" s="5">
        <v>8</v>
      </c>
      <c r="Q14" s="3">
        <v>29099</v>
      </c>
      <c r="R14" s="3">
        <f t="shared" si="0"/>
        <v>2604012</v>
      </c>
      <c r="S14" s="3">
        <v>158339</v>
      </c>
      <c r="T14" s="6">
        <v>45930</v>
      </c>
      <c r="U14" s="7"/>
      <c r="V14" s="8">
        <v>2025</v>
      </c>
    </row>
    <row r="15" spans="10:46">
      <c r="J15" s="2" t="s">
        <v>2843</v>
      </c>
      <c r="K15" s="2"/>
      <c r="L15" s="3">
        <v>437969</v>
      </c>
      <c r="M15" s="4">
        <v>8</v>
      </c>
      <c r="N15" s="3">
        <v>49376</v>
      </c>
      <c r="O15" s="3">
        <v>41029</v>
      </c>
      <c r="P15" s="5">
        <v>8</v>
      </c>
      <c r="Q15" s="3">
        <f>27428+1672</f>
        <v>29100</v>
      </c>
      <c r="R15" s="3">
        <f>(L15*M15)+N15+O15+Q15</f>
        <v>3623257</v>
      </c>
      <c r="S15" s="3"/>
      <c r="T15" s="6">
        <v>45930</v>
      </c>
      <c r="U15" s="7"/>
      <c r="V15" s="8">
        <v>2025</v>
      </c>
    </row>
    <row r="16" spans="10:46">
      <c r="AT16" s="25"/>
    </row>
    <row r="18" spans="1:62">
      <c r="AB18" s="25">
        <f>SUBTOTAL(9,Tabla44[VALOR ATENCIÓN (8 MESES)])</f>
        <v>39122507128</v>
      </c>
      <c r="AD18" s="25">
        <f>SUBTOTAL(9,Tabla44[VALOR CONTRAPARTIDA])</f>
        <v>0</v>
      </c>
      <c r="AG18" s="25">
        <f>SUBTOTAL(9,Tabla44[TOTAL APORTES ICBF])</f>
        <v>39122507128</v>
      </c>
      <c r="AH18" s="25">
        <f>SUBTOTAL(9,Tabla44[TOTAL CONTRATO (ICBF+EAS)])</f>
        <v>39122507128</v>
      </c>
      <c r="AI18" s="25">
        <f>SUBTOTAL(9,Tabla44[TOTAL APORTES ICBF AGRUPADO])</f>
        <v>39122507128</v>
      </c>
      <c r="AJ18" s="11">
        <f>SUBTOTAL(9,Tabla44[TOTAL CONTRAPARTIDA AGRUPADO])</f>
        <v>0</v>
      </c>
      <c r="AK18" s="11">
        <f>SUBTOTAL(9,Tabla44[VALOR TOTAL CONTRATO AGRUPADO])</f>
        <v>39122507128</v>
      </c>
      <c r="AL18" s="11">
        <v>1423500</v>
      </c>
      <c r="AM18" s="25">
        <f>SUBTOTAL(9,Tabla44[VALOR FASE PREPARATORIA DE ALISTAMIENTO])</f>
        <v>928571302</v>
      </c>
      <c r="AN18" s="25">
        <f>SUBTOTAL(9,Tabla44[VALOR FASE PREPARATORIA DE CIERRE])</f>
        <v>777141094</v>
      </c>
      <c r="AO18" s="25">
        <f>SUBTOTAL(9,Tabla44[DOTACIÓN ÚNICA])</f>
        <v>168227100</v>
      </c>
      <c r="AP18" s="25">
        <f>SUBTOTAL(9,Tabla44[VALOR ATENCIÓN])</f>
        <v>37248567632</v>
      </c>
      <c r="AQ18" s="25">
        <f>SUBTOTAL(9,Tabla44[VALOR RACION PREPARADA])</f>
        <v>0</v>
      </c>
      <c r="AR18" s="25">
        <f>SUBTOTAL(9,Tabla44[VALOR TOTAL])</f>
        <v>39122507128</v>
      </c>
      <c r="AS18" s="25">
        <f>SUBTOTAL(9,Tabla44[TOTAL AGRUPADO])</f>
        <v>39122507128</v>
      </c>
      <c r="AT18" s="25">
        <f>SUBTOTAL(9,Tabla44[VALOR COMPONENTE ALIMENTACION NO ASIGNADO])</f>
        <v>15742377600</v>
      </c>
      <c r="AU18" s="25">
        <f>SUBTOTAL(9,Tabla44[VALOR TOTAL DEL CONTRATO INCLUIDO EL COMPONENTE DE ALIMENTACIÓN])</f>
        <v>54864884728</v>
      </c>
      <c r="AV18" s="30">
        <f>SUM(Tabla44[DESEMBOLSO 1])</f>
        <v>7720666556</v>
      </c>
      <c r="AW18" s="30">
        <f>SUM(Tabla44[DESEMBOLSO 2])</f>
        <v>6623868154</v>
      </c>
      <c r="AX18" s="30">
        <f>SUM(Tabla44[DESEMBOLSO 3])</f>
        <v>6623868154</v>
      </c>
      <c r="AY18" s="30">
        <f>SUM(Tabla44[DESEMBOLSO 4])</f>
        <v>6623868154</v>
      </c>
      <c r="AZ18" s="30">
        <f>SUM(Tabla44[DESEMBOLSO 5])</f>
        <v>6623868154</v>
      </c>
      <c r="BA18" s="30">
        <f>SUM(Tabla44[DESEMBOLSO 6])</f>
        <v>6623868154</v>
      </c>
      <c r="BB18" s="30">
        <f>SUM(Tabla44[DESEMBOLSO 7])</f>
        <v>6623868154</v>
      </c>
      <c r="BC18" s="30">
        <f>SUM(Tabla44[DESEMBOLSO 8])</f>
        <v>7401009248</v>
      </c>
      <c r="BD18" s="30">
        <f>SUM(Tabla44[TOTAL DESEMBOLSOS])</f>
        <v>54864884728</v>
      </c>
    </row>
    <row r="19" spans="1:62" s="10" customFormat="1" ht="43.15" customHeight="1">
      <c r="A19" s="14" t="s">
        <v>25</v>
      </c>
      <c r="B19" s="14" t="s">
        <v>26</v>
      </c>
      <c r="C19" s="15" t="s">
        <v>27</v>
      </c>
      <c r="D19" s="16" t="s">
        <v>28</v>
      </c>
      <c r="E19" s="16" t="s">
        <v>29</v>
      </c>
      <c r="F19" s="15" t="s">
        <v>30</v>
      </c>
      <c r="G19" s="15" t="s">
        <v>31</v>
      </c>
      <c r="H19" s="15" t="s">
        <v>32</v>
      </c>
      <c r="I19" s="17" t="s">
        <v>33</v>
      </c>
      <c r="J19" s="16" t="s">
        <v>34</v>
      </c>
      <c r="K19" s="16" t="s">
        <v>35</v>
      </c>
      <c r="L19" s="18" t="s">
        <v>36</v>
      </c>
      <c r="M19" s="18" t="s">
        <v>37</v>
      </c>
      <c r="N19" s="18" t="s">
        <v>38</v>
      </c>
      <c r="O19" s="18" t="s">
        <v>39</v>
      </c>
      <c r="P19" s="18" t="s">
        <v>40</v>
      </c>
      <c r="Q19" s="18" t="s">
        <v>41</v>
      </c>
      <c r="R19" s="18" t="s">
        <v>42</v>
      </c>
      <c r="S19" s="18" t="s">
        <v>43</v>
      </c>
      <c r="T19" s="18" t="s">
        <v>44</v>
      </c>
      <c r="U19" s="15" t="s">
        <v>45</v>
      </c>
      <c r="V19" s="15" t="s">
        <v>46</v>
      </c>
      <c r="W19" s="15" t="s">
        <v>47</v>
      </c>
      <c r="X19" s="15" t="s">
        <v>48</v>
      </c>
      <c r="Y19" s="15" t="s">
        <v>49</v>
      </c>
      <c r="Z19" s="15" t="s">
        <v>50</v>
      </c>
      <c r="AA19" s="15" t="s">
        <v>51</v>
      </c>
      <c r="AB19" s="19" t="s">
        <v>52</v>
      </c>
      <c r="AC19" s="19" t="s">
        <v>53</v>
      </c>
      <c r="AD19" s="19" t="s">
        <v>54</v>
      </c>
      <c r="AE19" s="19" t="s">
        <v>55</v>
      </c>
      <c r="AF19" s="19" t="s">
        <v>56</v>
      </c>
      <c r="AG19" s="19" t="s">
        <v>57</v>
      </c>
      <c r="AH19" s="19" t="s">
        <v>58</v>
      </c>
      <c r="AI19" s="19" t="s">
        <v>59</v>
      </c>
      <c r="AJ19" s="24" t="s">
        <v>60</v>
      </c>
      <c r="AK19" s="24" t="s">
        <v>61</v>
      </c>
      <c r="AL19" s="19" t="s">
        <v>62</v>
      </c>
      <c r="AM19" s="26" t="s">
        <v>63</v>
      </c>
      <c r="AN19" s="26" t="s">
        <v>64</v>
      </c>
      <c r="AO19" s="26" t="s">
        <v>7</v>
      </c>
      <c r="AP19" s="26" t="s">
        <v>65</v>
      </c>
      <c r="AQ19" s="26" t="s">
        <v>66</v>
      </c>
      <c r="AR19" s="26" t="s">
        <v>67</v>
      </c>
      <c r="AS19" s="26" t="s">
        <v>68</v>
      </c>
      <c r="AT19" s="24" t="s">
        <v>78</v>
      </c>
      <c r="AU19" s="19" t="s">
        <v>2844</v>
      </c>
      <c r="AV19" s="19" t="s">
        <v>69</v>
      </c>
      <c r="AW19" s="24" t="s">
        <v>70</v>
      </c>
      <c r="AX19" s="24" t="s">
        <v>71</v>
      </c>
      <c r="AY19" s="24" t="s">
        <v>72</v>
      </c>
      <c r="AZ19" s="24" t="s">
        <v>73</v>
      </c>
      <c r="BA19" s="24" t="s">
        <v>74</v>
      </c>
      <c r="BB19" s="24" t="s">
        <v>75</v>
      </c>
      <c r="BC19" s="24" t="s">
        <v>76</v>
      </c>
      <c r="BD19" s="24" t="s">
        <v>77</v>
      </c>
      <c r="BE19" s="19" t="s">
        <v>80</v>
      </c>
      <c r="BF19" s="19" t="s">
        <v>81</v>
      </c>
      <c r="BG19" s="19" t="s">
        <v>82</v>
      </c>
      <c r="BH19" s="20" t="s">
        <v>83</v>
      </c>
      <c r="BI19" s="32" t="s">
        <v>2845</v>
      </c>
      <c r="BJ19" s="32" t="s">
        <v>84</v>
      </c>
    </row>
    <row r="20" spans="1:62">
      <c r="A20" s="13">
        <v>1894</v>
      </c>
      <c r="B20" s="13"/>
      <c r="C20" s="12" t="s">
        <v>87</v>
      </c>
      <c r="D20" s="12" t="s">
        <v>2846</v>
      </c>
      <c r="E20" s="12" t="s">
        <v>2847</v>
      </c>
      <c r="F20" s="12" t="s">
        <v>15</v>
      </c>
      <c r="G20" s="12" t="s">
        <v>90</v>
      </c>
      <c r="H20" s="12" t="s">
        <v>2848</v>
      </c>
      <c r="I20" s="36">
        <v>500100078335</v>
      </c>
      <c r="J20" s="12" t="s">
        <v>2849</v>
      </c>
      <c r="K20" s="12">
        <v>1</v>
      </c>
      <c r="L20" s="12">
        <v>43</v>
      </c>
      <c r="M20" s="12"/>
      <c r="N20" s="13">
        <v>1894</v>
      </c>
      <c r="O20" s="12" t="s">
        <v>2850</v>
      </c>
      <c r="P20" s="12"/>
      <c r="Q20" s="12"/>
      <c r="R20" s="12" t="s">
        <v>94</v>
      </c>
      <c r="S20" s="12">
        <v>10</v>
      </c>
      <c r="T20" s="12">
        <v>811021339</v>
      </c>
      <c r="U20" s="12" t="s">
        <v>2851</v>
      </c>
      <c r="V20" s="12">
        <f>VLOOKUP(Tabla44[[#This Row],[ZONA DEFINITIVO]],[1]Hoja1!$A$1:$D$125,3,0)</f>
        <v>229932</v>
      </c>
      <c r="W20" s="12">
        <f>VLOOKUP(Tabla44[[#This Row],[ZONA DEFINITIVO]],[1]Hoja1!$A$1:$D$125,2,0)</f>
        <v>17246</v>
      </c>
      <c r="X20" s="12">
        <f>VLOOKUP(Tabla44[[#This Row],[ZONA DEFINITIVO]],[1]Hoja1!$A$1:$D$125,4,0)</f>
        <v>103825</v>
      </c>
      <c r="Y20" s="12">
        <f>+IF(Tabla44[[#This Row],[AGRUPACIONES]]=1,SUMIFS(Tabla44[UDS],Tabla44[ZONA DEFINITIVO],Tabla44[[#This Row],[ZONA DEFINITIVO]])," ")</f>
        <v>2</v>
      </c>
      <c r="Z20" s="12">
        <f>+IF(Tabla44[[#This Row],[AGRUPACIONES]]=1,SUMIFS(Tabla44[TOTAL COBERTURA],Tabla44[ZONA DEFINITIVO],Tabla44[[#This Row],[ZONA DEFINITIVO]])," ")</f>
        <v>72</v>
      </c>
      <c r="AA20" s="12"/>
      <c r="AB20" s="35">
        <v>186164286</v>
      </c>
      <c r="AC20" s="37">
        <v>0</v>
      </c>
      <c r="AD20" s="35">
        <f t="shared" ref="AD20:AD83" si="1">AB20*AC20</f>
        <v>0</v>
      </c>
      <c r="AE20" s="12"/>
      <c r="AF20" s="12">
        <f>COUNTIF($A$20:A20,A20)</f>
        <v>1</v>
      </c>
      <c r="AG20" s="38">
        <v>186164286</v>
      </c>
      <c r="AH20" s="38">
        <f>Tabla44[[#This Row],[VALOR CONTRAPARTIDA]]+Tabla44[[#This Row],[TOTAL APORTES ICBF]]</f>
        <v>186164286</v>
      </c>
      <c r="AI20" s="35">
        <f>+IF(Tabla44[[#This Row],[AGRUPACIONES]]=1,SUMIFS(Tabla44[TOTAL APORTES ICBF],Tabla44[ZONA DEFINITIVO],Tabla44[[#This Row],[ZONA DEFINITIVO]])," ")</f>
        <v>311716944</v>
      </c>
      <c r="AJ20" s="38">
        <f>ROUND(+IF(Tabla44[[#This Row],[AGRUPACIONES]]=1,SUMIFS(Tabla44[VALOR CONTRAPARTIDA],Tabla44[ZONA DEFINITIVO],Tabla44[[#This Row],[ZONA DEFINITIVO]])," "),0)</f>
        <v>0</v>
      </c>
      <c r="AK20" s="38">
        <f>Tabla44[[#This Row],[TOTAL APORTES ICBF AGRUPADO]]+Tabla44[[#This Row],[TOTAL CONTRAPARTIDA AGRUPADO]]</f>
        <v>311716944</v>
      </c>
      <c r="AL20" s="35">
        <f>Tabla44[[#This Row],[TOTAL APORTES ICBF AGRUPADO]]/$AL$18</f>
        <v>218.97923709167546</v>
      </c>
      <c r="AM20" s="35">
        <f>VLOOKUP(Tabla44[[#This Row],[SERVICIO 2025]],$J$2:$V$15,5,0)*Tabla44[[#This Row],[TOTAL COBERTURA]]</f>
        <v>3790149</v>
      </c>
      <c r="AN20" s="35">
        <f>VLOOKUP(Tabla44[[#This Row],[SERVICIO 2025]],$J$2:$V$15,6,0)*Tabla44[[#This Row],[TOTAL COBERTURA]]</f>
        <v>3226849</v>
      </c>
      <c r="AO20" s="35">
        <f>VLOOKUP(Tabla44[[#This Row],[SERVICIO 2025]],$J$2:$V$15,8,0)*Tabla44[[#This Row],[TOTAL COBERTURA]]</f>
        <v>0</v>
      </c>
      <c r="AP20" s="35">
        <f>VLOOKUP(Tabla44[[#This Row],[SERVICIO 2025]],$J$2:$V$15,3,0)*Tabla44[[#This Row],[TOTAL COBERTURA]]*8</f>
        <v>179147288</v>
      </c>
      <c r="AQ20" s="35"/>
      <c r="AR20" s="35">
        <f>SUM(Tabla44[[#This Row],[VALOR FASE PREPARATORIA DE ALISTAMIENTO]:[VALOR RACION PREPARADA]])</f>
        <v>186164286</v>
      </c>
      <c r="AS20" s="35">
        <f>+IF(Tabla44[[#This Row],[AGRUPACIONES]]=1,SUMIFS(Tabla44[VALOR TOTAL],Tabla44[ZONA DEFINITIVO],Tabla44[[#This Row],[ZONA DEFINITIVO]])," ")</f>
        <v>311716944</v>
      </c>
      <c r="AT20" s="35">
        <f>VLOOKUP(Tabla44[[#This Row],[SERVICIO 2025]],$J$2:$V$15,10,0)*Tabla44[[#This Row],[TOTAL COBERTURA]]*$X$7</f>
        <v>0</v>
      </c>
      <c r="AU20" s="39">
        <f>Tabla44[[#This Row],[TOTAL CONTRATO (ICBF+EAS)]]+Tabla44[[#This Row],[VALOR COMPONENTE ALIMENTACION NO ASIGNADO]]</f>
        <v>186164286</v>
      </c>
      <c r="AV2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26183560</v>
      </c>
      <c r="AW20" s="35">
        <f>(VLOOKUP(Tabla44[[#This Row],[SERVICIO 2025]],$J$2:$V$15,3,0)*Tabla44[[#This Row],[TOTAL COBERTURA]])+VLOOKUP(Tabla44[[#This Row],[SERVICIO 2025]],$J$2:$V$15,10,0)*Tabla44[[#This Row],[TOTAL COBERTURA]]</f>
        <v>22393411</v>
      </c>
      <c r="AX20" s="35">
        <f>(VLOOKUP(Tabla44[[#This Row],[SERVICIO 2025]],$J$2:$V$15,3,0)*Tabla44[[#This Row],[TOTAL COBERTURA]])+VLOOKUP(Tabla44[[#This Row],[SERVICIO 2025]],$J$2:$V$15,10,0)*Tabla44[[#This Row],[TOTAL COBERTURA]]</f>
        <v>22393411</v>
      </c>
      <c r="AY20" s="35">
        <f>(VLOOKUP(Tabla44[[#This Row],[SERVICIO 2025]],$J$2:$V$15,3,0)*Tabla44[[#This Row],[TOTAL COBERTURA]])+VLOOKUP(Tabla44[[#This Row],[SERVICIO 2025]],$J$2:$V$15,10,0)*Tabla44[[#This Row],[TOTAL COBERTURA]]</f>
        <v>22393411</v>
      </c>
      <c r="AZ20" s="35">
        <f>(VLOOKUP(Tabla44[[#This Row],[SERVICIO 2025]],$J$2:$V$15,3,0)*Tabla44[[#This Row],[TOTAL COBERTURA]])+VLOOKUP(Tabla44[[#This Row],[SERVICIO 2025]],$J$2:$V$15,10,0)*Tabla44[[#This Row],[TOTAL COBERTURA]]</f>
        <v>22393411</v>
      </c>
      <c r="BA20" s="35">
        <f>(VLOOKUP(Tabla44[[#This Row],[SERVICIO 2025]],$J$2:$V$15,3,0)*Tabla44[[#This Row],[TOTAL COBERTURA]])+VLOOKUP(Tabla44[[#This Row],[SERVICIO 2025]],$J$2:$V$15,10,0)*Tabla44[[#This Row],[TOTAL COBERTURA]]</f>
        <v>22393411</v>
      </c>
      <c r="BB20" s="35">
        <f>(VLOOKUP(Tabla44[[#This Row],[SERVICIO 2025]],$J$2:$V$15,3,0)*Tabla44[[#This Row],[TOTAL COBERTURA]])+VLOOKUP(Tabla44[[#This Row],[SERVICIO 2025]],$J$2:$V$15,10,0)*Tabla44[[#This Row],[TOTAL COBERTURA]]</f>
        <v>22393411</v>
      </c>
      <c r="BC2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25620260</v>
      </c>
      <c r="BD20" s="35">
        <f>SUM(Tabla44[[#This Row],[DESEMBOLSO 1]:[DESEMBOLSO 8]])</f>
        <v>186164286</v>
      </c>
      <c r="BE20" s="12" t="b">
        <f>EXACT(Tabla44[[#This Row],[VALOR ATENCIÓN (8 MESES)]],Tabla44[[#This Row],[VALOR TOTAL]])</f>
        <v>1</v>
      </c>
      <c r="BF20" s="23">
        <f>Tabla44[[#This Row],[VALOR ATENCIÓN (8 MESES)]]-Tabla44[[#This Row],[VALOR TOTAL]]</f>
        <v>0</v>
      </c>
      <c r="BG20" s="12" t="b">
        <f>EXACT(Tabla44[[#This Row],[TOTAL DESEMBOLSOS]],Tabla44[[#This Row],[VALOR TOTAL DEL CONTRATO INCLUIDO EL COMPONENTE DE ALIMENTACIÓN]])</f>
        <v>1</v>
      </c>
      <c r="BH20" s="29">
        <f>Tabla44[[#This Row],[TOTAL DESEMBOLSOS]]-Tabla44[[#This Row],[VALOR TOTAL DEL CONTRATO INCLUIDO EL COMPONENTE DE ALIMENTACIÓN]]</f>
        <v>0</v>
      </c>
      <c r="BI20" t="s">
        <v>98</v>
      </c>
    </row>
    <row r="21" spans="1:62">
      <c r="A21" s="13">
        <v>1894</v>
      </c>
      <c r="B21" s="13"/>
      <c r="C21" s="12" t="s">
        <v>87</v>
      </c>
      <c r="D21" s="12" t="s">
        <v>2846</v>
      </c>
      <c r="E21" s="12" t="s">
        <v>2847</v>
      </c>
      <c r="F21" s="12" t="s">
        <v>15</v>
      </c>
      <c r="G21" s="12" t="s">
        <v>90</v>
      </c>
      <c r="H21" s="12" t="s">
        <v>2852</v>
      </c>
      <c r="I21" s="36">
        <v>500100079974</v>
      </c>
      <c r="J21" s="12" t="s">
        <v>2853</v>
      </c>
      <c r="K21" s="12">
        <v>1</v>
      </c>
      <c r="L21" s="12">
        <v>29</v>
      </c>
      <c r="M21" s="12"/>
      <c r="N21" s="13">
        <v>1894</v>
      </c>
      <c r="O21" s="12" t="s">
        <v>2850</v>
      </c>
      <c r="P21" s="12"/>
      <c r="Q21" s="12"/>
      <c r="R21" s="12" t="s">
        <v>94</v>
      </c>
      <c r="S21" s="12">
        <v>10</v>
      </c>
      <c r="T21" s="12">
        <v>811021339</v>
      </c>
      <c r="U21" s="12" t="s">
        <v>2851</v>
      </c>
      <c r="V21" s="12">
        <f>VLOOKUP(Tabla44[[#This Row],[ZONA DEFINITIVO]],[1]Hoja1!$A$1:$D$125,3,0)</f>
        <v>229932</v>
      </c>
      <c r="W21" s="12">
        <f>VLOOKUP(Tabla44[[#This Row],[ZONA DEFINITIVO]],[1]Hoja1!$A$1:$D$125,2,0)</f>
        <v>17246</v>
      </c>
      <c r="X21" s="12">
        <f>VLOOKUP(Tabla44[[#This Row],[ZONA DEFINITIVO]],[1]Hoja1!$A$1:$D$125,4,0)</f>
        <v>103825</v>
      </c>
      <c r="Y21" s="12" t="str">
        <f>+IF(Tabla44[[#This Row],[AGRUPACIONES]]=1,SUMIFS(Tabla44[UDS],Tabla44[ZONA DEFINITIVO],Tabla44[[#This Row],[ZONA DEFINITIVO]])," ")</f>
        <v xml:space="preserve"> </v>
      </c>
      <c r="Z21" s="12" t="str">
        <f>+IF(Tabla44[[#This Row],[AGRUPACIONES]]=1,SUMIFS(Tabla44[TOTAL COBERTURA],Tabla44[ZONA DEFINITIVO],Tabla44[[#This Row],[ZONA DEFINITIVO]])," ")</f>
        <v xml:space="preserve"> </v>
      </c>
      <c r="AA21" s="12"/>
      <c r="AB21" s="35">
        <v>125552658</v>
      </c>
      <c r="AC21" s="37">
        <v>0</v>
      </c>
      <c r="AD21" s="35">
        <f t="shared" si="1"/>
        <v>0</v>
      </c>
      <c r="AE21" s="12"/>
      <c r="AF21" s="12">
        <f>COUNTIF($A$20:A21,A21)</f>
        <v>2</v>
      </c>
      <c r="AG21" s="38">
        <v>125552658</v>
      </c>
      <c r="AH21" s="38">
        <f>Tabla44[[#This Row],[VALOR CONTRAPARTIDA]]+Tabla44[[#This Row],[TOTAL APORTES ICBF]]</f>
        <v>125552658</v>
      </c>
      <c r="AI21" s="35" t="str">
        <f>+IF(Tabla44[[#This Row],[AGRUPACIONES]]=1,SUMIFS(Tabla44[TOTAL APORTES ICBF],Tabla44[ZONA DEFINITIVO],Tabla44[[#This Row],[ZONA DEFINITIVO]])," ")</f>
        <v xml:space="preserve"> </v>
      </c>
      <c r="AJ21" s="38"/>
      <c r="AK21" s="38"/>
      <c r="AL21" s="35"/>
      <c r="AM21" s="35">
        <f>VLOOKUP(Tabla44[[#This Row],[SERVICIO 2025]],$J$2:$V$15,5,0)*Tabla44[[#This Row],[TOTAL COBERTURA]]</f>
        <v>2556147</v>
      </c>
      <c r="AN21" s="35">
        <f>VLOOKUP(Tabla44[[#This Row],[SERVICIO 2025]],$J$2:$V$15,6,0)*Tabla44[[#This Row],[TOTAL COBERTURA]]</f>
        <v>2176247</v>
      </c>
      <c r="AO21" s="35">
        <f>VLOOKUP(Tabla44[[#This Row],[SERVICIO 2025]],$J$2:$V$15,8,0)*Tabla44[[#This Row],[TOTAL COBERTURA]]</f>
        <v>0</v>
      </c>
      <c r="AP21" s="35">
        <f>VLOOKUP(Tabla44[[#This Row],[SERVICIO 2025]],$J$2:$V$15,3,0)*Tabla44[[#This Row],[TOTAL COBERTURA]]*8</f>
        <v>120820264</v>
      </c>
      <c r="AQ21" s="35"/>
      <c r="AR21" s="35">
        <f>SUM(Tabla44[[#This Row],[VALOR FASE PREPARATORIA DE ALISTAMIENTO]:[VALOR RACION PREPARADA]])</f>
        <v>125552658</v>
      </c>
      <c r="AS21" s="35" t="str">
        <f>+IF(Tabla44[[#This Row],[AGRUPACIONES]]=1,SUMIFS(Tabla44[VALOR TOTAL],Tabla44[ZONA DEFINITIVO],Tabla44[[#This Row],[ZONA DEFINITIVO]])," ")</f>
        <v xml:space="preserve"> </v>
      </c>
      <c r="AT21" s="35">
        <f>VLOOKUP(Tabla44[[#This Row],[SERVICIO 2025]],$J$2:$V$15,10,0)*Tabla44[[#This Row],[TOTAL COBERTURA]]*$X$7</f>
        <v>0</v>
      </c>
      <c r="AU21" s="39">
        <f>Tabla44[[#This Row],[TOTAL CONTRATO (ICBF+EAS)]]+Tabla44[[#This Row],[VALOR COMPONENTE ALIMENTACION NO ASIGNADO]]</f>
        <v>125552658</v>
      </c>
      <c r="AV2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17658680</v>
      </c>
      <c r="AW21" s="35">
        <f>(VLOOKUP(Tabla44[[#This Row],[SERVICIO 2025]],$J$2:$V$15,3,0)*Tabla44[[#This Row],[TOTAL COBERTURA]])+VLOOKUP(Tabla44[[#This Row],[SERVICIO 2025]],$J$2:$V$15,10,0)*Tabla44[[#This Row],[TOTAL COBERTURA]]</f>
        <v>15102533</v>
      </c>
      <c r="AX21" s="35">
        <f>(VLOOKUP(Tabla44[[#This Row],[SERVICIO 2025]],$J$2:$V$15,3,0)*Tabla44[[#This Row],[TOTAL COBERTURA]])+VLOOKUP(Tabla44[[#This Row],[SERVICIO 2025]],$J$2:$V$15,10,0)*Tabla44[[#This Row],[TOTAL COBERTURA]]</f>
        <v>15102533</v>
      </c>
      <c r="AY21" s="35">
        <f>(VLOOKUP(Tabla44[[#This Row],[SERVICIO 2025]],$J$2:$V$15,3,0)*Tabla44[[#This Row],[TOTAL COBERTURA]])+VLOOKUP(Tabla44[[#This Row],[SERVICIO 2025]],$J$2:$V$15,10,0)*Tabla44[[#This Row],[TOTAL COBERTURA]]</f>
        <v>15102533</v>
      </c>
      <c r="AZ21" s="35">
        <f>(VLOOKUP(Tabla44[[#This Row],[SERVICIO 2025]],$J$2:$V$15,3,0)*Tabla44[[#This Row],[TOTAL COBERTURA]])+VLOOKUP(Tabla44[[#This Row],[SERVICIO 2025]],$J$2:$V$15,10,0)*Tabla44[[#This Row],[TOTAL COBERTURA]]</f>
        <v>15102533</v>
      </c>
      <c r="BA21" s="35">
        <f>(VLOOKUP(Tabla44[[#This Row],[SERVICIO 2025]],$J$2:$V$15,3,0)*Tabla44[[#This Row],[TOTAL COBERTURA]])+VLOOKUP(Tabla44[[#This Row],[SERVICIO 2025]],$J$2:$V$15,10,0)*Tabla44[[#This Row],[TOTAL COBERTURA]]</f>
        <v>15102533</v>
      </c>
      <c r="BB21" s="35">
        <f>(VLOOKUP(Tabla44[[#This Row],[SERVICIO 2025]],$J$2:$V$15,3,0)*Tabla44[[#This Row],[TOTAL COBERTURA]])+VLOOKUP(Tabla44[[#This Row],[SERVICIO 2025]],$J$2:$V$15,10,0)*Tabla44[[#This Row],[TOTAL COBERTURA]]</f>
        <v>15102533</v>
      </c>
      <c r="BC2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17278780</v>
      </c>
      <c r="BD21" s="35">
        <f>SUM(Tabla44[[#This Row],[DESEMBOLSO 1]:[DESEMBOLSO 8]])</f>
        <v>125552658</v>
      </c>
      <c r="BE21" s="12" t="b">
        <f>EXACT(Tabla44[[#This Row],[VALOR ATENCIÓN (8 MESES)]],Tabla44[[#This Row],[VALOR TOTAL]])</f>
        <v>1</v>
      </c>
      <c r="BF21" s="23">
        <f>Tabla44[[#This Row],[VALOR ATENCIÓN (8 MESES)]]-Tabla44[[#This Row],[VALOR TOTAL]]</f>
        <v>0</v>
      </c>
      <c r="BG21" s="12" t="b">
        <f>EXACT(Tabla44[[#This Row],[TOTAL DESEMBOLSOS]],Tabla44[[#This Row],[VALOR TOTAL DEL CONTRATO INCLUIDO EL COMPONENTE DE ALIMENTACIÓN]])</f>
        <v>1</v>
      </c>
      <c r="BH21" s="29">
        <f>Tabla44[[#This Row],[TOTAL DESEMBOLSOS]]-Tabla44[[#This Row],[VALOR TOTAL DEL CONTRATO INCLUIDO EL COMPONENTE DE ALIMENTACIÓN]]</f>
        <v>0</v>
      </c>
      <c r="BI21" t="s">
        <v>98</v>
      </c>
    </row>
    <row r="22" spans="1:62">
      <c r="A22" s="13">
        <v>1918</v>
      </c>
      <c r="B22" s="13"/>
      <c r="C22" s="12" t="s">
        <v>87</v>
      </c>
      <c r="D22" s="12" t="s">
        <v>527</v>
      </c>
      <c r="E22" s="12" t="s">
        <v>2854</v>
      </c>
      <c r="F22" s="12" t="s">
        <v>18</v>
      </c>
      <c r="G22" s="12" t="s">
        <v>90</v>
      </c>
      <c r="H22" s="12" t="s">
        <v>2855</v>
      </c>
      <c r="I22" s="36">
        <v>50551119040</v>
      </c>
      <c r="J22" s="12" t="s">
        <v>2856</v>
      </c>
      <c r="K22" s="12">
        <v>1</v>
      </c>
      <c r="L22" s="12">
        <v>50</v>
      </c>
      <c r="M22" s="12"/>
      <c r="N22" s="13">
        <v>1918</v>
      </c>
      <c r="O22" s="12" t="s">
        <v>2850</v>
      </c>
      <c r="P22" s="12"/>
      <c r="Q22" s="12"/>
      <c r="R22" s="12" t="s">
        <v>94</v>
      </c>
      <c r="S22" s="12">
        <v>10</v>
      </c>
      <c r="T22" s="12">
        <v>811022174</v>
      </c>
      <c r="U22" s="12" t="s">
        <v>2857</v>
      </c>
      <c r="V22" s="12">
        <f>VLOOKUP(Tabla44[[#This Row],[ZONA DEFINITIVO]],[1]Hoja1!$A$1:$D$125,3,0)</f>
        <v>229933</v>
      </c>
      <c r="W22" s="12">
        <f>VLOOKUP(Tabla44[[#This Row],[ZONA DEFINITIVO]],[1]Hoja1!$A$1:$D$125,2,0)</f>
        <v>17248</v>
      </c>
      <c r="X22" s="12">
        <f>VLOOKUP(Tabla44[[#This Row],[ZONA DEFINITIVO]],[1]Hoja1!$A$1:$D$125,4,0)</f>
        <v>103925</v>
      </c>
      <c r="Y22" s="12">
        <f>+IF(Tabla44[[#This Row],[AGRUPACIONES]]=1,SUMIFS(Tabla44[UDS],Tabla44[ZONA DEFINITIVO],Tabla44[[#This Row],[ZONA DEFINITIVO]])," ")</f>
        <v>8</v>
      </c>
      <c r="Z22" s="12">
        <f>+IF(Tabla44[[#This Row],[AGRUPACIONES]]=1,SUMIFS(Tabla44[TOTAL COBERTURA],Tabla44[ZONA DEFINITIVO],Tabla44[[#This Row],[ZONA DEFINITIVO]])," ")</f>
        <v>454</v>
      </c>
      <c r="AA22" s="12"/>
      <c r="AB22" s="35">
        <v>109009650</v>
      </c>
      <c r="AC22" s="37">
        <v>0</v>
      </c>
      <c r="AD22" s="35">
        <f t="shared" si="1"/>
        <v>0</v>
      </c>
      <c r="AE22" s="12"/>
      <c r="AF22" s="12">
        <f>COUNTIF($A$20:A22,A22)</f>
        <v>1</v>
      </c>
      <c r="AG22" s="38">
        <v>109009650</v>
      </c>
      <c r="AH22" s="38">
        <f>Tabla44[[#This Row],[VALOR CONTRAPARTIDA]]+Tabla44[[#This Row],[TOTAL APORTES ICBF]]</f>
        <v>109009650</v>
      </c>
      <c r="AI22" s="35">
        <f>+IF(Tabla44[[#This Row],[AGRUPACIONES]]=1,SUMIFS(Tabla44[TOTAL APORTES ICBF],Tabla44[ZONA DEFINITIVO],Tabla44[[#This Row],[ZONA DEFINITIVO]])," ")</f>
        <v>1373824215</v>
      </c>
      <c r="AJ22" s="38">
        <f>ROUND(+IF(Tabla44[[#This Row],[AGRUPACIONES]]=1,SUMIFS(Tabla44[VALOR CONTRAPARTIDA],Tabla44[ZONA DEFINITIVO],Tabla44[[#This Row],[ZONA DEFINITIVO]])," "),0)</f>
        <v>0</v>
      </c>
      <c r="AK22" s="38">
        <f>Tabla44[[#This Row],[TOTAL APORTES ICBF AGRUPADO]]+Tabla44[[#This Row],[TOTAL CONTRAPARTIDA AGRUPADO]]</f>
        <v>1373824215</v>
      </c>
      <c r="AL22" s="35">
        <f>Tabla44[[#This Row],[TOTAL APORTES ICBF AGRUPADO]]/$AL$18</f>
        <v>965.10306638566908</v>
      </c>
      <c r="AM22" s="35">
        <f>VLOOKUP(Tabla44[[#This Row],[SERVICIO 2025]],$J$2:$V$15,5,0)*Tabla44[[#This Row],[TOTAL COBERTURA]]</f>
        <v>2468800</v>
      </c>
      <c r="AN22" s="35">
        <f>VLOOKUP(Tabla44[[#This Row],[SERVICIO 2025]],$J$2:$V$15,6,0)*Tabla44[[#This Row],[TOTAL COBERTURA]]</f>
        <v>2051450</v>
      </c>
      <c r="AO22" s="35">
        <f>VLOOKUP(Tabla44[[#This Row],[SERVICIO 2025]],$J$2:$V$15,8,0)*Tabla44[[#This Row],[TOTAL COBERTURA]]</f>
        <v>1455000</v>
      </c>
      <c r="AP22" s="35">
        <f>VLOOKUP(Tabla44[[#This Row],[SERVICIO 2025]],$J$2:$V$15,3,0)*Tabla44[[#This Row],[TOTAL COBERTURA]]*8</f>
        <v>103034400</v>
      </c>
      <c r="AQ22" s="35"/>
      <c r="AR22" s="35">
        <f>SUM(Tabla44[[#This Row],[VALOR FASE PREPARATORIA DE ALISTAMIENTO]:[VALOR RACION PREPARADA]])</f>
        <v>109009650</v>
      </c>
      <c r="AS22" s="35">
        <f>+IF(Tabla44[[#This Row],[AGRUPACIONES]]=1,SUMIFS(Tabla44[VALOR TOTAL],Tabla44[ZONA DEFINITIVO],Tabla44[[#This Row],[ZONA DEFINITIVO]])," ")</f>
        <v>1373824215</v>
      </c>
      <c r="AT22" s="35">
        <f>VLOOKUP(Tabla44[[#This Row],[SERVICIO 2025]],$J$2:$V$15,10,0)*Tabla44[[#This Row],[TOTAL COBERTURA]]*$X$7</f>
        <v>72153200</v>
      </c>
      <c r="AU22" s="39">
        <f>Tabla44[[#This Row],[TOTAL CONTRATO (ICBF+EAS)]]+Tabla44[[#This Row],[VALOR COMPONENTE ALIMENTACION NO ASIGNADO]]</f>
        <v>181162850</v>
      </c>
      <c r="AV2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25822250</v>
      </c>
      <c r="AW22" s="35">
        <f>(VLOOKUP(Tabla44[[#This Row],[SERVICIO 2025]],$J$2:$V$15,3,0)*Tabla44[[#This Row],[TOTAL COBERTURA]])+VLOOKUP(Tabla44[[#This Row],[SERVICIO 2025]],$J$2:$V$15,10,0)*Tabla44[[#This Row],[TOTAL COBERTURA]]</f>
        <v>21898450</v>
      </c>
      <c r="AX22" s="35">
        <f>(VLOOKUP(Tabla44[[#This Row],[SERVICIO 2025]],$J$2:$V$15,3,0)*Tabla44[[#This Row],[TOTAL COBERTURA]])+VLOOKUP(Tabla44[[#This Row],[SERVICIO 2025]],$J$2:$V$15,10,0)*Tabla44[[#This Row],[TOTAL COBERTURA]]</f>
        <v>21898450</v>
      </c>
      <c r="AY22" s="35">
        <f>(VLOOKUP(Tabla44[[#This Row],[SERVICIO 2025]],$J$2:$V$15,3,0)*Tabla44[[#This Row],[TOTAL COBERTURA]])+VLOOKUP(Tabla44[[#This Row],[SERVICIO 2025]],$J$2:$V$15,10,0)*Tabla44[[#This Row],[TOTAL COBERTURA]]</f>
        <v>21898450</v>
      </c>
      <c r="AZ22" s="35">
        <f>(VLOOKUP(Tabla44[[#This Row],[SERVICIO 2025]],$J$2:$V$15,3,0)*Tabla44[[#This Row],[TOTAL COBERTURA]])+VLOOKUP(Tabla44[[#This Row],[SERVICIO 2025]],$J$2:$V$15,10,0)*Tabla44[[#This Row],[TOTAL COBERTURA]]</f>
        <v>21898450</v>
      </c>
      <c r="BA22" s="35">
        <f>(VLOOKUP(Tabla44[[#This Row],[SERVICIO 2025]],$J$2:$V$15,3,0)*Tabla44[[#This Row],[TOTAL COBERTURA]])+VLOOKUP(Tabla44[[#This Row],[SERVICIO 2025]],$J$2:$V$15,10,0)*Tabla44[[#This Row],[TOTAL COBERTURA]]</f>
        <v>21898450</v>
      </c>
      <c r="BB22" s="35">
        <f>(VLOOKUP(Tabla44[[#This Row],[SERVICIO 2025]],$J$2:$V$15,3,0)*Tabla44[[#This Row],[TOTAL COBERTURA]])+VLOOKUP(Tabla44[[#This Row],[SERVICIO 2025]],$J$2:$V$15,10,0)*Tabla44[[#This Row],[TOTAL COBERTURA]]</f>
        <v>21898450</v>
      </c>
      <c r="BC2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23949900</v>
      </c>
      <c r="BD22" s="35">
        <f>SUM(Tabla44[[#This Row],[DESEMBOLSO 1]:[DESEMBOLSO 8]])</f>
        <v>181162850</v>
      </c>
      <c r="BE22" s="12" t="b">
        <f>EXACT(Tabla44[[#This Row],[VALOR ATENCIÓN (8 MESES)]],Tabla44[[#This Row],[VALOR TOTAL]])</f>
        <v>1</v>
      </c>
      <c r="BF22" s="23">
        <f>Tabla44[[#This Row],[VALOR ATENCIÓN (8 MESES)]]-Tabla44[[#This Row],[VALOR TOTAL]]</f>
        <v>0</v>
      </c>
      <c r="BG22" s="12" t="b">
        <f>EXACT(Tabla44[[#This Row],[TOTAL DESEMBOLSOS]],Tabla44[[#This Row],[VALOR TOTAL DEL CONTRATO INCLUIDO EL COMPONENTE DE ALIMENTACIÓN]])</f>
        <v>1</v>
      </c>
      <c r="BH22" s="29">
        <f>Tabla44[[#This Row],[TOTAL DESEMBOLSOS]]-Tabla44[[#This Row],[VALOR TOTAL DEL CONTRATO INCLUIDO EL COMPONENTE DE ALIMENTACIÓN]]</f>
        <v>0</v>
      </c>
      <c r="BI22" t="s">
        <v>98</v>
      </c>
    </row>
    <row r="23" spans="1:62">
      <c r="A23" s="13">
        <v>1918</v>
      </c>
      <c r="B23" s="13"/>
      <c r="C23" s="12" t="s">
        <v>87</v>
      </c>
      <c r="D23" s="12" t="s">
        <v>527</v>
      </c>
      <c r="E23" s="12" t="s">
        <v>2854</v>
      </c>
      <c r="F23" s="12" t="s">
        <v>18</v>
      </c>
      <c r="G23" s="12" t="s">
        <v>90</v>
      </c>
      <c r="H23" s="12" t="s">
        <v>2858</v>
      </c>
      <c r="I23" s="36">
        <v>50551119041</v>
      </c>
      <c r="J23" s="12" t="s">
        <v>382</v>
      </c>
      <c r="K23" s="12">
        <v>1</v>
      </c>
      <c r="L23" s="12">
        <v>50</v>
      </c>
      <c r="M23" s="12"/>
      <c r="N23" s="13">
        <v>1918</v>
      </c>
      <c r="O23" s="12" t="s">
        <v>2850</v>
      </c>
      <c r="P23" s="12"/>
      <c r="Q23" s="12"/>
      <c r="R23" s="12" t="s">
        <v>94</v>
      </c>
      <c r="S23" s="12">
        <v>10</v>
      </c>
      <c r="T23" s="12">
        <v>811022174</v>
      </c>
      <c r="U23" s="12" t="s">
        <v>2857</v>
      </c>
      <c r="V23" s="12">
        <f>VLOOKUP(Tabla44[[#This Row],[ZONA DEFINITIVO]],[1]Hoja1!$A$1:$D$125,3,0)</f>
        <v>229933</v>
      </c>
      <c r="W23" s="12">
        <f>VLOOKUP(Tabla44[[#This Row],[ZONA DEFINITIVO]],[1]Hoja1!$A$1:$D$125,2,0)</f>
        <v>17248</v>
      </c>
      <c r="X23" s="12">
        <f>VLOOKUP(Tabla44[[#This Row],[ZONA DEFINITIVO]],[1]Hoja1!$A$1:$D$125,4,0)</f>
        <v>103925</v>
      </c>
      <c r="Y23" s="12" t="str">
        <f>+IF(Tabla44[[#This Row],[AGRUPACIONES]]=1,SUMIFS(Tabla44[UDS],Tabla44[ZONA DEFINITIVO],Tabla44[[#This Row],[ZONA DEFINITIVO]])," ")</f>
        <v xml:space="preserve"> </v>
      </c>
      <c r="Z23" s="12" t="str">
        <f>+IF(Tabla44[[#This Row],[AGRUPACIONES]]=1,SUMIFS(Tabla44[TOTAL COBERTURA],Tabla44[ZONA DEFINITIVO],Tabla44[[#This Row],[ZONA DEFINITIVO]])," ")</f>
        <v xml:space="preserve"> </v>
      </c>
      <c r="AA23" s="12"/>
      <c r="AB23" s="35">
        <v>109009650</v>
      </c>
      <c r="AC23" s="37">
        <v>0</v>
      </c>
      <c r="AD23" s="35">
        <f t="shared" si="1"/>
        <v>0</v>
      </c>
      <c r="AE23" s="12"/>
      <c r="AF23" s="12">
        <f>COUNTIF($A$20:A23,A23)</f>
        <v>2</v>
      </c>
      <c r="AG23" s="38">
        <v>109009650</v>
      </c>
      <c r="AH23" s="38">
        <f>Tabla44[[#This Row],[VALOR CONTRAPARTIDA]]+Tabla44[[#This Row],[TOTAL APORTES ICBF]]</f>
        <v>109009650</v>
      </c>
      <c r="AI23" s="35" t="str">
        <f>+IF(Tabla44[[#This Row],[AGRUPACIONES]]=1,SUMIFS(Tabla44[TOTAL APORTES ICBF],Tabla44[ZONA DEFINITIVO],Tabla44[[#This Row],[ZONA DEFINITIVO]])," ")</f>
        <v xml:space="preserve"> </v>
      </c>
      <c r="AJ23" s="38"/>
      <c r="AK23" s="38"/>
      <c r="AL23" s="35"/>
      <c r="AM23" s="35">
        <f>VLOOKUP(Tabla44[[#This Row],[SERVICIO 2025]],$J$2:$V$15,5,0)*Tabla44[[#This Row],[TOTAL COBERTURA]]</f>
        <v>2468800</v>
      </c>
      <c r="AN23" s="35">
        <f>VLOOKUP(Tabla44[[#This Row],[SERVICIO 2025]],$J$2:$V$15,6,0)*Tabla44[[#This Row],[TOTAL COBERTURA]]</f>
        <v>2051450</v>
      </c>
      <c r="AO23" s="35">
        <f>VLOOKUP(Tabla44[[#This Row],[SERVICIO 2025]],$J$2:$V$15,8,0)*Tabla44[[#This Row],[TOTAL COBERTURA]]</f>
        <v>1455000</v>
      </c>
      <c r="AP23" s="35">
        <f>VLOOKUP(Tabla44[[#This Row],[SERVICIO 2025]],$J$2:$V$15,3,0)*Tabla44[[#This Row],[TOTAL COBERTURA]]*8</f>
        <v>103034400</v>
      </c>
      <c r="AQ23" s="35"/>
      <c r="AR23" s="35">
        <f>SUM(Tabla44[[#This Row],[VALOR FASE PREPARATORIA DE ALISTAMIENTO]:[VALOR RACION PREPARADA]])</f>
        <v>109009650</v>
      </c>
      <c r="AS23" s="35" t="str">
        <f>+IF(Tabla44[[#This Row],[AGRUPACIONES]]=1,SUMIFS(Tabla44[VALOR TOTAL],Tabla44[ZONA DEFINITIVO],Tabla44[[#This Row],[ZONA DEFINITIVO]])," ")</f>
        <v xml:space="preserve"> </v>
      </c>
      <c r="AT23" s="35">
        <f>VLOOKUP(Tabla44[[#This Row],[SERVICIO 2025]],$J$2:$V$15,10,0)*Tabla44[[#This Row],[TOTAL COBERTURA]]*$X$7</f>
        <v>72153200</v>
      </c>
      <c r="AU23" s="39">
        <f>Tabla44[[#This Row],[TOTAL CONTRATO (ICBF+EAS)]]+Tabla44[[#This Row],[VALOR COMPONENTE ALIMENTACION NO ASIGNADO]]</f>
        <v>181162850</v>
      </c>
      <c r="AV2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25822250</v>
      </c>
      <c r="AW23" s="35">
        <f>(VLOOKUP(Tabla44[[#This Row],[SERVICIO 2025]],$J$2:$V$15,3,0)*Tabla44[[#This Row],[TOTAL COBERTURA]])+VLOOKUP(Tabla44[[#This Row],[SERVICIO 2025]],$J$2:$V$15,10,0)*Tabla44[[#This Row],[TOTAL COBERTURA]]</f>
        <v>21898450</v>
      </c>
      <c r="AX23" s="35">
        <f>(VLOOKUP(Tabla44[[#This Row],[SERVICIO 2025]],$J$2:$V$15,3,0)*Tabla44[[#This Row],[TOTAL COBERTURA]])+VLOOKUP(Tabla44[[#This Row],[SERVICIO 2025]],$J$2:$V$15,10,0)*Tabla44[[#This Row],[TOTAL COBERTURA]]</f>
        <v>21898450</v>
      </c>
      <c r="AY23" s="35">
        <f>(VLOOKUP(Tabla44[[#This Row],[SERVICIO 2025]],$J$2:$V$15,3,0)*Tabla44[[#This Row],[TOTAL COBERTURA]])+VLOOKUP(Tabla44[[#This Row],[SERVICIO 2025]],$J$2:$V$15,10,0)*Tabla44[[#This Row],[TOTAL COBERTURA]]</f>
        <v>21898450</v>
      </c>
      <c r="AZ23" s="35">
        <f>(VLOOKUP(Tabla44[[#This Row],[SERVICIO 2025]],$J$2:$V$15,3,0)*Tabla44[[#This Row],[TOTAL COBERTURA]])+VLOOKUP(Tabla44[[#This Row],[SERVICIO 2025]],$J$2:$V$15,10,0)*Tabla44[[#This Row],[TOTAL COBERTURA]]</f>
        <v>21898450</v>
      </c>
      <c r="BA23" s="35">
        <f>(VLOOKUP(Tabla44[[#This Row],[SERVICIO 2025]],$J$2:$V$15,3,0)*Tabla44[[#This Row],[TOTAL COBERTURA]])+VLOOKUP(Tabla44[[#This Row],[SERVICIO 2025]],$J$2:$V$15,10,0)*Tabla44[[#This Row],[TOTAL COBERTURA]]</f>
        <v>21898450</v>
      </c>
      <c r="BB23" s="35">
        <f>(VLOOKUP(Tabla44[[#This Row],[SERVICIO 2025]],$J$2:$V$15,3,0)*Tabla44[[#This Row],[TOTAL COBERTURA]])+VLOOKUP(Tabla44[[#This Row],[SERVICIO 2025]],$J$2:$V$15,10,0)*Tabla44[[#This Row],[TOTAL COBERTURA]]</f>
        <v>21898450</v>
      </c>
      <c r="BC2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23949900</v>
      </c>
      <c r="BD23" s="35">
        <f>SUM(Tabla44[[#This Row],[DESEMBOLSO 1]:[DESEMBOLSO 8]])</f>
        <v>181162850</v>
      </c>
      <c r="BE23" s="12" t="b">
        <f>EXACT(Tabla44[[#This Row],[VALOR ATENCIÓN (8 MESES)]],Tabla44[[#This Row],[VALOR TOTAL]])</f>
        <v>1</v>
      </c>
      <c r="BF23" s="23">
        <f>Tabla44[[#This Row],[VALOR ATENCIÓN (8 MESES)]]-Tabla44[[#This Row],[VALOR TOTAL]]</f>
        <v>0</v>
      </c>
      <c r="BG23" s="12" t="b">
        <f>EXACT(Tabla44[[#This Row],[TOTAL DESEMBOLSOS]],Tabla44[[#This Row],[VALOR TOTAL DEL CONTRATO INCLUIDO EL COMPONENTE DE ALIMENTACIÓN]])</f>
        <v>1</v>
      </c>
      <c r="BH23" s="29">
        <f>Tabla44[[#This Row],[TOTAL DESEMBOLSOS]]-Tabla44[[#This Row],[VALOR TOTAL DEL CONTRATO INCLUIDO EL COMPONENTE DE ALIMENTACIÓN]]</f>
        <v>0</v>
      </c>
      <c r="BI23" t="s">
        <v>98</v>
      </c>
    </row>
    <row r="24" spans="1:62">
      <c r="A24" s="13">
        <v>1918</v>
      </c>
      <c r="B24" s="13"/>
      <c r="C24" s="12" t="s">
        <v>87</v>
      </c>
      <c r="D24" s="12" t="s">
        <v>527</v>
      </c>
      <c r="E24" s="12" t="s">
        <v>2854</v>
      </c>
      <c r="F24" s="12" t="s">
        <v>18</v>
      </c>
      <c r="G24" s="12" t="s">
        <v>90</v>
      </c>
      <c r="H24" s="12" t="s">
        <v>2859</v>
      </c>
      <c r="I24" s="36">
        <v>50551147431</v>
      </c>
      <c r="J24" s="12" t="s">
        <v>2860</v>
      </c>
      <c r="K24" s="12">
        <v>1</v>
      </c>
      <c r="L24" s="12">
        <v>41</v>
      </c>
      <c r="M24" s="12"/>
      <c r="N24" s="13">
        <v>1918</v>
      </c>
      <c r="O24" s="12" t="s">
        <v>2850</v>
      </c>
      <c r="P24" s="12"/>
      <c r="Q24" s="12"/>
      <c r="R24" s="12" t="s">
        <v>94</v>
      </c>
      <c r="S24" s="12">
        <v>10</v>
      </c>
      <c r="T24" s="12">
        <v>811022174</v>
      </c>
      <c r="U24" s="12" t="s">
        <v>2857</v>
      </c>
      <c r="V24" s="12">
        <f>VLOOKUP(Tabla44[[#This Row],[ZONA DEFINITIVO]],[1]Hoja1!$A$1:$D$125,3,0)</f>
        <v>229933</v>
      </c>
      <c r="W24" s="12">
        <f>VLOOKUP(Tabla44[[#This Row],[ZONA DEFINITIVO]],[1]Hoja1!$A$1:$D$125,2,0)</f>
        <v>17248</v>
      </c>
      <c r="X24" s="12">
        <f>VLOOKUP(Tabla44[[#This Row],[ZONA DEFINITIVO]],[1]Hoja1!$A$1:$D$125,4,0)</f>
        <v>103925</v>
      </c>
      <c r="Y24" s="12" t="str">
        <f>+IF(Tabla44[[#This Row],[AGRUPACIONES]]=1,SUMIFS(Tabla44[UDS],Tabla44[ZONA DEFINITIVO],Tabla44[[#This Row],[ZONA DEFINITIVO]])," ")</f>
        <v xml:space="preserve"> </v>
      </c>
      <c r="Z24" s="12" t="str">
        <f>+IF(Tabla44[[#This Row],[AGRUPACIONES]]=1,SUMIFS(Tabla44[TOTAL COBERTURA],Tabla44[ZONA DEFINITIVO],Tabla44[[#This Row],[ZONA DEFINITIVO]])," ")</f>
        <v xml:space="preserve"> </v>
      </c>
      <c r="AA24" s="12"/>
      <c r="AB24" s="35">
        <v>89387913</v>
      </c>
      <c r="AC24" s="37">
        <v>0</v>
      </c>
      <c r="AD24" s="35">
        <f t="shared" si="1"/>
        <v>0</v>
      </c>
      <c r="AE24" s="12"/>
      <c r="AF24" s="12">
        <f>COUNTIF($A$20:A24,A24)</f>
        <v>3</v>
      </c>
      <c r="AG24" s="38">
        <v>89387913</v>
      </c>
      <c r="AH24" s="38">
        <f>Tabla44[[#This Row],[VALOR CONTRAPARTIDA]]+Tabla44[[#This Row],[TOTAL APORTES ICBF]]</f>
        <v>89387913</v>
      </c>
      <c r="AI24" s="35" t="str">
        <f>+IF(Tabla44[[#This Row],[AGRUPACIONES]]=1,SUMIFS(Tabla44[TOTAL APORTES ICBF],Tabla44[ZONA DEFINITIVO],Tabla44[[#This Row],[ZONA DEFINITIVO]])," ")</f>
        <v xml:space="preserve"> </v>
      </c>
      <c r="AJ24" s="38"/>
      <c r="AK24" s="38"/>
      <c r="AL24" s="35"/>
      <c r="AM24" s="35">
        <f>VLOOKUP(Tabla44[[#This Row],[SERVICIO 2025]],$J$2:$V$15,5,0)*Tabla44[[#This Row],[TOTAL COBERTURA]]</f>
        <v>2024416</v>
      </c>
      <c r="AN24" s="35">
        <f>VLOOKUP(Tabla44[[#This Row],[SERVICIO 2025]],$J$2:$V$15,6,0)*Tabla44[[#This Row],[TOTAL COBERTURA]]</f>
        <v>1682189</v>
      </c>
      <c r="AO24" s="35">
        <f>VLOOKUP(Tabla44[[#This Row],[SERVICIO 2025]],$J$2:$V$15,8,0)*Tabla44[[#This Row],[TOTAL COBERTURA]]</f>
        <v>1193100</v>
      </c>
      <c r="AP24" s="35">
        <f>VLOOKUP(Tabla44[[#This Row],[SERVICIO 2025]],$J$2:$V$15,3,0)*Tabla44[[#This Row],[TOTAL COBERTURA]]*8</f>
        <v>84488208</v>
      </c>
      <c r="AQ24" s="35"/>
      <c r="AR24" s="35">
        <f>SUM(Tabla44[[#This Row],[VALOR FASE PREPARATORIA DE ALISTAMIENTO]:[VALOR RACION PREPARADA]])</f>
        <v>89387913</v>
      </c>
      <c r="AS24" s="35" t="str">
        <f>+IF(Tabla44[[#This Row],[AGRUPACIONES]]=1,SUMIFS(Tabla44[VALOR TOTAL],Tabla44[ZONA DEFINITIVO],Tabla44[[#This Row],[ZONA DEFINITIVO]])," ")</f>
        <v xml:space="preserve"> </v>
      </c>
      <c r="AT24" s="35">
        <f>VLOOKUP(Tabla44[[#This Row],[SERVICIO 2025]],$J$2:$V$15,10,0)*Tabla44[[#This Row],[TOTAL COBERTURA]]*$X$7</f>
        <v>59165624</v>
      </c>
      <c r="AU24" s="39">
        <f>Tabla44[[#This Row],[TOTAL CONTRATO (ICBF+EAS)]]+Tabla44[[#This Row],[VALOR COMPONENTE ALIMENTACION NO ASIGNADO]]</f>
        <v>148553537</v>
      </c>
      <c r="AV2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21174245</v>
      </c>
      <c r="AW24" s="35">
        <f>(VLOOKUP(Tabla44[[#This Row],[SERVICIO 2025]],$J$2:$V$15,3,0)*Tabla44[[#This Row],[TOTAL COBERTURA]])+VLOOKUP(Tabla44[[#This Row],[SERVICIO 2025]],$J$2:$V$15,10,0)*Tabla44[[#This Row],[TOTAL COBERTURA]]</f>
        <v>17956729</v>
      </c>
      <c r="AX24" s="35">
        <f>(VLOOKUP(Tabla44[[#This Row],[SERVICIO 2025]],$J$2:$V$15,3,0)*Tabla44[[#This Row],[TOTAL COBERTURA]])+VLOOKUP(Tabla44[[#This Row],[SERVICIO 2025]],$J$2:$V$15,10,0)*Tabla44[[#This Row],[TOTAL COBERTURA]]</f>
        <v>17956729</v>
      </c>
      <c r="AY24" s="35">
        <f>(VLOOKUP(Tabla44[[#This Row],[SERVICIO 2025]],$J$2:$V$15,3,0)*Tabla44[[#This Row],[TOTAL COBERTURA]])+VLOOKUP(Tabla44[[#This Row],[SERVICIO 2025]],$J$2:$V$15,10,0)*Tabla44[[#This Row],[TOTAL COBERTURA]]</f>
        <v>17956729</v>
      </c>
      <c r="AZ24" s="35">
        <f>(VLOOKUP(Tabla44[[#This Row],[SERVICIO 2025]],$J$2:$V$15,3,0)*Tabla44[[#This Row],[TOTAL COBERTURA]])+VLOOKUP(Tabla44[[#This Row],[SERVICIO 2025]],$J$2:$V$15,10,0)*Tabla44[[#This Row],[TOTAL COBERTURA]]</f>
        <v>17956729</v>
      </c>
      <c r="BA24" s="35">
        <f>(VLOOKUP(Tabla44[[#This Row],[SERVICIO 2025]],$J$2:$V$15,3,0)*Tabla44[[#This Row],[TOTAL COBERTURA]])+VLOOKUP(Tabla44[[#This Row],[SERVICIO 2025]],$J$2:$V$15,10,0)*Tabla44[[#This Row],[TOTAL COBERTURA]]</f>
        <v>17956729</v>
      </c>
      <c r="BB24" s="35">
        <f>(VLOOKUP(Tabla44[[#This Row],[SERVICIO 2025]],$J$2:$V$15,3,0)*Tabla44[[#This Row],[TOTAL COBERTURA]])+VLOOKUP(Tabla44[[#This Row],[SERVICIO 2025]],$J$2:$V$15,10,0)*Tabla44[[#This Row],[TOTAL COBERTURA]]</f>
        <v>17956729</v>
      </c>
      <c r="BC2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19638918</v>
      </c>
      <c r="BD24" s="35">
        <f>SUM(Tabla44[[#This Row],[DESEMBOLSO 1]:[DESEMBOLSO 8]])</f>
        <v>148553537</v>
      </c>
      <c r="BE24" s="12" t="b">
        <f>EXACT(Tabla44[[#This Row],[VALOR ATENCIÓN (8 MESES)]],Tabla44[[#This Row],[VALOR TOTAL]])</f>
        <v>1</v>
      </c>
      <c r="BF24" s="23">
        <f>Tabla44[[#This Row],[VALOR ATENCIÓN (8 MESES)]]-Tabla44[[#This Row],[VALOR TOTAL]]</f>
        <v>0</v>
      </c>
      <c r="BG24" s="12" t="b">
        <f>EXACT(Tabla44[[#This Row],[TOTAL DESEMBOLSOS]],Tabla44[[#This Row],[VALOR TOTAL DEL CONTRATO INCLUIDO EL COMPONENTE DE ALIMENTACIÓN]])</f>
        <v>1</v>
      </c>
      <c r="BH24" s="29">
        <f>Tabla44[[#This Row],[TOTAL DESEMBOLSOS]]-Tabla44[[#This Row],[VALOR TOTAL DEL CONTRATO INCLUIDO EL COMPONENTE DE ALIMENTACIÓN]]</f>
        <v>0</v>
      </c>
      <c r="BI24" t="s">
        <v>98</v>
      </c>
    </row>
    <row r="25" spans="1:62">
      <c r="A25" s="13">
        <v>1918</v>
      </c>
      <c r="B25" s="13"/>
      <c r="C25" s="12" t="s">
        <v>87</v>
      </c>
      <c r="D25" s="12" t="s">
        <v>527</v>
      </c>
      <c r="E25" s="12" t="s">
        <v>2854</v>
      </c>
      <c r="F25" s="12" t="s">
        <v>18</v>
      </c>
      <c r="G25" s="12" t="s">
        <v>90</v>
      </c>
      <c r="H25" s="12" t="s">
        <v>2861</v>
      </c>
      <c r="I25" s="36">
        <v>50551147432</v>
      </c>
      <c r="J25" s="12" t="s">
        <v>2862</v>
      </c>
      <c r="K25" s="12">
        <v>1</v>
      </c>
      <c r="L25" s="12">
        <v>47</v>
      </c>
      <c r="M25" s="12"/>
      <c r="N25" s="13">
        <v>1918</v>
      </c>
      <c r="O25" s="12" t="s">
        <v>2850</v>
      </c>
      <c r="P25" s="12"/>
      <c r="Q25" s="12"/>
      <c r="R25" s="12" t="s">
        <v>94</v>
      </c>
      <c r="S25" s="12">
        <v>10</v>
      </c>
      <c r="T25" s="12">
        <v>811022174</v>
      </c>
      <c r="U25" s="12" t="s">
        <v>2857</v>
      </c>
      <c r="V25" s="12">
        <f>VLOOKUP(Tabla44[[#This Row],[ZONA DEFINITIVO]],[1]Hoja1!$A$1:$D$125,3,0)</f>
        <v>229933</v>
      </c>
      <c r="W25" s="12">
        <f>VLOOKUP(Tabla44[[#This Row],[ZONA DEFINITIVO]],[1]Hoja1!$A$1:$D$125,2,0)</f>
        <v>17248</v>
      </c>
      <c r="X25" s="12">
        <f>VLOOKUP(Tabla44[[#This Row],[ZONA DEFINITIVO]],[1]Hoja1!$A$1:$D$125,4,0)</f>
        <v>103925</v>
      </c>
      <c r="Y25" s="12" t="str">
        <f>+IF(Tabla44[[#This Row],[AGRUPACIONES]]=1,SUMIFS(Tabla44[UDS],Tabla44[ZONA DEFINITIVO],Tabla44[[#This Row],[ZONA DEFINITIVO]])," ")</f>
        <v xml:space="preserve"> </v>
      </c>
      <c r="Z25" s="12" t="str">
        <f>+IF(Tabla44[[#This Row],[AGRUPACIONES]]=1,SUMIFS(Tabla44[TOTAL COBERTURA],Tabla44[ZONA DEFINITIVO],Tabla44[[#This Row],[ZONA DEFINITIVO]])," ")</f>
        <v xml:space="preserve"> </v>
      </c>
      <c r="AA25" s="12"/>
      <c r="AB25" s="35">
        <v>102469071</v>
      </c>
      <c r="AC25" s="37">
        <v>0</v>
      </c>
      <c r="AD25" s="35">
        <f t="shared" si="1"/>
        <v>0</v>
      </c>
      <c r="AE25" s="12"/>
      <c r="AF25" s="12">
        <f>COUNTIF($A$20:A25,A25)</f>
        <v>4</v>
      </c>
      <c r="AG25" s="38">
        <v>102469071</v>
      </c>
      <c r="AH25" s="38">
        <f>Tabla44[[#This Row],[VALOR CONTRAPARTIDA]]+Tabla44[[#This Row],[TOTAL APORTES ICBF]]</f>
        <v>102469071</v>
      </c>
      <c r="AI25" s="35" t="str">
        <f>+IF(Tabla44[[#This Row],[AGRUPACIONES]]=1,SUMIFS(Tabla44[TOTAL APORTES ICBF],Tabla44[ZONA DEFINITIVO],Tabla44[[#This Row],[ZONA DEFINITIVO]])," ")</f>
        <v xml:space="preserve"> </v>
      </c>
      <c r="AJ25" s="38"/>
      <c r="AK25" s="38"/>
      <c r="AL25" s="35"/>
      <c r="AM25" s="35">
        <f>VLOOKUP(Tabla44[[#This Row],[SERVICIO 2025]],$J$2:$V$15,5,0)*Tabla44[[#This Row],[TOTAL COBERTURA]]</f>
        <v>2320672</v>
      </c>
      <c r="AN25" s="35">
        <f>VLOOKUP(Tabla44[[#This Row],[SERVICIO 2025]],$J$2:$V$15,6,0)*Tabla44[[#This Row],[TOTAL COBERTURA]]</f>
        <v>1928363</v>
      </c>
      <c r="AO25" s="35">
        <f>VLOOKUP(Tabla44[[#This Row],[SERVICIO 2025]],$J$2:$V$15,8,0)*Tabla44[[#This Row],[TOTAL COBERTURA]]</f>
        <v>1367700</v>
      </c>
      <c r="AP25" s="35">
        <f>VLOOKUP(Tabla44[[#This Row],[SERVICIO 2025]],$J$2:$V$15,3,0)*Tabla44[[#This Row],[TOTAL COBERTURA]]*8</f>
        <v>96852336</v>
      </c>
      <c r="AQ25" s="35"/>
      <c r="AR25" s="35">
        <f>SUM(Tabla44[[#This Row],[VALOR FASE PREPARATORIA DE ALISTAMIENTO]:[VALOR RACION PREPARADA]])</f>
        <v>102469071</v>
      </c>
      <c r="AS25" s="35" t="str">
        <f>+IF(Tabla44[[#This Row],[AGRUPACIONES]]=1,SUMIFS(Tabla44[VALOR TOTAL],Tabla44[ZONA DEFINITIVO],Tabla44[[#This Row],[ZONA DEFINITIVO]])," ")</f>
        <v xml:space="preserve"> </v>
      </c>
      <c r="AT25" s="35">
        <f>VLOOKUP(Tabla44[[#This Row],[SERVICIO 2025]],$J$2:$V$15,10,0)*Tabla44[[#This Row],[TOTAL COBERTURA]]*$X$7</f>
        <v>67824008</v>
      </c>
      <c r="AU25" s="39">
        <f>Tabla44[[#This Row],[TOTAL CONTRATO (ICBF+EAS)]]+Tabla44[[#This Row],[VALOR COMPONENTE ALIMENTACION NO ASIGNADO]]</f>
        <v>170293079</v>
      </c>
      <c r="AV2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24272915</v>
      </c>
      <c r="AW25" s="35">
        <f>(VLOOKUP(Tabla44[[#This Row],[SERVICIO 2025]],$J$2:$V$15,3,0)*Tabla44[[#This Row],[TOTAL COBERTURA]])+VLOOKUP(Tabla44[[#This Row],[SERVICIO 2025]],$J$2:$V$15,10,0)*Tabla44[[#This Row],[TOTAL COBERTURA]]</f>
        <v>20584543</v>
      </c>
      <c r="AX25" s="35">
        <f>(VLOOKUP(Tabla44[[#This Row],[SERVICIO 2025]],$J$2:$V$15,3,0)*Tabla44[[#This Row],[TOTAL COBERTURA]])+VLOOKUP(Tabla44[[#This Row],[SERVICIO 2025]],$J$2:$V$15,10,0)*Tabla44[[#This Row],[TOTAL COBERTURA]]</f>
        <v>20584543</v>
      </c>
      <c r="AY25" s="35">
        <f>(VLOOKUP(Tabla44[[#This Row],[SERVICIO 2025]],$J$2:$V$15,3,0)*Tabla44[[#This Row],[TOTAL COBERTURA]])+VLOOKUP(Tabla44[[#This Row],[SERVICIO 2025]],$J$2:$V$15,10,0)*Tabla44[[#This Row],[TOTAL COBERTURA]]</f>
        <v>20584543</v>
      </c>
      <c r="AZ25" s="35">
        <f>(VLOOKUP(Tabla44[[#This Row],[SERVICIO 2025]],$J$2:$V$15,3,0)*Tabla44[[#This Row],[TOTAL COBERTURA]])+VLOOKUP(Tabla44[[#This Row],[SERVICIO 2025]],$J$2:$V$15,10,0)*Tabla44[[#This Row],[TOTAL COBERTURA]]</f>
        <v>20584543</v>
      </c>
      <c r="BA25" s="35">
        <f>(VLOOKUP(Tabla44[[#This Row],[SERVICIO 2025]],$J$2:$V$15,3,0)*Tabla44[[#This Row],[TOTAL COBERTURA]])+VLOOKUP(Tabla44[[#This Row],[SERVICIO 2025]],$J$2:$V$15,10,0)*Tabla44[[#This Row],[TOTAL COBERTURA]]</f>
        <v>20584543</v>
      </c>
      <c r="BB25" s="35">
        <f>(VLOOKUP(Tabla44[[#This Row],[SERVICIO 2025]],$J$2:$V$15,3,0)*Tabla44[[#This Row],[TOTAL COBERTURA]])+VLOOKUP(Tabla44[[#This Row],[SERVICIO 2025]],$J$2:$V$15,10,0)*Tabla44[[#This Row],[TOTAL COBERTURA]]</f>
        <v>20584543</v>
      </c>
      <c r="BC2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22512906</v>
      </c>
      <c r="BD25" s="35">
        <f>SUM(Tabla44[[#This Row],[DESEMBOLSO 1]:[DESEMBOLSO 8]])</f>
        <v>170293079</v>
      </c>
      <c r="BE25" s="12" t="b">
        <f>EXACT(Tabla44[[#This Row],[VALOR ATENCIÓN (8 MESES)]],Tabla44[[#This Row],[VALOR TOTAL]])</f>
        <v>1</v>
      </c>
      <c r="BF25" s="23">
        <f>Tabla44[[#This Row],[VALOR ATENCIÓN (8 MESES)]]-Tabla44[[#This Row],[VALOR TOTAL]]</f>
        <v>0</v>
      </c>
      <c r="BG25" s="12" t="b">
        <f>EXACT(Tabla44[[#This Row],[TOTAL DESEMBOLSOS]],Tabla44[[#This Row],[VALOR TOTAL DEL CONTRATO INCLUIDO EL COMPONENTE DE ALIMENTACIÓN]])</f>
        <v>1</v>
      </c>
      <c r="BH25" s="29">
        <f>Tabla44[[#This Row],[TOTAL DESEMBOLSOS]]-Tabla44[[#This Row],[VALOR TOTAL DEL CONTRATO INCLUIDO EL COMPONENTE DE ALIMENTACIÓN]]</f>
        <v>0</v>
      </c>
      <c r="BI25" t="s">
        <v>98</v>
      </c>
    </row>
    <row r="26" spans="1:62">
      <c r="A26" s="13">
        <v>1918</v>
      </c>
      <c r="B26" s="13"/>
      <c r="C26" s="12" t="s">
        <v>87</v>
      </c>
      <c r="D26" s="12" t="s">
        <v>527</v>
      </c>
      <c r="E26" s="12" t="s">
        <v>2854</v>
      </c>
      <c r="F26" s="12" t="s">
        <v>18</v>
      </c>
      <c r="G26" s="12" t="s">
        <v>90</v>
      </c>
      <c r="H26" s="12" t="s">
        <v>2863</v>
      </c>
      <c r="I26" s="36">
        <v>505500080573</v>
      </c>
      <c r="J26" s="12" t="s">
        <v>2864</v>
      </c>
      <c r="K26" s="12">
        <v>1</v>
      </c>
      <c r="L26" s="12">
        <v>49</v>
      </c>
      <c r="M26" s="12"/>
      <c r="N26" s="13">
        <v>1918</v>
      </c>
      <c r="O26" s="12" t="s">
        <v>2850</v>
      </c>
      <c r="P26" s="12"/>
      <c r="Q26" s="12"/>
      <c r="R26" s="12" t="s">
        <v>94</v>
      </c>
      <c r="S26" s="12">
        <v>10</v>
      </c>
      <c r="T26" s="12">
        <v>811022174</v>
      </c>
      <c r="U26" s="12" t="s">
        <v>2857</v>
      </c>
      <c r="V26" s="12">
        <f>VLOOKUP(Tabla44[[#This Row],[ZONA DEFINITIVO]],[1]Hoja1!$A$1:$D$125,3,0)</f>
        <v>229933</v>
      </c>
      <c r="W26" s="12">
        <f>VLOOKUP(Tabla44[[#This Row],[ZONA DEFINITIVO]],[1]Hoja1!$A$1:$D$125,2,0)</f>
        <v>17248</v>
      </c>
      <c r="X26" s="12">
        <f>VLOOKUP(Tabla44[[#This Row],[ZONA DEFINITIVO]],[1]Hoja1!$A$1:$D$125,4,0)</f>
        <v>103925</v>
      </c>
      <c r="Y26" s="12" t="str">
        <f>+IF(Tabla44[[#This Row],[AGRUPACIONES]]=1,SUMIFS(Tabla44[UDS],Tabla44[ZONA DEFINITIVO],Tabla44[[#This Row],[ZONA DEFINITIVO]])," ")</f>
        <v xml:space="preserve"> </v>
      </c>
      <c r="Z26" s="12" t="str">
        <f>+IF(Tabla44[[#This Row],[AGRUPACIONES]]=1,SUMIFS(Tabla44[TOTAL COBERTURA],Tabla44[ZONA DEFINITIVO],Tabla44[[#This Row],[ZONA DEFINITIVO]])," ")</f>
        <v xml:space="preserve"> </v>
      </c>
      <c r="AA26" s="12"/>
      <c r="AB26" s="35">
        <v>106829457</v>
      </c>
      <c r="AC26" s="37">
        <v>0</v>
      </c>
      <c r="AD26" s="35">
        <f t="shared" si="1"/>
        <v>0</v>
      </c>
      <c r="AE26" s="12"/>
      <c r="AF26" s="12">
        <f>COUNTIF($A$20:A26,A26)</f>
        <v>5</v>
      </c>
      <c r="AG26" s="38">
        <v>106829457</v>
      </c>
      <c r="AH26" s="38">
        <f>Tabla44[[#This Row],[VALOR CONTRAPARTIDA]]+Tabla44[[#This Row],[TOTAL APORTES ICBF]]</f>
        <v>106829457</v>
      </c>
      <c r="AI26" s="35" t="str">
        <f>+IF(Tabla44[[#This Row],[AGRUPACIONES]]=1,SUMIFS(Tabla44[TOTAL APORTES ICBF],Tabla44[ZONA DEFINITIVO],Tabla44[[#This Row],[ZONA DEFINITIVO]])," ")</f>
        <v xml:space="preserve"> </v>
      </c>
      <c r="AJ26" s="38"/>
      <c r="AK26" s="38"/>
      <c r="AL26" s="35"/>
      <c r="AM26" s="35">
        <f>VLOOKUP(Tabla44[[#This Row],[SERVICIO 2025]],$J$2:$V$15,5,0)*Tabla44[[#This Row],[TOTAL COBERTURA]]</f>
        <v>2419424</v>
      </c>
      <c r="AN26" s="35">
        <f>VLOOKUP(Tabla44[[#This Row],[SERVICIO 2025]],$J$2:$V$15,6,0)*Tabla44[[#This Row],[TOTAL COBERTURA]]</f>
        <v>2010421</v>
      </c>
      <c r="AO26" s="35">
        <f>VLOOKUP(Tabla44[[#This Row],[SERVICIO 2025]],$J$2:$V$15,8,0)*Tabla44[[#This Row],[TOTAL COBERTURA]]</f>
        <v>1425900</v>
      </c>
      <c r="AP26" s="35">
        <f>VLOOKUP(Tabla44[[#This Row],[SERVICIO 2025]],$J$2:$V$15,3,0)*Tabla44[[#This Row],[TOTAL COBERTURA]]*8</f>
        <v>100973712</v>
      </c>
      <c r="AQ26" s="35"/>
      <c r="AR26" s="35">
        <f>SUM(Tabla44[[#This Row],[VALOR FASE PREPARATORIA DE ALISTAMIENTO]:[VALOR RACION PREPARADA]])</f>
        <v>106829457</v>
      </c>
      <c r="AS26" s="35" t="str">
        <f>+IF(Tabla44[[#This Row],[AGRUPACIONES]]=1,SUMIFS(Tabla44[VALOR TOTAL],Tabla44[ZONA DEFINITIVO],Tabla44[[#This Row],[ZONA DEFINITIVO]])," ")</f>
        <v xml:space="preserve"> </v>
      </c>
      <c r="AT26" s="35">
        <f>VLOOKUP(Tabla44[[#This Row],[SERVICIO 2025]],$J$2:$V$15,10,0)*Tabla44[[#This Row],[TOTAL COBERTURA]]*$X$7</f>
        <v>70710136</v>
      </c>
      <c r="AU26" s="39">
        <f>Tabla44[[#This Row],[TOTAL CONTRATO (ICBF+EAS)]]+Tabla44[[#This Row],[VALOR COMPONENTE ALIMENTACION NO ASIGNADO]]</f>
        <v>177539593</v>
      </c>
      <c r="AV2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25305805</v>
      </c>
      <c r="AW26" s="35">
        <f>(VLOOKUP(Tabla44[[#This Row],[SERVICIO 2025]],$J$2:$V$15,3,0)*Tabla44[[#This Row],[TOTAL COBERTURA]])+VLOOKUP(Tabla44[[#This Row],[SERVICIO 2025]],$J$2:$V$15,10,0)*Tabla44[[#This Row],[TOTAL COBERTURA]]</f>
        <v>21460481</v>
      </c>
      <c r="AX26" s="35">
        <f>(VLOOKUP(Tabla44[[#This Row],[SERVICIO 2025]],$J$2:$V$15,3,0)*Tabla44[[#This Row],[TOTAL COBERTURA]])+VLOOKUP(Tabla44[[#This Row],[SERVICIO 2025]],$J$2:$V$15,10,0)*Tabla44[[#This Row],[TOTAL COBERTURA]]</f>
        <v>21460481</v>
      </c>
      <c r="AY26" s="35">
        <f>(VLOOKUP(Tabla44[[#This Row],[SERVICIO 2025]],$J$2:$V$15,3,0)*Tabla44[[#This Row],[TOTAL COBERTURA]])+VLOOKUP(Tabla44[[#This Row],[SERVICIO 2025]],$J$2:$V$15,10,0)*Tabla44[[#This Row],[TOTAL COBERTURA]]</f>
        <v>21460481</v>
      </c>
      <c r="AZ26" s="35">
        <f>(VLOOKUP(Tabla44[[#This Row],[SERVICIO 2025]],$J$2:$V$15,3,0)*Tabla44[[#This Row],[TOTAL COBERTURA]])+VLOOKUP(Tabla44[[#This Row],[SERVICIO 2025]],$J$2:$V$15,10,0)*Tabla44[[#This Row],[TOTAL COBERTURA]]</f>
        <v>21460481</v>
      </c>
      <c r="BA26" s="35">
        <f>(VLOOKUP(Tabla44[[#This Row],[SERVICIO 2025]],$J$2:$V$15,3,0)*Tabla44[[#This Row],[TOTAL COBERTURA]])+VLOOKUP(Tabla44[[#This Row],[SERVICIO 2025]],$J$2:$V$15,10,0)*Tabla44[[#This Row],[TOTAL COBERTURA]]</f>
        <v>21460481</v>
      </c>
      <c r="BB26" s="35">
        <f>(VLOOKUP(Tabla44[[#This Row],[SERVICIO 2025]],$J$2:$V$15,3,0)*Tabla44[[#This Row],[TOTAL COBERTURA]])+VLOOKUP(Tabla44[[#This Row],[SERVICIO 2025]],$J$2:$V$15,10,0)*Tabla44[[#This Row],[TOTAL COBERTURA]]</f>
        <v>21460481</v>
      </c>
      <c r="BC2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23470902</v>
      </c>
      <c r="BD26" s="35">
        <f>SUM(Tabla44[[#This Row],[DESEMBOLSO 1]:[DESEMBOLSO 8]])</f>
        <v>177539593</v>
      </c>
      <c r="BE26" s="12" t="b">
        <f>EXACT(Tabla44[[#This Row],[VALOR ATENCIÓN (8 MESES)]],Tabla44[[#This Row],[VALOR TOTAL]])</f>
        <v>1</v>
      </c>
      <c r="BF26" s="23">
        <f>Tabla44[[#This Row],[VALOR ATENCIÓN (8 MESES)]]-Tabla44[[#This Row],[VALOR TOTAL]]</f>
        <v>0</v>
      </c>
      <c r="BG26" s="12" t="b">
        <f>EXACT(Tabla44[[#This Row],[TOTAL DESEMBOLSOS]],Tabla44[[#This Row],[VALOR TOTAL DEL CONTRATO INCLUIDO EL COMPONENTE DE ALIMENTACIÓN]])</f>
        <v>1</v>
      </c>
      <c r="BH26" s="29">
        <f>Tabla44[[#This Row],[TOTAL DESEMBOLSOS]]-Tabla44[[#This Row],[VALOR TOTAL DEL CONTRATO INCLUIDO EL COMPONENTE DE ALIMENTACIÓN]]</f>
        <v>0</v>
      </c>
      <c r="BI26" t="s">
        <v>98</v>
      </c>
    </row>
    <row r="27" spans="1:62">
      <c r="A27" s="13">
        <v>1918</v>
      </c>
      <c r="B27" s="13"/>
      <c r="C27" s="12" t="s">
        <v>87</v>
      </c>
      <c r="D27" s="12" t="s">
        <v>527</v>
      </c>
      <c r="E27" s="12" t="s">
        <v>2854</v>
      </c>
      <c r="F27" s="12" t="s">
        <v>13</v>
      </c>
      <c r="G27" s="12" t="s">
        <v>90</v>
      </c>
      <c r="H27" s="12" t="s">
        <v>2865</v>
      </c>
      <c r="I27" s="36">
        <v>505500112933</v>
      </c>
      <c r="J27" s="12" t="s">
        <v>2866</v>
      </c>
      <c r="K27" s="12">
        <v>1</v>
      </c>
      <c r="L27" s="12">
        <v>60</v>
      </c>
      <c r="M27" s="12"/>
      <c r="N27" s="13">
        <v>1918</v>
      </c>
      <c r="O27" s="12" t="s">
        <v>2850</v>
      </c>
      <c r="P27" s="12"/>
      <c r="Q27" s="12"/>
      <c r="R27" s="12" t="s">
        <v>94</v>
      </c>
      <c r="S27" s="12">
        <v>10</v>
      </c>
      <c r="T27" s="12">
        <v>811022174</v>
      </c>
      <c r="U27" s="12" t="s">
        <v>2857</v>
      </c>
      <c r="V27" s="12">
        <f>VLOOKUP(Tabla44[[#This Row],[ZONA DEFINITIVO]],[1]Hoja1!$A$1:$D$125,3,0)</f>
        <v>229933</v>
      </c>
      <c r="W27" s="12">
        <f>VLOOKUP(Tabla44[[#This Row],[ZONA DEFINITIVO]],[1]Hoja1!$A$1:$D$125,2,0)</f>
        <v>17248</v>
      </c>
      <c r="X27" s="12">
        <f>VLOOKUP(Tabla44[[#This Row],[ZONA DEFINITIVO]],[1]Hoja1!$A$1:$D$125,4,0)</f>
        <v>103925</v>
      </c>
      <c r="Y27" s="12" t="str">
        <f>+IF(Tabla44[[#This Row],[AGRUPACIONES]]=1,SUMIFS(Tabla44[UDS],Tabla44[ZONA DEFINITIVO],Tabla44[[#This Row],[ZONA DEFINITIVO]])," ")</f>
        <v xml:space="preserve"> </v>
      </c>
      <c r="Z27" s="12" t="str">
        <f>+IF(Tabla44[[#This Row],[AGRUPACIONES]]=1,SUMIFS(Tabla44[TOTAL COBERTURA],Tabla44[ZONA DEFINITIVO],Tabla44[[#This Row],[ZONA DEFINITIVO]])," ")</f>
        <v xml:space="preserve"> </v>
      </c>
      <c r="AA27" s="12"/>
      <c r="AB27" s="35">
        <v>177402360</v>
      </c>
      <c r="AC27" s="37">
        <v>0</v>
      </c>
      <c r="AD27" s="35">
        <f t="shared" si="1"/>
        <v>0</v>
      </c>
      <c r="AE27" s="12"/>
      <c r="AF27" s="12">
        <f>COUNTIF($A$20:A27,A27)</f>
        <v>6</v>
      </c>
      <c r="AG27" s="38">
        <v>177402360</v>
      </c>
      <c r="AH27" s="38">
        <f>Tabla44[[#This Row],[VALOR CONTRAPARTIDA]]+Tabla44[[#This Row],[TOTAL APORTES ICBF]]</f>
        <v>177402360</v>
      </c>
      <c r="AI27" s="35" t="str">
        <f>+IF(Tabla44[[#This Row],[AGRUPACIONES]]=1,SUMIFS(Tabla44[TOTAL APORTES ICBF],Tabla44[ZONA DEFINITIVO],Tabla44[[#This Row],[ZONA DEFINITIVO]])," ")</f>
        <v xml:space="preserve"> </v>
      </c>
      <c r="AJ27" s="38"/>
      <c r="AK27" s="38"/>
      <c r="AL27" s="35"/>
      <c r="AM27" s="35">
        <f>VLOOKUP(Tabla44[[#This Row],[SERVICIO 2025]],$J$2:$V$15,5,0)*Tabla44[[#This Row],[TOTAL COBERTURA]]</f>
        <v>5288580</v>
      </c>
      <c r="AN27" s="35">
        <f>VLOOKUP(Tabla44[[#This Row],[SERVICIO 2025]],$J$2:$V$15,6,0)*Tabla44[[#This Row],[TOTAL COBERTURA]]</f>
        <v>4502580</v>
      </c>
      <c r="AO27" s="35">
        <f>VLOOKUP(Tabla44[[#This Row],[SERVICIO 2025]],$J$2:$V$15,8,0)*Tabla44[[#This Row],[TOTAL COBERTURA]]</f>
        <v>0</v>
      </c>
      <c r="AP27" s="35">
        <f>VLOOKUP(Tabla44[[#This Row],[SERVICIO 2025]],$J$2:$V$15,3,0)*Tabla44[[#This Row],[TOTAL COBERTURA]]*8</f>
        <v>167611200</v>
      </c>
      <c r="AQ27" s="35"/>
      <c r="AR27" s="35">
        <f>SUM(Tabla44[[#This Row],[VALOR FASE PREPARATORIA DE ALISTAMIENTO]:[VALOR RACION PREPARADA]])</f>
        <v>177402360</v>
      </c>
      <c r="AS27" s="35" t="str">
        <f>+IF(Tabla44[[#This Row],[AGRUPACIONES]]=1,SUMIFS(Tabla44[VALOR TOTAL],Tabla44[ZONA DEFINITIVO],Tabla44[[#This Row],[ZONA DEFINITIVO]])," ")</f>
        <v xml:space="preserve"> </v>
      </c>
      <c r="AT27" s="35">
        <f>VLOOKUP(Tabla44[[#This Row],[SERVICIO 2025]],$J$2:$V$15,10,0)*Tabla44[[#This Row],[TOTAL COBERTURA]]*$X$7</f>
        <v>73928640</v>
      </c>
      <c r="AU27" s="39">
        <f>Tabla44[[#This Row],[TOTAL CONTRATO (ICBF+EAS)]]+Tabla44[[#This Row],[VALOR COMPONENTE ALIMENTACION NO ASIGNADO]]</f>
        <v>251331000</v>
      </c>
      <c r="AV2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35481060</v>
      </c>
      <c r="AW27" s="35">
        <f>(VLOOKUP(Tabla44[[#This Row],[SERVICIO 2025]],$J$2:$V$15,3,0)*Tabla44[[#This Row],[TOTAL COBERTURA]])+VLOOKUP(Tabla44[[#This Row],[SERVICIO 2025]],$J$2:$V$15,10,0)*Tabla44[[#This Row],[TOTAL COBERTURA]]</f>
        <v>30192480</v>
      </c>
      <c r="AX27" s="35">
        <f>(VLOOKUP(Tabla44[[#This Row],[SERVICIO 2025]],$J$2:$V$15,3,0)*Tabla44[[#This Row],[TOTAL COBERTURA]])+VLOOKUP(Tabla44[[#This Row],[SERVICIO 2025]],$J$2:$V$15,10,0)*Tabla44[[#This Row],[TOTAL COBERTURA]]</f>
        <v>30192480</v>
      </c>
      <c r="AY27" s="35">
        <f>(VLOOKUP(Tabla44[[#This Row],[SERVICIO 2025]],$J$2:$V$15,3,0)*Tabla44[[#This Row],[TOTAL COBERTURA]])+VLOOKUP(Tabla44[[#This Row],[SERVICIO 2025]],$J$2:$V$15,10,0)*Tabla44[[#This Row],[TOTAL COBERTURA]]</f>
        <v>30192480</v>
      </c>
      <c r="AZ27" s="35">
        <f>(VLOOKUP(Tabla44[[#This Row],[SERVICIO 2025]],$J$2:$V$15,3,0)*Tabla44[[#This Row],[TOTAL COBERTURA]])+VLOOKUP(Tabla44[[#This Row],[SERVICIO 2025]],$J$2:$V$15,10,0)*Tabla44[[#This Row],[TOTAL COBERTURA]]</f>
        <v>30192480</v>
      </c>
      <c r="BA27" s="35">
        <f>(VLOOKUP(Tabla44[[#This Row],[SERVICIO 2025]],$J$2:$V$15,3,0)*Tabla44[[#This Row],[TOTAL COBERTURA]])+VLOOKUP(Tabla44[[#This Row],[SERVICIO 2025]],$J$2:$V$15,10,0)*Tabla44[[#This Row],[TOTAL COBERTURA]]</f>
        <v>30192480</v>
      </c>
      <c r="BB27" s="35">
        <f>(VLOOKUP(Tabla44[[#This Row],[SERVICIO 2025]],$J$2:$V$15,3,0)*Tabla44[[#This Row],[TOTAL COBERTURA]])+VLOOKUP(Tabla44[[#This Row],[SERVICIO 2025]],$J$2:$V$15,10,0)*Tabla44[[#This Row],[TOTAL COBERTURA]]</f>
        <v>30192480</v>
      </c>
      <c r="BC2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34695060</v>
      </c>
      <c r="BD27" s="35">
        <f>SUM(Tabla44[[#This Row],[DESEMBOLSO 1]:[DESEMBOLSO 8]])</f>
        <v>251331000</v>
      </c>
      <c r="BE27" s="12" t="b">
        <f>EXACT(Tabla44[[#This Row],[VALOR ATENCIÓN (8 MESES)]],Tabla44[[#This Row],[VALOR TOTAL]])</f>
        <v>1</v>
      </c>
      <c r="BF27" s="23">
        <f>Tabla44[[#This Row],[VALOR ATENCIÓN (8 MESES)]]-Tabla44[[#This Row],[VALOR TOTAL]]</f>
        <v>0</v>
      </c>
      <c r="BG27" s="12" t="b">
        <f>EXACT(Tabla44[[#This Row],[TOTAL DESEMBOLSOS]],Tabla44[[#This Row],[VALOR TOTAL DEL CONTRATO INCLUIDO EL COMPONENTE DE ALIMENTACIÓN]])</f>
        <v>1</v>
      </c>
      <c r="BH27" s="29">
        <f>Tabla44[[#This Row],[TOTAL DESEMBOLSOS]]-Tabla44[[#This Row],[VALOR TOTAL DEL CONTRATO INCLUIDO EL COMPONENTE DE ALIMENTACIÓN]]</f>
        <v>0</v>
      </c>
      <c r="BI27" t="s">
        <v>98</v>
      </c>
    </row>
    <row r="28" spans="1:62">
      <c r="A28" s="13">
        <v>1918</v>
      </c>
      <c r="B28" s="13"/>
      <c r="C28" s="12" t="s">
        <v>87</v>
      </c>
      <c r="D28" s="12" t="s">
        <v>527</v>
      </c>
      <c r="E28" s="12" t="s">
        <v>2867</v>
      </c>
      <c r="F28" s="12" t="s">
        <v>15</v>
      </c>
      <c r="G28" s="12" t="s">
        <v>90</v>
      </c>
      <c r="H28" s="12" t="s">
        <v>2868</v>
      </c>
      <c r="I28" s="36">
        <v>56151121807</v>
      </c>
      <c r="J28" s="12" t="s">
        <v>2869</v>
      </c>
      <c r="K28" s="12">
        <v>1</v>
      </c>
      <c r="L28" s="12">
        <v>78</v>
      </c>
      <c r="M28" s="12"/>
      <c r="N28" s="13">
        <v>1918</v>
      </c>
      <c r="O28" s="12" t="s">
        <v>2850</v>
      </c>
      <c r="P28" s="12"/>
      <c r="Q28" s="12"/>
      <c r="R28" s="12" t="s">
        <v>94</v>
      </c>
      <c r="S28" s="12">
        <v>10</v>
      </c>
      <c r="T28" s="12">
        <v>811022174</v>
      </c>
      <c r="U28" s="12" t="s">
        <v>2857</v>
      </c>
      <c r="V28" s="12">
        <f>VLOOKUP(Tabla44[[#This Row],[ZONA DEFINITIVO]],[1]Hoja1!$A$1:$D$125,3,0)</f>
        <v>229933</v>
      </c>
      <c r="W28" s="12">
        <f>VLOOKUP(Tabla44[[#This Row],[ZONA DEFINITIVO]],[1]Hoja1!$A$1:$D$125,2,0)</f>
        <v>17248</v>
      </c>
      <c r="X28" s="12">
        <f>VLOOKUP(Tabla44[[#This Row],[ZONA DEFINITIVO]],[1]Hoja1!$A$1:$D$125,4,0)</f>
        <v>103925</v>
      </c>
      <c r="Y28" s="12" t="str">
        <f>+IF(Tabla44[[#This Row],[AGRUPACIONES]]=1,SUMIFS(Tabla44[UDS],Tabla44[ZONA DEFINITIVO],Tabla44[[#This Row],[ZONA DEFINITIVO]])," ")</f>
        <v xml:space="preserve"> </v>
      </c>
      <c r="Z28" s="12" t="str">
        <f>+IF(Tabla44[[#This Row],[AGRUPACIONES]]=1,SUMIFS(Tabla44[TOTAL COBERTURA],Tabla44[ZONA DEFINITIVO],Tabla44[[#This Row],[ZONA DEFINITIVO]])," ")</f>
        <v xml:space="preserve"> </v>
      </c>
      <c r="AA28" s="12"/>
      <c r="AB28" s="35">
        <v>337693356</v>
      </c>
      <c r="AC28" s="37">
        <v>0</v>
      </c>
      <c r="AD28" s="35">
        <f t="shared" si="1"/>
        <v>0</v>
      </c>
      <c r="AE28" s="12"/>
      <c r="AF28" s="12">
        <f>COUNTIF($A$20:A28,A28)</f>
        <v>7</v>
      </c>
      <c r="AG28" s="38">
        <v>337693356</v>
      </c>
      <c r="AH28" s="38">
        <f>Tabla44[[#This Row],[VALOR CONTRAPARTIDA]]+Tabla44[[#This Row],[TOTAL APORTES ICBF]]</f>
        <v>337693356</v>
      </c>
      <c r="AI28" s="35" t="str">
        <f>+IF(Tabla44[[#This Row],[AGRUPACIONES]]=1,SUMIFS(Tabla44[TOTAL APORTES ICBF],Tabla44[ZONA DEFINITIVO],Tabla44[[#This Row],[ZONA DEFINITIVO]])," ")</f>
        <v xml:space="preserve"> </v>
      </c>
      <c r="AJ28" s="38"/>
      <c r="AK28" s="38"/>
      <c r="AL28" s="35"/>
      <c r="AM28" s="35">
        <f>VLOOKUP(Tabla44[[#This Row],[SERVICIO 2025]],$J$2:$V$15,5,0)*Tabla44[[#This Row],[TOTAL COBERTURA]]</f>
        <v>6875154</v>
      </c>
      <c r="AN28" s="35">
        <f>VLOOKUP(Tabla44[[#This Row],[SERVICIO 2025]],$J$2:$V$15,6,0)*Tabla44[[#This Row],[TOTAL COBERTURA]]</f>
        <v>5853354</v>
      </c>
      <c r="AO28" s="35">
        <f>VLOOKUP(Tabla44[[#This Row],[SERVICIO 2025]],$J$2:$V$15,8,0)*Tabla44[[#This Row],[TOTAL COBERTURA]]</f>
        <v>0</v>
      </c>
      <c r="AP28" s="35">
        <f>VLOOKUP(Tabla44[[#This Row],[SERVICIO 2025]],$J$2:$V$15,3,0)*Tabla44[[#This Row],[TOTAL COBERTURA]]*8</f>
        <v>324964848</v>
      </c>
      <c r="AQ28" s="35"/>
      <c r="AR28" s="35">
        <f>SUM(Tabla44[[#This Row],[VALOR FASE PREPARATORIA DE ALISTAMIENTO]:[VALOR RACION PREPARADA]])</f>
        <v>337693356</v>
      </c>
      <c r="AS28" s="35" t="str">
        <f>+IF(Tabla44[[#This Row],[AGRUPACIONES]]=1,SUMIFS(Tabla44[VALOR TOTAL],Tabla44[ZONA DEFINITIVO],Tabla44[[#This Row],[ZONA DEFINITIVO]])," ")</f>
        <v xml:space="preserve"> </v>
      </c>
      <c r="AT28" s="35">
        <f>VLOOKUP(Tabla44[[#This Row],[SERVICIO 2025]],$J$2:$V$15,10,0)*Tabla44[[#This Row],[TOTAL COBERTURA]]*$X$7</f>
        <v>0</v>
      </c>
      <c r="AU28" s="39">
        <f>Tabla44[[#This Row],[TOTAL CONTRATO (ICBF+EAS)]]+Tabla44[[#This Row],[VALOR COMPONENTE ALIMENTACION NO ASIGNADO]]</f>
        <v>337693356</v>
      </c>
      <c r="AV2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47495760</v>
      </c>
      <c r="AW28" s="35">
        <f>(VLOOKUP(Tabla44[[#This Row],[SERVICIO 2025]],$J$2:$V$15,3,0)*Tabla44[[#This Row],[TOTAL COBERTURA]])+VLOOKUP(Tabla44[[#This Row],[SERVICIO 2025]],$J$2:$V$15,10,0)*Tabla44[[#This Row],[TOTAL COBERTURA]]</f>
        <v>40620606</v>
      </c>
      <c r="AX28" s="35">
        <f>(VLOOKUP(Tabla44[[#This Row],[SERVICIO 2025]],$J$2:$V$15,3,0)*Tabla44[[#This Row],[TOTAL COBERTURA]])+VLOOKUP(Tabla44[[#This Row],[SERVICIO 2025]],$J$2:$V$15,10,0)*Tabla44[[#This Row],[TOTAL COBERTURA]]</f>
        <v>40620606</v>
      </c>
      <c r="AY28" s="35">
        <f>(VLOOKUP(Tabla44[[#This Row],[SERVICIO 2025]],$J$2:$V$15,3,0)*Tabla44[[#This Row],[TOTAL COBERTURA]])+VLOOKUP(Tabla44[[#This Row],[SERVICIO 2025]],$J$2:$V$15,10,0)*Tabla44[[#This Row],[TOTAL COBERTURA]]</f>
        <v>40620606</v>
      </c>
      <c r="AZ28" s="35">
        <f>(VLOOKUP(Tabla44[[#This Row],[SERVICIO 2025]],$J$2:$V$15,3,0)*Tabla44[[#This Row],[TOTAL COBERTURA]])+VLOOKUP(Tabla44[[#This Row],[SERVICIO 2025]],$J$2:$V$15,10,0)*Tabla44[[#This Row],[TOTAL COBERTURA]]</f>
        <v>40620606</v>
      </c>
      <c r="BA28" s="35">
        <f>(VLOOKUP(Tabla44[[#This Row],[SERVICIO 2025]],$J$2:$V$15,3,0)*Tabla44[[#This Row],[TOTAL COBERTURA]])+VLOOKUP(Tabla44[[#This Row],[SERVICIO 2025]],$J$2:$V$15,10,0)*Tabla44[[#This Row],[TOTAL COBERTURA]]</f>
        <v>40620606</v>
      </c>
      <c r="BB28" s="35">
        <f>(VLOOKUP(Tabla44[[#This Row],[SERVICIO 2025]],$J$2:$V$15,3,0)*Tabla44[[#This Row],[TOTAL COBERTURA]])+VLOOKUP(Tabla44[[#This Row],[SERVICIO 2025]],$J$2:$V$15,10,0)*Tabla44[[#This Row],[TOTAL COBERTURA]]</f>
        <v>40620606</v>
      </c>
      <c r="BC2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46473960</v>
      </c>
      <c r="BD28" s="35">
        <f>SUM(Tabla44[[#This Row],[DESEMBOLSO 1]:[DESEMBOLSO 8]])</f>
        <v>337693356</v>
      </c>
      <c r="BE28" s="12" t="b">
        <f>EXACT(Tabla44[[#This Row],[VALOR ATENCIÓN (8 MESES)]],Tabla44[[#This Row],[VALOR TOTAL]])</f>
        <v>1</v>
      </c>
      <c r="BF28" s="23">
        <f>Tabla44[[#This Row],[VALOR ATENCIÓN (8 MESES)]]-Tabla44[[#This Row],[VALOR TOTAL]]</f>
        <v>0</v>
      </c>
      <c r="BG28" s="12" t="b">
        <f>EXACT(Tabla44[[#This Row],[TOTAL DESEMBOLSOS]],Tabla44[[#This Row],[VALOR TOTAL DEL CONTRATO INCLUIDO EL COMPONENTE DE ALIMENTACIÓN]])</f>
        <v>1</v>
      </c>
      <c r="BH28" s="29">
        <f>Tabla44[[#This Row],[TOTAL DESEMBOLSOS]]-Tabla44[[#This Row],[VALOR TOTAL DEL CONTRATO INCLUIDO EL COMPONENTE DE ALIMENTACIÓN]]</f>
        <v>0</v>
      </c>
      <c r="BI28" t="s">
        <v>98</v>
      </c>
    </row>
    <row r="29" spans="1:62">
      <c r="A29" s="13">
        <v>1918</v>
      </c>
      <c r="B29" s="13"/>
      <c r="C29" s="12" t="s">
        <v>87</v>
      </c>
      <c r="D29" s="12" t="s">
        <v>527</v>
      </c>
      <c r="E29" s="12" t="s">
        <v>2867</v>
      </c>
      <c r="F29" s="12" t="s">
        <v>15</v>
      </c>
      <c r="G29" s="12" t="s">
        <v>90</v>
      </c>
      <c r="H29" s="12" t="s">
        <v>2870</v>
      </c>
      <c r="I29" s="36">
        <v>561500051865</v>
      </c>
      <c r="J29" s="12" t="s">
        <v>2871</v>
      </c>
      <c r="K29" s="12">
        <v>1</v>
      </c>
      <c r="L29" s="12">
        <v>79</v>
      </c>
      <c r="M29" s="12"/>
      <c r="N29" s="13">
        <v>1918</v>
      </c>
      <c r="O29" s="12" t="s">
        <v>2850</v>
      </c>
      <c r="P29" s="12"/>
      <c r="Q29" s="12"/>
      <c r="R29" s="12" t="s">
        <v>94</v>
      </c>
      <c r="S29" s="12">
        <v>10</v>
      </c>
      <c r="T29" s="12">
        <v>811022174</v>
      </c>
      <c r="U29" s="12" t="s">
        <v>2857</v>
      </c>
      <c r="V29" s="12">
        <f>VLOOKUP(Tabla44[[#This Row],[ZONA DEFINITIVO]],[1]Hoja1!$A$1:$D$125,3,0)</f>
        <v>229933</v>
      </c>
      <c r="W29" s="12">
        <f>VLOOKUP(Tabla44[[#This Row],[ZONA DEFINITIVO]],[1]Hoja1!$A$1:$D$125,2,0)</f>
        <v>17248</v>
      </c>
      <c r="X29" s="12">
        <f>VLOOKUP(Tabla44[[#This Row],[ZONA DEFINITIVO]],[1]Hoja1!$A$1:$D$125,4,0)</f>
        <v>103925</v>
      </c>
      <c r="Y29" s="12" t="str">
        <f>+IF(Tabla44[[#This Row],[AGRUPACIONES]]=1,SUMIFS(Tabla44[UDS],Tabla44[ZONA DEFINITIVO],Tabla44[[#This Row],[ZONA DEFINITIVO]])," ")</f>
        <v xml:space="preserve"> </v>
      </c>
      <c r="Z29" s="12" t="str">
        <f>+IF(Tabla44[[#This Row],[AGRUPACIONES]]=1,SUMIFS(Tabla44[TOTAL COBERTURA],Tabla44[ZONA DEFINITIVO],Tabla44[[#This Row],[ZONA DEFINITIVO]])," ")</f>
        <v xml:space="preserve"> </v>
      </c>
      <c r="AA29" s="12"/>
      <c r="AB29" s="35">
        <v>342022758</v>
      </c>
      <c r="AC29" s="37">
        <v>0</v>
      </c>
      <c r="AD29" s="35">
        <f t="shared" si="1"/>
        <v>0</v>
      </c>
      <c r="AE29" s="12"/>
      <c r="AF29" s="12">
        <f>COUNTIF($A$20:A29,A29)</f>
        <v>8</v>
      </c>
      <c r="AG29" s="38">
        <v>342022758</v>
      </c>
      <c r="AH29" s="38">
        <f>Tabla44[[#This Row],[VALOR CONTRAPARTIDA]]+Tabla44[[#This Row],[TOTAL APORTES ICBF]]</f>
        <v>342022758</v>
      </c>
      <c r="AI29" s="35" t="str">
        <f>+IF(Tabla44[[#This Row],[AGRUPACIONES]]=1,SUMIFS(Tabla44[TOTAL APORTES ICBF],Tabla44[ZONA DEFINITIVO],Tabla44[[#This Row],[ZONA DEFINITIVO]])," ")</f>
        <v xml:space="preserve"> </v>
      </c>
      <c r="AJ29" s="38"/>
      <c r="AK29" s="38"/>
      <c r="AL29" s="35"/>
      <c r="AM29" s="35">
        <f>VLOOKUP(Tabla44[[#This Row],[SERVICIO 2025]],$J$2:$V$15,5,0)*Tabla44[[#This Row],[TOTAL COBERTURA]]</f>
        <v>6963297</v>
      </c>
      <c r="AN29" s="35">
        <f>VLOOKUP(Tabla44[[#This Row],[SERVICIO 2025]],$J$2:$V$15,6,0)*Tabla44[[#This Row],[TOTAL COBERTURA]]</f>
        <v>5928397</v>
      </c>
      <c r="AO29" s="35">
        <f>VLOOKUP(Tabla44[[#This Row],[SERVICIO 2025]],$J$2:$V$15,8,0)*Tabla44[[#This Row],[TOTAL COBERTURA]]</f>
        <v>0</v>
      </c>
      <c r="AP29" s="35">
        <f>VLOOKUP(Tabla44[[#This Row],[SERVICIO 2025]],$J$2:$V$15,3,0)*Tabla44[[#This Row],[TOTAL COBERTURA]]*8</f>
        <v>329131064</v>
      </c>
      <c r="AQ29" s="35"/>
      <c r="AR29" s="35">
        <f>SUM(Tabla44[[#This Row],[VALOR FASE PREPARATORIA DE ALISTAMIENTO]:[VALOR RACION PREPARADA]])</f>
        <v>342022758</v>
      </c>
      <c r="AS29" s="35" t="str">
        <f>+IF(Tabla44[[#This Row],[AGRUPACIONES]]=1,SUMIFS(Tabla44[VALOR TOTAL],Tabla44[ZONA DEFINITIVO],Tabla44[[#This Row],[ZONA DEFINITIVO]])," ")</f>
        <v xml:space="preserve"> </v>
      </c>
      <c r="AT29" s="35">
        <f>VLOOKUP(Tabla44[[#This Row],[SERVICIO 2025]],$J$2:$V$15,10,0)*Tabla44[[#This Row],[TOTAL COBERTURA]]*$X$7</f>
        <v>0</v>
      </c>
      <c r="AU29" s="39">
        <f>Tabla44[[#This Row],[TOTAL CONTRATO (ICBF+EAS)]]+Tabla44[[#This Row],[VALOR COMPONENTE ALIMENTACION NO ASIGNADO]]</f>
        <v>342022758</v>
      </c>
      <c r="AV2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48104680</v>
      </c>
      <c r="AW29" s="35">
        <f>(VLOOKUP(Tabla44[[#This Row],[SERVICIO 2025]],$J$2:$V$15,3,0)*Tabla44[[#This Row],[TOTAL COBERTURA]])+VLOOKUP(Tabla44[[#This Row],[SERVICIO 2025]],$J$2:$V$15,10,0)*Tabla44[[#This Row],[TOTAL COBERTURA]]</f>
        <v>41141383</v>
      </c>
      <c r="AX29" s="35">
        <f>(VLOOKUP(Tabla44[[#This Row],[SERVICIO 2025]],$J$2:$V$15,3,0)*Tabla44[[#This Row],[TOTAL COBERTURA]])+VLOOKUP(Tabla44[[#This Row],[SERVICIO 2025]],$J$2:$V$15,10,0)*Tabla44[[#This Row],[TOTAL COBERTURA]]</f>
        <v>41141383</v>
      </c>
      <c r="AY29" s="35">
        <f>(VLOOKUP(Tabla44[[#This Row],[SERVICIO 2025]],$J$2:$V$15,3,0)*Tabla44[[#This Row],[TOTAL COBERTURA]])+VLOOKUP(Tabla44[[#This Row],[SERVICIO 2025]],$J$2:$V$15,10,0)*Tabla44[[#This Row],[TOTAL COBERTURA]]</f>
        <v>41141383</v>
      </c>
      <c r="AZ29" s="35">
        <f>(VLOOKUP(Tabla44[[#This Row],[SERVICIO 2025]],$J$2:$V$15,3,0)*Tabla44[[#This Row],[TOTAL COBERTURA]])+VLOOKUP(Tabla44[[#This Row],[SERVICIO 2025]],$J$2:$V$15,10,0)*Tabla44[[#This Row],[TOTAL COBERTURA]]</f>
        <v>41141383</v>
      </c>
      <c r="BA29" s="35">
        <f>(VLOOKUP(Tabla44[[#This Row],[SERVICIO 2025]],$J$2:$V$15,3,0)*Tabla44[[#This Row],[TOTAL COBERTURA]])+VLOOKUP(Tabla44[[#This Row],[SERVICIO 2025]],$J$2:$V$15,10,0)*Tabla44[[#This Row],[TOTAL COBERTURA]]</f>
        <v>41141383</v>
      </c>
      <c r="BB29" s="35">
        <f>(VLOOKUP(Tabla44[[#This Row],[SERVICIO 2025]],$J$2:$V$15,3,0)*Tabla44[[#This Row],[TOTAL COBERTURA]])+VLOOKUP(Tabla44[[#This Row],[SERVICIO 2025]],$J$2:$V$15,10,0)*Tabla44[[#This Row],[TOTAL COBERTURA]]</f>
        <v>41141383</v>
      </c>
      <c r="BC2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47069780</v>
      </c>
      <c r="BD29" s="35">
        <f>SUM(Tabla44[[#This Row],[DESEMBOLSO 1]:[DESEMBOLSO 8]])</f>
        <v>342022758</v>
      </c>
      <c r="BE29" s="12" t="b">
        <f>EXACT(Tabla44[[#This Row],[VALOR ATENCIÓN (8 MESES)]],Tabla44[[#This Row],[VALOR TOTAL]])</f>
        <v>1</v>
      </c>
      <c r="BF29" s="23">
        <f>Tabla44[[#This Row],[VALOR ATENCIÓN (8 MESES)]]-Tabla44[[#This Row],[VALOR TOTAL]]</f>
        <v>0</v>
      </c>
      <c r="BG29" s="12" t="b">
        <f>EXACT(Tabla44[[#This Row],[TOTAL DESEMBOLSOS]],Tabla44[[#This Row],[VALOR TOTAL DEL CONTRATO INCLUIDO EL COMPONENTE DE ALIMENTACIÓN]])</f>
        <v>1</v>
      </c>
      <c r="BH29" s="29">
        <f>Tabla44[[#This Row],[TOTAL DESEMBOLSOS]]-Tabla44[[#This Row],[VALOR TOTAL DEL CONTRATO INCLUIDO EL COMPONENTE DE ALIMENTACIÓN]]</f>
        <v>0</v>
      </c>
      <c r="BI29" t="s">
        <v>98</v>
      </c>
    </row>
    <row r="30" spans="1:62">
      <c r="A30" s="13">
        <v>1922</v>
      </c>
      <c r="B30" s="13"/>
      <c r="C30" s="12" t="s">
        <v>87</v>
      </c>
      <c r="D30" s="12" t="s">
        <v>205</v>
      </c>
      <c r="E30" s="12" t="s">
        <v>2872</v>
      </c>
      <c r="F30" s="12" t="s">
        <v>18</v>
      </c>
      <c r="G30" s="12" t="s">
        <v>90</v>
      </c>
      <c r="H30" s="12" t="s">
        <v>2873</v>
      </c>
      <c r="I30" s="36">
        <v>50911114922</v>
      </c>
      <c r="J30" s="12" t="s">
        <v>2874</v>
      </c>
      <c r="K30" s="12">
        <v>1</v>
      </c>
      <c r="L30" s="12">
        <v>9</v>
      </c>
      <c r="M30" s="12"/>
      <c r="N30" s="13">
        <v>1922</v>
      </c>
      <c r="O30" s="12" t="s">
        <v>2850</v>
      </c>
      <c r="P30" s="12"/>
      <c r="Q30" s="12"/>
      <c r="R30" s="12" t="s">
        <v>94</v>
      </c>
      <c r="S30" s="12">
        <v>10</v>
      </c>
      <c r="T30" s="12">
        <v>890901524</v>
      </c>
      <c r="U30" s="12" t="s">
        <v>2875</v>
      </c>
      <c r="V30" s="12">
        <f>VLOOKUP(Tabla44[[#This Row],[ZONA DEFINITIVO]],[1]Hoja1!$A$1:$D$125,3,0)</f>
        <v>229934</v>
      </c>
      <c r="W30" s="12">
        <f>VLOOKUP(Tabla44[[#This Row],[ZONA DEFINITIVO]],[1]Hoja1!$A$1:$D$125,2,0)</f>
        <v>17254</v>
      </c>
      <c r="X30" s="12">
        <f>VLOOKUP(Tabla44[[#This Row],[ZONA DEFINITIVO]],[1]Hoja1!$A$1:$D$125,4,0)</f>
        <v>103725</v>
      </c>
      <c r="Y30" s="12">
        <f>+IF(Tabla44[[#This Row],[AGRUPACIONES]]=1,SUMIFS(Tabla44[UDS],Tabla44[ZONA DEFINITIVO],Tabla44[[#This Row],[ZONA DEFINITIVO]])," ")</f>
        <v>41</v>
      </c>
      <c r="Z30" s="12">
        <f>+IF(Tabla44[[#This Row],[AGRUPACIONES]]=1,SUMIFS(Tabla44[TOTAL COBERTURA],Tabla44[ZONA DEFINITIVO],Tabla44[[#This Row],[ZONA DEFINITIVO]])," ")</f>
        <v>975</v>
      </c>
      <c r="AA30" s="12"/>
      <c r="AB30" s="35">
        <v>19621737</v>
      </c>
      <c r="AC30" s="37">
        <v>0</v>
      </c>
      <c r="AD30" s="35">
        <f t="shared" si="1"/>
        <v>0</v>
      </c>
      <c r="AE30" s="12"/>
      <c r="AF30" s="12">
        <f>COUNTIF($A$20:A30,A30)</f>
        <v>1</v>
      </c>
      <c r="AG30" s="38">
        <v>19621737</v>
      </c>
      <c r="AH30" s="38">
        <f>Tabla44[[#This Row],[VALOR CONTRAPARTIDA]]+Tabla44[[#This Row],[TOTAL APORTES ICBF]]</f>
        <v>19621737</v>
      </c>
      <c r="AI30" s="35">
        <f>+IF(Tabla44[[#This Row],[AGRUPACIONES]]=1,SUMIFS(Tabla44[TOTAL APORTES ICBF],Tabla44[ZONA DEFINITIVO],Tabla44[[#This Row],[ZONA DEFINITIVO]])," ")</f>
        <v>2721598359</v>
      </c>
      <c r="AJ30" s="38">
        <f>ROUND(+IF(Tabla44[[#This Row],[AGRUPACIONES]]=1,SUMIFS(Tabla44[VALOR CONTRAPARTIDA],Tabla44[ZONA DEFINITIVO],Tabla44[[#This Row],[ZONA DEFINITIVO]])," "),0)</f>
        <v>0</v>
      </c>
      <c r="AK30" s="38">
        <f>Tabla44[[#This Row],[TOTAL APORTES ICBF AGRUPADO]]+Tabla44[[#This Row],[TOTAL CONTRAPARTIDA AGRUPADO]]</f>
        <v>2721598359</v>
      </c>
      <c r="AL30" s="35">
        <f>Tabla44[[#This Row],[TOTAL APORTES ICBF AGRUPADO]]/$AL$18</f>
        <v>1911.9061180189674</v>
      </c>
      <c r="AM30" s="35">
        <f>VLOOKUP(Tabla44[[#This Row],[SERVICIO 2025]],$J$2:$V$15,5,0)*Tabla44[[#This Row],[TOTAL COBERTURA]]</f>
        <v>444384</v>
      </c>
      <c r="AN30" s="35">
        <f>VLOOKUP(Tabla44[[#This Row],[SERVICIO 2025]],$J$2:$V$15,6,0)*Tabla44[[#This Row],[TOTAL COBERTURA]]</f>
        <v>369261</v>
      </c>
      <c r="AO30" s="35">
        <f>VLOOKUP(Tabla44[[#This Row],[SERVICIO 2025]],$J$2:$V$15,8,0)*Tabla44[[#This Row],[TOTAL COBERTURA]]</f>
        <v>261900</v>
      </c>
      <c r="AP30" s="35">
        <f>VLOOKUP(Tabla44[[#This Row],[SERVICIO 2025]],$J$2:$V$15,3,0)*Tabla44[[#This Row],[TOTAL COBERTURA]]*8</f>
        <v>18546192</v>
      </c>
      <c r="AQ30" s="35"/>
      <c r="AR30" s="35">
        <f>SUM(Tabla44[[#This Row],[VALOR FASE PREPARATORIA DE ALISTAMIENTO]:[VALOR RACION PREPARADA]])</f>
        <v>19621737</v>
      </c>
      <c r="AS30" s="35">
        <f>+IF(Tabla44[[#This Row],[AGRUPACIONES]]=1,SUMIFS(Tabla44[VALOR TOTAL],Tabla44[ZONA DEFINITIVO],Tabla44[[#This Row],[ZONA DEFINITIVO]])," ")</f>
        <v>2721598359</v>
      </c>
      <c r="AT30" s="35">
        <f>VLOOKUP(Tabla44[[#This Row],[SERVICIO 2025]],$J$2:$V$15,10,0)*Tabla44[[#This Row],[TOTAL COBERTURA]]*$X$7</f>
        <v>12987576</v>
      </c>
      <c r="AU30" s="39">
        <f>Tabla44[[#This Row],[TOTAL CONTRATO (ICBF+EAS)]]+Tabla44[[#This Row],[VALOR COMPONENTE ALIMENTACION NO ASIGNADO]]</f>
        <v>32609313</v>
      </c>
      <c r="AV3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4648005</v>
      </c>
      <c r="AW30" s="35">
        <f>(VLOOKUP(Tabla44[[#This Row],[SERVICIO 2025]],$J$2:$V$15,3,0)*Tabla44[[#This Row],[TOTAL COBERTURA]])+VLOOKUP(Tabla44[[#This Row],[SERVICIO 2025]],$J$2:$V$15,10,0)*Tabla44[[#This Row],[TOTAL COBERTURA]]</f>
        <v>3941721</v>
      </c>
      <c r="AX30" s="35">
        <f>(VLOOKUP(Tabla44[[#This Row],[SERVICIO 2025]],$J$2:$V$15,3,0)*Tabla44[[#This Row],[TOTAL COBERTURA]])+VLOOKUP(Tabla44[[#This Row],[SERVICIO 2025]],$J$2:$V$15,10,0)*Tabla44[[#This Row],[TOTAL COBERTURA]]</f>
        <v>3941721</v>
      </c>
      <c r="AY30" s="35">
        <f>(VLOOKUP(Tabla44[[#This Row],[SERVICIO 2025]],$J$2:$V$15,3,0)*Tabla44[[#This Row],[TOTAL COBERTURA]])+VLOOKUP(Tabla44[[#This Row],[SERVICIO 2025]],$J$2:$V$15,10,0)*Tabla44[[#This Row],[TOTAL COBERTURA]]</f>
        <v>3941721</v>
      </c>
      <c r="AZ30" s="35">
        <f>(VLOOKUP(Tabla44[[#This Row],[SERVICIO 2025]],$J$2:$V$15,3,0)*Tabla44[[#This Row],[TOTAL COBERTURA]])+VLOOKUP(Tabla44[[#This Row],[SERVICIO 2025]],$J$2:$V$15,10,0)*Tabla44[[#This Row],[TOTAL COBERTURA]]</f>
        <v>3941721</v>
      </c>
      <c r="BA30" s="35">
        <f>(VLOOKUP(Tabla44[[#This Row],[SERVICIO 2025]],$J$2:$V$15,3,0)*Tabla44[[#This Row],[TOTAL COBERTURA]])+VLOOKUP(Tabla44[[#This Row],[SERVICIO 2025]],$J$2:$V$15,10,0)*Tabla44[[#This Row],[TOTAL COBERTURA]]</f>
        <v>3941721</v>
      </c>
      <c r="BB30" s="35">
        <f>(VLOOKUP(Tabla44[[#This Row],[SERVICIO 2025]],$J$2:$V$15,3,0)*Tabla44[[#This Row],[TOTAL COBERTURA]])+VLOOKUP(Tabla44[[#This Row],[SERVICIO 2025]],$J$2:$V$15,10,0)*Tabla44[[#This Row],[TOTAL COBERTURA]]</f>
        <v>3941721</v>
      </c>
      <c r="BC3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4310982</v>
      </c>
      <c r="BD30" s="35">
        <f>SUM(Tabla44[[#This Row],[DESEMBOLSO 1]:[DESEMBOLSO 8]])</f>
        <v>32609313</v>
      </c>
      <c r="BE30" s="12" t="b">
        <f>EXACT(Tabla44[[#This Row],[VALOR ATENCIÓN (8 MESES)]],Tabla44[[#This Row],[VALOR TOTAL]])</f>
        <v>1</v>
      </c>
      <c r="BF30" s="23">
        <f>Tabla44[[#This Row],[VALOR ATENCIÓN (8 MESES)]]-Tabla44[[#This Row],[VALOR TOTAL]]</f>
        <v>0</v>
      </c>
      <c r="BG30" s="12" t="b">
        <f>EXACT(Tabla44[[#This Row],[TOTAL DESEMBOLSOS]],Tabla44[[#This Row],[VALOR TOTAL DEL CONTRATO INCLUIDO EL COMPONENTE DE ALIMENTACIÓN]])</f>
        <v>1</v>
      </c>
      <c r="BH30" s="29">
        <f>Tabla44[[#This Row],[TOTAL DESEMBOLSOS]]-Tabla44[[#This Row],[VALOR TOTAL DEL CONTRATO INCLUIDO EL COMPONENTE DE ALIMENTACIÓN]]</f>
        <v>0</v>
      </c>
      <c r="BI30" t="s">
        <v>98</v>
      </c>
    </row>
    <row r="31" spans="1:62">
      <c r="A31" s="13">
        <v>1922</v>
      </c>
      <c r="B31" s="13"/>
      <c r="C31" s="12" t="s">
        <v>87</v>
      </c>
      <c r="D31" s="12" t="s">
        <v>205</v>
      </c>
      <c r="E31" s="12" t="s">
        <v>2872</v>
      </c>
      <c r="F31" s="12" t="s">
        <v>18</v>
      </c>
      <c r="G31" s="12" t="s">
        <v>90</v>
      </c>
      <c r="H31" s="12" t="s">
        <v>2876</v>
      </c>
      <c r="I31" s="36">
        <v>50911134938</v>
      </c>
      <c r="J31" s="12" t="s">
        <v>2877</v>
      </c>
      <c r="K31" s="12">
        <v>1</v>
      </c>
      <c r="L31" s="12">
        <v>18</v>
      </c>
      <c r="M31" s="12"/>
      <c r="N31" s="13">
        <v>1922</v>
      </c>
      <c r="O31" s="12" t="s">
        <v>2850</v>
      </c>
      <c r="P31" s="12"/>
      <c r="Q31" s="12"/>
      <c r="R31" s="12" t="s">
        <v>94</v>
      </c>
      <c r="S31" s="12">
        <v>10</v>
      </c>
      <c r="T31" s="12">
        <v>890901524</v>
      </c>
      <c r="U31" s="12" t="s">
        <v>2875</v>
      </c>
      <c r="V31" s="12">
        <f>VLOOKUP(Tabla44[[#This Row],[ZONA DEFINITIVO]],[1]Hoja1!$A$1:$D$125,3,0)</f>
        <v>229934</v>
      </c>
      <c r="W31" s="12">
        <f>VLOOKUP(Tabla44[[#This Row],[ZONA DEFINITIVO]],[1]Hoja1!$A$1:$D$125,2,0)</f>
        <v>17254</v>
      </c>
      <c r="X31" s="12">
        <f>VLOOKUP(Tabla44[[#This Row],[ZONA DEFINITIVO]],[1]Hoja1!$A$1:$D$125,4,0)</f>
        <v>103725</v>
      </c>
      <c r="Y31" s="12" t="str">
        <f>+IF(Tabla44[[#This Row],[AGRUPACIONES]]=1,SUMIFS(Tabla44[UDS],Tabla44[ZONA DEFINITIVO],Tabla44[[#This Row],[ZONA DEFINITIVO]])," ")</f>
        <v xml:space="preserve"> </v>
      </c>
      <c r="Z31" s="12" t="str">
        <f>+IF(Tabla44[[#This Row],[AGRUPACIONES]]=1,SUMIFS(Tabla44[TOTAL COBERTURA],Tabla44[ZONA DEFINITIVO],Tabla44[[#This Row],[ZONA DEFINITIVO]])," ")</f>
        <v xml:space="preserve"> </v>
      </c>
      <c r="AA31" s="12"/>
      <c r="AB31" s="35">
        <v>39243474</v>
      </c>
      <c r="AC31" s="37">
        <v>0</v>
      </c>
      <c r="AD31" s="35">
        <f t="shared" si="1"/>
        <v>0</v>
      </c>
      <c r="AE31" s="12"/>
      <c r="AF31" s="12">
        <f>COUNTIF($A$20:A31,A31)</f>
        <v>2</v>
      </c>
      <c r="AG31" s="38">
        <v>39243474</v>
      </c>
      <c r="AH31" s="38">
        <f>Tabla44[[#This Row],[VALOR CONTRAPARTIDA]]+Tabla44[[#This Row],[TOTAL APORTES ICBF]]</f>
        <v>39243474</v>
      </c>
      <c r="AI31" s="35" t="str">
        <f>+IF(Tabla44[[#This Row],[AGRUPACIONES]]=1,SUMIFS(Tabla44[TOTAL APORTES ICBF],Tabla44[ZONA DEFINITIVO],Tabla44[[#This Row],[ZONA DEFINITIVO]])," ")</f>
        <v xml:space="preserve"> </v>
      </c>
      <c r="AJ31" s="38"/>
      <c r="AK31" s="38"/>
      <c r="AL31" s="35"/>
      <c r="AM31" s="35">
        <f>VLOOKUP(Tabla44[[#This Row],[SERVICIO 2025]],$J$2:$V$15,5,0)*Tabla44[[#This Row],[TOTAL COBERTURA]]</f>
        <v>888768</v>
      </c>
      <c r="AN31" s="35">
        <f>VLOOKUP(Tabla44[[#This Row],[SERVICIO 2025]],$J$2:$V$15,6,0)*Tabla44[[#This Row],[TOTAL COBERTURA]]</f>
        <v>738522</v>
      </c>
      <c r="AO31" s="35">
        <f>VLOOKUP(Tabla44[[#This Row],[SERVICIO 2025]],$J$2:$V$15,8,0)*Tabla44[[#This Row],[TOTAL COBERTURA]]</f>
        <v>523800</v>
      </c>
      <c r="AP31" s="35">
        <f>VLOOKUP(Tabla44[[#This Row],[SERVICIO 2025]],$J$2:$V$15,3,0)*Tabla44[[#This Row],[TOTAL COBERTURA]]*8</f>
        <v>37092384</v>
      </c>
      <c r="AQ31" s="35"/>
      <c r="AR31" s="35">
        <f>SUM(Tabla44[[#This Row],[VALOR FASE PREPARATORIA DE ALISTAMIENTO]:[VALOR RACION PREPARADA]])</f>
        <v>39243474</v>
      </c>
      <c r="AS31" s="35" t="str">
        <f>+IF(Tabla44[[#This Row],[AGRUPACIONES]]=1,SUMIFS(Tabla44[VALOR TOTAL],Tabla44[ZONA DEFINITIVO],Tabla44[[#This Row],[ZONA DEFINITIVO]])," ")</f>
        <v xml:space="preserve"> </v>
      </c>
      <c r="AT31" s="35">
        <f>VLOOKUP(Tabla44[[#This Row],[SERVICIO 2025]],$J$2:$V$15,10,0)*Tabla44[[#This Row],[TOTAL COBERTURA]]*$X$7</f>
        <v>25975152</v>
      </c>
      <c r="AU31" s="39">
        <f>Tabla44[[#This Row],[TOTAL CONTRATO (ICBF+EAS)]]+Tabla44[[#This Row],[VALOR COMPONENTE ALIMENTACION NO ASIGNADO]]</f>
        <v>65218626</v>
      </c>
      <c r="AV3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31" s="35">
        <f>(VLOOKUP(Tabla44[[#This Row],[SERVICIO 2025]],$J$2:$V$15,3,0)*Tabla44[[#This Row],[TOTAL COBERTURA]])+VLOOKUP(Tabla44[[#This Row],[SERVICIO 2025]],$J$2:$V$15,10,0)*Tabla44[[#This Row],[TOTAL COBERTURA]]</f>
        <v>7883442</v>
      </c>
      <c r="AX31" s="35">
        <f>(VLOOKUP(Tabla44[[#This Row],[SERVICIO 2025]],$J$2:$V$15,3,0)*Tabla44[[#This Row],[TOTAL COBERTURA]])+VLOOKUP(Tabla44[[#This Row],[SERVICIO 2025]],$J$2:$V$15,10,0)*Tabla44[[#This Row],[TOTAL COBERTURA]]</f>
        <v>7883442</v>
      </c>
      <c r="AY31" s="35">
        <f>(VLOOKUP(Tabla44[[#This Row],[SERVICIO 2025]],$J$2:$V$15,3,0)*Tabla44[[#This Row],[TOTAL COBERTURA]])+VLOOKUP(Tabla44[[#This Row],[SERVICIO 2025]],$J$2:$V$15,10,0)*Tabla44[[#This Row],[TOTAL COBERTURA]]</f>
        <v>7883442</v>
      </c>
      <c r="AZ31" s="35">
        <f>(VLOOKUP(Tabla44[[#This Row],[SERVICIO 2025]],$J$2:$V$15,3,0)*Tabla44[[#This Row],[TOTAL COBERTURA]])+VLOOKUP(Tabla44[[#This Row],[SERVICIO 2025]],$J$2:$V$15,10,0)*Tabla44[[#This Row],[TOTAL COBERTURA]]</f>
        <v>7883442</v>
      </c>
      <c r="BA31" s="35">
        <f>(VLOOKUP(Tabla44[[#This Row],[SERVICIO 2025]],$J$2:$V$15,3,0)*Tabla44[[#This Row],[TOTAL COBERTURA]])+VLOOKUP(Tabla44[[#This Row],[SERVICIO 2025]],$J$2:$V$15,10,0)*Tabla44[[#This Row],[TOTAL COBERTURA]]</f>
        <v>7883442</v>
      </c>
      <c r="BB31" s="35">
        <f>(VLOOKUP(Tabla44[[#This Row],[SERVICIO 2025]],$J$2:$V$15,3,0)*Tabla44[[#This Row],[TOTAL COBERTURA]])+VLOOKUP(Tabla44[[#This Row],[SERVICIO 2025]],$J$2:$V$15,10,0)*Tabla44[[#This Row],[TOTAL COBERTURA]]</f>
        <v>7883442</v>
      </c>
      <c r="BC3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31" s="35">
        <f>SUM(Tabla44[[#This Row],[DESEMBOLSO 1]:[DESEMBOLSO 8]])</f>
        <v>65218626</v>
      </c>
      <c r="BE31" s="12" t="b">
        <f>EXACT(Tabla44[[#This Row],[VALOR ATENCIÓN (8 MESES)]],Tabla44[[#This Row],[VALOR TOTAL]])</f>
        <v>1</v>
      </c>
      <c r="BF31" s="23">
        <f>Tabla44[[#This Row],[VALOR ATENCIÓN (8 MESES)]]-Tabla44[[#This Row],[VALOR TOTAL]]</f>
        <v>0</v>
      </c>
      <c r="BG31" s="12" t="b">
        <f>EXACT(Tabla44[[#This Row],[TOTAL DESEMBOLSOS]],Tabla44[[#This Row],[VALOR TOTAL DEL CONTRATO INCLUIDO EL COMPONENTE DE ALIMENTACIÓN]])</f>
        <v>1</v>
      </c>
      <c r="BH31" s="29">
        <f>Tabla44[[#This Row],[TOTAL DESEMBOLSOS]]-Tabla44[[#This Row],[VALOR TOTAL DEL CONTRATO INCLUIDO EL COMPONENTE DE ALIMENTACIÓN]]</f>
        <v>0</v>
      </c>
      <c r="BI31" t="s">
        <v>98</v>
      </c>
    </row>
    <row r="32" spans="1:62">
      <c r="A32" s="13">
        <v>1922</v>
      </c>
      <c r="B32" s="13"/>
      <c r="C32" s="12" t="s">
        <v>87</v>
      </c>
      <c r="D32" s="12" t="s">
        <v>205</v>
      </c>
      <c r="E32" s="12" t="s">
        <v>2872</v>
      </c>
      <c r="F32" s="12" t="s">
        <v>18</v>
      </c>
      <c r="G32" s="12" t="s">
        <v>90</v>
      </c>
      <c r="H32" s="12" t="s">
        <v>2878</v>
      </c>
      <c r="I32" s="36">
        <v>50911134939</v>
      </c>
      <c r="J32" s="12" t="s">
        <v>2879</v>
      </c>
      <c r="K32" s="12">
        <v>1</v>
      </c>
      <c r="L32" s="12">
        <v>18</v>
      </c>
      <c r="M32" s="12"/>
      <c r="N32" s="13">
        <v>1922</v>
      </c>
      <c r="O32" s="12" t="s">
        <v>2850</v>
      </c>
      <c r="P32" s="12"/>
      <c r="Q32" s="12"/>
      <c r="R32" s="12" t="s">
        <v>94</v>
      </c>
      <c r="S32" s="12">
        <v>10</v>
      </c>
      <c r="T32" s="12">
        <v>890901524</v>
      </c>
      <c r="U32" s="12" t="s">
        <v>2875</v>
      </c>
      <c r="V32" s="12">
        <f>VLOOKUP(Tabla44[[#This Row],[ZONA DEFINITIVO]],[1]Hoja1!$A$1:$D$125,3,0)</f>
        <v>229934</v>
      </c>
      <c r="W32" s="12">
        <f>VLOOKUP(Tabla44[[#This Row],[ZONA DEFINITIVO]],[1]Hoja1!$A$1:$D$125,2,0)</f>
        <v>17254</v>
      </c>
      <c r="X32" s="12">
        <f>VLOOKUP(Tabla44[[#This Row],[ZONA DEFINITIVO]],[1]Hoja1!$A$1:$D$125,4,0)</f>
        <v>103725</v>
      </c>
      <c r="Y32" s="12" t="str">
        <f>+IF(Tabla44[[#This Row],[AGRUPACIONES]]=1,SUMIFS(Tabla44[UDS],Tabla44[ZONA DEFINITIVO],Tabla44[[#This Row],[ZONA DEFINITIVO]])," ")</f>
        <v xml:space="preserve"> </v>
      </c>
      <c r="Z32" s="12" t="str">
        <f>+IF(Tabla44[[#This Row],[AGRUPACIONES]]=1,SUMIFS(Tabla44[TOTAL COBERTURA],Tabla44[ZONA DEFINITIVO],Tabla44[[#This Row],[ZONA DEFINITIVO]])," ")</f>
        <v xml:space="preserve"> </v>
      </c>
      <c r="AA32" s="12"/>
      <c r="AB32" s="35">
        <v>39243474</v>
      </c>
      <c r="AC32" s="37">
        <v>0</v>
      </c>
      <c r="AD32" s="35">
        <f t="shared" si="1"/>
        <v>0</v>
      </c>
      <c r="AE32" s="12"/>
      <c r="AF32" s="12">
        <f>COUNTIF($A$20:A32,A32)</f>
        <v>3</v>
      </c>
      <c r="AG32" s="38">
        <v>39243474</v>
      </c>
      <c r="AH32" s="38">
        <f>Tabla44[[#This Row],[VALOR CONTRAPARTIDA]]+Tabla44[[#This Row],[TOTAL APORTES ICBF]]</f>
        <v>39243474</v>
      </c>
      <c r="AI32" s="35" t="str">
        <f>+IF(Tabla44[[#This Row],[AGRUPACIONES]]=1,SUMIFS(Tabla44[TOTAL APORTES ICBF],Tabla44[ZONA DEFINITIVO],Tabla44[[#This Row],[ZONA DEFINITIVO]])," ")</f>
        <v xml:space="preserve"> </v>
      </c>
      <c r="AJ32" s="38"/>
      <c r="AK32" s="38"/>
      <c r="AL32" s="35"/>
      <c r="AM32" s="35">
        <f>VLOOKUP(Tabla44[[#This Row],[SERVICIO 2025]],$J$2:$V$15,5,0)*Tabla44[[#This Row],[TOTAL COBERTURA]]</f>
        <v>888768</v>
      </c>
      <c r="AN32" s="35">
        <f>VLOOKUP(Tabla44[[#This Row],[SERVICIO 2025]],$J$2:$V$15,6,0)*Tabla44[[#This Row],[TOTAL COBERTURA]]</f>
        <v>738522</v>
      </c>
      <c r="AO32" s="35">
        <f>VLOOKUP(Tabla44[[#This Row],[SERVICIO 2025]],$J$2:$V$15,8,0)*Tabla44[[#This Row],[TOTAL COBERTURA]]</f>
        <v>523800</v>
      </c>
      <c r="AP32" s="35">
        <f>VLOOKUP(Tabla44[[#This Row],[SERVICIO 2025]],$J$2:$V$15,3,0)*Tabla44[[#This Row],[TOTAL COBERTURA]]*8</f>
        <v>37092384</v>
      </c>
      <c r="AQ32" s="35"/>
      <c r="AR32" s="35">
        <f>SUM(Tabla44[[#This Row],[VALOR FASE PREPARATORIA DE ALISTAMIENTO]:[VALOR RACION PREPARADA]])</f>
        <v>39243474</v>
      </c>
      <c r="AS32" s="35" t="str">
        <f>+IF(Tabla44[[#This Row],[AGRUPACIONES]]=1,SUMIFS(Tabla44[VALOR TOTAL],Tabla44[ZONA DEFINITIVO],Tabla44[[#This Row],[ZONA DEFINITIVO]])," ")</f>
        <v xml:space="preserve"> </v>
      </c>
      <c r="AT32" s="35">
        <f>VLOOKUP(Tabla44[[#This Row],[SERVICIO 2025]],$J$2:$V$15,10,0)*Tabla44[[#This Row],[TOTAL COBERTURA]]*$X$7</f>
        <v>25975152</v>
      </c>
      <c r="AU32" s="39">
        <f>Tabla44[[#This Row],[TOTAL CONTRATO (ICBF+EAS)]]+Tabla44[[#This Row],[VALOR COMPONENTE ALIMENTACION NO ASIGNADO]]</f>
        <v>65218626</v>
      </c>
      <c r="AV3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32" s="35">
        <f>(VLOOKUP(Tabla44[[#This Row],[SERVICIO 2025]],$J$2:$V$15,3,0)*Tabla44[[#This Row],[TOTAL COBERTURA]])+VLOOKUP(Tabla44[[#This Row],[SERVICIO 2025]],$J$2:$V$15,10,0)*Tabla44[[#This Row],[TOTAL COBERTURA]]</f>
        <v>7883442</v>
      </c>
      <c r="AX32" s="35">
        <f>(VLOOKUP(Tabla44[[#This Row],[SERVICIO 2025]],$J$2:$V$15,3,0)*Tabla44[[#This Row],[TOTAL COBERTURA]])+VLOOKUP(Tabla44[[#This Row],[SERVICIO 2025]],$J$2:$V$15,10,0)*Tabla44[[#This Row],[TOTAL COBERTURA]]</f>
        <v>7883442</v>
      </c>
      <c r="AY32" s="35">
        <f>(VLOOKUP(Tabla44[[#This Row],[SERVICIO 2025]],$J$2:$V$15,3,0)*Tabla44[[#This Row],[TOTAL COBERTURA]])+VLOOKUP(Tabla44[[#This Row],[SERVICIO 2025]],$J$2:$V$15,10,0)*Tabla44[[#This Row],[TOTAL COBERTURA]]</f>
        <v>7883442</v>
      </c>
      <c r="AZ32" s="35">
        <f>(VLOOKUP(Tabla44[[#This Row],[SERVICIO 2025]],$J$2:$V$15,3,0)*Tabla44[[#This Row],[TOTAL COBERTURA]])+VLOOKUP(Tabla44[[#This Row],[SERVICIO 2025]],$J$2:$V$15,10,0)*Tabla44[[#This Row],[TOTAL COBERTURA]]</f>
        <v>7883442</v>
      </c>
      <c r="BA32" s="35">
        <f>(VLOOKUP(Tabla44[[#This Row],[SERVICIO 2025]],$J$2:$V$15,3,0)*Tabla44[[#This Row],[TOTAL COBERTURA]])+VLOOKUP(Tabla44[[#This Row],[SERVICIO 2025]],$J$2:$V$15,10,0)*Tabla44[[#This Row],[TOTAL COBERTURA]]</f>
        <v>7883442</v>
      </c>
      <c r="BB32" s="35">
        <f>(VLOOKUP(Tabla44[[#This Row],[SERVICIO 2025]],$J$2:$V$15,3,0)*Tabla44[[#This Row],[TOTAL COBERTURA]])+VLOOKUP(Tabla44[[#This Row],[SERVICIO 2025]],$J$2:$V$15,10,0)*Tabla44[[#This Row],[TOTAL COBERTURA]]</f>
        <v>7883442</v>
      </c>
      <c r="BC3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32" s="35">
        <f>SUM(Tabla44[[#This Row],[DESEMBOLSO 1]:[DESEMBOLSO 8]])</f>
        <v>65218626</v>
      </c>
      <c r="BE32" s="12" t="b">
        <f>EXACT(Tabla44[[#This Row],[VALOR ATENCIÓN (8 MESES)]],Tabla44[[#This Row],[VALOR TOTAL]])</f>
        <v>1</v>
      </c>
      <c r="BF32" s="23">
        <f>Tabla44[[#This Row],[VALOR ATENCIÓN (8 MESES)]]-Tabla44[[#This Row],[VALOR TOTAL]]</f>
        <v>0</v>
      </c>
      <c r="BG32" s="12" t="b">
        <f>EXACT(Tabla44[[#This Row],[TOTAL DESEMBOLSOS]],Tabla44[[#This Row],[VALOR TOTAL DEL CONTRATO INCLUIDO EL COMPONENTE DE ALIMENTACIÓN]])</f>
        <v>1</v>
      </c>
      <c r="BH32" s="29">
        <f>Tabla44[[#This Row],[TOTAL DESEMBOLSOS]]-Tabla44[[#This Row],[VALOR TOTAL DEL CONTRATO INCLUIDO EL COMPONENTE DE ALIMENTACIÓN]]</f>
        <v>0</v>
      </c>
      <c r="BI32" t="s">
        <v>98</v>
      </c>
    </row>
    <row r="33" spans="1:61">
      <c r="A33" s="13">
        <v>1922</v>
      </c>
      <c r="B33" s="13"/>
      <c r="C33" s="12" t="s">
        <v>87</v>
      </c>
      <c r="D33" s="12" t="s">
        <v>205</v>
      </c>
      <c r="E33" s="12" t="s">
        <v>2872</v>
      </c>
      <c r="F33" s="12" t="s">
        <v>18</v>
      </c>
      <c r="G33" s="12" t="s">
        <v>90</v>
      </c>
      <c r="H33" s="12" t="s">
        <v>2880</v>
      </c>
      <c r="I33" s="36">
        <v>50911134943</v>
      </c>
      <c r="J33" s="12" t="s">
        <v>2881</v>
      </c>
      <c r="K33" s="12">
        <v>1</v>
      </c>
      <c r="L33" s="12">
        <v>15</v>
      </c>
      <c r="M33" s="12"/>
      <c r="N33" s="13">
        <v>1922</v>
      </c>
      <c r="O33" s="12" t="s">
        <v>2850</v>
      </c>
      <c r="P33" s="12"/>
      <c r="Q33" s="12"/>
      <c r="R33" s="12" t="s">
        <v>94</v>
      </c>
      <c r="S33" s="12">
        <v>10</v>
      </c>
      <c r="T33" s="12">
        <v>890901524</v>
      </c>
      <c r="U33" s="12" t="s">
        <v>2875</v>
      </c>
      <c r="V33" s="12">
        <f>VLOOKUP(Tabla44[[#This Row],[ZONA DEFINITIVO]],[1]Hoja1!$A$1:$D$125,3,0)</f>
        <v>229934</v>
      </c>
      <c r="W33" s="12">
        <f>VLOOKUP(Tabla44[[#This Row],[ZONA DEFINITIVO]],[1]Hoja1!$A$1:$D$125,2,0)</f>
        <v>17254</v>
      </c>
      <c r="X33" s="12">
        <f>VLOOKUP(Tabla44[[#This Row],[ZONA DEFINITIVO]],[1]Hoja1!$A$1:$D$125,4,0)</f>
        <v>103725</v>
      </c>
      <c r="Y33" s="12" t="str">
        <f>+IF(Tabla44[[#This Row],[AGRUPACIONES]]=1,SUMIFS(Tabla44[UDS],Tabla44[ZONA DEFINITIVO],Tabla44[[#This Row],[ZONA DEFINITIVO]])," ")</f>
        <v xml:space="preserve"> </v>
      </c>
      <c r="Z33" s="12" t="str">
        <f>+IF(Tabla44[[#This Row],[AGRUPACIONES]]=1,SUMIFS(Tabla44[TOTAL COBERTURA],Tabla44[ZONA DEFINITIVO],Tabla44[[#This Row],[ZONA DEFINITIVO]])," ")</f>
        <v xml:space="preserve"> </v>
      </c>
      <c r="AA33" s="12"/>
      <c r="AB33" s="35">
        <v>32702895</v>
      </c>
      <c r="AC33" s="37">
        <v>0</v>
      </c>
      <c r="AD33" s="35">
        <f t="shared" si="1"/>
        <v>0</v>
      </c>
      <c r="AE33" s="12"/>
      <c r="AF33" s="12">
        <f>COUNTIF($A$20:A33,A33)</f>
        <v>4</v>
      </c>
      <c r="AG33" s="38">
        <v>32702895</v>
      </c>
      <c r="AH33" s="38">
        <f>Tabla44[[#This Row],[VALOR CONTRAPARTIDA]]+Tabla44[[#This Row],[TOTAL APORTES ICBF]]</f>
        <v>32702895</v>
      </c>
      <c r="AI33" s="35" t="str">
        <f>+IF(Tabla44[[#This Row],[AGRUPACIONES]]=1,SUMIFS(Tabla44[TOTAL APORTES ICBF],Tabla44[ZONA DEFINITIVO],Tabla44[[#This Row],[ZONA DEFINITIVO]])," ")</f>
        <v xml:space="preserve"> </v>
      </c>
      <c r="AJ33" s="38"/>
      <c r="AK33" s="38"/>
      <c r="AL33" s="35"/>
      <c r="AM33" s="35">
        <f>VLOOKUP(Tabla44[[#This Row],[SERVICIO 2025]],$J$2:$V$15,5,0)*Tabla44[[#This Row],[TOTAL COBERTURA]]</f>
        <v>740640</v>
      </c>
      <c r="AN33" s="35">
        <f>VLOOKUP(Tabla44[[#This Row],[SERVICIO 2025]],$J$2:$V$15,6,0)*Tabla44[[#This Row],[TOTAL COBERTURA]]</f>
        <v>615435</v>
      </c>
      <c r="AO33" s="35">
        <f>VLOOKUP(Tabla44[[#This Row],[SERVICIO 2025]],$J$2:$V$15,8,0)*Tabla44[[#This Row],[TOTAL COBERTURA]]</f>
        <v>436500</v>
      </c>
      <c r="AP33" s="35">
        <f>VLOOKUP(Tabla44[[#This Row],[SERVICIO 2025]],$J$2:$V$15,3,0)*Tabla44[[#This Row],[TOTAL COBERTURA]]*8</f>
        <v>30910320</v>
      </c>
      <c r="AQ33" s="35"/>
      <c r="AR33" s="35">
        <f>SUM(Tabla44[[#This Row],[VALOR FASE PREPARATORIA DE ALISTAMIENTO]:[VALOR RACION PREPARADA]])</f>
        <v>32702895</v>
      </c>
      <c r="AS33" s="35" t="str">
        <f>+IF(Tabla44[[#This Row],[AGRUPACIONES]]=1,SUMIFS(Tabla44[VALOR TOTAL],Tabla44[ZONA DEFINITIVO],Tabla44[[#This Row],[ZONA DEFINITIVO]])," ")</f>
        <v xml:space="preserve"> </v>
      </c>
      <c r="AT33" s="35">
        <f>VLOOKUP(Tabla44[[#This Row],[SERVICIO 2025]],$J$2:$V$15,10,0)*Tabla44[[#This Row],[TOTAL COBERTURA]]*$X$7</f>
        <v>21645960</v>
      </c>
      <c r="AU33" s="39">
        <f>Tabla44[[#This Row],[TOTAL CONTRATO (ICBF+EAS)]]+Tabla44[[#This Row],[VALOR COMPONENTE ALIMENTACION NO ASIGNADO]]</f>
        <v>54348855</v>
      </c>
      <c r="AV3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33" s="35">
        <f>(VLOOKUP(Tabla44[[#This Row],[SERVICIO 2025]],$J$2:$V$15,3,0)*Tabla44[[#This Row],[TOTAL COBERTURA]])+VLOOKUP(Tabla44[[#This Row],[SERVICIO 2025]],$J$2:$V$15,10,0)*Tabla44[[#This Row],[TOTAL COBERTURA]]</f>
        <v>6569535</v>
      </c>
      <c r="AX33" s="35">
        <f>(VLOOKUP(Tabla44[[#This Row],[SERVICIO 2025]],$J$2:$V$15,3,0)*Tabla44[[#This Row],[TOTAL COBERTURA]])+VLOOKUP(Tabla44[[#This Row],[SERVICIO 2025]],$J$2:$V$15,10,0)*Tabla44[[#This Row],[TOTAL COBERTURA]]</f>
        <v>6569535</v>
      </c>
      <c r="AY33" s="35">
        <f>(VLOOKUP(Tabla44[[#This Row],[SERVICIO 2025]],$J$2:$V$15,3,0)*Tabla44[[#This Row],[TOTAL COBERTURA]])+VLOOKUP(Tabla44[[#This Row],[SERVICIO 2025]],$J$2:$V$15,10,0)*Tabla44[[#This Row],[TOTAL COBERTURA]]</f>
        <v>6569535</v>
      </c>
      <c r="AZ33" s="35">
        <f>(VLOOKUP(Tabla44[[#This Row],[SERVICIO 2025]],$J$2:$V$15,3,0)*Tabla44[[#This Row],[TOTAL COBERTURA]])+VLOOKUP(Tabla44[[#This Row],[SERVICIO 2025]],$J$2:$V$15,10,0)*Tabla44[[#This Row],[TOTAL COBERTURA]]</f>
        <v>6569535</v>
      </c>
      <c r="BA33" s="35">
        <f>(VLOOKUP(Tabla44[[#This Row],[SERVICIO 2025]],$J$2:$V$15,3,0)*Tabla44[[#This Row],[TOTAL COBERTURA]])+VLOOKUP(Tabla44[[#This Row],[SERVICIO 2025]],$J$2:$V$15,10,0)*Tabla44[[#This Row],[TOTAL COBERTURA]]</f>
        <v>6569535</v>
      </c>
      <c r="BB33" s="35">
        <f>(VLOOKUP(Tabla44[[#This Row],[SERVICIO 2025]],$J$2:$V$15,3,0)*Tabla44[[#This Row],[TOTAL COBERTURA]])+VLOOKUP(Tabla44[[#This Row],[SERVICIO 2025]],$J$2:$V$15,10,0)*Tabla44[[#This Row],[TOTAL COBERTURA]]</f>
        <v>6569535</v>
      </c>
      <c r="BC3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33" s="35">
        <f>SUM(Tabla44[[#This Row],[DESEMBOLSO 1]:[DESEMBOLSO 8]])</f>
        <v>54348855</v>
      </c>
      <c r="BE33" s="12" t="b">
        <f>EXACT(Tabla44[[#This Row],[VALOR ATENCIÓN (8 MESES)]],Tabla44[[#This Row],[VALOR TOTAL]])</f>
        <v>1</v>
      </c>
      <c r="BF33" s="23">
        <f>Tabla44[[#This Row],[VALOR ATENCIÓN (8 MESES)]]-Tabla44[[#This Row],[VALOR TOTAL]]</f>
        <v>0</v>
      </c>
      <c r="BG33" s="12" t="b">
        <f>EXACT(Tabla44[[#This Row],[TOTAL DESEMBOLSOS]],Tabla44[[#This Row],[VALOR TOTAL DEL CONTRATO INCLUIDO EL COMPONENTE DE ALIMENTACIÓN]])</f>
        <v>1</v>
      </c>
      <c r="BH33" s="29">
        <f>Tabla44[[#This Row],[TOTAL DESEMBOLSOS]]-Tabla44[[#This Row],[VALOR TOTAL DEL CONTRATO INCLUIDO EL COMPONENTE DE ALIMENTACIÓN]]</f>
        <v>0</v>
      </c>
      <c r="BI33" t="s">
        <v>98</v>
      </c>
    </row>
    <row r="34" spans="1:61">
      <c r="A34" s="13">
        <v>1922</v>
      </c>
      <c r="B34" s="13"/>
      <c r="C34" s="12" t="s">
        <v>87</v>
      </c>
      <c r="D34" s="12" t="s">
        <v>205</v>
      </c>
      <c r="E34" s="12" t="s">
        <v>2872</v>
      </c>
      <c r="F34" s="12" t="s">
        <v>18</v>
      </c>
      <c r="G34" s="12" t="s">
        <v>90</v>
      </c>
      <c r="H34" s="12" t="s">
        <v>2882</v>
      </c>
      <c r="I34" s="36">
        <v>50911134948</v>
      </c>
      <c r="J34" s="12" t="s">
        <v>2883</v>
      </c>
      <c r="K34" s="12">
        <v>1</v>
      </c>
      <c r="L34" s="12">
        <v>13</v>
      </c>
      <c r="M34" s="12"/>
      <c r="N34" s="13">
        <v>1922</v>
      </c>
      <c r="O34" s="12" t="s">
        <v>2850</v>
      </c>
      <c r="P34" s="12"/>
      <c r="Q34" s="12"/>
      <c r="R34" s="12" t="s">
        <v>94</v>
      </c>
      <c r="S34" s="12">
        <v>10</v>
      </c>
      <c r="T34" s="12">
        <v>890901524</v>
      </c>
      <c r="U34" s="12" t="s">
        <v>2875</v>
      </c>
      <c r="V34" s="12">
        <f>VLOOKUP(Tabla44[[#This Row],[ZONA DEFINITIVO]],[1]Hoja1!$A$1:$D$125,3,0)</f>
        <v>229934</v>
      </c>
      <c r="W34" s="12">
        <f>VLOOKUP(Tabla44[[#This Row],[ZONA DEFINITIVO]],[1]Hoja1!$A$1:$D$125,2,0)</f>
        <v>17254</v>
      </c>
      <c r="X34" s="12">
        <f>VLOOKUP(Tabla44[[#This Row],[ZONA DEFINITIVO]],[1]Hoja1!$A$1:$D$125,4,0)</f>
        <v>103725</v>
      </c>
      <c r="Y34" s="12" t="str">
        <f>+IF(Tabla44[[#This Row],[AGRUPACIONES]]=1,SUMIFS(Tabla44[UDS],Tabla44[ZONA DEFINITIVO],Tabla44[[#This Row],[ZONA DEFINITIVO]])," ")</f>
        <v xml:space="preserve"> </v>
      </c>
      <c r="Z34" s="12" t="str">
        <f>+IF(Tabla44[[#This Row],[AGRUPACIONES]]=1,SUMIFS(Tabla44[TOTAL COBERTURA],Tabla44[ZONA DEFINITIVO],Tabla44[[#This Row],[ZONA DEFINITIVO]])," ")</f>
        <v xml:space="preserve"> </v>
      </c>
      <c r="AA34" s="12"/>
      <c r="AB34" s="35">
        <v>28342509</v>
      </c>
      <c r="AC34" s="37">
        <v>0</v>
      </c>
      <c r="AD34" s="35">
        <f t="shared" si="1"/>
        <v>0</v>
      </c>
      <c r="AE34" s="12"/>
      <c r="AF34" s="12">
        <f>COUNTIF($A$20:A34,A34)</f>
        <v>5</v>
      </c>
      <c r="AG34" s="38">
        <v>28342509</v>
      </c>
      <c r="AH34" s="38">
        <f>Tabla44[[#This Row],[VALOR CONTRAPARTIDA]]+Tabla44[[#This Row],[TOTAL APORTES ICBF]]</f>
        <v>28342509</v>
      </c>
      <c r="AI34" s="35" t="str">
        <f>+IF(Tabla44[[#This Row],[AGRUPACIONES]]=1,SUMIFS(Tabla44[TOTAL APORTES ICBF],Tabla44[ZONA DEFINITIVO],Tabla44[[#This Row],[ZONA DEFINITIVO]])," ")</f>
        <v xml:space="preserve"> </v>
      </c>
      <c r="AJ34" s="38"/>
      <c r="AK34" s="38"/>
      <c r="AL34" s="35"/>
      <c r="AM34" s="35">
        <f>VLOOKUP(Tabla44[[#This Row],[SERVICIO 2025]],$J$2:$V$15,5,0)*Tabla44[[#This Row],[TOTAL COBERTURA]]</f>
        <v>641888</v>
      </c>
      <c r="AN34" s="35">
        <f>VLOOKUP(Tabla44[[#This Row],[SERVICIO 2025]],$J$2:$V$15,6,0)*Tabla44[[#This Row],[TOTAL COBERTURA]]</f>
        <v>533377</v>
      </c>
      <c r="AO34" s="35">
        <f>VLOOKUP(Tabla44[[#This Row],[SERVICIO 2025]],$J$2:$V$15,8,0)*Tabla44[[#This Row],[TOTAL COBERTURA]]</f>
        <v>378300</v>
      </c>
      <c r="AP34" s="35">
        <f>VLOOKUP(Tabla44[[#This Row],[SERVICIO 2025]],$J$2:$V$15,3,0)*Tabla44[[#This Row],[TOTAL COBERTURA]]*8</f>
        <v>26788944</v>
      </c>
      <c r="AQ34" s="35"/>
      <c r="AR34" s="35">
        <f>SUM(Tabla44[[#This Row],[VALOR FASE PREPARATORIA DE ALISTAMIENTO]:[VALOR RACION PREPARADA]])</f>
        <v>28342509</v>
      </c>
      <c r="AS34" s="35" t="str">
        <f>+IF(Tabla44[[#This Row],[AGRUPACIONES]]=1,SUMIFS(Tabla44[VALOR TOTAL],Tabla44[ZONA DEFINITIVO],Tabla44[[#This Row],[ZONA DEFINITIVO]])," ")</f>
        <v xml:space="preserve"> </v>
      </c>
      <c r="AT34" s="35">
        <f>VLOOKUP(Tabla44[[#This Row],[SERVICIO 2025]],$J$2:$V$15,10,0)*Tabla44[[#This Row],[TOTAL COBERTURA]]*$X$7</f>
        <v>18759832</v>
      </c>
      <c r="AU34" s="39">
        <f>Tabla44[[#This Row],[TOTAL CONTRATO (ICBF+EAS)]]+Tabla44[[#This Row],[VALOR COMPONENTE ALIMENTACION NO ASIGNADO]]</f>
        <v>47102341</v>
      </c>
      <c r="AV3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34" s="35">
        <f>(VLOOKUP(Tabla44[[#This Row],[SERVICIO 2025]],$J$2:$V$15,3,0)*Tabla44[[#This Row],[TOTAL COBERTURA]])+VLOOKUP(Tabla44[[#This Row],[SERVICIO 2025]],$J$2:$V$15,10,0)*Tabla44[[#This Row],[TOTAL COBERTURA]]</f>
        <v>5693597</v>
      </c>
      <c r="AX34" s="35">
        <f>(VLOOKUP(Tabla44[[#This Row],[SERVICIO 2025]],$J$2:$V$15,3,0)*Tabla44[[#This Row],[TOTAL COBERTURA]])+VLOOKUP(Tabla44[[#This Row],[SERVICIO 2025]],$J$2:$V$15,10,0)*Tabla44[[#This Row],[TOTAL COBERTURA]]</f>
        <v>5693597</v>
      </c>
      <c r="AY34" s="35">
        <f>(VLOOKUP(Tabla44[[#This Row],[SERVICIO 2025]],$J$2:$V$15,3,0)*Tabla44[[#This Row],[TOTAL COBERTURA]])+VLOOKUP(Tabla44[[#This Row],[SERVICIO 2025]],$J$2:$V$15,10,0)*Tabla44[[#This Row],[TOTAL COBERTURA]]</f>
        <v>5693597</v>
      </c>
      <c r="AZ34" s="35">
        <f>(VLOOKUP(Tabla44[[#This Row],[SERVICIO 2025]],$J$2:$V$15,3,0)*Tabla44[[#This Row],[TOTAL COBERTURA]])+VLOOKUP(Tabla44[[#This Row],[SERVICIO 2025]],$J$2:$V$15,10,0)*Tabla44[[#This Row],[TOTAL COBERTURA]]</f>
        <v>5693597</v>
      </c>
      <c r="BA34" s="35">
        <f>(VLOOKUP(Tabla44[[#This Row],[SERVICIO 2025]],$J$2:$V$15,3,0)*Tabla44[[#This Row],[TOTAL COBERTURA]])+VLOOKUP(Tabla44[[#This Row],[SERVICIO 2025]],$J$2:$V$15,10,0)*Tabla44[[#This Row],[TOTAL COBERTURA]]</f>
        <v>5693597</v>
      </c>
      <c r="BB34" s="35">
        <f>(VLOOKUP(Tabla44[[#This Row],[SERVICIO 2025]],$J$2:$V$15,3,0)*Tabla44[[#This Row],[TOTAL COBERTURA]])+VLOOKUP(Tabla44[[#This Row],[SERVICIO 2025]],$J$2:$V$15,10,0)*Tabla44[[#This Row],[TOTAL COBERTURA]]</f>
        <v>5693597</v>
      </c>
      <c r="BC3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34" s="35">
        <f>SUM(Tabla44[[#This Row],[DESEMBOLSO 1]:[DESEMBOLSO 8]])</f>
        <v>47102341</v>
      </c>
      <c r="BE34" s="12" t="b">
        <f>EXACT(Tabla44[[#This Row],[VALOR ATENCIÓN (8 MESES)]],Tabla44[[#This Row],[VALOR TOTAL]])</f>
        <v>1</v>
      </c>
      <c r="BF34" s="23">
        <f>Tabla44[[#This Row],[VALOR ATENCIÓN (8 MESES)]]-Tabla44[[#This Row],[VALOR TOTAL]]</f>
        <v>0</v>
      </c>
      <c r="BG34" s="12" t="b">
        <f>EXACT(Tabla44[[#This Row],[TOTAL DESEMBOLSOS]],Tabla44[[#This Row],[VALOR TOTAL DEL CONTRATO INCLUIDO EL COMPONENTE DE ALIMENTACIÓN]])</f>
        <v>1</v>
      </c>
      <c r="BH34" s="29">
        <f>Tabla44[[#This Row],[TOTAL DESEMBOLSOS]]-Tabla44[[#This Row],[VALOR TOTAL DEL CONTRATO INCLUIDO EL COMPONENTE DE ALIMENTACIÓN]]</f>
        <v>0</v>
      </c>
      <c r="BI34" t="s">
        <v>98</v>
      </c>
    </row>
    <row r="35" spans="1:61">
      <c r="A35" s="21">
        <v>1922</v>
      </c>
      <c r="B35" s="21"/>
      <c r="C35" s="22" t="s">
        <v>87</v>
      </c>
      <c r="D35" s="22" t="s">
        <v>205</v>
      </c>
      <c r="E35" s="22" t="s">
        <v>2872</v>
      </c>
      <c r="F35" s="22" t="s">
        <v>18</v>
      </c>
      <c r="G35" s="12" t="s">
        <v>90</v>
      </c>
      <c r="H35" s="22" t="s">
        <v>2884</v>
      </c>
      <c r="I35" s="36">
        <v>50911134993</v>
      </c>
      <c r="J35" s="22" t="s">
        <v>2885</v>
      </c>
      <c r="K35" s="12">
        <v>1</v>
      </c>
      <c r="L35" s="22">
        <v>15</v>
      </c>
      <c r="M35" s="22"/>
      <c r="N35" s="21">
        <v>1922</v>
      </c>
      <c r="O35" s="22" t="s">
        <v>2850</v>
      </c>
      <c r="P35" s="22"/>
      <c r="Q35" s="22"/>
      <c r="R35" s="12" t="s">
        <v>94</v>
      </c>
      <c r="S35" s="12">
        <v>10</v>
      </c>
      <c r="T35" s="12">
        <v>890901524</v>
      </c>
      <c r="U35" s="12" t="s">
        <v>2875</v>
      </c>
      <c r="V35" s="22">
        <f>VLOOKUP(Tabla44[[#This Row],[ZONA DEFINITIVO]],[1]Hoja1!$A$1:$D$125,3,0)</f>
        <v>229934</v>
      </c>
      <c r="W35" s="22">
        <f>VLOOKUP(Tabla44[[#This Row],[ZONA DEFINITIVO]],[1]Hoja1!$A$1:$D$125,2,0)</f>
        <v>17254</v>
      </c>
      <c r="X35" s="22">
        <f>VLOOKUP(Tabla44[[#This Row],[ZONA DEFINITIVO]],[1]Hoja1!$A$1:$D$125,4,0)</f>
        <v>103725</v>
      </c>
      <c r="Y35" s="22" t="str">
        <f>+IF(Tabla44[[#This Row],[AGRUPACIONES]]=1,SUMIFS(Tabla44[UDS],Tabla44[ZONA DEFINITIVO],Tabla44[[#This Row],[ZONA DEFINITIVO]])," ")</f>
        <v xml:space="preserve"> </v>
      </c>
      <c r="Z35" s="22" t="str">
        <f>+IF(Tabla44[[#This Row],[AGRUPACIONES]]=1,SUMIFS(Tabla44[TOTAL COBERTURA],Tabla44[ZONA DEFINITIVO],Tabla44[[#This Row],[ZONA DEFINITIVO]])," ")</f>
        <v xml:space="preserve"> </v>
      </c>
      <c r="AA35" s="22"/>
      <c r="AB35" s="40">
        <v>32702895</v>
      </c>
      <c r="AC35" s="37">
        <v>0</v>
      </c>
      <c r="AD35" s="40">
        <f t="shared" si="1"/>
        <v>0</v>
      </c>
      <c r="AE35" s="22"/>
      <c r="AF35" s="12">
        <f>COUNTIF($A$20:A35,A35)</f>
        <v>6</v>
      </c>
      <c r="AG35" s="41">
        <v>32702895</v>
      </c>
      <c r="AH35" s="41">
        <f>Tabla44[[#This Row],[VALOR CONTRAPARTIDA]]+Tabla44[[#This Row],[TOTAL APORTES ICBF]]</f>
        <v>32702895</v>
      </c>
      <c r="AI35" s="40" t="str">
        <f>+IF(Tabla44[[#This Row],[AGRUPACIONES]]=1,SUMIFS(Tabla44[TOTAL APORTES ICBF],Tabla44[ZONA DEFINITIVO],Tabla44[[#This Row],[ZONA DEFINITIVO]])," ")</f>
        <v xml:space="preserve"> </v>
      </c>
      <c r="AJ35" s="41"/>
      <c r="AK35" s="41"/>
      <c r="AL35" s="40"/>
      <c r="AM35" s="40">
        <f>VLOOKUP(Tabla44[[#This Row],[SERVICIO 2025]],$J$2:$V$15,5,0)*Tabla44[[#This Row],[TOTAL COBERTURA]]</f>
        <v>740640</v>
      </c>
      <c r="AN35" s="40">
        <f>VLOOKUP(Tabla44[[#This Row],[SERVICIO 2025]],$J$2:$V$15,6,0)*Tabla44[[#This Row],[TOTAL COBERTURA]]</f>
        <v>615435</v>
      </c>
      <c r="AO35" s="40">
        <f>VLOOKUP(Tabla44[[#This Row],[SERVICIO 2025]],$J$2:$V$15,8,0)*Tabla44[[#This Row],[TOTAL COBERTURA]]</f>
        <v>436500</v>
      </c>
      <c r="AP35" s="40">
        <f>VLOOKUP(Tabla44[[#This Row],[SERVICIO 2025]],$J$2:$V$15,3,0)*Tabla44[[#This Row],[TOTAL COBERTURA]]*8</f>
        <v>30910320</v>
      </c>
      <c r="AQ35" s="40"/>
      <c r="AR35" s="40">
        <f>SUM(Tabla44[[#This Row],[VALOR FASE PREPARATORIA DE ALISTAMIENTO]:[VALOR RACION PREPARADA]])</f>
        <v>32702895</v>
      </c>
      <c r="AS35" s="40" t="str">
        <f>+IF(Tabla44[[#This Row],[AGRUPACIONES]]=1,SUMIFS(Tabla44[VALOR TOTAL],Tabla44[ZONA DEFINITIVO],Tabla44[[#This Row],[ZONA DEFINITIVO]])," ")</f>
        <v xml:space="preserve"> </v>
      </c>
      <c r="AT35" s="35">
        <f>VLOOKUP(Tabla44[[#This Row],[SERVICIO 2025]],$J$2:$V$15,10,0)*Tabla44[[#This Row],[TOTAL COBERTURA]]*$X$7</f>
        <v>21645960</v>
      </c>
      <c r="AU35" s="42">
        <f>Tabla44[[#This Row],[TOTAL CONTRATO (ICBF+EAS)]]+Tabla44[[#This Row],[VALOR COMPONENTE ALIMENTACION NO ASIGNADO]]</f>
        <v>54348855</v>
      </c>
      <c r="AV3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35" s="35">
        <f>(VLOOKUP(Tabla44[[#This Row],[SERVICIO 2025]],$J$2:$V$15,3,0)*Tabla44[[#This Row],[TOTAL COBERTURA]])+VLOOKUP(Tabla44[[#This Row],[SERVICIO 2025]],$J$2:$V$15,10,0)*Tabla44[[#This Row],[TOTAL COBERTURA]]</f>
        <v>6569535</v>
      </c>
      <c r="AX35" s="40">
        <f>(VLOOKUP(Tabla44[[#This Row],[SERVICIO 2025]],$J$2:$V$15,3,0)*Tabla44[[#This Row],[TOTAL COBERTURA]])+VLOOKUP(Tabla44[[#This Row],[SERVICIO 2025]],$J$2:$V$15,10,0)*Tabla44[[#This Row],[TOTAL COBERTURA]]</f>
        <v>6569535</v>
      </c>
      <c r="AY35" s="40">
        <f>(VLOOKUP(Tabla44[[#This Row],[SERVICIO 2025]],$J$2:$V$15,3,0)*Tabla44[[#This Row],[TOTAL COBERTURA]])+VLOOKUP(Tabla44[[#This Row],[SERVICIO 2025]],$J$2:$V$15,10,0)*Tabla44[[#This Row],[TOTAL COBERTURA]]</f>
        <v>6569535</v>
      </c>
      <c r="AZ35" s="40">
        <f>(VLOOKUP(Tabla44[[#This Row],[SERVICIO 2025]],$J$2:$V$15,3,0)*Tabla44[[#This Row],[TOTAL COBERTURA]])+VLOOKUP(Tabla44[[#This Row],[SERVICIO 2025]],$J$2:$V$15,10,0)*Tabla44[[#This Row],[TOTAL COBERTURA]]</f>
        <v>6569535</v>
      </c>
      <c r="BA35" s="40">
        <f>(VLOOKUP(Tabla44[[#This Row],[SERVICIO 2025]],$J$2:$V$15,3,0)*Tabla44[[#This Row],[TOTAL COBERTURA]])+VLOOKUP(Tabla44[[#This Row],[SERVICIO 2025]],$J$2:$V$15,10,0)*Tabla44[[#This Row],[TOTAL COBERTURA]]</f>
        <v>6569535</v>
      </c>
      <c r="BB35" s="40">
        <f>(VLOOKUP(Tabla44[[#This Row],[SERVICIO 2025]],$J$2:$V$15,3,0)*Tabla44[[#This Row],[TOTAL COBERTURA]])+VLOOKUP(Tabla44[[#This Row],[SERVICIO 2025]],$J$2:$V$15,10,0)*Tabla44[[#This Row],[TOTAL COBERTURA]]</f>
        <v>6569535</v>
      </c>
      <c r="BC35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35" s="40">
        <f>SUM(Tabla44[[#This Row],[DESEMBOLSO 1]:[DESEMBOLSO 8]])</f>
        <v>54348855</v>
      </c>
      <c r="BE35" s="22" t="b">
        <f>EXACT(Tabla44[[#This Row],[VALOR ATENCIÓN (8 MESES)]],Tabla44[[#This Row],[VALOR TOTAL]])</f>
        <v>1</v>
      </c>
      <c r="BF35" s="28">
        <f>Tabla44[[#This Row],[VALOR ATENCIÓN (8 MESES)]]-Tabla44[[#This Row],[VALOR TOTAL]]</f>
        <v>0</v>
      </c>
      <c r="BG35" s="22" t="b">
        <f>EXACT(Tabla44[[#This Row],[TOTAL DESEMBOLSOS]],Tabla44[[#This Row],[VALOR TOTAL DEL CONTRATO INCLUIDO EL COMPONENTE DE ALIMENTACIÓN]])</f>
        <v>1</v>
      </c>
      <c r="BH35" s="29">
        <f>Tabla44[[#This Row],[TOTAL DESEMBOLSOS]]-Tabla44[[#This Row],[VALOR TOTAL DEL CONTRATO INCLUIDO EL COMPONENTE DE ALIMENTACIÓN]]</f>
        <v>0</v>
      </c>
      <c r="BI35" t="s">
        <v>98</v>
      </c>
    </row>
    <row r="36" spans="1:61">
      <c r="A36" s="13">
        <v>1922</v>
      </c>
      <c r="B36" s="13"/>
      <c r="C36" s="12" t="s">
        <v>87</v>
      </c>
      <c r="D36" s="12" t="s">
        <v>205</v>
      </c>
      <c r="E36" s="12" t="s">
        <v>2872</v>
      </c>
      <c r="F36" s="12" t="s">
        <v>18</v>
      </c>
      <c r="G36" s="12" t="s">
        <v>90</v>
      </c>
      <c r="H36" s="12" t="s">
        <v>2886</v>
      </c>
      <c r="I36" s="36">
        <v>50911143882</v>
      </c>
      <c r="J36" s="12" t="s">
        <v>2887</v>
      </c>
      <c r="K36" s="12">
        <v>1</v>
      </c>
      <c r="L36" s="12">
        <v>18</v>
      </c>
      <c r="M36" s="12"/>
      <c r="N36" s="13">
        <v>1922</v>
      </c>
      <c r="O36" s="12" t="s">
        <v>2850</v>
      </c>
      <c r="P36" s="12"/>
      <c r="Q36" s="12"/>
      <c r="R36" s="12" t="s">
        <v>94</v>
      </c>
      <c r="S36" s="12">
        <v>10</v>
      </c>
      <c r="T36" s="12">
        <v>890901524</v>
      </c>
      <c r="U36" s="12" t="s">
        <v>2875</v>
      </c>
      <c r="V36" s="12">
        <f>VLOOKUP(Tabla44[[#This Row],[ZONA DEFINITIVO]],[1]Hoja1!$A$1:$D$125,3,0)</f>
        <v>229934</v>
      </c>
      <c r="W36" s="12">
        <f>VLOOKUP(Tabla44[[#This Row],[ZONA DEFINITIVO]],[1]Hoja1!$A$1:$D$125,2,0)</f>
        <v>17254</v>
      </c>
      <c r="X36" s="12">
        <f>VLOOKUP(Tabla44[[#This Row],[ZONA DEFINITIVO]],[1]Hoja1!$A$1:$D$125,4,0)</f>
        <v>103725</v>
      </c>
      <c r="Y36" s="12" t="str">
        <f>+IF(Tabla44[[#This Row],[AGRUPACIONES]]=1,SUMIFS(Tabla44[UDS],Tabla44[ZONA DEFINITIVO],Tabla44[[#This Row],[ZONA DEFINITIVO]])," ")</f>
        <v xml:space="preserve"> </v>
      </c>
      <c r="Z36" s="12" t="str">
        <f>+IF(Tabla44[[#This Row],[AGRUPACIONES]]=1,SUMIFS(Tabla44[TOTAL COBERTURA],Tabla44[ZONA DEFINITIVO],Tabla44[[#This Row],[ZONA DEFINITIVO]])," ")</f>
        <v xml:space="preserve"> </v>
      </c>
      <c r="AA36" s="12"/>
      <c r="AB36" s="35">
        <v>39243474</v>
      </c>
      <c r="AC36" s="37">
        <v>0</v>
      </c>
      <c r="AD36" s="35">
        <f t="shared" si="1"/>
        <v>0</v>
      </c>
      <c r="AE36" s="12"/>
      <c r="AF36" s="12">
        <f>COUNTIF($A$20:A36,A36)</f>
        <v>7</v>
      </c>
      <c r="AG36" s="38">
        <v>39243474</v>
      </c>
      <c r="AH36" s="38">
        <f>Tabla44[[#This Row],[VALOR CONTRAPARTIDA]]+Tabla44[[#This Row],[TOTAL APORTES ICBF]]</f>
        <v>39243474</v>
      </c>
      <c r="AI36" s="35" t="str">
        <f>+IF(Tabla44[[#This Row],[AGRUPACIONES]]=1,SUMIFS(Tabla44[TOTAL APORTES ICBF],Tabla44[ZONA DEFINITIVO],Tabla44[[#This Row],[ZONA DEFINITIVO]])," ")</f>
        <v xml:space="preserve"> </v>
      </c>
      <c r="AJ36" s="38"/>
      <c r="AK36" s="38"/>
      <c r="AL36" s="35"/>
      <c r="AM36" s="35">
        <f>VLOOKUP(Tabla44[[#This Row],[SERVICIO 2025]],$J$2:$V$15,5,0)*Tabla44[[#This Row],[TOTAL COBERTURA]]</f>
        <v>888768</v>
      </c>
      <c r="AN36" s="35">
        <f>VLOOKUP(Tabla44[[#This Row],[SERVICIO 2025]],$J$2:$V$15,6,0)*Tabla44[[#This Row],[TOTAL COBERTURA]]</f>
        <v>738522</v>
      </c>
      <c r="AO36" s="35">
        <f>VLOOKUP(Tabla44[[#This Row],[SERVICIO 2025]],$J$2:$V$15,8,0)*Tabla44[[#This Row],[TOTAL COBERTURA]]</f>
        <v>523800</v>
      </c>
      <c r="AP36" s="35">
        <f>VLOOKUP(Tabla44[[#This Row],[SERVICIO 2025]],$J$2:$V$15,3,0)*Tabla44[[#This Row],[TOTAL COBERTURA]]*8</f>
        <v>37092384</v>
      </c>
      <c r="AQ36" s="35"/>
      <c r="AR36" s="35">
        <f>SUM(Tabla44[[#This Row],[VALOR FASE PREPARATORIA DE ALISTAMIENTO]:[VALOR RACION PREPARADA]])</f>
        <v>39243474</v>
      </c>
      <c r="AS36" s="35" t="str">
        <f>+IF(Tabla44[[#This Row],[AGRUPACIONES]]=1,SUMIFS(Tabla44[VALOR TOTAL],Tabla44[ZONA DEFINITIVO],Tabla44[[#This Row],[ZONA DEFINITIVO]])," ")</f>
        <v xml:space="preserve"> </v>
      </c>
      <c r="AT36" s="35">
        <f>VLOOKUP(Tabla44[[#This Row],[SERVICIO 2025]],$J$2:$V$15,10,0)*Tabla44[[#This Row],[TOTAL COBERTURA]]*$X$7</f>
        <v>25975152</v>
      </c>
      <c r="AU36" s="39">
        <f>Tabla44[[#This Row],[TOTAL CONTRATO (ICBF+EAS)]]+Tabla44[[#This Row],[VALOR COMPONENTE ALIMENTACION NO ASIGNADO]]</f>
        <v>65218626</v>
      </c>
      <c r="AV3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36" s="35">
        <f>(VLOOKUP(Tabla44[[#This Row],[SERVICIO 2025]],$J$2:$V$15,3,0)*Tabla44[[#This Row],[TOTAL COBERTURA]])+VLOOKUP(Tabla44[[#This Row],[SERVICIO 2025]],$J$2:$V$15,10,0)*Tabla44[[#This Row],[TOTAL COBERTURA]]</f>
        <v>7883442</v>
      </c>
      <c r="AX36" s="35">
        <f>(VLOOKUP(Tabla44[[#This Row],[SERVICIO 2025]],$J$2:$V$15,3,0)*Tabla44[[#This Row],[TOTAL COBERTURA]])+VLOOKUP(Tabla44[[#This Row],[SERVICIO 2025]],$J$2:$V$15,10,0)*Tabla44[[#This Row],[TOTAL COBERTURA]]</f>
        <v>7883442</v>
      </c>
      <c r="AY36" s="35">
        <f>(VLOOKUP(Tabla44[[#This Row],[SERVICIO 2025]],$J$2:$V$15,3,0)*Tabla44[[#This Row],[TOTAL COBERTURA]])+VLOOKUP(Tabla44[[#This Row],[SERVICIO 2025]],$J$2:$V$15,10,0)*Tabla44[[#This Row],[TOTAL COBERTURA]]</f>
        <v>7883442</v>
      </c>
      <c r="AZ36" s="35">
        <f>(VLOOKUP(Tabla44[[#This Row],[SERVICIO 2025]],$J$2:$V$15,3,0)*Tabla44[[#This Row],[TOTAL COBERTURA]])+VLOOKUP(Tabla44[[#This Row],[SERVICIO 2025]],$J$2:$V$15,10,0)*Tabla44[[#This Row],[TOTAL COBERTURA]]</f>
        <v>7883442</v>
      </c>
      <c r="BA36" s="35">
        <f>(VLOOKUP(Tabla44[[#This Row],[SERVICIO 2025]],$J$2:$V$15,3,0)*Tabla44[[#This Row],[TOTAL COBERTURA]])+VLOOKUP(Tabla44[[#This Row],[SERVICIO 2025]],$J$2:$V$15,10,0)*Tabla44[[#This Row],[TOTAL COBERTURA]]</f>
        <v>7883442</v>
      </c>
      <c r="BB36" s="35">
        <f>(VLOOKUP(Tabla44[[#This Row],[SERVICIO 2025]],$J$2:$V$15,3,0)*Tabla44[[#This Row],[TOTAL COBERTURA]])+VLOOKUP(Tabla44[[#This Row],[SERVICIO 2025]],$J$2:$V$15,10,0)*Tabla44[[#This Row],[TOTAL COBERTURA]]</f>
        <v>7883442</v>
      </c>
      <c r="BC3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36" s="35">
        <f>SUM(Tabla44[[#This Row],[DESEMBOLSO 1]:[DESEMBOLSO 8]])</f>
        <v>65218626</v>
      </c>
      <c r="BE36" s="12" t="b">
        <f>EXACT(Tabla44[[#This Row],[VALOR ATENCIÓN (8 MESES)]],Tabla44[[#This Row],[VALOR TOTAL]])</f>
        <v>1</v>
      </c>
      <c r="BF36" s="23">
        <f>Tabla44[[#This Row],[VALOR ATENCIÓN (8 MESES)]]-Tabla44[[#This Row],[VALOR TOTAL]]</f>
        <v>0</v>
      </c>
      <c r="BG36" s="12" t="b">
        <f>EXACT(Tabla44[[#This Row],[TOTAL DESEMBOLSOS]],Tabla44[[#This Row],[VALOR TOTAL DEL CONTRATO INCLUIDO EL COMPONENTE DE ALIMENTACIÓN]])</f>
        <v>1</v>
      </c>
      <c r="BH36" s="29">
        <f>Tabla44[[#This Row],[TOTAL DESEMBOLSOS]]-Tabla44[[#This Row],[VALOR TOTAL DEL CONTRATO INCLUIDO EL COMPONENTE DE ALIMENTACIÓN]]</f>
        <v>0</v>
      </c>
      <c r="BI36" t="s">
        <v>98</v>
      </c>
    </row>
    <row r="37" spans="1:61">
      <c r="A37" s="13">
        <v>1922</v>
      </c>
      <c r="B37" s="13"/>
      <c r="C37" s="12" t="s">
        <v>87</v>
      </c>
      <c r="D37" s="12" t="s">
        <v>205</v>
      </c>
      <c r="E37" s="12" t="s">
        <v>2872</v>
      </c>
      <c r="F37" s="12" t="s">
        <v>18</v>
      </c>
      <c r="G37" s="12" t="s">
        <v>90</v>
      </c>
      <c r="H37" s="12" t="s">
        <v>306</v>
      </c>
      <c r="I37" s="36">
        <v>50911143888</v>
      </c>
      <c r="J37" s="12" t="s">
        <v>2888</v>
      </c>
      <c r="K37" s="12">
        <v>1</v>
      </c>
      <c r="L37" s="12">
        <v>10</v>
      </c>
      <c r="M37" s="12"/>
      <c r="N37" s="13">
        <v>1922</v>
      </c>
      <c r="O37" s="12" t="s">
        <v>2850</v>
      </c>
      <c r="P37" s="12"/>
      <c r="Q37" s="12"/>
      <c r="R37" s="12" t="s">
        <v>94</v>
      </c>
      <c r="S37" s="12">
        <v>10</v>
      </c>
      <c r="T37" s="12">
        <v>890901524</v>
      </c>
      <c r="U37" s="12" t="s">
        <v>2875</v>
      </c>
      <c r="V37" s="12">
        <f>VLOOKUP(Tabla44[[#This Row],[ZONA DEFINITIVO]],[1]Hoja1!$A$1:$D$125,3,0)</f>
        <v>229934</v>
      </c>
      <c r="W37" s="12">
        <f>VLOOKUP(Tabla44[[#This Row],[ZONA DEFINITIVO]],[1]Hoja1!$A$1:$D$125,2,0)</f>
        <v>17254</v>
      </c>
      <c r="X37" s="12">
        <f>VLOOKUP(Tabla44[[#This Row],[ZONA DEFINITIVO]],[1]Hoja1!$A$1:$D$125,4,0)</f>
        <v>103725</v>
      </c>
      <c r="Y37" s="12" t="str">
        <f>+IF(Tabla44[[#This Row],[AGRUPACIONES]]=1,SUMIFS(Tabla44[UDS],Tabla44[ZONA DEFINITIVO],Tabla44[[#This Row],[ZONA DEFINITIVO]])," ")</f>
        <v xml:space="preserve"> </v>
      </c>
      <c r="Z37" s="12" t="str">
        <f>+IF(Tabla44[[#This Row],[AGRUPACIONES]]=1,SUMIFS(Tabla44[TOTAL COBERTURA],Tabla44[ZONA DEFINITIVO],Tabla44[[#This Row],[ZONA DEFINITIVO]])," ")</f>
        <v xml:space="preserve"> </v>
      </c>
      <c r="AA37" s="12"/>
      <c r="AB37" s="35">
        <v>21801930</v>
      </c>
      <c r="AC37" s="37">
        <v>0</v>
      </c>
      <c r="AD37" s="35">
        <f t="shared" si="1"/>
        <v>0</v>
      </c>
      <c r="AE37" s="12"/>
      <c r="AF37" s="12">
        <f>COUNTIF($A$20:A37,A37)</f>
        <v>8</v>
      </c>
      <c r="AG37" s="38">
        <v>21801930</v>
      </c>
      <c r="AH37" s="38">
        <f>Tabla44[[#This Row],[VALOR CONTRAPARTIDA]]+Tabla44[[#This Row],[TOTAL APORTES ICBF]]</f>
        <v>21801930</v>
      </c>
      <c r="AI37" s="35" t="str">
        <f>+IF(Tabla44[[#This Row],[AGRUPACIONES]]=1,SUMIFS(Tabla44[TOTAL APORTES ICBF],Tabla44[ZONA DEFINITIVO],Tabla44[[#This Row],[ZONA DEFINITIVO]])," ")</f>
        <v xml:space="preserve"> </v>
      </c>
      <c r="AJ37" s="38"/>
      <c r="AK37" s="38"/>
      <c r="AL37" s="35"/>
      <c r="AM37" s="35">
        <f>VLOOKUP(Tabla44[[#This Row],[SERVICIO 2025]],$J$2:$V$15,5,0)*Tabla44[[#This Row],[TOTAL COBERTURA]]</f>
        <v>493760</v>
      </c>
      <c r="AN37" s="35">
        <f>VLOOKUP(Tabla44[[#This Row],[SERVICIO 2025]],$J$2:$V$15,6,0)*Tabla44[[#This Row],[TOTAL COBERTURA]]</f>
        <v>410290</v>
      </c>
      <c r="AO37" s="35">
        <f>VLOOKUP(Tabla44[[#This Row],[SERVICIO 2025]],$J$2:$V$15,8,0)*Tabla44[[#This Row],[TOTAL COBERTURA]]</f>
        <v>291000</v>
      </c>
      <c r="AP37" s="35">
        <f>VLOOKUP(Tabla44[[#This Row],[SERVICIO 2025]],$J$2:$V$15,3,0)*Tabla44[[#This Row],[TOTAL COBERTURA]]*8</f>
        <v>20606880</v>
      </c>
      <c r="AQ37" s="35"/>
      <c r="AR37" s="35">
        <f>SUM(Tabla44[[#This Row],[VALOR FASE PREPARATORIA DE ALISTAMIENTO]:[VALOR RACION PREPARADA]])</f>
        <v>21801930</v>
      </c>
      <c r="AS37" s="35" t="str">
        <f>+IF(Tabla44[[#This Row],[AGRUPACIONES]]=1,SUMIFS(Tabla44[VALOR TOTAL],Tabla44[ZONA DEFINITIVO],Tabla44[[#This Row],[ZONA DEFINITIVO]])," ")</f>
        <v xml:space="preserve"> </v>
      </c>
      <c r="AT37" s="35">
        <f>VLOOKUP(Tabla44[[#This Row],[SERVICIO 2025]],$J$2:$V$15,10,0)*Tabla44[[#This Row],[TOTAL COBERTURA]]*$X$7</f>
        <v>14430640</v>
      </c>
      <c r="AU37" s="39">
        <f>Tabla44[[#This Row],[TOTAL CONTRATO (ICBF+EAS)]]+Tabla44[[#This Row],[VALOR COMPONENTE ALIMENTACION NO ASIGNADO]]</f>
        <v>36232570</v>
      </c>
      <c r="AV3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37" s="35">
        <f>(VLOOKUP(Tabla44[[#This Row],[SERVICIO 2025]],$J$2:$V$15,3,0)*Tabla44[[#This Row],[TOTAL COBERTURA]])+VLOOKUP(Tabla44[[#This Row],[SERVICIO 2025]],$J$2:$V$15,10,0)*Tabla44[[#This Row],[TOTAL COBERTURA]]</f>
        <v>4379690</v>
      </c>
      <c r="AX37" s="35">
        <f>(VLOOKUP(Tabla44[[#This Row],[SERVICIO 2025]],$J$2:$V$15,3,0)*Tabla44[[#This Row],[TOTAL COBERTURA]])+VLOOKUP(Tabla44[[#This Row],[SERVICIO 2025]],$J$2:$V$15,10,0)*Tabla44[[#This Row],[TOTAL COBERTURA]]</f>
        <v>4379690</v>
      </c>
      <c r="AY37" s="35">
        <f>(VLOOKUP(Tabla44[[#This Row],[SERVICIO 2025]],$J$2:$V$15,3,0)*Tabla44[[#This Row],[TOTAL COBERTURA]])+VLOOKUP(Tabla44[[#This Row],[SERVICIO 2025]],$J$2:$V$15,10,0)*Tabla44[[#This Row],[TOTAL COBERTURA]]</f>
        <v>4379690</v>
      </c>
      <c r="AZ37" s="35">
        <f>(VLOOKUP(Tabla44[[#This Row],[SERVICIO 2025]],$J$2:$V$15,3,0)*Tabla44[[#This Row],[TOTAL COBERTURA]])+VLOOKUP(Tabla44[[#This Row],[SERVICIO 2025]],$J$2:$V$15,10,0)*Tabla44[[#This Row],[TOTAL COBERTURA]]</f>
        <v>4379690</v>
      </c>
      <c r="BA37" s="35">
        <f>(VLOOKUP(Tabla44[[#This Row],[SERVICIO 2025]],$J$2:$V$15,3,0)*Tabla44[[#This Row],[TOTAL COBERTURA]])+VLOOKUP(Tabla44[[#This Row],[SERVICIO 2025]],$J$2:$V$15,10,0)*Tabla44[[#This Row],[TOTAL COBERTURA]]</f>
        <v>4379690</v>
      </c>
      <c r="BB37" s="35">
        <f>(VLOOKUP(Tabla44[[#This Row],[SERVICIO 2025]],$J$2:$V$15,3,0)*Tabla44[[#This Row],[TOTAL COBERTURA]])+VLOOKUP(Tabla44[[#This Row],[SERVICIO 2025]],$J$2:$V$15,10,0)*Tabla44[[#This Row],[TOTAL COBERTURA]]</f>
        <v>4379690</v>
      </c>
      <c r="BC3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37" s="35">
        <f>SUM(Tabla44[[#This Row],[DESEMBOLSO 1]:[DESEMBOLSO 8]])</f>
        <v>36232570</v>
      </c>
      <c r="BE37" s="12" t="b">
        <f>EXACT(Tabla44[[#This Row],[VALOR ATENCIÓN (8 MESES)]],Tabla44[[#This Row],[VALOR TOTAL]])</f>
        <v>1</v>
      </c>
      <c r="BF37" s="23">
        <f>Tabla44[[#This Row],[VALOR ATENCIÓN (8 MESES)]]-Tabla44[[#This Row],[VALOR TOTAL]]</f>
        <v>0</v>
      </c>
      <c r="BG37" s="12" t="b">
        <f>EXACT(Tabla44[[#This Row],[TOTAL DESEMBOLSOS]],Tabla44[[#This Row],[VALOR TOTAL DEL CONTRATO INCLUIDO EL COMPONENTE DE ALIMENTACIÓN]])</f>
        <v>1</v>
      </c>
      <c r="BH37" s="29">
        <f>Tabla44[[#This Row],[TOTAL DESEMBOLSOS]]-Tabla44[[#This Row],[VALOR TOTAL DEL CONTRATO INCLUIDO EL COMPONENTE DE ALIMENTACIÓN]]</f>
        <v>0</v>
      </c>
      <c r="BI37" t="s">
        <v>98</v>
      </c>
    </row>
    <row r="38" spans="1:61">
      <c r="A38" s="13">
        <v>1922</v>
      </c>
      <c r="B38" s="13"/>
      <c r="C38" s="12" t="s">
        <v>87</v>
      </c>
      <c r="D38" s="12" t="s">
        <v>205</v>
      </c>
      <c r="E38" s="12" t="s">
        <v>2872</v>
      </c>
      <c r="F38" s="12" t="s">
        <v>18</v>
      </c>
      <c r="G38" s="12" t="s">
        <v>90</v>
      </c>
      <c r="H38" s="12" t="s">
        <v>2889</v>
      </c>
      <c r="I38" s="36">
        <v>50911152815</v>
      </c>
      <c r="J38" s="12" t="s">
        <v>2890</v>
      </c>
      <c r="K38" s="12">
        <v>1</v>
      </c>
      <c r="L38" s="12">
        <v>18</v>
      </c>
      <c r="M38" s="12"/>
      <c r="N38" s="13">
        <v>1922</v>
      </c>
      <c r="O38" s="12" t="s">
        <v>2850</v>
      </c>
      <c r="P38" s="12"/>
      <c r="Q38" s="12"/>
      <c r="R38" s="12" t="s">
        <v>94</v>
      </c>
      <c r="S38" s="12">
        <v>10</v>
      </c>
      <c r="T38" s="12">
        <v>890901524</v>
      </c>
      <c r="U38" s="12" t="s">
        <v>2875</v>
      </c>
      <c r="V38" s="12">
        <f>VLOOKUP(Tabla44[[#This Row],[ZONA DEFINITIVO]],[1]Hoja1!$A$1:$D$125,3,0)</f>
        <v>229934</v>
      </c>
      <c r="W38" s="12">
        <f>VLOOKUP(Tabla44[[#This Row],[ZONA DEFINITIVO]],[1]Hoja1!$A$1:$D$125,2,0)</f>
        <v>17254</v>
      </c>
      <c r="X38" s="12">
        <f>VLOOKUP(Tabla44[[#This Row],[ZONA DEFINITIVO]],[1]Hoja1!$A$1:$D$125,4,0)</f>
        <v>103725</v>
      </c>
      <c r="Y38" s="12" t="str">
        <f>+IF(Tabla44[[#This Row],[AGRUPACIONES]]=1,SUMIFS(Tabla44[UDS],Tabla44[ZONA DEFINITIVO],Tabla44[[#This Row],[ZONA DEFINITIVO]])," ")</f>
        <v xml:space="preserve"> </v>
      </c>
      <c r="Z38" s="12" t="str">
        <f>+IF(Tabla44[[#This Row],[AGRUPACIONES]]=1,SUMIFS(Tabla44[TOTAL COBERTURA],Tabla44[ZONA DEFINITIVO],Tabla44[[#This Row],[ZONA DEFINITIVO]])," ")</f>
        <v xml:space="preserve"> </v>
      </c>
      <c r="AA38" s="12"/>
      <c r="AB38" s="35">
        <v>39243474</v>
      </c>
      <c r="AC38" s="37">
        <v>0</v>
      </c>
      <c r="AD38" s="35">
        <f t="shared" si="1"/>
        <v>0</v>
      </c>
      <c r="AE38" s="12"/>
      <c r="AF38" s="12">
        <f>COUNTIF($A$20:A38,A38)</f>
        <v>9</v>
      </c>
      <c r="AG38" s="38">
        <v>39243474</v>
      </c>
      <c r="AH38" s="38">
        <f>Tabla44[[#This Row],[VALOR CONTRAPARTIDA]]+Tabla44[[#This Row],[TOTAL APORTES ICBF]]</f>
        <v>39243474</v>
      </c>
      <c r="AI38" s="35" t="str">
        <f>+IF(Tabla44[[#This Row],[AGRUPACIONES]]=1,SUMIFS(Tabla44[TOTAL APORTES ICBF],Tabla44[ZONA DEFINITIVO],Tabla44[[#This Row],[ZONA DEFINITIVO]])," ")</f>
        <v xml:space="preserve"> </v>
      </c>
      <c r="AJ38" s="38"/>
      <c r="AK38" s="38"/>
      <c r="AL38" s="35"/>
      <c r="AM38" s="35">
        <f>VLOOKUP(Tabla44[[#This Row],[SERVICIO 2025]],$J$2:$V$15,5,0)*Tabla44[[#This Row],[TOTAL COBERTURA]]</f>
        <v>888768</v>
      </c>
      <c r="AN38" s="35">
        <f>VLOOKUP(Tabla44[[#This Row],[SERVICIO 2025]],$J$2:$V$15,6,0)*Tabla44[[#This Row],[TOTAL COBERTURA]]</f>
        <v>738522</v>
      </c>
      <c r="AO38" s="35">
        <f>VLOOKUP(Tabla44[[#This Row],[SERVICIO 2025]],$J$2:$V$15,8,0)*Tabla44[[#This Row],[TOTAL COBERTURA]]</f>
        <v>523800</v>
      </c>
      <c r="AP38" s="35">
        <f>VLOOKUP(Tabla44[[#This Row],[SERVICIO 2025]],$J$2:$V$15,3,0)*Tabla44[[#This Row],[TOTAL COBERTURA]]*8</f>
        <v>37092384</v>
      </c>
      <c r="AQ38" s="35"/>
      <c r="AR38" s="35">
        <f>SUM(Tabla44[[#This Row],[VALOR FASE PREPARATORIA DE ALISTAMIENTO]:[VALOR RACION PREPARADA]])</f>
        <v>39243474</v>
      </c>
      <c r="AS38" s="35" t="str">
        <f>+IF(Tabla44[[#This Row],[AGRUPACIONES]]=1,SUMIFS(Tabla44[VALOR TOTAL],Tabla44[ZONA DEFINITIVO],Tabla44[[#This Row],[ZONA DEFINITIVO]])," ")</f>
        <v xml:space="preserve"> </v>
      </c>
      <c r="AT38" s="35">
        <f>VLOOKUP(Tabla44[[#This Row],[SERVICIO 2025]],$J$2:$V$15,10,0)*Tabla44[[#This Row],[TOTAL COBERTURA]]*$X$7</f>
        <v>25975152</v>
      </c>
      <c r="AU38" s="39">
        <f>Tabla44[[#This Row],[TOTAL CONTRATO (ICBF+EAS)]]+Tabla44[[#This Row],[VALOR COMPONENTE ALIMENTACION NO ASIGNADO]]</f>
        <v>65218626</v>
      </c>
      <c r="AV3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38" s="35">
        <f>(VLOOKUP(Tabla44[[#This Row],[SERVICIO 2025]],$J$2:$V$15,3,0)*Tabla44[[#This Row],[TOTAL COBERTURA]])+VLOOKUP(Tabla44[[#This Row],[SERVICIO 2025]],$J$2:$V$15,10,0)*Tabla44[[#This Row],[TOTAL COBERTURA]]</f>
        <v>7883442</v>
      </c>
      <c r="AX38" s="35">
        <f>(VLOOKUP(Tabla44[[#This Row],[SERVICIO 2025]],$J$2:$V$15,3,0)*Tabla44[[#This Row],[TOTAL COBERTURA]])+VLOOKUP(Tabla44[[#This Row],[SERVICIO 2025]],$J$2:$V$15,10,0)*Tabla44[[#This Row],[TOTAL COBERTURA]]</f>
        <v>7883442</v>
      </c>
      <c r="AY38" s="35">
        <f>(VLOOKUP(Tabla44[[#This Row],[SERVICIO 2025]],$J$2:$V$15,3,0)*Tabla44[[#This Row],[TOTAL COBERTURA]])+VLOOKUP(Tabla44[[#This Row],[SERVICIO 2025]],$J$2:$V$15,10,0)*Tabla44[[#This Row],[TOTAL COBERTURA]]</f>
        <v>7883442</v>
      </c>
      <c r="AZ38" s="35">
        <f>(VLOOKUP(Tabla44[[#This Row],[SERVICIO 2025]],$J$2:$V$15,3,0)*Tabla44[[#This Row],[TOTAL COBERTURA]])+VLOOKUP(Tabla44[[#This Row],[SERVICIO 2025]],$J$2:$V$15,10,0)*Tabla44[[#This Row],[TOTAL COBERTURA]]</f>
        <v>7883442</v>
      </c>
      <c r="BA38" s="35">
        <f>(VLOOKUP(Tabla44[[#This Row],[SERVICIO 2025]],$J$2:$V$15,3,0)*Tabla44[[#This Row],[TOTAL COBERTURA]])+VLOOKUP(Tabla44[[#This Row],[SERVICIO 2025]],$J$2:$V$15,10,0)*Tabla44[[#This Row],[TOTAL COBERTURA]]</f>
        <v>7883442</v>
      </c>
      <c r="BB38" s="35">
        <f>(VLOOKUP(Tabla44[[#This Row],[SERVICIO 2025]],$J$2:$V$15,3,0)*Tabla44[[#This Row],[TOTAL COBERTURA]])+VLOOKUP(Tabla44[[#This Row],[SERVICIO 2025]],$J$2:$V$15,10,0)*Tabla44[[#This Row],[TOTAL COBERTURA]]</f>
        <v>7883442</v>
      </c>
      <c r="BC3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38" s="35">
        <f>SUM(Tabla44[[#This Row],[DESEMBOLSO 1]:[DESEMBOLSO 8]])</f>
        <v>65218626</v>
      </c>
      <c r="BE38" s="12" t="b">
        <f>EXACT(Tabla44[[#This Row],[VALOR ATENCIÓN (8 MESES)]],Tabla44[[#This Row],[VALOR TOTAL]])</f>
        <v>1</v>
      </c>
      <c r="BF38" s="23">
        <f>Tabla44[[#This Row],[VALOR ATENCIÓN (8 MESES)]]-Tabla44[[#This Row],[VALOR TOTAL]]</f>
        <v>0</v>
      </c>
      <c r="BG38" s="12" t="b">
        <f>EXACT(Tabla44[[#This Row],[TOTAL DESEMBOLSOS]],Tabla44[[#This Row],[VALOR TOTAL DEL CONTRATO INCLUIDO EL COMPONENTE DE ALIMENTACIÓN]])</f>
        <v>1</v>
      </c>
      <c r="BH38" s="29">
        <f>Tabla44[[#This Row],[TOTAL DESEMBOLSOS]]-Tabla44[[#This Row],[VALOR TOTAL DEL CONTRATO INCLUIDO EL COMPONENTE DE ALIMENTACIÓN]]</f>
        <v>0</v>
      </c>
      <c r="BI38" t="s">
        <v>98</v>
      </c>
    </row>
    <row r="39" spans="1:61">
      <c r="A39" s="13">
        <v>1922</v>
      </c>
      <c r="B39" s="13"/>
      <c r="C39" s="12" t="s">
        <v>87</v>
      </c>
      <c r="D39" s="12" t="s">
        <v>205</v>
      </c>
      <c r="E39" s="12" t="s">
        <v>2872</v>
      </c>
      <c r="F39" s="12" t="s">
        <v>18</v>
      </c>
      <c r="G39" s="12" t="s">
        <v>90</v>
      </c>
      <c r="H39" s="12" t="s">
        <v>2891</v>
      </c>
      <c r="I39" s="36">
        <v>50911154361</v>
      </c>
      <c r="J39" s="12" t="s">
        <v>2892</v>
      </c>
      <c r="K39" s="12">
        <v>1</v>
      </c>
      <c r="L39" s="12">
        <v>12</v>
      </c>
      <c r="M39" s="12"/>
      <c r="N39" s="13">
        <v>1922</v>
      </c>
      <c r="O39" s="12" t="s">
        <v>2850</v>
      </c>
      <c r="P39" s="12"/>
      <c r="Q39" s="12"/>
      <c r="R39" s="12" t="s">
        <v>94</v>
      </c>
      <c r="S39" s="12">
        <v>10</v>
      </c>
      <c r="T39" s="12">
        <v>890901524</v>
      </c>
      <c r="U39" s="12" t="s">
        <v>2875</v>
      </c>
      <c r="V39" s="12">
        <f>VLOOKUP(Tabla44[[#This Row],[ZONA DEFINITIVO]],[1]Hoja1!$A$1:$D$125,3,0)</f>
        <v>229934</v>
      </c>
      <c r="W39" s="12">
        <f>VLOOKUP(Tabla44[[#This Row],[ZONA DEFINITIVO]],[1]Hoja1!$A$1:$D$125,2,0)</f>
        <v>17254</v>
      </c>
      <c r="X39" s="12">
        <f>VLOOKUP(Tabla44[[#This Row],[ZONA DEFINITIVO]],[1]Hoja1!$A$1:$D$125,4,0)</f>
        <v>103725</v>
      </c>
      <c r="Y39" s="12" t="str">
        <f>+IF(Tabla44[[#This Row],[AGRUPACIONES]]=1,SUMIFS(Tabla44[UDS],Tabla44[ZONA DEFINITIVO],Tabla44[[#This Row],[ZONA DEFINITIVO]])," ")</f>
        <v xml:space="preserve"> </v>
      </c>
      <c r="Z39" s="12" t="str">
        <f>+IF(Tabla44[[#This Row],[AGRUPACIONES]]=1,SUMIFS(Tabla44[TOTAL COBERTURA],Tabla44[ZONA DEFINITIVO],Tabla44[[#This Row],[ZONA DEFINITIVO]])," ")</f>
        <v xml:space="preserve"> </v>
      </c>
      <c r="AA39" s="12"/>
      <c r="AB39" s="35">
        <v>26162316</v>
      </c>
      <c r="AC39" s="37">
        <v>0</v>
      </c>
      <c r="AD39" s="35">
        <f t="shared" si="1"/>
        <v>0</v>
      </c>
      <c r="AE39" s="12"/>
      <c r="AF39" s="12">
        <f>COUNTIF($A$20:A39,A39)</f>
        <v>10</v>
      </c>
      <c r="AG39" s="38">
        <v>26162316</v>
      </c>
      <c r="AH39" s="38">
        <f>Tabla44[[#This Row],[VALOR CONTRAPARTIDA]]+Tabla44[[#This Row],[TOTAL APORTES ICBF]]</f>
        <v>26162316</v>
      </c>
      <c r="AI39" s="35" t="str">
        <f>+IF(Tabla44[[#This Row],[AGRUPACIONES]]=1,SUMIFS(Tabla44[TOTAL APORTES ICBF],Tabla44[ZONA DEFINITIVO],Tabla44[[#This Row],[ZONA DEFINITIVO]])," ")</f>
        <v xml:space="preserve"> </v>
      </c>
      <c r="AJ39" s="38"/>
      <c r="AK39" s="38"/>
      <c r="AL39" s="35"/>
      <c r="AM39" s="35">
        <f>VLOOKUP(Tabla44[[#This Row],[SERVICIO 2025]],$J$2:$V$15,5,0)*Tabla44[[#This Row],[TOTAL COBERTURA]]</f>
        <v>592512</v>
      </c>
      <c r="AN39" s="35">
        <f>VLOOKUP(Tabla44[[#This Row],[SERVICIO 2025]],$J$2:$V$15,6,0)*Tabla44[[#This Row],[TOTAL COBERTURA]]</f>
        <v>492348</v>
      </c>
      <c r="AO39" s="35">
        <f>VLOOKUP(Tabla44[[#This Row],[SERVICIO 2025]],$J$2:$V$15,8,0)*Tabla44[[#This Row],[TOTAL COBERTURA]]</f>
        <v>349200</v>
      </c>
      <c r="AP39" s="35">
        <f>VLOOKUP(Tabla44[[#This Row],[SERVICIO 2025]],$J$2:$V$15,3,0)*Tabla44[[#This Row],[TOTAL COBERTURA]]*8</f>
        <v>24728256</v>
      </c>
      <c r="AQ39" s="35"/>
      <c r="AR39" s="35">
        <f>SUM(Tabla44[[#This Row],[VALOR FASE PREPARATORIA DE ALISTAMIENTO]:[VALOR RACION PREPARADA]])</f>
        <v>26162316</v>
      </c>
      <c r="AS39" s="35" t="str">
        <f>+IF(Tabla44[[#This Row],[AGRUPACIONES]]=1,SUMIFS(Tabla44[VALOR TOTAL],Tabla44[ZONA DEFINITIVO],Tabla44[[#This Row],[ZONA DEFINITIVO]])," ")</f>
        <v xml:space="preserve"> </v>
      </c>
      <c r="AT39" s="35">
        <f>VLOOKUP(Tabla44[[#This Row],[SERVICIO 2025]],$J$2:$V$15,10,0)*Tabla44[[#This Row],[TOTAL COBERTURA]]*$X$7</f>
        <v>17316768</v>
      </c>
      <c r="AU39" s="39">
        <f>Tabla44[[#This Row],[TOTAL CONTRATO (ICBF+EAS)]]+Tabla44[[#This Row],[VALOR COMPONENTE ALIMENTACION NO ASIGNADO]]</f>
        <v>43479084</v>
      </c>
      <c r="AV3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39" s="35">
        <f>(VLOOKUP(Tabla44[[#This Row],[SERVICIO 2025]],$J$2:$V$15,3,0)*Tabla44[[#This Row],[TOTAL COBERTURA]])+VLOOKUP(Tabla44[[#This Row],[SERVICIO 2025]],$J$2:$V$15,10,0)*Tabla44[[#This Row],[TOTAL COBERTURA]]</f>
        <v>5255628</v>
      </c>
      <c r="AX39" s="35">
        <f>(VLOOKUP(Tabla44[[#This Row],[SERVICIO 2025]],$J$2:$V$15,3,0)*Tabla44[[#This Row],[TOTAL COBERTURA]])+VLOOKUP(Tabla44[[#This Row],[SERVICIO 2025]],$J$2:$V$15,10,0)*Tabla44[[#This Row],[TOTAL COBERTURA]]</f>
        <v>5255628</v>
      </c>
      <c r="AY39" s="35">
        <f>(VLOOKUP(Tabla44[[#This Row],[SERVICIO 2025]],$J$2:$V$15,3,0)*Tabla44[[#This Row],[TOTAL COBERTURA]])+VLOOKUP(Tabla44[[#This Row],[SERVICIO 2025]],$J$2:$V$15,10,0)*Tabla44[[#This Row],[TOTAL COBERTURA]]</f>
        <v>5255628</v>
      </c>
      <c r="AZ39" s="35">
        <f>(VLOOKUP(Tabla44[[#This Row],[SERVICIO 2025]],$J$2:$V$15,3,0)*Tabla44[[#This Row],[TOTAL COBERTURA]])+VLOOKUP(Tabla44[[#This Row],[SERVICIO 2025]],$J$2:$V$15,10,0)*Tabla44[[#This Row],[TOTAL COBERTURA]]</f>
        <v>5255628</v>
      </c>
      <c r="BA39" s="35">
        <f>(VLOOKUP(Tabla44[[#This Row],[SERVICIO 2025]],$J$2:$V$15,3,0)*Tabla44[[#This Row],[TOTAL COBERTURA]])+VLOOKUP(Tabla44[[#This Row],[SERVICIO 2025]],$J$2:$V$15,10,0)*Tabla44[[#This Row],[TOTAL COBERTURA]]</f>
        <v>5255628</v>
      </c>
      <c r="BB39" s="35">
        <f>(VLOOKUP(Tabla44[[#This Row],[SERVICIO 2025]],$J$2:$V$15,3,0)*Tabla44[[#This Row],[TOTAL COBERTURA]])+VLOOKUP(Tabla44[[#This Row],[SERVICIO 2025]],$J$2:$V$15,10,0)*Tabla44[[#This Row],[TOTAL COBERTURA]]</f>
        <v>5255628</v>
      </c>
      <c r="BC3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39" s="35">
        <f>SUM(Tabla44[[#This Row],[DESEMBOLSO 1]:[DESEMBOLSO 8]])</f>
        <v>43479084</v>
      </c>
      <c r="BE39" s="12" t="b">
        <f>EXACT(Tabla44[[#This Row],[VALOR ATENCIÓN (8 MESES)]],Tabla44[[#This Row],[VALOR TOTAL]])</f>
        <v>1</v>
      </c>
      <c r="BF39" s="23">
        <f>Tabla44[[#This Row],[VALOR ATENCIÓN (8 MESES)]]-Tabla44[[#This Row],[VALOR TOTAL]]</f>
        <v>0</v>
      </c>
      <c r="BG39" s="12" t="b">
        <f>EXACT(Tabla44[[#This Row],[TOTAL DESEMBOLSOS]],Tabla44[[#This Row],[VALOR TOTAL DEL CONTRATO INCLUIDO EL COMPONENTE DE ALIMENTACIÓN]])</f>
        <v>1</v>
      </c>
      <c r="BH39" s="29">
        <f>Tabla44[[#This Row],[TOTAL DESEMBOLSOS]]-Tabla44[[#This Row],[VALOR TOTAL DEL CONTRATO INCLUIDO EL COMPONENTE DE ALIMENTACIÓN]]</f>
        <v>0</v>
      </c>
      <c r="BI39" t="s">
        <v>98</v>
      </c>
    </row>
    <row r="40" spans="1:61">
      <c r="A40" s="13">
        <v>1922</v>
      </c>
      <c r="B40" s="13"/>
      <c r="C40" s="12" t="s">
        <v>87</v>
      </c>
      <c r="D40" s="12" t="s">
        <v>205</v>
      </c>
      <c r="E40" s="12" t="s">
        <v>2872</v>
      </c>
      <c r="F40" s="12" t="s">
        <v>18</v>
      </c>
      <c r="G40" s="12" t="s">
        <v>90</v>
      </c>
      <c r="H40" s="12" t="s">
        <v>2893</v>
      </c>
      <c r="I40" s="36">
        <v>50911154557</v>
      </c>
      <c r="J40" s="12" t="s">
        <v>2894</v>
      </c>
      <c r="K40" s="12">
        <v>1</v>
      </c>
      <c r="L40" s="12">
        <v>6</v>
      </c>
      <c r="M40" s="12"/>
      <c r="N40" s="13">
        <v>1922</v>
      </c>
      <c r="O40" s="12" t="s">
        <v>2850</v>
      </c>
      <c r="P40" s="12"/>
      <c r="Q40" s="12"/>
      <c r="R40" s="12" t="s">
        <v>94</v>
      </c>
      <c r="S40" s="12">
        <v>10</v>
      </c>
      <c r="T40" s="12">
        <v>890901524</v>
      </c>
      <c r="U40" s="12" t="s">
        <v>2875</v>
      </c>
      <c r="V40" s="12">
        <f>VLOOKUP(Tabla44[[#This Row],[ZONA DEFINITIVO]],[1]Hoja1!$A$1:$D$125,3,0)</f>
        <v>229934</v>
      </c>
      <c r="W40" s="12">
        <f>VLOOKUP(Tabla44[[#This Row],[ZONA DEFINITIVO]],[1]Hoja1!$A$1:$D$125,2,0)</f>
        <v>17254</v>
      </c>
      <c r="X40" s="12">
        <f>VLOOKUP(Tabla44[[#This Row],[ZONA DEFINITIVO]],[1]Hoja1!$A$1:$D$125,4,0)</f>
        <v>103725</v>
      </c>
      <c r="Y40" s="12" t="str">
        <f>+IF(Tabla44[[#This Row],[AGRUPACIONES]]=1,SUMIFS(Tabla44[UDS],Tabla44[ZONA DEFINITIVO],Tabla44[[#This Row],[ZONA DEFINITIVO]])," ")</f>
        <v xml:space="preserve"> </v>
      </c>
      <c r="Z40" s="12" t="str">
        <f>+IF(Tabla44[[#This Row],[AGRUPACIONES]]=1,SUMIFS(Tabla44[TOTAL COBERTURA],Tabla44[ZONA DEFINITIVO],Tabla44[[#This Row],[ZONA DEFINITIVO]])," ")</f>
        <v xml:space="preserve"> </v>
      </c>
      <c r="AA40" s="12"/>
      <c r="AB40" s="35">
        <v>13081158</v>
      </c>
      <c r="AC40" s="37">
        <v>0</v>
      </c>
      <c r="AD40" s="35">
        <f t="shared" si="1"/>
        <v>0</v>
      </c>
      <c r="AE40" s="12"/>
      <c r="AF40" s="12">
        <f>COUNTIF($A$20:A40,A40)</f>
        <v>11</v>
      </c>
      <c r="AG40" s="38">
        <v>13081158</v>
      </c>
      <c r="AH40" s="38">
        <f>Tabla44[[#This Row],[VALOR CONTRAPARTIDA]]+Tabla44[[#This Row],[TOTAL APORTES ICBF]]</f>
        <v>13081158</v>
      </c>
      <c r="AI40" s="35" t="str">
        <f>+IF(Tabla44[[#This Row],[AGRUPACIONES]]=1,SUMIFS(Tabla44[TOTAL APORTES ICBF],Tabla44[ZONA DEFINITIVO],Tabla44[[#This Row],[ZONA DEFINITIVO]])," ")</f>
        <v xml:space="preserve"> </v>
      </c>
      <c r="AJ40" s="38"/>
      <c r="AK40" s="38"/>
      <c r="AL40" s="35"/>
      <c r="AM40" s="35">
        <f>VLOOKUP(Tabla44[[#This Row],[SERVICIO 2025]],$J$2:$V$15,5,0)*Tabla44[[#This Row],[TOTAL COBERTURA]]</f>
        <v>296256</v>
      </c>
      <c r="AN40" s="35">
        <f>VLOOKUP(Tabla44[[#This Row],[SERVICIO 2025]],$J$2:$V$15,6,0)*Tabla44[[#This Row],[TOTAL COBERTURA]]</f>
        <v>246174</v>
      </c>
      <c r="AO40" s="35">
        <f>VLOOKUP(Tabla44[[#This Row],[SERVICIO 2025]],$J$2:$V$15,8,0)*Tabla44[[#This Row],[TOTAL COBERTURA]]</f>
        <v>174600</v>
      </c>
      <c r="AP40" s="35">
        <f>VLOOKUP(Tabla44[[#This Row],[SERVICIO 2025]],$J$2:$V$15,3,0)*Tabla44[[#This Row],[TOTAL COBERTURA]]*8</f>
        <v>12364128</v>
      </c>
      <c r="AQ40" s="35"/>
      <c r="AR40" s="35">
        <f>SUM(Tabla44[[#This Row],[VALOR FASE PREPARATORIA DE ALISTAMIENTO]:[VALOR RACION PREPARADA]])</f>
        <v>13081158</v>
      </c>
      <c r="AS40" s="35" t="str">
        <f>+IF(Tabla44[[#This Row],[AGRUPACIONES]]=1,SUMIFS(Tabla44[VALOR TOTAL],Tabla44[ZONA DEFINITIVO],Tabla44[[#This Row],[ZONA DEFINITIVO]])," ")</f>
        <v xml:space="preserve"> </v>
      </c>
      <c r="AT40" s="35">
        <f>VLOOKUP(Tabla44[[#This Row],[SERVICIO 2025]],$J$2:$V$15,10,0)*Tabla44[[#This Row],[TOTAL COBERTURA]]*$X$7</f>
        <v>8658384</v>
      </c>
      <c r="AU40" s="39">
        <f>Tabla44[[#This Row],[TOTAL CONTRATO (ICBF+EAS)]]+Tabla44[[#This Row],[VALOR COMPONENTE ALIMENTACION NO ASIGNADO]]</f>
        <v>21739542</v>
      </c>
      <c r="AV4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3098670</v>
      </c>
      <c r="AW40" s="35">
        <f>(VLOOKUP(Tabla44[[#This Row],[SERVICIO 2025]],$J$2:$V$15,3,0)*Tabla44[[#This Row],[TOTAL COBERTURA]])+VLOOKUP(Tabla44[[#This Row],[SERVICIO 2025]],$J$2:$V$15,10,0)*Tabla44[[#This Row],[TOTAL COBERTURA]]</f>
        <v>2627814</v>
      </c>
      <c r="AX40" s="35">
        <f>(VLOOKUP(Tabla44[[#This Row],[SERVICIO 2025]],$J$2:$V$15,3,0)*Tabla44[[#This Row],[TOTAL COBERTURA]])+VLOOKUP(Tabla44[[#This Row],[SERVICIO 2025]],$J$2:$V$15,10,0)*Tabla44[[#This Row],[TOTAL COBERTURA]]</f>
        <v>2627814</v>
      </c>
      <c r="AY40" s="35">
        <f>(VLOOKUP(Tabla44[[#This Row],[SERVICIO 2025]],$J$2:$V$15,3,0)*Tabla44[[#This Row],[TOTAL COBERTURA]])+VLOOKUP(Tabla44[[#This Row],[SERVICIO 2025]],$J$2:$V$15,10,0)*Tabla44[[#This Row],[TOTAL COBERTURA]]</f>
        <v>2627814</v>
      </c>
      <c r="AZ40" s="35">
        <f>(VLOOKUP(Tabla44[[#This Row],[SERVICIO 2025]],$J$2:$V$15,3,0)*Tabla44[[#This Row],[TOTAL COBERTURA]])+VLOOKUP(Tabla44[[#This Row],[SERVICIO 2025]],$J$2:$V$15,10,0)*Tabla44[[#This Row],[TOTAL COBERTURA]]</f>
        <v>2627814</v>
      </c>
      <c r="BA40" s="35">
        <f>(VLOOKUP(Tabla44[[#This Row],[SERVICIO 2025]],$J$2:$V$15,3,0)*Tabla44[[#This Row],[TOTAL COBERTURA]])+VLOOKUP(Tabla44[[#This Row],[SERVICIO 2025]],$J$2:$V$15,10,0)*Tabla44[[#This Row],[TOTAL COBERTURA]]</f>
        <v>2627814</v>
      </c>
      <c r="BB40" s="35">
        <f>(VLOOKUP(Tabla44[[#This Row],[SERVICIO 2025]],$J$2:$V$15,3,0)*Tabla44[[#This Row],[TOTAL COBERTURA]])+VLOOKUP(Tabla44[[#This Row],[SERVICIO 2025]],$J$2:$V$15,10,0)*Tabla44[[#This Row],[TOTAL COBERTURA]]</f>
        <v>2627814</v>
      </c>
      <c r="BC4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2873988</v>
      </c>
      <c r="BD40" s="35">
        <f>SUM(Tabla44[[#This Row],[DESEMBOLSO 1]:[DESEMBOLSO 8]])</f>
        <v>21739542</v>
      </c>
      <c r="BE40" s="12" t="b">
        <f>EXACT(Tabla44[[#This Row],[VALOR ATENCIÓN (8 MESES)]],Tabla44[[#This Row],[VALOR TOTAL]])</f>
        <v>1</v>
      </c>
      <c r="BF40" s="23">
        <f>Tabla44[[#This Row],[VALOR ATENCIÓN (8 MESES)]]-Tabla44[[#This Row],[VALOR TOTAL]]</f>
        <v>0</v>
      </c>
      <c r="BG40" s="12" t="b">
        <f>EXACT(Tabla44[[#This Row],[TOTAL DESEMBOLSOS]],Tabla44[[#This Row],[VALOR TOTAL DEL CONTRATO INCLUIDO EL COMPONENTE DE ALIMENTACIÓN]])</f>
        <v>1</v>
      </c>
      <c r="BH40" s="29">
        <f>Tabla44[[#This Row],[TOTAL DESEMBOLSOS]]-Tabla44[[#This Row],[VALOR TOTAL DEL CONTRATO INCLUIDO EL COMPONENTE DE ALIMENTACIÓN]]</f>
        <v>0</v>
      </c>
      <c r="BI40" t="s">
        <v>98</v>
      </c>
    </row>
    <row r="41" spans="1:61">
      <c r="A41" s="13">
        <v>1922</v>
      </c>
      <c r="B41" s="13"/>
      <c r="C41" s="12" t="s">
        <v>87</v>
      </c>
      <c r="D41" s="12" t="s">
        <v>205</v>
      </c>
      <c r="E41" s="12" t="s">
        <v>2872</v>
      </c>
      <c r="F41" s="12" t="s">
        <v>14</v>
      </c>
      <c r="G41" s="12" t="s">
        <v>90</v>
      </c>
      <c r="H41" s="12" t="s">
        <v>2895</v>
      </c>
      <c r="I41" s="36">
        <v>509100020636</v>
      </c>
      <c r="J41" s="12" t="s">
        <v>2896</v>
      </c>
      <c r="K41" s="12">
        <v>1</v>
      </c>
      <c r="L41" s="12">
        <v>84</v>
      </c>
      <c r="M41" s="12"/>
      <c r="N41" s="13">
        <v>1922</v>
      </c>
      <c r="O41" s="12" t="s">
        <v>2850</v>
      </c>
      <c r="P41" s="12"/>
      <c r="Q41" s="12"/>
      <c r="R41" s="12" t="s">
        <v>94</v>
      </c>
      <c r="S41" s="12">
        <v>10</v>
      </c>
      <c r="T41" s="12">
        <v>890901524</v>
      </c>
      <c r="U41" s="12" t="s">
        <v>2875</v>
      </c>
      <c r="V41" s="12">
        <f>VLOOKUP(Tabla44[[#This Row],[ZONA DEFINITIVO]],[1]Hoja1!$A$1:$D$125,3,0)</f>
        <v>229934</v>
      </c>
      <c r="W41" s="12">
        <f>VLOOKUP(Tabla44[[#This Row],[ZONA DEFINITIVO]],[1]Hoja1!$A$1:$D$125,2,0)</f>
        <v>17254</v>
      </c>
      <c r="X41" s="12">
        <f>VLOOKUP(Tabla44[[#This Row],[ZONA DEFINITIVO]],[1]Hoja1!$A$1:$D$125,4,0)</f>
        <v>103725</v>
      </c>
      <c r="Y41" s="12" t="str">
        <f>+IF(Tabla44[[#This Row],[AGRUPACIONES]]=1,SUMIFS(Tabla44[UDS],Tabla44[ZONA DEFINITIVO],Tabla44[[#This Row],[ZONA DEFINITIVO]])," ")</f>
        <v xml:space="preserve"> </v>
      </c>
      <c r="Z41" s="12" t="str">
        <f>+IF(Tabla44[[#This Row],[AGRUPACIONES]]=1,SUMIFS(Tabla44[TOTAL COBERTURA],Tabla44[ZONA DEFINITIVO],Tabla44[[#This Row],[ZONA DEFINITIVO]])," ")</f>
        <v xml:space="preserve"> </v>
      </c>
      <c r="AA41" s="12"/>
      <c r="AB41" s="35">
        <v>351863400</v>
      </c>
      <c r="AC41" s="37">
        <v>0</v>
      </c>
      <c r="AD41" s="35">
        <f t="shared" si="1"/>
        <v>0</v>
      </c>
      <c r="AE41" s="12"/>
      <c r="AF41" s="12">
        <f>COUNTIF($A$20:A41,A41)</f>
        <v>12</v>
      </c>
      <c r="AG41" s="38">
        <v>351863400</v>
      </c>
      <c r="AH41" s="38">
        <f>Tabla44[[#This Row],[VALOR CONTRAPARTIDA]]+Tabla44[[#This Row],[TOTAL APORTES ICBF]]</f>
        <v>351863400</v>
      </c>
      <c r="AI41" s="35" t="str">
        <f>+IF(Tabla44[[#This Row],[AGRUPACIONES]]=1,SUMIFS(Tabla44[TOTAL APORTES ICBF],Tabla44[ZONA DEFINITIVO],Tabla44[[#This Row],[ZONA DEFINITIVO]])," ")</f>
        <v xml:space="preserve"> </v>
      </c>
      <c r="AJ41" s="38"/>
      <c r="AK41" s="38"/>
      <c r="AL41" s="35"/>
      <c r="AM41" s="35">
        <f>VLOOKUP(Tabla44[[#This Row],[SERVICIO 2025]],$J$2:$V$15,5,0)*Tabla44[[#This Row],[TOTAL COBERTURA]]</f>
        <v>7404012</v>
      </c>
      <c r="AN41" s="35">
        <f>VLOOKUP(Tabla44[[#This Row],[SERVICIO 2025]],$J$2:$V$15,6,0)*Tabla44[[#This Row],[TOTAL COBERTURA]]</f>
        <v>6303612</v>
      </c>
      <c r="AO41" s="35">
        <f>VLOOKUP(Tabla44[[#This Row],[SERVICIO 2025]],$J$2:$V$15,8,0)*Tabla44[[#This Row],[TOTAL COBERTURA]]</f>
        <v>0</v>
      </c>
      <c r="AP41" s="35">
        <f>VLOOKUP(Tabla44[[#This Row],[SERVICIO 2025]],$J$2:$V$15,3,0)*Tabla44[[#This Row],[TOTAL COBERTURA]]*8</f>
        <v>338155776</v>
      </c>
      <c r="AQ41" s="35"/>
      <c r="AR41" s="35">
        <f>SUM(Tabla44[[#This Row],[VALOR FASE PREPARATORIA DE ALISTAMIENTO]:[VALOR RACION PREPARADA]])</f>
        <v>351863400</v>
      </c>
      <c r="AS41" s="35" t="str">
        <f>+IF(Tabla44[[#This Row],[AGRUPACIONES]]=1,SUMIFS(Tabla44[VALOR TOTAL],Tabla44[ZONA DEFINITIVO],Tabla44[[#This Row],[ZONA DEFINITIVO]])," ")</f>
        <v xml:space="preserve"> </v>
      </c>
      <c r="AT41" s="35">
        <f>VLOOKUP(Tabla44[[#This Row],[SERVICIO 2025]],$J$2:$V$15,10,0)*Tabla44[[#This Row],[TOTAL COBERTURA]]*$X$7</f>
        <v>0</v>
      </c>
      <c r="AU41" s="39">
        <f>Tabla44[[#This Row],[TOTAL CONTRATO (ICBF+EAS)]]+Tabla44[[#This Row],[VALOR COMPONENTE ALIMENTACION NO ASIGNADO]]</f>
        <v>351863400</v>
      </c>
      <c r="AV4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49673484</v>
      </c>
      <c r="AW41" s="35">
        <f>(VLOOKUP(Tabla44[[#This Row],[SERVICIO 2025]],$J$2:$V$15,3,0)*Tabla44[[#This Row],[TOTAL COBERTURA]])+VLOOKUP(Tabla44[[#This Row],[SERVICIO 2025]],$J$2:$V$15,10,0)*Tabla44[[#This Row],[TOTAL COBERTURA]]</f>
        <v>42269472</v>
      </c>
      <c r="AX41" s="35">
        <f>(VLOOKUP(Tabla44[[#This Row],[SERVICIO 2025]],$J$2:$V$15,3,0)*Tabla44[[#This Row],[TOTAL COBERTURA]])+VLOOKUP(Tabla44[[#This Row],[SERVICIO 2025]],$J$2:$V$15,10,0)*Tabla44[[#This Row],[TOTAL COBERTURA]]</f>
        <v>42269472</v>
      </c>
      <c r="AY41" s="35">
        <f>(VLOOKUP(Tabla44[[#This Row],[SERVICIO 2025]],$J$2:$V$15,3,0)*Tabla44[[#This Row],[TOTAL COBERTURA]])+VLOOKUP(Tabla44[[#This Row],[SERVICIO 2025]],$J$2:$V$15,10,0)*Tabla44[[#This Row],[TOTAL COBERTURA]]</f>
        <v>42269472</v>
      </c>
      <c r="AZ41" s="35">
        <f>(VLOOKUP(Tabla44[[#This Row],[SERVICIO 2025]],$J$2:$V$15,3,0)*Tabla44[[#This Row],[TOTAL COBERTURA]])+VLOOKUP(Tabla44[[#This Row],[SERVICIO 2025]],$J$2:$V$15,10,0)*Tabla44[[#This Row],[TOTAL COBERTURA]]</f>
        <v>42269472</v>
      </c>
      <c r="BA41" s="35">
        <f>(VLOOKUP(Tabla44[[#This Row],[SERVICIO 2025]],$J$2:$V$15,3,0)*Tabla44[[#This Row],[TOTAL COBERTURA]])+VLOOKUP(Tabla44[[#This Row],[SERVICIO 2025]],$J$2:$V$15,10,0)*Tabla44[[#This Row],[TOTAL COBERTURA]]</f>
        <v>42269472</v>
      </c>
      <c r="BB41" s="35">
        <f>(VLOOKUP(Tabla44[[#This Row],[SERVICIO 2025]],$J$2:$V$15,3,0)*Tabla44[[#This Row],[TOTAL COBERTURA]])+VLOOKUP(Tabla44[[#This Row],[SERVICIO 2025]],$J$2:$V$15,10,0)*Tabla44[[#This Row],[TOTAL COBERTURA]]</f>
        <v>42269472</v>
      </c>
      <c r="BC4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48573084</v>
      </c>
      <c r="BD41" s="35">
        <f>SUM(Tabla44[[#This Row],[DESEMBOLSO 1]:[DESEMBOLSO 8]])</f>
        <v>351863400</v>
      </c>
      <c r="BE41" s="12" t="b">
        <f>EXACT(Tabla44[[#This Row],[VALOR ATENCIÓN (8 MESES)]],Tabla44[[#This Row],[VALOR TOTAL]])</f>
        <v>1</v>
      </c>
      <c r="BF41" s="23">
        <f>Tabla44[[#This Row],[VALOR ATENCIÓN (8 MESES)]]-Tabla44[[#This Row],[VALOR TOTAL]]</f>
        <v>0</v>
      </c>
      <c r="BG41" s="12" t="b">
        <f>EXACT(Tabla44[[#This Row],[TOTAL DESEMBOLSOS]],Tabla44[[#This Row],[VALOR TOTAL DEL CONTRATO INCLUIDO EL COMPONENTE DE ALIMENTACIÓN]])</f>
        <v>1</v>
      </c>
      <c r="BH41" s="29">
        <f>Tabla44[[#This Row],[TOTAL DESEMBOLSOS]]-Tabla44[[#This Row],[VALOR TOTAL DEL CONTRATO INCLUIDO EL COMPONENTE DE ALIMENTACIÓN]]</f>
        <v>0</v>
      </c>
      <c r="BI41" t="s">
        <v>98</v>
      </c>
    </row>
    <row r="42" spans="1:61">
      <c r="A42" s="13">
        <v>1922</v>
      </c>
      <c r="B42" s="13"/>
      <c r="C42" s="12" t="s">
        <v>87</v>
      </c>
      <c r="D42" s="12" t="s">
        <v>205</v>
      </c>
      <c r="E42" s="12" t="s">
        <v>2872</v>
      </c>
      <c r="F42" s="12" t="s">
        <v>18</v>
      </c>
      <c r="G42" s="12" t="s">
        <v>90</v>
      </c>
      <c r="H42" s="12" t="s">
        <v>2897</v>
      </c>
      <c r="I42" s="36">
        <v>509100100154</v>
      </c>
      <c r="J42" s="12" t="s">
        <v>2898</v>
      </c>
      <c r="K42" s="12">
        <v>1</v>
      </c>
      <c r="L42" s="12">
        <v>15</v>
      </c>
      <c r="M42" s="12"/>
      <c r="N42" s="13">
        <v>1922</v>
      </c>
      <c r="O42" s="12" t="s">
        <v>2850</v>
      </c>
      <c r="P42" s="12"/>
      <c r="Q42" s="12"/>
      <c r="R42" s="12" t="s">
        <v>94</v>
      </c>
      <c r="S42" s="12">
        <v>10</v>
      </c>
      <c r="T42" s="12">
        <v>890901524</v>
      </c>
      <c r="U42" s="12" t="s">
        <v>2875</v>
      </c>
      <c r="V42" s="12">
        <f>VLOOKUP(Tabla44[[#This Row],[ZONA DEFINITIVO]],[1]Hoja1!$A$1:$D$125,3,0)</f>
        <v>229934</v>
      </c>
      <c r="W42" s="12">
        <f>VLOOKUP(Tabla44[[#This Row],[ZONA DEFINITIVO]],[1]Hoja1!$A$1:$D$125,2,0)</f>
        <v>17254</v>
      </c>
      <c r="X42" s="12">
        <f>VLOOKUP(Tabla44[[#This Row],[ZONA DEFINITIVO]],[1]Hoja1!$A$1:$D$125,4,0)</f>
        <v>103725</v>
      </c>
      <c r="Y42" s="12" t="str">
        <f>+IF(Tabla44[[#This Row],[AGRUPACIONES]]=1,SUMIFS(Tabla44[UDS],Tabla44[ZONA DEFINITIVO],Tabla44[[#This Row],[ZONA DEFINITIVO]])," ")</f>
        <v xml:space="preserve"> </v>
      </c>
      <c r="Z42" s="12" t="str">
        <f>+IF(Tabla44[[#This Row],[AGRUPACIONES]]=1,SUMIFS(Tabla44[TOTAL COBERTURA],Tabla44[ZONA DEFINITIVO],Tabla44[[#This Row],[ZONA DEFINITIVO]])," ")</f>
        <v xml:space="preserve"> </v>
      </c>
      <c r="AA42" s="12"/>
      <c r="AB42" s="35">
        <v>32702895</v>
      </c>
      <c r="AC42" s="37">
        <v>0</v>
      </c>
      <c r="AD42" s="35">
        <f t="shared" si="1"/>
        <v>0</v>
      </c>
      <c r="AE42" s="12"/>
      <c r="AF42" s="12">
        <f>COUNTIF($A$20:A42,A42)</f>
        <v>13</v>
      </c>
      <c r="AG42" s="38">
        <v>32702895</v>
      </c>
      <c r="AH42" s="38">
        <f>Tabla44[[#This Row],[VALOR CONTRAPARTIDA]]+Tabla44[[#This Row],[TOTAL APORTES ICBF]]</f>
        <v>32702895</v>
      </c>
      <c r="AI42" s="35" t="str">
        <f>+IF(Tabla44[[#This Row],[AGRUPACIONES]]=1,SUMIFS(Tabla44[TOTAL APORTES ICBF],Tabla44[ZONA DEFINITIVO],Tabla44[[#This Row],[ZONA DEFINITIVO]])," ")</f>
        <v xml:space="preserve"> </v>
      </c>
      <c r="AJ42" s="38"/>
      <c r="AK42" s="38"/>
      <c r="AL42" s="35"/>
      <c r="AM42" s="35">
        <f>VLOOKUP(Tabla44[[#This Row],[SERVICIO 2025]],$J$2:$V$15,5,0)*Tabla44[[#This Row],[TOTAL COBERTURA]]</f>
        <v>740640</v>
      </c>
      <c r="AN42" s="35">
        <f>VLOOKUP(Tabla44[[#This Row],[SERVICIO 2025]],$J$2:$V$15,6,0)*Tabla44[[#This Row],[TOTAL COBERTURA]]</f>
        <v>615435</v>
      </c>
      <c r="AO42" s="35">
        <f>VLOOKUP(Tabla44[[#This Row],[SERVICIO 2025]],$J$2:$V$15,8,0)*Tabla44[[#This Row],[TOTAL COBERTURA]]</f>
        <v>436500</v>
      </c>
      <c r="AP42" s="35">
        <f>VLOOKUP(Tabla44[[#This Row],[SERVICIO 2025]],$J$2:$V$15,3,0)*Tabla44[[#This Row],[TOTAL COBERTURA]]*8</f>
        <v>30910320</v>
      </c>
      <c r="AQ42" s="35"/>
      <c r="AR42" s="35">
        <f>SUM(Tabla44[[#This Row],[VALOR FASE PREPARATORIA DE ALISTAMIENTO]:[VALOR RACION PREPARADA]])</f>
        <v>32702895</v>
      </c>
      <c r="AS42" s="35" t="str">
        <f>+IF(Tabla44[[#This Row],[AGRUPACIONES]]=1,SUMIFS(Tabla44[VALOR TOTAL],Tabla44[ZONA DEFINITIVO],Tabla44[[#This Row],[ZONA DEFINITIVO]])," ")</f>
        <v xml:space="preserve"> </v>
      </c>
      <c r="AT42" s="35">
        <f>VLOOKUP(Tabla44[[#This Row],[SERVICIO 2025]],$J$2:$V$15,10,0)*Tabla44[[#This Row],[TOTAL COBERTURA]]*$X$7</f>
        <v>21645960</v>
      </c>
      <c r="AU42" s="39">
        <f>Tabla44[[#This Row],[TOTAL CONTRATO (ICBF+EAS)]]+Tabla44[[#This Row],[VALOR COMPONENTE ALIMENTACION NO ASIGNADO]]</f>
        <v>54348855</v>
      </c>
      <c r="AV4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42" s="35">
        <f>(VLOOKUP(Tabla44[[#This Row],[SERVICIO 2025]],$J$2:$V$15,3,0)*Tabla44[[#This Row],[TOTAL COBERTURA]])+VLOOKUP(Tabla44[[#This Row],[SERVICIO 2025]],$J$2:$V$15,10,0)*Tabla44[[#This Row],[TOTAL COBERTURA]]</f>
        <v>6569535</v>
      </c>
      <c r="AX42" s="35">
        <f>(VLOOKUP(Tabla44[[#This Row],[SERVICIO 2025]],$J$2:$V$15,3,0)*Tabla44[[#This Row],[TOTAL COBERTURA]])+VLOOKUP(Tabla44[[#This Row],[SERVICIO 2025]],$J$2:$V$15,10,0)*Tabla44[[#This Row],[TOTAL COBERTURA]]</f>
        <v>6569535</v>
      </c>
      <c r="AY42" s="35">
        <f>(VLOOKUP(Tabla44[[#This Row],[SERVICIO 2025]],$J$2:$V$15,3,0)*Tabla44[[#This Row],[TOTAL COBERTURA]])+VLOOKUP(Tabla44[[#This Row],[SERVICIO 2025]],$J$2:$V$15,10,0)*Tabla44[[#This Row],[TOTAL COBERTURA]]</f>
        <v>6569535</v>
      </c>
      <c r="AZ42" s="35">
        <f>(VLOOKUP(Tabla44[[#This Row],[SERVICIO 2025]],$J$2:$V$15,3,0)*Tabla44[[#This Row],[TOTAL COBERTURA]])+VLOOKUP(Tabla44[[#This Row],[SERVICIO 2025]],$J$2:$V$15,10,0)*Tabla44[[#This Row],[TOTAL COBERTURA]]</f>
        <v>6569535</v>
      </c>
      <c r="BA42" s="35">
        <f>(VLOOKUP(Tabla44[[#This Row],[SERVICIO 2025]],$J$2:$V$15,3,0)*Tabla44[[#This Row],[TOTAL COBERTURA]])+VLOOKUP(Tabla44[[#This Row],[SERVICIO 2025]],$J$2:$V$15,10,0)*Tabla44[[#This Row],[TOTAL COBERTURA]]</f>
        <v>6569535</v>
      </c>
      <c r="BB42" s="35">
        <f>(VLOOKUP(Tabla44[[#This Row],[SERVICIO 2025]],$J$2:$V$15,3,0)*Tabla44[[#This Row],[TOTAL COBERTURA]])+VLOOKUP(Tabla44[[#This Row],[SERVICIO 2025]],$J$2:$V$15,10,0)*Tabla44[[#This Row],[TOTAL COBERTURA]]</f>
        <v>6569535</v>
      </c>
      <c r="BC4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42" s="35">
        <f>SUM(Tabla44[[#This Row],[DESEMBOLSO 1]:[DESEMBOLSO 8]])</f>
        <v>54348855</v>
      </c>
      <c r="BE42" s="12" t="b">
        <f>EXACT(Tabla44[[#This Row],[VALOR ATENCIÓN (8 MESES)]],Tabla44[[#This Row],[VALOR TOTAL]])</f>
        <v>1</v>
      </c>
      <c r="BF42" s="23">
        <f>Tabla44[[#This Row],[VALOR ATENCIÓN (8 MESES)]]-Tabla44[[#This Row],[VALOR TOTAL]]</f>
        <v>0</v>
      </c>
      <c r="BG42" s="12" t="b">
        <f>EXACT(Tabla44[[#This Row],[TOTAL DESEMBOLSOS]],Tabla44[[#This Row],[VALOR TOTAL DEL CONTRATO INCLUIDO EL COMPONENTE DE ALIMENTACIÓN]])</f>
        <v>1</v>
      </c>
      <c r="BH42" s="29">
        <f>Tabla44[[#This Row],[TOTAL DESEMBOLSOS]]-Tabla44[[#This Row],[VALOR TOTAL DEL CONTRATO INCLUIDO EL COMPONENTE DE ALIMENTACIÓN]]</f>
        <v>0</v>
      </c>
      <c r="BI42" t="s">
        <v>98</v>
      </c>
    </row>
    <row r="43" spans="1:61">
      <c r="A43" s="13">
        <v>1922</v>
      </c>
      <c r="B43" s="13"/>
      <c r="C43" s="12" t="s">
        <v>87</v>
      </c>
      <c r="D43" s="12" t="s">
        <v>205</v>
      </c>
      <c r="E43" s="12" t="s">
        <v>2899</v>
      </c>
      <c r="F43" s="12" t="s">
        <v>21</v>
      </c>
      <c r="G43" s="12" t="s">
        <v>90</v>
      </c>
      <c r="H43" s="12" t="s">
        <v>2900</v>
      </c>
      <c r="I43" s="36">
        <v>51451114953</v>
      </c>
      <c r="J43" s="12" t="s">
        <v>2901</v>
      </c>
      <c r="K43" s="12">
        <v>1</v>
      </c>
      <c r="L43" s="12">
        <v>11</v>
      </c>
      <c r="M43" s="12"/>
      <c r="N43" s="13">
        <v>1922</v>
      </c>
      <c r="O43" s="12" t="s">
        <v>2850</v>
      </c>
      <c r="P43" s="12"/>
      <c r="Q43" s="12"/>
      <c r="R43" s="12" t="s">
        <v>94</v>
      </c>
      <c r="S43" s="12">
        <v>10</v>
      </c>
      <c r="T43" s="12">
        <v>890901524</v>
      </c>
      <c r="U43" s="12" t="s">
        <v>2875</v>
      </c>
      <c r="V43" s="12">
        <f>VLOOKUP(Tabla44[[#This Row],[ZONA DEFINITIVO]],[1]Hoja1!$A$1:$D$125,3,0)</f>
        <v>229934</v>
      </c>
      <c r="W43" s="12">
        <f>VLOOKUP(Tabla44[[#This Row],[ZONA DEFINITIVO]],[1]Hoja1!$A$1:$D$125,2,0)</f>
        <v>17254</v>
      </c>
      <c r="X43" s="12">
        <f>VLOOKUP(Tabla44[[#This Row],[ZONA DEFINITIVO]],[1]Hoja1!$A$1:$D$125,4,0)</f>
        <v>103725</v>
      </c>
      <c r="Y43" s="12" t="str">
        <f>+IF(Tabla44[[#This Row],[AGRUPACIONES]]=1,SUMIFS(Tabla44[UDS],Tabla44[ZONA DEFINITIVO],Tabla44[[#This Row],[ZONA DEFINITIVO]])," ")</f>
        <v xml:space="preserve"> </v>
      </c>
      <c r="Z43" s="12" t="str">
        <f>+IF(Tabla44[[#This Row],[AGRUPACIONES]]=1,SUMIFS(Tabla44[TOTAL COBERTURA],Tabla44[ZONA DEFINITIVO],Tabla44[[#This Row],[ZONA DEFINITIVO]])," ")</f>
        <v xml:space="preserve"> </v>
      </c>
      <c r="AA43" s="12"/>
      <c r="AB43" s="35">
        <v>16712355</v>
      </c>
      <c r="AC43" s="37">
        <v>0</v>
      </c>
      <c r="AD43" s="35">
        <f t="shared" si="1"/>
        <v>0</v>
      </c>
      <c r="AE43" s="12"/>
      <c r="AF43" s="12">
        <f>COUNTIF($A$20:A43,A43)</f>
        <v>14</v>
      </c>
      <c r="AG43" s="38">
        <v>16712355</v>
      </c>
      <c r="AH43" s="38">
        <f>Tabla44[[#This Row],[VALOR CONTRAPARTIDA]]+Tabla44[[#This Row],[TOTAL APORTES ICBF]]</f>
        <v>16712355</v>
      </c>
      <c r="AI43" s="35" t="str">
        <f>+IF(Tabla44[[#This Row],[AGRUPACIONES]]=1,SUMIFS(Tabla44[TOTAL APORTES ICBF],Tabla44[ZONA DEFINITIVO],Tabla44[[#This Row],[ZONA DEFINITIVO]])," ")</f>
        <v xml:space="preserve"> </v>
      </c>
      <c r="AJ43" s="38"/>
      <c r="AK43" s="38"/>
      <c r="AL43" s="35"/>
      <c r="AM43" s="35">
        <f>VLOOKUP(Tabla44[[#This Row],[SERVICIO 2025]],$J$2:$V$15,5,0)*Tabla44[[#This Row],[TOTAL COBERTURA]]</f>
        <v>514184</v>
      </c>
      <c r="AN43" s="35">
        <f>VLOOKUP(Tabla44[[#This Row],[SERVICIO 2025]],$J$2:$V$15,6,0)*Tabla44[[#This Row],[TOTAL COBERTURA]]</f>
        <v>416251</v>
      </c>
      <c r="AO43" s="35">
        <f>VLOOKUP(Tabla44[[#This Row],[SERVICIO 2025]],$J$2:$V$15,8,0)*Tabla44[[#This Row],[TOTAL COBERTURA]]</f>
        <v>0</v>
      </c>
      <c r="AP43" s="35">
        <f>VLOOKUP(Tabla44[[#This Row],[SERVICIO 2025]],$J$2:$V$15,3,0)*Tabla44[[#This Row],[TOTAL COBERTURA]]*8</f>
        <v>15781920</v>
      </c>
      <c r="AQ43" s="35"/>
      <c r="AR43" s="35">
        <f>SUM(Tabla44[[#This Row],[VALOR FASE PREPARATORIA DE ALISTAMIENTO]:[VALOR RACION PREPARADA]])</f>
        <v>16712355</v>
      </c>
      <c r="AS43" s="35" t="str">
        <f>+IF(Tabla44[[#This Row],[AGRUPACIONES]]=1,SUMIFS(Tabla44[VALOR TOTAL],Tabla44[ZONA DEFINITIVO],Tabla44[[#This Row],[ZONA DEFINITIVO]])," ")</f>
        <v xml:space="preserve"> </v>
      </c>
      <c r="AT43" s="35">
        <f>VLOOKUP(Tabla44[[#This Row],[SERVICIO 2025]],$J$2:$V$15,10,0)*Tabla44[[#This Row],[TOTAL COBERTURA]]*$X$7</f>
        <v>16572248</v>
      </c>
      <c r="AU43" s="39">
        <f>Tabla44[[#This Row],[TOTAL CONTRATO (ICBF+EAS)]]+Tabla44[[#This Row],[VALOR COMPONENTE ALIMENTACION NO ASIGNADO]]</f>
        <v>33284603</v>
      </c>
      <c r="AV4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43" s="35">
        <f>(VLOOKUP(Tabla44[[#This Row],[SERVICIO 2025]],$J$2:$V$15,3,0)*Tabla44[[#This Row],[TOTAL COBERTURA]])+VLOOKUP(Tabla44[[#This Row],[SERVICIO 2025]],$J$2:$V$15,10,0)*Tabla44[[#This Row],[TOTAL COBERTURA]]</f>
        <v>4044271</v>
      </c>
      <c r="AX43" s="35">
        <f>(VLOOKUP(Tabla44[[#This Row],[SERVICIO 2025]],$J$2:$V$15,3,0)*Tabla44[[#This Row],[TOTAL COBERTURA]])+VLOOKUP(Tabla44[[#This Row],[SERVICIO 2025]],$J$2:$V$15,10,0)*Tabla44[[#This Row],[TOTAL COBERTURA]]</f>
        <v>4044271</v>
      </c>
      <c r="AY43" s="35">
        <f>(VLOOKUP(Tabla44[[#This Row],[SERVICIO 2025]],$J$2:$V$15,3,0)*Tabla44[[#This Row],[TOTAL COBERTURA]])+VLOOKUP(Tabla44[[#This Row],[SERVICIO 2025]],$J$2:$V$15,10,0)*Tabla44[[#This Row],[TOTAL COBERTURA]]</f>
        <v>4044271</v>
      </c>
      <c r="AZ43" s="35">
        <f>(VLOOKUP(Tabla44[[#This Row],[SERVICIO 2025]],$J$2:$V$15,3,0)*Tabla44[[#This Row],[TOTAL COBERTURA]])+VLOOKUP(Tabla44[[#This Row],[SERVICIO 2025]],$J$2:$V$15,10,0)*Tabla44[[#This Row],[TOTAL COBERTURA]]</f>
        <v>4044271</v>
      </c>
      <c r="BA43" s="35">
        <f>(VLOOKUP(Tabla44[[#This Row],[SERVICIO 2025]],$J$2:$V$15,3,0)*Tabla44[[#This Row],[TOTAL COBERTURA]])+VLOOKUP(Tabla44[[#This Row],[SERVICIO 2025]],$J$2:$V$15,10,0)*Tabla44[[#This Row],[TOTAL COBERTURA]]</f>
        <v>4044271</v>
      </c>
      <c r="BB43" s="35">
        <f>(VLOOKUP(Tabla44[[#This Row],[SERVICIO 2025]],$J$2:$V$15,3,0)*Tabla44[[#This Row],[TOTAL COBERTURA]])+VLOOKUP(Tabla44[[#This Row],[SERVICIO 2025]],$J$2:$V$15,10,0)*Tabla44[[#This Row],[TOTAL COBERTURA]]</f>
        <v>4044271</v>
      </c>
      <c r="BC4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43" s="35">
        <f>SUM(Tabla44[[#This Row],[DESEMBOLSO 1]:[DESEMBOLSO 8]])</f>
        <v>33284603</v>
      </c>
      <c r="BE43" s="12" t="b">
        <f>EXACT(Tabla44[[#This Row],[VALOR ATENCIÓN (8 MESES)]],Tabla44[[#This Row],[VALOR TOTAL]])</f>
        <v>1</v>
      </c>
      <c r="BF43" s="23">
        <f>Tabla44[[#This Row],[VALOR ATENCIÓN (8 MESES)]]-Tabla44[[#This Row],[VALOR TOTAL]]</f>
        <v>0</v>
      </c>
      <c r="BG43" s="12" t="b">
        <f>EXACT(Tabla44[[#This Row],[TOTAL DESEMBOLSOS]],Tabla44[[#This Row],[VALOR TOTAL DEL CONTRATO INCLUIDO EL COMPONENTE DE ALIMENTACIÓN]])</f>
        <v>1</v>
      </c>
      <c r="BH43" s="29">
        <f>Tabla44[[#This Row],[TOTAL DESEMBOLSOS]]-Tabla44[[#This Row],[VALOR TOTAL DEL CONTRATO INCLUIDO EL COMPONENTE DE ALIMENTACIÓN]]</f>
        <v>0</v>
      </c>
      <c r="BI43" t="s">
        <v>98</v>
      </c>
    </row>
    <row r="44" spans="1:61">
      <c r="A44" s="13">
        <v>1922</v>
      </c>
      <c r="B44" s="13"/>
      <c r="C44" s="12" t="s">
        <v>87</v>
      </c>
      <c r="D44" s="12" t="s">
        <v>205</v>
      </c>
      <c r="E44" s="12" t="s">
        <v>2899</v>
      </c>
      <c r="F44" s="12" t="s">
        <v>21</v>
      </c>
      <c r="G44" s="12" t="s">
        <v>90</v>
      </c>
      <c r="H44" s="12" t="s">
        <v>2902</v>
      </c>
      <c r="I44" s="36">
        <v>51451137292</v>
      </c>
      <c r="J44" s="12" t="s">
        <v>2903</v>
      </c>
      <c r="K44" s="12">
        <v>1</v>
      </c>
      <c r="L44" s="12">
        <v>9</v>
      </c>
      <c r="M44" s="12"/>
      <c r="N44" s="13">
        <v>1922</v>
      </c>
      <c r="O44" s="12" t="s">
        <v>2850</v>
      </c>
      <c r="P44" s="12"/>
      <c r="Q44" s="12"/>
      <c r="R44" s="12" t="s">
        <v>94</v>
      </c>
      <c r="S44" s="12">
        <v>10</v>
      </c>
      <c r="T44" s="12">
        <v>890901524</v>
      </c>
      <c r="U44" s="12" t="s">
        <v>2875</v>
      </c>
      <c r="V44" s="12">
        <f>VLOOKUP(Tabla44[[#This Row],[ZONA DEFINITIVO]],[1]Hoja1!$A$1:$D$125,3,0)</f>
        <v>229934</v>
      </c>
      <c r="W44" s="12">
        <f>VLOOKUP(Tabla44[[#This Row],[ZONA DEFINITIVO]],[1]Hoja1!$A$1:$D$125,2,0)</f>
        <v>17254</v>
      </c>
      <c r="X44" s="12">
        <f>VLOOKUP(Tabla44[[#This Row],[ZONA DEFINITIVO]],[1]Hoja1!$A$1:$D$125,4,0)</f>
        <v>103725</v>
      </c>
      <c r="Y44" s="12" t="str">
        <f>+IF(Tabla44[[#This Row],[AGRUPACIONES]]=1,SUMIFS(Tabla44[UDS],Tabla44[ZONA DEFINITIVO],Tabla44[[#This Row],[ZONA DEFINITIVO]])," ")</f>
        <v xml:space="preserve"> </v>
      </c>
      <c r="Z44" s="12" t="str">
        <f>+IF(Tabla44[[#This Row],[AGRUPACIONES]]=1,SUMIFS(Tabla44[TOTAL COBERTURA],Tabla44[ZONA DEFINITIVO],Tabla44[[#This Row],[ZONA DEFINITIVO]])," ")</f>
        <v xml:space="preserve"> </v>
      </c>
      <c r="AA44" s="12"/>
      <c r="AB44" s="35">
        <v>13673745</v>
      </c>
      <c r="AC44" s="37">
        <v>0</v>
      </c>
      <c r="AD44" s="35">
        <f t="shared" si="1"/>
        <v>0</v>
      </c>
      <c r="AE44" s="12"/>
      <c r="AF44" s="12">
        <f>COUNTIF($A$20:A44,A44)</f>
        <v>15</v>
      </c>
      <c r="AG44" s="38">
        <v>13673745</v>
      </c>
      <c r="AH44" s="38">
        <f>Tabla44[[#This Row],[VALOR CONTRAPARTIDA]]+Tabla44[[#This Row],[TOTAL APORTES ICBF]]</f>
        <v>13673745</v>
      </c>
      <c r="AI44" s="35" t="str">
        <f>+IF(Tabla44[[#This Row],[AGRUPACIONES]]=1,SUMIFS(Tabla44[TOTAL APORTES ICBF],Tabla44[ZONA DEFINITIVO],Tabla44[[#This Row],[ZONA DEFINITIVO]])," ")</f>
        <v xml:space="preserve"> </v>
      </c>
      <c r="AJ44" s="38"/>
      <c r="AK44" s="38"/>
      <c r="AL44" s="35"/>
      <c r="AM44" s="35">
        <f>VLOOKUP(Tabla44[[#This Row],[SERVICIO 2025]],$J$2:$V$15,5,0)*Tabla44[[#This Row],[TOTAL COBERTURA]]</f>
        <v>420696</v>
      </c>
      <c r="AN44" s="35">
        <f>VLOOKUP(Tabla44[[#This Row],[SERVICIO 2025]],$J$2:$V$15,6,0)*Tabla44[[#This Row],[TOTAL COBERTURA]]</f>
        <v>340569</v>
      </c>
      <c r="AO44" s="35">
        <f>VLOOKUP(Tabla44[[#This Row],[SERVICIO 2025]],$J$2:$V$15,8,0)*Tabla44[[#This Row],[TOTAL COBERTURA]]</f>
        <v>0</v>
      </c>
      <c r="AP44" s="35">
        <f>VLOOKUP(Tabla44[[#This Row],[SERVICIO 2025]],$J$2:$V$15,3,0)*Tabla44[[#This Row],[TOTAL COBERTURA]]*8</f>
        <v>12912480</v>
      </c>
      <c r="AQ44" s="35"/>
      <c r="AR44" s="35">
        <f>SUM(Tabla44[[#This Row],[VALOR FASE PREPARATORIA DE ALISTAMIENTO]:[VALOR RACION PREPARADA]])</f>
        <v>13673745</v>
      </c>
      <c r="AS44" s="35" t="str">
        <f>+IF(Tabla44[[#This Row],[AGRUPACIONES]]=1,SUMIFS(Tabla44[VALOR TOTAL],Tabla44[ZONA DEFINITIVO],Tabla44[[#This Row],[ZONA DEFINITIVO]])," ")</f>
        <v xml:space="preserve"> </v>
      </c>
      <c r="AT44" s="35">
        <f>VLOOKUP(Tabla44[[#This Row],[SERVICIO 2025]],$J$2:$V$15,10,0)*Tabla44[[#This Row],[TOTAL COBERTURA]]*$X$7</f>
        <v>13559112</v>
      </c>
      <c r="AU44" s="39">
        <f>Tabla44[[#This Row],[TOTAL CONTRATO (ICBF+EAS)]]+Tabla44[[#This Row],[VALOR COMPONENTE ALIMENTACION NO ASIGNADO]]</f>
        <v>27232857</v>
      </c>
      <c r="AV4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3729645</v>
      </c>
      <c r="AW44" s="35">
        <f>(VLOOKUP(Tabla44[[#This Row],[SERVICIO 2025]],$J$2:$V$15,3,0)*Tabla44[[#This Row],[TOTAL COBERTURA]])+VLOOKUP(Tabla44[[#This Row],[SERVICIO 2025]],$J$2:$V$15,10,0)*Tabla44[[#This Row],[TOTAL COBERTURA]]</f>
        <v>3308949</v>
      </c>
      <c r="AX44" s="35">
        <f>(VLOOKUP(Tabla44[[#This Row],[SERVICIO 2025]],$J$2:$V$15,3,0)*Tabla44[[#This Row],[TOTAL COBERTURA]])+VLOOKUP(Tabla44[[#This Row],[SERVICIO 2025]],$J$2:$V$15,10,0)*Tabla44[[#This Row],[TOTAL COBERTURA]]</f>
        <v>3308949</v>
      </c>
      <c r="AY44" s="35">
        <f>(VLOOKUP(Tabla44[[#This Row],[SERVICIO 2025]],$J$2:$V$15,3,0)*Tabla44[[#This Row],[TOTAL COBERTURA]])+VLOOKUP(Tabla44[[#This Row],[SERVICIO 2025]],$J$2:$V$15,10,0)*Tabla44[[#This Row],[TOTAL COBERTURA]]</f>
        <v>3308949</v>
      </c>
      <c r="AZ44" s="35">
        <f>(VLOOKUP(Tabla44[[#This Row],[SERVICIO 2025]],$J$2:$V$15,3,0)*Tabla44[[#This Row],[TOTAL COBERTURA]])+VLOOKUP(Tabla44[[#This Row],[SERVICIO 2025]],$J$2:$V$15,10,0)*Tabla44[[#This Row],[TOTAL COBERTURA]]</f>
        <v>3308949</v>
      </c>
      <c r="BA44" s="35">
        <f>(VLOOKUP(Tabla44[[#This Row],[SERVICIO 2025]],$J$2:$V$15,3,0)*Tabla44[[#This Row],[TOTAL COBERTURA]])+VLOOKUP(Tabla44[[#This Row],[SERVICIO 2025]],$J$2:$V$15,10,0)*Tabla44[[#This Row],[TOTAL COBERTURA]]</f>
        <v>3308949</v>
      </c>
      <c r="BB44" s="35">
        <f>(VLOOKUP(Tabla44[[#This Row],[SERVICIO 2025]],$J$2:$V$15,3,0)*Tabla44[[#This Row],[TOTAL COBERTURA]])+VLOOKUP(Tabla44[[#This Row],[SERVICIO 2025]],$J$2:$V$15,10,0)*Tabla44[[#This Row],[TOTAL COBERTURA]]</f>
        <v>3308949</v>
      </c>
      <c r="BC4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3649518</v>
      </c>
      <c r="BD44" s="35">
        <f>SUM(Tabla44[[#This Row],[DESEMBOLSO 1]:[DESEMBOLSO 8]])</f>
        <v>27232857</v>
      </c>
      <c r="BE44" s="12" t="b">
        <f>EXACT(Tabla44[[#This Row],[VALOR ATENCIÓN (8 MESES)]],Tabla44[[#This Row],[VALOR TOTAL]])</f>
        <v>1</v>
      </c>
      <c r="BF44" s="23">
        <f>Tabla44[[#This Row],[VALOR ATENCIÓN (8 MESES)]]-Tabla44[[#This Row],[VALOR TOTAL]]</f>
        <v>0</v>
      </c>
      <c r="BG44" s="12" t="b">
        <f>EXACT(Tabla44[[#This Row],[TOTAL DESEMBOLSOS]],Tabla44[[#This Row],[VALOR TOTAL DEL CONTRATO INCLUIDO EL COMPONENTE DE ALIMENTACIÓN]])</f>
        <v>1</v>
      </c>
      <c r="BH44" s="29">
        <f>Tabla44[[#This Row],[TOTAL DESEMBOLSOS]]-Tabla44[[#This Row],[VALOR TOTAL DEL CONTRATO INCLUIDO EL COMPONENTE DE ALIMENTACIÓN]]</f>
        <v>0</v>
      </c>
      <c r="BI44" t="s">
        <v>98</v>
      </c>
    </row>
    <row r="45" spans="1:61">
      <c r="A45" s="13">
        <v>1922</v>
      </c>
      <c r="B45" s="13"/>
      <c r="C45" s="12" t="s">
        <v>87</v>
      </c>
      <c r="D45" s="12" t="s">
        <v>205</v>
      </c>
      <c r="E45" s="12" t="s">
        <v>2899</v>
      </c>
      <c r="F45" s="12" t="s">
        <v>21</v>
      </c>
      <c r="G45" s="12" t="s">
        <v>90</v>
      </c>
      <c r="H45" s="12" t="s">
        <v>2904</v>
      </c>
      <c r="I45" s="36">
        <v>51451137294</v>
      </c>
      <c r="J45" s="12" t="s">
        <v>2905</v>
      </c>
      <c r="K45" s="12">
        <v>1</v>
      </c>
      <c r="L45" s="12">
        <v>11</v>
      </c>
      <c r="M45" s="12"/>
      <c r="N45" s="13">
        <v>1922</v>
      </c>
      <c r="O45" s="12" t="s">
        <v>2850</v>
      </c>
      <c r="P45" s="12"/>
      <c r="Q45" s="12"/>
      <c r="R45" s="12" t="s">
        <v>94</v>
      </c>
      <c r="S45" s="12">
        <v>10</v>
      </c>
      <c r="T45" s="12">
        <v>890901524</v>
      </c>
      <c r="U45" s="12" t="s">
        <v>2875</v>
      </c>
      <c r="V45" s="12">
        <f>VLOOKUP(Tabla44[[#This Row],[ZONA DEFINITIVO]],[1]Hoja1!$A$1:$D$125,3,0)</f>
        <v>229934</v>
      </c>
      <c r="W45" s="12">
        <f>VLOOKUP(Tabla44[[#This Row],[ZONA DEFINITIVO]],[1]Hoja1!$A$1:$D$125,2,0)</f>
        <v>17254</v>
      </c>
      <c r="X45" s="12">
        <f>VLOOKUP(Tabla44[[#This Row],[ZONA DEFINITIVO]],[1]Hoja1!$A$1:$D$125,4,0)</f>
        <v>103725</v>
      </c>
      <c r="Y45" s="12" t="str">
        <f>+IF(Tabla44[[#This Row],[AGRUPACIONES]]=1,SUMIFS(Tabla44[UDS],Tabla44[ZONA DEFINITIVO],Tabla44[[#This Row],[ZONA DEFINITIVO]])," ")</f>
        <v xml:space="preserve"> </v>
      </c>
      <c r="Z45" s="12" t="str">
        <f>+IF(Tabla44[[#This Row],[AGRUPACIONES]]=1,SUMIFS(Tabla44[TOTAL COBERTURA],Tabla44[ZONA DEFINITIVO],Tabla44[[#This Row],[ZONA DEFINITIVO]])," ")</f>
        <v xml:space="preserve"> </v>
      </c>
      <c r="AA45" s="12"/>
      <c r="AB45" s="35">
        <v>16712355</v>
      </c>
      <c r="AC45" s="37">
        <v>0</v>
      </c>
      <c r="AD45" s="35">
        <f t="shared" si="1"/>
        <v>0</v>
      </c>
      <c r="AE45" s="12"/>
      <c r="AF45" s="12">
        <f>COUNTIF($A$20:A45,A45)</f>
        <v>16</v>
      </c>
      <c r="AG45" s="38">
        <v>16712355</v>
      </c>
      <c r="AH45" s="38">
        <f>Tabla44[[#This Row],[VALOR CONTRAPARTIDA]]+Tabla44[[#This Row],[TOTAL APORTES ICBF]]</f>
        <v>16712355</v>
      </c>
      <c r="AI45" s="35" t="str">
        <f>+IF(Tabla44[[#This Row],[AGRUPACIONES]]=1,SUMIFS(Tabla44[TOTAL APORTES ICBF],Tabla44[ZONA DEFINITIVO],Tabla44[[#This Row],[ZONA DEFINITIVO]])," ")</f>
        <v xml:space="preserve"> </v>
      </c>
      <c r="AJ45" s="38"/>
      <c r="AK45" s="38"/>
      <c r="AL45" s="35"/>
      <c r="AM45" s="35">
        <f>VLOOKUP(Tabla44[[#This Row],[SERVICIO 2025]],$J$2:$V$15,5,0)*Tabla44[[#This Row],[TOTAL COBERTURA]]</f>
        <v>514184</v>
      </c>
      <c r="AN45" s="35">
        <f>VLOOKUP(Tabla44[[#This Row],[SERVICIO 2025]],$J$2:$V$15,6,0)*Tabla44[[#This Row],[TOTAL COBERTURA]]</f>
        <v>416251</v>
      </c>
      <c r="AO45" s="35">
        <f>VLOOKUP(Tabla44[[#This Row],[SERVICIO 2025]],$J$2:$V$15,8,0)*Tabla44[[#This Row],[TOTAL COBERTURA]]</f>
        <v>0</v>
      </c>
      <c r="AP45" s="35">
        <f>VLOOKUP(Tabla44[[#This Row],[SERVICIO 2025]],$J$2:$V$15,3,0)*Tabla44[[#This Row],[TOTAL COBERTURA]]*8</f>
        <v>15781920</v>
      </c>
      <c r="AQ45" s="35"/>
      <c r="AR45" s="35">
        <f>SUM(Tabla44[[#This Row],[VALOR FASE PREPARATORIA DE ALISTAMIENTO]:[VALOR RACION PREPARADA]])</f>
        <v>16712355</v>
      </c>
      <c r="AS45" s="35" t="str">
        <f>+IF(Tabla44[[#This Row],[AGRUPACIONES]]=1,SUMIFS(Tabla44[VALOR TOTAL],Tabla44[ZONA DEFINITIVO],Tabla44[[#This Row],[ZONA DEFINITIVO]])," ")</f>
        <v xml:space="preserve"> </v>
      </c>
      <c r="AT45" s="35">
        <f>VLOOKUP(Tabla44[[#This Row],[SERVICIO 2025]],$J$2:$V$15,10,0)*Tabla44[[#This Row],[TOTAL COBERTURA]]*$X$7</f>
        <v>16572248</v>
      </c>
      <c r="AU45" s="39">
        <f>Tabla44[[#This Row],[TOTAL CONTRATO (ICBF+EAS)]]+Tabla44[[#This Row],[VALOR COMPONENTE ALIMENTACION NO ASIGNADO]]</f>
        <v>33284603</v>
      </c>
      <c r="AV4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45" s="35">
        <f>(VLOOKUP(Tabla44[[#This Row],[SERVICIO 2025]],$J$2:$V$15,3,0)*Tabla44[[#This Row],[TOTAL COBERTURA]])+VLOOKUP(Tabla44[[#This Row],[SERVICIO 2025]],$J$2:$V$15,10,0)*Tabla44[[#This Row],[TOTAL COBERTURA]]</f>
        <v>4044271</v>
      </c>
      <c r="AX45" s="35">
        <f>(VLOOKUP(Tabla44[[#This Row],[SERVICIO 2025]],$J$2:$V$15,3,0)*Tabla44[[#This Row],[TOTAL COBERTURA]])+VLOOKUP(Tabla44[[#This Row],[SERVICIO 2025]],$J$2:$V$15,10,0)*Tabla44[[#This Row],[TOTAL COBERTURA]]</f>
        <v>4044271</v>
      </c>
      <c r="AY45" s="35">
        <f>(VLOOKUP(Tabla44[[#This Row],[SERVICIO 2025]],$J$2:$V$15,3,0)*Tabla44[[#This Row],[TOTAL COBERTURA]])+VLOOKUP(Tabla44[[#This Row],[SERVICIO 2025]],$J$2:$V$15,10,0)*Tabla44[[#This Row],[TOTAL COBERTURA]]</f>
        <v>4044271</v>
      </c>
      <c r="AZ45" s="35">
        <f>(VLOOKUP(Tabla44[[#This Row],[SERVICIO 2025]],$J$2:$V$15,3,0)*Tabla44[[#This Row],[TOTAL COBERTURA]])+VLOOKUP(Tabla44[[#This Row],[SERVICIO 2025]],$J$2:$V$15,10,0)*Tabla44[[#This Row],[TOTAL COBERTURA]]</f>
        <v>4044271</v>
      </c>
      <c r="BA45" s="35">
        <f>(VLOOKUP(Tabla44[[#This Row],[SERVICIO 2025]],$J$2:$V$15,3,0)*Tabla44[[#This Row],[TOTAL COBERTURA]])+VLOOKUP(Tabla44[[#This Row],[SERVICIO 2025]],$J$2:$V$15,10,0)*Tabla44[[#This Row],[TOTAL COBERTURA]]</f>
        <v>4044271</v>
      </c>
      <c r="BB45" s="35">
        <f>(VLOOKUP(Tabla44[[#This Row],[SERVICIO 2025]],$J$2:$V$15,3,0)*Tabla44[[#This Row],[TOTAL COBERTURA]])+VLOOKUP(Tabla44[[#This Row],[SERVICIO 2025]],$J$2:$V$15,10,0)*Tabla44[[#This Row],[TOTAL COBERTURA]]</f>
        <v>4044271</v>
      </c>
      <c r="BC4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45" s="35">
        <f>SUM(Tabla44[[#This Row],[DESEMBOLSO 1]:[DESEMBOLSO 8]])</f>
        <v>33284603</v>
      </c>
      <c r="BE45" s="12" t="b">
        <f>EXACT(Tabla44[[#This Row],[VALOR ATENCIÓN (8 MESES)]],Tabla44[[#This Row],[VALOR TOTAL]])</f>
        <v>1</v>
      </c>
      <c r="BF45" s="23">
        <f>Tabla44[[#This Row],[VALOR ATENCIÓN (8 MESES)]]-Tabla44[[#This Row],[VALOR TOTAL]]</f>
        <v>0</v>
      </c>
      <c r="BG45" s="12" t="b">
        <f>EXACT(Tabla44[[#This Row],[TOTAL DESEMBOLSOS]],Tabla44[[#This Row],[VALOR TOTAL DEL CONTRATO INCLUIDO EL COMPONENTE DE ALIMENTACIÓN]])</f>
        <v>1</v>
      </c>
      <c r="BH45" s="29">
        <f>Tabla44[[#This Row],[TOTAL DESEMBOLSOS]]-Tabla44[[#This Row],[VALOR TOTAL DEL CONTRATO INCLUIDO EL COMPONENTE DE ALIMENTACIÓN]]</f>
        <v>0</v>
      </c>
      <c r="BI45" t="s">
        <v>98</v>
      </c>
    </row>
    <row r="46" spans="1:61">
      <c r="A46" s="13">
        <v>1922</v>
      </c>
      <c r="B46" s="13"/>
      <c r="C46" s="12" t="s">
        <v>87</v>
      </c>
      <c r="D46" s="12" t="s">
        <v>205</v>
      </c>
      <c r="E46" s="12" t="s">
        <v>2899</v>
      </c>
      <c r="F46" s="12" t="s">
        <v>21</v>
      </c>
      <c r="G46" s="12" t="s">
        <v>90</v>
      </c>
      <c r="H46" s="12" t="s">
        <v>2906</v>
      </c>
      <c r="I46" s="36">
        <v>51451137296</v>
      </c>
      <c r="J46" s="12" t="s">
        <v>2907</v>
      </c>
      <c r="K46" s="12">
        <v>1</v>
      </c>
      <c r="L46" s="12">
        <v>28</v>
      </c>
      <c r="M46" s="12"/>
      <c r="N46" s="13">
        <v>1922</v>
      </c>
      <c r="O46" s="12" t="s">
        <v>2850</v>
      </c>
      <c r="P46" s="12"/>
      <c r="Q46" s="12"/>
      <c r="R46" s="12" t="s">
        <v>94</v>
      </c>
      <c r="S46" s="12">
        <v>10</v>
      </c>
      <c r="T46" s="12">
        <v>890901524</v>
      </c>
      <c r="U46" s="12" t="s">
        <v>2875</v>
      </c>
      <c r="V46" s="12">
        <f>VLOOKUP(Tabla44[[#This Row],[ZONA DEFINITIVO]],[1]Hoja1!$A$1:$D$125,3,0)</f>
        <v>229934</v>
      </c>
      <c r="W46" s="12">
        <f>VLOOKUP(Tabla44[[#This Row],[ZONA DEFINITIVO]],[1]Hoja1!$A$1:$D$125,2,0)</f>
        <v>17254</v>
      </c>
      <c r="X46" s="12">
        <f>VLOOKUP(Tabla44[[#This Row],[ZONA DEFINITIVO]],[1]Hoja1!$A$1:$D$125,4,0)</f>
        <v>103725</v>
      </c>
      <c r="Y46" s="12" t="str">
        <f>+IF(Tabla44[[#This Row],[AGRUPACIONES]]=1,SUMIFS(Tabla44[UDS],Tabla44[ZONA DEFINITIVO],Tabla44[[#This Row],[ZONA DEFINITIVO]])," ")</f>
        <v xml:space="preserve"> </v>
      </c>
      <c r="Z46" s="12" t="str">
        <f>+IF(Tabla44[[#This Row],[AGRUPACIONES]]=1,SUMIFS(Tabla44[TOTAL COBERTURA],Tabla44[ZONA DEFINITIVO],Tabla44[[#This Row],[ZONA DEFINITIVO]])," ")</f>
        <v xml:space="preserve"> </v>
      </c>
      <c r="AA46" s="12"/>
      <c r="AB46" s="35">
        <v>42540540</v>
      </c>
      <c r="AC46" s="37">
        <v>0</v>
      </c>
      <c r="AD46" s="35">
        <f t="shared" si="1"/>
        <v>0</v>
      </c>
      <c r="AE46" s="12"/>
      <c r="AF46" s="12">
        <f>COUNTIF($A$20:A46,A46)</f>
        <v>17</v>
      </c>
      <c r="AG46" s="38">
        <v>42540540</v>
      </c>
      <c r="AH46" s="38">
        <f>Tabla44[[#This Row],[VALOR CONTRAPARTIDA]]+Tabla44[[#This Row],[TOTAL APORTES ICBF]]</f>
        <v>42540540</v>
      </c>
      <c r="AI46" s="35" t="str">
        <f>+IF(Tabla44[[#This Row],[AGRUPACIONES]]=1,SUMIFS(Tabla44[TOTAL APORTES ICBF],Tabla44[ZONA DEFINITIVO],Tabla44[[#This Row],[ZONA DEFINITIVO]])," ")</f>
        <v xml:space="preserve"> </v>
      </c>
      <c r="AJ46" s="38"/>
      <c r="AK46" s="38"/>
      <c r="AL46" s="35"/>
      <c r="AM46" s="35">
        <f>VLOOKUP(Tabla44[[#This Row],[SERVICIO 2025]],$J$2:$V$15,5,0)*Tabla44[[#This Row],[TOTAL COBERTURA]]</f>
        <v>1308832</v>
      </c>
      <c r="AN46" s="35">
        <f>VLOOKUP(Tabla44[[#This Row],[SERVICIO 2025]],$J$2:$V$15,6,0)*Tabla44[[#This Row],[TOTAL COBERTURA]]</f>
        <v>1059548</v>
      </c>
      <c r="AO46" s="35">
        <f>VLOOKUP(Tabla44[[#This Row],[SERVICIO 2025]],$J$2:$V$15,8,0)*Tabla44[[#This Row],[TOTAL COBERTURA]]</f>
        <v>0</v>
      </c>
      <c r="AP46" s="35">
        <f>VLOOKUP(Tabla44[[#This Row],[SERVICIO 2025]],$J$2:$V$15,3,0)*Tabla44[[#This Row],[TOTAL COBERTURA]]*8</f>
        <v>40172160</v>
      </c>
      <c r="AQ46" s="35"/>
      <c r="AR46" s="35">
        <f>SUM(Tabla44[[#This Row],[VALOR FASE PREPARATORIA DE ALISTAMIENTO]:[VALOR RACION PREPARADA]])</f>
        <v>42540540</v>
      </c>
      <c r="AS46" s="35" t="str">
        <f>+IF(Tabla44[[#This Row],[AGRUPACIONES]]=1,SUMIFS(Tabla44[VALOR TOTAL],Tabla44[ZONA DEFINITIVO],Tabla44[[#This Row],[ZONA DEFINITIVO]])," ")</f>
        <v xml:space="preserve"> </v>
      </c>
      <c r="AT46" s="35">
        <f>VLOOKUP(Tabla44[[#This Row],[SERVICIO 2025]],$J$2:$V$15,10,0)*Tabla44[[#This Row],[TOTAL COBERTURA]]*$X$7</f>
        <v>42183904</v>
      </c>
      <c r="AU46" s="39">
        <f>Tabla44[[#This Row],[TOTAL CONTRATO (ICBF+EAS)]]+Tabla44[[#This Row],[VALOR COMPONENTE ALIMENTACION NO ASIGNADO]]</f>
        <v>84724444</v>
      </c>
      <c r="AV4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11603340</v>
      </c>
      <c r="AW46" s="35">
        <f>(VLOOKUP(Tabla44[[#This Row],[SERVICIO 2025]],$J$2:$V$15,3,0)*Tabla44[[#This Row],[TOTAL COBERTURA]])+VLOOKUP(Tabla44[[#This Row],[SERVICIO 2025]],$J$2:$V$15,10,0)*Tabla44[[#This Row],[TOTAL COBERTURA]]</f>
        <v>10294508</v>
      </c>
      <c r="AX46" s="35">
        <f>(VLOOKUP(Tabla44[[#This Row],[SERVICIO 2025]],$J$2:$V$15,3,0)*Tabla44[[#This Row],[TOTAL COBERTURA]])+VLOOKUP(Tabla44[[#This Row],[SERVICIO 2025]],$J$2:$V$15,10,0)*Tabla44[[#This Row],[TOTAL COBERTURA]]</f>
        <v>10294508</v>
      </c>
      <c r="AY46" s="35">
        <f>(VLOOKUP(Tabla44[[#This Row],[SERVICIO 2025]],$J$2:$V$15,3,0)*Tabla44[[#This Row],[TOTAL COBERTURA]])+VLOOKUP(Tabla44[[#This Row],[SERVICIO 2025]],$J$2:$V$15,10,0)*Tabla44[[#This Row],[TOTAL COBERTURA]]</f>
        <v>10294508</v>
      </c>
      <c r="AZ46" s="35">
        <f>(VLOOKUP(Tabla44[[#This Row],[SERVICIO 2025]],$J$2:$V$15,3,0)*Tabla44[[#This Row],[TOTAL COBERTURA]])+VLOOKUP(Tabla44[[#This Row],[SERVICIO 2025]],$J$2:$V$15,10,0)*Tabla44[[#This Row],[TOTAL COBERTURA]]</f>
        <v>10294508</v>
      </c>
      <c r="BA46" s="35">
        <f>(VLOOKUP(Tabla44[[#This Row],[SERVICIO 2025]],$J$2:$V$15,3,0)*Tabla44[[#This Row],[TOTAL COBERTURA]])+VLOOKUP(Tabla44[[#This Row],[SERVICIO 2025]],$J$2:$V$15,10,0)*Tabla44[[#This Row],[TOTAL COBERTURA]]</f>
        <v>10294508</v>
      </c>
      <c r="BB46" s="35">
        <f>(VLOOKUP(Tabla44[[#This Row],[SERVICIO 2025]],$J$2:$V$15,3,0)*Tabla44[[#This Row],[TOTAL COBERTURA]])+VLOOKUP(Tabla44[[#This Row],[SERVICIO 2025]],$J$2:$V$15,10,0)*Tabla44[[#This Row],[TOTAL COBERTURA]]</f>
        <v>10294508</v>
      </c>
      <c r="BC4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11354056</v>
      </c>
      <c r="BD46" s="35">
        <f>SUM(Tabla44[[#This Row],[DESEMBOLSO 1]:[DESEMBOLSO 8]])</f>
        <v>84724444</v>
      </c>
      <c r="BE46" s="12" t="b">
        <f>EXACT(Tabla44[[#This Row],[VALOR ATENCIÓN (8 MESES)]],Tabla44[[#This Row],[VALOR TOTAL]])</f>
        <v>1</v>
      </c>
      <c r="BF46" s="23">
        <f>Tabla44[[#This Row],[VALOR ATENCIÓN (8 MESES)]]-Tabla44[[#This Row],[VALOR TOTAL]]</f>
        <v>0</v>
      </c>
      <c r="BG46" s="12" t="b">
        <f>EXACT(Tabla44[[#This Row],[TOTAL DESEMBOLSOS]],Tabla44[[#This Row],[VALOR TOTAL DEL CONTRATO INCLUIDO EL COMPONENTE DE ALIMENTACIÓN]])</f>
        <v>1</v>
      </c>
      <c r="BH46" s="29">
        <f>Tabla44[[#This Row],[TOTAL DESEMBOLSOS]]-Tabla44[[#This Row],[VALOR TOTAL DEL CONTRATO INCLUIDO EL COMPONENTE DE ALIMENTACIÓN]]</f>
        <v>0</v>
      </c>
      <c r="BI46" t="s">
        <v>98</v>
      </c>
    </row>
    <row r="47" spans="1:61">
      <c r="A47" s="13">
        <v>1922</v>
      </c>
      <c r="B47" s="13"/>
      <c r="C47" s="12" t="s">
        <v>87</v>
      </c>
      <c r="D47" s="12" t="s">
        <v>205</v>
      </c>
      <c r="E47" s="12" t="s">
        <v>2899</v>
      </c>
      <c r="F47" s="12" t="s">
        <v>21</v>
      </c>
      <c r="G47" s="12" t="s">
        <v>90</v>
      </c>
      <c r="H47" s="12" t="s">
        <v>2302</v>
      </c>
      <c r="I47" s="36">
        <v>51451137297</v>
      </c>
      <c r="J47" s="12" t="s">
        <v>2908</v>
      </c>
      <c r="K47" s="12">
        <v>1</v>
      </c>
      <c r="L47" s="12">
        <v>11</v>
      </c>
      <c r="M47" s="12"/>
      <c r="N47" s="13">
        <v>1922</v>
      </c>
      <c r="O47" s="12" t="s">
        <v>2850</v>
      </c>
      <c r="P47" s="12"/>
      <c r="Q47" s="12"/>
      <c r="R47" s="12" t="s">
        <v>94</v>
      </c>
      <c r="S47" s="12">
        <v>10</v>
      </c>
      <c r="T47" s="12">
        <v>890901524</v>
      </c>
      <c r="U47" s="12" t="s">
        <v>2875</v>
      </c>
      <c r="V47" s="12">
        <f>VLOOKUP(Tabla44[[#This Row],[ZONA DEFINITIVO]],[1]Hoja1!$A$1:$D$125,3,0)</f>
        <v>229934</v>
      </c>
      <c r="W47" s="12">
        <f>VLOOKUP(Tabla44[[#This Row],[ZONA DEFINITIVO]],[1]Hoja1!$A$1:$D$125,2,0)</f>
        <v>17254</v>
      </c>
      <c r="X47" s="12">
        <f>VLOOKUP(Tabla44[[#This Row],[ZONA DEFINITIVO]],[1]Hoja1!$A$1:$D$125,4,0)</f>
        <v>103725</v>
      </c>
      <c r="Y47" s="12" t="str">
        <f>+IF(Tabla44[[#This Row],[AGRUPACIONES]]=1,SUMIFS(Tabla44[UDS],Tabla44[ZONA DEFINITIVO],Tabla44[[#This Row],[ZONA DEFINITIVO]])," ")</f>
        <v xml:space="preserve"> </v>
      </c>
      <c r="Z47" s="12" t="str">
        <f>+IF(Tabla44[[#This Row],[AGRUPACIONES]]=1,SUMIFS(Tabla44[TOTAL COBERTURA],Tabla44[ZONA DEFINITIVO],Tabla44[[#This Row],[ZONA DEFINITIVO]])," ")</f>
        <v xml:space="preserve"> </v>
      </c>
      <c r="AA47" s="12"/>
      <c r="AB47" s="35">
        <v>16712355</v>
      </c>
      <c r="AC47" s="37">
        <v>0</v>
      </c>
      <c r="AD47" s="35">
        <f t="shared" si="1"/>
        <v>0</v>
      </c>
      <c r="AE47" s="12"/>
      <c r="AF47" s="12">
        <f>COUNTIF($A$20:A47,A47)</f>
        <v>18</v>
      </c>
      <c r="AG47" s="38">
        <v>16712355</v>
      </c>
      <c r="AH47" s="38">
        <f>Tabla44[[#This Row],[VALOR CONTRAPARTIDA]]+Tabla44[[#This Row],[TOTAL APORTES ICBF]]</f>
        <v>16712355</v>
      </c>
      <c r="AI47" s="35" t="str">
        <f>+IF(Tabla44[[#This Row],[AGRUPACIONES]]=1,SUMIFS(Tabla44[TOTAL APORTES ICBF],Tabla44[ZONA DEFINITIVO],Tabla44[[#This Row],[ZONA DEFINITIVO]])," ")</f>
        <v xml:space="preserve"> </v>
      </c>
      <c r="AJ47" s="38"/>
      <c r="AK47" s="38"/>
      <c r="AL47" s="35"/>
      <c r="AM47" s="35">
        <f>VLOOKUP(Tabla44[[#This Row],[SERVICIO 2025]],$J$2:$V$15,5,0)*Tabla44[[#This Row],[TOTAL COBERTURA]]</f>
        <v>514184</v>
      </c>
      <c r="AN47" s="35">
        <f>VLOOKUP(Tabla44[[#This Row],[SERVICIO 2025]],$J$2:$V$15,6,0)*Tabla44[[#This Row],[TOTAL COBERTURA]]</f>
        <v>416251</v>
      </c>
      <c r="AO47" s="35">
        <f>VLOOKUP(Tabla44[[#This Row],[SERVICIO 2025]],$J$2:$V$15,8,0)*Tabla44[[#This Row],[TOTAL COBERTURA]]</f>
        <v>0</v>
      </c>
      <c r="AP47" s="35">
        <f>VLOOKUP(Tabla44[[#This Row],[SERVICIO 2025]],$J$2:$V$15,3,0)*Tabla44[[#This Row],[TOTAL COBERTURA]]*8</f>
        <v>15781920</v>
      </c>
      <c r="AQ47" s="35"/>
      <c r="AR47" s="35">
        <f>SUM(Tabla44[[#This Row],[VALOR FASE PREPARATORIA DE ALISTAMIENTO]:[VALOR RACION PREPARADA]])</f>
        <v>16712355</v>
      </c>
      <c r="AS47" s="35" t="str">
        <f>+IF(Tabla44[[#This Row],[AGRUPACIONES]]=1,SUMIFS(Tabla44[VALOR TOTAL],Tabla44[ZONA DEFINITIVO],Tabla44[[#This Row],[ZONA DEFINITIVO]])," ")</f>
        <v xml:space="preserve"> </v>
      </c>
      <c r="AT47" s="35">
        <f>VLOOKUP(Tabla44[[#This Row],[SERVICIO 2025]],$J$2:$V$15,10,0)*Tabla44[[#This Row],[TOTAL COBERTURA]]*$X$7</f>
        <v>16572248</v>
      </c>
      <c r="AU47" s="39">
        <f>Tabla44[[#This Row],[TOTAL CONTRATO (ICBF+EAS)]]+Tabla44[[#This Row],[VALOR COMPONENTE ALIMENTACION NO ASIGNADO]]</f>
        <v>33284603</v>
      </c>
      <c r="AV4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47" s="35">
        <f>(VLOOKUP(Tabla44[[#This Row],[SERVICIO 2025]],$J$2:$V$15,3,0)*Tabla44[[#This Row],[TOTAL COBERTURA]])+VLOOKUP(Tabla44[[#This Row],[SERVICIO 2025]],$J$2:$V$15,10,0)*Tabla44[[#This Row],[TOTAL COBERTURA]]</f>
        <v>4044271</v>
      </c>
      <c r="AX47" s="35">
        <f>(VLOOKUP(Tabla44[[#This Row],[SERVICIO 2025]],$J$2:$V$15,3,0)*Tabla44[[#This Row],[TOTAL COBERTURA]])+VLOOKUP(Tabla44[[#This Row],[SERVICIO 2025]],$J$2:$V$15,10,0)*Tabla44[[#This Row],[TOTAL COBERTURA]]</f>
        <v>4044271</v>
      </c>
      <c r="AY47" s="35">
        <f>(VLOOKUP(Tabla44[[#This Row],[SERVICIO 2025]],$J$2:$V$15,3,0)*Tabla44[[#This Row],[TOTAL COBERTURA]])+VLOOKUP(Tabla44[[#This Row],[SERVICIO 2025]],$J$2:$V$15,10,0)*Tabla44[[#This Row],[TOTAL COBERTURA]]</f>
        <v>4044271</v>
      </c>
      <c r="AZ47" s="35">
        <f>(VLOOKUP(Tabla44[[#This Row],[SERVICIO 2025]],$J$2:$V$15,3,0)*Tabla44[[#This Row],[TOTAL COBERTURA]])+VLOOKUP(Tabla44[[#This Row],[SERVICIO 2025]],$J$2:$V$15,10,0)*Tabla44[[#This Row],[TOTAL COBERTURA]]</f>
        <v>4044271</v>
      </c>
      <c r="BA47" s="35">
        <f>(VLOOKUP(Tabla44[[#This Row],[SERVICIO 2025]],$J$2:$V$15,3,0)*Tabla44[[#This Row],[TOTAL COBERTURA]])+VLOOKUP(Tabla44[[#This Row],[SERVICIO 2025]],$J$2:$V$15,10,0)*Tabla44[[#This Row],[TOTAL COBERTURA]]</f>
        <v>4044271</v>
      </c>
      <c r="BB47" s="35">
        <f>(VLOOKUP(Tabla44[[#This Row],[SERVICIO 2025]],$J$2:$V$15,3,0)*Tabla44[[#This Row],[TOTAL COBERTURA]])+VLOOKUP(Tabla44[[#This Row],[SERVICIO 2025]],$J$2:$V$15,10,0)*Tabla44[[#This Row],[TOTAL COBERTURA]]</f>
        <v>4044271</v>
      </c>
      <c r="BC4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47" s="35">
        <f>SUM(Tabla44[[#This Row],[DESEMBOLSO 1]:[DESEMBOLSO 8]])</f>
        <v>33284603</v>
      </c>
      <c r="BE47" s="12" t="b">
        <f>EXACT(Tabla44[[#This Row],[VALOR ATENCIÓN (8 MESES)]],Tabla44[[#This Row],[VALOR TOTAL]])</f>
        <v>1</v>
      </c>
      <c r="BF47" s="23">
        <f>Tabla44[[#This Row],[VALOR ATENCIÓN (8 MESES)]]-Tabla44[[#This Row],[VALOR TOTAL]]</f>
        <v>0</v>
      </c>
      <c r="BG47" s="12" t="b">
        <f>EXACT(Tabla44[[#This Row],[TOTAL DESEMBOLSOS]],Tabla44[[#This Row],[VALOR TOTAL DEL CONTRATO INCLUIDO EL COMPONENTE DE ALIMENTACIÓN]])</f>
        <v>1</v>
      </c>
      <c r="BH47" s="29">
        <f>Tabla44[[#This Row],[TOTAL DESEMBOLSOS]]-Tabla44[[#This Row],[VALOR TOTAL DEL CONTRATO INCLUIDO EL COMPONENTE DE ALIMENTACIÓN]]</f>
        <v>0</v>
      </c>
      <c r="BI47" t="s">
        <v>98</v>
      </c>
    </row>
    <row r="48" spans="1:61">
      <c r="A48" s="13">
        <v>1922</v>
      </c>
      <c r="B48" s="21"/>
      <c r="C48" s="22" t="s">
        <v>87</v>
      </c>
      <c r="D48" s="22" t="s">
        <v>205</v>
      </c>
      <c r="E48" s="22" t="s">
        <v>2899</v>
      </c>
      <c r="F48" s="22" t="s">
        <v>21</v>
      </c>
      <c r="G48" s="12" t="s">
        <v>90</v>
      </c>
      <c r="H48" s="22" t="s">
        <v>290</v>
      </c>
      <c r="I48" s="36">
        <v>51451137298</v>
      </c>
      <c r="J48" s="22" t="s">
        <v>2909</v>
      </c>
      <c r="K48" s="12">
        <v>1</v>
      </c>
      <c r="L48" s="22">
        <v>12</v>
      </c>
      <c r="M48" s="22"/>
      <c r="N48" s="13">
        <v>1922</v>
      </c>
      <c r="O48" s="22" t="s">
        <v>2850</v>
      </c>
      <c r="P48" s="22"/>
      <c r="Q48" s="22"/>
      <c r="R48" s="12" t="s">
        <v>94</v>
      </c>
      <c r="S48" s="12">
        <v>10</v>
      </c>
      <c r="T48" s="12">
        <v>890901524</v>
      </c>
      <c r="U48" s="12" t="s">
        <v>2875</v>
      </c>
      <c r="V48" s="22">
        <f>VLOOKUP(Tabla44[[#This Row],[ZONA DEFINITIVO]],[1]Hoja1!$A$1:$D$125,3,0)</f>
        <v>229934</v>
      </c>
      <c r="W48" s="22">
        <f>VLOOKUP(Tabla44[[#This Row],[ZONA DEFINITIVO]],[1]Hoja1!$A$1:$D$125,2,0)</f>
        <v>17254</v>
      </c>
      <c r="X48" s="22">
        <f>VLOOKUP(Tabla44[[#This Row],[ZONA DEFINITIVO]],[1]Hoja1!$A$1:$D$125,4,0)</f>
        <v>103725</v>
      </c>
      <c r="Y48" s="22" t="str">
        <f>+IF(Tabla44[[#This Row],[AGRUPACIONES]]=1,SUMIFS(Tabla44[UDS],Tabla44[ZONA DEFINITIVO],Tabla44[[#This Row],[ZONA DEFINITIVO]])," ")</f>
        <v xml:space="preserve"> </v>
      </c>
      <c r="Z48" s="22" t="str">
        <f>+IF(Tabla44[[#This Row],[AGRUPACIONES]]=1,SUMIFS(Tabla44[TOTAL COBERTURA],Tabla44[ZONA DEFINITIVO],Tabla44[[#This Row],[ZONA DEFINITIVO]])," ")</f>
        <v xml:space="preserve"> </v>
      </c>
      <c r="AA48" s="22"/>
      <c r="AB48" s="40">
        <v>18231660</v>
      </c>
      <c r="AC48" s="37">
        <v>0</v>
      </c>
      <c r="AD48" s="40">
        <f t="shared" si="1"/>
        <v>0</v>
      </c>
      <c r="AE48" s="22"/>
      <c r="AF48" s="12">
        <f>COUNTIF($A$20:A48,A48)</f>
        <v>19</v>
      </c>
      <c r="AG48" s="41">
        <v>18231660</v>
      </c>
      <c r="AH48" s="41">
        <f>Tabla44[[#This Row],[VALOR CONTRAPARTIDA]]+Tabla44[[#This Row],[TOTAL APORTES ICBF]]</f>
        <v>18231660</v>
      </c>
      <c r="AI48" s="40" t="str">
        <f>+IF(Tabla44[[#This Row],[AGRUPACIONES]]=1,SUMIFS(Tabla44[TOTAL APORTES ICBF],Tabla44[ZONA DEFINITIVO],Tabla44[[#This Row],[ZONA DEFINITIVO]])," ")</f>
        <v xml:space="preserve"> </v>
      </c>
      <c r="AJ48" s="41"/>
      <c r="AK48" s="41"/>
      <c r="AL48" s="40"/>
      <c r="AM48" s="40">
        <f>VLOOKUP(Tabla44[[#This Row],[SERVICIO 2025]],$J$2:$V$15,5,0)*Tabla44[[#This Row],[TOTAL COBERTURA]]</f>
        <v>560928</v>
      </c>
      <c r="AN48" s="40">
        <f>VLOOKUP(Tabla44[[#This Row],[SERVICIO 2025]],$J$2:$V$15,6,0)*Tabla44[[#This Row],[TOTAL COBERTURA]]</f>
        <v>454092</v>
      </c>
      <c r="AO48" s="40">
        <f>VLOOKUP(Tabla44[[#This Row],[SERVICIO 2025]],$J$2:$V$15,8,0)*Tabla44[[#This Row],[TOTAL COBERTURA]]</f>
        <v>0</v>
      </c>
      <c r="AP48" s="40">
        <f>VLOOKUP(Tabla44[[#This Row],[SERVICIO 2025]],$J$2:$V$15,3,0)*Tabla44[[#This Row],[TOTAL COBERTURA]]*8</f>
        <v>17216640</v>
      </c>
      <c r="AQ48" s="40"/>
      <c r="AR48" s="40">
        <f>SUM(Tabla44[[#This Row],[VALOR FASE PREPARATORIA DE ALISTAMIENTO]:[VALOR RACION PREPARADA]])</f>
        <v>18231660</v>
      </c>
      <c r="AS48" s="40" t="str">
        <f>+IF(Tabla44[[#This Row],[AGRUPACIONES]]=1,SUMIFS(Tabla44[VALOR TOTAL],Tabla44[ZONA DEFINITIVO],Tabla44[[#This Row],[ZONA DEFINITIVO]])," ")</f>
        <v xml:space="preserve"> </v>
      </c>
      <c r="AT48" s="35">
        <f>VLOOKUP(Tabla44[[#This Row],[SERVICIO 2025]],$J$2:$V$15,10,0)*Tabla44[[#This Row],[TOTAL COBERTURA]]*$X$7</f>
        <v>18078816</v>
      </c>
      <c r="AU48" s="42">
        <f>Tabla44[[#This Row],[TOTAL CONTRATO (ICBF+EAS)]]+Tabla44[[#This Row],[VALOR COMPONENTE ALIMENTACION NO ASIGNADO]]</f>
        <v>36310476</v>
      </c>
      <c r="AV4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4972860</v>
      </c>
      <c r="AW48" s="35">
        <f>(VLOOKUP(Tabla44[[#This Row],[SERVICIO 2025]],$J$2:$V$15,3,0)*Tabla44[[#This Row],[TOTAL COBERTURA]])+VLOOKUP(Tabla44[[#This Row],[SERVICIO 2025]],$J$2:$V$15,10,0)*Tabla44[[#This Row],[TOTAL COBERTURA]]</f>
        <v>4411932</v>
      </c>
      <c r="AX48" s="40">
        <f>(VLOOKUP(Tabla44[[#This Row],[SERVICIO 2025]],$J$2:$V$15,3,0)*Tabla44[[#This Row],[TOTAL COBERTURA]])+VLOOKUP(Tabla44[[#This Row],[SERVICIO 2025]],$J$2:$V$15,10,0)*Tabla44[[#This Row],[TOTAL COBERTURA]]</f>
        <v>4411932</v>
      </c>
      <c r="AY48" s="40">
        <f>(VLOOKUP(Tabla44[[#This Row],[SERVICIO 2025]],$J$2:$V$15,3,0)*Tabla44[[#This Row],[TOTAL COBERTURA]])+VLOOKUP(Tabla44[[#This Row],[SERVICIO 2025]],$J$2:$V$15,10,0)*Tabla44[[#This Row],[TOTAL COBERTURA]]</f>
        <v>4411932</v>
      </c>
      <c r="AZ48" s="40">
        <f>(VLOOKUP(Tabla44[[#This Row],[SERVICIO 2025]],$J$2:$V$15,3,0)*Tabla44[[#This Row],[TOTAL COBERTURA]])+VLOOKUP(Tabla44[[#This Row],[SERVICIO 2025]],$J$2:$V$15,10,0)*Tabla44[[#This Row],[TOTAL COBERTURA]]</f>
        <v>4411932</v>
      </c>
      <c r="BA48" s="40">
        <f>(VLOOKUP(Tabla44[[#This Row],[SERVICIO 2025]],$J$2:$V$15,3,0)*Tabla44[[#This Row],[TOTAL COBERTURA]])+VLOOKUP(Tabla44[[#This Row],[SERVICIO 2025]],$J$2:$V$15,10,0)*Tabla44[[#This Row],[TOTAL COBERTURA]]</f>
        <v>4411932</v>
      </c>
      <c r="BB48" s="40">
        <f>(VLOOKUP(Tabla44[[#This Row],[SERVICIO 2025]],$J$2:$V$15,3,0)*Tabla44[[#This Row],[TOTAL COBERTURA]])+VLOOKUP(Tabla44[[#This Row],[SERVICIO 2025]],$J$2:$V$15,10,0)*Tabla44[[#This Row],[TOTAL COBERTURA]]</f>
        <v>4411932</v>
      </c>
      <c r="BC48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4866024</v>
      </c>
      <c r="BD48" s="40">
        <f>SUM(Tabla44[[#This Row],[DESEMBOLSO 1]:[DESEMBOLSO 8]])</f>
        <v>36310476</v>
      </c>
      <c r="BE48" s="22" t="b">
        <f>EXACT(Tabla44[[#This Row],[VALOR ATENCIÓN (8 MESES)]],Tabla44[[#This Row],[VALOR TOTAL]])</f>
        <v>1</v>
      </c>
      <c r="BF48" s="28">
        <f>Tabla44[[#This Row],[VALOR ATENCIÓN (8 MESES)]]-Tabla44[[#This Row],[VALOR TOTAL]]</f>
        <v>0</v>
      </c>
      <c r="BG48" s="22" t="b">
        <f>EXACT(Tabla44[[#This Row],[TOTAL DESEMBOLSOS]],Tabla44[[#This Row],[VALOR TOTAL DEL CONTRATO INCLUIDO EL COMPONENTE DE ALIMENTACIÓN]])</f>
        <v>1</v>
      </c>
      <c r="BH48" s="29">
        <f>Tabla44[[#This Row],[TOTAL DESEMBOLSOS]]-Tabla44[[#This Row],[VALOR TOTAL DEL CONTRATO INCLUIDO EL COMPONENTE DE ALIMENTACIÓN]]</f>
        <v>0</v>
      </c>
      <c r="BI48" t="s">
        <v>98</v>
      </c>
    </row>
    <row r="49" spans="1:61">
      <c r="A49" s="13">
        <v>1922</v>
      </c>
      <c r="B49" s="13"/>
      <c r="C49" s="12" t="s">
        <v>87</v>
      </c>
      <c r="D49" s="12" t="s">
        <v>205</v>
      </c>
      <c r="E49" s="12" t="s">
        <v>2899</v>
      </c>
      <c r="F49" s="12" t="s">
        <v>21</v>
      </c>
      <c r="G49" s="12" t="s">
        <v>90</v>
      </c>
      <c r="H49" s="12" t="s">
        <v>2910</v>
      </c>
      <c r="I49" s="36">
        <v>51451137300</v>
      </c>
      <c r="J49" s="12" t="s">
        <v>2911</v>
      </c>
      <c r="K49" s="12">
        <v>1</v>
      </c>
      <c r="L49" s="12">
        <v>8</v>
      </c>
      <c r="M49" s="12"/>
      <c r="N49" s="13">
        <v>1922</v>
      </c>
      <c r="O49" s="12" t="s">
        <v>2850</v>
      </c>
      <c r="P49" s="12"/>
      <c r="Q49" s="12"/>
      <c r="R49" s="12" t="s">
        <v>94</v>
      </c>
      <c r="S49" s="12">
        <v>10</v>
      </c>
      <c r="T49" s="12">
        <v>890901524</v>
      </c>
      <c r="U49" s="12" t="s">
        <v>2875</v>
      </c>
      <c r="V49" s="12">
        <f>VLOOKUP(Tabla44[[#This Row],[ZONA DEFINITIVO]],[1]Hoja1!$A$1:$D$125,3,0)</f>
        <v>229934</v>
      </c>
      <c r="W49" s="12">
        <f>VLOOKUP(Tabla44[[#This Row],[ZONA DEFINITIVO]],[1]Hoja1!$A$1:$D$125,2,0)</f>
        <v>17254</v>
      </c>
      <c r="X49" s="12">
        <f>VLOOKUP(Tabla44[[#This Row],[ZONA DEFINITIVO]],[1]Hoja1!$A$1:$D$125,4,0)</f>
        <v>103725</v>
      </c>
      <c r="Y49" s="12" t="str">
        <f>+IF(Tabla44[[#This Row],[AGRUPACIONES]]=1,SUMIFS(Tabla44[UDS],Tabla44[ZONA DEFINITIVO],Tabla44[[#This Row],[ZONA DEFINITIVO]])," ")</f>
        <v xml:space="preserve"> </v>
      </c>
      <c r="Z49" s="12" t="str">
        <f>+IF(Tabla44[[#This Row],[AGRUPACIONES]]=1,SUMIFS(Tabla44[TOTAL COBERTURA],Tabla44[ZONA DEFINITIVO],Tabla44[[#This Row],[ZONA DEFINITIVO]])," ")</f>
        <v xml:space="preserve"> </v>
      </c>
      <c r="AA49" s="12"/>
      <c r="AB49" s="35">
        <v>12154440</v>
      </c>
      <c r="AC49" s="37">
        <v>0</v>
      </c>
      <c r="AD49" s="35">
        <f t="shared" si="1"/>
        <v>0</v>
      </c>
      <c r="AE49" s="12"/>
      <c r="AF49" s="12">
        <f>COUNTIF($A$20:A49,A49)</f>
        <v>20</v>
      </c>
      <c r="AG49" s="38">
        <v>12154440</v>
      </c>
      <c r="AH49" s="38">
        <f>Tabla44[[#This Row],[VALOR CONTRAPARTIDA]]+Tabla44[[#This Row],[TOTAL APORTES ICBF]]</f>
        <v>12154440</v>
      </c>
      <c r="AI49" s="35" t="str">
        <f>+IF(Tabla44[[#This Row],[AGRUPACIONES]]=1,SUMIFS(Tabla44[TOTAL APORTES ICBF],Tabla44[ZONA DEFINITIVO],Tabla44[[#This Row],[ZONA DEFINITIVO]])," ")</f>
        <v xml:space="preserve"> </v>
      </c>
      <c r="AJ49" s="38"/>
      <c r="AK49" s="38"/>
      <c r="AL49" s="35"/>
      <c r="AM49" s="35">
        <f>VLOOKUP(Tabla44[[#This Row],[SERVICIO 2025]],$J$2:$V$15,5,0)*Tabla44[[#This Row],[TOTAL COBERTURA]]</f>
        <v>373952</v>
      </c>
      <c r="AN49" s="35">
        <f>VLOOKUP(Tabla44[[#This Row],[SERVICIO 2025]],$J$2:$V$15,6,0)*Tabla44[[#This Row],[TOTAL COBERTURA]]</f>
        <v>302728</v>
      </c>
      <c r="AO49" s="35">
        <f>VLOOKUP(Tabla44[[#This Row],[SERVICIO 2025]],$J$2:$V$15,8,0)*Tabla44[[#This Row],[TOTAL COBERTURA]]</f>
        <v>0</v>
      </c>
      <c r="AP49" s="35">
        <f>VLOOKUP(Tabla44[[#This Row],[SERVICIO 2025]],$J$2:$V$15,3,0)*Tabla44[[#This Row],[TOTAL COBERTURA]]*8</f>
        <v>11477760</v>
      </c>
      <c r="AQ49" s="35"/>
      <c r="AR49" s="35">
        <f>SUM(Tabla44[[#This Row],[VALOR FASE PREPARATORIA DE ALISTAMIENTO]:[VALOR RACION PREPARADA]])</f>
        <v>12154440</v>
      </c>
      <c r="AS49" s="35" t="str">
        <f>+IF(Tabla44[[#This Row],[AGRUPACIONES]]=1,SUMIFS(Tabla44[VALOR TOTAL],Tabla44[ZONA DEFINITIVO],Tabla44[[#This Row],[ZONA DEFINITIVO]])," ")</f>
        <v xml:space="preserve"> </v>
      </c>
      <c r="AT49" s="35">
        <f>VLOOKUP(Tabla44[[#This Row],[SERVICIO 2025]],$J$2:$V$15,10,0)*Tabla44[[#This Row],[TOTAL COBERTURA]]*$X$7</f>
        <v>12052544</v>
      </c>
      <c r="AU49" s="39">
        <f>Tabla44[[#This Row],[TOTAL CONTRATO (ICBF+EAS)]]+Tabla44[[#This Row],[VALOR COMPONENTE ALIMENTACION NO ASIGNADO]]</f>
        <v>24206984</v>
      </c>
      <c r="AV4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3315240</v>
      </c>
      <c r="AW49" s="35">
        <f>(VLOOKUP(Tabla44[[#This Row],[SERVICIO 2025]],$J$2:$V$15,3,0)*Tabla44[[#This Row],[TOTAL COBERTURA]])+VLOOKUP(Tabla44[[#This Row],[SERVICIO 2025]],$J$2:$V$15,10,0)*Tabla44[[#This Row],[TOTAL COBERTURA]]</f>
        <v>2941288</v>
      </c>
      <c r="AX49" s="35">
        <f>(VLOOKUP(Tabla44[[#This Row],[SERVICIO 2025]],$J$2:$V$15,3,0)*Tabla44[[#This Row],[TOTAL COBERTURA]])+VLOOKUP(Tabla44[[#This Row],[SERVICIO 2025]],$J$2:$V$15,10,0)*Tabla44[[#This Row],[TOTAL COBERTURA]]</f>
        <v>2941288</v>
      </c>
      <c r="AY49" s="35">
        <f>(VLOOKUP(Tabla44[[#This Row],[SERVICIO 2025]],$J$2:$V$15,3,0)*Tabla44[[#This Row],[TOTAL COBERTURA]])+VLOOKUP(Tabla44[[#This Row],[SERVICIO 2025]],$J$2:$V$15,10,0)*Tabla44[[#This Row],[TOTAL COBERTURA]]</f>
        <v>2941288</v>
      </c>
      <c r="AZ49" s="35">
        <f>(VLOOKUP(Tabla44[[#This Row],[SERVICIO 2025]],$J$2:$V$15,3,0)*Tabla44[[#This Row],[TOTAL COBERTURA]])+VLOOKUP(Tabla44[[#This Row],[SERVICIO 2025]],$J$2:$V$15,10,0)*Tabla44[[#This Row],[TOTAL COBERTURA]]</f>
        <v>2941288</v>
      </c>
      <c r="BA49" s="35">
        <f>(VLOOKUP(Tabla44[[#This Row],[SERVICIO 2025]],$J$2:$V$15,3,0)*Tabla44[[#This Row],[TOTAL COBERTURA]])+VLOOKUP(Tabla44[[#This Row],[SERVICIO 2025]],$J$2:$V$15,10,0)*Tabla44[[#This Row],[TOTAL COBERTURA]]</f>
        <v>2941288</v>
      </c>
      <c r="BB49" s="35">
        <f>(VLOOKUP(Tabla44[[#This Row],[SERVICIO 2025]],$J$2:$V$15,3,0)*Tabla44[[#This Row],[TOTAL COBERTURA]])+VLOOKUP(Tabla44[[#This Row],[SERVICIO 2025]],$J$2:$V$15,10,0)*Tabla44[[#This Row],[TOTAL COBERTURA]]</f>
        <v>2941288</v>
      </c>
      <c r="BC4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3244016</v>
      </c>
      <c r="BD49" s="35">
        <f>SUM(Tabla44[[#This Row],[DESEMBOLSO 1]:[DESEMBOLSO 8]])</f>
        <v>24206984</v>
      </c>
      <c r="BE49" s="12" t="b">
        <f>EXACT(Tabla44[[#This Row],[VALOR ATENCIÓN (8 MESES)]],Tabla44[[#This Row],[VALOR TOTAL]])</f>
        <v>1</v>
      </c>
      <c r="BF49" s="23">
        <f>Tabla44[[#This Row],[VALOR ATENCIÓN (8 MESES)]]-Tabla44[[#This Row],[VALOR TOTAL]]</f>
        <v>0</v>
      </c>
      <c r="BG49" s="12" t="b">
        <f>EXACT(Tabla44[[#This Row],[TOTAL DESEMBOLSOS]],Tabla44[[#This Row],[VALOR TOTAL DEL CONTRATO INCLUIDO EL COMPONENTE DE ALIMENTACIÓN]])</f>
        <v>1</v>
      </c>
      <c r="BH49" s="29">
        <f>Tabla44[[#This Row],[TOTAL DESEMBOLSOS]]-Tabla44[[#This Row],[VALOR TOTAL DEL CONTRATO INCLUIDO EL COMPONENTE DE ALIMENTACIÓN]]</f>
        <v>0</v>
      </c>
      <c r="BI49" t="s">
        <v>98</v>
      </c>
    </row>
    <row r="50" spans="1:61">
      <c r="A50" s="13">
        <v>1922</v>
      </c>
      <c r="B50" s="13"/>
      <c r="C50" s="12" t="s">
        <v>87</v>
      </c>
      <c r="D50" s="12" t="s">
        <v>205</v>
      </c>
      <c r="E50" s="12" t="s">
        <v>2899</v>
      </c>
      <c r="F50" s="12" t="s">
        <v>21</v>
      </c>
      <c r="G50" s="12" t="s">
        <v>90</v>
      </c>
      <c r="H50" s="12" t="s">
        <v>2912</v>
      </c>
      <c r="I50" s="36">
        <v>51451137362</v>
      </c>
      <c r="J50" s="12" t="s">
        <v>2913</v>
      </c>
      <c r="K50" s="12">
        <v>1</v>
      </c>
      <c r="L50" s="12">
        <v>10</v>
      </c>
      <c r="M50" s="12"/>
      <c r="N50" s="13">
        <v>1922</v>
      </c>
      <c r="O50" s="12" t="s">
        <v>2850</v>
      </c>
      <c r="P50" s="12"/>
      <c r="Q50" s="12"/>
      <c r="R50" s="12" t="s">
        <v>94</v>
      </c>
      <c r="S50" s="12">
        <v>10</v>
      </c>
      <c r="T50" s="12">
        <v>890901524</v>
      </c>
      <c r="U50" s="12" t="s">
        <v>2875</v>
      </c>
      <c r="V50" s="12">
        <f>VLOOKUP(Tabla44[[#This Row],[ZONA DEFINITIVO]],[1]Hoja1!$A$1:$D$125,3,0)</f>
        <v>229934</v>
      </c>
      <c r="W50" s="12">
        <f>VLOOKUP(Tabla44[[#This Row],[ZONA DEFINITIVO]],[1]Hoja1!$A$1:$D$125,2,0)</f>
        <v>17254</v>
      </c>
      <c r="X50" s="12">
        <f>VLOOKUP(Tabla44[[#This Row],[ZONA DEFINITIVO]],[1]Hoja1!$A$1:$D$125,4,0)</f>
        <v>103725</v>
      </c>
      <c r="Y50" s="12" t="str">
        <f>+IF(Tabla44[[#This Row],[AGRUPACIONES]]=1,SUMIFS(Tabla44[UDS],Tabla44[ZONA DEFINITIVO],Tabla44[[#This Row],[ZONA DEFINITIVO]])," ")</f>
        <v xml:space="preserve"> </v>
      </c>
      <c r="Z50" s="12" t="str">
        <f>+IF(Tabla44[[#This Row],[AGRUPACIONES]]=1,SUMIFS(Tabla44[TOTAL COBERTURA],Tabla44[ZONA DEFINITIVO],Tabla44[[#This Row],[ZONA DEFINITIVO]])," ")</f>
        <v xml:space="preserve"> </v>
      </c>
      <c r="AA50" s="12"/>
      <c r="AB50" s="35">
        <v>15193050</v>
      </c>
      <c r="AC50" s="37">
        <v>0</v>
      </c>
      <c r="AD50" s="35">
        <f t="shared" si="1"/>
        <v>0</v>
      </c>
      <c r="AE50" s="12"/>
      <c r="AF50" s="12">
        <f>COUNTIF($A$20:A50,A50)</f>
        <v>21</v>
      </c>
      <c r="AG50" s="38">
        <v>15193050</v>
      </c>
      <c r="AH50" s="38">
        <f>Tabla44[[#This Row],[VALOR CONTRAPARTIDA]]+Tabla44[[#This Row],[TOTAL APORTES ICBF]]</f>
        <v>15193050</v>
      </c>
      <c r="AI50" s="35" t="str">
        <f>+IF(Tabla44[[#This Row],[AGRUPACIONES]]=1,SUMIFS(Tabla44[TOTAL APORTES ICBF],Tabla44[ZONA DEFINITIVO],Tabla44[[#This Row],[ZONA DEFINITIVO]])," ")</f>
        <v xml:space="preserve"> </v>
      </c>
      <c r="AJ50" s="38"/>
      <c r="AK50" s="38"/>
      <c r="AL50" s="35"/>
      <c r="AM50" s="35">
        <f>VLOOKUP(Tabla44[[#This Row],[SERVICIO 2025]],$J$2:$V$15,5,0)*Tabla44[[#This Row],[TOTAL COBERTURA]]</f>
        <v>467440</v>
      </c>
      <c r="AN50" s="35">
        <f>VLOOKUP(Tabla44[[#This Row],[SERVICIO 2025]],$J$2:$V$15,6,0)*Tabla44[[#This Row],[TOTAL COBERTURA]]</f>
        <v>378410</v>
      </c>
      <c r="AO50" s="35">
        <f>VLOOKUP(Tabla44[[#This Row],[SERVICIO 2025]],$J$2:$V$15,8,0)*Tabla44[[#This Row],[TOTAL COBERTURA]]</f>
        <v>0</v>
      </c>
      <c r="AP50" s="35">
        <f>VLOOKUP(Tabla44[[#This Row],[SERVICIO 2025]],$J$2:$V$15,3,0)*Tabla44[[#This Row],[TOTAL COBERTURA]]*8</f>
        <v>14347200</v>
      </c>
      <c r="AQ50" s="35"/>
      <c r="AR50" s="35">
        <f>SUM(Tabla44[[#This Row],[VALOR FASE PREPARATORIA DE ALISTAMIENTO]:[VALOR RACION PREPARADA]])</f>
        <v>15193050</v>
      </c>
      <c r="AS50" s="35" t="str">
        <f>+IF(Tabla44[[#This Row],[AGRUPACIONES]]=1,SUMIFS(Tabla44[VALOR TOTAL],Tabla44[ZONA DEFINITIVO],Tabla44[[#This Row],[ZONA DEFINITIVO]])," ")</f>
        <v xml:space="preserve"> </v>
      </c>
      <c r="AT50" s="35">
        <f>VLOOKUP(Tabla44[[#This Row],[SERVICIO 2025]],$J$2:$V$15,10,0)*Tabla44[[#This Row],[TOTAL COBERTURA]]*$X$7</f>
        <v>15065680</v>
      </c>
      <c r="AU50" s="39">
        <f>Tabla44[[#This Row],[TOTAL CONTRATO (ICBF+EAS)]]+Tabla44[[#This Row],[VALOR COMPONENTE ALIMENTACION NO ASIGNADO]]</f>
        <v>30258730</v>
      </c>
      <c r="AV5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4144050</v>
      </c>
      <c r="AW50" s="35">
        <f>(VLOOKUP(Tabla44[[#This Row],[SERVICIO 2025]],$J$2:$V$15,3,0)*Tabla44[[#This Row],[TOTAL COBERTURA]])+VLOOKUP(Tabla44[[#This Row],[SERVICIO 2025]],$J$2:$V$15,10,0)*Tabla44[[#This Row],[TOTAL COBERTURA]]</f>
        <v>3676610</v>
      </c>
      <c r="AX50" s="35">
        <f>(VLOOKUP(Tabla44[[#This Row],[SERVICIO 2025]],$J$2:$V$15,3,0)*Tabla44[[#This Row],[TOTAL COBERTURA]])+VLOOKUP(Tabla44[[#This Row],[SERVICIO 2025]],$J$2:$V$15,10,0)*Tabla44[[#This Row],[TOTAL COBERTURA]]</f>
        <v>3676610</v>
      </c>
      <c r="AY50" s="35">
        <f>(VLOOKUP(Tabla44[[#This Row],[SERVICIO 2025]],$J$2:$V$15,3,0)*Tabla44[[#This Row],[TOTAL COBERTURA]])+VLOOKUP(Tabla44[[#This Row],[SERVICIO 2025]],$J$2:$V$15,10,0)*Tabla44[[#This Row],[TOTAL COBERTURA]]</f>
        <v>3676610</v>
      </c>
      <c r="AZ50" s="35">
        <f>(VLOOKUP(Tabla44[[#This Row],[SERVICIO 2025]],$J$2:$V$15,3,0)*Tabla44[[#This Row],[TOTAL COBERTURA]])+VLOOKUP(Tabla44[[#This Row],[SERVICIO 2025]],$J$2:$V$15,10,0)*Tabla44[[#This Row],[TOTAL COBERTURA]]</f>
        <v>3676610</v>
      </c>
      <c r="BA50" s="35">
        <f>(VLOOKUP(Tabla44[[#This Row],[SERVICIO 2025]],$J$2:$V$15,3,0)*Tabla44[[#This Row],[TOTAL COBERTURA]])+VLOOKUP(Tabla44[[#This Row],[SERVICIO 2025]],$J$2:$V$15,10,0)*Tabla44[[#This Row],[TOTAL COBERTURA]]</f>
        <v>3676610</v>
      </c>
      <c r="BB50" s="35">
        <f>(VLOOKUP(Tabla44[[#This Row],[SERVICIO 2025]],$J$2:$V$15,3,0)*Tabla44[[#This Row],[TOTAL COBERTURA]])+VLOOKUP(Tabla44[[#This Row],[SERVICIO 2025]],$J$2:$V$15,10,0)*Tabla44[[#This Row],[TOTAL COBERTURA]]</f>
        <v>3676610</v>
      </c>
      <c r="BC5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4055020</v>
      </c>
      <c r="BD50" s="35">
        <f>SUM(Tabla44[[#This Row],[DESEMBOLSO 1]:[DESEMBOLSO 8]])</f>
        <v>30258730</v>
      </c>
      <c r="BE50" s="12" t="b">
        <f>EXACT(Tabla44[[#This Row],[VALOR ATENCIÓN (8 MESES)]],Tabla44[[#This Row],[VALOR TOTAL]])</f>
        <v>1</v>
      </c>
      <c r="BF50" s="23">
        <f>Tabla44[[#This Row],[VALOR ATENCIÓN (8 MESES)]]-Tabla44[[#This Row],[VALOR TOTAL]]</f>
        <v>0</v>
      </c>
      <c r="BG50" s="12" t="b">
        <f>EXACT(Tabla44[[#This Row],[TOTAL DESEMBOLSOS]],Tabla44[[#This Row],[VALOR TOTAL DEL CONTRATO INCLUIDO EL COMPONENTE DE ALIMENTACIÓN]])</f>
        <v>1</v>
      </c>
      <c r="BH50" s="29">
        <f>Tabla44[[#This Row],[TOTAL DESEMBOLSOS]]-Tabla44[[#This Row],[VALOR TOTAL DEL CONTRATO INCLUIDO EL COMPONENTE DE ALIMENTACIÓN]]</f>
        <v>0</v>
      </c>
      <c r="BI50" t="s">
        <v>98</v>
      </c>
    </row>
    <row r="51" spans="1:61">
      <c r="A51" s="13">
        <v>1922</v>
      </c>
      <c r="B51" s="13"/>
      <c r="C51" s="12" t="s">
        <v>87</v>
      </c>
      <c r="D51" s="12" t="s">
        <v>205</v>
      </c>
      <c r="E51" s="12" t="s">
        <v>2899</v>
      </c>
      <c r="F51" s="12" t="s">
        <v>21</v>
      </c>
      <c r="G51" s="12" t="s">
        <v>90</v>
      </c>
      <c r="H51" s="12" t="s">
        <v>2914</v>
      </c>
      <c r="I51" s="36">
        <v>51451154373</v>
      </c>
      <c r="J51" s="12" t="s">
        <v>2915</v>
      </c>
      <c r="K51" s="12">
        <v>1</v>
      </c>
      <c r="L51" s="12">
        <v>37</v>
      </c>
      <c r="M51" s="12"/>
      <c r="N51" s="13">
        <v>1922</v>
      </c>
      <c r="O51" s="12" t="s">
        <v>2850</v>
      </c>
      <c r="P51" s="12"/>
      <c r="Q51" s="12"/>
      <c r="R51" s="12" t="s">
        <v>94</v>
      </c>
      <c r="S51" s="12">
        <v>10</v>
      </c>
      <c r="T51" s="12">
        <v>890901524</v>
      </c>
      <c r="U51" s="12" t="s">
        <v>2875</v>
      </c>
      <c r="V51" s="12">
        <f>VLOOKUP(Tabla44[[#This Row],[ZONA DEFINITIVO]],[1]Hoja1!$A$1:$D$125,3,0)</f>
        <v>229934</v>
      </c>
      <c r="W51" s="12">
        <f>VLOOKUP(Tabla44[[#This Row],[ZONA DEFINITIVO]],[1]Hoja1!$A$1:$D$125,2,0)</f>
        <v>17254</v>
      </c>
      <c r="X51" s="12">
        <f>VLOOKUP(Tabla44[[#This Row],[ZONA DEFINITIVO]],[1]Hoja1!$A$1:$D$125,4,0)</f>
        <v>103725</v>
      </c>
      <c r="Y51" s="12" t="str">
        <f>+IF(Tabla44[[#This Row],[AGRUPACIONES]]=1,SUMIFS(Tabla44[UDS],Tabla44[ZONA DEFINITIVO],Tabla44[[#This Row],[ZONA DEFINITIVO]])," ")</f>
        <v xml:space="preserve"> </v>
      </c>
      <c r="Z51" s="12" t="str">
        <f>+IF(Tabla44[[#This Row],[AGRUPACIONES]]=1,SUMIFS(Tabla44[TOTAL COBERTURA],Tabla44[ZONA DEFINITIVO],Tabla44[[#This Row],[ZONA DEFINITIVO]])," ")</f>
        <v xml:space="preserve"> </v>
      </c>
      <c r="AA51" s="12"/>
      <c r="AB51" s="35">
        <v>56214285</v>
      </c>
      <c r="AC51" s="37">
        <v>0</v>
      </c>
      <c r="AD51" s="35">
        <f t="shared" si="1"/>
        <v>0</v>
      </c>
      <c r="AE51" s="12"/>
      <c r="AF51" s="12">
        <f>COUNTIF($A$20:A51,A51)</f>
        <v>22</v>
      </c>
      <c r="AG51" s="38">
        <v>56214285</v>
      </c>
      <c r="AH51" s="38">
        <f>Tabla44[[#This Row],[VALOR CONTRAPARTIDA]]+Tabla44[[#This Row],[TOTAL APORTES ICBF]]</f>
        <v>56214285</v>
      </c>
      <c r="AI51" s="35" t="str">
        <f>+IF(Tabla44[[#This Row],[AGRUPACIONES]]=1,SUMIFS(Tabla44[TOTAL APORTES ICBF],Tabla44[ZONA DEFINITIVO],Tabla44[[#This Row],[ZONA DEFINITIVO]])," ")</f>
        <v xml:space="preserve"> </v>
      </c>
      <c r="AJ51" s="38"/>
      <c r="AK51" s="38"/>
      <c r="AL51" s="35"/>
      <c r="AM51" s="35">
        <f>VLOOKUP(Tabla44[[#This Row],[SERVICIO 2025]],$J$2:$V$15,5,0)*Tabla44[[#This Row],[TOTAL COBERTURA]]</f>
        <v>1729528</v>
      </c>
      <c r="AN51" s="35">
        <f>VLOOKUP(Tabla44[[#This Row],[SERVICIO 2025]],$J$2:$V$15,6,0)*Tabla44[[#This Row],[TOTAL COBERTURA]]</f>
        <v>1400117</v>
      </c>
      <c r="AO51" s="35">
        <f>VLOOKUP(Tabla44[[#This Row],[SERVICIO 2025]],$J$2:$V$15,8,0)*Tabla44[[#This Row],[TOTAL COBERTURA]]</f>
        <v>0</v>
      </c>
      <c r="AP51" s="35">
        <f>VLOOKUP(Tabla44[[#This Row],[SERVICIO 2025]],$J$2:$V$15,3,0)*Tabla44[[#This Row],[TOTAL COBERTURA]]*8</f>
        <v>53084640</v>
      </c>
      <c r="AQ51" s="35"/>
      <c r="AR51" s="35">
        <f>SUM(Tabla44[[#This Row],[VALOR FASE PREPARATORIA DE ALISTAMIENTO]:[VALOR RACION PREPARADA]])</f>
        <v>56214285</v>
      </c>
      <c r="AS51" s="35" t="str">
        <f>+IF(Tabla44[[#This Row],[AGRUPACIONES]]=1,SUMIFS(Tabla44[VALOR TOTAL],Tabla44[ZONA DEFINITIVO],Tabla44[[#This Row],[ZONA DEFINITIVO]])," ")</f>
        <v xml:space="preserve"> </v>
      </c>
      <c r="AT51" s="35">
        <f>VLOOKUP(Tabla44[[#This Row],[SERVICIO 2025]],$J$2:$V$15,10,0)*Tabla44[[#This Row],[TOTAL COBERTURA]]*$X$7</f>
        <v>55743016</v>
      </c>
      <c r="AU51" s="39">
        <f>Tabla44[[#This Row],[TOTAL CONTRATO (ICBF+EAS)]]+Tabla44[[#This Row],[VALOR COMPONENTE ALIMENTACION NO ASIGNADO]]</f>
        <v>111957301</v>
      </c>
      <c r="AV5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15332985</v>
      </c>
      <c r="AW51" s="35">
        <f>(VLOOKUP(Tabla44[[#This Row],[SERVICIO 2025]],$J$2:$V$15,3,0)*Tabla44[[#This Row],[TOTAL COBERTURA]])+VLOOKUP(Tabla44[[#This Row],[SERVICIO 2025]],$J$2:$V$15,10,0)*Tabla44[[#This Row],[TOTAL COBERTURA]]</f>
        <v>13603457</v>
      </c>
      <c r="AX51" s="35">
        <f>(VLOOKUP(Tabla44[[#This Row],[SERVICIO 2025]],$J$2:$V$15,3,0)*Tabla44[[#This Row],[TOTAL COBERTURA]])+VLOOKUP(Tabla44[[#This Row],[SERVICIO 2025]],$J$2:$V$15,10,0)*Tabla44[[#This Row],[TOTAL COBERTURA]]</f>
        <v>13603457</v>
      </c>
      <c r="AY51" s="35">
        <f>(VLOOKUP(Tabla44[[#This Row],[SERVICIO 2025]],$J$2:$V$15,3,0)*Tabla44[[#This Row],[TOTAL COBERTURA]])+VLOOKUP(Tabla44[[#This Row],[SERVICIO 2025]],$J$2:$V$15,10,0)*Tabla44[[#This Row],[TOTAL COBERTURA]]</f>
        <v>13603457</v>
      </c>
      <c r="AZ51" s="35">
        <f>(VLOOKUP(Tabla44[[#This Row],[SERVICIO 2025]],$J$2:$V$15,3,0)*Tabla44[[#This Row],[TOTAL COBERTURA]])+VLOOKUP(Tabla44[[#This Row],[SERVICIO 2025]],$J$2:$V$15,10,0)*Tabla44[[#This Row],[TOTAL COBERTURA]]</f>
        <v>13603457</v>
      </c>
      <c r="BA51" s="35">
        <f>(VLOOKUP(Tabla44[[#This Row],[SERVICIO 2025]],$J$2:$V$15,3,0)*Tabla44[[#This Row],[TOTAL COBERTURA]])+VLOOKUP(Tabla44[[#This Row],[SERVICIO 2025]],$J$2:$V$15,10,0)*Tabla44[[#This Row],[TOTAL COBERTURA]]</f>
        <v>13603457</v>
      </c>
      <c r="BB51" s="35">
        <f>(VLOOKUP(Tabla44[[#This Row],[SERVICIO 2025]],$J$2:$V$15,3,0)*Tabla44[[#This Row],[TOTAL COBERTURA]])+VLOOKUP(Tabla44[[#This Row],[SERVICIO 2025]],$J$2:$V$15,10,0)*Tabla44[[#This Row],[TOTAL COBERTURA]]</f>
        <v>13603457</v>
      </c>
      <c r="BC5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15003574</v>
      </c>
      <c r="BD51" s="35">
        <f>SUM(Tabla44[[#This Row],[DESEMBOLSO 1]:[DESEMBOLSO 8]])</f>
        <v>111957301</v>
      </c>
      <c r="BE51" s="12" t="b">
        <f>EXACT(Tabla44[[#This Row],[VALOR ATENCIÓN (8 MESES)]],Tabla44[[#This Row],[VALOR TOTAL]])</f>
        <v>1</v>
      </c>
      <c r="BF51" s="23">
        <f>Tabla44[[#This Row],[VALOR ATENCIÓN (8 MESES)]]-Tabla44[[#This Row],[VALOR TOTAL]]</f>
        <v>0</v>
      </c>
      <c r="BG51" s="12" t="b">
        <f>EXACT(Tabla44[[#This Row],[TOTAL DESEMBOLSOS]],Tabla44[[#This Row],[VALOR TOTAL DEL CONTRATO INCLUIDO EL COMPONENTE DE ALIMENTACIÓN]])</f>
        <v>1</v>
      </c>
      <c r="BH51" s="29">
        <f>Tabla44[[#This Row],[TOTAL DESEMBOLSOS]]-Tabla44[[#This Row],[VALOR TOTAL DEL CONTRATO INCLUIDO EL COMPONENTE DE ALIMENTACIÓN]]</f>
        <v>0</v>
      </c>
      <c r="BI51" t="s">
        <v>98</v>
      </c>
    </row>
    <row r="52" spans="1:61">
      <c r="A52" s="13">
        <v>1922</v>
      </c>
      <c r="B52" s="21"/>
      <c r="C52" s="22" t="s">
        <v>87</v>
      </c>
      <c r="D52" s="22" t="s">
        <v>205</v>
      </c>
      <c r="E52" s="22" t="s">
        <v>2899</v>
      </c>
      <c r="F52" s="22" t="s">
        <v>14</v>
      </c>
      <c r="G52" s="12" t="s">
        <v>90</v>
      </c>
      <c r="H52" s="22" t="s">
        <v>2916</v>
      </c>
      <c r="I52" s="36">
        <v>514500024286</v>
      </c>
      <c r="J52" s="22" t="s">
        <v>2917</v>
      </c>
      <c r="K52" s="12">
        <v>1</v>
      </c>
      <c r="L52" s="22">
        <v>50</v>
      </c>
      <c r="M52" s="22"/>
      <c r="N52" s="13">
        <v>1922</v>
      </c>
      <c r="O52" s="22" t="s">
        <v>2850</v>
      </c>
      <c r="P52" s="22"/>
      <c r="Q52" s="22"/>
      <c r="R52" s="12" t="s">
        <v>94</v>
      </c>
      <c r="S52" s="12">
        <v>10</v>
      </c>
      <c r="T52" s="12">
        <v>890901524</v>
      </c>
      <c r="U52" s="12" t="s">
        <v>2875</v>
      </c>
      <c r="V52" s="22">
        <f>VLOOKUP(Tabla44[[#This Row],[ZONA DEFINITIVO]],[1]Hoja1!$A$1:$D$125,3,0)</f>
        <v>229934</v>
      </c>
      <c r="W52" s="22">
        <f>VLOOKUP(Tabla44[[#This Row],[ZONA DEFINITIVO]],[1]Hoja1!$A$1:$D$125,2,0)</f>
        <v>17254</v>
      </c>
      <c r="X52" s="22">
        <f>VLOOKUP(Tabla44[[#This Row],[ZONA DEFINITIVO]],[1]Hoja1!$A$1:$D$125,4,0)</f>
        <v>103725</v>
      </c>
      <c r="Y52" s="22" t="str">
        <f>+IF(Tabla44[[#This Row],[AGRUPACIONES]]=1,SUMIFS(Tabla44[UDS],Tabla44[ZONA DEFINITIVO],Tabla44[[#This Row],[ZONA DEFINITIVO]])," ")</f>
        <v xml:space="preserve"> </v>
      </c>
      <c r="Z52" s="22" t="str">
        <f>+IF(Tabla44[[#This Row],[AGRUPACIONES]]=1,SUMIFS(Tabla44[TOTAL COBERTURA],Tabla44[ZONA DEFINITIVO],Tabla44[[#This Row],[ZONA DEFINITIVO]])," ")</f>
        <v xml:space="preserve"> </v>
      </c>
      <c r="AA52" s="22"/>
      <c r="AB52" s="40">
        <v>209442500</v>
      </c>
      <c r="AC52" s="37">
        <v>0</v>
      </c>
      <c r="AD52" s="40">
        <f t="shared" si="1"/>
        <v>0</v>
      </c>
      <c r="AE52" s="22"/>
      <c r="AF52" s="12">
        <f>COUNTIF($A$20:A52,A52)</f>
        <v>23</v>
      </c>
      <c r="AG52" s="41">
        <v>209442500</v>
      </c>
      <c r="AH52" s="41">
        <f>Tabla44[[#This Row],[VALOR CONTRAPARTIDA]]+Tabla44[[#This Row],[TOTAL APORTES ICBF]]</f>
        <v>209442500</v>
      </c>
      <c r="AI52" s="40" t="str">
        <f>+IF(Tabla44[[#This Row],[AGRUPACIONES]]=1,SUMIFS(Tabla44[TOTAL APORTES ICBF],Tabla44[ZONA DEFINITIVO],Tabla44[[#This Row],[ZONA DEFINITIVO]])," ")</f>
        <v xml:space="preserve"> </v>
      </c>
      <c r="AJ52" s="41"/>
      <c r="AK52" s="41"/>
      <c r="AL52" s="40"/>
      <c r="AM52" s="40">
        <f>VLOOKUP(Tabla44[[#This Row],[SERVICIO 2025]],$J$2:$V$15,5,0)*Tabla44[[#This Row],[TOTAL COBERTURA]]</f>
        <v>4407150</v>
      </c>
      <c r="AN52" s="40">
        <f>VLOOKUP(Tabla44[[#This Row],[SERVICIO 2025]],$J$2:$V$15,6,0)*Tabla44[[#This Row],[TOTAL COBERTURA]]</f>
        <v>3752150</v>
      </c>
      <c r="AO52" s="40">
        <f>VLOOKUP(Tabla44[[#This Row],[SERVICIO 2025]],$J$2:$V$15,8,0)*Tabla44[[#This Row],[TOTAL COBERTURA]]</f>
        <v>0</v>
      </c>
      <c r="AP52" s="40">
        <f>VLOOKUP(Tabla44[[#This Row],[SERVICIO 2025]],$J$2:$V$15,3,0)*Tabla44[[#This Row],[TOTAL COBERTURA]]*8</f>
        <v>201283200</v>
      </c>
      <c r="AQ52" s="40"/>
      <c r="AR52" s="40">
        <f>SUM(Tabla44[[#This Row],[VALOR FASE PREPARATORIA DE ALISTAMIENTO]:[VALOR RACION PREPARADA]])</f>
        <v>209442500</v>
      </c>
      <c r="AS52" s="40" t="str">
        <f>+IF(Tabla44[[#This Row],[AGRUPACIONES]]=1,SUMIFS(Tabla44[VALOR TOTAL],Tabla44[ZONA DEFINITIVO],Tabla44[[#This Row],[ZONA DEFINITIVO]])," ")</f>
        <v xml:space="preserve"> </v>
      </c>
      <c r="AT52" s="35">
        <f>VLOOKUP(Tabla44[[#This Row],[SERVICIO 2025]],$J$2:$V$15,10,0)*Tabla44[[#This Row],[TOTAL COBERTURA]]*$X$7</f>
        <v>0</v>
      </c>
      <c r="AU52" s="42">
        <f>Tabla44[[#This Row],[TOTAL CONTRATO (ICBF+EAS)]]+Tabla44[[#This Row],[VALOR COMPONENTE ALIMENTACION NO ASIGNADO]]</f>
        <v>209442500</v>
      </c>
      <c r="AV5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29567550</v>
      </c>
      <c r="AW52" s="35">
        <f>(VLOOKUP(Tabla44[[#This Row],[SERVICIO 2025]],$J$2:$V$15,3,0)*Tabla44[[#This Row],[TOTAL COBERTURA]])+VLOOKUP(Tabla44[[#This Row],[SERVICIO 2025]],$J$2:$V$15,10,0)*Tabla44[[#This Row],[TOTAL COBERTURA]]</f>
        <v>25160400</v>
      </c>
      <c r="AX52" s="40">
        <f>(VLOOKUP(Tabla44[[#This Row],[SERVICIO 2025]],$J$2:$V$15,3,0)*Tabla44[[#This Row],[TOTAL COBERTURA]])+VLOOKUP(Tabla44[[#This Row],[SERVICIO 2025]],$J$2:$V$15,10,0)*Tabla44[[#This Row],[TOTAL COBERTURA]]</f>
        <v>25160400</v>
      </c>
      <c r="AY52" s="40">
        <f>(VLOOKUP(Tabla44[[#This Row],[SERVICIO 2025]],$J$2:$V$15,3,0)*Tabla44[[#This Row],[TOTAL COBERTURA]])+VLOOKUP(Tabla44[[#This Row],[SERVICIO 2025]],$J$2:$V$15,10,0)*Tabla44[[#This Row],[TOTAL COBERTURA]]</f>
        <v>25160400</v>
      </c>
      <c r="AZ52" s="40">
        <f>(VLOOKUP(Tabla44[[#This Row],[SERVICIO 2025]],$J$2:$V$15,3,0)*Tabla44[[#This Row],[TOTAL COBERTURA]])+VLOOKUP(Tabla44[[#This Row],[SERVICIO 2025]],$J$2:$V$15,10,0)*Tabla44[[#This Row],[TOTAL COBERTURA]]</f>
        <v>25160400</v>
      </c>
      <c r="BA52" s="40">
        <f>(VLOOKUP(Tabla44[[#This Row],[SERVICIO 2025]],$J$2:$V$15,3,0)*Tabla44[[#This Row],[TOTAL COBERTURA]])+VLOOKUP(Tabla44[[#This Row],[SERVICIO 2025]],$J$2:$V$15,10,0)*Tabla44[[#This Row],[TOTAL COBERTURA]]</f>
        <v>25160400</v>
      </c>
      <c r="BB52" s="40">
        <f>(VLOOKUP(Tabla44[[#This Row],[SERVICIO 2025]],$J$2:$V$15,3,0)*Tabla44[[#This Row],[TOTAL COBERTURA]])+VLOOKUP(Tabla44[[#This Row],[SERVICIO 2025]],$J$2:$V$15,10,0)*Tabla44[[#This Row],[TOTAL COBERTURA]]</f>
        <v>25160400</v>
      </c>
      <c r="BC52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28912550</v>
      </c>
      <c r="BD52" s="40">
        <f>SUM(Tabla44[[#This Row],[DESEMBOLSO 1]:[DESEMBOLSO 8]])</f>
        <v>209442500</v>
      </c>
      <c r="BE52" s="22" t="b">
        <f>EXACT(Tabla44[[#This Row],[VALOR ATENCIÓN (8 MESES)]],Tabla44[[#This Row],[VALOR TOTAL]])</f>
        <v>1</v>
      </c>
      <c r="BF52" s="28">
        <f>Tabla44[[#This Row],[VALOR ATENCIÓN (8 MESES)]]-Tabla44[[#This Row],[VALOR TOTAL]]</f>
        <v>0</v>
      </c>
      <c r="BG52" s="22" t="b">
        <f>EXACT(Tabla44[[#This Row],[TOTAL DESEMBOLSOS]],Tabla44[[#This Row],[VALOR TOTAL DEL CONTRATO INCLUIDO EL COMPONENTE DE ALIMENTACIÓN]])</f>
        <v>1</v>
      </c>
      <c r="BH52" s="29">
        <f>Tabla44[[#This Row],[TOTAL DESEMBOLSOS]]-Tabla44[[#This Row],[VALOR TOTAL DEL CONTRATO INCLUIDO EL COMPONENTE DE ALIMENTACIÓN]]</f>
        <v>0</v>
      </c>
      <c r="BI52" t="s">
        <v>98</v>
      </c>
    </row>
    <row r="53" spans="1:61">
      <c r="A53" s="13">
        <v>1922</v>
      </c>
      <c r="B53" s="13"/>
      <c r="C53" s="12" t="s">
        <v>87</v>
      </c>
      <c r="D53" s="12" t="s">
        <v>205</v>
      </c>
      <c r="E53" s="12" t="s">
        <v>2918</v>
      </c>
      <c r="F53" s="12" t="s">
        <v>18</v>
      </c>
      <c r="G53" s="12" t="s">
        <v>90</v>
      </c>
      <c r="H53" s="12" t="s">
        <v>2919</v>
      </c>
      <c r="I53" s="36">
        <v>53531115763</v>
      </c>
      <c r="J53" s="12" t="s">
        <v>2920</v>
      </c>
      <c r="K53" s="12">
        <v>1</v>
      </c>
      <c r="L53" s="12">
        <v>10</v>
      </c>
      <c r="M53" s="12"/>
      <c r="N53" s="13">
        <v>1922</v>
      </c>
      <c r="O53" s="12" t="s">
        <v>2850</v>
      </c>
      <c r="P53" s="12"/>
      <c r="Q53" s="12"/>
      <c r="R53" s="12" t="s">
        <v>94</v>
      </c>
      <c r="S53" s="12">
        <v>10</v>
      </c>
      <c r="T53" s="12">
        <v>890901524</v>
      </c>
      <c r="U53" s="12" t="s">
        <v>2875</v>
      </c>
      <c r="V53" s="12">
        <f>VLOOKUP(Tabla44[[#This Row],[ZONA DEFINITIVO]],[1]Hoja1!$A$1:$D$125,3,0)</f>
        <v>229934</v>
      </c>
      <c r="W53" s="12">
        <f>VLOOKUP(Tabla44[[#This Row],[ZONA DEFINITIVO]],[1]Hoja1!$A$1:$D$125,2,0)</f>
        <v>17254</v>
      </c>
      <c r="X53" s="12">
        <f>VLOOKUP(Tabla44[[#This Row],[ZONA DEFINITIVO]],[1]Hoja1!$A$1:$D$125,4,0)</f>
        <v>103725</v>
      </c>
      <c r="Y53" s="12" t="str">
        <f>+IF(Tabla44[[#This Row],[AGRUPACIONES]]=1,SUMIFS(Tabla44[UDS],Tabla44[ZONA DEFINITIVO],Tabla44[[#This Row],[ZONA DEFINITIVO]])," ")</f>
        <v xml:space="preserve"> </v>
      </c>
      <c r="Z53" s="12" t="str">
        <f>+IF(Tabla44[[#This Row],[AGRUPACIONES]]=1,SUMIFS(Tabla44[TOTAL COBERTURA],Tabla44[ZONA DEFINITIVO],Tabla44[[#This Row],[ZONA DEFINITIVO]])," ")</f>
        <v xml:space="preserve"> </v>
      </c>
      <c r="AA53" s="12"/>
      <c r="AB53" s="35">
        <v>21801930</v>
      </c>
      <c r="AC53" s="37">
        <v>0</v>
      </c>
      <c r="AD53" s="35">
        <f t="shared" si="1"/>
        <v>0</v>
      </c>
      <c r="AE53" s="12"/>
      <c r="AF53" s="12">
        <f>COUNTIF($A$20:A53,A53)</f>
        <v>24</v>
      </c>
      <c r="AG53" s="38">
        <v>21801930</v>
      </c>
      <c r="AH53" s="38">
        <f>Tabla44[[#This Row],[VALOR CONTRAPARTIDA]]+Tabla44[[#This Row],[TOTAL APORTES ICBF]]</f>
        <v>21801930</v>
      </c>
      <c r="AI53" s="35" t="str">
        <f>+IF(Tabla44[[#This Row],[AGRUPACIONES]]=1,SUMIFS(Tabla44[TOTAL APORTES ICBF],Tabla44[ZONA DEFINITIVO],Tabla44[[#This Row],[ZONA DEFINITIVO]])," ")</f>
        <v xml:space="preserve"> </v>
      </c>
      <c r="AJ53" s="38"/>
      <c r="AK53" s="38"/>
      <c r="AL53" s="35"/>
      <c r="AM53" s="35">
        <f>VLOOKUP(Tabla44[[#This Row],[SERVICIO 2025]],$J$2:$V$15,5,0)*Tabla44[[#This Row],[TOTAL COBERTURA]]</f>
        <v>493760</v>
      </c>
      <c r="AN53" s="35">
        <f>VLOOKUP(Tabla44[[#This Row],[SERVICIO 2025]],$J$2:$V$15,6,0)*Tabla44[[#This Row],[TOTAL COBERTURA]]</f>
        <v>410290</v>
      </c>
      <c r="AO53" s="35">
        <f>VLOOKUP(Tabla44[[#This Row],[SERVICIO 2025]],$J$2:$V$15,8,0)*Tabla44[[#This Row],[TOTAL COBERTURA]]</f>
        <v>291000</v>
      </c>
      <c r="AP53" s="35">
        <f>VLOOKUP(Tabla44[[#This Row],[SERVICIO 2025]],$J$2:$V$15,3,0)*Tabla44[[#This Row],[TOTAL COBERTURA]]*8</f>
        <v>20606880</v>
      </c>
      <c r="AQ53" s="35"/>
      <c r="AR53" s="35">
        <f>SUM(Tabla44[[#This Row],[VALOR FASE PREPARATORIA DE ALISTAMIENTO]:[VALOR RACION PREPARADA]])</f>
        <v>21801930</v>
      </c>
      <c r="AS53" s="35" t="str">
        <f>+IF(Tabla44[[#This Row],[AGRUPACIONES]]=1,SUMIFS(Tabla44[VALOR TOTAL],Tabla44[ZONA DEFINITIVO],Tabla44[[#This Row],[ZONA DEFINITIVO]])," ")</f>
        <v xml:space="preserve"> </v>
      </c>
      <c r="AT53" s="35">
        <f>VLOOKUP(Tabla44[[#This Row],[SERVICIO 2025]],$J$2:$V$15,10,0)*Tabla44[[#This Row],[TOTAL COBERTURA]]*$X$7</f>
        <v>14430640</v>
      </c>
      <c r="AU53" s="39">
        <f>Tabla44[[#This Row],[TOTAL CONTRATO (ICBF+EAS)]]+Tabla44[[#This Row],[VALOR COMPONENTE ALIMENTACION NO ASIGNADO]]</f>
        <v>36232570</v>
      </c>
      <c r="AV5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53" s="35">
        <f>(VLOOKUP(Tabla44[[#This Row],[SERVICIO 2025]],$J$2:$V$15,3,0)*Tabla44[[#This Row],[TOTAL COBERTURA]])+VLOOKUP(Tabla44[[#This Row],[SERVICIO 2025]],$J$2:$V$15,10,0)*Tabla44[[#This Row],[TOTAL COBERTURA]]</f>
        <v>4379690</v>
      </c>
      <c r="AX53" s="35">
        <f>(VLOOKUP(Tabla44[[#This Row],[SERVICIO 2025]],$J$2:$V$15,3,0)*Tabla44[[#This Row],[TOTAL COBERTURA]])+VLOOKUP(Tabla44[[#This Row],[SERVICIO 2025]],$J$2:$V$15,10,0)*Tabla44[[#This Row],[TOTAL COBERTURA]]</f>
        <v>4379690</v>
      </c>
      <c r="AY53" s="35">
        <f>(VLOOKUP(Tabla44[[#This Row],[SERVICIO 2025]],$J$2:$V$15,3,0)*Tabla44[[#This Row],[TOTAL COBERTURA]])+VLOOKUP(Tabla44[[#This Row],[SERVICIO 2025]],$J$2:$V$15,10,0)*Tabla44[[#This Row],[TOTAL COBERTURA]]</f>
        <v>4379690</v>
      </c>
      <c r="AZ53" s="35">
        <f>(VLOOKUP(Tabla44[[#This Row],[SERVICIO 2025]],$J$2:$V$15,3,0)*Tabla44[[#This Row],[TOTAL COBERTURA]])+VLOOKUP(Tabla44[[#This Row],[SERVICIO 2025]],$J$2:$V$15,10,0)*Tabla44[[#This Row],[TOTAL COBERTURA]]</f>
        <v>4379690</v>
      </c>
      <c r="BA53" s="35">
        <f>(VLOOKUP(Tabla44[[#This Row],[SERVICIO 2025]],$J$2:$V$15,3,0)*Tabla44[[#This Row],[TOTAL COBERTURA]])+VLOOKUP(Tabla44[[#This Row],[SERVICIO 2025]],$J$2:$V$15,10,0)*Tabla44[[#This Row],[TOTAL COBERTURA]]</f>
        <v>4379690</v>
      </c>
      <c r="BB53" s="35">
        <f>(VLOOKUP(Tabla44[[#This Row],[SERVICIO 2025]],$J$2:$V$15,3,0)*Tabla44[[#This Row],[TOTAL COBERTURA]])+VLOOKUP(Tabla44[[#This Row],[SERVICIO 2025]],$J$2:$V$15,10,0)*Tabla44[[#This Row],[TOTAL COBERTURA]]</f>
        <v>4379690</v>
      </c>
      <c r="BC5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53" s="35">
        <f>SUM(Tabla44[[#This Row],[DESEMBOLSO 1]:[DESEMBOLSO 8]])</f>
        <v>36232570</v>
      </c>
      <c r="BE53" s="12" t="b">
        <f>EXACT(Tabla44[[#This Row],[VALOR ATENCIÓN (8 MESES)]],Tabla44[[#This Row],[VALOR TOTAL]])</f>
        <v>1</v>
      </c>
      <c r="BF53" s="23">
        <f>Tabla44[[#This Row],[VALOR ATENCIÓN (8 MESES)]]-Tabla44[[#This Row],[VALOR TOTAL]]</f>
        <v>0</v>
      </c>
      <c r="BG53" s="12" t="b">
        <f>EXACT(Tabla44[[#This Row],[TOTAL DESEMBOLSOS]],Tabla44[[#This Row],[VALOR TOTAL DEL CONTRATO INCLUIDO EL COMPONENTE DE ALIMENTACIÓN]])</f>
        <v>1</v>
      </c>
      <c r="BH53" s="29">
        <f>Tabla44[[#This Row],[TOTAL DESEMBOLSOS]]-Tabla44[[#This Row],[VALOR TOTAL DEL CONTRATO INCLUIDO EL COMPONENTE DE ALIMENTACIÓN]]</f>
        <v>0</v>
      </c>
      <c r="BI53" t="s">
        <v>98</v>
      </c>
    </row>
    <row r="54" spans="1:61">
      <c r="A54" s="13">
        <v>1922</v>
      </c>
      <c r="B54" s="13"/>
      <c r="C54" s="12" t="s">
        <v>87</v>
      </c>
      <c r="D54" s="12" t="s">
        <v>205</v>
      </c>
      <c r="E54" s="12" t="s">
        <v>2918</v>
      </c>
      <c r="F54" s="12" t="s">
        <v>18</v>
      </c>
      <c r="G54" s="12" t="s">
        <v>90</v>
      </c>
      <c r="H54" s="12" t="s">
        <v>2921</v>
      </c>
      <c r="I54" s="36">
        <v>53531135610</v>
      </c>
      <c r="J54" s="12" t="s">
        <v>2921</v>
      </c>
      <c r="K54" s="12">
        <v>1</v>
      </c>
      <c r="L54" s="12">
        <v>10</v>
      </c>
      <c r="M54" s="12"/>
      <c r="N54" s="13">
        <v>1922</v>
      </c>
      <c r="O54" s="12" t="s">
        <v>2850</v>
      </c>
      <c r="P54" s="12"/>
      <c r="Q54" s="12"/>
      <c r="R54" s="12" t="s">
        <v>94</v>
      </c>
      <c r="S54" s="12">
        <v>10</v>
      </c>
      <c r="T54" s="12">
        <v>890901524</v>
      </c>
      <c r="U54" s="12" t="s">
        <v>2875</v>
      </c>
      <c r="V54" s="12">
        <f>VLOOKUP(Tabla44[[#This Row],[ZONA DEFINITIVO]],[1]Hoja1!$A$1:$D$125,3,0)</f>
        <v>229934</v>
      </c>
      <c r="W54" s="12">
        <f>VLOOKUP(Tabla44[[#This Row],[ZONA DEFINITIVO]],[1]Hoja1!$A$1:$D$125,2,0)</f>
        <v>17254</v>
      </c>
      <c r="X54" s="12">
        <f>VLOOKUP(Tabla44[[#This Row],[ZONA DEFINITIVO]],[1]Hoja1!$A$1:$D$125,4,0)</f>
        <v>103725</v>
      </c>
      <c r="Y54" s="12" t="str">
        <f>+IF(Tabla44[[#This Row],[AGRUPACIONES]]=1,SUMIFS(Tabla44[UDS],Tabla44[ZONA DEFINITIVO],Tabla44[[#This Row],[ZONA DEFINITIVO]])," ")</f>
        <v xml:space="preserve"> </v>
      </c>
      <c r="Z54" s="12" t="str">
        <f>+IF(Tabla44[[#This Row],[AGRUPACIONES]]=1,SUMIFS(Tabla44[TOTAL COBERTURA],Tabla44[ZONA DEFINITIVO],Tabla44[[#This Row],[ZONA DEFINITIVO]])," ")</f>
        <v xml:space="preserve"> </v>
      </c>
      <c r="AA54" s="12"/>
      <c r="AB54" s="35">
        <v>21801930</v>
      </c>
      <c r="AC54" s="37">
        <v>0</v>
      </c>
      <c r="AD54" s="35">
        <f t="shared" si="1"/>
        <v>0</v>
      </c>
      <c r="AE54" s="12"/>
      <c r="AF54" s="12">
        <f>COUNTIF($A$20:A54,A54)</f>
        <v>25</v>
      </c>
      <c r="AG54" s="38">
        <v>21801930</v>
      </c>
      <c r="AH54" s="38">
        <f>Tabla44[[#This Row],[VALOR CONTRAPARTIDA]]+Tabla44[[#This Row],[TOTAL APORTES ICBF]]</f>
        <v>21801930</v>
      </c>
      <c r="AI54" s="35" t="str">
        <f>+IF(Tabla44[[#This Row],[AGRUPACIONES]]=1,SUMIFS(Tabla44[TOTAL APORTES ICBF],Tabla44[ZONA DEFINITIVO],Tabla44[[#This Row],[ZONA DEFINITIVO]])," ")</f>
        <v xml:space="preserve"> </v>
      </c>
      <c r="AJ54" s="38"/>
      <c r="AK54" s="38"/>
      <c r="AL54" s="35"/>
      <c r="AM54" s="35">
        <f>VLOOKUP(Tabla44[[#This Row],[SERVICIO 2025]],$J$2:$V$15,5,0)*Tabla44[[#This Row],[TOTAL COBERTURA]]</f>
        <v>493760</v>
      </c>
      <c r="AN54" s="35">
        <f>VLOOKUP(Tabla44[[#This Row],[SERVICIO 2025]],$J$2:$V$15,6,0)*Tabla44[[#This Row],[TOTAL COBERTURA]]</f>
        <v>410290</v>
      </c>
      <c r="AO54" s="35">
        <f>VLOOKUP(Tabla44[[#This Row],[SERVICIO 2025]],$J$2:$V$15,8,0)*Tabla44[[#This Row],[TOTAL COBERTURA]]</f>
        <v>291000</v>
      </c>
      <c r="AP54" s="35">
        <f>VLOOKUP(Tabla44[[#This Row],[SERVICIO 2025]],$J$2:$V$15,3,0)*Tabla44[[#This Row],[TOTAL COBERTURA]]*8</f>
        <v>20606880</v>
      </c>
      <c r="AQ54" s="35"/>
      <c r="AR54" s="35">
        <f>SUM(Tabla44[[#This Row],[VALOR FASE PREPARATORIA DE ALISTAMIENTO]:[VALOR RACION PREPARADA]])</f>
        <v>21801930</v>
      </c>
      <c r="AS54" s="35" t="str">
        <f>+IF(Tabla44[[#This Row],[AGRUPACIONES]]=1,SUMIFS(Tabla44[VALOR TOTAL],Tabla44[ZONA DEFINITIVO],Tabla44[[#This Row],[ZONA DEFINITIVO]])," ")</f>
        <v xml:space="preserve"> </v>
      </c>
      <c r="AT54" s="35">
        <f>VLOOKUP(Tabla44[[#This Row],[SERVICIO 2025]],$J$2:$V$15,10,0)*Tabla44[[#This Row],[TOTAL COBERTURA]]*$X$7</f>
        <v>14430640</v>
      </c>
      <c r="AU54" s="39">
        <f>Tabla44[[#This Row],[TOTAL CONTRATO (ICBF+EAS)]]+Tabla44[[#This Row],[VALOR COMPONENTE ALIMENTACION NO ASIGNADO]]</f>
        <v>36232570</v>
      </c>
      <c r="AV5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54" s="35">
        <f>(VLOOKUP(Tabla44[[#This Row],[SERVICIO 2025]],$J$2:$V$15,3,0)*Tabla44[[#This Row],[TOTAL COBERTURA]])+VLOOKUP(Tabla44[[#This Row],[SERVICIO 2025]],$J$2:$V$15,10,0)*Tabla44[[#This Row],[TOTAL COBERTURA]]</f>
        <v>4379690</v>
      </c>
      <c r="AX54" s="35">
        <f>(VLOOKUP(Tabla44[[#This Row],[SERVICIO 2025]],$J$2:$V$15,3,0)*Tabla44[[#This Row],[TOTAL COBERTURA]])+VLOOKUP(Tabla44[[#This Row],[SERVICIO 2025]],$J$2:$V$15,10,0)*Tabla44[[#This Row],[TOTAL COBERTURA]]</f>
        <v>4379690</v>
      </c>
      <c r="AY54" s="35">
        <f>(VLOOKUP(Tabla44[[#This Row],[SERVICIO 2025]],$J$2:$V$15,3,0)*Tabla44[[#This Row],[TOTAL COBERTURA]])+VLOOKUP(Tabla44[[#This Row],[SERVICIO 2025]],$J$2:$V$15,10,0)*Tabla44[[#This Row],[TOTAL COBERTURA]]</f>
        <v>4379690</v>
      </c>
      <c r="AZ54" s="35">
        <f>(VLOOKUP(Tabla44[[#This Row],[SERVICIO 2025]],$J$2:$V$15,3,0)*Tabla44[[#This Row],[TOTAL COBERTURA]])+VLOOKUP(Tabla44[[#This Row],[SERVICIO 2025]],$J$2:$V$15,10,0)*Tabla44[[#This Row],[TOTAL COBERTURA]]</f>
        <v>4379690</v>
      </c>
      <c r="BA54" s="35">
        <f>(VLOOKUP(Tabla44[[#This Row],[SERVICIO 2025]],$J$2:$V$15,3,0)*Tabla44[[#This Row],[TOTAL COBERTURA]])+VLOOKUP(Tabla44[[#This Row],[SERVICIO 2025]],$J$2:$V$15,10,0)*Tabla44[[#This Row],[TOTAL COBERTURA]]</f>
        <v>4379690</v>
      </c>
      <c r="BB54" s="35">
        <f>(VLOOKUP(Tabla44[[#This Row],[SERVICIO 2025]],$J$2:$V$15,3,0)*Tabla44[[#This Row],[TOTAL COBERTURA]])+VLOOKUP(Tabla44[[#This Row],[SERVICIO 2025]],$J$2:$V$15,10,0)*Tabla44[[#This Row],[TOTAL COBERTURA]]</f>
        <v>4379690</v>
      </c>
      <c r="BC5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54" s="35">
        <f>SUM(Tabla44[[#This Row],[DESEMBOLSO 1]:[DESEMBOLSO 8]])</f>
        <v>36232570</v>
      </c>
      <c r="BE54" s="12" t="b">
        <f>EXACT(Tabla44[[#This Row],[VALOR ATENCIÓN (8 MESES)]],Tabla44[[#This Row],[VALOR TOTAL]])</f>
        <v>1</v>
      </c>
      <c r="BF54" s="23">
        <f>Tabla44[[#This Row],[VALOR ATENCIÓN (8 MESES)]]-Tabla44[[#This Row],[VALOR TOTAL]]</f>
        <v>0</v>
      </c>
      <c r="BG54" s="12" t="b">
        <f>EXACT(Tabla44[[#This Row],[TOTAL DESEMBOLSOS]],Tabla44[[#This Row],[VALOR TOTAL DEL CONTRATO INCLUIDO EL COMPONENTE DE ALIMENTACIÓN]])</f>
        <v>1</v>
      </c>
      <c r="BH54" s="29">
        <f>Tabla44[[#This Row],[TOTAL DESEMBOLSOS]]-Tabla44[[#This Row],[VALOR TOTAL DEL CONTRATO INCLUIDO EL COMPONENTE DE ALIMENTACIÓN]]</f>
        <v>0</v>
      </c>
      <c r="BI54" t="s">
        <v>98</v>
      </c>
    </row>
    <row r="55" spans="1:61">
      <c r="A55" s="13">
        <v>1922</v>
      </c>
      <c r="B55" s="13"/>
      <c r="C55" s="12" t="s">
        <v>87</v>
      </c>
      <c r="D55" s="12" t="s">
        <v>205</v>
      </c>
      <c r="E55" s="12" t="s">
        <v>2918</v>
      </c>
      <c r="F55" s="12" t="s">
        <v>18</v>
      </c>
      <c r="G55" s="12" t="s">
        <v>90</v>
      </c>
      <c r="H55" s="12" t="s">
        <v>2922</v>
      </c>
      <c r="I55" s="36">
        <v>53531143787</v>
      </c>
      <c r="J55" s="12" t="s">
        <v>2923</v>
      </c>
      <c r="K55" s="12">
        <v>1</v>
      </c>
      <c r="L55" s="12">
        <v>13</v>
      </c>
      <c r="M55" s="12"/>
      <c r="N55" s="13">
        <v>1922</v>
      </c>
      <c r="O55" s="12" t="s">
        <v>2850</v>
      </c>
      <c r="P55" s="12"/>
      <c r="Q55" s="12"/>
      <c r="R55" s="12" t="s">
        <v>94</v>
      </c>
      <c r="S55" s="12">
        <v>10</v>
      </c>
      <c r="T55" s="12">
        <v>890901524</v>
      </c>
      <c r="U55" s="12" t="s">
        <v>2875</v>
      </c>
      <c r="V55" s="12">
        <f>VLOOKUP(Tabla44[[#This Row],[ZONA DEFINITIVO]],[1]Hoja1!$A$1:$D$125,3,0)</f>
        <v>229934</v>
      </c>
      <c r="W55" s="12">
        <f>VLOOKUP(Tabla44[[#This Row],[ZONA DEFINITIVO]],[1]Hoja1!$A$1:$D$125,2,0)</f>
        <v>17254</v>
      </c>
      <c r="X55" s="12">
        <f>VLOOKUP(Tabla44[[#This Row],[ZONA DEFINITIVO]],[1]Hoja1!$A$1:$D$125,4,0)</f>
        <v>103725</v>
      </c>
      <c r="Y55" s="12" t="str">
        <f>+IF(Tabla44[[#This Row],[AGRUPACIONES]]=1,SUMIFS(Tabla44[UDS],Tabla44[ZONA DEFINITIVO],Tabla44[[#This Row],[ZONA DEFINITIVO]])," ")</f>
        <v xml:space="preserve"> </v>
      </c>
      <c r="Z55" s="12" t="str">
        <f>+IF(Tabla44[[#This Row],[AGRUPACIONES]]=1,SUMIFS(Tabla44[TOTAL COBERTURA],Tabla44[ZONA DEFINITIVO],Tabla44[[#This Row],[ZONA DEFINITIVO]])," ")</f>
        <v xml:space="preserve"> </v>
      </c>
      <c r="AA55" s="12"/>
      <c r="AB55" s="35">
        <v>28342509</v>
      </c>
      <c r="AC55" s="37">
        <v>0</v>
      </c>
      <c r="AD55" s="35">
        <f t="shared" si="1"/>
        <v>0</v>
      </c>
      <c r="AE55" s="12"/>
      <c r="AF55" s="12">
        <f>COUNTIF($A$20:A55,A55)</f>
        <v>26</v>
      </c>
      <c r="AG55" s="38">
        <v>28342509</v>
      </c>
      <c r="AH55" s="38">
        <f>Tabla44[[#This Row],[VALOR CONTRAPARTIDA]]+Tabla44[[#This Row],[TOTAL APORTES ICBF]]</f>
        <v>28342509</v>
      </c>
      <c r="AI55" s="35" t="str">
        <f>+IF(Tabla44[[#This Row],[AGRUPACIONES]]=1,SUMIFS(Tabla44[TOTAL APORTES ICBF],Tabla44[ZONA DEFINITIVO],Tabla44[[#This Row],[ZONA DEFINITIVO]])," ")</f>
        <v xml:space="preserve"> </v>
      </c>
      <c r="AJ55" s="38"/>
      <c r="AK55" s="38"/>
      <c r="AL55" s="35"/>
      <c r="AM55" s="35">
        <f>VLOOKUP(Tabla44[[#This Row],[SERVICIO 2025]],$J$2:$V$15,5,0)*Tabla44[[#This Row],[TOTAL COBERTURA]]</f>
        <v>641888</v>
      </c>
      <c r="AN55" s="35">
        <f>VLOOKUP(Tabla44[[#This Row],[SERVICIO 2025]],$J$2:$V$15,6,0)*Tabla44[[#This Row],[TOTAL COBERTURA]]</f>
        <v>533377</v>
      </c>
      <c r="AO55" s="35">
        <f>VLOOKUP(Tabla44[[#This Row],[SERVICIO 2025]],$J$2:$V$15,8,0)*Tabla44[[#This Row],[TOTAL COBERTURA]]</f>
        <v>378300</v>
      </c>
      <c r="AP55" s="35">
        <f>VLOOKUP(Tabla44[[#This Row],[SERVICIO 2025]],$J$2:$V$15,3,0)*Tabla44[[#This Row],[TOTAL COBERTURA]]*8</f>
        <v>26788944</v>
      </c>
      <c r="AQ55" s="35"/>
      <c r="AR55" s="35">
        <f>SUM(Tabla44[[#This Row],[VALOR FASE PREPARATORIA DE ALISTAMIENTO]:[VALOR RACION PREPARADA]])</f>
        <v>28342509</v>
      </c>
      <c r="AS55" s="35" t="str">
        <f>+IF(Tabla44[[#This Row],[AGRUPACIONES]]=1,SUMIFS(Tabla44[VALOR TOTAL],Tabla44[ZONA DEFINITIVO],Tabla44[[#This Row],[ZONA DEFINITIVO]])," ")</f>
        <v xml:space="preserve"> </v>
      </c>
      <c r="AT55" s="35">
        <f>VLOOKUP(Tabla44[[#This Row],[SERVICIO 2025]],$J$2:$V$15,10,0)*Tabla44[[#This Row],[TOTAL COBERTURA]]*$X$7</f>
        <v>18759832</v>
      </c>
      <c r="AU55" s="39">
        <f>Tabla44[[#This Row],[TOTAL CONTRATO (ICBF+EAS)]]+Tabla44[[#This Row],[VALOR COMPONENTE ALIMENTACION NO ASIGNADO]]</f>
        <v>47102341</v>
      </c>
      <c r="AV5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55" s="35">
        <f>(VLOOKUP(Tabla44[[#This Row],[SERVICIO 2025]],$J$2:$V$15,3,0)*Tabla44[[#This Row],[TOTAL COBERTURA]])+VLOOKUP(Tabla44[[#This Row],[SERVICIO 2025]],$J$2:$V$15,10,0)*Tabla44[[#This Row],[TOTAL COBERTURA]]</f>
        <v>5693597</v>
      </c>
      <c r="AX55" s="35">
        <f>(VLOOKUP(Tabla44[[#This Row],[SERVICIO 2025]],$J$2:$V$15,3,0)*Tabla44[[#This Row],[TOTAL COBERTURA]])+VLOOKUP(Tabla44[[#This Row],[SERVICIO 2025]],$J$2:$V$15,10,0)*Tabla44[[#This Row],[TOTAL COBERTURA]]</f>
        <v>5693597</v>
      </c>
      <c r="AY55" s="35">
        <f>(VLOOKUP(Tabla44[[#This Row],[SERVICIO 2025]],$J$2:$V$15,3,0)*Tabla44[[#This Row],[TOTAL COBERTURA]])+VLOOKUP(Tabla44[[#This Row],[SERVICIO 2025]],$J$2:$V$15,10,0)*Tabla44[[#This Row],[TOTAL COBERTURA]]</f>
        <v>5693597</v>
      </c>
      <c r="AZ55" s="35">
        <f>(VLOOKUP(Tabla44[[#This Row],[SERVICIO 2025]],$J$2:$V$15,3,0)*Tabla44[[#This Row],[TOTAL COBERTURA]])+VLOOKUP(Tabla44[[#This Row],[SERVICIO 2025]],$J$2:$V$15,10,0)*Tabla44[[#This Row],[TOTAL COBERTURA]]</f>
        <v>5693597</v>
      </c>
      <c r="BA55" s="35">
        <f>(VLOOKUP(Tabla44[[#This Row],[SERVICIO 2025]],$J$2:$V$15,3,0)*Tabla44[[#This Row],[TOTAL COBERTURA]])+VLOOKUP(Tabla44[[#This Row],[SERVICIO 2025]],$J$2:$V$15,10,0)*Tabla44[[#This Row],[TOTAL COBERTURA]]</f>
        <v>5693597</v>
      </c>
      <c r="BB55" s="35">
        <f>(VLOOKUP(Tabla44[[#This Row],[SERVICIO 2025]],$J$2:$V$15,3,0)*Tabla44[[#This Row],[TOTAL COBERTURA]])+VLOOKUP(Tabla44[[#This Row],[SERVICIO 2025]],$J$2:$V$15,10,0)*Tabla44[[#This Row],[TOTAL COBERTURA]]</f>
        <v>5693597</v>
      </c>
      <c r="BC5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55" s="35">
        <f>SUM(Tabla44[[#This Row],[DESEMBOLSO 1]:[DESEMBOLSO 8]])</f>
        <v>47102341</v>
      </c>
      <c r="BE55" s="12" t="b">
        <f>EXACT(Tabla44[[#This Row],[VALOR ATENCIÓN (8 MESES)]],Tabla44[[#This Row],[VALOR TOTAL]])</f>
        <v>1</v>
      </c>
      <c r="BF55" s="23">
        <f>Tabla44[[#This Row],[VALOR ATENCIÓN (8 MESES)]]-Tabla44[[#This Row],[VALOR TOTAL]]</f>
        <v>0</v>
      </c>
      <c r="BG55" s="12" t="b">
        <f>EXACT(Tabla44[[#This Row],[TOTAL DESEMBOLSOS]],Tabla44[[#This Row],[VALOR TOTAL DEL CONTRATO INCLUIDO EL COMPONENTE DE ALIMENTACIÓN]])</f>
        <v>1</v>
      </c>
      <c r="BH55" s="29">
        <f>Tabla44[[#This Row],[TOTAL DESEMBOLSOS]]-Tabla44[[#This Row],[VALOR TOTAL DEL CONTRATO INCLUIDO EL COMPONENTE DE ALIMENTACIÓN]]</f>
        <v>0</v>
      </c>
      <c r="BI55" t="s">
        <v>98</v>
      </c>
    </row>
    <row r="56" spans="1:61">
      <c r="A56" s="13">
        <v>1922</v>
      </c>
      <c r="B56" s="13"/>
      <c r="C56" s="12" t="s">
        <v>87</v>
      </c>
      <c r="D56" s="12" t="s">
        <v>205</v>
      </c>
      <c r="E56" s="12" t="s">
        <v>2918</v>
      </c>
      <c r="F56" s="12" t="s">
        <v>18</v>
      </c>
      <c r="G56" s="12" t="s">
        <v>90</v>
      </c>
      <c r="H56" s="12" t="s">
        <v>2924</v>
      </c>
      <c r="I56" s="36">
        <v>53531143788</v>
      </c>
      <c r="J56" s="12" t="s">
        <v>2925</v>
      </c>
      <c r="K56" s="12">
        <v>1</v>
      </c>
      <c r="L56" s="12">
        <v>10</v>
      </c>
      <c r="M56" s="12"/>
      <c r="N56" s="13">
        <v>1922</v>
      </c>
      <c r="O56" s="12" t="s">
        <v>2850</v>
      </c>
      <c r="P56" s="12"/>
      <c r="Q56" s="12"/>
      <c r="R56" s="12" t="s">
        <v>94</v>
      </c>
      <c r="S56" s="12">
        <v>10</v>
      </c>
      <c r="T56" s="12">
        <v>890901524</v>
      </c>
      <c r="U56" s="12" t="s">
        <v>2875</v>
      </c>
      <c r="V56" s="12">
        <f>VLOOKUP(Tabla44[[#This Row],[ZONA DEFINITIVO]],[1]Hoja1!$A$1:$D$125,3,0)</f>
        <v>229934</v>
      </c>
      <c r="W56" s="12">
        <f>VLOOKUP(Tabla44[[#This Row],[ZONA DEFINITIVO]],[1]Hoja1!$A$1:$D$125,2,0)</f>
        <v>17254</v>
      </c>
      <c r="X56" s="12">
        <f>VLOOKUP(Tabla44[[#This Row],[ZONA DEFINITIVO]],[1]Hoja1!$A$1:$D$125,4,0)</f>
        <v>103725</v>
      </c>
      <c r="Y56" s="12" t="str">
        <f>+IF(Tabla44[[#This Row],[AGRUPACIONES]]=1,SUMIFS(Tabla44[UDS],Tabla44[ZONA DEFINITIVO],Tabla44[[#This Row],[ZONA DEFINITIVO]])," ")</f>
        <v xml:space="preserve"> </v>
      </c>
      <c r="Z56" s="12" t="str">
        <f>+IF(Tabla44[[#This Row],[AGRUPACIONES]]=1,SUMIFS(Tabla44[TOTAL COBERTURA],Tabla44[ZONA DEFINITIVO],Tabla44[[#This Row],[ZONA DEFINITIVO]])," ")</f>
        <v xml:space="preserve"> </v>
      </c>
      <c r="AA56" s="12"/>
      <c r="AB56" s="35">
        <v>21801930</v>
      </c>
      <c r="AC56" s="37">
        <v>0</v>
      </c>
      <c r="AD56" s="35">
        <f t="shared" si="1"/>
        <v>0</v>
      </c>
      <c r="AE56" s="12"/>
      <c r="AF56" s="12">
        <f>COUNTIF($A$20:A56,A56)</f>
        <v>27</v>
      </c>
      <c r="AG56" s="38">
        <v>21801930</v>
      </c>
      <c r="AH56" s="38">
        <f>Tabla44[[#This Row],[VALOR CONTRAPARTIDA]]+Tabla44[[#This Row],[TOTAL APORTES ICBF]]</f>
        <v>21801930</v>
      </c>
      <c r="AI56" s="35" t="str">
        <f>+IF(Tabla44[[#This Row],[AGRUPACIONES]]=1,SUMIFS(Tabla44[TOTAL APORTES ICBF],Tabla44[ZONA DEFINITIVO],Tabla44[[#This Row],[ZONA DEFINITIVO]])," ")</f>
        <v xml:space="preserve"> </v>
      </c>
      <c r="AJ56" s="38"/>
      <c r="AK56" s="38"/>
      <c r="AL56" s="35"/>
      <c r="AM56" s="35">
        <f>VLOOKUP(Tabla44[[#This Row],[SERVICIO 2025]],$J$2:$V$15,5,0)*Tabla44[[#This Row],[TOTAL COBERTURA]]</f>
        <v>493760</v>
      </c>
      <c r="AN56" s="35">
        <f>VLOOKUP(Tabla44[[#This Row],[SERVICIO 2025]],$J$2:$V$15,6,0)*Tabla44[[#This Row],[TOTAL COBERTURA]]</f>
        <v>410290</v>
      </c>
      <c r="AO56" s="35">
        <f>VLOOKUP(Tabla44[[#This Row],[SERVICIO 2025]],$J$2:$V$15,8,0)*Tabla44[[#This Row],[TOTAL COBERTURA]]</f>
        <v>291000</v>
      </c>
      <c r="AP56" s="35">
        <f>VLOOKUP(Tabla44[[#This Row],[SERVICIO 2025]],$J$2:$V$15,3,0)*Tabla44[[#This Row],[TOTAL COBERTURA]]*8</f>
        <v>20606880</v>
      </c>
      <c r="AQ56" s="35"/>
      <c r="AR56" s="35">
        <f>SUM(Tabla44[[#This Row],[VALOR FASE PREPARATORIA DE ALISTAMIENTO]:[VALOR RACION PREPARADA]])</f>
        <v>21801930</v>
      </c>
      <c r="AS56" s="35" t="str">
        <f>+IF(Tabla44[[#This Row],[AGRUPACIONES]]=1,SUMIFS(Tabla44[VALOR TOTAL],Tabla44[ZONA DEFINITIVO],Tabla44[[#This Row],[ZONA DEFINITIVO]])," ")</f>
        <v xml:space="preserve"> </v>
      </c>
      <c r="AT56" s="35">
        <f>VLOOKUP(Tabla44[[#This Row],[SERVICIO 2025]],$J$2:$V$15,10,0)*Tabla44[[#This Row],[TOTAL COBERTURA]]*$X$7</f>
        <v>14430640</v>
      </c>
      <c r="AU56" s="39">
        <f>Tabla44[[#This Row],[TOTAL CONTRATO (ICBF+EAS)]]+Tabla44[[#This Row],[VALOR COMPONENTE ALIMENTACION NO ASIGNADO]]</f>
        <v>36232570</v>
      </c>
      <c r="AV5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56" s="35">
        <f>(VLOOKUP(Tabla44[[#This Row],[SERVICIO 2025]],$J$2:$V$15,3,0)*Tabla44[[#This Row],[TOTAL COBERTURA]])+VLOOKUP(Tabla44[[#This Row],[SERVICIO 2025]],$J$2:$V$15,10,0)*Tabla44[[#This Row],[TOTAL COBERTURA]]</f>
        <v>4379690</v>
      </c>
      <c r="AX56" s="35">
        <f>(VLOOKUP(Tabla44[[#This Row],[SERVICIO 2025]],$J$2:$V$15,3,0)*Tabla44[[#This Row],[TOTAL COBERTURA]])+VLOOKUP(Tabla44[[#This Row],[SERVICIO 2025]],$J$2:$V$15,10,0)*Tabla44[[#This Row],[TOTAL COBERTURA]]</f>
        <v>4379690</v>
      </c>
      <c r="AY56" s="35">
        <f>(VLOOKUP(Tabla44[[#This Row],[SERVICIO 2025]],$J$2:$V$15,3,0)*Tabla44[[#This Row],[TOTAL COBERTURA]])+VLOOKUP(Tabla44[[#This Row],[SERVICIO 2025]],$J$2:$V$15,10,0)*Tabla44[[#This Row],[TOTAL COBERTURA]]</f>
        <v>4379690</v>
      </c>
      <c r="AZ56" s="35">
        <f>(VLOOKUP(Tabla44[[#This Row],[SERVICIO 2025]],$J$2:$V$15,3,0)*Tabla44[[#This Row],[TOTAL COBERTURA]])+VLOOKUP(Tabla44[[#This Row],[SERVICIO 2025]],$J$2:$V$15,10,0)*Tabla44[[#This Row],[TOTAL COBERTURA]]</f>
        <v>4379690</v>
      </c>
      <c r="BA56" s="35">
        <f>(VLOOKUP(Tabla44[[#This Row],[SERVICIO 2025]],$J$2:$V$15,3,0)*Tabla44[[#This Row],[TOTAL COBERTURA]])+VLOOKUP(Tabla44[[#This Row],[SERVICIO 2025]],$J$2:$V$15,10,0)*Tabla44[[#This Row],[TOTAL COBERTURA]]</f>
        <v>4379690</v>
      </c>
      <c r="BB56" s="35">
        <f>(VLOOKUP(Tabla44[[#This Row],[SERVICIO 2025]],$J$2:$V$15,3,0)*Tabla44[[#This Row],[TOTAL COBERTURA]])+VLOOKUP(Tabla44[[#This Row],[SERVICIO 2025]],$J$2:$V$15,10,0)*Tabla44[[#This Row],[TOTAL COBERTURA]]</f>
        <v>4379690</v>
      </c>
      <c r="BC5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56" s="35">
        <f>SUM(Tabla44[[#This Row],[DESEMBOLSO 1]:[DESEMBOLSO 8]])</f>
        <v>36232570</v>
      </c>
      <c r="BE56" s="12" t="b">
        <f>EXACT(Tabla44[[#This Row],[VALOR ATENCIÓN (8 MESES)]],Tabla44[[#This Row],[VALOR TOTAL]])</f>
        <v>1</v>
      </c>
      <c r="BF56" s="23">
        <f>Tabla44[[#This Row],[VALOR ATENCIÓN (8 MESES)]]-Tabla44[[#This Row],[VALOR TOTAL]]</f>
        <v>0</v>
      </c>
      <c r="BG56" s="12" t="b">
        <f>EXACT(Tabla44[[#This Row],[TOTAL DESEMBOLSOS]],Tabla44[[#This Row],[VALOR TOTAL DEL CONTRATO INCLUIDO EL COMPONENTE DE ALIMENTACIÓN]])</f>
        <v>1</v>
      </c>
      <c r="BH56" s="29">
        <f>Tabla44[[#This Row],[TOTAL DESEMBOLSOS]]-Tabla44[[#This Row],[VALOR TOTAL DEL CONTRATO INCLUIDO EL COMPONENTE DE ALIMENTACIÓN]]</f>
        <v>0</v>
      </c>
      <c r="BI56" t="s">
        <v>98</v>
      </c>
    </row>
    <row r="57" spans="1:61">
      <c r="A57" s="13">
        <v>1922</v>
      </c>
      <c r="B57" s="13"/>
      <c r="C57" s="12" t="s">
        <v>87</v>
      </c>
      <c r="D57" s="12" t="s">
        <v>205</v>
      </c>
      <c r="E57" s="12" t="s">
        <v>2918</v>
      </c>
      <c r="F57" s="12" t="s">
        <v>19</v>
      </c>
      <c r="G57" s="12" t="s">
        <v>90</v>
      </c>
      <c r="H57" s="12" t="s">
        <v>2926</v>
      </c>
      <c r="I57" s="36">
        <v>53531148807</v>
      </c>
      <c r="J57" s="12" t="s">
        <v>2927</v>
      </c>
      <c r="K57" s="12">
        <v>1</v>
      </c>
      <c r="L57" s="12">
        <v>26</v>
      </c>
      <c r="M57" s="12"/>
      <c r="N57" s="13">
        <v>1922</v>
      </c>
      <c r="O57" s="12" t="s">
        <v>2850</v>
      </c>
      <c r="P57" s="12"/>
      <c r="Q57" s="12"/>
      <c r="R57" s="12" t="s">
        <v>94</v>
      </c>
      <c r="S57" s="12">
        <v>10</v>
      </c>
      <c r="T57" s="12">
        <v>890901524</v>
      </c>
      <c r="U57" s="12" t="s">
        <v>2875</v>
      </c>
      <c r="V57" s="12">
        <f>VLOOKUP(Tabla44[[#This Row],[ZONA DEFINITIVO]],[1]Hoja1!$A$1:$D$125,3,0)</f>
        <v>229934</v>
      </c>
      <c r="W57" s="12">
        <f>VLOOKUP(Tabla44[[#This Row],[ZONA DEFINITIVO]],[1]Hoja1!$A$1:$D$125,2,0)</f>
        <v>17254</v>
      </c>
      <c r="X57" s="12">
        <f>VLOOKUP(Tabla44[[#This Row],[ZONA DEFINITIVO]],[1]Hoja1!$A$1:$D$125,4,0)</f>
        <v>103725</v>
      </c>
      <c r="Y57" s="12" t="str">
        <f>+IF(Tabla44[[#This Row],[AGRUPACIONES]]=1,SUMIFS(Tabla44[UDS],Tabla44[ZONA DEFINITIVO],Tabla44[[#This Row],[ZONA DEFINITIVO]])," ")</f>
        <v xml:space="preserve"> </v>
      </c>
      <c r="Z57" s="12" t="str">
        <f>+IF(Tabla44[[#This Row],[AGRUPACIONES]]=1,SUMIFS(Tabla44[TOTAL COBERTURA],Tabla44[ZONA DEFINITIVO],Tabla44[[#This Row],[ZONA DEFINITIVO]])," ")</f>
        <v xml:space="preserve"> </v>
      </c>
      <c r="AA57" s="12"/>
      <c r="AB57" s="35">
        <v>58529926</v>
      </c>
      <c r="AC57" s="37">
        <v>0</v>
      </c>
      <c r="AD57" s="35">
        <f t="shared" si="1"/>
        <v>0</v>
      </c>
      <c r="AE57" s="12"/>
      <c r="AF57" s="12">
        <f>COUNTIF($A$20:A57,A57)</f>
        <v>28</v>
      </c>
      <c r="AG57" s="38">
        <v>58529926</v>
      </c>
      <c r="AH57" s="38">
        <f>Tabla44[[#This Row],[VALOR CONTRAPARTIDA]]+Tabla44[[#This Row],[TOTAL APORTES ICBF]]</f>
        <v>58529926</v>
      </c>
      <c r="AI57" s="35" t="str">
        <f>+IF(Tabla44[[#This Row],[AGRUPACIONES]]=1,SUMIFS(Tabla44[TOTAL APORTES ICBF],Tabla44[ZONA DEFINITIVO],Tabla44[[#This Row],[ZONA DEFINITIVO]])," ")</f>
        <v xml:space="preserve"> </v>
      </c>
      <c r="AJ57" s="38"/>
      <c r="AK57" s="38"/>
      <c r="AL57" s="35"/>
      <c r="AM57" s="35">
        <f>VLOOKUP(Tabla44[[#This Row],[SERVICIO 2025]],$J$2:$V$15,5,0)*Tabla44[[#This Row],[TOTAL COBERTURA]]</f>
        <v>1338038</v>
      </c>
      <c r="AN57" s="35">
        <f>VLOOKUP(Tabla44[[#This Row],[SERVICIO 2025]],$J$2:$V$15,6,0)*Tabla44[[#This Row],[TOTAL COBERTURA]]</f>
        <v>1121016</v>
      </c>
      <c r="AO57" s="35">
        <f>VLOOKUP(Tabla44[[#This Row],[SERVICIO 2025]],$J$2:$V$15,8,0)*Tabla44[[#This Row],[TOTAL COBERTURA]]</f>
        <v>756600</v>
      </c>
      <c r="AP57" s="35">
        <f>VLOOKUP(Tabla44[[#This Row],[SERVICIO 2025]],$J$2:$V$15,3,0)*Tabla44[[#This Row],[TOTAL COBERTURA]]*8</f>
        <v>55314272</v>
      </c>
      <c r="AQ57" s="35"/>
      <c r="AR57" s="35">
        <f>SUM(Tabla44[[#This Row],[VALOR FASE PREPARATORIA DE ALISTAMIENTO]:[VALOR RACION PREPARADA]])</f>
        <v>58529926</v>
      </c>
      <c r="AS57" s="35" t="str">
        <f>+IF(Tabla44[[#This Row],[AGRUPACIONES]]=1,SUMIFS(Tabla44[VALOR TOTAL],Tabla44[ZONA DEFINITIVO],Tabla44[[#This Row],[ZONA DEFINITIVO]])," ")</f>
        <v xml:space="preserve"> </v>
      </c>
      <c r="AT57" s="35">
        <f>VLOOKUP(Tabla44[[#This Row],[SERVICIO 2025]],$J$2:$V$15,10,0)*Tabla44[[#This Row],[TOTAL COBERTURA]]*$X$7</f>
        <v>37519664</v>
      </c>
      <c r="AU57" s="39">
        <f>Tabla44[[#This Row],[TOTAL CONTRATO (ICBF+EAS)]]+Tabla44[[#This Row],[VALOR COMPONENTE ALIMENTACION NO ASIGNADO]]</f>
        <v>96049590</v>
      </c>
      <c r="AV5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13698880</v>
      </c>
      <c r="AW57" s="35">
        <f>(VLOOKUP(Tabla44[[#This Row],[SERVICIO 2025]],$J$2:$V$15,3,0)*Tabla44[[#This Row],[TOTAL COBERTURA]])+VLOOKUP(Tabla44[[#This Row],[SERVICIO 2025]],$J$2:$V$15,10,0)*Tabla44[[#This Row],[TOTAL COBERTURA]]</f>
        <v>11604242</v>
      </c>
      <c r="AX57" s="35">
        <f>(VLOOKUP(Tabla44[[#This Row],[SERVICIO 2025]],$J$2:$V$15,3,0)*Tabla44[[#This Row],[TOTAL COBERTURA]])+VLOOKUP(Tabla44[[#This Row],[SERVICIO 2025]],$J$2:$V$15,10,0)*Tabla44[[#This Row],[TOTAL COBERTURA]]</f>
        <v>11604242</v>
      </c>
      <c r="AY57" s="35">
        <f>(VLOOKUP(Tabla44[[#This Row],[SERVICIO 2025]],$J$2:$V$15,3,0)*Tabla44[[#This Row],[TOTAL COBERTURA]])+VLOOKUP(Tabla44[[#This Row],[SERVICIO 2025]],$J$2:$V$15,10,0)*Tabla44[[#This Row],[TOTAL COBERTURA]]</f>
        <v>11604242</v>
      </c>
      <c r="AZ57" s="35">
        <f>(VLOOKUP(Tabla44[[#This Row],[SERVICIO 2025]],$J$2:$V$15,3,0)*Tabla44[[#This Row],[TOTAL COBERTURA]])+VLOOKUP(Tabla44[[#This Row],[SERVICIO 2025]],$J$2:$V$15,10,0)*Tabla44[[#This Row],[TOTAL COBERTURA]]</f>
        <v>11604242</v>
      </c>
      <c r="BA57" s="35">
        <f>(VLOOKUP(Tabla44[[#This Row],[SERVICIO 2025]],$J$2:$V$15,3,0)*Tabla44[[#This Row],[TOTAL COBERTURA]])+VLOOKUP(Tabla44[[#This Row],[SERVICIO 2025]],$J$2:$V$15,10,0)*Tabla44[[#This Row],[TOTAL COBERTURA]]</f>
        <v>11604242</v>
      </c>
      <c r="BB57" s="35">
        <f>(VLOOKUP(Tabla44[[#This Row],[SERVICIO 2025]],$J$2:$V$15,3,0)*Tabla44[[#This Row],[TOTAL COBERTURA]])+VLOOKUP(Tabla44[[#This Row],[SERVICIO 2025]],$J$2:$V$15,10,0)*Tabla44[[#This Row],[TOTAL COBERTURA]]</f>
        <v>11604242</v>
      </c>
      <c r="BC5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12725258</v>
      </c>
      <c r="BD57" s="35">
        <f>SUM(Tabla44[[#This Row],[DESEMBOLSO 1]:[DESEMBOLSO 8]])</f>
        <v>96049590</v>
      </c>
      <c r="BE57" s="12" t="b">
        <f>EXACT(Tabla44[[#This Row],[VALOR ATENCIÓN (8 MESES)]],Tabla44[[#This Row],[VALOR TOTAL]])</f>
        <v>1</v>
      </c>
      <c r="BF57" s="23">
        <f>Tabla44[[#This Row],[VALOR ATENCIÓN (8 MESES)]]-Tabla44[[#This Row],[VALOR TOTAL]]</f>
        <v>0</v>
      </c>
      <c r="BG57" s="12" t="b">
        <f>EXACT(Tabla44[[#This Row],[TOTAL DESEMBOLSOS]],Tabla44[[#This Row],[VALOR TOTAL DEL CONTRATO INCLUIDO EL COMPONENTE DE ALIMENTACIÓN]])</f>
        <v>1</v>
      </c>
      <c r="BH57" s="29">
        <f>Tabla44[[#This Row],[TOTAL DESEMBOLSOS]]-Tabla44[[#This Row],[VALOR TOTAL DEL CONTRATO INCLUIDO EL COMPONENTE DE ALIMENTACIÓN]]</f>
        <v>0</v>
      </c>
      <c r="BI57" t="s">
        <v>98</v>
      </c>
    </row>
    <row r="58" spans="1:61">
      <c r="A58" s="13">
        <v>1922</v>
      </c>
      <c r="B58" s="13"/>
      <c r="C58" s="12" t="s">
        <v>87</v>
      </c>
      <c r="D58" s="12" t="s">
        <v>205</v>
      </c>
      <c r="E58" s="12" t="s">
        <v>2918</v>
      </c>
      <c r="F58" s="12" t="s">
        <v>14</v>
      </c>
      <c r="G58" s="12" t="s">
        <v>90</v>
      </c>
      <c r="H58" s="12" t="s">
        <v>2928</v>
      </c>
      <c r="I58" s="36">
        <v>535300024318</v>
      </c>
      <c r="J58" s="12" t="s">
        <v>2929</v>
      </c>
      <c r="K58" s="12">
        <v>1</v>
      </c>
      <c r="L58" s="12">
        <v>99</v>
      </c>
      <c r="M58" s="12"/>
      <c r="N58" s="13">
        <v>1922</v>
      </c>
      <c r="O58" s="12" t="s">
        <v>2850</v>
      </c>
      <c r="P58" s="12"/>
      <c r="Q58" s="12"/>
      <c r="R58" s="12" t="s">
        <v>94</v>
      </c>
      <c r="S58" s="12">
        <v>10</v>
      </c>
      <c r="T58" s="12">
        <v>890901524</v>
      </c>
      <c r="U58" s="12" t="s">
        <v>2875</v>
      </c>
      <c r="V58" s="12">
        <f>VLOOKUP(Tabla44[[#This Row],[ZONA DEFINITIVO]],[1]Hoja1!$A$1:$D$125,3,0)</f>
        <v>229934</v>
      </c>
      <c r="W58" s="12">
        <f>VLOOKUP(Tabla44[[#This Row],[ZONA DEFINITIVO]],[1]Hoja1!$A$1:$D$125,2,0)</f>
        <v>17254</v>
      </c>
      <c r="X58" s="12">
        <f>VLOOKUP(Tabla44[[#This Row],[ZONA DEFINITIVO]],[1]Hoja1!$A$1:$D$125,4,0)</f>
        <v>103725</v>
      </c>
      <c r="Y58" s="12" t="str">
        <f>+IF(Tabla44[[#This Row],[AGRUPACIONES]]=1,SUMIFS(Tabla44[UDS],Tabla44[ZONA DEFINITIVO],Tabla44[[#This Row],[ZONA DEFINITIVO]])," ")</f>
        <v xml:space="preserve"> </v>
      </c>
      <c r="Z58" s="12" t="str">
        <f>+IF(Tabla44[[#This Row],[AGRUPACIONES]]=1,SUMIFS(Tabla44[TOTAL COBERTURA],Tabla44[ZONA DEFINITIVO],Tabla44[[#This Row],[ZONA DEFINITIVO]])," ")</f>
        <v xml:space="preserve"> </v>
      </c>
      <c r="AA58" s="12"/>
      <c r="AB58" s="35">
        <v>414696150</v>
      </c>
      <c r="AC58" s="37">
        <v>0</v>
      </c>
      <c r="AD58" s="35">
        <f t="shared" si="1"/>
        <v>0</v>
      </c>
      <c r="AE58" s="12"/>
      <c r="AF58" s="12">
        <f>COUNTIF($A$20:A58,A58)</f>
        <v>29</v>
      </c>
      <c r="AG58" s="38">
        <v>414696150</v>
      </c>
      <c r="AH58" s="38">
        <f>Tabla44[[#This Row],[VALOR CONTRAPARTIDA]]+Tabla44[[#This Row],[TOTAL APORTES ICBF]]</f>
        <v>414696150</v>
      </c>
      <c r="AI58" s="35" t="str">
        <f>+IF(Tabla44[[#This Row],[AGRUPACIONES]]=1,SUMIFS(Tabla44[TOTAL APORTES ICBF],Tabla44[ZONA DEFINITIVO],Tabla44[[#This Row],[ZONA DEFINITIVO]])," ")</f>
        <v xml:space="preserve"> </v>
      </c>
      <c r="AJ58" s="38"/>
      <c r="AK58" s="38"/>
      <c r="AL58" s="35"/>
      <c r="AM58" s="35">
        <f>VLOOKUP(Tabla44[[#This Row],[SERVICIO 2025]],$J$2:$V$15,5,0)*Tabla44[[#This Row],[TOTAL COBERTURA]]</f>
        <v>8726157</v>
      </c>
      <c r="AN58" s="35">
        <f>VLOOKUP(Tabla44[[#This Row],[SERVICIO 2025]],$J$2:$V$15,6,0)*Tabla44[[#This Row],[TOTAL COBERTURA]]</f>
        <v>7429257</v>
      </c>
      <c r="AO58" s="35">
        <f>VLOOKUP(Tabla44[[#This Row],[SERVICIO 2025]],$J$2:$V$15,8,0)*Tabla44[[#This Row],[TOTAL COBERTURA]]</f>
        <v>0</v>
      </c>
      <c r="AP58" s="35">
        <f>VLOOKUP(Tabla44[[#This Row],[SERVICIO 2025]],$J$2:$V$15,3,0)*Tabla44[[#This Row],[TOTAL COBERTURA]]*8</f>
        <v>398540736</v>
      </c>
      <c r="AQ58" s="35"/>
      <c r="AR58" s="35">
        <f>SUM(Tabla44[[#This Row],[VALOR FASE PREPARATORIA DE ALISTAMIENTO]:[VALOR RACION PREPARADA]])</f>
        <v>414696150</v>
      </c>
      <c r="AS58" s="35" t="str">
        <f>+IF(Tabla44[[#This Row],[AGRUPACIONES]]=1,SUMIFS(Tabla44[VALOR TOTAL],Tabla44[ZONA DEFINITIVO],Tabla44[[#This Row],[ZONA DEFINITIVO]])," ")</f>
        <v xml:space="preserve"> </v>
      </c>
      <c r="AT58" s="35">
        <f>VLOOKUP(Tabla44[[#This Row],[SERVICIO 2025]],$J$2:$V$15,10,0)*Tabla44[[#This Row],[TOTAL COBERTURA]]*$X$7</f>
        <v>0</v>
      </c>
      <c r="AU58" s="39">
        <f>Tabla44[[#This Row],[TOTAL CONTRATO (ICBF+EAS)]]+Tabla44[[#This Row],[VALOR COMPONENTE ALIMENTACION NO ASIGNADO]]</f>
        <v>414696150</v>
      </c>
      <c r="AV5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58543749</v>
      </c>
      <c r="AW58" s="35">
        <f>(VLOOKUP(Tabla44[[#This Row],[SERVICIO 2025]],$J$2:$V$15,3,0)*Tabla44[[#This Row],[TOTAL COBERTURA]])+VLOOKUP(Tabla44[[#This Row],[SERVICIO 2025]],$J$2:$V$15,10,0)*Tabla44[[#This Row],[TOTAL COBERTURA]]</f>
        <v>49817592</v>
      </c>
      <c r="AX58" s="35">
        <f>(VLOOKUP(Tabla44[[#This Row],[SERVICIO 2025]],$J$2:$V$15,3,0)*Tabla44[[#This Row],[TOTAL COBERTURA]])+VLOOKUP(Tabla44[[#This Row],[SERVICIO 2025]],$J$2:$V$15,10,0)*Tabla44[[#This Row],[TOTAL COBERTURA]]</f>
        <v>49817592</v>
      </c>
      <c r="AY58" s="35">
        <f>(VLOOKUP(Tabla44[[#This Row],[SERVICIO 2025]],$J$2:$V$15,3,0)*Tabla44[[#This Row],[TOTAL COBERTURA]])+VLOOKUP(Tabla44[[#This Row],[SERVICIO 2025]],$J$2:$V$15,10,0)*Tabla44[[#This Row],[TOTAL COBERTURA]]</f>
        <v>49817592</v>
      </c>
      <c r="AZ58" s="35">
        <f>(VLOOKUP(Tabla44[[#This Row],[SERVICIO 2025]],$J$2:$V$15,3,0)*Tabla44[[#This Row],[TOTAL COBERTURA]])+VLOOKUP(Tabla44[[#This Row],[SERVICIO 2025]],$J$2:$V$15,10,0)*Tabla44[[#This Row],[TOTAL COBERTURA]]</f>
        <v>49817592</v>
      </c>
      <c r="BA58" s="35">
        <f>(VLOOKUP(Tabla44[[#This Row],[SERVICIO 2025]],$J$2:$V$15,3,0)*Tabla44[[#This Row],[TOTAL COBERTURA]])+VLOOKUP(Tabla44[[#This Row],[SERVICIO 2025]],$J$2:$V$15,10,0)*Tabla44[[#This Row],[TOTAL COBERTURA]]</f>
        <v>49817592</v>
      </c>
      <c r="BB58" s="35">
        <f>(VLOOKUP(Tabla44[[#This Row],[SERVICIO 2025]],$J$2:$V$15,3,0)*Tabla44[[#This Row],[TOTAL COBERTURA]])+VLOOKUP(Tabla44[[#This Row],[SERVICIO 2025]],$J$2:$V$15,10,0)*Tabla44[[#This Row],[TOTAL COBERTURA]]</f>
        <v>49817592</v>
      </c>
      <c r="BC5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57246849</v>
      </c>
      <c r="BD58" s="35">
        <f>SUM(Tabla44[[#This Row],[DESEMBOLSO 1]:[DESEMBOLSO 8]])</f>
        <v>414696150</v>
      </c>
      <c r="BE58" s="12" t="b">
        <f>EXACT(Tabla44[[#This Row],[VALOR ATENCIÓN (8 MESES)]],Tabla44[[#This Row],[VALOR TOTAL]])</f>
        <v>1</v>
      </c>
      <c r="BF58" s="23">
        <f>Tabla44[[#This Row],[VALOR ATENCIÓN (8 MESES)]]-Tabla44[[#This Row],[VALOR TOTAL]]</f>
        <v>0</v>
      </c>
      <c r="BG58" s="12" t="b">
        <f>EXACT(Tabla44[[#This Row],[TOTAL DESEMBOLSOS]],Tabla44[[#This Row],[VALOR TOTAL DEL CONTRATO INCLUIDO EL COMPONENTE DE ALIMENTACIÓN]])</f>
        <v>1</v>
      </c>
      <c r="BH58" s="29">
        <f>Tabla44[[#This Row],[TOTAL DESEMBOLSOS]]-Tabla44[[#This Row],[VALOR TOTAL DEL CONTRATO INCLUIDO EL COMPONENTE DE ALIMENTACIÓN]]</f>
        <v>0</v>
      </c>
      <c r="BI58" t="s">
        <v>98</v>
      </c>
    </row>
    <row r="59" spans="1:61">
      <c r="A59" s="13">
        <v>1922</v>
      </c>
      <c r="B59" s="13"/>
      <c r="C59" s="12" t="s">
        <v>87</v>
      </c>
      <c r="D59" s="12" t="s">
        <v>205</v>
      </c>
      <c r="E59" s="12" t="s">
        <v>2918</v>
      </c>
      <c r="F59" s="12" t="s">
        <v>18</v>
      </c>
      <c r="G59" s="12" t="s">
        <v>90</v>
      </c>
      <c r="H59" s="12" t="s">
        <v>2930</v>
      </c>
      <c r="I59" s="36">
        <v>535300024465</v>
      </c>
      <c r="J59" s="12" t="s">
        <v>2931</v>
      </c>
      <c r="K59" s="12">
        <v>1</v>
      </c>
      <c r="L59" s="12">
        <v>6</v>
      </c>
      <c r="M59" s="12"/>
      <c r="N59" s="13">
        <v>1922</v>
      </c>
      <c r="O59" s="12" t="s">
        <v>2850</v>
      </c>
      <c r="P59" s="12"/>
      <c r="Q59" s="12"/>
      <c r="R59" s="12" t="s">
        <v>94</v>
      </c>
      <c r="S59" s="12">
        <v>10</v>
      </c>
      <c r="T59" s="12">
        <v>890901524</v>
      </c>
      <c r="U59" s="12" t="s">
        <v>2875</v>
      </c>
      <c r="V59" s="12">
        <f>VLOOKUP(Tabla44[[#This Row],[ZONA DEFINITIVO]],[1]Hoja1!$A$1:$D$125,3,0)</f>
        <v>229934</v>
      </c>
      <c r="W59" s="12">
        <f>VLOOKUP(Tabla44[[#This Row],[ZONA DEFINITIVO]],[1]Hoja1!$A$1:$D$125,2,0)</f>
        <v>17254</v>
      </c>
      <c r="X59" s="12">
        <f>VLOOKUP(Tabla44[[#This Row],[ZONA DEFINITIVO]],[1]Hoja1!$A$1:$D$125,4,0)</f>
        <v>103725</v>
      </c>
      <c r="Y59" s="12" t="str">
        <f>+IF(Tabla44[[#This Row],[AGRUPACIONES]]=1,SUMIFS(Tabla44[UDS],Tabla44[ZONA DEFINITIVO],Tabla44[[#This Row],[ZONA DEFINITIVO]])," ")</f>
        <v xml:space="preserve"> </v>
      </c>
      <c r="Z59" s="12" t="str">
        <f>+IF(Tabla44[[#This Row],[AGRUPACIONES]]=1,SUMIFS(Tabla44[TOTAL COBERTURA],Tabla44[ZONA DEFINITIVO],Tabla44[[#This Row],[ZONA DEFINITIVO]])," ")</f>
        <v xml:space="preserve"> </v>
      </c>
      <c r="AA59" s="12"/>
      <c r="AB59" s="35">
        <v>13081158</v>
      </c>
      <c r="AC59" s="37">
        <v>0</v>
      </c>
      <c r="AD59" s="35">
        <f t="shared" si="1"/>
        <v>0</v>
      </c>
      <c r="AE59" s="12"/>
      <c r="AF59" s="12">
        <f>COUNTIF($A$20:A59,A59)</f>
        <v>30</v>
      </c>
      <c r="AG59" s="38">
        <v>13081158</v>
      </c>
      <c r="AH59" s="38">
        <f>Tabla44[[#This Row],[VALOR CONTRAPARTIDA]]+Tabla44[[#This Row],[TOTAL APORTES ICBF]]</f>
        <v>13081158</v>
      </c>
      <c r="AI59" s="35" t="str">
        <f>+IF(Tabla44[[#This Row],[AGRUPACIONES]]=1,SUMIFS(Tabla44[TOTAL APORTES ICBF],Tabla44[ZONA DEFINITIVO],Tabla44[[#This Row],[ZONA DEFINITIVO]])," ")</f>
        <v xml:space="preserve"> </v>
      </c>
      <c r="AJ59" s="38"/>
      <c r="AK59" s="38"/>
      <c r="AL59" s="35"/>
      <c r="AM59" s="35">
        <f>VLOOKUP(Tabla44[[#This Row],[SERVICIO 2025]],$J$2:$V$15,5,0)*Tabla44[[#This Row],[TOTAL COBERTURA]]</f>
        <v>296256</v>
      </c>
      <c r="AN59" s="35">
        <f>VLOOKUP(Tabla44[[#This Row],[SERVICIO 2025]],$J$2:$V$15,6,0)*Tabla44[[#This Row],[TOTAL COBERTURA]]</f>
        <v>246174</v>
      </c>
      <c r="AO59" s="35">
        <f>VLOOKUP(Tabla44[[#This Row],[SERVICIO 2025]],$J$2:$V$15,8,0)*Tabla44[[#This Row],[TOTAL COBERTURA]]</f>
        <v>174600</v>
      </c>
      <c r="AP59" s="35">
        <f>VLOOKUP(Tabla44[[#This Row],[SERVICIO 2025]],$J$2:$V$15,3,0)*Tabla44[[#This Row],[TOTAL COBERTURA]]*8</f>
        <v>12364128</v>
      </c>
      <c r="AQ59" s="35"/>
      <c r="AR59" s="35">
        <f>SUM(Tabla44[[#This Row],[VALOR FASE PREPARATORIA DE ALISTAMIENTO]:[VALOR RACION PREPARADA]])</f>
        <v>13081158</v>
      </c>
      <c r="AS59" s="35" t="str">
        <f>+IF(Tabla44[[#This Row],[AGRUPACIONES]]=1,SUMIFS(Tabla44[VALOR TOTAL],Tabla44[ZONA DEFINITIVO],Tabla44[[#This Row],[ZONA DEFINITIVO]])," ")</f>
        <v xml:space="preserve"> </v>
      </c>
      <c r="AT59" s="35">
        <f>VLOOKUP(Tabla44[[#This Row],[SERVICIO 2025]],$J$2:$V$15,10,0)*Tabla44[[#This Row],[TOTAL COBERTURA]]*$X$7</f>
        <v>8658384</v>
      </c>
      <c r="AU59" s="39">
        <f>Tabla44[[#This Row],[TOTAL CONTRATO (ICBF+EAS)]]+Tabla44[[#This Row],[VALOR COMPONENTE ALIMENTACION NO ASIGNADO]]</f>
        <v>21739542</v>
      </c>
      <c r="AV5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3098670</v>
      </c>
      <c r="AW59" s="35">
        <f>(VLOOKUP(Tabla44[[#This Row],[SERVICIO 2025]],$J$2:$V$15,3,0)*Tabla44[[#This Row],[TOTAL COBERTURA]])+VLOOKUP(Tabla44[[#This Row],[SERVICIO 2025]],$J$2:$V$15,10,0)*Tabla44[[#This Row],[TOTAL COBERTURA]]</f>
        <v>2627814</v>
      </c>
      <c r="AX59" s="35">
        <f>(VLOOKUP(Tabla44[[#This Row],[SERVICIO 2025]],$J$2:$V$15,3,0)*Tabla44[[#This Row],[TOTAL COBERTURA]])+VLOOKUP(Tabla44[[#This Row],[SERVICIO 2025]],$J$2:$V$15,10,0)*Tabla44[[#This Row],[TOTAL COBERTURA]]</f>
        <v>2627814</v>
      </c>
      <c r="AY59" s="35">
        <f>(VLOOKUP(Tabla44[[#This Row],[SERVICIO 2025]],$J$2:$V$15,3,0)*Tabla44[[#This Row],[TOTAL COBERTURA]])+VLOOKUP(Tabla44[[#This Row],[SERVICIO 2025]],$J$2:$V$15,10,0)*Tabla44[[#This Row],[TOTAL COBERTURA]]</f>
        <v>2627814</v>
      </c>
      <c r="AZ59" s="35">
        <f>(VLOOKUP(Tabla44[[#This Row],[SERVICIO 2025]],$J$2:$V$15,3,0)*Tabla44[[#This Row],[TOTAL COBERTURA]])+VLOOKUP(Tabla44[[#This Row],[SERVICIO 2025]],$J$2:$V$15,10,0)*Tabla44[[#This Row],[TOTAL COBERTURA]]</f>
        <v>2627814</v>
      </c>
      <c r="BA59" s="35">
        <f>(VLOOKUP(Tabla44[[#This Row],[SERVICIO 2025]],$J$2:$V$15,3,0)*Tabla44[[#This Row],[TOTAL COBERTURA]])+VLOOKUP(Tabla44[[#This Row],[SERVICIO 2025]],$J$2:$V$15,10,0)*Tabla44[[#This Row],[TOTAL COBERTURA]]</f>
        <v>2627814</v>
      </c>
      <c r="BB59" s="35">
        <f>(VLOOKUP(Tabla44[[#This Row],[SERVICIO 2025]],$J$2:$V$15,3,0)*Tabla44[[#This Row],[TOTAL COBERTURA]])+VLOOKUP(Tabla44[[#This Row],[SERVICIO 2025]],$J$2:$V$15,10,0)*Tabla44[[#This Row],[TOTAL COBERTURA]]</f>
        <v>2627814</v>
      </c>
      <c r="BC5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2873988</v>
      </c>
      <c r="BD59" s="35">
        <f>SUM(Tabla44[[#This Row],[DESEMBOLSO 1]:[DESEMBOLSO 8]])</f>
        <v>21739542</v>
      </c>
      <c r="BE59" s="12" t="b">
        <f>EXACT(Tabla44[[#This Row],[VALOR ATENCIÓN (8 MESES)]],Tabla44[[#This Row],[VALOR TOTAL]])</f>
        <v>1</v>
      </c>
      <c r="BF59" s="23">
        <f>Tabla44[[#This Row],[VALOR ATENCIÓN (8 MESES)]]-Tabla44[[#This Row],[VALOR TOTAL]]</f>
        <v>0</v>
      </c>
      <c r="BG59" s="12" t="b">
        <f>EXACT(Tabla44[[#This Row],[TOTAL DESEMBOLSOS]],Tabla44[[#This Row],[VALOR TOTAL DEL CONTRATO INCLUIDO EL COMPONENTE DE ALIMENTACIÓN]])</f>
        <v>1</v>
      </c>
      <c r="BH59" s="29">
        <f>Tabla44[[#This Row],[TOTAL DESEMBOLSOS]]-Tabla44[[#This Row],[VALOR TOTAL DEL CONTRATO INCLUIDO EL COMPONENTE DE ALIMENTACIÓN]]</f>
        <v>0</v>
      </c>
      <c r="BI59" t="s">
        <v>98</v>
      </c>
    </row>
    <row r="60" spans="1:61">
      <c r="A60" s="13">
        <v>1922</v>
      </c>
      <c r="B60" s="13"/>
      <c r="C60" s="12" t="s">
        <v>87</v>
      </c>
      <c r="D60" s="12" t="s">
        <v>205</v>
      </c>
      <c r="E60" s="12" t="s">
        <v>2932</v>
      </c>
      <c r="F60" s="12" t="s">
        <v>21</v>
      </c>
      <c r="G60" s="12" t="s">
        <v>90</v>
      </c>
      <c r="H60" s="12" t="s">
        <v>2933</v>
      </c>
      <c r="I60" s="36">
        <v>57921135618</v>
      </c>
      <c r="J60" s="12" t="s">
        <v>2934</v>
      </c>
      <c r="K60" s="12">
        <v>1</v>
      </c>
      <c r="L60" s="12">
        <v>18</v>
      </c>
      <c r="M60" s="12"/>
      <c r="N60" s="13">
        <v>1922</v>
      </c>
      <c r="O60" s="12" t="s">
        <v>2850</v>
      </c>
      <c r="P60" s="12"/>
      <c r="Q60" s="12"/>
      <c r="R60" s="12" t="s">
        <v>94</v>
      </c>
      <c r="S60" s="12">
        <v>10</v>
      </c>
      <c r="T60" s="12">
        <v>890901524</v>
      </c>
      <c r="U60" s="12" t="s">
        <v>2875</v>
      </c>
      <c r="V60" s="12">
        <f>VLOOKUP(Tabla44[[#This Row],[ZONA DEFINITIVO]],[1]Hoja1!$A$1:$D$125,3,0)</f>
        <v>229934</v>
      </c>
      <c r="W60" s="12">
        <f>VLOOKUP(Tabla44[[#This Row],[ZONA DEFINITIVO]],[1]Hoja1!$A$1:$D$125,2,0)</f>
        <v>17254</v>
      </c>
      <c r="X60" s="12">
        <f>VLOOKUP(Tabla44[[#This Row],[ZONA DEFINITIVO]],[1]Hoja1!$A$1:$D$125,4,0)</f>
        <v>103725</v>
      </c>
      <c r="Y60" s="12" t="str">
        <f>+IF(Tabla44[[#This Row],[AGRUPACIONES]]=1,SUMIFS(Tabla44[UDS],Tabla44[ZONA DEFINITIVO],Tabla44[[#This Row],[ZONA DEFINITIVO]])," ")</f>
        <v xml:space="preserve"> </v>
      </c>
      <c r="Z60" s="12" t="str">
        <f>+IF(Tabla44[[#This Row],[AGRUPACIONES]]=1,SUMIFS(Tabla44[TOTAL COBERTURA],Tabla44[ZONA DEFINITIVO],Tabla44[[#This Row],[ZONA DEFINITIVO]])," ")</f>
        <v xml:space="preserve"> </v>
      </c>
      <c r="AA60" s="12"/>
      <c r="AB60" s="35">
        <v>27347490</v>
      </c>
      <c r="AC60" s="37">
        <v>0</v>
      </c>
      <c r="AD60" s="35">
        <f t="shared" si="1"/>
        <v>0</v>
      </c>
      <c r="AE60" s="12"/>
      <c r="AF60" s="12">
        <f>COUNTIF($A$20:A60,A60)</f>
        <v>31</v>
      </c>
      <c r="AG60" s="38">
        <v>27347490</v>
      </c>
      <c r="AH60" s="38">
        <f>Tabla44[[#This Row],[VALOR CONTRAPARTIDA]]+Tabla44[[#This Row],[TOTAL APORTES ICBF]]</f>
        <v>27347490</v>
      </c>
      <c r="AI60" s="35" t="str">
        <f>+IF(Tabla44[[#This Row],[AGRUPACIONES]]=1,SUMIFS(Tabla44[TOTAL APORTES ICBF],Tabla44[ZONA DEFINITIVO],Tabla44[[#This Row],[ZONA DEFINITIVO]])," ")</f>
        <v xml:space="preserve"> </v>
      </c>
      <c r="AJ60" s="38"/>
      <c r="AK60" s="38"/>
      <c r="AL60" s="35"/>
      <c r="AM60" s="35">
        <f>VLOOKUP(Tabla44[[#This Row],[SERVICIO 2025]],$J$2:$V$15,5,0)*Tabla44[[#This Row],[TOTAL COBERTURA]]</f>
        <v>841392</v>
      </c>
      <c r="AN60" s="35">
        <f>VLOOKUP(Tabla44[[#This Row],[SERVICIO 2025]],$J$2:$V$15,6,0)*Tabla44[[#This Row],[TOTAL COBERTURA]]</f>
        <v>681138</v>
      </c>
      <c r="AO60" s="35">
        <f>VLOOKUP(Tabla44[[#This Row],[SERVICIO 2025]],$J$2:$V$15,8,0)*Tabla44[[#This Row],[TOTAL COBERTURA]]</f>
        <v>0</v>
      </c>
      <c r="AP60" s="35">
        <f>VLOOKUP(Tabla44[[#This Row],[SERVICIO 2025]],$J$2:$V$15,3,0)*Tabla44[[#This Row],[TOTAL COBERTURA]]*8</f>
        <v>25824960</v>
      </c>
      <c r="AQ60" s="35"/>
      <c r="AR60" s="35">
        <f>SUM(Tabla44[[#This Row],[VALOR FASE PREPARATORIA DE ALISTAMIENTO]:[VALOR RACION PREPARADA]])</f>
        <v>27347490</v>
      </c>
      <c r="AS60" s="35" t="str">
        <f>+IF(Tabla44[[#This Row],[AGRUPACIONES]]=1,SUMIFS(Tabla44[VALOR TOTAL],Tabla44[ZONA DEFINITIVO],Tabla44[[#This Row],[ZONA DEFINITIVO]])," ")</f>
        <v xml:space="preserve"> </v>
      </c>
      <c r="AT60" s="35">
        <f>VLOOKUP(Tabla44[[#This Row],[SERVICIO 2025]],$J$2:$V$15,10,0)*Tabla44[[#This Row],[TOTAL COBERTURA]]*$X$7</f>
        <v>27118224</v>
      </c>
      <c r="AU60" s="39">
        <f>Tabla44[[#This Row],[TOTAL CONTRATO (ICBF+EAS)]]+Tabla44[[#This Row],[VALOR COMPONENTE ALIMENTACION NO ASIGNADO]]</f>
        <v>54465714</v>
      </c>
      <c r="AV6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7459290</v>
      </c>
      <c r="AW60" s="35">
        <f>(VLOOKUP(Tabla44[[#This Row],[SERVICIO 2025]],$J$2:$V$15,3,0)*Tabla44[[#This Row],[TOTAL COBERTURA]])+VLOOKUP(Tabla44[[#This Row],[SERVICIO 2025]],$J$2:$V$15,10,0)*Tabla44[[#This Row],[TOTAL COBERTURA]]</f>
        <v>6617898</v>
      </c>
      <c r="AX60" s="35">
        <f>(VLOOKUP(Tabla44[[#This Row],[SERVICIO 2025]],$J$2:$V$15,3,0)*Tabla44[[#This Row],[TOTAL COBERTURA]])+VLOOKUP(Tabla44[[#This Row],[SERVICIO 2025]],$J$2:$V$15,10,0)*Tabla44[[#This Row],[TOTAL COBERTURA]]</f>
        <v>6617898</v>
      </c>
      <c r="AY60" s="35">
        <f>(VLOOKUP(Tabla44[[#This Row],[SERVICIO 2025]],$J$2:$V$15,3,0)*Tabla44[[#This Row],[TOTAL COBERTURA]])+VLOOKUP(Tabla44[[#This Row],[SERVICIO 2025]],$J$2:$V$15,10,0)*Tabla44[[#This Row],[TOTAL COBERTURA]]</f>
        <v>6617898</v>
      </c>
      <c r="AZ60" s="35">
        <f>(VLOOKUP(Tabla44[[#This Row],[SERVICIO 2025]],$J$2:$V$15,3,0)*Tabla44[[#This Row],[TOTAL COBERTURA]])+VLOOKUP(Tabla44[[#This Row],[SERVICIO 2025]],$J$2:$V$15,10,0)*Tabla44[[#This Row],[TOTAL COBERTURA]]</f>
        <v>6617898</v>
      </c>
      <c r="BA60" s="35">
        <f>(VLOOKUP(Tabla44[[#This Row],[SERVICIO 2025]],$J$2:$V$15,3,0)*Tabla44[[#This Row],[TOTAL COBERTURA]])+VLOOKUP(Tabla44[[#This Row],[SERVICIO 2025]],$J$2:$V$15,10,0)*Tabla44[[#This Row],[TOTAL COBERTURA]]</f>
        <v>6617898</v>
      </c>
      <c r="BB60" s="35">
        <f>(VLOOKUP(Tabla44[[#This Row],[SERVICIO 2025]],$J$2:$V$15,3,0)*Tabla44[[#This Row],[TOTAL COBERTURA]])+VLOOKUP(Tabla44[[#This Row],[SERVICIO 2025]],$J$2:$V$15,10,0)*Tabla44[[#This Row],[TOTAL COBERTURA]]</f>
        <v>6617898</v>
      </c>
      <c r="BC6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7299036</v>
      </c>
      <c r="BD60" s="35">
        <f>SUM(Tabla44[[#This Row],[DESEMBOLSO 1]:[DESEMBOLSO 8]])</f>
        <v>54465714</v>
      </c>
      <c r="BE60" s="12" t="b">
        <f>EXACT(Tabla44[[#This Row],[VALOR ATENCIÓN (8 MESES)]],Tabla44[[#This Row],[VALOR TOTAL]])</f>
        <v>1</v>
      </c>
      <c r="BF60" s="23">
        <f>Tabla44[[#This Row],[VALOR ATENCIÓN (8 MESES)]]-Tabla44[[#This Row],[VALOR TOTAL]]</f>
        <v>0</v>
      </c>
      <c r="BG60" s="12" t="b">
        <f>EXACT(Tabla44[[#This Row],[TOTAL DESEMBOLSOS]],Tabla44[[#This Row],[VALOR TOTAL DEL CONTRATO INCLUIDO EL COMPONENTE DE ALIMENTACIÓN]])</f>
        <v>1</v>
      </c>
      <c r="BH60" s="29">
        <f>Tabla44[[#This Row],[TOTAL DESEMBOLSOS]]-Tabla44[[#This Row],[VALOR TOTAL DEL CONTRATO INCLUIDO EL COMPONENTE DE ALIMENTACIÓN]]</f>
        <v>0</v>
      </c>
      <c r="BI60" t="s">
        <v>98</v>
      </c>
    </row>
    <row r="61" spans="1:61">
      <c r="A61" s="13">
        <v>1922</v>
      </c>
      <c r="B61" s="13"/>
      <c r="C61" s="12" t="s">
        <v>87</v>
      </c>
      <c r="D61" s="12" t="s">
        <v>205</v>
      </c>
      <c r="E61" s="12" t="s">
        <v>2932</v>
      </c>
      <c r="F61" s="12" t="s">
        <v>14</v>
      </c>
      <c r="G61" s="12" t="s">
        <v>90</v>
      </c>
      <c r="H61" s="12" t="s">
        <v>2935</v>
      </c>
      <c r="I61" s="36">
        <v>57921139708</v>
      </c>
      <c r="J61" s="12" t="s">
        <v>2936</v>
      </c>
      <c r="K61" s="12">
        <v>1</v>
      </c>
      <c r="L61" s="12">
        <v>94</v>
      </c>
      <c r="M61" s="12"/>
      <c r="N61" s="13">
        <v>1922</v>
      </c>
      <c r="O61" s="12" t="s">
        <v>2850</v>
      </c>
      <c r="P61" s="12"/>
      <c r="Q61" s="12"/>
      <c r="R61" s="12" t="s">
        <v>94</v>
      </c>
      <c r="S61" s="12">
        <v>10</v>
      </c>
      <c r="T61" s="12">
        <v>890901524</v>
      </c>
      <c r="U61" s="12" t="s">
        <v>2875</v>
      </c>
      <c r="V61" s="12">
        <f>VLOOKUP(Tabla44[[#This Row],[ZONA DEFINITIVO]],[1]Hoja1!$A$1:$D$125,3,0)</f>
        <v>229934</v>
      </c>
      <c r="W61" s="12">
        <f>VLOOKUP(Tabla44[[#This Row],[ZONA DEFINITIVO]],[1]Hoja1!$A$1:$D$125,2,0)</f>
        <v>17254</v>
      </c>
      <c r="X61" s="12">
        <f>VLOOKUP(Tabla44[[#This Row],[ZONA DEFINITIVO]],[1]Hoja1!$A$1:$D$125,4,0)</f>
        <v>103725</v>
      </c>
      <c r="Y61" s="12" t="str">
        <f>+IF(Tabla44[[#This Row],[AGRUPACIONES]]=1,SUMIFS(Tabla44[UDS],Tabla44[ZONA DEFINITIVO],Tabla44[[#This Row],[ZONA DEFINITIVO]])," ")</f>
        <v xml:space="preserve"> </v>
      </c>
      <c r="Z61" s="12" t="str">
        <f>+IF(Tabla44[[#This Row],[AGRUPACIONES]]=1,SUMIFS(Tabla44[TOTAL COBERTURA],Tabla44[ZONA DEFINITIVO],Tabla44[[#This Row],[ZONA DEFINITIVO]])," ")</f>
        <v xml:space="preserve"> </v>
      </c>
      <c r="AA61" s="12"/>
      <c r="AB61" s="35">
        <v>393751900</v>
      </c>
      <c r="AC61" s="37">
        <v>0</v>
      </c>
      <c r="AD61" s="35">
        <f t="shared" si="1"/>
        <v>0</v>
      </c>
      <c r="AE61" s="12"/>
      <c r="AF61" s="12">
        <f>COUNTIF($A$20:A61,A61)</f>
        <v>32</v>
      </c>
      <c r="AG61" s="38">
        <v>393751900</v>
      </c>
      <c r="AH61" s="38">
        <f>Tabla44[[#This Row],[VALOR CONTRAPARTIDA]]+Tabla44[[#This Row],[TOTAL APORTES ICBF]]</f>
        <v>393751900</v>
      </c>
      <c r="AI61" s="35" t="str">
        <f>+IF(Tabla44[[#This Row],[AGRUPACIONES]]=1,SUMIFS(Tabla44[TOTAL APORTES ICBF],Tabla44[ZONA DEFINITIVO],Tabla44[[#This Row],[ZONA DEFINITIVO]])," ")</f>
        <v xml:space="preserve"> </v>
      </c>
      <c r="AJ61" s="38"/>
      <c r="AK61" s="38"/>
      <c r="AL61" s="35"/>
      <c r="AM61" s="35">
        <f>VLOOKUP(Tabla44[[#This Row],[SERVICIO 2025]],$J$2:$V$15,5,0)*Tabla44[[#This Row],[TOTAL COBERTURA]]</f>
        <v>8285442</v>
      </c>
      <c r="AN61" s="35">
        <f>VLOOKUP(Tabla44[[#This Row],[SERVICIO 2025]],$J$2:$V$15,6,0)*Tabla44[[#This Row],[TOTAL COBERTURA]]</f>
        <v>7054042</v>
      </c>
      <c r="AO61" s="35">
        <f>VLOOKUP(Tabla44[[#This Row],[SERVICIO 2025]],$J$2:$V$15,8,0)*Tabla44[[#This Row],[TOTAL COBERTURA]]</f>
        <v>0</v>
      </c>
      <c r="AP61" s="35">
        <f>VLOOKUP(Tabla44[[#This Row],[SERVICIO 2025]],$J$2:$V$15,3,0)*Tabla44[[#This Row],[TOTAL COBERTURA]]*8</f>
        <v>378412416</v>
      </c>
      <c r="AQ61" s="35"/>
      <c r="AR61" s="35">
        <f>SUM(Tabla44[[#This Row],[VALOR FASE PREPARATORIA DE ALISTAMIENTO]:[VALOR RACION PREPARADA]])</f>
        <v>393751900</v>
      </c>
      <c r="AS61" s="35" t="str">
        <f>+IF(Tabla44[[#This Row],[AGRUPACIONES]]=1,SUMIFS(Tabla44[VALOR TOTAL],Tabla44[ZONA DEFINITIVO],Tabla44[[#This Row],[ZONA DEFINITIVO]])," ")</f>
        <v xml:space="preserve"> </v>
      </c>
      <c r="AT61" s="35">
        <f>VLOOKUP(Tabla44[[#This Row],[SERVICIO 2025]],$J$2:$V$15,10,0)*Tabla44[[#This Row],[TOTAL COBERTURA]]*$X$7</f>
        <v>0</v>
      </c>
      <c r="AU61" s="39">
        <f>Tabla44[[#This Row],[TOTAL CONTRATO (ICBF+EAS)]]+Tabla44[[#This Row],[VALOR COMPONENTE ALIMENTACION NO ASIGNADO]]</f>
        <v>393751900</v>
      </c>
      <c r="AV6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55586994</v>
      </c>
      <c r="AW61" s="35">
        <f>(VLOOKUP(Tabla44[[#This Row],[SERVICIO 2025]],$J$2:$V$15,3,0)*Tabla44[[#This Row],[TOTAL COBERTURA]])+VLOOKUP(Tabla44[[#This Row],[SERVICIO 2025]],$J$2:$V$15,10,0)*Tabla44[[#This Row],[TOTAL COBERTURA]]</f>
        <v>47301552</v>
      </c>
      <c r="AX61" s="35">
        <f>(VLOOKUP(Tabla44[[#This Row],[SERVICIO 2025]],$J$2:$V$15,3,0)*Tabla44[[#This Row],[TOTAL COBERTURA]])+VLOOKUP(Tabla44[[#This Row],[SERVICIO 2025]],$J$2:$V$15,10,0)*Tabla44[[#This Row],[TOTAL COBERTURA]]</f>
        <v>47301552</v>
      </c>
      <c r="AY61" s="35">
        <f>(VLOOKUP(Tabla44[[#This Row],[SERVICIO 2025]],$J$2:$V$15,3,0)*Tabla44[[#This Row],[TOTAL COBERTURA]])+VLOOKUP(Tabla44[[#This Row],[SERVICIO 2025]],$J$2:$V$15,10,0)*Tabla44[[#This Row],[TOTAL COBERTURA]]</f>
        <v>47301552</v>
      </c>
      <c r="AZ61" s="35">
        <f>(VLOOKUP(Tabla44[[#This Row],[SERVICIO 2025]],$J$2:$V$15,3,0)*Tabla44[[#This Row],[TOTAL COBERTURA]])+VLOOKUP(Tabla44[[#This Row],[SERVICIO 2025]],$J$2:$V$15,10,0)*Tabla44[[#This Row],[TOTAL COBERTURA]]</f>
        <v>47301552</v>
      </c>
      <c r="BA61" s="35">
        <f>(VLOOKUP(Tabla44[[#This Row],[SERVICIO 2025]],$J$2:$V$15,3,0)*Tabla44[[#This Row],[TOTAL COBERTURA]])+VLOOKUP(Tabla44[[#This Row],[SERVICIO 2025]],$J$2:$V$15,10,0)*Tabla44[[#This Row],[TOTAL COBERTURA]]</f>
        <v>47301552</v>
      </c>
      <c r="BB61" s="35">
        <f>(VLOOKUP(Tabla44[[#This Row],[SERVICIO 2025]],$J$2:$V$15,3,0)*Tabla44[[#This Row],[TOTAL COBERTURA]])+VLOOKUP(Tabla44[[#This Row],[SERVICIO 2025]],$J$2:$V$15,10,0)*Tabla44[[#This Row],[TOTAL COBERTURA]]</f>
        <v>47301552</v>
      </c>
      <c r="BC6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54355594</v>
      </c>
      <c r="BD61" s="35">
        <f>SUM(Tabla44[[#This Row],[DESEMBOLSO 1]:[DESEMBOLSO 8]])</f>
        <v>393751900</v>
      </c>
      <c r="BE61" s="12" t="b">
        <f>EXACT(Tabla44[[#This Row],[VALOR ATENCIÓN (8 MESES)]],Tabla44[[#This Row],[VALOR TOTAL]])</f>
        <v>1</v>
      </c>
      <c r="BF61" s="23">
        <f>Tabla44[[#This Row],[VALOR ATENCIÓN (8 MESES)]]-Tabla44[[#This Row],[VALOR TOTAL]]</f>
        <v>0</v>
      </c>
      <c r="BG61" s="12" t="b">
        <f>EXACT(Tabla44[[#This Row],[TOTAL DESEMBOLSOS]],Tabla44[[#This Row],[VALOR TOTAL DEL CONTRATO INCLUIDO EL COMPONENTE DE ALIMENTACIÓN]])</f>
        <v>1</v>
      </c>
      <c r="BH61" s="29">
        <f>Tabla44[[#This Row],[TOTAL DESEMBOLSOS]]-Tabla44[[#This Row],[VALOR TOTAL DEL CONTRATO INCLUIDO EL COMPONENTE DE ALIMENTACIÓN]]</f>
        <v>0</v>
      </c>
      <c r="BI61" t="s">
        <v>98</v>
      </c>
    </row>
    <row r="62" spans="1:61">
      <c r="A62" s="13">
        <v>1922</v>
      </c>
      <c r="B62" s="13"/>
      <c r="C62" s="12" t="s">
        <v>87</v>
      </c>
      <c r="D62" s="12" t="s">
        <v>205</v>
      </c>
      <c r="E62" s="12" t="s">
        <v>2932</v>
      </c>
      <c r="F62" s="12" t="s">
        <v>21</v>
      </c>
      <c r="G62" s="12" t="s">
        <v>90</v>
      </c>
      <c r="H62" s="12" t="s">
        <v>2937</v>
      </c>
      <c r="I62" s="36">
        <v>57921150389</v>
      </c>
      <c r="J62" s="12" t="s">
        <v>2938</v>
      </c>
      <c r="K62" s="12">
        <v>1</v>
      </c>
      <c r="L62" s="12">
        <v>27</v>
      </c>
      <c r="M62" s="12"/>
      <c r="N62" s="13">
        <v>1922</v>
      </c>
      <c r="O62" s="12" t="s">
        <v>2850</v>
      </c>
      <c r="P62" s="12"/>
      <c r="Q62" s="12"/>
      <c r="R62" s="12" t="s">
        <v>94</v>
      </c>
      <c r="S62" s="12">
        <v>10</v>
      </c>
      <c r="T62" s="12">
        <v>890901524</v>
      </c>
      <c r="U62" s="12" t="s">
        <v>2875</v>
      </c>
      <c r="V62" s="12">
        <f>VLOOKUP(Tabla44[[#This Row],[ZONA DEFINITIVO]],[1]Hoja1!$A$1:$D$125,3,0)</f>
        <v>229934</v>
      </c>
      <c r="W62" s="12">
        <f>VLOOKUP(Tabla44[[#This Row],[ZONA DEFINITIVO]],[1]Hoja1!$A$1:$D$125,2,0)</f>
        <v>17254</v>
      </c>
      <c r="X62" s="12">
        <f>VLOOKUP(Tabla44[[#This Row],[ZONA DEFINITIVO]],[1]Hoja1!$A$1:$D$125,4,0)</f>
        <v>103725</v>
      </c>
      <c r="Y62" s="12" t="str">
        <f>+IF(Tabla44[[#This Row],[AGRUPACIONES]]=1,SUMIFS(Tabla44[UDS],Tabla44[ZONA DEFINITIVO],Tabla44[[#This Row],[ZONA DEFINITIVO]])," ")</f>
        <v xml:space="preserve"> </v>
      </c>
      <c r="Z62" s="12" t="str">
        <f>+IF(Tabla44[[#This Row],[AGRUPACIONES]]=1,SUMIFS(Tabla44[TOTAL COBERTURA],Tabla44[ZONA DEFINITIVO],Tabla44[[#This Row],[ZONA DEFINITIVO]])," ")</f>
        <v xml:space="preserve"> </v>
      </c>
      <c r="AA62" s="12"/>
      <c r="AB62" s="35">
        <v>41021235</v>
      </c>
      <c r="AC62" s="37">
        <v>0</v>
      </c>
      <c r="AD62" s="35">
        <f t="shared" si="1"/>
        <v>0</v>
      </c>
      <c r="AE62" s="12"/>
      <c r="AF62" s="12">
        <f>COUNTIF($A$20:A62,A62)</f>
        <v>33</v>
      </c>
      <c r="AG62" s="38">
        <v>41021235</v>
      </c>
      <c r="AH62" s="38">
        <f>Tabla44[[#This Row],[VALOR CONTRAPARTIDA]]+Tabla44[[#This Row],[TOTAL APORTES ICBF]]</f>
        <v>41021235</v>
      </c>
      <c r="AI62" s="35" t="str">
        <f>+IF(Tabla44[[#This Row],[AGRUPACIONES]]=1,SUMIFS(Tabla44[TOTAL APORTES ICBF],Tabla44[ZONA DEFINITIVO],Tabla44[[#This Row],[ZONA DEFINITIVO]])," ")</f>
        <v xml:space="preserve"> </v>
      </c>
      <c r="AJ62" s="38"/>
      <c r="AK62" s="38"/>
      <c r="AL62" s="35"/>
      <c r="AM62" s="35">
        <f>VLOOKUP(Tabla44[[#This Row],[SERVICIO 2025]],$J$2:$V$15,5,0)*Tabla44[[#This Row],[TOTAL COBERTURA]]</f>
        <v>1262088</v>
      </c>
      <c r="AN62" s="35">
        <f>VLOOKUP(Tabla44[[#This Row],[SERVICIO 2025]],$J$2:$V$15,6,0)*Tabla44[[#This Row],[TOTAL COBERTURA]]</f>
        <v>1021707</v>
      </c>
      <c r="AO62" s="35">
        <f>VLOOKUP(Tabla44[[#This Row],[SERVICIO 2025]],$J$2:$V$15,8,0)*Tabla44[[#This Row],[TOTAL COBERTURA]]</f>
        <v>0</v>
      </c>
      <c r="AP62" s="35">
        <f>VLOOKUP(Tabla44[[#This Row],[SERVICIO 2025]],$J$2:$V$15,3,0)*Tabla44[[#This Row],[TOTAL COBERTURA]]*8</f>
        <v>38737440</v>
      </c>
      <c r="AQ62" s="35"/>
      <c r="AR62" s="35">
        <f>SUM(Tabla44[[#This Row],[VALOR FASE PREPARATORIA DE ALISTAMIENTO]:[VALOR RACION PREPARADA]])</f>
        <v>41021235</v>
      </c>
      <c r="AS62" s="35" t="str">
        <f>+IF(Tabla44[[#This Row],[AGRUPACIONES]]=1,SUMIFS(Tabla44[VALOR TOTAL],Tabla44[ZONA DEFINITIVO],Tabla44[[#This Row],[ZONA DEFINITIVO]])," ")</f>
        <v xml:space="preserve"> </v>
      </c>
      <c r="AT62" s="35">
        <f>VLOOKUP(Tabla44[[#This Row],[SERVICIO 2025]],$J$2:$V$15,10,0)*Tabla44[[#This Row],[TOTAL COBERTURA]]*$X$7</f>
        <v>40677336</v>
      </c>
      <c r="AU62" s="39">
        <f>Tabla44[[#This Row],[TOTAL CONTRATO (ICBF+EAS)]]+Tabla44[[#This Row],[VALOR COMPONENTE ALIMENTACION NO ASIGNADO]]</f>
        <v>81698571</v>
      </c>
      <c r="AV6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11188935</v>
      </c>
      <c r="AW62" s="35">
        <f>(VLOOKUP(Tabla44[[#This Row],[SERVICIO 2025]],$J$2:$V$15,3,0)*Tabla44[[#This Row],[TOTAL COBERTURA]])+VLOOKUP(Tabla44[[#This Row],[SERVICIO 2025]],$J$2:$V$15,10,0)*Tabla44[[#This Row],[TOTAL COBERTURA]]</f>
        <v>9926847</v>
      </c>
      <c r="AX62" s="35">
        <f>(VLOOKUP(Tabla44[[#This Row],[SERVICIO 2025]],$J$2:$V$15,3,0)*Tabla44[[#This Row],[TOTAL COBERTURA]])+VLOOKUP(Tabla44[[#This Row],[SERVICIO 2025]],$J$2:$V$15,10,0)*Tabla44[[#This Row],[TOTAL COBERTURA]]</f>
        <v>9926847</v>
      </c>
      <c r="AY62" s="35">
        <f>(VLOOKUP(Tabla44[[#This Row],[SERVICIO 2025]],$J$2:$V$15,3,0)*Tabla44[[#This Row],[TOTAL COBERTURA]])+VLOOKUP(Tabla44[[#This Row],[SERVICIO 2025]],$J$2:$V$15,10,0)*Tabla44[[#This Row],[TOTAL COBERTURA]]</f>
        <v>9926847</v>
      </c>
      <c r="AZ62" s="35">
        <f>(VLOOKUP(Tabla44[[#This Row],[SERVICIO 2025]],$J$2:$V$15,3,0)*Tabla44[[#This Row],[TOTAL COBERTURA]])+VLOOKUP(Tabla44[[#This Row],[SERVICIO 2025]],$J$2:$V$15,10,0)*Tabla44[[#This Row],[TOTAL COBERTURA]]</f>
        <v>9926847</v>
      </c>
      <c r="BA62" s="35">
        <f>(VLOOKUP(Tabla44[[#This Row],[SERVICIO 2025]],$J$2:$V$15,3,0)*Tabla44[[#This Row],[TOTAL COBERTURA]])+VLOOKUP(Tabla44[[#This Row],[SERVICIO 2025]],$J$2:$V$15,10,0)*Tabla44[[#This Row],[TOTAL COBERTURA]]</f>
        <v>9926847</v>
      </c>
      <c r="BB62" s="35">
        <f>(VLOOKUP(Tabla44[[#This Row],[SERVICIO 2025]],$J$2:$V$15,3,0)*Tabla44[[#This Row],[TOTAL COBERTURA]])+VLOOKUP(Tabla44[[#This Row],[SERVICIO 2025]],$J$2:$V$15,10,0)*Tabla44[[#This Row],[TOTAL COBERTURA]]</f>
        <v>9926847</v>
      </c>
      <c r="BC6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10948554</v>
      </c>
      <c r="BD62" s="35">
        <f>SUM(Tabla44[[#This Row],[DESEMBOLSO 1]:[DESEMBOLSO 8]])</f>
        <v>81698571</v>
      </c>
      <c r="BE62" s="12" t="b">
        <f>EXACT(Tabla44[[#This Row],[VALOR ATENCIÓN (8 MESES)]],Tabla44[[#This Row],[VALOR TOTAL]])</f>
        <v>1</v>
      </c>
      <c r="BF62" s="23">
        <f>Tabla44[[#This Row],[VALOR ATENCIÓN (8 MESES)]]-Tabla44[[#This Row],[VALOR TOTAL]]</f>
        <v>0</v>
      </c>
      <c r="BG62" s="12" t="b">
        <f>EXACT(Tabla44[[#This Row],[TOTAL DESEMBOLSOS]],Tabla44[[#This Row],[VALOR TOTAL DEL CONTRATO INCLUIDO EL COMPONENTE DE ALIMENTACIÓN]])</f>
        <v>1</v>
      </c>
      <c r="BH62" s="29">
        <f>Tabla44[[#This Row],[TOTAL DESEMBOLSOS]]-Tabla44[[#This Row],[VALOR TOTAL DEL CONTRATO INCLUIDO EL COMPONENTE DE ALIMENTACIÓN]]</f>
        <v>0</v>
      </c>
      <c r="BI62" t="s">
        <v>98</v>
      </c>
    </row>
    <row r="63" spans="1:61">
      <c r="A63" s="13">
        <v>1922</v>
      </c>
      <c r="B63" s="13"/>
      <c r="C63" s="12" t="s">
        <v>87</v>
      </c>
      <c r="D63" s="12" t="s">
        <v>205</v>
      </c>
      <c r="E63" s="12" t="s">
        <v>2932</v>
      </c>
      <c r="F63" s="12" t="s">
        <v>21</v>
      </c>
      <c r="G63" s="12" t="s">
        <v>90</v>
      </c>
      <c r="H63" s="12" t="s">
        <v>2939</v>
      </c>
      <c r="I63" s="36">
        <v>57921154371</v>
      </c>
      <c r="J63" s="12" t="s">
        <v>2940</v>
      </c>
      <c r="K63" s="12">
        <v>1</v>
      </c>
      <c r="L63" s="12">
        <v>27</v>
      </c>
      <c r="M63" s="12"/>
      <c r="N63" s="13">
        <v>1922</v>
      </c>
      <c r="O63" s="12" t="s">
        <v>2850</v>
      </c>
      <c r="P63" s="12"/>
      <c r="Q63" s="12"/>
      <c r="R63" s="12" t="s">
        <v>94</v>
      </c>
      <c r="S63" s="12">
        <v>10</v>
      </c>
      <c r="T63" s="12">
        <v>890901524</v>
      </c>
      <c r="U63" s="12" t="s">
        <v>2875</v>
      </c>
      <c r="V63" s="12">
        <f>VLOOKUP(Tabla44[[#This Row],[ZONA DEFINITIVO]],[1]Hoja1!$A$1:$D$125,3,0)</f>
        <v>229934</v>
      </c>
      <c r="W63" s="12">
        <f>VLOOKUP(Tabla44[[#This Row],[ZONA DEFINITIVO]],[1]Hoja1!$A$1:$D$125,2,0)</f>
        <v>17254</v>
      </c>
      <c r="X63" s="12">
        <f>VLOOKUP(Tabla44[[#This Row],[ZONA DEFINITIVO]],[1]Hoja1!$A$1:$D$125,4,0)</f>
        <v>103725</v>
      </c>
      <c r="Y63" s="12" t="str">
        <f>+IF(Tabla44[[#This Row],[AGRUPACIONES]]=1,SUMIFS(Tabla44[UDS],Tabla44[ZONA DEFINITIVO],Tabla44[[#This Row],[ZONA DEFINITIVO]])," ")</f>
        <v xml:space="preserve"> </v>
      </c>
      <c r="Z63" s="12" t="str">
        <f>+IF(Tabla44[[#This Row],[AGRUPACIONES]]=1,SUMIFS(Tabla44[TOTAL COBERTURA],Tabla44[ZONA DEFINITIVO],Tabla44[[#This Row],[ZONA DEFINITIVO]])," ")</f>
        <v xml:space="preserve"> </v>
      </c>
      <c r="AA63" s="12"/>
      <c r="AB63" s="35">
        <v>41021235</v>
      </c>
      <c r="AC63" s="37">
        <v>0</v>
      </c>
      <c r="AD63" s="35">
        <f t="shared" si="1"/>
        <v>0</v>
      </c>
      <c r="AE63" s="12"/>
      <c r="AF63" s="12">
        <f>COUNTIF($A$20:A63,A63)</f>
        <v>34</v>
      </c>
      <c r="AG63" s="38">
        <v>41021235</v>
      </c>
      <c r="AH63" s="38">
        <f>Tabla44[[#This Row],[VALOR CONTRAPARTIDA]]+Tabla44[[#This Row],[TOTAL APORTES ICBF]]</f>
        <v>41021235</v>
      </c>
      <c r="AI63" s="35" t="str">
        <f>+IF(Tabla44[[#This Row],[AGRUPACIONES]]=1,SUMIFS(Tabla44[TOTAL APORTES ICBF],Tabla44[ZONA DEFINITIVO],Tabla44[[#This Row],[ZONA DEFINITIVO]])," ")</f>
        <v xml:space="preserve"> </v>
      </c>
      <c r="AJ63" s="38"/>
      <c r="AK63" s="38"/>
      <c r="AL63" s="35"/>
      <c r="AM63" s="35">
        <f>VLOOKUP(Tabla44[[#This Row],[SERVICIO 2025]],$J$2:$V$15,5,0)*Tabla44[[#This Row],[TOTAL COBERTURA]]</f>
        <v>1262088</v>
      </c>
      <c r="AN63" s="35">
        <f>VLOOKUP(Tabla44[[#This Row],[SERVICIO 2025]],$J$2:$V$15,6,0)*Tabla44[[#This Row],[TOTAL COBERTURA]]</f>
        <v>1021707</v>
      </c>
      <c r="AO63" s="35">
        <f>VLOOKUP(Tabla44[[#This Row],[SERVICIO 2025]],$J$2:$V$15,8,0)*Tabla44[[#This Row],[TOTAL COBERTURA]]</f>
        <v>0</v>
      </c>
      <c r="AP63" s="35">
        <f>VLOOKUP(Tabla44[[#This Row],[SERVICIO 2025]],$J$2:$V$15,3,0)*Tabla44[[#This Row],[TOTAL COBERTURA]]*8</f>
        <v>38737440</v>
      </c>
      <c r="AQ63" s="35"/>
      <c r="AR63" s="35">
        <f>SUM(Tabla44[[#This Row],[VALOR FASE PREPARATORIA DE ALISTAMIENTO]:[VALOR RACION PREPARADA]])</f>
        <v>41021235</v>
      </c>
      <c r="AS63" s="35" t="str">
        <f>+IF(Tabla44[[#This Row],[AGRUPACIONES]]=1,SUMIFS(Tabla44[VALOR TOTAL],Tabla44[ZONA DEFINITIVO],Tabla44[[#This Row],[ZONA DEFINITIVO]])," ")</f>
        <v xml:space="preserve"> </v>
      </c>
      <c r="AT63" s="35">
        <f>VLOOKUP(Tabla44[[#This Row],[SERVICIO 2025]],$J$2:$V$15,10,0)*Tabla44[[#This Row],[TOTAL COBERTURA]]*$X$7</f>
        <v>40677336</v>
      </c>
      <c r="AU63" s="39">
        <f>Tabla44[[#This Row],[TOTAL CONTRATO (ICBF+EAS)]]+Tabla44[[#This Row],[VALOR COMPONENTE ALIMENTACION NO ASIGNADO]]</f>
        <v>81698571</v>
      </c>
      <c r="AV6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11188935</v>
      </c>
      <c r="AW63" s="35">
        <f>(VLOOKUP(Tabla44[[#This Row],[SERVICIO 2025]],$J$2:$V$15,3,0)*Tabla44[[#This Row],[TOTAL COBERTURA]])+VLOOKUP(Tabla44[[#This Row],[SERVICIO 2025]],$J$2:$V$15,10,0)*Tabla44[[#This Row],[TOTAL COBERTURA]]</f>
        <v>9926847</v>
      </c>
      <c r="AX63" s="35">
        <f>(VLOOKUP(Tabla44[[#This Row],[SERVICIO 2025]],$J$2:$V$15,3,0)*Tabla44[[#This Row],[TOTAL COBERTURA]])+VLOOKUP(Tabla44[[#This Row],[SERVICIO 2025]],$J$2:$V$15,10,0)*Tabla44[[#This Row],[TOTAL COBERTURA]]</f>
        <v>9926847</v>
      </c>
      <c r="AY63" s="35">
        <f>(VLOOKUP(Tabla44[[#This Row],[SERVICIO 2025]],$J$2:$V$15,3,0)*Tabla44[[#This Row],[TOTAL COBERTURA]])+VLOOKUP(Tabla44[[#This Row],[SERVICIO 2025]],$J$2:$V$15,10,0)*Tabla44[[#This Row],[TOTAL COBERTURA]]</f>
        <v>9926847</v>
      </c>
      <c r="AZ63" s="35">
        <f>(VLOOKUP(Tabla44[[#This Row],[SERVICIO 2025]],$J$2:$V$15,3,0)*Tabla44[[#This Row],[TOTAL COBERTURA]])+VLOOKUP(Tabla44[[#This Row],[SERVICIO 2025]],$J$2:$V$15,10,0)*Tabla44[[#This Row],[TOTAL COBERTURA]]</f>
        <v>9926847</v>
      </c>
      <c r="BA63" s="35">
        <f>(VLOOKUP(Tabla44[[#This Row],[SERVICIO 2025]],$J$2:$V$15,3,0)*Tabla44[[#This Row],[TOTAL COBERTURA]])+VLOOKUP(Tabla44[[#This Row],[SERVICIO 2025]],$J$2:$V$15,10,0)*Tabla44[[#This Row],[TOTAL COBERTURA]]</f>
        <v>9926847</v>
      </c>
      <c r="BB63" s="35">
        <f>(VLOOKUP(Tabla44[[#This Row],[SERVICIO 2025]],$J$2:$V$15,3,0)*Tabla44[[#This Row],[TOTAL COBERTURA]])+VLOOKUP(Tabla44[[#This Row],[SERVICIO 2025]],$J$2:$V$15,10,0)*Tabla44[[#This Row],[TOTAL COBERTURA]]</f>
        <v>9926847</v>
      </c>
      <c r="BC6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10948554</v>
      </c>
      <c r="BD63" s="35">
        <f>SUM(Tabla44[[#This Row],[DESEMBOLSO 1]:[DESEMBOLSO 8]])</f>
        <v>81698571</v>
      </c>
      <c r="BE63" s="12" t="b">
        <f>EXACT(Tabla44[[#This Row],[VALOR ATENCIÓN (8 MESES)]],Tabla44[[#This Row],[VALOR TOTAL]])</f>
        <v>1</v>
      </c>
      <c r="BF63" s="23">
        <f>Tabla44[[#This Row],[VALOR ATENCIÓN (8 MESES)]]-Tabla44[[#This Row],[VALOR TOTAL]]</f>
        <v>0</v>
      </c>
      <c r="BG63" s="12" t="b">
        <f>EXACT(Tabla44[[#This Row],[TOTAL DESEMBOLSOS]],Tabla44[[#This Row],[VALOR TOTAL DEL CONTRATO INCLUIDO EL COMPONENTE DE ALIMENTACIÓN]])</f>
        <v>1</v>
      </c>
      <c r="BH63" s="29">
        <f>Tabla44[[#This Row],[TOTAL DESEMBOLSOS]]-Tabla44[[#This Row],[VALOR TOTAL DEL CONTRATO INCLUIDO EL COMPONENTE DE ALIMENTACIÓN]]</f>
        <v>0</v>
      </c>
      <c r="BI63" t="s">
        <v>98</v>
      </c>
    </row>
    <row r="64" spans="1:61">
      <c r="A64" s="13">
        <v>1922</v>
      </c>
      <c r="B64" s="13"/>
      <c r="C64" s="12" t="s">
        <v>87</v>
      </c>
      <c r="D64" s="12" t="s">
        <v>205</v>
      </c>
      <c r="E64" s="12" t="s">
        <v>2932</v>
      </c>
      <c r="F64" s="12" t="s">
        <v>21</v>
      </c>
      <c r="G64" s="12" t="s">
        <v>90</v>
      </c>
      <c r="H64" s="12" t="s">
        <v>2941</v>
      </c>
      <c r="I64" s="36">
        <v>579200101969</v>
      </c>
      <c r="J64" s="12" t="s">
        <v>2941</v>
      </c>
      <c r="K64" s="12">
        <v>1</v>
      </c>
      <c r="L64" s="12">
        <v>20</v>
      </c>
      <c r="M64" s="12"/>
      <c r="N64" s="13">
        <v>1922</v>
      </c>
      <c r="O64" s="12" t="s">
        <v>2850</v>
      </c>
      <c r="P64" s="12"/>
      <c r="Q64" s="12"/>
      <c r="R64" s="12" t="s">
        <v>94</v>
      </c>
      <c r="S64" s="12">
        <v>10</v>
      </c>
      <c r="T64" s="12">
        <v>890901524</v>
      </c>
      <c r="U64" s="12" t="s">
        <v>2875</v>
      </c>
      <c r="V64" s="12">
        <f>VLOOKUP(Tabla44[[#This Row],[ZONA DEFINITIVO]],[1]Hoja1!$A$1:$D$125,3,0)</f>
        <v>229934</v>
      </c>
      <c r="W64" s="12">
        <f>VLOOKUP(Tabla44[[#This Row],[ZONA DEFINITIVO]],[1]Hoja1!$A$1:$D$125,2,0)</f>
        <v>17254</v>
      </c>
      <c r="X64" s="12">
        <f>VLOOKUP(Tabla44[[#This Row],[ZONA DEFINITIVO]],[1]Hoja1!$A$1:$D$125,4,0)</f>
        <v>103725</v>
      </c>
      <c r="Y64" s="12" t="str">
        <f>+IF(Tabla44[[#This Row],[AGRUPACIONES]]=1,SUMIFS(Tabla44[UDS],Tabla44[ZONA DEFINITIVO],Tabla44[[#This Row],[ZONA DEFINITIVO]])," ")</f>
        <v xml:space="preserve"> </v>
      </c>
      <c r="Z64" s="12" t="str">
        <f>+IF(Tabla44[[#This Row],[AGRUPACIONES]]=1,SUMIFS(Tabla44[TOTAL COBERTURA],Tabla44[ZONA DEFINITIVO],Tabla44[[#This Row],[ZONA DEFINITIVO]])," ")</f>
        <v xml:space="preserve"> </v>
      </c>
      <c r="AA64" s="12"/>
      <c r="AB64" s="35">
        <v>30386100</v>
      </c>
      <c r="AC64" s="37">
        <v>0</v>
      </c>
      <c r="AD64" s="35">
        <f t="shared" si="1"/>
        <v>0</v>
      </c>
      <c r="AE64" s="12"/>
      <c r="AF64" s="12">
        <f>COUNTIF($A$20:A64,A64)</f>
        <v>35</v>
      </c>
      <c r="AG64" s="38">
        <v>30386100</v>
      </c>
      <c r="AH64" s="38">
        <f>Tabla44[[#This Row],[VALOR CONTRAPARTIDA]]+Tabla44[[#This Row],[TOTAL APORTES ICBF]]</f>
        <v>30386100</v>
      </c>
      <c r="AI64" s="35" t="str">
        <f>+IF(Tabla44[[#This Row],[AGRUPACIONES]]=1,SUMIFS(Tabla44[TOTAL APORTES ICBF],Tabla44[ZONA DEFINITIVO],Tabla44[[#This Row],[ZONA DEFINITIVO]])," ")</f>
        <v xml:space="preserve"> </v>
      </c>
      <c r="AJ64" s="38"/>
      <c r="AK64" s="38"/>
      <c r="AL64" s="35"/>
      <c r="AM64" s="35">
        <f>VLOOKUP(Tabla44[[#This Row],[SERVICIO 2025]],$J$2:$V$15,5,0)*Tabla44[[#This Row],[TOTAL COBERTURA]]</f>
        <v>934880</v>
      </c>
      <c r="AN64" s="35">
        <f>VLOOKUP(Tabla44[[#This Row],[SERVICIO 2025]],$J$2:$V$15,6,0)*Tabla44[[#This Row],[TOTAL COBERTURA]]</f>
        <v>756820</v>
      </c>
      <c r="AO64" s="35">
        <f>VLOOKUP(Tabla44[[#This Row],[SERVICIO 2025]],$J$2:$V$15,8,0)*Tabla44[[#This Row],[TOTAL COBERTURA]]</f>
        <v>0</v>
      </c>
      <c r="AP64" s="35">
        <f>VLOOKUP(Tabla44[[#This Row],[SERVICIO 2025]],$J$2:$V$15,3,0)*Tabla44[[#This Row],[TOTAL COBERTURA]]*8</f>
        <v>28694400</v>
      </c>
      <c r="AQ64" s="35"/>
      <c r="AR64" s="35">
        <f>SUM(Tabla44[[#This Row],[VALOR FASE PREPARATORIA DE ALISTAMIENTO]:[VALOR RACION PREPARADA]])</f>
        <v>30386100</v>
      </c>
      <c r="AS64" s="35" t="str">
        <f>+IF(Tabla44[[#This Row],[AGRUPACIONES]]=1,SUMIFS(Tabla44[VALOR TOTAL],Tabla44[ZONA DEFINITIVO],Tabla44[[#This Row],[ZONA DEFINITIVO]])," ")</f>
        <v xml:space="preserve"> </v>
      </c>
      <c r="AT64" s="35">
        <f>VLOOKUP(Tabla44[[#This Row],[SERVICIO 2025]],$J$2:$V$15,10,0)*Tabla44[[#This Row],[TOTAL COBERTURA]]*$X$7</f>
        <v>30131360</v>
      </c>
      <c r="AU64" s="39">
        <f>Tabla44[[#This Row],[TOTAL CONTRATO (ICBF+EAS)]]+Tabla44[[#This Row],[VALOR COMPONENTE ALIMENTACION NO ASIGNADO]]</f>
        <v>60517460</v>
      </c>
      <c r="AV6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8288100</v>
      </c>
      <c r="AW64" s="35">
        <f>(VLOOKUP(Tabla44[[#This Row],[SERVICIO 2025]],$J$2:$V$15,3,0)*Tabla44[[#This Row],[TOTAL COBERTURA]])+VLOOKUP(Tabla44[[#This Row],[SERVICIO 2025]],$J$2:$V$15,10,0)*Tabla44[[#This Row],[TOTAL COBERTURA]]</f>
        <v>7353220</v>
      </c>
      <c r="AX64" s="35">
        <f>(VLOOKUP(Tabla44[[#This Row],[SERVICIO 2025]],$J$2:$V$15,3,0)*Tabla44[[#This Row],[TOTAL COBERTURA]])+VLOOKUP(Tabla44[[#This Row],[SERVICIO 2025]],$J$2:$V$15,10,0)*Tabla44[[#This Row],[TOTAL COBERTURA]]</f>
        <v>7353220</v>
      </c>
      <c r="AY64" s="35">
        <f>(VLOOKUP(Tabla44[[#This Row],[SERVICIO 2025]],$J$2:$V$15,3,0)*Tabla44[[#This Row],[TOTAL COBERTURA]])+VLOOKUP(Tabla44[[#This Row],[SERVICIO 2025]],$J$2:$V$15,10,0)*Tabla44[[#This Row],[TOTAL COBERTURA]]</f>
        <v>7353220</v>
      </c>
      <c r="AZ64" s="35">
        <f>(VLOOKUP(Tabla44[[#This Row],[SERVICIO 2025]],$J$2:$V$15,3,0)*Tabla44[[#This Row],[TOTAL COBERTURA]])+VLOOKUP(Tabla44[[#This Row],[SERVICIO 2025]],$J$2:$V$15,10,0)*Tabla44[[#This Row],[TOTAL COBERTURA]]</f>
        <v>7353220</v>
      </c>
      <c r="BA64" s="35">
        <f>(VLOOKUP(Tabla44[[#This Row],[SERVICIO 2025]],$J$2:$V$15,3,0)*Tabla44[[#This Row],[TOTAL COBERTURA]])+VLOOKUP(Tabla44[[#This Row],[SERVICIO 2025]],$J$2:$V$15,10,0)*Tabla44[[#This Row],[TOTAL COBERTURA]]</f>
        <v>7353220</v>
      </c>
      <c r="BB64" s="35">
        <f>(VLOOKUP(Tabla44[[#This Row],[SERVICIO 2025]],$J$2:$V$15,3,0)*Tabla44[[#This Row],[TOTAL COBERTURA]])+VLOOKUP(Tabla44[[#This Row],[SERVICIO 2025]],$J$2:$V$15,10,0)*Tabla44[[#This Row],[TOTAL COBERTURA]]</f>
        <v>7353220</v>
      </c>
      <c r="BC6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8110040</v>
      </c>
      <c r="BD64" s="35">
        <f>SUM(Tabla44[[#This Row],[DESEMBOLSO 1]:[DESEMBOLSO 8]])</f>
        <v>60517460</v>
      </c>
      <c r="BE64" s="12" t="b">
        <f>EXACT(Tabla44[[#This Row],[VALOR ATENCIÓN (8 MESES)]],Tabla44[[#This Row],[VALOR TOTAL]])</f>
        <v>1</v>
      </c>
      <c r="BF64" s="23">
        <f>Tabla44[[#This Row],[VALOR ATENCIÓN (8 MESES)]]-Tabla44[[#This Row],[VALOR TOTAL]]</f>
        <v>0</v>
      </c>
      <c r="BG64" s="12" t="b">
        <f>EXACT(Tabla44[[#This Row],[TOTAL DESEMBOLSOS]],Tabla44[[#This Row],[VALOR TOTAL DEL CONTRATO INCLUIDO EL COMPONENTE DE ALIMENTACIÓN]])</f>
        <v>1</v>
      </c>
      <c r="BH64" s="29">
        <f>Tabla44[[#This Row],[TOTAL DESEMBOLSOS]]-Tabla44[[#This Row],[VALOR TOTAL DEL CONTRATO INCLUIDO EL COMPONENTE DE ALIMENTACIÓN]]</f>
        <v>0</v>
      </c>
      <c r="BI64" t="s">
        <v>98</v>
      </c>
    </row>
    <row r="65" spans="1:61">
      <c r="A65" s="13">
        <v>1922</v>
      </c>
      <c r="B65" s="13"/>
      <c r="C65" s="12" t="s">
        <v>87</v>
      </c>
      <c r="D65" s="12" t="s">
        <v>205</v>
      </c>
      <c r="E65" s="12" t="s">
        <v>2942</v>
      </c>
      <c r="F65" s="12" t="s">
        <v>21</v>
      </c>
      <c r="G65" s="12" t="s">
        <v>90</v>
      </c>
      <c r="H65" s="12" t="s">
        <v>2943</v>
      </c>
      <c r="I65" s="36">
        <v>58561136975</v>
      </c>
      <c r="J65" s="12" t="s">
        <v>2944</v>
      </c>
      <c r="K65" s="12">
        <v>1</v>
      </c>
      <c r="L65" s="12">
        <v>22</v>
      </c>
      <c r="M65" s="12"/>
      <c r="N65" s="13">
        <v>1922</v>
      </c>
      <c r="O65" s="12" t="s">
        <v>2850</v>
      </c>
      <c r="P65" s="12"/>
      <c r="Q65" s="12"/>
      <c r="R65" s="12" t="s">
        <v>94</v>
      </c>
      <c r="S65" s="12">
        <v>10</v>
      </c>
      <c r="T65" s="12">
        <v>890901524</v>
      </c>
      <c r="U65" s="12" t="s">
        <v>2875</v>
      </c>
      <c r="V65" s="12">
        <f>VLOOKUP(Tabla44[[#This Row],[ZONA DEFINITIVO]],[1]Hoja1!$A$1:$D$125,3,0)</f>
        <v>229934</v>
      </c>
      <c r="W65" s="12">
        <f>VLOOKUP(Tabla44[[#This Row],[ZONA DEFINITIVO]],[1]Hoja1!$A$1:$D$125,2,0)</f>
        <v>17254</v>
      </c>
      <c r="X65" s="12">
        <f>VLOOKUP(Tabla44[[#This Row],[ZONA DEFINITIVO]],[1]Hoja1!$A$1:$D$125,4,0)</f>
        <v>103725</v>
      </c>
      <c r="Y65" s="12" t="str">
        <f>+IF(Tabla44[[#This Row],[AGRUPACIONES]]=1,SUMIFS(Tabla44[UDS],Tabla44[ZONA DEFINITIVO],Tabla44[[#This Row],[ZONA DEFINITIVO]])," ")</f>
        <v xml:space="preserve"> </v>
      </c>
      <c r="Z65" s="12" t="str">
        <f>+IF(Tabla44[[#This Row],[AGRUPACIONES]]=1,SUMIFS(Tabla44[TOTAL COBERTURA],Tabla44[ZONA DEFINITIVO],Tabla44[[#This Row],[ZONA DEFINITIVO]])," ")</f>
        <v xml:space="preserve"> </v>
      </c>
      <c r="AA65" s="12"/>
      <c r="AB65" s="35">
        <v>33424710</v>
      </c>
      <c r="AC65" s="37">
        <v>0</v>
      </c>
      <c r="AD65" s="35">
        <f t="shared" si="1"/>
        <v>0</v>
      </c>
      <c r="AE65" s="12"/>
      <c r="AF65" s="12">
        <f>COUNTIF($A$20:A65,A65)</f>
        <v>36</v>
      </c>
      <c r="AG65" s="38">
        <v>33424710</v>
      </c>
      <c r="AH65" s="38">
        <f>Tabla44[[#This Row],[VALOR CONTRAPARTIDA]]+Tabla44[[#This Row],[TOTAL APORTES ICBF]]</f>
        <v>33424710</v>
      </c>
      <c r="AI65" s="35" t="str">
        <f>+IF(Tabla44[[#This Row],[AGRUPACIONES]]=1,SUMIFS(Tabla44[TOTAL APORTES ICBF],Tabla44[ZONA DEFINITIVO],Tabla44[[#This Row],[ZONA DEFINITIVO]])," ")</f>
        <v xml:space="preserve"> </v>
      </c>
      <c r="AJ65" s="38"/>
      <c r="AK65" s="38"/>
      <c r="AL65" s="35"/>
      <c r="AM65" s="35">
        <f>VLOOKUP(Tabla44[[#This Row],[SERVICIO 2025]],$J$2:$V$15,5,0)*Tabla44[[#This Row],[TOTAL COBERTURA]]</f>
        <v>1028368</v>
      </c>
      <c r="AN65" s="35">
        <f>VLOOKUP(Tabla44[[#This Row],[SERVICIO 2025]],$J$2:$V$15,6,0)*Tabla44[[#This Row],[TOTAL COBERTURA]]</f>
        <v>832502</v>
      </c>
      <c r="AO65" s="35">
        <f>VLOOKUP(Tabla44[[#This Row],[SERVICIO 2025]],$J$2:$V$15,8,0)*Tabla44[[#This Row],[TOTAL COBERTURA]]</f>
        <v>0</v>
      </c>
      <c r="AP65" s="35">
        <f>VLOOKUP(Tabla44[[#This Row],[SERVICIO 2025]],$J$2:$V$15,3,0)*Tabla44[[#This Row],[TOTAL COBERTURA]]*8</f>
        <v>31563840</v>
      </c>
      <c r="AQ65" s="35"/>
      <c r="AR65" s="35">
        <f>SUM(Tabla44[[#This Row],[VALOR FASE PREPARATORIA DE ALISTAMIENTO]:[VALOR RACION PREPARADA]])</f>
        <v>33424710</v>
      </c>
      <c r="AS65" s="35" t="str">
        <f>+IF(Tabla44[[#This Row],[AGRUPACIONES]]=1,SUMIFS(Tabla44[VALOR TOTAL],Tabla44[ZONA DEFINITIVO],Tabla44[[#This Row],[ZONA DEFINITIVO]])," ")</f>
        <v xml:space="preserve"> </v>
      </c>
      <c r="AT65" s="35">
        <f>VLOOKUP(Tabla44[[#This Row],[SERVICIO 2025]],$J$2:$V$15,10,0)*Tabla44[[#This Row],[TOTAL COBERTURA]]*$X$7</f>
        <v>33144496</v>
      </c>
      <c r="AU65" s="39">
        <f>Tabla44[[#This Row],[TOTAL CONTRATO (ICBF+EAS)]]+Tabla44[[#This Row],[VALOR COMPONENTE ALIMENTACION NO ASIGNADO]]</f>
        <v>66569206</v>
      </c>
      <c r="AV6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9116910</v>
      </c>
      <c r="AW65" s="35">
        <f>(VLOOKUP(Tabla44[[#This Row],[SERVICIO 2025]],$J$2:$V$15,3,0)*Tabla44[[#This Row],[TOTAL COBERTURA]])+VLOOKUP(Tabla44[[#This Row],[SERVICIO 2025]],$J$2:$V$15,10,0)*Tabla44[[#This Row],[TOTAL COBERTURA]]</f>
        <v>8088542</v>
      </c>
      <c r="AX65" s="35">
        <f>(VLOOKUP(Tabla44[[#This Row],[SERVICIO 2025]],$J$2:$V$15,3,0)*Tabla44[[#This Row],[TOTAL COBERTURA]])+VLOOKUP(Tabla44[[#This Row],[SERVICIO 2025]],$J$2:$V$15,10,0)*Tabla44[[#This Row],[TOTAL COBERTURA]]</f>
        <v>8088542</v>
      </c>
      <c r="AY65" s="35">
        <f>(VLOOKUP(Tabla44[[#This Row],[SERVICIO 2025]],$J$2:$V$15,3,0)*Tabla44[[#This Row],[TOTAL COBERTURA]])+VLOOKUP(Tabla44[[#This Row],[SERVICIO 2025]],$J$2:$V$15,10,0)*Tabla44[[#This Row],[TOTAL COBERTURA]]</f>
        <v>8088542</v>
      </c>
      <c r="AZ65" s="35">
        <f>(VLOOKUP(Tabla44[[#This Row],[SERVICIO 2025]],$J$2:$V$15,3,0)*Tabla44[[#This Row],[TOTAL COBERTURA]])+VLOOKUP(Tabla44[[#This Row],[SERVICIO 2025]],$J$2:$V$15,10,0)*Tabla44[[#This Row],[TOTAL COBERTURA]]</f>
        <v>8088542</v>
      </c>
      <c r="BA65" s="35">
        <f>(VLOOKUP(Tabla44[[#This Row],[SERVICIO 2025]],$J$2:$V$15,3,0)*Tabla44[[#This Row],[TOTAL COBERTURA]])+VLOOKUP(Tabla44[[#This Row],[SERVICIO 2025]],$J$2:$V$15,10,0)*Tabla44[[#This Row],[TOTAL COBERTURA]]</f>
        <v>8088542</v>
      </c>
      <c r="BB65" s="35">
        <f>(VLOOKUP(Tabla44[[#This Row],[SERVICIO 2025]],$J$2:$V$15,3,0)*Tabla44[[#This Row],[TOTAL COBERTURA]])+VLOOKUP(Tabla44[[#This Row],[SERVICIO 2025]],$J$2:$V$15,10,0)*Tabla44[[#This Row],[TOTAL COBERTURA]]</f>
        <v>8088542</v>
      </c>
      <c r="BC6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8921044</v>
      </c>
      <c r="BD65" s="35">
        <f>SUM(Tabla44[[#This Row],[DESEMBOLSO 1]:[DESEMBOLSO 8]])</f>
        <v>66569206</v>
      </c>
      <c r="BE65" s="12" t="b">
        <f>EXACT(Tabla44[[#This Row],[VALOR ATENCIÓN (8 MESES)]],Tabla44[[#This Row],[VALOR TOTAL]])</f>
        <v>1</v>
      </c>
      <c r="BF65" s="23">
        <f>Tabla44[[#This Row],[VALOR ATENCIÓN (8 MESES)]]-Tabla44[[#This Row],[VALOR TOTAL]]</f>
        <v>0</v>
      </c>
      <c r="BG65" s="12" t="b">
        <f>EXACT(Tabla44[[#This Row],[TOTAL DESEMBOLSOS]],Tabla44[[#This Row],[VALOR TOTAL DEL CONTRATO INCLUIDO EL COMPONENTE DE ALIMENTACIÓN]])</f>
        <v>1</v>
      </c>
      <c r="BH65" s="29">
        <f>Tabla44[[#This Row],[TOTAL DESEMBOLSOS]]-Tabla44[[#This Row],[VALOR TOTAL DEL CONTRATO INCLUIDO EL COMPONENTE DE ALIMENTACIÓN]]</f>
        <v>0</v>
      </c>
      <c r="BI65" t="s">
        <v>98</v>
      </c>
    </row>
    <row r="66" spans="1:61">
      <c r="A66" s="13">
        <v>1922</v>
      </c>
      <c r="B66" s="13"/>
      <c r="C66" s="12" t="s">
        <v>87</v>
      </c>
      <c r="D66" s="12" t="s">
        <v>205</v>
      </c>
      <c r="E66" s="12" t="s">
        <v>2942</v>
      </c>
      <c r="F66" s="12" t="s">
        <v>21</v>
      </c>
      <c r="G66" s="12" t="s">
        <v>90</v>
      </c>
      <c r="H66" s="12" t="s">
        <v>2945</v>
      </c>
      <c r="I66" s="36">
        <v>58561136977</v>
      </c>
      <c r="J66" s="12" t="s">
        <v>2946</v>
      </c>
      <c r="K66" s="12">
        <v>1</v>
      </c>
      <c r="L66" s="12">
        <v>10</v>
      </c>
      <c r="M66" s="12"/>
      <c r="N66" s="13">
        <v>1922</v>
      </c>
      <c r="O66" s="12" t="s">
        <v>2850</v>
      </c>
      <c r="P66" s="12"/>
      <c r="Q66" s="12"/>
      <c r="R66" s="12" t="s">
        <v>94</v>
      </c>
      <c r="S66" s="12">
        <v>10</v>
      </c>
      <c r="T66" s="12">
        <v>890901524</v>
      </c>
      <c r="U66" s="12" t="s">
        <v>2875</v>
      </c>
      <c r="V66" s="12">
        <f>VLOOKUP(Tabla44[[#This Row],[ZONA DEFINITIVO]],[1]Hoja1!$A$1:$D$125,3,0)</f>
        <v>229934</v>
      </c>
      <c r="W66" s="12">
        <f>VLOOKUP(Tabla44[[#This Row],[ZONA DEFINITIVO]],[1]Hoja1!$A$1:$D$125,2,0)</f>
        <v>17254</v>
      </c>
      <c r="X66" s="12">
        <f>VLOOKUP(Tabla44[[#This Row],[ZONA DEFINITIVO]],[1]Hoja1!$A$1:$D$125,4,0)</f>
        <v>103725</v>
      </c>
      <c r="Y66" s="12" t="str">
        <f>+IF(Tabla44[[#This Row],[AGRUPACIONES]]=1,SUMIFS(Tabla44[UDS],Tabla44[ZONA DEFINITIVO],Tabla44[[#This Row],[ZONA DEFINITIVO]])," ")</f>
        <v xml:space="preserve"> </v>
      </c>
      <c r="Z66" s="12" t="str">
        <f>+IF(Tabla44[[#This Row],[AGRUPACIONES]]=1,SUMIFS(Tabla44[TOTAL COBERTURA],Tabla44[ZONA DEFINITIVO],Tabla44[[#This Row],[ZONA DEFINITIVO]])," ")</f>
        <v xml:space="preserve"> </v>
      </c>
      <c r="AA66" s="12"/>
      <c r="AB66" s="35">
        <v>15193050</v>
      </c>
      <c r="AC66" s="37">
        <v>0</v>
      </c>
      <c r="AD66" s="35">
        <f t="shared" si="1"/>
        <v>0</v>
      </c>
      <c r="AE66" s="12"/>
      <c r="AF66" s="12">
        <f>COUNTIF($A$20:A66,A66)</f>
        <v>37</v>
      </c>
      <c r="AG66" s="38">
        <v>15193050</v>
      </c>
      <c r="AH66" s="38">
        <f>Tabla44[[#This Row],[VALOR CONTRAPARTIDA]]+Tabla44[[#This Row],[TOTAL APORTES ICBF]]</f>
        <v>15193050</v>
      </c>
      <c r="AI66" s="35" t="str">
        <f>+IF(Tabla44[[#This Row],[AGRUPACIONES]]=1,SUMIFS(Tabla44[TOTAL APORTES ICBF],Tabla44[ZONA DEFINITIVO],Tabla44[[#This Row],[ZONA DEFINITIVO]])," ")</f>
        <v xml:space="preserve"> </v>
      </c>
      <c r="AJ66" s="38"/>
      <c r="AK66" s="38"/>
      <c r="AL66" s="35"/>
      <c r="AM66" s="35">
        <f>VLOOKUP(Tabla44[[#This Row],[SERVICIO 2025]],$J$2:$V$15,5,0)*Tabla44[[#This Row],[TOTAL COBERTURA]]</f>
        <v>467440</v>
      </c>
      <c r="AN66" s="35">
        <f>VLOOKUP(Tabla44[[#This Row],[SERVICIO 2025]],$J$2:$V$15,6,0)*Tabla44[[#This Row],[TOTAL COBERTURA]]</f>
        <v>378410</v>
      </c>
      <c r="AO66" s="35">
        <f>VLOOKUP(Tabla44[[#This Row],[SERVICIO 2025]],$J$2:$V$15,8,0)*Tabla44[[#This Row],[TOTAL COBERTURA]]</f>
        <v>0</v>
      </c>
      <c r="AP66" s="35">
        <f>VLOOKUP(Tabla44[[#This Row],[SERVICIO 2025]],$J$2:$V$15,3,0)*Tabla44[[#This Row],[TOTAL COBERTURA]]*8</f>
        <v>14347200</v>
      </c>
      <c r="AQ66" s="35"/>
      <c r="AR66" s="35">
        <f>SUM(Tabla44[[#This Row],[VALOR FASE PREPARATORIA DE ALISTAMIENTO]:[VALOR RACION PREPARADA]])</f>
        <v>15193050</v>
      </c>
      <c r="AS66" s="35" t="str">
        <f>+IF(Tabla44[[#This Row],[AGRUPACIONES]]=1,SUMIFS(Tabla44[VALOR TOTAL],Tabla44[ZONA DEFINITIVO],Tabla44[[#This Row],[ZONA DEFINITIVO]])," ")</f>
        <v xml:space="preserve"> </v>
      </c>
      <c r="AT66" s="35">
        <f>VLOOKUP(Tabla44[[#This Row],[SERVICIO 2025]],$J$2:$V$15,10,0)*Tabla44[[#This Row],[TOTAL COBERTURA]]*$X$7</f>
        <v>15065680</v>
      </c>
      <c r="AU66" s="39">
        <f>Tabla44[[#This Row],[TOTAL CONTRATO (ICBF+EAS)]]+Tabla44[[#This Row],[VALOR COMPONENTE ALIMENTACION NO ASIGNADO]]</f>
        <v>30258730</v>
      </c>
      <c r="AV6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4144050</v>
      </c>
      <c r="AW66" s="35">
        <f>(VLOOKUP(Tabla44[[#This Row],[SERVICIO 2025]],$J$2:$V$15,3,0)*Tabla44[[#This Row],[TOTAL COBERTURA]])+VLOOKUP(Tabla44[[#This Row],[SERVICIO 2025]],$J$2:$V$15,10,0)*Tabla44[[#This Row],[TOTAL COBERTURA]]</f>
        <v>3676610</v>
      </c>
      <c r="AX66" s="35">
        <f>(VLOOKUP(Tabla44[[#This Row],[SERVICIO 2025]],$J$2:$V$15,3,0)*Tabla44[[#This Row],[TOTAL COBERTURA]])+VLOOKUP(Tabla44[[#This Row],[SERVICIO 2025]],$J$2:$V$15,10,0)*Tabla44[[#This Row],[TOTAL COBERTURA]]</f>
        <v>3676610</v>
      </c>
      <c r="AY66" s="35">
        <f>(VLOOKUP(Tabla44[[#This Row],[SERVICIO 2025]],$J$2:$V$15,3,0)*Tabla44[[#This Row],[TOTAL COBERTURA]])+VLOOKUP(Tabla44[[#This Row],[SERVICIO 2025]],$J$2:$V$15,10,0)*Tabla44[[#This Row],[TOTAL COBERTURA]]</f>
        <v>3676610</v>
      </c>
      <c r="AZ66" s="35">
        <f>(VLOOKUP(Tabla44[[#This Row],[SERVICIO 2025]],$J$2:$V$15,3,0)*Tabla44[[#This Row],[TOTAL COBERTURA]])+VLOOKUP(Tabla44[[#This Row],[SERVICIO 2025]],$J$2:$V$15,10,0)*Tabla44[[#This Row],[TOTAL COBERTURA]]</f>
        <v>3676610</v>
      </c>
      <c r="BA66" s="35">
        <f>(VLOOKUP(Tabla44[[#This Row],[SERVICIO 2025]],$J$2:$V$15,3,0)*Tabla44[[#This Row],[TOTAL COBERTURA]])+VLOOKUP(Tabla44[[#This Row],[SERVICIO 2025]],$J$2:$V$15,10,0)*Tabla44[[#This Row],[TOTAL COBERTURA]]</f>
        <v>3676610</v>
      </c>
      <c r="BB66" s="35">
        <f>(VLOOKUP(Tabla44[[#This Row],[SERVICIO 2025]],$J$2:$V$15,3,0)*Tabla44[[#This Row],[TOTAL COBERTURA]])+VLOOKUP(Tabla44[[#This Row],[SERVICIO 2025]],$J$2:$V$15,10,0)*Tabla44[[#This Row],[TOTAL COBERTURA]]</f>
        <v>3676610</v>
      </c>
      <c r="BC6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4055020</v>
      </c>
      <c r="BD66" s="35">
        <f>SUM(Tabla44[[#This Row],[DESEMBOLSO 1]:[DESEMBOLSO 8]])</f>
        <v>30258730</v>
      </c>
      <c r="BE66" s="12" t="b">
        <f>EXACT(Tabla44[[#This Row],[VALOR ATENCIÓN (8 MESES)]],Tabla44[[#This Row],[VALOR TOTAL]])</f>
        <v>1</v>
      </c>
      <c r="BF66" s="23">
        <f>Tabla44[[#This Row],[VALOR ATENCIÓN (8 MESES)]]-Tabla44[[#This Row],[VALOR TOTAL]]</f>
        <v>0</v>
      </c>
      <c r="BG66" s="12" t="b">
        <f>EXACT(Tabla44[[#This Row],[TOTAL DESEMBOLSOS]],Tabla44[[#This Row],[VALOR TOTAL DEL CONTRATO INCLUIDO EL COMPONENTE DE ALIMENTACIÓN]])</f>
        <v>1</v>
      </c>
      <c r="BH66" s="29">
        <f>Tabla44[[#This Row],[TOTAL DESEMBOLSOS]]-Tabla44[[#This Row],[VALOR TOTAL DEL CONTRATO INCLUIDO EL COMPONENTE DE ALIMENTACIÓN]]</f>
        <v>0</v>
      </c>
      <c r="BI66" t="s">
        <v>98</v>
      </c>
    </row>
    <row r="67" spans="1:61">
      <c r="A67" s="13">
        <v>1922</v>
      </c>
      <c r="B67" s="13"/>
      <c r="C67" s="12" t="s">
        <v>87</v>
      </c>
      <c r="D67" s="12" t="s">
        <v>205</v>
      </c>
      <c r="E67" s="12" t="s">
        <v>2942</v>
      </c>
      <c r="F67" s="12" t="s">
        <v>21</v>
      </c>
      <c r="G67" s="12" t="s">
        <v>90</v>
      </c>
      <c r="H67" s="12" t="s">
        <v>1357</v>
      </c>
      <c r="I67" s="36">
        <v>58561150320</v>
      </c>
      <c r="J67" s="12" t="s">
        <v>2947</v>
      </c>
      <c r="K67" s="12">
        <v>1</v>
      </c>
      <c r="L67" s="12">
        <v>30</v>
      </c>
      <c r="M67" s="12"/>
      <c r="N67" s="13">
        <v>1922</v>
      </c>
      <c r="O67" s="12" t="s">
        <v>2850</v>
      </c>
      <c r="P67" s="12"/>
      <c r="Q67" s="12"/>
      <c r="R67" s="12" t="s">
        <v>94</v>
      </c>
      <c r="S67" s="12">
        <v>10</v>
      </c>
      <c r="T67" s="12">
        <v>890901524</v>
      </c>
      <c r="U67" s="12" t="s">
        <v>2875</v>
      </c>
      <c r="V67" s="12">
        <f>VLOOKUP(Tabla44[[#This Row],[ZONA DEFINITIVO]],[1]Hoja1!$A$1:$D$125,3,0)</f>
        <v>229934</v>
      </c>
      <c r="W67" s="12">
        <f>VLOOKUP(Tabla44[[#This Row],[ZONA DEFINITIVO]],[1]Hoja1!$A$1:$D$125,2,0)</f>
        <v>17254</v>
      </c>
      <c r="X67" s="12">
        <f>VLOOKUP(Tabla44[[#This Row],[ZONA DEFINITIVO]],[1]Hoja1!$A$1:$D$125,4,0)</f>
        <v>103725</v>
      </c>
      <c r="Y67" s="12" t="str">
        <f>+IF(Tabla44[[#This Row],[AGRUPACIONES]]=1,SUMIFS(Tabla44[UDS],Tabla44[ZONA DEFINITIVO],Tabla44[[#This Row],[ZONA DEFINITIVO]])," ")</f>
        <v xml:space="preserve"> </v>
      </c>
      <c r="Z67" s="12" t="str">
        <f>+IF(Tabla44[[#This Row],[AGRUPACIONES]]=1,SUMIFS(Tabla44[TOTAL COBERTURA],Tabla44[ZONA DEFINITIVO],Tabla44[[#This Row],[ZONA DEFINITIVO]])," ")</f>
        <v xml:space="preserve"> </v>
      </c>
      <c r="AA67" s="12"/>
      <c r="AB67" s="35">
        <v>45579150</v>
      </c>
      <c r="AC67" s="37">
        <v>0</v>
      </c>
      <c r="AD67" s="35">
        <f t="shared" si="1"/>
        <v>0</v>
      </c>
      <c r="AE67" s="12"/>
      <c r="AF67" s="12">
        <f>COUNTIF($A$20:A67,A67)</f>
        <v>38</v>
      </c>
      <c r="AG67" s="38">
        <v>45579150</v>
      </c>
      <c r="AH67" s="38">
        <f>Tabla44[[#This Row],[VALOR CONTRAPARTIDA]]+Tabla44[[#This Row],[TOTAL APORTES ICBF]]</f>
        <v>45579150</v>
      </c>
      <c r="AI67" s="35" t="str">
        <f>+IF(Tabla44[[#This Row],[AGRUPACIONES]]=1,SUMIFS(Tabla44[TOTAL APORTES ICBF],Tabla44[ZONA DEFINITIVO],Tabla44[[#This Row],[ZONA DEFINITIVO]])," ")</f>
        <v xml:space="preserve"> </v>
      </c>
      <c r="AJ67" s="38"/>
      <c r="AK67" s="38"/>
      <c r="AL67" s="35"/>
      <c r="AM67" s="35">
        <f>VLOOKUP(Tabla44[[#This Row],[SERVICIO 2025]],$J$2:$V$15,5,0)*Tabla44[[#This Row],[TOTAL COBERTURA]]</f>
        <v>1402320</v>
      </c>
      <c r="AN67" s="35">
        <f>VLOOKUP(Tabla44[[#This Row],[SERVICIO 2025]],$J$2:$V$15,6,0)*Tabla44[[#This Row],[TOTAL COBERTURA]]</f>
        <v>1135230</v>
      </c>
      <c r="AO67" s="35">
        <f>VLOOKUP(Tabla44[[#This Row],[SERVICIO 2025]],$J$2:$V$15,8,0)*Tabla44[[#This Row],[TOTAL COBERTURA]]</f>
        <v>0</v>
      </c>
      <c r="AP67" s="35">
        <f>VLOOKUP(Tabla44[[#This Row],[SERVICIO 2025]],$J$2:$V$15,3,0)*Tabla44[[#This Row],[TOTAL COBERTURA]]*8</f>
        <v>43041600</v>
      </c>
      <c r="AQ67" s="35"/>
      <c r="AR67" s="35">
        <f>SUM(Tabla44[[#This Row],[VALOR FASE PREPARATORIA DE ALISTAMIENTO]:[VALOR RACION PREPARADA]])</f>
        <v>45579150</v>
      </c>
      <c r="AS67" s="35" t="str">
        <f>+IF(Tabla44[[#This Row],[AGRUPACIONES]]=1,SUMIFS(Tabla44[VALOR TOTAL],Tabla44[ZONA DEFINITIVO],Tabla44[[#This Row],[ZONA DEFINITIVO]])," ")</f>
        <v xml:space="preserve"> </v>
      </c>
      <c r="AT67" s="35">
        <f>VLOOKUP(Tabla44[[#This Row],[SERVICIO 2025]],$J$2:$V$15,10,0)*Tabla44[[#This Row],[TOTAL COBERTURA]]*$X$7</f>
        <v>45197040</v>
      </c>
      <c r="AU67" s="39">
        <f>Tabla44[[#This Row],[TOTAL CONTRATO (ICBF+EAS)]]+Tabla44[[#This Row],[VALOR COMPONENTE ALIMENTACION NO ASIGNADO]]</f>
        <v>90776190</v>
      </c>
      <c r="AV6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12432150</v>
      </c>
      <c r="AW67" s="35">
        <f>(VLOOKUP(Tabla44[[#This Row],[SERVICIO 2025]],$J$2:$V$15,3,0)*Tabla44[[#This Row],[TOTAL COBERTURA]])+VLOOKUP(Tabla44[[#This Row],[SERVICIO 2025]],$J$2:$V$15,10,0)*Tabla44[[#This Row],[TOTAL COBERTURA]]</f>
        <v>11029830</v>
      </c>
      <c r="AX67" s="35">
        <f>(VLOOKUP(Tabla44[[#This Row],[SERVICIO 2025]],$J$2:$V$15,3,0)*Tabla44[[#This Row],[TOTAL COBERTURA]])+VLOOKUP(Tabla44[[#This Row],[SERVICIO 2025]],$J$2:$V$15,10,0)*Tabla44[[#This Row],[TOTAL COBERTURA]]</f>
        <v>11029830</v>
      </c>
      <c r="AY67" s="35">
        <f>(VLOOKUP(Tabla44[[#This Row],[SERVICIO 2025]],$J$2:$V$15,3,0)*Tabla44[[#This Row],[TOTAL COBERTURA]])+VLOOKUP(Tabla44[[#This Row],[SERVICIO 2025]],$J$2:$V$15,10,0)*Tabla44[[#This Row],[TOTAL COBERTURA]]</f>
        <v>11029830</v>
      </c>
      <c r="AZ67" s="35">
        <f>(VLOOKUP(Tabla44[[#This Row],[SERVICIO 2025]],$J$2:$V$15,3,0)*Tabla44[[#This Row],[TOTAL COBERTURA]])+VLOOKUP(Tabla44[[#This Row],[SERVICIO 2025]],$J$2:$V$15,10,0)*Tabla44[[#This Row],[TOTAL COBERTURA]]</f>
        <v>11029830</v>
      </c>
      <c r="BA67" s="35">
        <f>(VLOOKUP(Tabla44[[#This Row],[SERVICIO 2025]],$J$2:$V$15,3,0)*Tabla44[[#This Row],[TOTAL COBERTURA]])+VLOOKUP(Tabla44[[#This Row],[SERVICIO 2025]],$J$2:$V$15,10,0)*Tabla44[[#This Row],[TOTAL COBERTURA]]</f>
        <v>11029830</v>
      </c>
      <c r="BB67" s="35">
        <f>(VLOOKUP(Tabla44[[#This Row],[SERVICIO 2025]],$J$2:$V$15,3,0)*Tabla44[[#This Row],[TOTAL COBERTURA]])+VLOOKUP(Tabla44[[#This Row],[SERVICIO 2025]],$J$2:$V$15,10,0)*Tabla44[[#This Row],[TOTAL COBERTURA]]</f>
        <v>11029830</v>
      </c>
      <c r="BC6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12165060</v>
      </c>
      <c r="BD67" s="35">
        <f>SUM(Tabla44[[#This Row],[DESEMBOLSO 1]:[DESEMBOLSO 8]])</f>
        <v>90776190</v>
      </c>
      <c r="BE67" s="12" t="b">
        <f>EXACT(Tabla44[[#This Row],[VALOR ATENCIÓN (8 MESES)]],Tabla44[[#This Row],[VALOR TOTAL]])</f>
        <v>1</v>
      </c>
      <c r="BF67" s="23">
        <f>Tabla44[[#This Row],[VALOR ATENCIÓN (8 MESES)]]-Tabla44[[#This Row],[VALOR TOTAL]]</f>
        <v>0</v>
      </c>
      <c r="BG67" s="12" t="b">
        <f>EXACT(Tabla44[[#This Row],[TOTAL DESEMBOLSOS]],Tabla44[[#This Row],[VALOR TOTAL DEL CONTRATO INCLUIDO EL COMPONENTE DE ALIMENTACIÓN]])</f>
        <v>1</v>
      </c>
      <c r="BH67" s="29">
        <f>Tabla44[[#This Row],[TOTAL DESEMBOLSOS]]-Tabla44[[#This Row],[VALOR TOTAL DEL CONTRATO INCLUIDO EL COMPONENTE DE ALIMENTACIÓN]]</f>
        <v>0</v>
      </c>
      <c r="BI67" t="s">
        <v>98</v>
      </c>
    </row>
    <row r="68" spans="1:61">
      <c r="A68" s="13">
        <v>1922</v>
      </c>
      <c r="B68" s="13"/>
      <c r="C68" s="12" t="s">
        <v>87</v>
      </c>
      <c r="D68" s="12" t="s">
        <v>205</v>
      </c>
      <c r="E68" s="12" t="s">
        <v>2942</v>
      </c>
      <c r="F68" s="12" t="s">
        <v>21</v>
      </c>
      <c r="G68" s="12" t="s">
        <v>90</v>
      </c>
      <c r="H68" s="12" t="s">
        <v>2948</v>
      </c>
      <c r="I68" s="36">
        <v>58561150321</v>
      </c>
      <c r="J68" s="12" t="s">
        <v>2949</v>
      </c>
      <c r="K68" s="12">
        <v>1</v>
      </c>
      <c r="L68" s="12">
        <v>20</v>
      </c>
      <c r="M68" s="12"/>
      <c r="N68" s="13">
        <v>1922</v>
      </c>
      <c r="O68" s="12" t="s">
        <v>2850</v>
      </c>
      <c r="P68" s="12"/>
      <c r="Q68" s="12"/>
      <c r="R68" s="12" t="s">
        <v>94</v>
      </c>
      <c r="S68" s="12">
        <v>10</v>
      </c>
      <c r="T68" s="12">
        <v>890901524</v>
      </c>
      <c r="U68" s="12" t="s">
        <v>2875</v>
      </c>
      <c r="V68" s="12">
        <f>VLOOKUP(Tabla44[[#This Row],[ZONA DEFINITIVO]],[1]Hoja1!$A$1:$D$125,3,0)</f>
        <v>229934</v>
      </c>
      <c r="W68" s="12">
        <f>VLOOKUP(Tabla44[[#This Row],[ZONA DEFINITIVO]],[1]Hoja1!$A$1:$D$125,2,0)</f>
        <v>17254</v>
      </c>
      <c r="X68" s="12">
        <f>VLOOKUP(Tabla44[[#This Row],[ZONA DEFINITIVO]],[1]Hoja1!$A$1:$D$125,4,0)</f>
        <v>103725</v>
      </c>
      <c r="Y68" s="12" t="str">
        <f>+IF(Tabla44[[#This Row],[AGRUPACIONES]]=1,SUMIFS(Tabla44[UDS],Tabla44[ZONA DEFINITIVO],Tabla44[[#This Row],[ZONA DEFINITIVO]])," ")</f>
        <v xml:space="preserve"> </v>
      </c>
      <c r="Z68" s="12" t="str">
        <f>+IF(Tabla44[[#This Row],[AGRUPACIONES]]=1,SUMIFS(Tabla44[TOTAL COBERTURA],Tabla44[ZONA DEFINITIVO],Tabla44[[#This Row],[ZONA DEFINITIVO]])," ")</f>
        <v xml:space="preserve"> </v>
      </c>
      <c r="AA68" s="12"/>
      <c r="AB68" s="35">
        <v>30386100</v>
      </c>
      <c r="AC68" s="37">
        <v>0</v>
      </c>
      <c r="AD68" s="35">
        <f t="shared" si="1"/>
        <v>0</v>
      </c>
      <c r="AE68" s="12"/>
      <c r="AF68" s="12">
        <f>COUNTIF($A$20:A68,A68)</f>
        <v>39</v>
      </c>
      <c r="AG68" s="38">
        <v>30386100</v>
      </c>
      <c r="AH68" s="38">
        <f>Tabla44[[#This Row],[VALOR CONTRAPARTIDA]]+Tabla44[[#This Row],[TOTAL APORTES ICBF]]</f>
        <v>30386100</v>
      </c>
      <c r="AI68" s="35" t="str">
        <f>+IF(Tabla44[[#This Row],[AGRUPACIONES]]=1,SUMIFS(Tabla44[TOTAL APORTES ICBF],Tabla44[ZONA DEFINITIVO],Tabla44[[#This Row],[ZONA DEFINITIVO]])," ")</f>
        <v xml:space="preserve"> </v>
      </c>
      <c r="AJ68" s="38"/>
      <c r="AK68" s="38"/>
      <c r="AL68" s="35"/>
      <c r="AM68" s="35">
        <f>VLOOKUP(Tabla44[[#This Row],[SERVICIO 2025]],$J$2:$V$15,5,0)*Tabla44[[#This Row],[TOTAL COBERTURA]]</f>
        <v>934880</v>
      </c>
      <c r="AN68" s="35">
        <f>VLOOKUP(Tabla44[[#This Row],[SERVICIO 2025]],$J$2:$V$15,6,0)*Tabla44[[#This Row],[TOTAL COBERTURA]]</f>
        <v>756820</v>
      </c>
      <c r="AO68" s="35">
        <f>VLOOKUP(Tabla44[[#This Row],[SERVICIO 2025]],$J$2:$V$15,8,0)*Tabla44[[#This Row],[TOTAL COBERTURA]]</f>
        <v>0</v>
      </c>
      <c r="AP68" s="35">
        <f>VLOOKUP(Tabla44[[#This Row],[SERVICIO 2025]],$J$2:$V$15,3,0)*Tabla44[[#This Row],[TOTAL COBERTURA]]*8</f>
        <v>28694400</v>
      </c>
      <c r="AQ68" s="35"/>
      <c r="AR68" s="35">
        <f>SUM(Tabla44[[#This Row],[VALOR FASE PREPARATORIA DE ALISTAMIENTO]:[VALOR RACION PREPARADA]])</f>
        <v>30386100</v>
      </c>
      <c r="AS68" s="35" t="str">
        <f>+IF(Tabla44[[#This Row],[AGRUPACIONES]]=1,SUMIFS(Tabla44[VALOR TOTAL],Tabla44[ZONA DEFINITIVO],Tabla44[[#This Row],[ZONA DEFINITIVO]])," ")</f>
        <v xml:space="preserve"> </v>
      </c>
      <c r="AT68" s="35">
        <f>VLOOKUP(Tabla44[[#This Row],[SERVICIO 2025]],$J$2:$V$15,10,0)*Tabla44[[#This Row],[TOTAL COBERTURA]]*$X$7</f>
        <v>30131360</v>
      </c>
      <c r="AU68" s="39">
        <f>Tabla44[[#This Row],[TOTAL CONTRATO (ICBF+EAS)]]+Tabla44[[#This Row],[VALOR COMPONENTE ALIMENTACION NO ASIGNADO]]</f>
        <v>60517460</v>
      </c>
      <c r="AV6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8288100</v>
      </c>
      <c r="AW68" s="35">
        <f>(VLOOKUP(Tabla44[[#This Row],[SERVICIO 2025]],$J$2:$V$15,3,0)*Tabla44[[#This Row],[TOTAL COBERTURA]])+VLOOKUP(Tabla44[[#This Row],[SERVICIO 2025]],$J$2:$V$15,10,0)*Tabla44[[#This Row],[TOTAL COBERTURA]]</f>
        <v>7353220</v>
      </c>
      <c r="AX68" s="35">
        <f>(VLOOKUP(Tabla44[[#This Row],[SERVICIO 2025]],$J$2:$V$15,3,0)*Tabla44[[#This Row],[TOTAL COBERTURA]])+VLOOKUP(Tabla44[[#This Row],[SERVICIO 2025]],$J$2:$V$15,10,0)*Tabla44[[#This Row],[TOTAL COBERTURA]]</f>
        <v>7353220</v>
      </c>
      <c r="AY68" s="35">
        <f>(VLOOKUP(Tabla44[[#This Row],[SERVICIO 2025]],$J$2:$V$15,3,0)*Tabla44[[#This Row],[TOTAL COBERTURA]])+VLOOKUP(Tabla44[[#This Row],[SERVICIO 2025]],$J$2:$V$15,10,0)*Tabla44[[#This Row],[TOTAL COBERTURA]]</f>
        <v>7353220</v>
      </c>
      <c r="AZ68" s="35">
        <f>(VLOOKUP(Tabla44[[#This Row],[SERVICIO 2025]],$J$2:$V$15,3,0)*Tabla44[[#This Row],[TOTAL COBERTURA]])+VLOOKUP(Tabla44[[#This Row],[SERVICIO 2025]],$J$2:$V$15,10,0)*Tabla44[[#This Row],[TOTAL COBERTURA]]</f>
        <v>7353220</v>
      </c>
      <c r="BA68" s="35">
        <f>(VLOOKUP(Tabla44[[#This Row],[SERVICIO 2025]],$J$2:$V$15,3,0)*Tabla44[[#This Row],[TOTAL COBERTURA]])+VLOOKUP(Tabla44[[#This Row],[SERVICIO 2025]],$J$2:$V$15,10,0)*Tabla44[[#This Row],[TOTAL COBERTURA]]</f>
        <v>7353220</v>
      </c>
      <c r="BB68" s="35">
        <f>(VLOOKUP(Tabla44[[#This Row],[SERVICIO 2025]],$J$2:$V$15,3,0)*Tabla44[[#This Row],[TOTAL COBERTURA]])+VLOOKUP(Tabla44[[#This Row],[SERVICIO 2025]],$J$2:$V$15,10,0)*Tabla44[[#This Row],[TOTAL COBERTURA]]</f>
        <v>7353220</v>
      </c>
      <c r="BC6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8110040</v>
      </c>
      <c r="BD68" s="35">
        <f>SUM(Tabla44[[#This Row],[DESEMBOLSO 1]:[DESEMBOLSO 8]])</f>
        <v>60517460</v>
      </c>
      <c r="BE68" s="12" t="b">
        <f>EXACT(Tabla44[[#This Row],[VALOR ATENCIÓN (8 MESES)]],Tabla44[[#This Row],[VALOR TOTAL]])</f>
        <v>1</v>
      </c>
      <c r="BF68" s="23">
        <f>Tabla44[[#This Row],[VALOR ATENCIÓN (8 MESES)]]-Tabla44[[#This Row],[VALOR TOTAL]]</f>
        <v>0</v>
      </c>
      <c r="BG68" s="12" t="b">
        <f>EXACT(Tabla44[[#This Row],[TOTAL DESEMBOLSOS]],Tabla44[[#This Row],[VALOR TOTAL DEL CONTRATO INCLUIDO EL COMPONENTE DE ALIMENTACIÓN]])</f>
        <v>1</v>
      </c>
      <c r="BH68" s="29">
        <f>Tabla44[[#This Row],[TOTAL DESEMBOLSOS]]-Tabla44[[#This Row],[VALOR TOTAL DEL CONTRATO INCLUIDO EL COMPONENTE DE ALIMENTACIÓN]]</f>
        <v>0</v>
      </c>
      <c r="BI68" t="s">
        <v>98</v>
      </c>
    </row>
    <row r="69" spans="1:61">
      <c r="A69" s="13">
        <v>1922</v>
      </c>
      <c r="B69" s="13"/>
      <c r="C69" s="12" t="s">
        <v>87</v>
      </c>
      <c r="D69" s="12" t="s">
        <v>205</v>
      </c>
      <c r="E69" s="12" t="s">
        <v>2942</v>
      </c>
      <c r="F69" s="12" t="s">
        <v>14</v>
      </c>
      <c r="G69" s="12" t="s">
        <v>90</v>
      </c>
      <c r="H69" s="12" t="s">
        <v>2950</v>
      </c>
      <c r="I69" s="36">
        <v>585600021836</v>
      </c>
      <c r="J69" s="12" t="s">
        <v>2951</v>
      </c>
      <c r="K69" s="12">
        <v>1</v>
      </c>
      <c r="L69" s="12">
        <v>77</v>
      </c>
      <c r="M69" s="12"/>
      <c r="N69" s="13">
        <v>1922</v>
      </c>
      <c r="O69" s="12" t="s">
        <v>2850</v>
      </c>
      <c r="P69" s="12"/>
      <c r="Q69" s="12"/>
      <c r="R69" s="12" t="s">
        <v>94</v>
      </c>
      <c r="S69" s="12">
        <v>10</v>
      </c>
      <c r="T69" s="12">
        <v>890901524</v>
      </c>
      <c r="U69" s="12" t="s">
        <v>2875</v>
      </c>
      <c r="V69" s="12">
        <f>VLOOKUP(Tabla44[[#This Row],[ZONA DEFINITIVO]],[1]Hoja1!$A$1:$D$125,3,0)</f>
        <v>229934</v>
      </c>
      <c r="W69" s="12">
        <f>VLOOKUP(Tabla44[[#This Row],[ZONA DEFINITIVO]],[1]Hoja1!$A$1:$D$125,2,0)</f>
        <v>17254</v>
      </c>
      <c r="X69" s="12">
        <f>VLOOKUP(Tabla44[[#This Row],[ZONA DEFINITIVO]],[1]Hoja1!$A$1:$D$125,4,0)</f>
        <v>103725</v>
      </c>
      <c r="Y69" s="12" t="str">
        <f>+IF(Tabla44[[#This Row],[AGRUPACIONES]]=1,SUMIFS(Tabla44[UDS],Tabla44[ZONA DEFINITIVO],Tabla44[[#This Row],[ZONA DEFINITIVO]])," ")</f>
        <v xml:space="preserve"> </v>
      </c>
      <c r="Z69" s="12" t="str">
        <f>+IF(Tabla44[[#This Row],[AGRUPACIONES]]=1,SUMIFS(Tabla44[TOTAL COBERTURA],Tabla44[ZONA DEFINITIVO],Tabla44[[#This Row],[ZONA DEFINITIVO]])," ")</f>
        <v xml:space="preserve"> </v>
      </c>
      <c r="AA69" s="12"/>
      <c r="AB69" s="35">
        <v>322541450</v>
      </c>
      <c r="AC69" s="37">
        <v>0</v>
      </c>
      <c r="AD69" s="35">
        <f t="shared" si="1"/>
        <v>0</v>
      </c>
      <c r="AE69" s="12"/>
      <c r="AF69" s="12">
        <f>COUNTIF($A$20:A69,A69)</f>
        <v>40</v>
      </c>
      <c r="AG69" s="38">
        <v>322541450</v>
      </c>
      <c r="AH69" s="38">
        <f>Tabla44[[#This Row],[VALOR CONTRAPARTIDA]]+Tabla44[[#This Row],[TOTAL APORTES ICBF]]</f>
        <v>322541450</v>
      </c>
      <c r="AI69" s="35" t="str">
        <f>+IF(Tabla44[[#This Row],[AGRUPACIONES]]=1,SUMIFS(Tabla44[TOTAL APORTES ICBF],Tabla44[ZONA DEFINITIVO],Tabla44[[#This Row],[ZONA DEFINITIVO]])," ")</f>
        <v xml:space="preserve"> </v>
      </c>
      <c r="AJ69" s="38"/>
      <c r="AK69" s="38"/>
      <c r="AL69" s="35"/>
      <c r="AM69" s="35">
        <f>VLOOKUP(Tabla44[[#This Row],[SERVICIO 2025]],$J$2:$V$15,5,0)*Tabla44[[#This Row],[TOTAL COBERTURA]]</f>
        <v>6787011</v>
      </c>
      <c r="AN69" s="35">
        <f>VLOOKUP(Tabla44[[#This Row],[SERVICIO 2025]],$J$2:$V$15,6,0)*Tabla44[[#This Row],[TOTAL COBERTURA]]</f>
        <v>5778311</v>
      </c>
      <c r="AO69" s="35">
        <f>VLOOKUP(Tabla44[[#This Row],[SERVICIO 2025]],$J$2:$V$15,8,0)*Tabla44[[#This Row],[TOTAL COBERTURA]]</f>
        <v>0</v>
      </c>
      <c r="AP69" s="35">
        <f>VLOOKUP(Tabla44[[#This Row],[SERVICIO 2025]],$J$2:$V$15,3,0)*Tabla44[[#This Row],[TOTAL COBERTURA]]*8</f>
        <v>309976128</v>
      </c>
      <c r="AQ69" s="35"/>
      <c r="AR69" s="35">
        <f>SUM(Tabla44[[#This Row],[VALOR FASE PREPARATORIA DE ALISTAMIENTO]:[VALOR RACION PREPARADA]])</f>
        <v>322541450</v>
      </c>
      <c r="AS69" s="35" t="str">
        <f>+IF(Tabla44[[#This Row],[AGRUPACIONES]]=1,SUMIFS(Tabla44[VALOR TOTAL],Tabla44[ZONA DEFINITIVO],Tabla44[[#This Row],[ZONA DEFINITIVO]])," ")</f>
        <v xml:space="preserve"> </v>
      </c>
      <c r="AT69" s="35">
        <f>VLOOKUP(Tabla44[[#This Row],[SERVICIO 2025]],$J$2:$V$15,10,0)*Tabla44[[#This Row],[TOTAL COBERTURA]]*$X$7</f>
        <v>0</v>
      </c>
      <c r="AU69" s="39">
        <f>Tabla44[[#This Row],[TOTAL CONTRATO (ICBF+EAS)]]+Tabla44[[#This Row],[VALOR COMPONENTE ALIMENTACION NO ASIGNADO]]</f>
        <v>322541450</v>
      </c>
      <c r="AV6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45534027</v>
      </c>
      <c r="AW69" s="35">
        <f>(VLOOKUP(Tabla44[[#This Row],[SERVICIO 2025]],$J$2:$V$15,3,0)*Tabla44[[#This Row],[TOTAL COBERTURA]])+VLOOKUP(Tabla44[[#This Row],[SERVICIO 2025]],$J$2:$V$15,10,0)*Tabla44[[#This Row],[TOTAL COBERTURA]]</f>
        <v>38747016</v>
      </c>
      <c r="AX69" s="35">
        <f>(VLOOKUP(Tabla44[[#This Row],[SERVICIO 2025]],$J$2:$V$15,3,0)*Tabla44[[#This Row],[TOTAL COBERTURA]])+VLOOKUP(Tabla44[[#This Row],[SERVICIO 2025]],$J$2:$V$15,10,0)*Tabla44[[#This Row],[TOTAL COBERTURA]]</f>
        <v>38747016</v>
      </c>
      <c r="AY69" s="35">
        <f>(VLOOKUP(Tabla44[[#This Row],[SERVICIO 2025]],$J$2:$V$15,3,0)*Tabla44[[#This Row],[TOTAL COBERTURA]])+VLOOKUP(Tabla44[[#This Row],[SERVICIO 2025]],$J$2:$V$15,10,0)*Tabla44[[#This Row],[TOTAL COBERTURA]]</f>
        <v>38747016</v>
      </c>
      <c r="AZ69" s="35">
        <f>(VLOOKUP(Tabla44[[#This Row],[SERVICIO 2025]],$J$2:$V$15,3,0)*Tabla44[[#This Row],[TOTAL COBERTURA]])+VLOOKUP(Tabla44[[#This Row],[SERVICIO 2025]],$J$2:$V$15,10,0)*Tabla44[[#This Row],[TOTAL COBERTURA]]</f>
        <v>38747016</v>
      </c>
      <c r="BA69" s="35">
        <f>(VLOOKUP(Tabla44[[#This Row],[SERVICIO 2025]],$J$2:$V$15,3,0)*Tabla44[[#This Row],[TOTAL COBERTURA]])+VLOOKUP(Tabla44[[#This Row],[SERVICIO 2025]],$J$2:$V$15,10,0)*Tabla44[[#This Row],[TOTAL COBERTURA]]</f>
        <v>38747016</v>
      </c>
      <c r="BB69" s="35">
        <f>(VLOOKUP(Tabla44[[#This Row],[SERVICIO 2025]],$J$2:$V$15,3,0)*Tabla44[[#This Row],[TOTAL COBERTURA]])+VLOOKUP(Tabla44[[#This Row],[SERVICIO 2025]],$J$2:$V$15,10,0)*Tabla44[[#This Row],[TOTAL COBERTURA]]</f>
        <v>38747016</v>
      </c>
      <c r="BC6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44525327</v>
      </c>
      <c r="BD69" s="35">
        <f>SUM(Tabla44[[#This Row],[DESEMBOLSO 1]:[DESEMBOLSO 8]])</f>
        <v>322541450</v>
      </c>
      <c r="BE69" s="12" t="b">
        <f>EXACT(Tabla44[[#This Row],[VALOR ATENCIÓN (8 MESES)]],Tabla44[[#This Row],[VALOR TOTAL]])</f>
        <v>1</v>
      </c>
      <c r="BF69" s="23">
        <f>Tabla44[[#This Row],[VALOR ATENCIÓN (8 MESES)]]-Tabla44[[#This Row],[VALOR TOTAL]]</f>
        <v>0</v>
      </c>
      <c r="BG69" s="12" t="b">
        <f>EXACT(Tabla44[[#This Row],[TOTAL DESEMBOLSOS]],Tabla44[[#This Row],[VALOR TOTAL DEL CONTRATO INCLUIDO EL COMPONENTE DE ALIMENTACIÓN]])</f>
        <v>1</v>
      </c>
      <c r="BH69" s="29">
        <f>Tabla44[[#This Row],[TOTAL DESEMBOLSOS]]-Tabla44[[#This Row],[VALOR TOTAL DEL CONTRATO INCLUIDO EL COMPONENTE DE ALIMENTACIÓN]]</f>
        <v>0</v>
      </c>
      <c r="BI69" t="s">
        <v>98</v>
      </c>
    </row>
    <row r="70" spans="1:61">
      <c r="A70" s="13">
        <v>1922</v>
      </c>
      <c r="B70" s="13"/>
      <c r="C70" s="12" t="s">
        <v>87</v>
      </c>
      <c r="D70" s="12" t="s">
        <v>205</v>
      </c>
      <c r="E70" s="12" t="s">
        <v>2942</v>
      </c>
      <c r="F70" s="12" t="s">
        <v>21</v>
      </c>
      <c r="G70" s="12" t="s">
        <v>90</v>
      </c>
      <c r="H70" s="12" t="s">
        <v>2952</v>
      </c>
      <c r="I70" s="36">
        <v>585600021911</v>
      </c>
      <c r="J70" s="12" t="s">
        <v>2953</v>
      </c>
      <c r="K70" s="12">
        <v>1</v>
      </c>
      <c r="L70" s="12">
        <v>18</v>
      </c>
      <c r="M70" s="12"/>
      <c r="N70" s="13">
        <v>1922</v>
      </c>
      <c r="O70" s="12" t="s">
        <v>2850</v>
      </c>
      <c r="P70" s="12"/>
      <c r="Q70" s="12"/>
      <c r="R70" s="12" t="s">
        <v>94</v>
      </c>
      <c r="S70" s="12">
        <v>10</v>
      </c>
      <c r="T70" s="12">
        <v>890901524</v>
      </c>
      <c r="U70" s="12" t="s">
        <v>2875</v>
      </c>
      <c r="V70" s="12">
        <f>VLOOKUP(Tabla44[[#This Row],[ZONA DEFINITIVO]],[1]Hoja1!$A$1:$D$125,3,0)</f>
        <v>229934</v>
      </c>
      <c r="W70" s="12">
        <f>VLOOKUP(Tabla44[[#This Row],[ZONA DEFINITIVO]],[1]Hoja1!$A$1:$D$125,2,0)</f>
        <v>17254</v>
      </c>
      <c r="X70" s="12">
        <f>VLOOKUP(Tabla44[[#This Row],[ZONA DEFINITIVO]],[1]Hoja1!$A$1:$D$125,4,0)</f>
        <v>103725</v>
      </c>
      <c r="Y70" s="12" t="str">
        <f>+IF(Tabla44[[#This Row],[AGRUPACIONES]]=1,SUMIFS(Tabla44[UDS],Tabla44[ZONA DEFINITIVO],Tabla44[[#This Row],[ZONA DEFINITIVO]])," ")</f>
        <v xml:space="preserve"> </v>
      </c>
      <c r="Z70" s="12" t="str">
        <f>+IF(Tabla44[[#This Row],[AGRUPACIONES]]=1,SUMIFS(Tabla44[TOTAL COBERTURA],Tabla44[ZONA DEFINITIVO],Tabla44[[#This Row],[ZONA DEFINITIVO]])," ")</f>
        <v xml:space="preserve"> </v>
      </c>
      <c r="AA70" s="12"/>
      <c r="AB70" s="35">
        <v>27347490</v>
      </c>
      <c r="AC70" s="37">
        <v>0</v>
      </c>
      <c r="AD70" s="35">
        <f t="shared" si="1"/>
        <v>0</v>
      </c>
      <c r="AE70" s="12"/>
      <c r="AF70" s="12">
        <f>COUNTIF($A$20:A70,A70)</f>
        <v>41</v>
      </c>
      <c r="AG70" s="38">
        <v>27347490</v>
      </c>
      <c r="AH70" s="38">
        <f>Tabla44[[#This Row],[VALOR CONTRAPARTIDA]]+Tabla44[[#This Row],[TOTAL APORTES ICBF]]</f>
        <v>27347490</v>
      </c>
      <c r="AI70" s="35" t="str">
        <f>+IF(Tabla44[[#This Row],[AGRUPACIONES]]=1,SUMIFS(Tabla44[TOTAL APORTES ICBF],Tabla44[ZONA DEFINITIVO],Tabla44[[#This Row],[ZONA DEFINITIVO]])," ")</f>
        <v xml:space="preserve"> </v>
      </c>
      <c r="AJ70" s="38"/>
      <c r="AK70" s="38"/>
      <c r="AL70" s="35"/>
      <c r="AM70" s="35">
        <f>VLOOKUP(Tabla44[[#This Row],[SERVICIO 2025]],$J$2:$V$15,5,0)*Tabla44[[#This Row],[TOTAL COBERTURA]]</f>
        <v>841392</v>
      </c>
      <c r="AN70" s="35">
        <f>VLOOKUP(Tabla44[[#This Row],[SERVICIO 2025]],$J$2:$V$15,6,0)*Tabla44[[#This Row],[TOTAL COBERTURA]]</f>
        <v>681138</v>
      </c>
      <c r="AO70" s="35">
        <f>VLOOKUP(Tabla44[[#This Row],[SERVICIO 2025]],$J$2:$V$15,8,0)*Tabla44[[#This Row],[TOTAL COBERTURA]]</f>
        <v>0</v>
      </c>
      <c r="AP70" s="35">
        <f>VLOOKUP(Tabla44[[#This Row],[SERVICIO 2025]],$J$2:$V$15,3,0)*Tabla44[[#This Row],[TOTAL COBERTURA]]*8</f>
        <v>25824960</v>
      </c>
      <c r="AQ70" s="35"/>
      <c r="AR70" s="35">
        <f>SUM(Tabla44[[#This Row],[VALOR FASE PREPARATORIA DE ALISTAMIENTO]:[VALOR RACION PREPARADA]])</f>
        <v>27347490</v>
      </c>
      <c r="AS70" s="35" t="str">
        <f>+IF(Tabla44[[#This Row],[AGRUPACIONES]]=1,SUMIFS(Tabla44[VALOR TOTAL],Tabla44[ZONA DEFINITIVO],Tabla44[[#This Row],[ZONA DEFINITIVO]])," ")</f>
        <v xml:space="preserve"> </v>
      </c>
      <c r="AT70" s="35">
        <f>VLOOKUP(Tabla44[[#This Row],[SERVICIO 2025]],$J$2:$V$15,10,0)*Tabla44[[#This Row],[TOTAL COBERTURA]]*$X$7</f>
        <v>27118224</v>
      </c>
      <c r="AU70" s="39">
        <f>Tabla44[[#This Row],[TOTAL CONTRATO (ICBF+EAS)]]+Tabla44[[#This Row],[VALOR COMPONENTE ALIMENTACION NO ASIGNADO]]</f>
        <v>54465714</v>
      </c>
      <c r="AV7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7459290</v>
      </c>
      <c r="AW70" s="35">
        <f>(VLOOKUP(Tabla44[[#This Row],[SERVICIO 2025]],$J$2:$V$15,3,0)*Tabla44[[#This Row],[TOTAL COBERTURA]])+VLOOKUP(Tabla44[[#This Row],[SERVICIO 2025]],$J$2:$V$15,10,0)*Tabla44[[#This Row],[TOTAL COBERTURA]]</f>
        <v>6617898</v>
      </c>
      <c r="AX70" s="35">
        <f>(VLOOKUP(Tabla44[[#This Row],[SERVICIO 2025]],$J$2:$V$15,3,0)*Tabla44[[#This Row],[TOTAL COBERTURA]])+VLOOKUP(Tabla44[[#This Row],[SERVICIO 2025]],$J$2:$V$15,10,0)*Tabla44[[#This Row],[TOTAL COBERTURA]]</f>
        <v>6617898</v>
      </c>
      <c r="AY70" s="35">
        <f>(VLOOKUP(Tabla44[[#This Row],[SERVICIO 2025]],$J$2:$V$15,3,0)*Tabla44[[#This Row],[TOTAL COBERTURA]])+VLOOKUP(Tabla44[[#This Row],[SERVICIO 2025]],$J$2:$V$15,10,0)*Tabla44[[#This Row],[TOTAL COBERTURA]]</f>
        <v>6617898</v>
      </c>
      <c r="AZ70" s="35">
        <f>(VLOOKUP(Tabla44[[#This Row],[SERVICIO 2025]],$J$2:$V$15,3,0)*Tabla44[[#This Row],[TOTAL COBERTURA]])+VLOOKUP(Tabla44[[#This Row],[SERVICIO 2025]],$J$2:$V$15,10,0)*Tabla44[[#This Row],[TOTAL COBERTURA]]</f>
        <v>6617898</v>
      </c>
      <c r="BA70" s="35">
        <f>(VLOOKUP(Tabla44[[#This Row],[SERVICIO 2025]],$J$2:$V$15,3,0)*Tabla44[[#This Row],[TOTAL COBERTURA]])+VLOOKUP(Tabla44[[#This Row],[SERVICIO 2025]],$J$2:$V$15,10,0)*Tabla44[[#This Row],[TOTAL COBERTURA]]</f>
        <v>6617898</v>
      </c>
      <c r="BB70" s="35">
        <f>(VLOOKUP(Tabla44[[#This Row],[SERVICIO 2025]],$J$2:$V$15,3,0)*Tabla44[[#This Row],[TOTAL COBERTURA]])+VLOOKUP(Tabla44[[#This Row],[SERVICIO 2025]],$J$2:$V$15,10,0)*Tabla44[[#This Row],[TOTAL COBERTURA]]</f>
        <v>6617898</v>
      </c>
      <c r="BC7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7299036</v>
      </c>
      <c r="BD70" s="35">
        <f>SUM(Tabla44[[#This Row],[DESEMBOLSO 1]:[DESEMBOLSO 8]])</f>
        <v>54465714</v>
      </c>
      <c r="BE70" s="12" t="b">
        <f>EXACT(Tabla44[[#This Row],[VALOR ATENCIÓN (8 MESES)]],Tabla44[[#This Row],[VALOR TOTAL]])</f>
        <v>1</v>
      </c>
      <c r="BF70" s="23">
        <f>Tabla44[[#This Row],[VALOR ATENCIÓN (8 MESES)]]-Tabla44[[#This Row],[VALOR TOTAL]]</f>
        <v>0</v>
      </c>
      <c r="BG70" s="12" t="b">
        <f>EXACT(Tabla44[[#This Row],[TOTAL DESEMBOLSOS]],Tabla44[[#This Row],[VALOR TOTAL DEL CONTRATO INCLUIDO EL COMPONENTE DE ALIMENTACIÓN]])</f>
        <v>1</v>
      </c>
      <c r="BH70" s="29">
        <f>Tabla44[[#This Row],[TOTAL DESEMBOLSOS]]-Tabla44[[#This Row],[VALOR TOTAL DEL CONTRATO INCLUIDO EL COMPONENTE DE ALIMENTACIÓN]]</f>
        <v>0</v>
      </c>
      <c r="BI70" t="s">
        <v>98</v>
      </c>
    </row>
    <row r="71" spans="1:61">
      <c r="A71" s="13">
        <v>1924</v>
      </c>
      <c r="B71" s="21"/>
      <c r="C71" s="22" t="s">
        <v>87</v>
      </c>
      <c r="D71" s="22" t="s">
        <v>1534</v>
      </c>
      <c r="E71" s="22" t="s">
        <v>2954</v>
      </c>
      <c r="F71" s="22" t="s">
        <v>18</v>
      </c>
      <c r="G71" s="12" t="s">
        <v>90</v>
      </c>
      <c r="H71" s="22" t="s">
        <v>2955</v>
      </c>
      <c r="I71" s="36">
        <v>50441137089</v>
      </c>
      <c r="J71" s="22" t="s">
        <v>2956</v>
      </c>
      <c r="K71" s="12">
        <v>1</v>
      </c>
      <c r="L71" s="22">
        <v>11</v>
      </c>
      <c r="M71" s="22"/>
      <c r="N71" s="13">
        <v>1924</v>
      </c>
      <c r="O71" s="22" t="s">
        <v>2850</v>
      </c>
      <c r="P71" s="22"/>
      <c r="Q71" s="22"/>
      <c r="R71" s="12" t="s">
        <v>94</v>
      </c>
      <c r="S71" s="12">
        <v>10</v>
      </c>
      <c r="T71" s="12">
        <v>811021339</v>
      </c>
      <c r="U71" s="12" t="s">
        <v>2851</v>
      </c>
      <c r="V71" s="22">
        <f>VLOOKUP(Tabla44[[#This Row],[ZONA DEFINITIVO]],[1]Hoja1!$A$1:$D$125,3,0)</f>
        <v>229935</v>
      </c>
      <c r="W71" s="22">
        <f>VLOOKUP(Tabla44[[#This Row],[ZONA DEFINITIVO]],[1]Hoja1!$A$1:$D$125,2,0)</f>
        <v>17252</v>
      </c>
      <c r="X71" s="22">
        <f>VLOOKUP(Tabla44[[#This Row],[ZONA DEFINITIVO]],[1]Hoja1!$A$1:$D$125,4,0)</f>
        <v>104125</v>
      </c>
      <c r="Y71" s="22">
        <f>+IF(Tabla44[[#This Row],[AGRUPACIONES]]=1,SUMIFS(Tabla44[UDS],Tabla44[ZONA DEFINITIVO],Tabla44[[#This Row],[ZONA DEFINITIVO]])," ")</f>
        <v>66</v>
      </c>
      <c r="Z71" s="22">
        <f>+IF(Tabla44[[#This Row],[AGRUPACIONES]]=1,SUMIFS(Tabla44[TOTAL COBERTURA],Tabla44[ZONA DEFINITIVO],Tabla44[[#This Row],[ZONA DEFINITIVO]])," ")</f>
        <v>1092</v>
      </c>
      <c r="AA71" s="22"/>
      <c r="AB71" s="40">
        <v>23982123</v>
      </c>
      <c r="AC71" s="37">
        <v>0</v>
      </c>
      <c r="AD71" s="40">
        <f t="shared" si="1"/>
        <v>0</v>
      </c>
      <c r="AE71" s="22"/>
      <c r="AF71" s="12">
        <f>COUNTIF($A$20:A71,A71)</f>
        <v>1</v>
      </c>
      <c r="AG71" s="41">
        <v>23982123</v>
      </c>
      <c r="AH71" s="41">
        <f>Tabla44[[#This Row],[VALOR CONTRAPARTIDA]]+Tabla44[[#This Row],[TOTAL APORTES ICBF]]</f>
        <v>23982123</v>
      </c>
      <c r="AI71" s="40">
        <f>+IF(Tabla44[[#This Row],[AGRUPACIONES]]=1,SUMIFS(Tabla44[TOTAL APORTES ICBF],Tabla44[ZONA DEFINITIVO],Tabla44[[#This Row],[ZONA DEFINITIVO]])," ")</f>
        <v>2818674019</v>
      </c>
      <c r="AJ71" s="41">
        <f>ROUND(+IF(Tabla44[[#This Row],[AGRUPACIONES]]=1,SUMIFS(Tabla44[VALOR CONTRAPARTIDA],Tabla44[ZONA DEFINITIVO],Tabla44[[#This Row],[ZONA DEFINITIVO]])," "),0)</f>
        <v>0</v>
      </c>
      <c r="AK71" s="41">
        <f>Tabla44[[#This Row],[TOTAL APORTES ICBF AGRUPADO]]+Tabla44[[#This Row],[TOTAL CONTRAPARTIDA AGRUPADO]]</f>
        <v>2818674019</v>
      </c>
      <c r="AL71" s="40">
        <f>Tabla44[[#This Row],[TOTAL APORTES ICBF AGRUPADO]]/$AL$18</f>
        <v>1980.101172462241</v>
      </c>
      <c r="AM71" s="40">
        <f>VLOOKUP(Tabla44[[#This Row],[SERVICIO 2025]],$J$2:$V$15,5,0)*Tabla44[[#This Row],[TOTAL COBERTURA]]</f>
        <v>543136</v>
      </c>
      <c r="AN71" s="40">
        <f>VLOOKUP(Tabla44[[#This Row],[SERVICIO 2025]],$J$2:$V$15,6,0)*Tabla44[[#This Row],[TOTAL COBERTURA]]</f>
        <v>451319</v>
      </c>
      <c r="AO71" s="40">
        <f>VLOOKUP(Tabla44[[#This Row],[SERVICIO 2025]],$J$2:$V$15,8,0)*Tabla44[[#This Row],[TOTAL COBERTURA]]</f>
        <v>320100</v>
      </c>
      <c r="AP71" s="40">
        <f>VLOOKUP(Tabla44[[#This Row],[SERVICIO 2025]],$J$2:$V$15,3,0)*Tabla44[[#This Row],[TOTAL COBERTURA]]*8</f>
        <v>22667568</v>
      </c>
      <c r="AQ71" s="40"/>
      <c r="AR71" s="40">
        <f>SUM(Tabla44[[#This Row],[VALOR FASE PREPARATORIA DE ALISTAMIENTO]:[VALOR RACION PREPARADA]])</f>
        <v>23982123</v>
      </c>
      <c r="AS71" s="40">
        <f>+IF(Tabla44[[#This Row],[AGRUPACIONES]]=1,SUMIFS(Tabla44[VALOR TOTAL],Tabla44[ZONA DEFINITIVO],Tabla44[[#This Row],[ZONA DEFINITIVO]])," ")</f>
        <v>2818674019</v>
      </c>
      <c r="AT71" s="35">
        <f>VLOOKUP(Tabla44[[#This Row],[SERVICIO 2025]],$J$2:$V$15,10,0)*Tabla44[[#This Row],[TOTAL COBERTURA]]*$X$7</f>
        <v>15873704</v>
      </c>
      <c r="AU71" s="42">
        <f>Tabla44[[#This Row],[TOTAL CONTRATO (ICBF+EAS)]]+Tabla44[[#This Row],[VALOR COMPONENTE ALIMENTACION NO ASIGNADO]]</f>
        <v>39855827</v>
      </c>
      <c r="AV7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71" s="35">
        <f>(VLOOKUP(Tabla44[[#This Row],[SERVICIO 2025]],$J$2:$V$15,3,0)*Tabla44[[#This Row],[TOTAL COBERTURA]])+VLOOKUP(Tabla44[[#This Row],[SERVICIO 2025]],$J$2:$V$15,10,0)*Tabla44[[#This Row],[TOTAL COBERTURA]]</f>
        <v>4817659</v>
      </c>
      <c r="AX71" s="40">
        <f>(VLOOKUP(Tabla44[[#This Row],[SERVICIO 2025]],$J$2:$V$15,3,0)*Tabla44[[#This Row],[TOTAL COBERTURA]])+VLOOKUP(Tabla44[[#This Row],[SERVICIO 2025]],$J$2:$V$15,10,0)*Tabla44[[#This Row],[TOTAL COBERTURA]]</f>
        <v>4817659</v>
      </c>
      <c r="AY71" s="40">
        <f>(VLOOKUP(Tabla44[[#This Row],[SERVICIO 2025]],$J$2:$V$15,3,0)*Tabla44[[#This Row],[TOTAL COBERTURA]])+VLOOKUP(Tabla44[[#This Row],[SERVICIO 2025]],$J$2:$V$15,10,0)*Tabla44[[#This Row],[TOTAL COBERTURA]]</f>
        <v>4817659</v>
      </c>
      <c r="AZ71" s="40">
        <f>(VLOOKUP(Tabla44[[#This Row],[SERVICIO 2025]],$J$2:$V$15,3,0)*Tabla44[[#This Row],[TOTAL COBERTURA]])+VLOOKUP(Tabla44[[#This Row],[SERVICIO 2025]],$J$2:$V$15,10,0)*Tabla44[[#This Row],[TOTAL COBERTURA]]</f>
        <v>4817659</v>
      </c>
      <c r="BA71" s="40">
        <f>(VLOOKUP(Tabla44[[#This Row],[SERVICIO 2025]],$J$2:$V$15,3,0)*Tabla44[[#This Row],[TOTAL COBERTURA]])+VLOOKUP(Tabla44[[#This Row],[SERVICIO 2025]],$J$2:$V$15,10,0)*Tabla44[[#This Row],[TOTAL COBERTURA]]</f>
        <v>4817659</v>
      </c>
      <c r="BB71" s="40">
        <f>(VLOOKUP(Tabla44[[#This Row],[SERVICIO 2025]],$J$2:$V$15,3,0)*Tabla44[[#This Row],[TOTAL COBERTURA]])+VLOOKUP(Tabla44[[#This Row],[SERVICIO 2025]],$J$2:$V$15,10,0)*Tabla44[[#This Row],[TOTAL COBERTURA]]</f>
        <v>4817659</v>
      </c>
      <c r="BC71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71" s="40">
        <f>SUM(Tabla44[[#This Row],[DESEMBOLSO 1]:[DESEMBOLSO 8]])</f>
        <v>39855827</v>
      </c>
      <c r="BE71" s="22" t="b">
        <f>EXACT(Tabla44[[#This Row],[VALOR ATENCIÓN (8 MESES)]],Tabla44[[#This Row],[VALOR TOTAL]])</f>
        <v>1</v>
      </c>
      <c r="BF71" s="28">
        <f>Tabla44[[#This Row],[VALOR ATENCIÓN (8 MESES)]]-Tabla44[[#This Row],[VALOR TOTAL]]</f>
        <v>0</v>
      </c>
      <c r="BG71" s="22" t="b">
        <f>EXACT(Tabla44[[#This Row],[TOTAL DESEMBOLSOS]],Tabla44[[#This Row],[VALOR TOTAL DEL CONTRATO INCLUIDO EL COMPONENTE DE ALIMENTACIÓN]])</f>
        <v>1</v>
      </c>
      <c r="BH71" s="29">
        <f>Tabla44[[#This Row],[TOTAL DESEMBOLSOS]]-Tabla44[[#This Row],[VALOR TOTAL DEL CONTRATO INCLUIDO EL COMPONENTE DE ALIMENTACIÓN]]</f>
        <v>0</v>
      </c>
      <c r="BI71" t="s">
        <v>98</v>
      </c>
    </row>
    <row r="72" spans="1:61">
      <c r="A72" s="13">
        <v>1924</v>
      </c>
      <c r="B72" s="13"/>
      <c r="C72" s="12" t="s">
        <v>87</v>
      </c>
      <c r="D72" s="12" t="s">
        <v>1534</v>
      </c>
      <c r="E72" s="12" t="s">
        <v>2954</v>
      </c>
      <c r="F72" s="12" t="s">
        <v>18</v>
      </c>
      <c r="G72" s="12" t="s">
        <v>90</v>
      </c>
      <c r="H72" s="12" t="s">
        <v>2957</v>
      </c>
      <c r="I72" s="36">
        <v>50441137090</v>
      </c>
      <c r="J72" s="12" t="s">
        <v>2958</v>
      </c>
      <c r="K72" s="12">
        <v>1</v>
      </c>
      <c r="L72" s="12">
        <v>19</v>
      </c>
      <c r="M72" s="12"/>
      <c r="N72" s="13">
        <v>1924</v>
      </c>
      <c r="O72" s="12" t="s">
        <v>2850</v>
      </c>
      <c r="P72" s="12"/>
      <c r="Q72" s="12"/>
      <c r="R72" s="12" t="s">
        <v>94</v>
      </c>
      <c r="S72" s="12">
        <v>10</v>
      </c>
      <c r="T72" s="12">
        <v>811021339</v>
      </c>
      <c r="U72" s="12" t="s">
        <v>2851</v>
      </c>
      <c r="V72" s="12">
        <f>VLOOKUP(Tabla44[[#This Row],[ZONA DEFINITIVO]],[1]Hoja1!$A$1:$D$125,3,0)</f>
        <v>229935</v>
      </c>
      <c r="W72" s="12">
        <f>VLOOKUP(Tabla44[[#This Row],[ZONA DEFINITIVO]],[1]Hoja1!$A$1:$D$125,2,0)</f>
        <v>17252</v>
      </c>
      <c r="X72" s="12">
        <f>VLOOKUP(Tabla44[[#This Row],[ZONA DEFINITIVO]],[1]Hoja1!$A$1:$D$125,4,0)</f>
        <v>104125</v>
      </c>
      <c r="Y72" s="12" t="str">
        <f>+IF(Tabla44[[#This Row],[AGRUPACIONES]]=1,SUMIFS(Tabla44[UDS],Tabla44[ZONA DEFINITIVO],Tabla44[[#This Row],[ZONA DEFINITIVO]])," ")</f>
        <v xml:space="preserve"> </v>
      </c>
      <c r="Z72" s="12" t="str">
        <f>+IF(Tabla44[[#This Row],[AGRUPACIONES]]=1,SUMIFS(Tabla44[TOTAL COBERTURA],Tabla44[ZONA DEFINITIVO],Tabla44[[#This Row],[ZONA DEFINITIVO]])," ")</f>
        <v xml:space="preserve"> </v>
      </c>
      <c r="AA72" s="12"/>
      <c r="AB72" s="35">
        <v>41423667</v>
      </c>
      <c r="AC72" s="37">
        <v>0</v>
      </c>
      <c r="AD72" s="35">
        <f t="shared" si="1"/>
        <v>0</v>
      </c>
      <c r="AE72" s="12"/>
      <c r="AF72" s="12">
        <f>COUNTIF($A$20:A72,A72)</f>
        <v>2</v>
      </c>
      <c r="AG72" s="38">
        <v>41423667</v>
      </c>
      <c r="AH72" s="38">
        <f>Tabla44[[#This Row],[VALOR CONTRAPARTIDA]]+Tabla44[[#This Row],[TOTAL APORTES ICBF]]</f>
        <v>41423667</v>
      </c>
      <c r="AI72" s="35" t="str">
        <f>+IF(Tabla44[[#This Row],[AGRUPACIONES]]=1,SUMIFS(Tabla44[TOTAL APORTES ICBF],Tabla44[ZONA DEFINITIVO],Tabla44[[#This Row],[ZONA DEFINITIVO]])," ")</f>
        <v xml:space="preserve"> </v>
      </c>
      <c r="AJ72" s="38"/>
      <c r="AK72" s="38"/>
      <c r="AL72" s="35"/>
      <c r="AM72" s="35">
        <f>VLOOKUP(Tabla44[[#This Row],[SERVICIO 2025]],$J$2:$V$15,5,0)*Tabla44[[#This Row],[TOTAL COBERTURA]]</f>
        <v>938144</v>
      </c>
      <c r="AN72" s="35">
        <f>VLOOKUP(Tabla44[[#This Row],[SERVICIO 2025]],$J$2:$V$15,6,0)*Tabla44[[#This Row],[TOTAL COBERTURA]]</f>
        <v>779551</v>
      </c>
      <c r="AO72" s="35">
        <f>VLOOKUP(Tabla44[[#This Row],[SERVICIO 2025]],$J$2:$V$15,8,0)*Tabla44[[#This Row],[TOTAL COBERTURA]]</f>
        <v>552900</v>
      </c>
      <c r="AP72" s="35">
        <f>VLOOKUP(Tabla44[[#This Row],[SERVICIO 2025]],$J$2:$V$15,3,0)*Tabla44[[#This Row],[TOTAL COBERTURA]]*8</f>
        <v>39153072</v>
      </c>
      <c r="AQ72" s="35"/>
      <c r="AR72" s="35">
        <f>SUM(Tabla44[[#This Row],[VALOR FASE PREPARATORIA DE ALISTAMIENTO]:[VALOR RACION PREPARADA]])</f>
        <v>41423667</v>
      </c>
      <c r="AS72" s="35" t="str">
        <f>+IF(Tabla44[[#This Row],[AGRUPACIONES]]=1,SUMIFS(Tabla44[VALOR TOTAL],Tabla44[ZONA DEFINITIVO],Tabla44[[#This Row],[ZONA DEFINITIVO]])," ")</f>
        <v xml:space="preserve"> </v>
      </c>
      <c r="AT72" s="35">
        <f>VLOOKUP(Tabla44[[#This Row],[SERVICIO 2025]],$J$2:$V$15,10,0)*Tabla44[[#This Row],[TOTAL COBERTURA]]*$X$7</f>
        <v>27418216</v>
      </c>
      <c r="AU72" s="39">
        <f>Tabla44[[#This Row],[TOTAL CONTRATO (ICBF+EAS)]]+Tabla44[[#This Row],[VALOR COMPONENTE ALIMENTACION NO ASIGNADO]]</f>
        <v>68841883</v>
      </c>
      <c r="AV7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9812455</v>
      </c>
      <c r="AW72" s="35">
        <f>(VLOOKUP(Tabla44[[#This Row],[SERVICIO 2025]],$J$2:$V$15,3,0)*Tabla44[[#This Row],[TOTAL COBERTURA]])+VLOOKUP(Tabla44[[#This Row],[SERVICIO 2025]],$J$2:$V$15,10,0)*Tabla44[[#This Row],[TOTAL COBERTURA]]</f>
        <v>8321411</v>
      </c>
      <c r="AX72" s="35">
        <f>(VLOOKUP(Tabla44[[#This Row],[SERVICIO 2025]],$J$2:$V$15,3,0)*Tabla44[[#This Row],[TOTAL COBERTURA]])+VLOOKUP(Tabla44[[#This Row],[SERVICIO 2025]],$J$2:$V$15,10,0)*Tabla44[[#This Row],[TOTAL COBERTURA]]</f>
        <v>8321411</v>
      </c>
      <c r="AY72" s="35">
        <f>(VLOOKUP(Tabla44[[#This Row],[SERVICIO 2025]],$J$2:$V$15,3,0)*Tabla44[[#This Row],[TOTAL COBERTURA]])+VLOOKUP(Tabla44[[#This Row],[SERVICIO 2025]],$J$2:$V$15,10,0)*Tabla44[[#This Row],[TOTAL COBERTURA]]</f>
        <v>8321411</v>
      </c>
      <c r="AZ72" s="35">
        <f>(VLOOKUP(Tabla44[[#This Row],[SERVICIO 2025]],$J$2:$V$15,3,0)*Tabla44[[#This Row],[TOTAL COBERTURA]])+VLOOKUP(Tabla44[[#This Row],[SERVICIO 2025]],$J$2:$V$15,10,0)*Tabla44[[#This Row],[TOTAL COBERTURA]]</f>
        <v>8321411</v>
      </c>
      <c r="BA72" s="35">
        <f>(VLOOKUP(Tabla44[[#This Row],[SERVICIO 2025]],$J$2:$V$15,3,0)*Tabla44[[#This Row],[TOTAL COBERTURA]])+VLOOKUP(Tabla44[[#This Row],[SERVICIO 2025]],$J$2:$V$15,10,0)*Tabla44[[#This Row],[TOTAL COBERTURA]]</f>
        <v>8321411</v>
      </c>
      <c r="BB72" s="35">
        <f>(VLOOKUP(Tabla44[[#This Row],[SERVICIO 2025]],$J$2:$V$15,3,0)*Tabla44[[#This Row],[TOTAL COBERTURA]])+VLOOKUP(Tabla44[[#This Row],[SERVICIO 2025]],$J$2:$V$15,10,0)*Tabla44[[#This Row],[TOTAL COBERTURA]]</f>
        <v>8321411</v>
      </c>
      <c r="BC7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9100962</v>
      </c>
      <c r="BD72" s="35">
        <f>SUM(Tabla44[[#This Row],[DESEMBOLSO 1]:[DESEMBOLSO 8]])</f>
        <v>68841883</v>
      </c>
      <c r="BE72" s="12" t="b">
        <f>EXACT(Tabla44[[#This Row],[VALOR ATENCIÓN (8 MESES)]],Tabla44[[#This Row],[VALOR TOTAL]])</f>
        <v>1</v>
      </c>
      <c r="BF72" s="23">
        <f>Tabla44[[#This Row],[VALOR ATENCIÓN (8 MESES)]]-Tabla44[[#This Row],[VALOR TOTAL]]</f>
        <v>0</v>
      </c>
      <c r="BG72" s="12" t="b">
        <f>EXACT(Tabla44[[#This Row],[TOTAL DESEMBOLSOS]],Tabla44[[#This Row],[VALOR TOTAL DEL CONTRATO INCLUIDO EL COMPONENTE DE ALIMENTACIÓN]])</f>
        <v>1</v>
      </c>
      <c r="BH72" s="29">
        <f>Tabla44[[#This Row],[TOTAL DESEMBOLSOS]]-Tabla44[[#This Row],[VALOR TOTAL DEL CONTRATO INCLUIDO EL COMPONENTE DE ALIMENTACIÓN]]</f>
        <v>0</v>
      </c>
      <c r="BI72" t="s">
        <v>98</v>
      </c>
    </row>
    <row r="73" spans="1:61">
      <c r="A73" s="13">
        <v>1924</v>
      </c>
      <c r="B73" s="13"/>
      <c r="C73" s="12" t="s">
        <v>87</v>
      </c>
      <c r="D73" s="12" t="s">
        <v>1534</v>
      </c>
      <c r="E73" s="12" t="s">
        <v>2954</v>
      </c>
      <c r="F73" s="12" t="s">
        <v>18</v>
      </c>
      <c r="G73" s="12" t="s">
        <v>90</v>
      </c>
      <c r="H73" s="12" t="s">
        <v>2959</v>
      </c>
      <c r="I73" s="36">
        <v>50441144005</v>
      </c>
      <c r="J73" s="12" t="s">
        <v>2960</v>
      </c>
      <c r="K73" s="12">
        <v>1</v>
      </c>
      <c r="L73" s="12">
        <v>10</v>
      </c>
      <c r="M73" s="12"/>
      <c r="N73" s="13">
        <v>1924</v>
      </c>
      <c r="O73" s="12" t="s">
        <v>2850</v>
      </c>
      <c r="P73" s="12"/>
      <c r="Q73" s="12"/>
      <c r="R73" s="12" t="s">
        <v>94</v>
      </c>
      <c r="S73" s="12">
        <v>10</v>
      </c>
      <c r="T73" s="12">
        <v>811021339</v>
      </c>
      <c r="U73" s="12" t="s">
        <v>2851</v>
      </c>
      <c r="V73" s="12">
        <f>VLOOKUP(Tabla44[[#This Row],[ZONA DEFINITIVO]],[1]Hoja1!$A$1:$D$125,3,0)</f>
        <v>229935</v>
      </c>
      <c r="W73" s="12">
        <f>VLOOKUP(Tabla44[[#This Row],[ZONA DEFINITIVO]],[1]Hoja1!$A$1:$D$125,2,0)</f>
        <v>17252</v>
      </c>
      <c r="X73" s="12">
        <f>VLOOKUP(Tabla44[[#This Row],[ZONA DEFINITIVO]],[1]Hoja1!$A$1:$D$125,4,0)</f>
        <v>104125</v>
      </c>
      <c r="Y73" s="12" t="str">
        <f>+IF(Tabla44[[#This Row],[AGRUPACIONES]]=1,SUMIFS(Tabla44[UDS],Tabla44[ZONA DEFINITIVO],Tabla44[[#This Row],[ZONA DEFINITIVO]])," ")</f>
        <v xml:space="preserve"> </v>
      </c>
      <c r="Z73" s="12" t="str">
        <f>+IF(Tabla44[[#This Row],[AGRUPACIONES]]=1,SUMIFS(Tabla44[TOTAL COBERTURA],Tabla44[ZONA DEFINITIVO],Tabla44[[#This Row],[ZONA DEFINITIVO]])," ")</f>
        <v xml:space="preserve"> </v>
      </c>
      <c r="AA73" s="12"/>
      <c r="AB73" s="35">
        <v>21801930</v>
      </c>
      <c r="AC73" s="37">
        <v>0</v>
      </c>
      <c r="AD73" s="35">
        <f t="shared" si="1"/>
        <v>0</v>
      </c>
      <c r="AE73" s="12"/>
      <c r="AF73" s="12">
        <f>COUNTIF($A$20:A73,A73)</f>
        <v>3</v>
      </c>
      <c r="AG73" s="38">
        <v>21801930</v>
      </c>
      <c r="AH73" s="38">
        <f>Tabla44[[#This Row],[VALOR CONTRAPARTIDA]]+Tabla44[[#This Row],[TOTAL APORTES ICBF]]</f>
        <v>21801930</v>
      </c>
      <c r="AI73" s="35" t="str">
        <f>+IF(Tabla44[[#This Row],[AGRUPACIONES]]=1,SUMIFS(Tabla44[TOTAL APORTES ICBF],Tabla44[ZONA DEFINITIVO],Tabla44[[#This Row],[ZONA DEFINITIVO]])," ")</f>
        <v xml:space="preserve"> </v>
      </c>
      <c r="AJ73" s="38"/>
      <c r="AK73" s="38"/>
      <c r="AL73" s="35"/>
      <c r="AM73" s="35">
        <f>VLOOKUP(Tabla44[[#This Row],[SERVICIO 2025]],$J$2:$V$15,5,0)*Tabla44[[#This Row],[TOTAL COBERTURA]]</f>
        <v>493760</v>
      </c>
      <c r="AN73" s="35">
        <f>VLOOKUP(Tabla44[[#This Row],[SERVICIO 2025]],$J$2:$V$15,6,0)*Tabla44[[#This Row],[TOTAL COBERTURA]]</f>
        <v>410290</v>
      </c>
      <c r="AO73" s="35">
        <f>VLOOKUP(Tabla44[[#This Row],[SERVICIO 2025]],$J$2:$V$15,8,0)*Tabla44[[#This Row],[TOTAL COBERTURA]]</f>
        <v>291000</v>
      </c>
      <c r="AP73" s="35">
        <f>VLOOKUP(Tabla44[[#This Row],[SERVICIO 2025]],$J$2:$V$15,3,0)*Tabla44[[#This Row],[TOTAL COBERTURA]]*8</f>
        <v>20606880</v>
      </c>
      <c r="AQ73" s="35"/>
      <c r="AR73" s="35">
        <f>SUM(Tabla44[[#This Row],[VALOR FASE PREPARATORIA DE ALISTAMIENTO]:[VALOR RACION PREPARADA]])</f>
        <v>21801930</v>
      </c>
      <c r="AS73" s="35" t="str">
        <f>+IF(Tabla44[[#This Row],[AGRUPACIONES]]=1,SUMIFS(Tabla44[VALOR TOTAL],Tabla44[ZONA DEFINITIVO],Tabla44[[#This Row],[ZONA DEFINITIVO]])," ")</f>
        <v xml:space="preserve"> </v>
      </c>
      <c r="AT73" s="35">
        <f>VLOOKUP(Tabla44[[#This Row],[SERVICIO 2025]],$J$2:$V$15,10,0)*Tabla44[[#This Row],[TOTAL COBERTURA]]*$X$7</f>
        <v>14430640</v>
      </c>
      <c r="AU73" s="39">
        <f>Tabla44[[#This Row],[TOTAL CONTRATO (ICBF+EAS)]]+Tabla44[[#This Row],[VALOR COMPONENTE ALIMENTACION NO ASIGNADO]]</f>
        <v>36232570</v>
      </c>
      <c r="AV7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73" s="35">
        <f>(VLOOKUP(Tabla44[[#This Row],[SERVICIO 2025]],$J$2:$V$15,3,0)*Tabla44[[#This Row],[TOTAL COBERTURA]])+VLOOKUP(Tabla44[[#This Row],[SERVICIO 2025]],$J$2:$V$15,10,0)*Tabla44[[#This Row],[TOTAL COBERTURA]]</f>
        <v>4379690</v>
      </c>
      <c r="AX73" s="35">
        <f>(VLOOKUP(Tabla44[[#This Row],[SERVICIO 2025]],$J$2:$V$15,3,0)*Tabla44[[#This Row],[TOTAL COBERTURA]])+VLOOKUP(Tabla44[[#This Row],[SERVICIO 2025]],$J$2:$V$15,10,0)*Tabla44[[#This Row],[TOTAL COBERTURA]]</f>
        <v>4379690</v>
      </c>
      <c r="AY73" s="35">
        <f>(VLOOKUP(Tabla44[[#This Row],[SERVICIO 2025]],$J$2:$V$15,3,0)*Tabla44[[#This Row],[TOTAL COBERTURA]])+VLOOKUP(Tabla44[[#This Row],[SERVICIO 2025]],$J$2:$V$15,10,0)*Tabla44[[#This Row],[TOTAL COBERTURA]]</f>
        <v>4379690</v>
      </c>
      <c r="AZ73" s="35">
        <f>(VLOOKUP(Tabla44[[#This Row],[SERVICIO 2025]],$J$2:$V$15,3,0)*Tabla44[[#This Row],[TOTAL COBERTURA]])+VLOOKUP(Tabla44[[#This Row],[SERVICIO 2025]],$J$2:$V$15,10,0)*Tabla44[[#This Row],[TOTAL COBERTURA]]</f>
        <v>4379690</v>
      </c>
      <c r="BA73" s="35">
        <f>(VLOOKUP(Tabla44[[#This Row],[SERVICIO 2025]],$J$2:$V$15,3,0)*Tabla44[[#This Row],[TOTAL COBERTURA]])+VLOOKUP(Tabla44[[#This Row],[SERVICIO 2025]],$J$2:$V$15,10,0)*Tabla44[[#This Row],[TOTAL COBERTURA]]</f>
        <v>4379690</v>
      </c>
      <c r="BB73" s="35">
        <f>(VLOOKUP(Tabla44[[#This Row],[SERVICIO 2025]],$J$2:$V$15,3,0)*Tabla44[[#This Row],[TOTAL COBERTURA]])+VLOOKUP(Tabla44[[#This Row],[SERVICIO 2025]],$J$2:$V$15,10,0)*Tabla44[[#This Row],[TOTAL COBERTURA]]</f>
        <v>4379690</v>
      </c>
      <c r="BC7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73" s="35">
        <f>SUM(Tabla44[[#This Row],[DESEMBOLSO 1]:[DESEMBOLSO 8]])</f>
        <v>36232570</v>
      </c>
      <c r="BE73" s="12" t="b">
        <f>EXACT(Tabla44[[#This Row],[VALOR ATENCIÓN (8 MESES)]],Tabla44[[#This Row],[VALOR TOTAL]])</f>
        <v>1</v>
      </c>
      <c r="BF73" s="23">
        <f>Tabla44[[#This Row],[VALOR ATENCIÓN (8 MESES)]]-Tabla44[[#This Row],[VALOR TOTAL]]</f>
        <v>0</v>
      </c>
      <c r="BG73" s="12" t="b">
        <f>EXACT(Tabla44[[#This Row],[TOTAL DESEMBOLSOS]],Tabla44[[#This Row],[VALOR TOTAL DEL CONTRATO INCLUIDO EL COMPONENTE DE ALIMENTACIÓN]])</f>
        <v>1</v>
      </c>
      <c r="BH73" s="29">
        <f>Tabla44[[#This Row],[TOTAL DESEMBOLSOS]]-Tabla44[[#This Row],[VALOR TOTAL DEL CONTRATO INCLUIDO EL COMPONENTE DE ALIMENTACIÓN]]</f>
        <v>0</v>
      </c>
      <c r="BI73" t="s">
        <v>98</v>
      </c>
    </row>
    <row r="74" spans="1:61">
      <c r="A74" s="13">
        <v>1924</v>
      </c>
      <c r="B74" s="13"/>
      <c r="C74" s="12" t="s">
        <v>87</v>
      </c>
      <c r="D74" s="12" t="s">
        <v>1534</v>
      </c>
      <c r="E74" s="12" t="s">
        <v>2954</v>
      </c>
      <c r="F74" s="12" t="s">
        <v>18</v>
      </c>
      <c r="G74" s="12" t="s">
        <v>90</v>
      </c>
      <c r="H74" s="12" t="s">
        <v>2961</v>
      </c>
      <c r="I74" s="36">
        <v>50441144549</v>
      </c>
      <c r="J74" s="12" t="s">
        <v>2962</v>
      </c>
      <c r="K74" s="12">
        <v>1</v>
      </c>
      <c r="L74" s="12">
        <v>17</v>
      </c>
      <c r="M74" s="12"/>
      <c r="N74" s="13">
        <v>1924</v>
      </c>
      <c r="O74" s="12" t="s">
        <v>2850</v>
      </c>
      <c r="P74" s="12"/>
      <c r="Q74" s="12"/>
      <c r="R74" s="12" t="s">
        <v>94</v>
      </c>
      <c r="S74" s="12">
        <v>10</v>
      </c>
      <c r="T74" s="12">
        <v>811021339</v>
      </c>
      <c r="U74" s="12" t="s">
        <v>2851</v>
      </c>
      <c r="V74" s="12">
        <f>VLOOKUP(Tabla44[[#This Row],[ZONA DEFINITIVO]],[1]Hoja1!$A$1:$D$125,3,0)</f>
        <v>229935</v>
      </c>
      <c r="W74" s="12">
        <f>VLOOKUP(Tabla44[[#This Row],[ZONA DEFINITIVO]],[1]Hoja1!$A$1:$D$125,2,0)</f>
        <v>17252</v>
      </c>
      <c r="X74" s="12">
        <f>VLOOKUP(Tabla44[[#This Row],[ZONA DEFINITIVO]],[1]Hoja1!$A$1:$D$125,4,0)</f>
        <v>104125</v>
      </c>
      <c r="Y74" s="12" t="str">
        <f>+IF(Tabla44[[#This Row],[AGRUPACIONES]]=1,SUMIFS(Tabla44[UDS],Tabla44[ZONA DEFINITIVO],Tabla44[[#This Row],[ZONA DEFINITIVO]])," ")</f>
        <v xml:space="preserve"> </v>
      </c>
      <c r="Z74" s="12" t="str">
        <f>+IF(Tabla44[[#This Row],[AGRUPACIONES]]=1,SUMIFS(Tabla44[TOTAL COBERTURA],Tabla44[ZONA DEFINITIVO],Tabla44[[#This Row],[ZONA DEFINITIVO]])," ")</f>
        <v xml:space="preserve"> </v>
      </c>
      <c r="AA74" s="12"/>
      <c r="AB74" s="35">
        <v>37063281</v>
      </c>
      <c r="AC74" s="37">
        <v>0</v>
      </c>
      <c r="AD74" s="35">
        <f t="shared" si="1"/>
        <v>0</v>
      </c>
      <c r="AE74" s="12"/>
      <c r="AF74" s="12">
        <f>COUNTIF($A$20:A74,A74)</f>
        <v>4</v>
      </c>
      <c r="AG74" s="38">
        <v>37063281</v>
      </c>
      <c r="AH74" s="38">
        <f>Tabla44[[#This Row],[VALOR CONTRAPARTIDA]]+Tabla44[[#This Row],[TOTAL APORTES ICBF]]</f>
        <v>37063281</v>
      </c>
      <c r="AI74" s="35" t="str">
        <f>+IF(Tabla44[[#This Row],[AGRUPACIONES]]=1,SUMIFS(Tabla44[TOTAL APORTES ICBF],Tabla44[ZONA DEFINITIVO],Tabla44[[#This Row],[ZONA DEFINITIVO]])," ")</f>
        <v xml:space="preserve"> </v>
      </c>
      <c r="AJ74" s="38"/>
      <c r="AK74" s="38"/>
      <c r="AL74" s="35"/>
      <c r="AM74" s="35">
        <f>VLOOKUP(Tabla44[[#This Row],[SERVICIO 2025]],$J$2:$V$15,5,0)*Tabla44[[#This Row],[TOTAL COBERTURA]]</f>
        <v>839392</v>
      </c>
      <c r="AN74" s="35">
        <f>VLOOKUP(Tabla44[[#This Row],[SERVICIO 2025]],$J$2:$V$15,6,0)*Tabla44[[#This Row],[TOTAL COBERTURA]]</f>
        <v>697493</v>
      </c>
      <c r="AO74" s="35">
        <f>VLOOKUP(Tabla44[[#This Row],[SERVICIO 2025]],$J$2:$V$15,8,0)*Tabla44[[#This Row],[TOTAL COBERTURA]]</f>
        <v>494700</v>
      </c>
      <c r="AP74" s="35">
        <f>VLOOKUP(Tabla44[[#This Row],[SERVICIO 2025]],$J$2:$V$15,3,0)*Tabla44[[#This Row],[TOTAL COBERTURA]]*8</f>
        <v>35031696</v>
      </c>
      <c r="AQ74" s="35"/>
      <c r="AR74" s="35">
        <f>SUM(Tabla44[[#This Row],[VALOR FASE PREPARATORIA DE ALISTAMIENTO]:[VALOR RACION PREPARADA]])</f>
        <v>37063281</v>
      </c>
      <c r="AS74" s="35" t="str">
        <f>+IF(Tabla44[[#This Row],[AGRUPACIONES]]=1,SUMIFS(Tabla44[VALOR TOTAL],Tabla44[ZONA DEFINITIVO],Tabla44[[#This Row],[ZONA DEFINITIVO]])," ")</f>
        <v xml:space="preserve"> </v>
      </c>
      <c r="AT74" s="35">
        <f>VLOOKUP(Tabla44[[#This Row],[SERVICIO 2025]],$J$2:$V$15,10,0)*Tabla44[[#This Row],[TOTAL COBERTURA]]*$X$7</f>
        <v>24532088</v>
      </c>
      <c r="AU74" s="39">
        <f>Tabla44[[#This Row],[TOTAL CONTRATO (ICBF+EAS)]]+Tabla44[[#This Row],[VALOR COMPONENTE ALIMENTACION NO ASIGNADO]]</f>
        <v>61595369</v>
      </c>
      <c r="AV7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74" s="35">
        <f>(VLOOKUP(Tabla44[[#This Row],[SERVICIO 2025]],$J$2:$V$15,3,0)*Tabla44[[#This Row],[TOTAL COBERTURA]])+VLOOKUP(Tabla44[[#This Row],[SERVICIO 2025]],$J$2:$V$15,10,0)*Tabla44[[#This Row],[TOTAL COBERTURA]]</f>
        <v>7445473</v>
      </c>
      <c r="AX74" s="35">
        <f>(VLOOKUP(Tabla44[[#This Row],[SERVICIO 2025]],$J$2:$V$15,3,0)*Tabla44[[#This Row],[TOTAL COBERTURA]])+VLOOKUP(Tabla44[[#This Row],[SERVICIO 2025]],$J$2:$V$15,10,0)*Tabla44[[#This Row],[TOTAL COBERTURA]]</f>
        <v>7445473</v>
      </c>
      <c r="AY74" s="35">
        <f>(VLOOKUP(Tabla44[[#This Row],[SERVICIO 2025]],$J$2:$V$15,3,0)*Tabla44[[#This Row],[TOTAL COBERTURA]])+VLOOKUP(Tabla44[[#This Row],[SERVICIO 2025]],$J$2:$V$15,10,0)*Tabla44[[#This Row],[TOTAL COBERTURA]]</f>
        <v>7445473</v>
      </c>
      <c r="AZ74" s="35">
        <f>(VLOOKUP(Tabla44[[#This Row],[SERVICIO 2025]],$J$2:$V$15,3,0)*Tabla44[[#This Row],[TOTAL COBERTURA]])+VLOOKUP(Tabla44[[#This Row],[SERVICIO 2025]],$J$2:$V$15,10,0)*Tabla44[[#This Row],[TOTAL COBERTURA]]</f>
        <v>7445473</v>
      </c>
      <c r="BA74" s="35">
        <f>(VLOOKUP(Tabla44[[#This Row],[SERVICIO 2025]],$J$2:$V$15,3,0)*Tabla44[[#This Row],[TOTAL COBERTURA]])+VLOOKUP(Tabla44[[#This Row],[SERVICIO 2025]],$J$2:$V$15,10,0)*Tabla44[[#This Row],[TOTAL COBERTURA]]</f>
        <v>7445473</v>
      </c>
      <c r="BB74" s="35">
        <f>(VLOOKUP(Tabla44[[#This Row],[SERVICIO 2025]],$J$2:$V$15,3,0)*Tabla44[[#This Row],[TOTAL COBERTURA]])+VLOOKUP(Tabla44[[#This Row],[SERVICIO 2025]],$J$2:$V$15,10,0)*Tabla44[[#This Row],[TOTAL COBERTURA]]</f>
        <v>7445473</v>
      </c>
      <c r="BC7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74" s="35">
        <f>SUM(Tabla44[[#This Row],[DESEMBOLSO 1]:[DESEMBOLSO 8]])</f>
        <v>61595369</v>
      </c>
      <c r="BE74" s="12" t="b">
        <f>EXACT(Tabla44[[#This Row],[VALOR ATENCIÓN (8 MESES)]],Tabla44[[#This Row],[VALOR TOTAL]])</f>
        <v>1</v>
      </c>
      <c r="BF74" s="23">
        <f>Tabla44[[#This Row],[VALOR ATENCIÓN (8 MESES)]]-Tabla44[[#This Row],[VALOR TOTAL]]</f>
        <v>0</v>
      </c>
      <c r="BG74" s="12" t="b">
        <f>EXACT(Tabla44[[#This Row],[TOTAL DESEMBOLSOS]],Tabla44[[#This Row],[VALOR TOTAL DEL CONTRATO INCLUIDO EL COMPONENTE DE ALIMENTACIÓN]])</f>
        <v>1</v>
      </c>
      <c r="BH74" s="29">
        <f>Tabla44[[#This Row],[TOTAL DESEMBOLSOS]]-Tabla44[[#This Row],[VALOR TOTAL DEL CONTRATO INCLUIDO EL COMPONENTE DE ALIMENTACIÓN]]</f>
        <v>0</v>
      </c>
      <c r="BI74" t="s">
        <v>98</v>
      </c>
    </row>
    <row r="75" spans="1:61">
      <c r="A75" s="13">
        <v>1924</v>
      </c>
      <c r="B75" s="13"/>
      <c r="C75" s="12" t="s">
        <v>87</v>
      </c>
      <c r="D75" s="12" t="s">
        <v>1534</v>
      </c>
      <c r="E75" s="12" t="s">
        <v>2954</v>
      </c>
      <c r="F75" s="12" t="s">
        <v>18</v>
      </c>
      <c r="G75" s="12" t="s">
        <v>90</v>
      </c>
      <c r="H75" s="12" t="s">
        <v>2963</v>
      </c>
      <c r="I75" s="36">
        <v>50441147054</v>
      </c>
      <c r="J75" s="12" t="s">
        <v>2964</v>
      </c>
      <c r="K75" s="12">
        <v>1</v>
      </c>
      <c r="L75" s="12">
        <v>11</v>
      </c>
      <c r="M75" s="12"/>
      <c r="N75" s="13">
        <v>1924</v>
      </c>
      <c r="O75" s="12" t="s">
        <v>2850</v>
      </c>
      <c r="P75" s="12"/>
      <c r="Q75" s="12"/>
      <c r="R75" s="12" t="s">
        <v>94</v>
      </c>
      <c r="S75" s="12">
        <v>10</v>
      </c>
      <c r="T75" s="12">
        <v>811021339</v>
      </c>
      <c r="U75" s="12" t="s">
        <v>2851</v>
      </c>
      <c r="V75" s="12">
        <f>VLOOKUP(Tabla44[[#This Row],[ZONA DEFINITIVO]],[1]Hoja1!$A$1:$D$125,3,0)</f>
        <v>229935</v>
      </c>
      <c r="W75" s="12">
        <f>VLOOKUP(Tabla44[[#This Row],[ZONA DEFINITIVO]],[1]Hoja1!$A$1:$D$125,2,0)</f>
        <v>17252</v>
      </c>
      <c r="X75" s="12">
        <f>VLOOKUP(Tabla44[[#This Row],[ZONA DEFINITIVO]],[1]Hoja1!$A$1:$D$125,4,0)</f>
        <v>104125</v>
      </c>
      <c r="Y75" s="12" t="str">
        <f>+IF(Tabla44[[#This Row],[AGRUPACIONES]]=1,SUMIFS(Tabla44[UDS],Tabla44[ZONA DEFINITIVO],Tabla44[[#This Row],[ZONA DEFINITIVO]])," ")</f>
        <v xml:space="preserve"> </v>
      </c>
      <c r="Z75" s="12" t="str">
        <f>+IF(Tabla44[[#This Row],[AGRUPACIONES]]=1,SUMIFS(Tabla44[TOTAL COBERTURA],Tabla44[ZONA DEFINITIVO],Tabla44[[#This Row],[ZONA DEFINITIVO]])," ")</f>
        <v xml:space="preserve"> </v>
      </c>
      <c r="AA75" s="12"/>
      <c r="AB75" s="35">
        <v>23982123</v>
      </c>
      <c r="AC75" s="37">
        <v>0</v>
      </c>
      <c r="AD75" s="35">
        <f t="shared" si="1"/>
        <v>0</v>
      </c>
      <c r="AE75" s="12"/>
      <c r="AF75" s="12">
        <f>COUNTIF($A$20:A75,A75)</f>
        <v>5</v>
      </c>
      <c r="AG75" s="38">
        <v>23982123</v>
      </c>
      <c r="AH75" s="38">
        <f>Tabla44[[#This Row],[VALOR CONTRAPARTIDA]]+Tabla44[[#This Row],[TOTAL APORTES ICBF]]</f>
        <v>23982123</v>
      </c>
      <c r="AI75" s="35" t="str">
        <f>+IF(Tabla44[[#This Row],[AGRUPACIONES]]=1,SUMIFS(Tabla44[TOTAL APORTES ICBF],Tabla44[ZONA DEFINITIVO],Tabla44[[#This Row],[ZONA DEFINITIVO]])," ")</f>
        <v xml:space="preserve"> </v>
      </c>
      <c r="AJ75" s="38"/>
      <c r="AK75" s="38"/>
      <c r="AL75" s="35"/>
      <c r="AM75" s="35">
        <f>VLOOKUP(Tabla44[[#This Row],[SERVICIO 2025]],$J$2:$V$15,5,0)*Tabla44[[#This Row],[TOTAL COBERTURA]]</f>
        <v>543136</v>
      </c>
      <c r="AN75" s="35">
        <f>VLOOKUP(Tabla44[[#This Row],[SERVICIO 2025]],$J$2:$V$15,6,0)*Tabla44[[#This Row],[TOTAL COBERTURA]]</f>
        <v>451319</v>
      </c>
      <c r="AO75" s="35">
        <f>VLOOKUP(Tabla44[[#This Row],[SERVICIO 2025]],$J$2:$V$15,8,0)*Tabla44[[#This Row],[TOTAL COBERTURA]]</f>
        <v>320100</v>
      </c>
      <c r="AP75" s="35">
        <f>VLOOKUP(Tabla44[[#This Row],[SERVICIO 2025]],$J$2:$V$15,3,0)*Tabla44[[#This Row],[TOTAL COBERTURA]]*8</f>
        <v>22667568</v>
      </c>
      <c r="AQ75" s="35"/>
      <c r="AR75" s="35">
        <f>SUM(Tabla44[[#This Row],[VALOR FASE PREPARATORIA DE ALISTAMIENTO]:[VALOR RACION PREPARADA]])</f>
        <v>23982123</v>
      </c>
      <c r="AS75" s="35" t="str">
        <f>+IF(Tabla44[[#This Row],[AGRUPACIONES]]=1,SUMIFS(Tabla44[VALOR TOTAL],Tabla44[ZONA DEFINITIVO],Tabla44[[#This Row],[ZONA DEFINITIVO]])," ")</f>
        <v xml:space="preserve"> </v>
      </c>
      <c r="AT75" s="35">
        <f>VLOOKUP(Tabla44[[#This Row],[SERVICIO 2025]],$J$2:$V$15,10,0)*Tabla44[[#This Row],[TOTAL COBERTURA]]*$X$7</f>
        <v>15873704</v>
      </c>
      <c r="AU75" s="39">
        <f>Tabla44[[#This Row],[TOTAL CONTRATO (ICBF+EAS)]]+Tabla44[[#This Row],[VALOR COMPONENTE ALIMENTACION NO ASIGNADO]]</f>
        <v>39855827</v>
      </c>
      <c r="AV7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75" s="35">
        <f>(VLOOKUP(Tabla44[[#This Row],[SERVICIO 2025]],$J$2:$V$15,3,0)*Tabla44[[#This Row],[TOTAL COBERTURA]])+VLOOKUP(Tabla44[[#This Row],[SERVICIO 2025]],$J$2:$V$15,10,0)*Tabla44[[#This Row],[TOTAL COBERTURA]]</f>
        <v>4817659</v>
      </c>
      <c r="AX75" s="35">
        <f>(VLOOKUP(Tabla44[[#This Row],[SERVICIO 2025]],$J$2:$V$15,3,0)*Tabla44[[#This Row],[TOTAL COBERTURA]])+VLOOKUP(Tabla44[[#This Row],[SERVICIO 2025]],$J$2:$V$15,10,0)*Tabla44[[#This Row],[TOTAL COBERTURA]]</f>
        <v>4817659</v>
      </c>
      <c r="AY75" s="35">
        <f>(VLOOKUP(Tabla44[[#This Row],[SERVICIO 2025]],$J$2:$V$15,3,0)*Tabla44[[#This Row],[TOTAL COBERTURA]])+VLOOKUP(Tabla44[[#This Row],[SERVICIO 2025]],$J$2:$V$15,10,0)*Tabla44[[#This Row],[TOTAL COBERTURA]]</f>
        <v>4817659</v>
      </c>
      <c r="AZ75" s="35">
        <f>(VLOOKUP(Tabla44[[#This Row],[SERVICIO 2025]],$J$2:$V$15,3,0)*Tabla44[[#This Row],[TOTAL COBERTURA]])+VLOOKUP(Tabla44[[#This Row],[SERVICIO 2025]],$J$2:$V$15,10,0)*Tabla44[[#This Row],[TOTAL COBERTURA]]</f>
        <v>4817659</v>
      </c>
      <c r="BA75" s="35">
        <f>(VLOOKUP(Tabla44[[#This Row],[SERVICIO 2025]],$J$2:$V$15,3,0)*Tabla44[[#This Row],[TOTAL COBERTURA]])+VLOOKUP(Tabla44[[#This Row],[SERVICIO 2025]],$J$2:$V$15,10,0)*Tabla44[[#This Row],[TOTAL COBERTURA]]</f>
        <v>4817659</v>
      </c>
      <c r="BB75" s="35">
        <f>(VLOOKUP(Tabla44[[#This Row],[SERVICIO 2025]],$J$2:$V$15,3,0)*Tabla44[[#This Row],[TOTAL COBERTURA]])+VLOOKUP(Tabla44[[#This Row],[SERVICIO 2025]],$J$2:$V$15,10,0)*Tabla44[[#This Row],[TOTAL COBERTURA]]</f>
        <v>4817659</v>
      </c>
      <c r="BC7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75" s="35">
        <f>SUM(Tabla44[[#This Row],[DESEMBOLSO 1]:[DESEMBOLSO 8]])</f>
        <v>39855827</v>
      </c>
      <c r="BE75" s="12" t="b">
        <f>EXACT(Tabla44[[#This Row],[VALOR ATENCIÓN (8 MESES)]],Tabla44[[#This Row],[VALOR TOTAL]])</f>
        <v>1</v>
      </c>
      <c r="BF75" s="23">
        <f>Tabla44[[#This Row],[VALOR ATENCIÓN (8 MESES)]]-Tabla44[[#This Row],[VALOR TOTAL]]</f>
        <v>0</v>
      </c>
      <c r="BG75" s="12" t="b">
        <f>EXACT(Tabla44[[#This Row],[TOTAL DESEMBOLSOS]],Tabla44[[#This Row],[VALOR TOTAL DEL CONTRATO INCLUIDO EL COMPONENTE DE ALIMENTACIÓN]])</f>
        <v>1</v>
      </c>
      <c r="BH75" s="29">
        <f>Tabla44[[#This Row],[TOTAL DESEMBOLSOS]]-Tabla44[[#This Row],[VALOR TOTAL DEL CONTRATO INCLUIDO EL COMPONENTE DE ALIMENTACIÓN]]</f>
        <v>0</v>
      </c>
      <c r="BI75" t="s">
        <v>98</v>
      </c>
    </row>
    <row r="76" spans="1:61">
      <c r="A76" s="13">
        <v>1924</v>
      </c>
      <c r="B76" s="13"/>
      <c r="C76" s="12" t="s">
        <v>87</v>
      </c>
      <c r="D76" s="12" t="s">
        <v>1534</v>
      </c>
      <c r="E76" s="12" t="s">
        <v>2954</v>
      </c>
      <c r="F76" s="12" t="s">
        <v>18</v>
      </c>
      <c r="G76" s="12" t="s">
        <v>90</v>
      </c>
      <c r="H76" s="12" t="s">
        <v>282</v>
      </c>
      <c r="I76" s="36">
        <v>50441150176</v>
      </c>
      <c r="J76" s="12" t="s">
        <v>2965</v>
      </c>
      <c r="K76" s="12">
        <v>1</v>
      </c>
      <c r="L76" s="12">
        <v>20</v>
      </c>
      <c r="M76" s="12"/>
      <c r="N76" s="13">
        <v>1924</v>
      </c>
      <c r="O76" s="12" t="s">
        <v>2850</v>
      </c>
      <c r="P76" s="12"/>
      <c r="Q76" s="12"/>
      <c r="R76" s="12" t="s">
        <v>94</v>
      </c>
      <c r="S76" s="12">
        <v>10</v>
      </c>
      <c r="T76" s="12">
        <v>811021339</v>
      </c>
      <c r="U76" s="12" t="s">
        <v>2851</v>
      </c>
      <c r="V76" s="12">
        <f>VLOOKUP(Tabla44[[#This Row],[ZONA DEFINITIVO]],[1]Hoja1!$A$1:$D$125,3,0)</f>
        <v>229935</v>
      </c>
      <c r="W76" s="12">
        <f>VLOOKUP(Tabla44[[#This Row],[ZONA DEFINITIVO]],[1]Hoja1!$A$1:$D$125,2,0)</f>
        <v>17252</v>
      </c>
      <c r="X76" s="12">
        <f>VLOOKUP(Tabla44[[#This Row],[ZONA DEFINITIVO]],[1]Hoja1!$A$1:$D$125,4,0)</f>
        <v>104125</v>
      </c>
      <c r="Y76" s="12" t="str">
        <f>+IF(Tabla44[[#This Row],[AGRUPACIONES]]=1,SUMIFS(Tabla44[UDS],Tabla44[ZONA DEFINITIVO],Tabla44[[#This Row],[ZONA DEFINITIVO]])," ")</f>
        <v xml:space="preserve"> </v>
      </c>
      <c r="Z76" s="12" t="str">
        <f>+IF(Tabla44[[#This Row],[AGRUPACIONES]]=1,SUMIFS(Tabla44[TOTAL COBERTURA],Tabla44[ZONA DEFINITIVO],Tabla44[[#This Row],[ZONA DEFINITIVO]])," ")</f>
        <v xml:space="preserve"> </v>
      </c>
      <c r="AA76" s="12"/>
      <c r="AB76" s="35">
        <v>43603860</v>
      </c>
      <c r="AC76" s="37">
        <v>0</v>
      </c>
      <c r="AD76" s="35">
        <f t="shared" si="1"/>
        <v>0</v>
      </c>
      <c r="AE76" s="12"/>
      <c r="AF76" s="12">
        <f>COUNTIF($A$20:A76,A76)</f>
        <v>6</v>
      </c>
      <c r="AG76" s="38">
        <v>43603860</v>
      </c>
      <c r="AH76" s="38">
        <f>Tabla44[[#This Row],[VALOR CONTRAPARTIDA]]+Tabla44[[#This Row],[TOTAL APORTES ICBF]]</f>
        <v>43603860</v>
      </c>
      <c r="AI76" s="35" t="str">
        <f>+IF(Tabla44[[#This Row],[AGRUPACIONES]]=1,SUMIFS(Tabla44[TOTAL APORTES ICBF],Tabla44[ZONA DEFINITIVO],Tabla44[[#This Row],[ZONA DEFINITIVO]])," ")</f>
        <v xml:space="preserve"> </v>
      </c>
      <c r="AJ76" s="38"/>
      <c r="AK76" s="38"/>
      <c r="AL76" s="35"/>
      <c r="AM76" s="35">
        <f>VLOOKUP(Tabla44[[#This Row],[SERVICIO 2025]],$J$2:$V$15,5,0)*Tabla44[[#This Row],[TOTAL COBERTURA]]</f>
        <v>987520</v>
      </c>
      <c r="AN76" s="35">
        <f>VLOOKUP(Tabla44[[#This Row],[SERVICIO 2025]],$J$2:$V$15,6,0)*Tabla44[[#This Row],[TOTAL COBERTURA]]</f>
        <v>820580</v>
      </c>
      <c r="AO76" s="35">
        <f>VLOOKUP(Tabla44[[#This Row],[SERVICIO 2025]],$J$2:$V$15,8,0)*Tabla44[[#This Row],[TOTAL COBERTURA]]</f>
        <v>582000</v>
      </c>
      <c r="AP76" s="35">
        <f>VLOOKUP(Tabla44[[#This Row],[SERVICIO 2025]],$J$2:$V$15,3,0)*Tabla44[[#This Row],[TOTAL COBERTURA]]*8</f>
        <v>41213760</v>
      </c>
      <c r="AQ76" s="35"/>
      <c r="AR76" s="35">
        <f>SUM(Tabla44[[#This Row],[VALOR FASE PREPARATORIA DE ALISTAMIENTO]:[VALOR RACION PREPARADA]])</f>
        <v>43603860</v>
      </c>
      <c r="AS76" s="35" t="str">
        <f>+IF(Tabla44[[#This Row],[AGRUPACIONES]]=1,SUMIFS(Tabla44[VALOR TOTAL],Tabla44[ZONA DEFINITIVO],Tabla44[[#This Row],[ZONA DEFINITIVO]])," ")</f>
        <v xml:space="preserve"> </v>
      </c>
      <c r="AT76" s="35">
        <f>VLOOKUP(Tabla44[[#This Row],[SERVICIO 2025]],$J$2:$V$15,10,0)*Tabla44[[#This Row],[TOTAL COBERTURA]]*$X$7</f>
        <v>28861280</v>
      </c>
      <c r="AU76" s="39">
        <f>Tabla44[[#This Row],[TOTAL CONTRATO (ICBF+EAS)]]+Tabla44[[#This Row],[VALOR COMPONENTE ALIMENTACION NO ASIGNADO]]</f>
        <v>72465140</v>
      </c>
      <c r="AV7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76" s="35">
        <f>(VLOOKUP(Tabla44[[#This Row],[SERVICIO 2025]],$J$2:$V$15,3,0)*Tabla44[[#This Row],[TOTAL COBERTURA]])+VLOOKUP(Tabla44[[#This Row],[SERVICIO 2025]],$J$2:$V$15,10,0)*Tabla44[[#This Row],[TOTAL COBERTURA]]</f>
        <v>8759380</v>
      </c>
      <c r="AX76" s="35">
        <f>(VLOOKUP(Tabla44[[#This Row],[SERVICIO 2025]],$J$2:$V$15,3,0)*Tabla44[[#This Row],[TOTAL COBERTURA]])+VLOOKUP(Tabla44[[#This Row],[SERVICIO 2025]],$J$2:$V$15,10,0)*Tabla44[[#This Row],[TOTAL COBERTURA]]</f>
        <v>8759380</v>
      </c>
      <c r="AY76" s="35">
        <f>(VLOOKUP(Tabla44[[#This Row],[SERVICIO 2025]],$J$2:$V$15,3,0)*Tabla44[[#This Row],[TOTAL COBERTURA]])+VLOOKUP(Tabla44[[#This Row],[SERVICIO 2025]],$J$2:$V$15,10,0)*Tabla44[[#This Row],[TOTAL COBERTURA]]</f>
        <v>8759380</v>
      </c>
      <c r="AZ76" s="35">
        <f>(VLOOKUP(Tabla44[[#This Row],[SERVICIO 2025]],$J$2:$V$15,3,0)*Tabla44[[#This Row],[TOTAL COBERTURA]])+VLOOKUP(Tabla44[[#This Row],[SERVICIO 2025]],$J$2:$V$15,10,0)*Tabla44[[#This Row],[TOTAL COBERTURA]]</f>
        <v>8759380</v>
      </c>
      <c r="BA76" s="35">
        <f>(VLOOKUP(Tabla44[[#This Row],[SERVICIO 2025]],$J$2:$V$15,3,0)*Tabla44[[#This Row],[TOTAL COBERTURA]])+VLOOKUP(Tabla44[[#This Row],[SERVICIO 2025]],$J$2:$V$15,10,0)*Tabla44[[#This Row],[TOTAL COBERTURA]]</f>
        <v>8759380</v>
      </c>
      <c r="BB76" s="35">
        <f>(VLOOKUP(Tabla44[[#This Row],[SERVICIO 2025]],$J$2:$V$15,3,0)*Tabla44[[#This Row],[TOTAL COBERTURA]])+VLOOKUP(Tabla44[[#This Row],[SERVICIO 2025]],$J$2:$V$15,10,0)*Tabla44[[#This Row],[TOTAL COBERTURA]]</f>
        <v>8759380</v>
      </c>
      <c r="BC7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76" s="35">
        <f>SUM(Tabla44[[#This Row],[DESEMBOLSO 1]:[DESEMBOLSO 8]])</f>
        <v>72465140</v>
      </c>
      <c r="BE76" s="12" t="b">
        <f>EXACT(Tabla44[[#This Row],[VALOR ATENCIÓN (8 MESES)]],Tabla44[[#This Row],[VALOR TOTAL]])</f>
        <v>1</v>
      </c>
      <c r="BF76" s="23">
        <f>Tabla44[[#This Row],[VALOR ATENCIÓN (8 MESES)]]-Tabla44[[#This Row],[VALOR TOTAL]]</f>
        <v>0</v>
      </c>
      <c r="BG76" s="12" t="b">
        <f>EXACT(Tabla44[[#This Row],[TOTAL DESEMBOLSOS]],Tabla44[[#This Row],[VALOR TOTAL DEL CONTRATO INCLUIDO EL COMPONENTE DE ALIMENTACIÓN]])</f>
        <v>1</v>
      </c>
      <c r="BH76" s="29">
        <f>Tabla44[[#This Row],[TOTAL DESEMBOLSOS]]-Tabla44[[#This Row],[VALOR TOTAL DEL CONTRATO INCLUIDO EL COMPONENTE DE ALIMENTACIÓN]]</f>
        <v>0</v>
      </c>
      <c r="BI76" t="s">
        <v>98</v>
      </c>
    </row>
    <row r="77" spans="1:61">
      <c r="A77" s="21">
        <v>1924</v>
      </c>
      <c r="B77" s="21"/>
      <c r="C77" s="22" t="s">
        <v>87</v>
      </c>
      <c r="D77" s="22" t="s">
        <v>1534</v>
      </c>
      <c r="E77" s="22" t="s">
        <v>2954</v>
      </c>
      <c r="F77" s="22" t="s">
        <v>18</v>
      </c>
      <c r="G77" s="12" t="s">
        <v>90</v>
      </c>
      <c r="H77" s="22" t="s">
        <v>1015</v>
      </c>
      <c r="I77" s="36">
        <v>50441150181</v>
      </c>
      <c r="J77" s="22" t="s">
        <v>2966</v>
      </c>
      <c r="K77" s="12">
        <v>1</v>
      </c>
      <c r="L77" s="22">
        <v>11</v>
      </c>
      <c r="M77" s="22"/>
      <c r="N77" s="21">
        <v>1924</v>
      </c>
      <c r="O77" s="22" t="s">
        <v>2850</v>
      </c>
      <c r="P77" s="22"/>
      <c r="Q77" s="22"/>
      <c r="R77" s="12" t="s">
        <v>94</v>
      </c>
      <c r="S77" s="12">
        <v>10</v>
      </c>
      <c r="T77" s="12">
        <v>811021339</v>
      </c>
      <c r="U77" s="12" t="s">
        <v>2851</v>
      </c>
      <c r="V77" s="22">
        <f>VLOOKUP(Tabla44[[#This Row],[ZONA DEFINITIVO]],[1]Hoja1!$A$1:$D$125,3,0)</f>
        <v>229935</v>
      </c>
      <c r="W77" s="22">
        <f>VLOOKUP(Tabla44[[#This Row],[ZONA DEFINITIVO]],[1]Hoja1!$A$1:$D$125,2,0)</f>
        <v>17252</v>
      </c>
      <c r="X77" s="22">
        <f>VLOOKUP(Tabla44[[#This Row],[ZONA DEFINITIVO]],[1]Hoja1!$A$1:$D$125,4,0)</f>
        <v>104125</v>
      </c>
      <c r="Y77" s="22" t="str">
        <f>+IF(Tabla44[[#This Row],[AGRUPACIONES]]=1,SUMIFS(Tabla44[UDS],Tabla44[ZONA DEFINITIVO],Tabla44[[#This Row],[ZONA DEFINITIVO]])," ")</f>
        <v xml:space="preserve"> </v>
      </c>
      <c r="Z77" s="22" t="str">
        <f>+IF(Tabla44[[#This Row],[AGRUPACIONES]]=1,SUMIFS(Tabla44[TOTAL COBERTURA],Tabla44[ZONA DEFINITIVO],Tabla44[[#This Row],[ZONA DEFINITIVO]])," ")</f>
        <v xml:space="preserve"> </v>
      </c>
      <c r="AA77" s="22"/>
      <c r="AB77" s="40">
        <v>23982123</v>
      </c>
      <c r="AC77" s="37">
        <v>0</v>
      </c>
      <c r="AD77" s="40">
        <f t="shared" si="1"/>
        <v>0</v>
      </c>
      <c r="AE77" s="22"/>
      <c r="AF77" s="12">
        <f>COUNTIF($A$20:A77,A77)</f>
        <v>7</v>
      </c>
      <c r="AG77" s="41">
        <v>23982123</v>
      </c>
      <c r="AH77" s="41">
        <f>Tabla44[[#This Row],[VALOR CONTRAPARTIDA]]+Tabla44[[#This Row],[TOTAL APORTES ICBF]]</f>
        <v>23982123</v>
      </c>
      <c r="AI77" s="40" t="str">
        <f>+IF(Tabla44[[#This Row],[AGRUPACIONES]]=1,SUMIFS(Tabla44[TOTAL APORTES ICBF],Tabla44[ZONA DEFINITIVO],Tabla44[[#This Row],[ZONA DEFINITIVO]])," ")</f>
        <v xml:space="preserve"> </v>
      </c>
      <c r="AJ77" s="41"/>
      <c r="AK77" s="41"/>
      <c r="AL77" s="40"/>
      <c r="AM77" s="40">
        <f>VLOOKUP(Tabla44[[#This Row],[SERVICIO 2025]],$J$2:$V$15,5,0)*Tabla44[[#This Row],[TOTAL COBERTURA]]</f>
        <v>543136</v>
      </c>
      <c r="AN77" s="40">
        <f>VLOOKUP(Tabla44[[#This Row],[SERVICIO 2025]],$J$2:$V$15,6,0)*Tabla44[[#This Row],[TOTAL COBERTURA]]</f>
        <v>451319</v>
      </c>
      <c r="AO77" s="40">
        <f>VLOOKUP(Tabla44[[#This Row],[SERVICIO 2025]],$J$2:$V$15,8,0)*Tabla44[[#This Row],[TOTAL COBERTURA]]</f>
        <v>320100</v>
      </c>
      <c r="AP77" s="40">
        <f>VLOOKUP(Tabla44[[#This Row],[SERVICIO 2025]],$J$2:$V$15,3,0)*Tabla44[[#This Row],[TOTAL COBERTURA]]*8</f>
        <v>22667568</v>
      </c>
      <c r="AQ77" s="40"/>
      <c r="AR77" s="40">
        <f>SUM(Tabla44[[#This Row],[VALOR FASE PREPARATORIA DE ALISTAMIENTO]:[VALOR RACION PREPARADA]])</f>
        <v>23982123</v>
      </c>
      <c r="AS77" s="40" t="str">
        <f>+IF(Tabla44[[#This Row],[AGRUPACIONES]]=1,SUMIFS(Tabla44[VALOR TOTAL],Tabla44[ZONA DEFINITIVO],Tabla44[[#This Row],[ZONA DEFINITIVO]])," ")</f>
        <v xml:space="preserve"> </v>
      </c>
      <c r="AT77" s="35">
        <f>VLOOKUP(Tabla44[[#This Row],[SERVICIO 2025]],$J$2:$V$15,10,0)*Tabla44[[#This Row],[TOTAL COBERTURA]]*$X$7</f>
        <v>15873704</v>
      </c>
      <c r="AU77" s="42">
        <f>Tabla44[[#This Row],[TOTAL CONTRATO (ICBF+EAS)]]+Tabla44[[#This Row],[VALOR COMPONENTE ALIMENTACION NO ASIGNADO]]</f>
        <v>39855827</v>
      </c>
      <c r="AV7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77" s="35">
        <f>(VLOOKUP(Tabla44[[#This Row],[SERVICIO 2025]],$J$2:$V$15,3,0)*Tabla44[[#This Row],[TOTAL COBERTURA]])+VLOOKUP(Tabla44[[#This Row],[SERVICIO 2025]],$J$2:$V$15,10,0)*Tabla44[[#This Row],[TOTAL COBERTURA]]</f>
        <v>4817659</v>
      </c>
      <c r="AX77" s="40">
        <f>(VLOOKUP(Tabla44[[#This Row],[SERVICIO 2025]],$J$2:$V$15,3,0)*Tabla44[[#This Row],[TOTAL COBERTURA]])+VLOOKUP(Tabla44[[#This Row],[SERVICIO 2025]],$J$2:$V$15,10,0)*Tabla44[[#This Row],[TOTAL COBERTURA]]</f>
        <v>4817659</v>
      </c>
      <c r="AY77" s="40">
        <f>(VLOOKUP(Tabla44[[#This Row],[SERVICIO 2025]],$J$2:$V$15,3,0)*Tabla44[[#This Row],[TOTAL COBERTURA]])+VLOOKUP(Tabla44[[#This Row],[SERVICIO 2025]],$J$2:$V$15,10,0)*Tabla44[[#This Row],[TOTAL COBERTURA]]</f>
        <v>4817659</v>
      </c>
      <c r="AZ77" s="40">
        <f>(VLOOKUP(Tabla44[[#This Row],[SERVICIO 2025]],$J$2:$V$15,3,0)*Tabla44[[#This Row],[TOTAL COBERTURA]])+VLOOKUP(Tabla44[[#This Row],[SERVICIO 2025]],$J$2:$V$15,10,0)*Tabla44[[#This Row],[TOTAL COBERTURA]]</f>
        <v>4817659</v>
      </c>
      <c r="BA77" s="40">
        <f>(VLOOKUP(Tabla44[[#This Row],[SERVICIO 2025]],$J$2:$V$15,3,0)*Tabla44[[#This Row],[TOTAL COBERTURA]])+VLOOKUP(Tabla44[[#This Row],[SERVICIO 2025]],$J$2:$V$15,10,0)*Tabla44[[#This Row],[TOTAL COBERTURA]]</f>
        <v>4817659</v>
      </c>
      <c r="BB77" s="40">
        <f>(VLOOKUP(Tabla44[[#This Row],[SERVICIO 2025]],$J$2:$V$15,3,0)*Tabla44[[#This Row],[TOTAL COBERTURA]])+VLOOKUP(Tabla44[[#This Row],[SERVICIO 2025]],$J$2:$V$15,10,0)*Tabla44[[#This Row],[TOTAL COBERTURA]]</f>
        <v>4817659</v>
      </c>
      <c r="BC77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77" s="40">
        <f>SUM(Tabla44[[#This Row],[DESEMBOLSO 1]:[DESEMBOLSO 8]])</f>
        <v>39855827</v>
      </c>
      <c r="BE77" s="22" t="b">
        <f>EXACT(Tabla44[[#This Row],[VALOR ATENCIÓN (8 MESES)]],Tabla44[[#This Row],[VALOR TOTAL]])</f>
        <v>1</v>
      </c>
      <c r="BF77" s="28">
        <f>Tabla44[[#This Row],[VALOR ATENCIÓN (8 MESES)]]-Tabla44[[#This Row],[VALOR TOTAL]]</f>
        <v>0</v>
      </c>
      <c r="BG77" s="22" t="b">
        <f>EXACT(Tabla44[[#This Row],[TOTAL DESEMBOLSOS]],Tabla44[[#This Row],[VALOR TOTAL DEL CONTRATO INCLUIDO EL COMPONENTE DE ALIMENTACIÓN]])</f>
        <v>1</v>
      </c>
      <c r="BH77" s="29">
        <f>Tabla44[[#This Row],[TOTAL DESEMBOLSOS]]-Tabla44[[#This Row],[VALOR TOTAL DEL CONTRATO INCLUIDO EL COMPONENTE DE ALIMENTACIÓN]]</f>
        <v>0</v>
      </c>
      <c r="BI77" t="s">
        <v>98</v>
      </c>
    </row>
    <row r="78" spans="1:61">
      <c r="A78" s="13">
        <v>1924</v>
      </c>
      <c r="B78" s="13"/>
      <c r="C78" s="12" t="s">
        <v>87</v>
      </c>
      <c r="D78" s="12" t="s">
        <v>1534</v>
      </c>
      <c r="E78" s="12" t="s">
        <v>2954</v>
      </c>
      <c r="F78" s="12" t="s">
        <v>18</v>
      </c>
      <c r="G78" s="12" t="s">
        <v>90</v>
      </c>
      <c r="H78" s="12" t="s">
        <v>2967</v>
      </c>
      <c r="I78" s="36">
        <v>50441153013</v>
      </c>
      <c r="J78" s="12" t="s">
        <v>2968</v>
      </c>
      <c r="K78" s="12">
        <v>1</v>
      </c>
      <c r="L78" s="12">
        <v>10</v>
      </c>
      <c r="M78" s="12"/>
      <c r="N78" s="13">
        <v>1924</v>
      </c>
      <c r="O78" s="12" t="s">
        <v>2850</v>
      </c>
      <c r="P78" s="12"/>
      <c r="Q78" s="12"/>
      <c r="R78" s="12" t="s">
        <v>94</v>
      </c>
      <c r="S78" s="12">
        <v>10</v>
      </c>
      <c r="T78" s="12">
        <v>811021339</v>
      </c>
      <c r="U78" s="12" t="s">
        <v>2851</v>
      </c>
      <c r="V78" s="12">
        <f>VLOOKUP(Tabla44[[#This Row],[ZONA DEFINITIVO]],[1]Hoja1!$A$1:$D$125,3,0)</f>
        <v>229935</v>
      </c>
      <c r="W78" s="12">
        <f>VLOOKUP(Tabla44[[#This Row],[ZONA DEFINITIVO]],[1]Hoja1!$A$1:$D$125,2,0)</f>
        <v>17252</v>
      </c>
      <c r="X78" s="12">
        <f>VLOOKUP(Tabla44[[#This Row],[ZONA DEFINITIVO]],[1]Hoja1!$A$1:$D$125,4,0)</f>
        <v>104125</v>
      </c>
      <c r="Y78" s="12" t="str">
        <f>+IF(Tabla44[[#This Row],[AGRUPACIONES]]=1,SUMIFS(Tabla44[UDS],Tabla44[ZONA DEFINITIVO],Tabla44[[#This Row],[ZONA DEFINITIVO]])," ")</f>
        <v xml:space="preserve"> </v>
      </c>
      <c r="Z78" s="12" t="str">
        <f>+IF(Tabla44[[#This Row],[AGRUPACIONES]]=1,SUMIFS(Tabla44[TOTAL COBERTURA],Tabla44[ZONA DEFINITIVO],Tabla44[[#This Row],[ZONA DEFINITIVO]])," ")</f>
        <v xml:space="preserve"> </v>
      </c>
      <c r="AA78" s="12"/>
      <c r="AB78" s="35">
        <v>21801930</v>
      </c>
      <c r="AC78" s="37">
        <v>0</v>
      </c>
      <c r="AD78" s="35">
        <f t="shared" si="1"/>
        <v>0</v>
      </c>
      <c r="AE78" s="12"/>
      <c r="AF78" s="12">
        <f>COUNTIF($A$20:A78,A78)</f>
        <v>8</v>
      </c>
      <c r="AG78" s="38">
        <v>21801930</v>
      </c>
      <c r="AH78" s="38">
        <f>Tabla44[[#This Row],[VALOR CONTRAPARTIDA]]+Tabla44[[#This Row],[TOTAL APORTES ICBF]]</f>
        <v>21801930</v>
      </c>
      <c r="AI78" s="35" t="str">
        <f>+IF(Tabla44[[#This Row],[AGRUPACIONES]]=1,SUMIFS(Tabla44[TOTAL APORTES ICBF],Tabla44[ZONA DEFINITIVO],Tabla44[[#This Row],[ZONA DEFINITIVO]])," ")</f>
        <v xml:space="preserve"> </v>
      </c>
      <c r="AJ78" s="38"/>
      <c r="AK78" s="38"/>
      <c r="AL78" s="35"/>
      <c r="AM78" s="35">
        <f>VLOOKUP(Tabla44[[#This Row],[SERVICIO 2025]],$J$2:$V$15,5,0)*Tabla44[[#This Row],[TOTAL COBERTURA]]</f>
        <v>493760</v>
      </c>
      <c r="AN78" s="35">
        <f>VLOOKUP(Tabla44[[#This Row],[SERVICIO 2025]],$J$2:$V$15,6,0)*Tabla44[[#This Row],[TOTAL COBERTURA]]</f>
        <v>410290</v>
      </c>
      <c r="AO78" s="35">
        <f>VLOOKUP(Tabla44[[#This Row],[SERVICIO 2025]],$J$2:$V$15,8,0)*Tabla44[[#This Row],[TOTAL COBERTURA]]</f>
        <v>291000</v>
      </c>
      <c r="AP78" s="35">
        <f>VLOOKUP(Tabla44[[#This Row],[SERVICIO 2025]],$J$2:$V$15,3,0)*Tabla44[[#This Row],[TOTAL COBERTURA]]*8</f>
        <v>20606880</v>
      </c>
      <c r="AQ78" s="35"/>
      <c r="AR78" s="35">
        <f>SUM(Tabla44[[#This Row],[VALOR FASE PREPARATORIA DE ALISTAMIENTO]:[VALOR RACION PREPARADA]])</f>
        <v>21801930</v>
      </c>
      <c r="AS78" s="35" t="str">
        <f>+IF(Tabla44[[#This Row],[AGRUPACIONES]]=1,SUMIFS(Tabla44[VALOR TOTAL],Tabla44[ZONA DEFINITIVO],Tabla44[[#This Row],[ZONA DEFINITIVO]])," ")</f>
        <v xml:space="preserve"> </v>
      </c>
      <c r="AT78" s="35">
        <f>VLOOKUP(Tabla44[[#This Row],[SERVICIO 2025]],$J$2:$V$15,10,0)*Tabla44[[#This Row],[TOTAL COBERTURA]]*$X$7</f>
        <v>14430640</v>
      </c>
      <c r="AU78" s="39">
        <f>Tabla44[[#This Row],[TOTAL CONTRATO (ICBF+EAS)]]+Tabla44[[#This Row],[VALOR COMPONENTE ALIMENTACION NO ASIGNADO]]</f>
        <v>36232570</v>
      </c>
      <c r="AV7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78" s="35">
        <f>(VLOOKUP(Tabla44[[#This Row],[SERVICIO 2025]],$J$2:$V$15,3,0)*Tabla44[[#This Row],[TOTAL COBERTURA]])+VLOOKUP(Tabla44[[#This Row],[SERVICIO 2025]],$J$2:$V$15,10,0)*Tabla44[[#This Row],[TOTAL COBERTURA]]</f>
        <v>4379690</v>
      </c>
      <c r="AX78" s="35">
        <f>(VLOOKUP(Tabla44[[#This Row],[SERVICIO 2025]],$J$2:$V$15,3,0)*Tabla44[[#This Row],[TOTAL COBERTURA]])+VLOOKUP(Tabla44[[#This Row],[SERVICIO 2025]],$J$2:$V$15,10,0)*Tabla44[[#This Row],[TOTAL COBERTURA]]</f>
        <v>4379690</v>
      </c>
      <c r="AY78" s="35">
        <f>(VLOOKUP(Tabla44[[#This Row],[SERVICIO 2025]],$J$2:$V$15,3,0)*Tabla44[[#This Row],[TOTAL COBERTURA]])+VLOOKUP(Tabla44[[#This Row],[SERVICIO 2025]],$J$2:$V$15,10,0)*Tabla44[[#This Row],[TOTAL COBERTURA]]</f>
        <v>4379690</v>
      </c>
      <c r="AZ78" s="35">
        <f>(VLOOKUP(Tabla44[[#This Row],[SERVICIO 2025]],$J$2:$V$15,3,0)*Tabla44[[#This Row],[TOTAL COBERTURA]])+VLOOKUP(Tabla44[[#This Row],[SERVICIO 2025]],$J$2:$V$15,10,0)*Tabla44[[#This Row],[TOTAL COBERTURA]]</f>
        <v>4379690</v>
      </c>
      <c r="BA78" s="35">
        <f>(VLOOKUP(Tabla44[[#This Row],[SERVICIO 2025]],$J$2:$V$15,3,0)*Tabla44[[#This Row],[TOTAL COBERTURA]])+VLOOKUP(Tabla44[[#This Row],[SERVICIO 2025]],$J$2:$V$15,10,0)*Tabla44[[#This Row],[TOTAL COBERTURA]]</f>
        <v>4379690</v>
      </c>
      <c r="BB78" s="35">
        <f>(VLOOKUP(Tabla44[[#This Row],[SERVICIO 2025]],$J$2:$V$15,3,0)*Tabla44[[#This Row],[TOTAL COBERTURA]])+VLOOKUP(Tabla44[[#This Row],[SERVICIO 2025]],$J$2:$V$15,10,0)*Tabla44[[#This Row],[TOTAL COBERTURA]]</f>
        <v>4379690</v>
      </c>
      <c r="BC7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78" s="35">
        <f>SUM(Tabla44[[#This Row],[DESEMBOLSO 1]:[DESEMBOLSO 8]])</f>
        <v>36232570</v>
      </c>
      <c r="BE78" s="12" t="b">
        <f>EXACT(Tabla44[[#This Row],[VALOR ATENCIÓN (8 MESES)]],Tabla44[[#This Row],[VALOR TOTAL]])</f>
        <v>1</v>
      </c>
      <c r="BF78" s="23">
        <f>Tabla44[[#This Row],[VALOR ATENCIÓN (8 MESES)]]-Tabla44[[#This Row],[VALOR TOTAL]]</f>
        <v>0</v>
      </c>
      <c r="BG78" s="12" t="b">
        <f>EXACT(Tabla44[[#This Row],[TOTAL DESEMBOLSOS]],Tabla44[[#This Row],[VALOR TOTAL DEL CONTRATO INCLUIDO EL COMPONENTE DE ALIMENTACIÓN]])</f>
        <v>1</v>
      </c>
      <c r="BH78" s="29">
        <f>Tabla44[[#This Row],[TOTAL DESEMBOLSOS]]-Tabla44[[#This Row],[VALOR TOTAL DEL CONTRATO INCLUIDO EL COMPONENTE DE ALIMENTACIÓN]]</f>
        <v>0</v>
      </c>
      <c r="BI78" t="s">
        <v>98</v>
      </c>
    </row>
    <row r="79" spans="1:61">
      <c r="A79" s="13">
        <v>1924</v>
      </c>
      <c r="B79" s="13"/>
      <c r="C79" s="12" t="s">
        <v>87</v>
      </c>
      <c r="D79" s="12" t="s">
        <v>1534</v>
      </c>
      <c r="E79" s="12" t="s">
        <v>2954</v>
      </c>
      <c r="F79" s="12" t="s">
        <v>2843</v>
      </c>
      <c r="G79" s="12" t="s">
        <v>90</v>
      </c>
      <c r="H79" s="12" t="s">
        <v>2969</v>
      </c>
      <c r="I79" s="36">
        <v>50441156062</v>
      </c>
      <c r="J79" s="12" t="s">
        <v>2970</v>
      </c>
      <c r="K79" s="12">
        <v>1</v>
      </c>
      <c r="L79" s="12">
        <v>23</v>
      </c>
      <c r="M79" s="12"/>
      <c r="N79" s="13">
        <v>1924</v>
      </c>
      <c r="O79" s="12" t="s">
        <v>2850</v>
      </c>
      <c r="P79" s="12"/>
      <c r="Q79" s="12"/>
      <c r="R79" s="12" t="s">
        <v>94</v>
      </c>
      <c r="S79" s="12">
        <v>10</v>
      </c>
      <c r="T79" s="12">
        <v>811021339</v>
      </c>
      <c r="U79" s="12" t="s">
        <v>2851</v>
      </c>
      <c r="V79" s="12">
        <f>VLOOKUP(Tabla44[[#This Row],[ZONA DEFINITIVO]],[1]Hoja1!$A$1:$D$125,3,0)</f>
        <v>229935</v>
      </c>
      <c r="W79" s="12">
        <f>VLOOKUP(Tabla44[[#This Row],[ZONA DEFINITIVO]],[1]Hoja1!$A$1:$D$125,2,0)</f>
        <v>17252</v>
      </c>
      <c r="X79" s="12">
        <f>VLOOKUP(Tabla44[[#This Row],[ZONA DEFINITIVO]],[1]Hoja1!$A$1:$D$125,4,0)</f>
        <v>104125</v>
      </c>
      <c r="Y79" s="12" t="str">
        <f>+IF(Tabla44[[#This Row],[AGRUPACIONES]]=1,SUMIFS(Tabla44[UDS],Tabla44[ZONA DEFINITIVO],Tabla44[[#This Row],[ZONA DEFINITIVO]])," ")</f>
        <v xml:space="preserve"> </v>
      </c>
      <c r="Z79" s="12" t="str">
        <f>+IF(Tabla44[[#This Row],[AGRUPACIONES]]=1,SUMIFS(Tabla44[TOTAL COBERTURA],Tabla44[ZONA DEFINITIVO],Tabla44[[#This Row],[ZONA DEFINITIVO]])," ")</f>
        <v xml:space="preserve"> </v>
      </c>
      <c r="AA79" s="12"/>
      <c r="AB79" s="35">
        <v>83334911</v>
      </c>
      <c r="AC79" s="37">
        <v>0</v>
      </c>
      <c r="AD79" s="35">
        <f t="shared" si="1"/>
        <v>0</v>
      </c>
      <c r="AE79" s="12"/>
      <c r="AF79" s="12">
        <f>COUNTIF($A$20:A79,A79)</f>
        <v>9</v>
      </c>
      <c r="AG79" s="38">
        <v>83334911</v>
      </c>
      <c r="AH79" s="38">
        <f>Tabla44[[#This Row],[VALOR CONTRAPARTIDA]]+Tabla44[[#This Row],[TOTAL APORTES ICBF]]</f>
        <v>83334911</v>
      </c>
      <c r="AI79" s="35" t="str">
        <f>+IF(Tabla44[[#This Row],[AGRUPACIONES]]=1,SUMIFS(Tabla44[TOTAL APORTES ICBF],Tabla44[ZONA DEFINITIVO],Tabla44[[#This Row],[ZONA DEFINITIVO]])," ")</f>
        <v xml:space="preserve"> </v>
      </c>
      <c r="AJ79" s="38"/>
      <c r="AK79" s="38"/>
      <c r="AL79" s="35"/>
      <c r="AM79" s="35">
        <f>VLOOKUP(Tabla44[[#This Row],[SERVICIO 2025]],$J$2:$V$15,5,0)*Tabla44[[#This Row],[TOTAL COBERTURA]]</f>
        <v>1135648</v>
      </c>
      <c r="AN79" s="35">
        <f>VLOOKUP(Tabla44[[#This Row],[SERVICIO 2025]],$J$2:$V$15,6,0)*Tabla44[[#This Row],[TOTAL COBERTURA]]</f>
        <v>943667</v>
      </c>
      <c r="AO79" s="35">
        <f>VLOOKUP(Tabla44[[#This Row],[SERVICIO 2025]],$J$2:$V$15,8,0)*Tabla44[[#This Row],[TOTAL COBERTURA]]</f>
        <v>669300</v>
      </c>
      <c r="AP79" s="35">
        <f>VLOOKUP(Tabla44[[#This Row],[SERVICIO 2025]],$J$2:$V$15,3,0)*Tabla44[[#This Row],[TOTAL COBERTURA]]*8</f>
        <v>80586296</v>
      </c>
      <c r="AQ79" s="35"/>
      <c r="AR79" s="35">
        <f>SUM(Tabla44[[#This Row],[VALOR FASE PREPARATORIA DE ALISTAMIENTO]:[VALOR RACION PREPARADA]])</f>
        <v>83334911</v>
      </c>
      <c r="AS79" s="35" t="str">
        <f>+IF(Tabla44[[#This Row],[AGRUPACIONES]]=1,SUMIFS(Tabla44[VALOR TOTAL],Tabla44[ZONA DEFINITIVO],Tabla44[[#This Row],[ZONA DEFINITIVO]])," ")</f>
        <v xml:space="preserve"> </v>
      </c>
      <c r="AT79" s="35">
        <f>VLOOKUP(Tabla44[[#This Row],[SERVICIO 2025]],$J$2:$V$15,10,0)*Tabla44[[#This Row],[TOTAL COBERTURA]]*$X$7</f>
        <v>0</v>
      </c>
      <c r="AU79" s="39">
        <f>Tabla44[[#This Row],[TOTAL CONTRATO (ICBF+EAS)]]+Tabla44[[#This Row],[VALOR COMPONENTE ALIMENTACION NO ASIGNADO]]</f>
        <v>83334911</v>
      </c>
      <c r="AV7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11878235</v>
      </c>
      <c r="AW79" s="35">
        <f>(VLOOKUP(Tabla44[[#This Row],[SERVICIO 2025]],$J$2:$V$15,3,0)*Tabla44[[#This Row],[TOTAL COBERTURA]])+VLOOKUP(Tabla44[[#This Row],[SERVICIO 2025]],$J$2:$V$15,10,0)*Tabla44[[#This Row],[TOTAL COBERTURA]]</f>
        <v>10073287</v>
      </c>
      <c r="AX79" s="35">
        <f>(VLOOKUP(Tabla44[[#This Row],[SERVICIO 2025]],$J$2:$V$15,3,0)*Tabla44[[#This Row],[TOTAL COBERTURA]])+VLOOKUP(Tabla44[[#This Row],[SERVICIO 2025]],$J$2:$V$15,10,0)*Tabla44[[#This Row],[TOTAL COBERTURA]]</f>
        <v>10073287</v>
      </c>
      <c r="AY79" s="35">
        <f>(VLOOKUP(Tabla44[[#This Row],[SERVICIO 2025]],$J$2:$V$15,3,0)*Tabla44[[#This Row],[TOTAL COBERTURA]])+VLOOKUP(Tabla44[[#This Row],[SERVICIO 2025]],$J$2:$V$15,10,0)*Tabla44[[#This Row],[TOTAL COBERTURA]]</f>
        <v>10073287</v>
      </c>
      <c r="AZ79" s="35">
        <f>(VLOOKUP(Tabla44[[#This Row],[SERVICIO 2025]],$J$2:$V$15,3,0)*Tabla44[[#This Row],[TOTAL COBERTURA]])+VLOOKUP(Tabla44[[#This Row],[SERVICIO 2025]],$J$2:$V$15,10,0)*Tabla44[[#This Row],[TOTAL COBERTURA]]</f>
        <v>10073287</v>
      </c>
      <c r="BA79" s="35">
        <f>(VLOOKUP(Tabla44[[#This Row],[SERVICIO 2025]],$J$2:$V$15,3,0)*Tabla44[[#This Row],[TOTAL COBERTURA]])+VLOOKUP(Tabla44[[#This Row],[SERVICIO 2025]],$J$2:$V$15,10,0)*Tabla44[[#This Row],[TOTAL COBERTURA]]</f>
        <v>10073287</v>
      </c>
      <c r="BB79" s="35">
        <f>(VLOOKUP(Tabla44[[#This Row],[SERVICIO 2025]],$J$2:$V$15,3,0)*Tabla44[[#This Row],[TOTAL COBERTURA]])+VLOOKUP(Tabla44[[#This Row],[SERVICIO 2025]],$J$2:$V$15,10,0)*Tabla44[[#This Row],[TOTAL COBERTURA]]</f>
        <v>10073287</v>
      </c>
      <c r="BC7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11016954</v>
      </c>
      <c r="BD79" s="35">
        <f>SUM(Tabla44[[#This Row],[DESEMBOLSO 1]:[DESEMBOLSO 8]])</f>
        <v>83334911</v>
      </c>
      <c r="BE79" s="12" t="b">
        <f>EXACT(Tabla44[[#This Row],[VALOR ATENCIÓN (8 MESES)]],Tabla44[[#This Row],[VALOR TOTAL]])</f>
        <v>1</v>
      </c>
      <c r="BF79" s="23">
        <f>Tabla44[[#This Row],[VALOR ATENCIÓN (8 MESES)]]-Tabla44[[#This Row],[VALOR TOTAL]]</f>
        <v>0</v>
      </c>
      <c r="BG79" s="12" t="b">
        <f>EXACT(Tabla44[[#This Row],[TOTAL DESEMBOLSOS]],Tabla44[[#This Row],[VALOR TOTAL DEL CONTRATO INCLUIDO EL COMPONENTE DE ALIMENTACIÓN]])</f>
        <v>1</v>
      </c>
      <c r="BH79" s="29">
        <f>Tabla44[[#This Row],[TOTAL DESEMBOLSOS]]-Tabla44[[#This Row],[VALOR TOTAL DEL CONTRATO INCLUIDO EL COMPONENTE DE ALIMENTACIÓN]]</f>
        <v>0</v>
      </c>
      <c r="BI79" t="s">
        <v>98</v>
      </c>
    </row>
    <row r="80" spans="1:61">
      <c r="A80" s="13">
        <v>1924</v>
      </c>
      <c r="B80" s="13"/>
      <c r="C80" s="12" t="s">
        <v>87</v>
      </c>
      <c r="D80" s="12" t="s">
        <v>1534</v>
      </c>
      <c r="E80" s="12" t="s">
        <v>2954</v>
      </c>
      <c r="F80" s="12" t="s">
        <v>2843</v>
      </c>
      <c r="G80" s="12" t="s">
        <v>90</v>
      </c>
      <c r="H80" s="12" t="s">
        <v>2971</v>
      </c>
      <c r="I80" s="36">
        <v>50441156063</v>
      </c>
      <c r="J80" s="12" t="s">
        <v>2972</v>
      </c>
      <c r="K80" s="12">
        <v>1</v>
      </c>
      <c r="L80" s="12">
        <v>18</v>
      </c>
      <c r="M80" s="12"/>
      <c r="N80" s="13">
        <v>1924</v>
      </c>
      <c r="O80" s="12" t="s">
        <v>2850</v>
      </c>
      <c r="P80" s="12"/>
      <c r="Q80" s="12"/>
      <c r="R80" s="12" t="s">
        <v>94</v>
      </c>
      <c r="S80" s="12">
        <v>10</v>
      </c>
      <c r="T80" s="12">
        <v>811021339</v>
      </c>
      <c r="U80" s="12" t="s">
        <v>2851</v>
      </c>
      <c r="V80" s="12">
        <f>VLOOKUP(Tabla44[[#This Row],[ZONA DEFINITIVO]],[1]Hoja1!$A$1:$D$125,3,0)</f>
        <v>229935</v>
      </c>
      <c r="W80" s="12">
        <f>VLOOKUP(Tabla44[[#This Row],[ZONA DEFINITIVO]],[1]Hoja1!$A$1:$D$125,2,0)</f>
        <v>17252</v>
      </c>
      <c r="X80" s="12">
        <f>VLOOKUP(Tabla44[[#This Row],[ZONA DEFINITIVO]],[1]Hoja1!$A$1:$D$125,4,0)</f>
        <v>104125</v>
      </c>
      <c r="Y80" s="12" t="str">
        <f>+IF(Tabla44[[#This Row],[AGRUPACIONES]]=1,SUMIFS(Tabla44[UDS],Tabla44[ZONA DEFINITIVO],Tabla44[[#This Row],[ZONA DEFINITIVO]])," ")</f>
        <v xml:space="preserve"> </v>
      </c>
      <c r="Z80" s="12" t="str">
        <f>+IF(Tabla44[[#This Row],[AGRUPACIONES]]=1,SUMIFS(Tabla44[TOTAL COBERTURA],Tabla44[ZONA DEFINITIVO],Tabla44[[#This Row],[ZONA DEFINITIVO]])," ")</f>
        <v xml:space="preserve"> </v>
      </c>
      <c r="AA80" s="12"/>
      <c r="AB80" s="35">
        <v>65218626</v>
      </c>
      <c r="AC80" s="37">
        <v>0</v>
      </c>
      <c r="AD80" s="35">
        <f t="shared" si="1"/>
        <v>0</v>
      </c>
      <c r="AE80" s="12"/>
      <c r="AF80" s="12">
        <f>COUNTIF($A$20:A80,A80)</f>
        <v>10</v>
      </c>
      <c r="AG80" s="38">
        <v>65218626</v>
      </c>
      <c r="AH80" s="38">
        <f>Tabla44[[#This Row],[VALOR CONTRAPARTIDA]]+Tabla44[[#This Row],[TOTAL APORTES ICBF]]</f>
        <v>65218626</v>
      </c>
      <c r="AI80" s="35" t="str">
        <f>+IF(Tabla44[[#This Row],[AGRUPACIONES]]=1,SUMIFS(Tabla44[TOTAL APORTES ICBF],Tabla44[ZONA DEFINITIVO],Tabla44[[#This Row],[ZONA DEFINITIVO]])," ")</f>
        <v xml:space="preserve"> </v>
      </c>
      <c r="AJ80" s="38"/>
      <c r="AK80" s="38"/>
      <c r="AL80" s="35"/>
      <c r="AM80" s="35">
        <f>VLOOKUP(Tabla44[[#This Row],[SERVICIO 2025]],$J$2:$V$15,5,0)*Tabla44[[#This Row],[TOTAL COBERTURA]]</f>
        <v>888768</v>
      </c>
      <c r="AN80" s="35">
        <f>VLOOKUP(Tabla44[[#This Row],[SERVICIO 2025]],$J$2:$V$15,6,0)*Tabla44[[#This Row],[TOTAL COBERTURA]]</f>
        <v>738522</v>
      </c>
      <c r="AO80" s="35">
        <f>VLOOKUP(Tabla44[[#This Row],[SERVICIO 2025]],$J$2:$V$15,8,0)*Tabla44[[#This Row],[TOTAL COBERTURA]]</f>
        <v>523800</v>
      </c>
      <c r="AP80" s="35">
        <f>VLOOKUP(Tabla44[[#This Row],[SERVICIO 2025]],$J$2:$V$15,3,0)*Tabla44[[#This Row],[TOTAL COBERTURA]]*8</f>
        <v>63067536</v>
      </c>
      <c r="AQ80" s="35"/>
      <c r="AR80" s="35">
        <f>SUM(Tabla44[[#This Row],[VALOR FASE PREPARATORIA DE ALISTAMIENTO]:[VALOR RACION PREPARADA]])</f>
        <v>65218626</v>
      </c>
      <c r="AS80" s="35" t="str">
        <f>+IF(Tabla44[[#This Row],[AGRUPACIONES]]=1,SUMIFS(Tabla44[VALOR TOTAL],Tabla44[ZONA DEFINITIVO],Tabla44[[#This Row],[ZONA DEFINITIVO]])," ")</f>
        <v xml:space="preserve"> </v>
      </c>
      <c r="AT80" s="35">
        <f>VLOOKUP(Tabla44[[#This Row],[SERVICIO 2025]],$J$2:$V$15,10,0)*Tabla44[[#This Row],[TOTAL COBERTURA]]*$X$7</f>
        <v>0</v>
      </c>
      <c r="AU80" s="39">
        <f>Tabla44[[#This Row],[TOTAL CONTRATO (ICBF+EAS)]]+Tabla44[[#This Row],[VALOR COMPONENTE ALIMENTACION NO ASIGNADO]]</f>
        <v>65218626</v>
      </c>
      <c r="AV8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80" s="35">
        <f>(VLOOKUP(Tabla44[[#This Row],[SERVICIO 2025]],$J$2:$V$15,3,0)*Tabla44[[#This Row],[TOTAL COBERTURA]])+VLOOKUP(Tabla44[[#This Row],[SERVICIO 2025]],$J$2:$V$15,10,0)*Tabla44[[#This Row],[TOTAL COBERTURA]]</f>
        <v>7883442</v>
      </c>
      <c r="AX80" s="35">
        <f>(VLOOKUP(Tabla44[[#This Row],[SERVICIO 2025]],$J$2:$V$15,3,0)*Tabla44[[#This Row],[TOTAL COBERTURA]])+VLOOKUP(Tabla44[[#This Row],[SERVICIO 2025]],$J$2:$V$15,10,0)*Tabla44[[#This Row],[TOTAL COBERTURA]]</f>
        <v>7883442</v>
      </c>
      <c r="AY80" s="35">
        <f>(VLOOKUP(Tabla44[[#This Row],[SERVICIO 2025]],$J$2:$V$15,3,0)*Tabla44[[#This Row],[TOTAL COBERTURA]])+VLOOKUP(Tabla44[[#This Row],[SERVICIO 2025]],$J$2:$V$15,10,0)*Tabla44[[#This Row],[TOTAL COBERTURA]]</f>
        <v>7883442</v>
      </c>
      <c r="AZ80" s="35">
        <f>(VLOOKUP(Tabla44[[#This Row],[SERVICIO 2025]],$J$2:$V$15,3,0)*Tabla44[[#This Row],[TOTAL COBERTURA]])+VLOOKUP(Tabla44[[#This Row],[SERVICIO 2025]],$J$2:$V$15,10,0)*Tabla44[[#This Row],[TOTAL COBERTURA]]</f>
        <v>7883442</v>
      </c>
      <c r="BA80" s="35">
        <f>(VLOOKUP(Tabla44[[#This Row],[SERVICIO 2025]],$J$2:$V$15,3,0)*Tabla44[[#This Row],[TOTAL COBERTURA]])+VLOOKUP(Tabla44[[#This Row],[SERVICIO 2025]],$J$2:$V$15,10,0)*Tabla44[[#This Row],[TOTAL COBERTURA]]</f>
        <v>7883442</v>
      </c>
      <c r="BB80" s="35">
        <f>(VLOOKUP(Tabla44[[#This Row],[SERVICIO 2025]],$J$2:$V$15,3,0)*Tabla44[[#This Row],[TOTAL COBERTURA]])+VLOOKUP(Tabla44[[#This Row],[SERVICIO 2025]],$J$2:$V$15,10,0)*Tabla44[[#This Row],[TOTAL COBERTURA]]</f>
        <v>7883442</v>
      </c>
      <c r="BC8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80" s="35">
        <f>SUM(Tabla44[[#This Row],[DESEMBOLSO 1]:[DESEMBOLSO 8]])</f>
        <v>65218626</v>
      </c>
      <c r="BE80" s="12" t="b">
        <f>EXACT(Tabla44[[#This Row],[VALOR ATENCIÓN (8 MESES)]],Tabla44[[#This Row],[VALOR TOTAL]])</f>
        <v>1</v>
      </c>
      <c r="BF80" s="23">
        <f>Tabla44[[#This Row],[VALOR ATENCIÓN (8 MESES)]]-Tabla44[[#This Row],[VALOR TOTAL]]</f>
        <v>0</v>
      </c>
      <c r="BG80" s="12" t="b">
        <f>EXACT(Tabla44[[#This Row],[TOTAL DESEMBOLSOS]],Tabla44[[#This Row],[VALOR TOTAL DEL CONTRATO INCLUIDO EL COMPONENTE DE ALIMENTACIÓN]])</f>
        <v>1</v>
      </c>
      <c r="BH80" s="29">
        <f>Tabla44[[#This Row],[TOTAL DESEMBOLSOS]]-Tabla44[[#This Row],[VALOR TOTAL DEL CONTRATO INCLUIDO EL COMPONENTE DE ALIMENTACIÓN]]</f>
        <v>0</v>
      </c>
      <c r="BI80" t="s">
        <v>98</v>
      </c>
    </row>
    <row r="81" spans="1:61">
      <c r="A81" s="13">
        <v>1924</v>
      </c>
      <c r="B81" s="13"/>
      <c r="C81" s="12" t="s">
        <v>87</v>
      </c>
      <c r="D81" s="12" t="s">
        <v>1534</v>
      </c>
      <c r="E81" s="12" t="s">
        <v>2954</v>
      </c>
      <c r="F81" s="12" t="s">
        <v>2843</v>
      </c>
      <c r="G81" s="12" t="s">
        <v>90</v>
      </c>
      <c r="H81" s="12" t="s">
        <v>2973</v>
      </c>
      <c r="I81" s="36">
        <v>50441156064</v>
      </c>
      <c r="J81" s="12" t="s">
        <v>2974</v>
      </c>
      <c r="K81" s="12">
        <v>1</v>
      </c>
      <c r="L81" s="12">
        <v>10</v>
      </c>
      <c r="M81" s="12"/>
      <c r="N81" s="13">
        <v>1924</v>
      </c>
      <c r="O81" s="12" t="s">
        <v>2850</v>
      </c>
      <c r="P81" s="12"/>
      <c r="Q81" s="12"/>
      <c r="R81" s="12" t="s">
        <v>94</v>
      </c>
      <c r="S81" s="12">
        <v>10</v>
      </c>
      <c r="T81" s="12">
        <v>811021339</v>
      </c>
      <c r="U81" s="12" t="s">
        <v>2851</v>
      </c>
      <c r="V81" s="12">
        <f>VLOOKUP(Tabla44[[#This Row],[ZONA DEFINITIVO]],[1]Hoja1!$A$1:$D$125,3,0)</f>
        <v>229935</v>
      </c>
      <c r="W81" s="12">
        <f>VLOOKUP(Tabla44[[#This Row],[ZONA DEFINITIVO]],[1]Hoja1!$A$1:$D$125,2,0)</f>
        <v>17252</v>
      </c>
      <c r="X81" s="12">
        <f>VLOOKUP(Tabla44[[#This Row],[ZONA DEFINITIVO]],[1]Hoja1!$A$1:$D$125,4,0)</f>
        <v>104125</v>
      </c>
      <c r="Y81" s="12" t="str">
        <f>+IF(Tabla44[[#This Row],[AGRUPACIONES]]=1,SUMIFS(Tabla44[UDS],Tabla44[ZONA DEFINITIVO],Tabla44[[#This Row],[ZONA DEFINITIVO]])," ")</f>
        <v xml:space="preserve"> </v>
      </c>
      <c r="Z81" s="12" t="str">
        <f>+IF(Tabla44[[#This Row],[AGRUPACIONES]]=1,SUMIFS(Tabla44[TOTAL COBERTURA],Tabla44[ZONA DEFINITIVO],Tabla44[[#This Row],[ZONA DEFINITIVO]])," ")</f>
        <v xml:space="preserve"> </v>
      </c>
      <c r="AA81" s="12"/>
      <c r="AB81" s="35">
        <v>36232570</v>
      </c>
      <c r="AC81" s="37">
        <v>0</v>
      </c>
      <c r="AD81" s="35">
        <f t="shared" si="1"/>
        <v>0</v>
      </c>
      <c r="AE81" s="12"/>
      <c r="AF81" s="12">
        <f>COUNTIF($A$20:A81,A81)</f>
        <v>11</v>
      </c>
      <c r="AG81" s="38">
        <v>36232570</v>
      </c>
      <c r="AH81" s="38">
        <f>Tabla44[[#This Row],[VALOR CONTRAPARTIDA]]+Tabla44[[#This Row],[TOTAL APORTES ICBF]]</f>
        <v>36232570</v>
      </c>
      <c r="AI81" s="35" t="str">
        <f>+IF(Tabla44[[#This Row],[AGRUPACIONES]]=1,SUMIFS(Tabla44[TOTAL APORTES ICBF],Tabla44[ZONA DEFINITIVO],Tabla44[[#This Row],[ZONA DEFINITIVO]])," ")</f>
        <v xml:space="preserve"> </v>
      </c>
      <c r="AJ81" s="38"/>
      <c r="AK81" s="38"/>
      <c r="AL81" s="35"/>
      <c r="AM81" s="35">
        <f>VLOOKUP(Tabla44[[#This Row],[SERVICIO 2025]],$J$2:$V$15,5,0)*Tabla44[[#This Row],[TOTAL COBERTURA]]</f>
        <v>493760</v>
      </c>
      <c r="AN81" s="35">
        <f>VLOOKUP(Tabla44[[#This Row],[SERVICIO 2025]],$J$2:$V$15,6,0)*Tabla44[[#This Row],[TOTAL COBERTURA]]</f>
        <v>410290</v>
      </c>
      <c r="AO81" s="35">
        <f>VLOOKUP(Tabla44[[#This Row],[SERVICIO 2025]],$J$2:$V$15,8,0)*Tabla44[[#This Row],[TOTAL COBERTURA]]</f>
        <v>291000</v>
      </c>
      <c r="AP81" s="35">
        <f>VLOOKUP(Tabla44[[#This Row],[SERVICIO 2025]],$J$2:$V$15,3,0)*Tabla44[[#This Row],[TOTAL COBERTURA]]*8</f>
        <v>35037520</v>
      </c>
      <c r="AQ81" s="35"/>
      <c r="AR81" s="35">
        <f>SUM(Tabla44[[#This Row],[VALOR FASE PREPARATORIA DE ALISTAMIENTO]:[VALOR RACION PREPARADA]])</f>
        <v>36232570</v>
      </c>
      <c r="AS81" s="35" t="str">
        <f>+IF(Tabla44[[#This Row],[AGRUPACIONES]]=1,SUMIFS(Tabla44[VALOR TOTAL],Tabla44[ZONA DEFINITIVO],Tabla44[[#This Row],[ZONA DEFINITIVO]])," ")</f>
        <v xml:space="preserve"> </v>
      </c>
      <c r="AT81" s="35">
        <f>VLOOKUP(Tabla44[[#This Row],[SERVICIO 2025]],$J$2:$V$15,10,0)*Tabla44[[#This Row],[TOTAL COBERTURA]]*$X$7</f>
        <v>0</v>
      </c>
      <c r="AU81" s="39">
        <f>Tabla44[[#This Row],[TOTAL CONTRATO (ICBF+EAS)]]+Tabla44[[#This Row],[VALOR COMPONENTE ALIMENTACION NO ASIGNADO]]</f>
        <v>36232570</v>
      </c>
      <c r="AV8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81" s="35">
        <f>(VLOOKUP(Tabla44[[#This Row],[SERVICIO 2025]],$J$2:$V$15,3,0)*Tabla44[[#This Row],[TOTAL COBERTURA]])+VLOOKUP(Tabla44[[#This Row],[SERVICIO 2025]],$J$2:$V$15,10,0)*Tabla44[[#This Row],[TOTAL COBERTURA]]</f>
        <v>4379690</v>
      </c>
      <c r="AX81" s="35">
        <f>(VLOOKUP(Tabla44[[#This Row],[SERVICIO 2025]],$J$2:$V$15,3,0)*Tabla44[[#This Row],[TOTAL COBERTURA]])+VLOOKUP(Tabla44[[#This Row],[SERVICIO 2025]],$J$2:$V$15,10,0)*Tabla44[[#This Row],[TOTAL COBERTURA]]</f>
        <v>4379690</v>
      </c>
      <c r="AY81" s="35">
        <f>(VLOOKUP(Tabla44[[#This Row],[SERVICIO 2025]],$J$2:$V$15,3,0)*Tabla44[[#This Row],[TOTAL COBERTURA]])+VLOOKUP(Tabla44[[#This Row],[SERVICIO 2025]],$J$2:$V$15,10,0)*Tabla44[[#This Row],[TOTAL COBERTURA]]</f>
        <v>4379690</v>
      </c>
      <c r="AZ81" s="35">
        <f>(VLOOKUP(Tabla44[[#This Row],[SERVICIO 2025]],$J$2:$V$15,3,0)*Tabla44[[#This Row],[TOTAL COBERTURA]])+VLOOKUP(Tabla44[[#This Row],[SERVICIO 2025]],$J$2:$V$15,10,0)*Tabla44[[#This Row],[TOTAL COBERTURA]]</f>
        <v>4379690</v>
      </c>
      <c r="BA81" s="35">
        <f>(VLOOKUP(Tabla44[[#This Row],[SERVICIO 2025]],$J$2:$V$15,3,0)*Tabla44[[#This Row],[TOTAL COBERTURA]])+VLOOKUP(Tabla44[[#This Row],[SERVICIO 2025]],$J$2:$V$15,10,0)*Tabla44[[#This Row],[TOTAL COBERTURA]]</f>
        <v>4379690</v>
      </c>
      <c r="BB81" s="35">
        <f>(VLOOKUP(Tabla44[[#This Row],[SERVICIO 2025]],$J$2:$V$15,3,0)*Tabla44[[#This Row],[TOTAL COBERTURA]])+VLOOKUP(Tabla44[[#This Row],[SERVICIO 2025]],$J$2:$V$15,10,0)*Tabla44[[#This Row],[TOTAL COBERTURA]]</f>
        <v>4379690</v>
      </c>
      <c r="BC8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81" s="35">
        <f>SUM(Tabla44[[#This Row],[DESEMBOLSO 1]:[DESEMBOLSO 8]])</f>
        <v>36232570</v>
      </c>
      <c r="BE81" s="12" t="b">
        <f>EXACT(Tabla44[[#This Row],[VALOR ATENCIÓN (8 MESES)]],Tabla44[[#This Row],[VALOR TOTAL]])</f>
        <v>1</v>
      </c>
      <c r="BF81" s="23">
        <f>Tabla44[[#This Row],[VALOR ATENCIÓN (8 MESES)]]-Tabla44[[#This Row],[VALOR TOTAL]]</f>
        <v>0</v>
      </c>
      <c r="BG81" s="12" t="b">
        <f>EXACT(Tabla44[[#This Row],[TOTAL DESEMBOLSOS]],Tabla44[[#This Row],[VALOR TOTAL DEL CONTRATO INCLUIDO EL COMPONENTE DE ALIMENTACIÓN]])</f>
        <v>1</v>
      </c>
      <c r="BH81" s="29">
        <f>Tabla44[[#This Row],[TOTAL DESEMBOLSOS]]-Tabla44[[#This Row],[VALOR TOTAL DEL CONTRATO INCLUIDO EL COMPONENTE DE ALIMENTACIÓN]]</f>
        <v>0</v>
      </c>
      <c r="BI81" t="s">
        <v>98</v>
      </c>
    </row>
    <row r="82" spans="1:61">
      <c r="A82" s="13">
        <v>1924</v>
      </c>
      <c r="B82" s="13"/>
      <c r="C82" s="12" t="s">
        <v>87</v>
      </c>
      <c r="D82" s="12" t="s">
        <v>1534</v>
      </c>
      <c r="E82" s="12" t="s">
        <v>2954</v>
      </c>
      <c r="F82" s="12" t="s">
        <v>2843</v>
      </c>
      <c r="G82" s="12" t="s">
        <v>90</v>
      </c>
      <c r="H82" s="12" t="s">
        <v>2955</v>
      </c>
      <c r="I82" s="36">
        <v>50441156065</v>
      </c>
      <c r="J82" s="12" t="s">
        <v>2975</v>
      </c>
      <c r="K82" s="12">
        <v>1</v>
      </c>
      <c r="L82" s="12">
        <v>10</v>
      </c>
      <c r="M82" s="12"/>
      <c r="N82" s="13">
        <v>1924</v>
      </c>
      <c r="O82" s="12" t="s">
        <v>2850</v>
      </c>
      <c r="P82" s="12"/>
      <c r="Q82" s="12"/>
      <c r="R82" s="12" t="s">
        <v>94</v>
      </c>
      <c r="S82" s="12">
        <v>10</v>
      </c>
      <c r="T82" s="12">
        <v>811021339</v>
      </c>
      <c r="U82" s="12" t="s">
        <v>2851</v>
      </c>
      <c r="V82" s="12">
        <f>VLOOKUP(Tabla44[[#This Row],[ZONA DEFINITIVO]],[1]Hoja1!$A$1:$D$125,3,0)</f>
        <v>229935</v>
      </c>
      <c r="W82" s="12">
        <f>VLOOKUP(Tabla44[[#This Row],[ZONA DEFINITIVO]],[1]Hoja1!$A$1:$D$125,2,0)</f>
        <v>17252</v>
      </c>
      <c r="X82" s="12">
        <f>VLOOKUP(Tabla44[[#This Row],[ZONA DEFINITIVO]],[1]Hoja1!$A$1:$D$125,4,0)</f>
        <v>104125</v>
      </c>
      <c r="Y82" s="12" t="str">
        <f>+IF(Tabla44[[#This Row],[AGRUPACIONES]]=1,SUMIFS(Tabla44[UDS],Tabla44[ZONA DEFINITIVO],Tabla44[[#This Row],[ZONA DEFINITIVO]])," ")</f>
        <v xml:space="preserve"> </v>
      </c>
      <c r="Z82" s="12" t="str">
        <f>+IF(Tabla44[[#This Row],[AGRUPACIONES]]=1,SUMIFS(Tabla44[TOTAL COBERTURA],Tabla44[ZONA DEFINITIVO],Tabla44[[#This Row],[ZONA DEFINITIVO]])," ")</f>
        <v xml:space="preserve"> </v>
      </c>
      <c r="AA82" s="12"/>
      <c r="AB82" s="35">
        <v>36232570</v>
      </c>
      <c r="AC82" s="37">
        <v>0</v>
      </c>
      <c r="AD82" s="35">
        <f t="shared" si="1"/>
        <v>0</v>
      </c>
      <c r="AE82" s="12"/>
      <c r="AF82" s="12">
        <f>COUNTIF($A$20:A82,A82)</f>
        <v>12</v>
      </c>
      <c r="AG82" s="38">
        <v>36232570</v>
      </c>
      <c r="AH82" s="38">
        <f>Tabla44[[#This Row],[VALOR CONTRAPARTIDA]]+Tabla44[[#This Row],[TOTAL APORTES ICBF]]</f>
        <v>36232570</v>
      </c>
      <c r="AI82" s="35" t="str">
        <f>+IF(Tabla44[[#This Row],[AGRUPACIONES]]=1,SUMIFS(Tabla44[TOTAL APORTES ICBF],Tabla44[ZONA DEFINITIVO],Tabla44[[#This Row],[ZONA DEFINITIVO]])," ")</f>
        <v xml:space="preserve"> </v>
      </c>
      <c r="AJ82" s="38"/>
      <c r="AK82" s="38"/>
      <c r="AL82" s="35"/>
      <c r="AM82" s="35">
        <f>VLOOKUP(Tabla44[[#This Row],[SERVICIO 2025]],$J$2:$V$15,5,0)*Tabla44[[#This Row],[TOTAL COBERTURA]]</f>
        <v>493760</v>
      </c>
      <c r="AN82" s="35">
        <f>VLOOKUP(Tabla44[[#This Row],[SERVICIO 2025]],$J$2:$V$15,6,0)*Tabla44[[#This Row],[TOTAL COBERTURA]]</f>
        <v>410290</v>
      </c>
      <c r="AO82" s="35">
        <f>VLOOKUP(Tabla44[[#This Row],[SERVICIO 2025]],$J$2:$V$15,8,0)*Tabla44[[#This Row],[TOTAL COBERTURA]]</f>
        <v>291000</v>
      </c>
      <c r="AP82" s="35">
        <f>VLOOKUP(Tabla44[[#This Row],[SERVICIO 2025]],$J$2:$V$15,3,0)*Tabla44[[#This Row],[TOTAL COBERTURA]]*8</f>
        <v>35037520</v>
      </c>
      <c r="AQ82" s="35"/>
      <c r="AR82" s="35">
        <f>SUM(Tabla44[[#This Row],[VALOR FASE PREPARATORIA DE ALISTAMIENTO]:[VALOR RACION PREPARADA]])</f>
        <v>36232570</v>
      </c>
      <c r="AS82" s="35" t="str">
        <f>+IF(Tabla44[[#This Row],[AGRUPACIONES]]=1,SUMIFS(Tabla44[VALOR TOTAL],Tabla44[ZONA DEFINITIVO],Tabla44[[#This Row],[ZONA DEFINITIVO]])," ")</f>
        <v xml:space="preserve"> </v>
      </c>
      <c r="AT82" s="35">
        <f>VLOOKUP(Tabla44[[#This Row],[SERVICIO 2025]],$J$2:$V$15,10,0)*Tabla44[[#This Row],[TOTAL COBERTURA]]*$X$7</f>
        <v>0</v>
      </c>
      <c r="AU82" s="39">
        <f>Tabla44[[#This Row],[TOTAL CONTRATO (ICBF+EAS)]]+Tabla44[[#This Row],[VALOR COMPONENTE ALIMENTACION NO ASIGNADO]]</f>
        <v>36232570</v>
      </c>
      <c r="AV8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82" s="35">
        <f>(VLOOKUP(Tabla44[[#This Row],[SERVICIO 2025]],$J$2:$V$15,3,0)*Tabla44[[#This Row],[TOTAL COBERTURA]])+VLOOKUP(Tabla44[[#This Row],[SERVICIO 2025]],$J$2:$V$15,10,0)*Tabla44[[#This Row],[TOTAL COBERTURA]]</f>
        <v>4379690</v>
      </c>
      <c r="AX82" s="35">
        <f>(VLOOKUP(Tabla44[[#This Row],[SERVICIO 2025]],$J$2:$V$15,3,0)*Tabla44[[#This Row],[TOTAL COBERTURA]])+VLOOKUP(Tabla44[[#This Row],[SERVICIO 2025]],$J$2:$V$15,10,0)*Tabla44[[#This Row],[TOTAL COBERTURA]]</f>
        <v>4379690</v>
      </c>
      <c r="AY82" s="35">
        <f>(VLOOKUP(Tabla44[[#This Row],[SERVICIO 2025]],$J$2:$V$15,3,0)*Tabla44[[#This Row],[TOTAL COBERTURA]])+VLOOKUP(Tabla44[[#This Row],[SERVICIO 2025]],$J$2:$V$15,10,0)*Tabla44[[#This Row],[TOTAL COBERTURA]]</f>
        <v>4379690</v>
      </c>
      <c r="AZ82" s="35">
        <f>(VLOOKUP(Tabla44[[#This Row],[SERVICIO 2025]],$J$2:$V$15,3,0)*Tabla44[[#This Row],[TOTAL COBERTURA]])+VLOOKUP(Tabla44[[#This Row],[SERVICIO 2025]],$J$2:$V$15,10,0)*Tabla44[[#This Row],[TOTAL COBERTURA]]</f>
        <v>4379690</v>
      </c>
      <c r="BA82" s="35">
        <f>(VLOOKUP(Tabla44[[#This Row],[SERVICIO 2025]],$J$2:$V$15,3,0)*Tabla44[[#This Row],[TOTAL COBERTURA]])+VLOOKUP(Tabla44[[#This Row],[SERVICIO 2025]],$J$2:$V$15,10,0)*Tabla44[[#This Row],[TOTAL COBERTURA]]</f>
        <v>4379690</v>
      </c>
      <c r="BB82" s="35">
        <f>(VLOOKUP(Tabla44[[#This Row],[SERVICIO 2025]],$J$2:$V$15,3,0)*Tabla44[[#This Row],[TOTAL COBERTURA]])+VLOOKUP(Tabla44[[#This Row],[SERVICIO 2025]],$J$2:$V$15,10,0)*Tabla44[[#This Row],[TOTAL COBERTURA]]</f>
        <v>4379690</v>
      </c>
      <c r="BC8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82" s="35">
        <f>SUM(Tabla44[[#This Row],[DESEMBOLSO 1]:[DESEMBOLSO 8]])</f>
        <v>36232570</v>
      </c>
      <c r="BE82" s="12" t="b">
        <f>EXACT(Tabla44[[#This Row],[VALOR ATENCIÓN (8 MESES)]],Tabla44[[#This Row],[VALOR TOTAL]])</f>
        <v>1</v>
      </c>
      <c r="BF82" s="23">
        <f>Tabla44[[#This Row],[VALOR ATENCIÓN (8 MESES)]]-Tabla44[[#This Row],[VALOR TOTAL]]</f>
        <v>0</v>
      </c>
      <c r="BG82" s="12" t="b">
        <f>EXACT(Tabla44[[#This Row],[TOTAL DESEMBOLSOS]],Tabla44[[#This Row],[VALOR TOTAL DEL CONTRATO INCLUIDO EL COMPONENTE DE ALIMENTACIÓN]])</f>
        <v>1</v>
      </c>
      <c r="BH82" s="29">
        <f>Tabla44[[#This Row],[TOTAL DESEMBOLSOS]]-Tabla44[[#This Row],[VALOR TOTAL DEL CONTRATO INCLUIDO EL COMPONENTE DE ALIMENTACIÓN]]</f>
        <v>0</v>
      </c>
      <c r="BI82" t="s">
        <v>98</v>
      </c>
    </row>
    <row r="83" spans="1:61">
      <c r="A83" s="13">
        <v>1924</v>
      </c>
      <c r="B83" s="13"/>
      <c r="C83" s="12" t="s">
        <v>87</v>
      </c>
      <c r="D83" s="12" t="s">
        <v>1534</v>
      </c>
      <c r="E83" s="12" t="s">
        <v>2954</v>
      </c>
      <c r="F83" s="12" t="s">
        <v>2843</v>
      </c>
      <c r="G83" s="12" t="s">
        <v>90</v>
      </c>
      <c r="H83" s="12" t="s">
        <v>1015</v>
      </c>
      <c r="I83" s="36">
        <v>50441156066</v>
      </c>
      <c r="J83" s="12" t="s">
        <v>2976</v>
      </c>
      <c r="K83" s="12">
        <v>1</v>
      </c>
      <c r="L83" s="12">
        <v>10</v>
      </c>
      <c r="M83" s="12"/>
      <c r="N83" s="13">
        <v>1924</v>
      </c>
      <c r="O83" s="12" t="s">
        <v>2850</v>
      </c>
      <c r="P83" s="12"/>
      <c r="Q83" s="12"/>
      <c r="R83" s="12" t="s">
        <v>94</v>
      </c>
      <c r="S83" s="12">
        <v>10</v>
      </c>
      <c r="T83" s="12">
        <v>811021339</v>
      </c>
      <c r="U83" s="12" t="s">
        <v>2851</v>
      </c>
      <c r="V83" s="12">
        <f>VLOOKUP(Tabla44[[#This Row],[ZONA DEFINITIVO]],[1]Hoja1!$A$1:$D$125,3,0)</f>
        <v>229935</v>
      </c>
      <c r="W83" s="12">
        <f>VLOOKUP(Tabla44[[#This Row],[ZONA DEFINITIVO]],[1]Hoja1!$A$1:$D$125,2,0)</f>
        <v>17252</v>
      </c>
      <c r="X83" s="12">
        <f>VLOOKUP(Tabla44[[#This Row],[ZONA DEFINITIVO]],[1]Hoja1!$A$1:$D$125,4,0)</f>
        <v>104125</v>
      </c>
      <c r="Y83" s="12" t="str">
        <f>+IF(Tabla44[[#This Row],[AGRUPACIONES]]=1,SUMIFS(Tabla44[UDS],Tabla44[ZONA DEFINITIVO],Tabla44[[#This Row],[ZONA DEFINITIVO]])," ")</f>
        <v xml:space="preserve"> </v>
      </c>
      <c r="Z83" s="12" t="str">
        <f>+IF(Tabla44[[#This Row],[AGRUPACIONES]]=1,SUMIFS(Tabla44[TOTAL COBERTURA],Tabla44[ZONA DEFINITIVO],Tabla44[[#This Row],[ZONA DEFINITIVO]])," ")</f>
        <v xml:space="preserve"> </v>
      </c>
      <c r="AA83" s="12"/>
      <c r="AB83" s="35">
        <v>36232570</v>
      </c>
      <c r="AC83" s="37">
        <v>0</v>
      </c>
      <c r="AD83" s="35">
        <f t="shared" si="1"/>
        <v>0</v>
      </c>
      <c r="AE83" s="12"/>
      <c r="AF83" s="12">
        <f>COUNTIF($A$20:A83,A83)</f>
        <v>13</v>
      </c>
      <c r="AG83" s="38">
        <v>36232570</v>
      </c>
      <c r="AH83" s="38">
        <f>Tabla44[[#This Row],[VALOR CONTRAPARTIDA]]+Tabla44[[#This Row],[TOTAL APORTES ICBF]]</f>
        <v>36232570</v>
      </c>
      <c r="AI83" s="35" t="str">
        <f>+IF(Tabla44[[#This Row],[AGRUPACIONES]]=1,SUMIFS(Tabla44[TOTAL APORTES ICBF],Tabla44[ZONA DEFINITIVO],Tabla44[[#This Row],[ZONA DEFINITIVO]])," ")</f>
        <v xml:space="preserve"> </v>
      </c>
      <c r="AJ83" s="38"/>
      <c r="AK83" s="38"/>
      <c r="AL83" s="35"/>
      <c r="AM83" s="35">
        <f>VLOOKUP(Tabla44[[#This Row],[SERVICIO 2025]],$J$2:$V$15,5,0)*Tabla44[[#This Row],[TOTAL COBERTURA]]</f>
        <v>493760</v>
      </c>
      <c r="AN83" s="35">
        <f>VLOOKUP(Tabla44[[#This Row],[SERVICIO 2025]],$J$2:$V$15,6,0)*Tabla44[[#This Row],[TOTAL COBERTURA]]</f>
        <v>410290</v>
      </c>
      <c r="AO83" s="35">
        <f>VLOOKUP(Tabla44[[#This Row],[SERVICIO 2025]],$J$2:$V$15,8,0)*Tabla44[[#This Row],[TOTAL COBERTURA]]</f>
        <v>291000</v>
      </c>
      <c r="AP83" s="35">
        <f>VLOOKUP(Tabla44[[#This Row],[SERVICIO 2025]],$J$2:$V$15,3,0)*Tabla44[[#This Row],[TOTAL COBERTURA]]*8</f>
        <v>35037520</v>
      </c>
      <c r="AQ83" s="35"/>
      <c r="AR83" s="35">
        <f>SUM(Tabla44[[#This Row],[VALOR FASE PREPARATORIA DE ALISTAMIENTO]:[VALOR RACION PREPARADA]])</f>
        <v>36232570</v>
      </c>
      <c r="AS83" s="35" t="str">
        <f>+IF(Tabla44[[#This Row],[AGRUPACIONES]]=1,SUMIFS(Tabla44[VALOR TOTAL],Tabla44[ZONA DEFINITIVO],Tabla44[[#This Row],[ZONA DEFINITIVO]])," ")</f>
        <v xml:space="preserve"> </v>
      </c>
      <c r="AT83" s="35">
        <f>VLOOKUP(Tabla44[[#This Row],[SERVICIO 2025]],$J$2:$V$15,10,0)*Tabla44[[#This Row],[TOTAL COBERTURA]]*$X$7</f>
        <v>0</v>
      </c>
      <c r="AU83" s="39">
        <f>Tabla44[[#This Row],[TOTAL CONTRATO (ICBF+EAS)]]+Tabla44[[#This Row],[VALOR COMPONENTE ALIMENTACION NO ASIGNADO]]</f>
        <v>36232570</v>
      </c>
      <c r="AV8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83" s="35">
        <f>(VLOOKUP(Tabla44[[#This Row],[SERVICIO 2025]],$J$2:$V$15,3,0)*Tabla44[[#This Row],[TOTAL COBERTURA]])+VLOOKUP(Tabla44[[#This Row],[SERVICIO 2025]],$J$2:$V$15,10,0)*Tabla44[[#This Row],[TOTAL COBERTURA]]</f>
        <v>4379690</v>
      </c>
      <c r="AX83" s="35">
        <f>(VLOOKUP(Tabla44[[#This Row],[SERVICIO 2025]],$J$2:$V$15,3,0)*Tabla44[[#This Row],[TOTAL COBERTURA]])+VLOOKUP(Tabla44[[#This Row],[SERVICIO 2025]],$J$2:$V$15,10,0)*Tabla44[[#This Row],[TOTAL COBERTURA]]</f>
        <v>4379690</v>
      </c>
      <c r="AY83" s="35">
        <f>(VLOOKUP(Tabla44[[#This Row],[SERVICIO 2025]],$J$2:$V$15,3,0)*Tabla44[[#This Row],[TOTAL COBERTURA]])+VLOOKUP(Tabla44[[#This Row],[SERVICIO 2025]],$J$2:$V$15,10,0)*Tabla44[[#This Row],[TOTAL COBERTURA]]</f>
        <v>4379690</v>
      </c>
      <c r="AZ83" s="35">
        <f>(VLOOKUP(Tabla44[[#This Row],[SERVICIO 2025]],$J$2:$V$15,3,0)*Tabla44[[#This Row],[TOTAL COBERTURA]])+VLOOKUP(Tabla44[[#This Row],[SERVICIO 2025]],$J$2:$V$15,10,0)*Tabla44[[#This Row],[TOTAL COBERTURA]]</f>
        <v>4379690</v>
      </c>
      <c r="BA83" s="35">
        <f>(VLOOKUP(Tabla44[[#This Row],[SERVICIO 2025]],$J$2:$V$15,3,0)*Tabla44[[#This Row],[TOTAL COBERTURA]])+VLOOKUP(Tabla44[[#This Row],[SERVICIO 2025]],$J$2:$V$15,10,0)*Tabla44[[#This Row],[TOTAL COBERTURA]]</f>
        <v>4379690</v>
      </c>
      <c r="BB83" s="35">
        <f>(VLOOKUP(Tabla44[[#This Row],[SERVICIO 2025]],$J$2:$V$15,3,0)*Tabla44[[#This Row],[TOTAL COBERTURA]])+VLOOKUP(Tabla44[[#This Row],[SERVICIO 2025]],$J$2:$V$15,10,0)*Tabla44[[#This Row],[TOTAL COBERTURA]]</f>
        <v>4379690</v>
      </c>
      <c r="BC8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83" s="35">
        <f>SUM(Tabla44[[#This Row],[DESEMBOLSO 1]:[DESEMBOLSO 8]])</f>
        <v>36232570</v>
      </c>
      <c r="BE83" s="12" t="b">
        <f>EXACT(Tabla44[[#This Row],[VALOR ATENCIÓN (8 MESES)]],Tabla44[[#This Row],[VALOR TOTAL]])</f>
        <v>1</v>
      </c>
      <c r="BF83" s="23">
        <f>Tabla44[[#This Row],[VALOR ATENCIÓN (8 MESES)]]-Tabla44[[#This Row],[VALOR TOTAL]]</f>
        <v>0</v>
      </c>
      <c r="BG83" s="12" t="b">
        <f>EXACT(Tabla44[[#This Row],[TOTAL DESEMBOLSOS]],Tabla44[[#This Row],[VALOR TOTAL DEL CONTRATO INCLUIDO EL COMPONENTE DE ALIMENTACIÓN]])</f>
        <v>1</v>
      </c>
      <c r="BH83" s="29">
        <f>Tabla44[[#This Row],[TOTAL DESEMBOLSOS]]-Tabla44[[#This Row],[VALOR TOTAL DEL CONTRATO INCLUIDO EL COMPONENTE DE ALIMENTACIÓN]]</f>
        <v>0</v>
      </c>
      <c r="BI83" t="s">
        <v>98</v>
      </c>
    </row>
    <row r="84" spans="1:61">
      <c r="A84" s="13">
        <v>1924</v>
      </c>
      <c r="B84" s="13"/>
      <c r="C84" s="12" t="s">
        <v>87</v>
      </c>
      <c r="D84" s="12" t="s">
        <v>1534</v>
      </c>
      <c r="E84" s="12" t="s">
        <v>2954</v>
      </c>
      <c r="F84" s="12" t="s">
        <v>14</v>
      </c>
      <c r="G84" s="12" t="s">
        <v>90</v>
      </c>
      <c r="H84" s="12" t="s">
        <v>2977</v>
      </c>
      <c r="I84" s="36">
        <v>504400080639</v>
      </c>
      <c r="J84" s="12" t="s">
        <v>264</v>
      </c>
      <c r="K84" s="12">
        <v>1</v>
      </c>
      <c r="L84" s="12">
        <v>39</v>
      </c>
      <c r="M84" s="12"/>
      <c r="N84" s="13">
        <v>1924</v>
      </c>
      <c r="O84" s="12" t="s">
        <v>2850</v>
      </c>
      <c r="P84" s="12"/>
      <c r="Q84" s="12"/>
      <c r="R84" s="12" t="s">
        <v>94</v>
      </c>
      <c r="S84" s="12">
        <v>10</v>
      </c>
      <c r="T84" s="12">
        <v>811021339</v>
      </c>
      <c r="U84" s="12" t="s">
        <v>2851</v>
      </c>
      <c r="V84" s="12">
        <f>VLOOKUP(Tabla44[[#This Row],[ZONA DEFINITIVO]],[1]Hoja1!$A$1:$D$125,3,0)</f>
        <v>229935</v>
      </c>
      <c r="W84" s="12">
        <f>VLOOKUP(Tabla44[[#This Row],[ZONA DEFINITIVO]],[1]Hoja1!$A$1:$D$125,2,0)</f>
        <v>17252</v>
      </c>
      <c r="X84" s="12">
        <f>VLOOKUP(Tabla44[[#This Row],[ZONA DEFINITIVO]],[1]Hoja1!$A$1:$D$125,4,0)</f>
        <v>104125</v>
      </c>
      <c r="Y84" s="12" t="str">
        <f>+IF(Tabla44[[#This Row],[AGRUPACIONES]]=1,SUMIFS(Tabla44[UDS],Tabla44[ZONA DEFINITIVO],Tabla44[[#This Row],[ZONA DEFINITIVO]])," ")</f>
        <v xml:space="preserve"> </v>
      </c>
      <c r="Z84" s="12" t="str">
        <f>+IF(Tabla44[[#This Row],[AGRUPACIONES]]=1,SUMIFS(Tabla44[TOTAL COBERTURA],Tabla44[ZONA DEFINITIVO],Tabla44[[#This Row],[ZONA DEFINITIVO]])," ")</f>
        <v xml:space="preserve"> </v>
      </c>
      <c r="AA84" s="12"/>
      <c r="AB84" s="35">
        <v>163365150</v>
      </c>
      <c r="AC84" s="37">
        <v>0</v>
      </c>
      <c r="AD84" s="35">
        <f t="shared" ref="AD84:AD147" si="2">AB84*AC84</f>
        <v>0</v>
      </c>
      <c r="AE84" s="12"/>
      <c r="AF84" s="12">
        <f>COUNTIF($A$20:A84,A84)</f>
        <v>14</v>
      </c>
      <c r="AG84" s="38">
        <v>163365150</v>
      </c>
      <c r="AH84" s="38">
        <f>Tabla44[[#This Row],[VALOR CONTRAPARTIDA]]+Tabla44[[#This Row],[TOTAL APORTES ICBF]]</f>
        <v>163365150</v>
      </c>
      <c r="AI84" s="35" t="str">
        <f>+IF(Tabla44[[#This Row],[AGRUPACIONES]]=1,SUMIFS(Tabla44[TOTAL APORTES ICBF],Tabla44[ZONA DEFINITIVO],Tabla44[[#This Row],[ZONA DEFINITIVO]])," ")</f>
        <v xml:space="preserve"> </v>
      </c>
      <c r="AJ84" s="38"/>
      <c r="AK84" s="38"/>
      <c r="AL84" s="35"/>
      <c r="AM84" s="35">
        <f>VLOOKUP(Tabla44[[#This Row],[SERVICIO 2025]],$J$2:$V$15,5,0)*Tabla44[[#This Row],[TOTAL COBERTURA]]</f>
        <v>3437577</v>
      </c>
      <c r="AN84" s="35">
        <f>VLOOKUP(Tabla44[[#This Row],[SERVICIO 2025]],$J$2:$V$15,6,0)*Tabla44[[#This Row],[TOTAL COBERTURA]]</f>
        <v>2926677</v>
      </c>
      <c r="AO84" s="35">
        <f>VLOOKUP(Tabla44[[#This Row],[SERVICIO 2025]],$J$2:$V$15,8,0)*Tabla44[[#This Row],[TOTAL COBERTURA]]</f>
        <v>0</v>
      </c>
      <c r="AP84" s="35">
        <f>VLOOKUP(Tabla44[[#This Row],[SERVICIO 2025]],$J$2:$V$15,3,0)*Tabla44[[#This Row],[TOTAL COBERTURA]]*8</f>
        <v>157000896</v>
      </c>
      <c r="AQ84" s="35"/>
      <c r="AR84" s="35">
        <f>SUM(Tabla44[[#This Row],[VALOR FASE PREPARATORIA DE ALISTAMIENTO]:[VALOR RACION PREPARADA]])</f>
        <v>163365150</v>
      </c>
      <c r="AS84" s="35" t="str">
        <f>+IF(Tabla44[[#This Row],[AGRUPACIONES]]=1,SUMIFS(Tabla44[VALOR TOTAL],Tabla44[ZONA DEFINITIVO],Tabla44[[#This Row],[ZONA DEFINITIVO]])," ")</f>
        <v xml:space="preserve"> </v>
      </c>
      <c r="AT84" s="35">
        <f>VLOOKUP(Tabla44[[#This Row],[SERVICIO 2025]],$J$2:$V$15,10,0)*Tabla44[[#This Row],[TOTAL COBERTURA]]*$X$7</f>
        <v>0</v>
      </c>
      <c r="AU84" s="39">
        <f>Tabla44[[#This Row],[TOTAL CONTRATO (ICBF+EAS)]]+Tabla44[[#This Row],[VALOR COMPONENTE ALIMENTACION NO ASIGNADO]]</f>
        <v>163365150</v>
      </c>
      <c r="AV8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23062689</v>
      </c>
      <c r="AW84" s="35">
        <f>(VLOOKUP(Tabla44[[#This Row],[SERVICIO 2025]],$J$2:$V$15,3,0)*Tabla44[[#This Row],[TOTAL COBERTURA]])+VLOOKUP(Tabla44[[#This Row],[SERVICIO 2025]],$J$2:$V$15,10,0)*Tabla44[[#This Row],[TOTAL COBERTURA]]</f>
        <v>19625112</v>
      </c>
      <c r="AX84" s="35">
        <f>(VLOOKUP(Tabla44[[#This Row],[SERVICIO 2025]],$J$2:$V$15,3,0)*Tabla44[[#This Row],[TOTAL COBERTURA]])+VLOOKUP(Tabla44[[#This Row],[SERVICIO 2025]],$J$2:$V$15,10,0)*Tabla44[[#This Row],[TOTAL COBERTURA]]</f>
        <v>19625112</v>
      </c>
      <c r="AY84" s="35">
        <f>(VLOOKUP(Tabla44[[#This Row],[SERVICIO 2025]],$J$2:$V$15,3,0)*Tabla44[[#This Row],[TOTAL COBERTURA]])+VLOOKUP(Tabla44[[#This Row],[SERVICIO 2025]],$J$2:$V$15,10,0)*Tabla44[[#This Row],[TOTAL COBERTURA]]</f>
        <v>19625112</v>
      </c>
      <c r="AZ84" s="35">
        <f>(VLOOKUP(Tabla44[[#This Row],[SERVICIO 2025]],$J$2:$V$15,3,0)*Tabla44[[#This Row],[TOTAL COBERTURA]])+VLOOKUP(Tabla44[[#This Row],[SERVICIO 2025]],$J$2:$V$15,10,0)*Tabla44[[#This Row],[TOTAL COBERTURA]]</f>
        <v>19625112</v>
      </c>
      <c r="BA84" s="35">
        <f>(VLOOKUP(Tabla44[[#This Row],[SERVICIO 2025]],$J$2:$V$15,3,0)*Tabla44[[#This Row],[TOTAL COBERTURA]])+VLOOKUP(Tabla44[[#This Row],[SERVICIO 2025]],$J$2:$V$15,10,0)*Tabla44[[#This Row],[TOTAL COBERTURA]]</f>
        <v>19625112</v>
      </c>
      <c r="BB84" s="35">
        <f>(VLOOKUP(Tabla44[[#This Row],[SERVICIO 2025]],$J$2:$V$15,3,0)*Tabla44[[#This Row],[TOTAL COBERTURA]])+VLOOKUP(Tabla44[[#This Row],[SERVICIO 2025]],$J$2:$V$15,10,0)*Tabla44[[#This Row],[TOTAL COBERTURA]]</f>
        <v>19625112</v>
      </c>
      <c r="BC8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22551789</v>
      </c>
      <c r="BD84" s="35">
        <f>SUM(Tabla44[[#This Row],[DESEMBOLSO 1]:[DESEMBOLSO 8]])</f>
        <v>163365150</v>
      </c>
      <c r="BE84" s="12" t="b">
        <f>EXACT(Tabla44[[#This Row],[VALOR ATENCIÓN (8 MESES)]],Tabla44[[#This Row],[VALOR TOTAL]])</f>
        <v>1</v>
      </c>
      <c r="BF84" s="23">
        <f>Tabla44[[#This Row],[VALOR ATENCIÓN (8 MESES)]]-Tabla44[[#This Row],[VALOR TOTAL]]</f>
        <v>0</v>
      </c>
      <c r="BG84" s="12" t="b">
        <f>EXACT(Tabla44[[#This Row],[TOTAL DESEMBOLSOS]],Tabla44[[#This Row],[VALOR TOTAL DEL CONTRATO INCLUIDO EL COMPONENTE DE ALIMENTACIÓN]])</f>
        <v>1</v>
      </c>
      <c r="BH84" s="29">
        <f>Tabla44[[#This Row],[TOTAL DESEMBOLSOS]]-Tabla44[[#This Row],[VALOR TOTAL DEL CONTRATO INCLUIDO EL COMPONENTE DE ALIMENTACIÓN]]</f>
        <v>0</v>
      </c>
      <c r="BI84" t="s">
        <v>98</v>
      </c>
    </row>
    <row r="85" spans="1:61">
      <c r="A85" s="13">
        <v>1924</v>
      </c>
      <c r="B85" s="13"/>
      <c r="C85" s="12" t="s">
        <v>87</v>
      </c>
      <c r="D85" s="12" t="s">
        <v>1534</v>
      </c>
      <c r="E85" s="12" t="s">
        <v>2978</v>
      </c>
      <c r="F85" s="12" t="s">
        <v>18</v>
      </c>
      <c r="G85" s="12" t="s">
        <v>90</v>
      </c>
      <c r="H85" s="12" t="s">
        <v>2979</v>
      </c>
      <c r="I85" s="36">
        <v>51131114923</v>
      </c>
      <c r="J85" s="12" t="s">
        <v>2980</v>
      </c>
      <c r="K85" s="12">
        <v>1</v>
      </c>
      <c r="L85" s="12">
        <v>7</v>
      </c>
      <c r="M85" s="12"/>
      <c r="N85" s="13">
        <v>1924</v>
      </c>
      <c r="O85" s="12" t="s">
        <v>2850</v>
      </c>
      <c r="P85" s="12"/>
      <c r="Q85" s="12"/>
      <c r="R85" s="12" t="s">
        <v>94</v>
      </c>
      <c r="S85" s="12">
        <v>10</v>
      </c>
      <c r="T85" s="12">
        <v>811021339</v>
      </c>
      <c r="U85" s="12" t="s">
        <v>2851</v>
      </c>
      <c r="V85" s="12">
        <f>VLOOKUP(Tabla44[[#This Row],[ZONA DEFINITIVO]],[1]Hoja1!$A$1:$D$125,3,0)</f>
        <v>229935</v>
      </c>
      <c r="W85" s="12">
        <f>VLOOKUP(Tabla44[[#This Row],[ZONA DEFINITIVO]],[1]Hoja1!$A$1:$D$125,2,0)</f>
        <v>17252</v>
      </c>
      <c r="X85" s="12">
        <f>VLOOKUP(Tabla44[[#This Row],[ZONA DEFINITIVO]],[1]Hoja1!$A$1:$D$125,4,0)</f>
        <v>104125</v>
      </c>
      <c r="Y85" s="12" t="str">
        <f>+IF(Tabla44[[#This Row],[AGRUPACIONES]]=1,SUMIFS(Tabla44[UDS],Tabla44[ZONA DEFINITIVO],Tabla44[[#This Row],[ZONA DEFINITIVO]])," ")</f>
        <v xml:space="preserve"> </v>
      </c>
      <c r="Z85" s="12" t="str">
        <f>+IF(Tabla44[[#This Row],[AGRUPACIONES]]=1,SUMIFS(Tabla44[TOTAL COBERTURA],Tabla44[ZONA DEFINITIVO],Tabla44[[#This Row],[ZONA DEFINITIVO]])," ")</f>
        <v xml:space="preserve"> </v>
      </c>
      <c r="AA85" s="12"/>
      <c r="AB85" s="35">
        <v>15261351</v>
      </c>
      <c r="AC85" s="37">
        <v>0</v>
      </c>
      <c r="AD85" s="35">
        <f t="shared" si="2"/>
        <v>0</v>
      </c>
      <c r="AE85" s="12"/>
      <c r="AF85" s="12">
        <f>COUNTIF($A$20:A85,A85)</f>
        <v>15</v>
      </c>
      <c r="AG85" s="38">
        <v>15261351</v>
      </c>
      <c r="AH85" s="38">
        <f>Tabla44[[#This Row],[VALOR CONTRAPARTIDA]]+Tabla44[[#This Row],[TOTAL APORTES ICBF]]</f>
        <v>15261351</v>
      </c>
      <c r="AI85" s="35" t="str">
        <f>+IF(Tabla44[[#This Row],[AGRUPACIONES]]=1,SUMIFS(Tabla44[TOTAL APORTES ICBF],Tabla44[ZONA DEFINITIVO],Tabla44[[#This Row],[ZONA DEFINITIVO]])," ")</f>
        <v xml:space="preserve"> </v>
      </c>
      <c r="AJ85" s="38"/>
      <c r="AK85" s="38"/>
      <c r="AL85" s="35"/>
      <c r="AM85" s="35">
        <f>VLOOKUP(Tabla44[[#This Row],[SERVICIO 2025]],$J$2:$V$15,5,0)*Tabla44[[#This Row],[TOTAL COBERTURA]]</f>
        <v>345632</v>
      </c>
      <c r="AN85" s="35">
        <f>VLOOKUP(Tabla44[[#This Row],[SERVICIO 2025]],$J$2:$V$15,6,0)*Tabla44[[#This Row],[TOTAL COBERTURA]]</f>
        <v>287203</v>
      </c>
      <c r="AO85" s="35">
        <f>VLOOKUP(Tabla44[[#This Row],[SERVICIO 2025]],$J$2:$V$15,8,0)*Tabla44[[#This Row],[TOTAL COBERTURA]]</f>
        <v>203700</v>
      </c>
      <c r="AP85" s="35">
        <f>VLOOKUP(Tabla44[[#This Row],[SERVICIO 2025]],$J$2:$V$15,3,0)*Tabla44[[#This Row],[TOTAL COBERTURA]]*8</f>
        <v>14424816</v>
      </c>
      <c r="AQ85" s="35"/>
      <c r="AR85" s="35">
        <f>SUM(Tabla44[[#This Row],[VALOR FASE PREPARATORIA DE ALISTAMIENTO]:[VALOR RACION PREPARADA]])</f>
        <v>15261351</v>
      </c>
      <c r="AS85" s="35" t="str">
        <f>+IF(Tabla44[[#This Row],[AGRUPACIONES]]=1,SUMIFS(Tabla44[VALOR TOTAL],Tabla44[ZONA DEFINITIVO],Tabla44[[#This Row],[ZONA DEFINITIVO]])," ")</f>
        <v xml:space="preserve"> </v>
      </c>
      <c r="AT85" s="35">
        <f>VLOOKUP(Tabla44[[#This Row],[SERVICIO 2025]],$J$2:$V$15,10,0)*Tabla44[[#This Row],[TOTAL COBERTURA]]*$X$7</f>
        <v>10101448</v>
      </c>
      <c r="AU85" s="39">
        <f>Tabla44[[#This Row],[TOTAL CONTRATO (ICBF+EAS)]]+Tabla44[[#This Row],[VALOR COMPONENTE ALIMENTACION NO ASIGNADO]]</f>
        <v>25362799</v>
      </c>
      <c r="AV8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3615115</v>
      </c>
      <c r="AW85" s="35">
        <f>(VLOOKUP(Tabla44[[#This Row],[SERVICIO 2025]],$J$2:$V$15,3,0)*Tabla44[[#This Row],[TOTAL COBERTURA]])+VLOOKUP(Tabla44[[#This Row],[SERVICIO 2025]],$J$2:$V$15,10,0)*Tabla44[[#This Row],[TOTAL COBERTURA]]</f>
        <v>3065783</v>
      </c>
      <c r="AX85" s="35">
        <f>(VLOOKUP(Tabla44[[#This Row],[SERVICIO 2025]],$J$2:$V$15,3,0)*Tabla44[[#This Row],[TOTAL COBERTURA]])+VLOOKUP(Tabla44[[#This Row],[SERVICIO 2025]],$J$2:$V$15,10,0)*Tabla44[[#This Row],[TOTAL COBERTURA]]</f>
        <v>3065783</v>
      </c>
      <c r="AY85" s="35">
        <f>(VLOOKUP(Tabla44[[#This Row],[SERVICIO 2025]],$J$2:$V$15,3,0)*Tabla44[[#This Row],[TOTAL COBERTURA]])+VLOOKUP(Tabla44[[#This Row],[SERVICIO 2025]],$J$2:$V$15,10,0)*Tabla44[[#This Row],[TOTAL COBERTURA]]</f>
        <v>3065783</v>
      </c>
      <c r="AZ85" s="35">
        <f>(VLOOKUP(Tabla44[[#This Row],[SERVICIO 2025]],$J$2:$V$15,3,0)*Tabla44[[#This Row],[TOTAL COBERTURA]])+VLOOKUP(Tabla44[[#This Row],[SERVICIO 2025]],$J$2:$V$15,10,0)*Tabla44[[#This Row],[TOTAL COBERTURA]]</f>
        <v>3065783</v>
      </c>
      <c r="BA85" s="35">
        <f>(VLOOKUP(Tabla44[[#This Row],[SERVICIO 2025]],$J$2:$V$15,3,0)*Tabla44[[#This Row],[TOTAL COBERTURA]])+VLOOKUP(Tabla44[[#This Row],[SERVICIO 2025]],$J$2:$V$15,10,0)*Tabla44[[#This Row],[TOTAL COBERTURA]]</f>
        <v>3065783</v>
      </c>
      <c r="BB85" s="35">
        <f>(VLOOKUP(Tabla44[[#This Row],[SERVICIO 2025]],$J$2:$V$15,3,0)*Tabla44[[#This Row],[TOTAL COBERTURA]])+VLOOKUP(Tabla44[[#This Row],[SERVICIO 2025]],$J$2:$V$15,10,0)*Tabla44[[#This Row],[TOTAL COBERTURA]]</f>
        <v>3065783</v>
      </c>
      <c r="BC8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3352986</v>
      </c>
      <c r="BD85" s="35">
        <f>SUM(Tabla44[[#This Row],[DESEMBOLSO 1]:[DESEMBOLSO 8]])</f>
        <v>25362799</v>
      </c>
      <c r="BE85" s="12" t="b">
        <f>EXACT(Tabla44[[#This Row],[VALOR ATENCIÓN (8 MESES)]],Tabla44[[#This Row],[VALOR TOTAL]])</f>
        <v>1</v>
      </c>
      <c r="BF85" s="23">
        <f>Tabla44[[#This Row],[VALOR ATENCIÓN (8 MESES)]]-Tabla44[[#This Row],[VALOR TOTAL]]</f>
        <v>0</v>
      </c>
      <c r="BG85" s="12" t="b">
        <f>EXACT(Tabla44[[#This Row],[TOTAL DESEMBOLSOS]],Tabla44[[#This Row],[VALOR TOTAL DEL CONTRATO INCLUIDO EL COMPONENTE DE ALIMENTACIÓN]])</f>
        <v>1</v>
      </c>
      <c r="BH85" s="29">
        <f>Tabla44[[#This Row],[TOTAL DESEMBOLSOS]]-Tabla44[[#This Row],[VALOR TOTAL DEL CONTRATO INCLUIDO EL COMPONENTE DE ALIMENTACIÓN]]</f>
        <v>0</v>
      </c>
      <c r="BI85" t="s">
        <v>98</v>
      </c>
    </row>
    <row r="86" spans="1:61">
      <c r="A86" s="13">
        <v>1924</v>
      </c>
      <c r="B86" s="13"/>
      <c r="C86" s="12" t="s">
        <v>87</v>
      </c>
      <c r="D86" s="12" t="s">
        <v>1534</v>
      </c>
      <c r="E86" s="12" t="s">
        <v>2978</v>
      </c>
      <c r="F86" s="12" t="s">
        <v>18</v>
      </c>
      <c r="G86" s="12" t="s">
        <v>90</v>
      </c>
      <c r="H86" s="12" t="s">
        <v>2981</v>
      </c>
      <c r="I86" s="36">
        <v>51131114925</v>
      </c>
      <c r="J86" s="12" t="s">
        <v>2982</v>
      </c>
      <c r="K86" s="12">
        <v>1</v>
      </c>
      <c r="L86" s="12">
        <v>11</v>
      </c>
      <c r="M86" s="12"/>
      <c r="N86" s="13">
        <v>1924</v>
      </c>
      <c r="O86" s="12" t="s">
        <v>2850</v>
      </c>
      <c r="P86" s="12"/>
      <c r="Q86" s="12"/>
      <c r="R86" s="12" t="s">
        <v>94</v>
      </c>
      <c r="S86" s="12">
        <v>10</v>
      </c>
      <c r="T86" s="12">
        <v>811021339</v>
      </c>
      <c r="U86" s="12" t="s">
        <v>2851</v>
      </c>
      <c r="V86" s="12">
        <f>VLOOKUP(Tabla44[[#This Row],[ZONA DEFINITIVO]],[1]Hoja1!$A$1:$D$125,3,0)</f>
        <v>229935</v>
      </c>
      <c r="W86" s="12">
        <f>VLOOKUP(Tabla44[[#This Row],[ZONA DEFINITIVO]],[1]Hoja1!$A$1:$D$125,2,0)</f>
        <v>17252</v>
      </c>
      <c r="X86" s="12">
        <f>VLOOKUP(Tabla44[[#This Row],[ZONA DEFINITIVO]],[1]Hoja1!$A$1:$D$125,4,0)</f>
        <v>104125</v>
      </c>
      <c r="Y86" s="12" t="str">
        <f>+IF(Tabla44[[#This Row],[AGRUPACIONES]]=1,SUMIFS(Tabla44[UDS],Tabla44[ZONA DEFINITIVO],Tabla44[[#This Row],[ZONA DEFINITIVO]])," ")</f>
        <v xml:space="preserve"> </v>
      </c>
      <c r="Z86" s="12" t="str">
        <f>+IF(Tabla44[[#This Row],[AGRUPACIONES]]=1,SUMIFS(Tabla44[TOTAL COBERTURA],Tabla44[ZONA DEFINITIVO],Tabla44[[#This Row],[ZONA DEFINITIVO]])," ")</f>
        <v xml:space="preserve"> </v>
      </c>
      <c r="AA86" s="12"/>
      <c r="AB86" s="35">
        <v>23982123</v>
      </c>
      <c r="AC86" s="37">
        <v>0</v>
      </c>
      <c r="AD86" s="35">
        <f t="shared" si="2"/>
        <v>0</v>
      </c>
      <c r="AE86" s="12"/>
      <c r="AF86" s="12">
        <f>COUNTIF($A$20:A86,A86)</f>
        <v>16</v>
      </c>
      <c r="AG86" s="38">
        <v>23982123</v>
      </c>
      <c r="AH86" s="38">
        <f>Tabla44[[#This Row],[VALOR CONTRAPARTIDA]]+Tabla44[[#This Row],[TOTAL APORTES ICBF]]</f>
        <v>23982123</v>
      </c>
      <c r="AI86" s="35" t="str">
        <f>+IF(Tabla44[[#This Row],[AGRUPACIONES]]=1,SUMIFS(Tabla44[TOTAL APORTES ICBF],Tabla44[ZONA DEFINITIVO],Tabla44[[#This Row],[ZONA DEFINITIVO]])," ")</f>
        <v xml:space="preserve"> </v>
      </c>
      <c r="AJ86" s="38"/>
      <c r="AK86" s="38"/>
      <c r="AL86" s="35"/>
      <c r="AM86" s="35">
        <f>VLOOKUP(Tabla44[[#This Row],[SERVICIO 2025]],$J$2:$V$15,5,0)*Tabla44[[#This Row],[TOTAL COBERTURA]]</f>
        <v>543136</v>
      </c>
      <c r="AN86" s="35">
        <f>VLOOKUP(Tabla44[[#This Row],[SERVICIO 2025]],$J$2:$V$15,6,0)*Tabla44[[#This Row],[TOTAL COBERTURA]]</f>
        <v>451319</v>
      </c>
      <c r="AO86" s="35">
        <f>VLOOKUP(Tabla44[[#This Row],[SERVICIO 2025]],$J$2:$V$15,8,0)*Tabla44[[#This Row],[TOTAL COBERTURA]]</f>
        <v>320100</v>
      </c>
      <c r="AP86" s="35">
        <f>VLOOKUP(Tabla44[[#This Row],[SERVICIO 2025]],$J$2:$V$15,3,0)*Tabla44[[#This Row],[TOTAL COBERTURA]]*8</f>
        <v>22667568</v>
      </c>
      <c r="AQ86" s="35"/>
      <c r="AR86" s="35">
        <f>SUM(Tabla44[[#This Row],[VALOR FASE PREPARATORIA DE ALISTAMIENTO]:[VALOR RACION PREPARADA]])</f>
        <v>23982123</v>
      </c>
      <c r="AS86" s="35" t="str">
        <f>+IF(Tabla44[[#This Row],[AGRUPACIONES]]=1,SUMIFS(Tabla44[VALOR TOTAL],Tabla44[ZONA DEFINITIVO],Tabla44[[#This Row],[ZONA DEFINITIVO]])," ")</f>
        <v xml:space="preserve"> </v>
      </c>
      <c r="AT86" s="35">
        <f>VLOOKUP(Tabla44[[#This Row],[SERVICIO 2025]],$J$2:$V$15,10,0)*Tabla44[[#This Row],[TOTAL COBERTURA]]*$X$7</f>
        <v>15873704</v>
      </c>
      <c r="AU86" s="39">
        <f>Tabla44[[#This Row],[TOTAL CONTRATO (ICBF+EAS)]]+Tabla44[[#This Row],[VALOR COMPONENTE ALIMENTACION NO ASIGNADO]]</f>
        <v>39855827</v>
      </c>
      <c r="AV8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86" s="35">
        <f>(VLOOKUP(Tabla44[[#This Row],[SERVICIO 2025]],$J$2:$V$15,3,0)*Tabla44[[#This Row],[TOTAL COBERTURA]])+VLOOKUP(Tabla44[[#This Row],[SERVICIO 2025]],$J$2:$V$15,10,0)*Tabla44[[#This Row],[TOTAL COBERTURA]]</f>
        <v>4817659</v>
      </c>
      <c r="AX86" s="35">
        <f>(VLOOKUP(Tabla44[[#This Row],[SERVICIO 2025]],$J$2:$V$15,3,0)*Tabla44[[#This Row],[TOTAL COBERTURA]])+VLOOKUP(Tabla44[[#This Row],[SERVICIO 2025]],$J$2:$V$15,10,0)*Tabla44[[#This Row],[TOTAL COBERTURA]]</f>
        <v>4817659</v>
      </c>
      <c r="AY86" s="35">
        <f>(VLOOKUP(Tabla44[[#This Row],[SERVICIO 2025]],$J$2:$V$15,3,0)*Tabla44[[#This Row],[TOTAL COBERTURA]])+VLOOKUP(Tabla44[[#This Row],[SERVICIO 2025]],$J$2:$V$15,10,0)*Tabla44[[#This Row],[TOTAL COBERTURA]]</f>
        <v>4817659</v>
      </c>
      <c r="AZ86" s="35">
        <f>(VLOOKUP(Tabla44[[#This Row],[SERVICIO 2025]],$J$2:$V$15,3,0)*Tabla44[[#This Row],[TOTAL COBERTURA]])+VLOOKUP(Tabla44[[#This Row],[SERVICIO 2025]],$J$2:$V$15,10,0)*Tabla44[[#This Row],[TOTAL COBERTURA]]</f>
        <v>4817659</v>
      </c>
      <c r="BA86" s="35">
        <f>(VLOOKUP(Tabla44[[#This Row],[SERVICIO 2025]],$J$2:$V$15,3,0)*Tabla44[[#This Row],[TOTAL COBERTURA]])+VLOOKUP(Tabla44[[#This Row],[SERVICIO 2025]],$J$2:$V$15,10,0)*Tabla44[[#This Row],[TOTAL COBERTURA]]</f>
        <v>4817659</v>
      </c>
      <c r="BB86" s="35">
        <f>(VLOOKUP(Tabla44[[#This Row],[SERVICIO 2025]],$J$2:$V$15,3,0)*Tabla44[[#This Row],[TOTAL COBERTURA]])+VLOOKUP(Tabla44[[#This Row],[SERVICIO 2025]],$J$2:$V$15,10,0)*Tabla44[[#This Row],[TOTAL COBERTURA]]</f>
        <v>4817659</v>
      </c>
      <c r="BC8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86" s="35">
        <f>SUM(Tabla44[[#This Row],[DESEMBOLSO 1]:[DESEMBOLSO 8]])</f>
        <v>39855827</v>
      </c>
      <c r="BE86" s="12" t="b">
        <f>EXACT(Tabla44[[#This Row],[VALOR ATENCIÓN (8 MESES)]],Tabla44[[#This Row],[VALOR TOTAL]])</f>
        <v>1</v>
      </c>
      <c r="BF86" s="23">
        <f>Tabla44[[#This Row],[VALOR ATENCIÓN (8 MESES)]]-Tabla44[[#This Row],[VALOR TOTAL]]</f>
        <v>0</v>
      </c>
      <c r="BG86" s="12" t="b">
        <f>EXACT(Tabla44[[#This Row],[TOTAL DESEMBOLSOS]],Tabla44[[#This Row],[VALOR TOTAL DEL CONTRATO INCLUIDO EL COMPONENTE DE ALIMENTACIÓN]])</f>
        <v>1</v>
      </c>
      <c r="BH86" s="29">
        <f>Tabla44[[#This Row],[TOTAL DESEMBOLSOS]]-Tabla44[[#This Row],[VALOR TOTAL DEL CONTRATO INCLUIDO EL COMPONENTE DE ALIMENTACIÓN]]</f>
        <v>0</v>
      </c>
      <c r="BI86" t="s">
        <v>98</v>
      </c>
    </row>
    <row r="87" spans="1:61">
      <c r="A87" s="13">
        <v>1924</v>
      </c>
      <c r="B87" s="13"/>
      <c r="C87" s="12" t="s">
        <v>87</v>
      </c>
      <c r="D87" s="12" t="s">
        <v>1534</v>
      </c>
      <c r="E87" s="12" t="s">
        <v>2978</v>
      </c>
      <c r="F87" s="12" t="s">
        <v>18</v>
      </c>
      <c r="G87" s="12" t="s">
        <v>90</v>
      </c>
      <c r="H87" s="12" t="s">
        <v>2889</v>
      </c>
      <c r="I87" s="36">
        <v>51131114926</v>
      </c>
      <c r="J87" s="12" t="s">
        <v>2983</v>
      </c>
      <c r="K87" s="12">
        <v>1</v>
      </c>
      <c r="L87" s="12">
        <v>20</v>
      </c>
      <c r="M87" s="12"/>
      <c r="N87" s="13">
        <v>1924</v>
      </c>
      <c r="O87" s="12" t="s">
        <v>2850</v>
      </c>
      <c r="P87" s="12"/>
      <c r="Q87" s="12"/>
      <c r="R87" s="12" t="s">
        <v>94</v>
      </c>
      <c r="S87" s="12">
        <v>10</v>
      </c>
      <c r="T87" s="12">
        <v>811021339</v>
      </c>
      <c r="U87" s="12" t="s">
        <v>2851</v>
      </c>
      <c r="V87" s="12">
        <f>VLOOKUP(Tabla44[[#This Row],[ZONA DEFINITIVO]],[1]Hoja1!$A$1:$D$125,3,0)</f>
        <v>229935</v>
      </c>
      <c r="W87" s="12">
        <f>VLOOKUP(Tabla44[[#This Row],[ZONA DEFINITIVO]],[1]Hoja1!$A$1:$D$125,2,0)</f>
        <v>17252</v>
      </c>
      <c r="X87" s="12">
        <f>VLOOKUP(Tabla44[[#This Row],[ZONA DEFINITIVO]],[1]Hoja1!$A$1:$D$125,4,0)</f>
        <v>104125</v>
      </c>
      <c r="Y87" s="12" t="str">
        <f>+IF(Tabla44[[#This Row],[AGRUPACIONES]]=1,SUMIFS(Tabla44[UDS],Tabla44[ZONA DEFINITIVO],Tabla44[[#This Row],[ZONA DEFINITIVO]])," ")</f>
        <v xml:space="preserve"> </v>
      </c>
      <c r="Z87" s="12" t="str">
        <f>+IF(Tabla44[[#This Row],[AGRUPACIONES]]=1,SUMIFS(Tabla44[TOTAL COBERTURA],Tabla44[ZONA DEFINITIVO],Tabla44[[#This Row],[ZONA DEFINITIVO]])," ")</f>
        <v xml:space="preserve"> </v>
      </c>
      <c r="AA87" s="12"/>
      <c r="AB87" s="35">
        <v>43603860</v>
      </c>
      <c r="AC87" s="37">
        <v>0</v>
      </c>
      <c r="AD87" s="35">
        <f t="shared" si="2"/>
        <v>0</v>
      </c>
      <c r="AE87" s="12"/>
      <c r="AF87" s="12">
        <f>COUNTIF($A$20:A87,A87)</f>
        <v>17</v>
      </c>
      <c r="AG87" s="38">
        <v>43603860</v>
      </c>
      <c r="AH87" s="38">
        <f>Tabla44[[#This Row],[VALOR CONTRAPARTIDA]]+Tabla44[[#This Row],[TOTAL APORTES ICBF]]</f>
        <v>43603860</v>
      </c>
      <c r="AI87" s="35" t="str">
        <f>+IF(Tabla44[[#This Row],[AGRUPACIONES]]=1,SUMIFS(Tabla44[TOTAL APORTES ICBF],Tabla44[ZONA DEFINITIVO],Tabla44[[#This Row],[ZONA DEFINITIVO]])," ")</f>
        <v xml:space="preserve"> </v>
      </c>
      <c r="AJ87" s="38"/>
      <c r="AK87" s="38"/>
      <c r="AL87" s="35"/>
      <c r="AM87" s="35">
        <f>VLOOKUP(Tabla44[[#This Row],[SERVICIO 2025]],$J$2:$V$15,5,0)*Tabla44[[#This Row],[TOTAL COBERTURA]]</f>
        <v>987520</v>
      </c>
      <c r="AN87" s="35">
        <f>VLOOKUP(Tabla44[[#This Row],[SERVICIO 2025]],$J$2:$V$15,6,0)*Tabla44[[#This Row],[TOTAL COBERTURA]]</f>
        <v>820580</v>
      </c>
      <c r="AO87" s="35">
        <f>VLOOKUP(Tabla44[[#This Row],[SERVICIO 2025]],$J$2:$V$15,8,0)*Tabla44[[#This Row],[TOTAL COBERTURA]]</f>
        <v>582000</v>
      </c>
      <c r="AP87" s="35">
        <f>VLOOKUP(Tabla44[[#This Row],[SERVICIO 2025]],$J$2:$V$15,3,0)*Tabla44[[#This Row],[TOTAL COBERTURA]]*8</f>
        <v>41213760</v>
      </c>
      <c r="AQ87" s="35"/>
      <c r="AR87" s="35">
        <f>SUM(Tabla44[[#This Row],[VALOR FASE PREPARATORIA DE ALISTAMIENTO]:[VALOR RACION PREPARADA]])</f>
        <v>43603860</v>
      </c>
      <c r="AS87" s="35" t="str">
        <f>+IF(Tabla44[[#This Row],[AGRUPACIONES]]=1,SUMIFS(Tabla44[VALOR TOTAL],Tabla44[ZONA DEFINITIVO],Tabla44[[#This Row],[ZONA DEFINITIVO]])," ")</f>
        <v xml:space="preserve"> </v>
      </c>
      <c r="AT87" s="35">
        <f>VLOOKUP(Tabla44[[#This Row],[SERVICIO 2025]],$J$2:$V$15,10,0)*Tabla44[[#This Row],[TOTAL COBERTURA]]*$X$7</f>
        <v>28861280</v>
      </c>
      <c r="AU87" s="39">
        <f>Tabla44[[#This Row],[TOTAL CONTRATO (ICBF+EAS)]]+Tabla44[[#This Row],[VALOR COMPONENTE ALIMENTACION NO ASIGNADO]]</f>
        <v>72465140</v>
      </c>
      <c r="AV8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87" s="35">
        <f>(VLOOKUP(Tabla44[[#This Row],[SERVICIO 2025]],$J$2:$V$15,3,0)*Tabla44[[#This Row],[TOTAL COBERTURA]])+VLOOKUP(Tabla44[[#This Row],[SERVICIO 2025]],$J$2:$V$15,10,0)*Tabla44[[#This Row],[TOTAL COBERTURA]]</f>
        <v>8759380</v>
      </c>
      <c r="AX87" s="35">
        <f>(VLOOKUP(Tabla44[[#This Row],[SERVICIO 2025]],$J$2:$V$15,3,0)*Tabla44[[#This Row],[TOTAL COBERTURA]])+VLOOKUP(Tabla44[[#This Row],[SERVICIO 2025]],$J$2:$V$15,10,0)*Tabla44[[#This Row],[TOTAL COBERTURA]]</f>
        <v>8759380</v>
      </c>
      <c r="AY87" s="35">
        <f>(VLOOKUP(Tabla44[[#This Row],[SERVICIO 2025]],$J$2:$V$15,3,0)*Tabla44[[#This Row],[TOTAL COBERTURA]])+VLOOKUP(Tabla44[[#This Row],[SERVICIO 2025]],$J$2:$V$15,10,0)*Tabla44[[#This Row],[TOTAL COBERTURA]]</f>
        <v>8759380</v>
      </c>
      <c r="AZ87" s="35">
        <f>(VLOOKUP(Tabla44[[#This Row],[SERVICIO 2025]],$J$2:$V$15,3,0)*Tabla44[[#This Row],[TOTAL COBERTURA]])+VLOOKUP(Tabla44[[#This Row],[SERVICIO 2025]],$J$2:$V$15,10,0)*Tabla44[[#This Row],[TOTAL COBERTURA]]</f>
        <v>8759380</v>
      </c>
      <c r="BA87" s="35">
        <f>(VLOOKUP(Tabla44[[#This Row],[SERVICIO 2025]],$J$2:$V$15,3,0)*Tabla44[[#This Row],[TOTAL COBERTURA]])+VLOOKUP(Tabla44[[#This Row],[SERVICIO 2025]],$J$2:$V$15,10,0)*Tabla44[[#This Row],[TOTAL COBERTURA]]</f>
        <v>8759380</v>
      </c>
      <c r="BB87" s="35">
        <f>(VLOOKUP(Tabla44[[#This Row],[SERVICIO 2025]],$J$2:$V$15,3,0)*Tabla44[[#This Row],[TOTAL COBERTURA]])+VLOOKUP(Tabla44[[#This Row],[SERVICIO 2025]],$J$2:$V$15,10,0)*Tabla44[[#This Row],[TOTAL COBERTURA]]</f>
        <v>8759380</v>
      </c>
      <c r="BC8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87" s="35">
        <f>SUM(Tabla44[[#This Row],[DESEMBOLSO 1]:[DESEMBOLSO 8]])</f>
        <v>72465140</v>
      </c>
      <c r="BE87" s="12" t="b">
        <f>EXACT(Tabla44[[#This Row],[VALOR ATENCIÓN (8 MESES)]],Tabla44[[#This Row],[VALOR TOTAL]])</f>
        <v>1</v>
      </c>
      <c r="BF87" s="23">
        <f>Tabla44[[#This Row],[VALOR ATENCIÓN (8 MESES)]]-Tabla44[[#This Row],[VALOR TOTAL]]</f>
        <v>0</v>
      </c>
      <c r="BG87" s="12" t="b">
        <f>EXACT(Tabla44[[#This Row],[TOTAL DESEMBOLSOS]],Tabla44[[#This Row],[VALOR TOTAL DEL CONTRATO INCLUIDO EL COMPONENTE DE ALIMENTACIÓN]])</f>
        <v>1</v>
      </c>
      <c r="BH87" s="29">
        <f>Tabla44[[#This Row],[TOTAL DESEMBOLSOS]]-Tabla44[[#This Row],[VALOR TOTAL DEL CONTRATO INCLUIDO EL COMPONENTE DE ALIMENTACIÓN]]</f>
        <v>0</v>
      </c>
      <c r="BI87" t="s">
        <v>98</v>
      </c>
    </row>
    <row r="88" spans="1:61">
      <c r="A88" s="13">
        <v>1924</v>
      </c>
      <c r="B88" s="13"/>
      <c r="C88" s="12" t="s">
        <v>87</v>
      </c>
      <c r="D88" s="12" t="s">
        <v>1534</v>
      </c>
      <c r="E88" s="12" t="s">
        <v>2978</v>
      </c>
      <c r="F88" s="12" t="s">
        <v>18</v>
      </c>
      <c r="G88" s="12" t="s">
        <v>90</v>
      </c>
      <c r="H88" s="12" t="s">
        <v>2984</v>
      </c>
      <c r="I88" s="36">
        <v>51131114930</v>
      </c>
      <c r="J88" s="12" t="s">
        <v>2985</v>
      </c>
      <c r="K88" s="12">
        <v>1</v>
      </c>
      <c r="L88" s="12">
        <v>11</v>
      </c>
      <c r="M88" s="12"/>
      <c r="N88" s="13">
        <v>1924</v>
      </c>
      <c r="O88" s="12" t="s">
        <v>2850</v>
      </c>
      <c r="P88" s="12"/>
      <c r="Q88" s="12"/>
      <c r="R88" s="12" t="s">
        <v>94</v>
      </c>
      <c r="S88" s="12">
        <v>10</v>
      </c>
      <c r="T88" s="12">
        <v>811021339</v>
      </c>
      <c r="U88" s="12" t="s">
        <v>2851</v>
      </c>
      <c r="V88" s="12">
        <f>VLOOKUP(Tabla44[[#This Row],[ZONA DEFINITIVO]],[1]Hoja1!$A$1:$D$125,3,0)</f>
        <v>229935</v>
      </c>
      <c r="W88" s="12">
        <f>VLOOKUP(Tabla44[[#This Row],[ZONA DEFINITIVO]],[1]Hoja1!$A$1:$D$125,2,0)</f>
        <v>17252</v>
      </c>
      <c r="X88" s="12">
        <f>VLOOKUP(Tabla44[[#This Row],[ZONA DEFINITIVO]],[1]Hoja1!$A$1:$D$125,4,0)</f>
        <v>104125</v>
      </c>
      <c r="Y88" s="12" t="str">
        <f>+IF(Tabla44[[#This Row],[AGRUPACIONES]]=1,SUMIFS(Tabla44[UDS],Tabla44[ZONA DEFINITIVO],Tabla44[[#This Row],[ZONA DEFINITIVO]])," ")</f>
        <v xml:space="preserve"> </v>
      </c>
      <c r="Z88" s="12" t="str">
        <f>+IF(Tabla44[[#This Row],[AGRUPACIONES]]=1,SUMIFS(Tabla44[TOTAL COBERTURA],Tabla44[ZONA DEFINITIVO],Tabla44[[#This Row],[ZONA DEFINITIVO]])," ")</f>
        <v xml:space="preserve"> </v>
      </c>
      <c r="AA88" s="12"/>
      <c r="AB88" s="35">
        <v>23982123</v>
      </c>
      <c r="AC88" s="37">
        <v>0</v>
      </c>
      <c r="AD88" s="35">
        <f t="shared" si="2"/>
        <v>0</v>
      </c>
      <c r="AE88" s="12"/>
      <c r="AF88" s="12">
        <f>COUNTIF($A$20:A88,A88)</f>
        <v>18</v>
      </c>
      <c r="AG88" s="38">
        <v>23982123</v>
      </c>
      <c r="AH88" s="38">
        <f>Tabla44[[#This Row],[VALOR CONTRAPARTIDA]]+Tabla44[[#This Row],[TOTAL APORTES ICBF]]</f>
        <v>23982123</v>
      </c>
      <c r="AI88" s="35" t="str">
        <f>+IF(Tabla44[[#This Row],[AGRUPACIONES]]=1,SUMIFS(Tabla44[TOTAL APORTES ICBF],Tabla44[ZONA DEFINITIVO],Tabla44[[#This Row],[ZONA DEFINITIVO]])," ")</f>
        <v xml:space="preserve"> </v>
      </c>
      <c r="AJ88" s="38"/>
      <c r="AK88" s="38"/>
      <c r="AL88" s="35"/>
      <c r="AM88" s="35">
        <f>VLOOKUP(Tabla44[[#This Row],[SERVICIO 2025]],$J$2:$V$15,5,0)*Tabla44[[#This Row],[TOTAL COBERTURA]]</f>
        <v>543136</v>
      </c>
      <c r="AN88" s="35">
        <f>VLOOKUP(Tabla44[[#This Row],[SERVICIO 2025]],$J$2:$V$15,6,0)*Tabla44[[#This Row],[TOTAL COBERTURA]]</f>
        <v>451319</v>
      </c>
      <c r="AO88" s="35">
        <f>VLOOKUP(Tabla44[[#This Row],[SERVICIO 2025]],$J$2:$V$15,8,0)*Tabla44[[#This Row],[TOTAL COBERTURA]]</f>
        <v>320100</v>
      </c>
      <c r="AP88" s="35">
        <f>VLOOKUP(Tabla44[[#This Row],[SERVICIO 2025]],$J$2:$V$15,3,0)*Tabla44[[#This Row],[TOTAL COBERTURA]]*8</f>
        <v>22667568</v>
      </c>
      <c r="AQ88" s="35"/>
      <c r="AR88" s="35">
        <f>SUM(Tabla44[[#This Row],[VALOR FASE PREPARATORIA DE ALISTAMIENTO]:[VALOR RACION PREPARADA]])</f>
        <v>23982123</v>
      </c>
      <c r="AS88" s="35" t="str">
        <f>+IF(Tabla44[[#This Row],[AGRUPACIONES]]=1,SUMIFS(Tabla44[VALOR TOTAL],Tabla44[ZONA DEFINITIVO],Tabla44[[#This Row],[ZONA DEFINITIVO]])," ")</f>
        <v xml:space="preserve"> </v>
      </c>
      <c r="AT88" s="35">
        <f>VLOOKUP(Tabla44[[#This Row],[SERVICIO 2025]],$J$2:$V$15,10,0)*Tabla44[[#This Row],[TOTAL COBERTURA]]*$X$7</f>
        <v>15873704</v>
      </c>
      <c r="AU88" s="39">
        <f>Tabla44[[#This Row],[TOTAL CONTRATO (ICBF+EAS)]]+Tabla44[[#This Row],[VALOR COMPONENTE ALIMENTACION NO ASIGNADO]]</f>
        <v>39855827</v>
      </c>
      <c r="AV8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88" s="35">
        <f>(VLOOKUP(Tabla44[[#This Row],[SERVICIO 2025]],$J$2:$V$15,3,0)*Tabla44[[#This Row],[TOTAL COBERTURA]])+VLOOKUP(Tabla44[[#This Row],[SERVICIO 2025]],$J$2:$V$15,10,0)*Tabla44[[#This Row],[TOTAL COBERTURA]]</f>
        <v>4817659</v>
      </c>
      <c r="AX88" s="35">
        <f>(VLOOKUP(Tabla44[[#This Row],[SERVICIO 2025]],$J$2:$V$15,3,0)*Tabla44[[#This Row],[TOTAL COBERTURA]])+VLOOKUP(Tabla44[[#This Row],[SERVICIO 2025]],$J$2:$V$15,10,0)*Tabla44[[#This Row],[TOTAL COBERTURA]]</f>
        <v>4817659</v>
      </c>
      <c r="AY88" s="35">
        <f>(VLOOKUP(Tabla44[[#This Row],[SERVICIO 2025]],$J$2:$V$15,3,0)*Tabla44[[#This Row],[TOTAL COBERTURA]])+VLOOKUP(Tabla44[[#This Row],[SERVICIO 2025]],$J$2:$V$15,10,0)*Tabla44[[#This Row],[TOTAL COBERTURA]]</f>
        <v>4817659</v>
      </c>
      <c r="AZ88" s="35">
        <f>(VLOOKUP(Tabla44[[#This Row],[SERVICIO 2025]],$J$2:$V$15,3,0)*Tabla44[[#This Row],[TOTAL COBERTURA]])+VLOOKUP(Tabla44[[#This Row],[SERVICIO 2025]],$J$2:$V$15,10,0)*Tabla44[[#This Row],[TOTAL COBERTURA]]</f>
        <v>4817659</v>
      </c>
      <c r="BA88" s="35">
        <f>(VLOOKUP(Tabla44[[#This Row],[SERVICIO 2025]],$J$2:$V$15,3,0)*Tabla44[[#This Row],[TOTAL COBERTURA]])+VLOOKUP(Tabla44[[#This Row],[SERVICIO 2025]],$J$2:$V$15,10,0)*Tabla44[[#This Row],[TOTAL COBERTURA]]</f>
        <v>4817659</v>
      </c>
      <c r="BB88" s="35">
        <f>(VLOOKUP(Tabla44[[#This Row],[SERVICIO 2025]],$J$2:$V$15,3,0)*Tabla44[[#This Row],[TOTAL COBERTURA]])+VLOOKUP(Tabla44[[#This Row],[SERVICIO 2025]],$J$2:$V$15,10,0)*Tabla44[[#This Row],[TOTAL COBERTURA]]</f>
        <v>4817659</v>
      </c>
      <c r="BC8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88" s="35">
        <f>SUM(Tabla44[[#This Row],[DESEMBOLSO 1]:[DESEMBOLSO 8]])</f>
        <v>39855827</v>
      </c>
      <c r="BE88" s="12" t="b">
        <f>EXACT(Tabla44[[#This Row],[VALOR ATENCIÓN (8 MESES)]],Tabla44[[#This Row],[VALOR TOTAL]])</f>
        <v>1</v>
      </c>
      <c r="BF88" s="23">
        <f>Tabla44[[#This Row],[VALOR ATENCIÓN (8 MESES)]]-Tabla44[[#This Row],[VALOR TOTAL]]</f>
        <v>0</v>
      </c>
      <c r="BG88" s="12" t="b">
        <f>EXACT(Tabla44[[#This Row],[TOTAL DESEMBOLSOS]],Tabla44[[#This Row],[VALOR TOTAL DEL CONTRATO INCLUIDO EL COMPONENTE DE ALIMENTACIÓN]])</f>
        <v>1</v>
      </c>
      <c r="BH88" s="29">
        <f>Tabla44[[#This Row],[TOTAL DESEMBOLSOS]]-Tabla44[[#This Row],[VALOR TOTAL DEL CONTRATO INCLUIDO EL COMPONENTE DE ALIMENTACIÓN]]</f>
        <v>0</v>
      </c>
      <c r="BI88" t="s">
        <v>98</v>
      </c>
    </row>
    <row r="89" spans="1:61">
      <c r="A89" s="13">
        <v>1924</v>
      </c>
      <c r="B89" s="13"/>
      <c r="C89" s="12" t="s">
        <v>87</v>
      </c>
      <c r="D89" s="12" t="s">
        <v>1534</v>
      </c>
      <c r="E89" s="12" t="s">
        <v>2978</v>
      </c>
      <c r="F89" s="12" t="s">
        <v>18</v>
      </c>
      <c r="G89" s="12" t="s">
        <v>90</v>
      </c>
      <c r="H89" s="12" t="s">
        <v>2986</v>
      </c>
      <c r="I89" s="36">
        <v>51131114933</v>
      </c>
      <c r="J89" s="12" t="s">
        <v>2987</v>
      </c>
      <c r="K89" s="12">
        <v>1</v>
      </c>
      <c r="L89" s="12">
        <v>19</v>
      </c>
      <c r="M89" s="12"/>
      <c r="N89" s="13">
        <v>1924</v>
      </c>
      <c r="O89" s="12" t="s">
        <v>2850</v>
      </c>
      <c r="P89" s="12"/>
      <c r="Q89" s="12"/>
      <c r="R89" s="12" t="s">
        <v>94</v>
      </c>
      <c r="S89" s="12">
        <v>10</v>
      </c>
      <c r="T89" s="12">
        <v>811021339</v>
      </c>
      <c r="U89" s="12" t="s">
        <v>2851</v>
      </c>
      <c r="V89" s="12">
        <f>VLOOKUP(Tabla44[[#This Row],[ZONA DEFINITIVO]],[1]Hoja1!$A$1:$D$125,3,0)</f>
        <v>229935</v>
      </c>
      <c r="W89" s="12">
        <f>VLOOKUP(Tabla44[[#This Row],[ZONA DEFINITIVO]],[1]Hoja1!$A$1:$D$125,2,0)</f>
        <v>17252</v>
      </c>
      <c r="X89" s="12">
        <f>VLOOKUP(Tabla44[[#This Row],[ZONA DEFINITIVO]],[1]Hoja1!$A$1:$D$125,4,0)</f>
        <v>104125</v>
      </c>
      <c r="Y89" s="12" t="str">
        <f>+IF(Tabla44[[#This Row],[AGRUPACIONES]]=1,SUMIFS(Tabla44[UDS],Tabla44[ZONA DEFINITIVO],Tabla44[[#This Row],[ZONA DEFINITIVO]])," ")</f>
        <v xml:space="preserve"> </v>
      </c>
      <c r="Z89" s="12" t="str">
        <f>+IF(Tabla44[[#This Row],[AGRUPACIONES]]=1,SUMIFS(Tabla44[TOTAL COBERTURA],Tabla44[ZONA DEFINITIVO],Tabla44[[#This Row],[ZONA DEFINITIVO]])," ")</f>
        <v xml:space="preserve"> </v>
      </c>
      <c r="AA89" s="12"/>
      <c r="AB89" s="35">
        <v>41423667</v>
      </c>
      <c r="AC89" s="37">
        <v>0</v>
      </c>
      <c r="AD89" s="35">
        <f t="shared" si="2"/>
        <v>0</v>
      </c>
      <c r="AE89" s="12"/>
      <c r="AF89" s="12">
        <f>COUNTIF($A$20:A89,A89)</f>
        <v>19</v>
      </c>
      <c r="AG89" s="38">
        <v>41423667</v>
      </c>
      <c r="AH89" s="38">
        <f>Tabla44[[#This Row],[VALOR CONTRAPARTIDA]]+Tabla44[[#This Row],[TOTAL APORTES ICBF]]</f>
        <v>41423667</v>
      </c>
      <c r="AI89" s="35" t="str">
        <f>+IF(Tabla44[[#This Row],[AGRUPACIONES]]=1,SUMIFS(Tabla44[TOTAL APORTES ICBF],Tabla44[ZONA DEFINITIVO],Tabla44[[#This Row],[ZONA DEFINITIVO]])," ")</f>
        <v xml:space="preserve"> </v>
      </c>
      <c r="AJ89" s="38"/>
      <c r="AK89" s="38"/>
      <c r="AL89" s="35"/>
      <c r="AM89" s="35">
        <f>VLOOKUP(Tabla44[[#This Row],[SERVICIO 2025]],$J$2:$V$15,5,0)*Tabla44[[#This Row],[TOTAL COBERTURA]]</f>
        <v>938144</v>
      </c>
      <c r="AN89" s="35">
        <f>VLOOKUP(Tabla44[[#This Row],[SERVICIO 2025]],$J$2:$V$15,6,0)*Tabla44[[#This Row],[TOTAL COBERTURA]]</f>
        <v>779551</v>
      </c>
      <c r="AO89" s="35">
        <f>VLOOKUP(Tabla44[[#This Row],[SERVICIO 2025]],$J$2:$V$15,8,0)*Tabla44[[#This Row],[TOTAL COBERTURA]]</f>
        <v>552900</v>
      </c>
      <c r="AP89" s="35">
        <f>VLOOKUP(Tabla44[[#This Row],[SERVICIO 2025]],$J$2:$V$15,3,0)*Tabla44[[#This Row],[TOTAL COBERTURA]]*8</f>
        <v>39153072</v>
      </c>
      <c r="AQ89" s="35"/>
      <c r="AR89" s="35">
        <f>SUM(Tabla44[[#This Row],[VALOR FASE PREPARATORIA DE ALISTAMIENTO]:[VALOR RACION PREPARADA]])</f>
        <v>41423667</v>
      </c>
      <c r="AS89" s="35" t="str">
        <f>+IF(Tabla44[[#This Row],[AGRUPACIONES]]=1,SUMIFS(Tabla44[VALOR TOTAL],Tabla44[ZONA DEFINITIVO],Tabla44[[#This Row],[ZONA DEFINITIVO]])," ")</f>
        <v xml:space="preserve"> </v>
      </c>
      <c r="AT89" s="35">
        <f>VLOOKUP(Tabla44[[#This Row],[SERVICIO 2025]],$J$2:$V$15,10,0)*Tabla44[[#This Row],[TOTAL COBERTURA]]*$X$7</f>
        <v>27418216</v>
      </c>
      <c r="AU89" s="39">
        <f>Tabla44[[#This Row],[TOTAL CONTRATO (ICBF+EAS)]]+Tabla44[[#This Row],[VALOR COMPONENTE ALIMENTACION NO ASIGNADO]]</f>
        <v>68841883</v>
      </c>
      <c r="AV8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9812455</v>
      </c>
      <c r="AW89" s="35">
        <f>(VLOOKUP(Tabla44[[#This Row],[SERVICIO 2025]],$J$2:$V$15,3,0)*Tabla44[[#This Row],[TOTAL COBERTURA]])+VLOOKUP(Tabla44[[#This Row],[SERVICIO 2025]],$J$2:$V$15,10,0)*Tabla44[[#This Row],[TOTAL COBERTURA]]</f>
        <v>8321411</v>
      </c>
      <c r="AX89" s="35">
        <f>(VLOOKUP(Tabla44[[#This Row],[SERVICIO 2025]],$J$2:$V$15,3,0)*Tabla44[[#This Row],[TOTAL COBERTURA]])+VLOOKUP(Tabla44[[#This Row],[SERVICIO 2025]],$J$2:$V$15,10,0)*Tabla44[[#This Row],[TOTAL COBERTURA]]</f>
        <v>8321411</v>
      </c>
      <c r="AY89" s="35">
        <f>(VLOOKUP(Tabla44[[#This Row],[SERVICIO 2025]],$J$2:$V$15,3,0)*Tabla44[[#This Row],[TOTAL COBERTURA]])+VLOOKUP(Tabla44[[#This Row],[SERVICIO 2025]],$J$2:$V$15,10,0)*Tabla44[[#This Row],[TOTAL COBERTURA]]</f>
        <v>8321411</v>
      </c>
      <c r="AZ89" s="35">
        <f>(VLOOKUP(Tabla44[[#This Row],[SERVICIO 2025]],$J$2:$V$15,3,0)*Tabla44[[#This Row],[TOTAL COBERTURA]])+VLOOKUP(Tabla44[[#This Row],[SERVICIO 2025]],$J$2:$V$15,10,0)*Tabla44[[#This Row],[TOTAL COBERTURA]]</f>
        <v>8321411</v>
      </c>
      <c r="BA89" s="35">
        <f>(VLOOKUP(Tabla44[[#This Row],[SERVICIO 2025]],$J$2:$V$15,3,0)*Tabla44[[#This Row],[TOTAL COBERTURA]])+VLOOKUP(Tabla44[[#This Row],[SERVICIO 2025]],$J$2:$V$15,10,0)*Tabla44[[#This Row],[TOTAL COBERTURA]]</f>
        <v>8321411</v>
      </c>
      <c r="BB89" s="35">
        <f>(VLOOKUP(Tabla44[[#This Row],[SERVICIO 2025]],$J$2:$V$15,3,0)*Tabla44[[#This Row],[TOTAL COBERTURA]])+VLOOKUP(Tabla44[[#This Row],[SERVICIO 2025]],$J$2:$V$15,10,0)*Tabla44[[#This Row],[TOTAL COBERTURA]]</f>
        <v>8321411</v>
      </c>
      <c r="BC8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9100962</v>
      </c>
      <c r="BD89" s="35">
        <f>SUM(Tabla44[[#This Row],[DESEMBOLSO 1]:[DESEMBOLSO 8]])</f>
        <v>68841883</v>
      </c>
      <c r="BE89" s="12" t="b">
        <f>EXACT(Tabla44[[#This Row],[VALOR ATENCIÓN (8 MESES)]],Tabla44[[#This Row],[VALOR TOTAL]])</f>
        <v>1</v>
      </c>
      <c r="BF89" s="23">
        <f>Tabla44[[#This Row],[VALOR ATENCIÓN (8 MESES)]]-Tabla44[[#This Row],[VALOR TOTAL]]</f>
        <v>0</v>
      </c>
      <c r="BG89" s="12" t="b">
        <f>EXACT(Tabla44[[#This Row],[TOTAL DESEMBOLSOS]],Tabla44[[#This Row],[VALOR TOTAL DEL CONTRATO INCLUIDO EL COMPONENTE DE ALIMENTACIÓN]])</f>
        <v>1</v>
      </c>
      <c r="BH89" s="29">
        <f>Tabla44[[#This Row],[TOTAL DESEMBOLSOS]]-Tabla44[[#This Row],[VALOR TOTAL DEL CONTRATO INCLUIDO EL COMPONENTE DE ALIMENTACIÓN]]</f>
        <v>0</v>
      </c>
      <c r="BI89" t="s">
        <v>98</v>
      </c>
    </row>
    <row r="90" spans="1:61">
      <c r="A90" s="13">
        <v>1924</v>
      </c>
      <c r="B90" s="13"/>
      <c r="C90" s="12" t="s">
        <v>87</v>
      </c>
      <c r="D90" s="12" t="s">
        <v>1534</v>
      </c>
      <c r="E90" s="12" t="s">
        <v>2978</v>
      </c>
      <c r="F90" s="12" t="s">
        <v>18</v>
      </c>
      <c r="G90" s="12" t="s">
        <v>90</v>
      </c>
      <c r="H90" s="12" t="s">
        <v>2988</v>
      </c>
      <c r="I90" s="36">
        <v>51131114935</v>
      </c>
      <c r="J90" s="12" t="s">
        <v>2989</v>
      </c>
      <c r="K90" s="12">
        <v>1</v>
      </c>
      <c r="L90" s="12">
        <v>12</v>
      </c>
      <c r="M90" s="12"/>
      <c r="N90" s="13">
        <v>1924</v>
      </c>
      <c r="O90" s="12" t="s">
        <v>2850</v>
      </c>
      <c r="P90" s="12"/>
      <c r="Q90" s="12"/>
      <c r="R90" s="12" t="s">
        <v>94</v>
      </c>
      <c r="S90" s="12">
        <v>10</v>
      </c>
      <c r="T90" s="12">
        <v>811021339</v>
      </c>
      <c r="U90" s="12" t="s">
        <v>2851</v>
      </c>
      <c r="V90" s="12">
        <f>VLOOKUP(Tabla44[[#This Row],[ZONA DEFINITIVO]],[1]Hoja1!$A$1:$D$125,3,0)</f>
        <v>229935</v>
      </c>
      <c r="W90" s="12">
        <f>VLOOKUP(Tabla44[[#This Row],[ZONA DEFINITIVO]],[1]Hoja1!$A$1:$D$125,2,0)</f>
        <v>17252</v>
      </c>
      <c r="X90" s="12">
        <f>VLOOKUP(Tabla44[[#This Row],[ZONA DEFINITIVO]],[1]Hoja1!$A$1:$D$125,4,0)</f>
        <v>104125</v>
      </c>
      <c r="Y90" s="12" t="str">
        <f>+IF(Tabla44[[#This Row],[AGRUPACIONES]]=1,SUMIFS(Tabla44[UDS],Tabla44[ZONA DEFINITIVO],Tabla44[[#This Row],[ZONA DEFINITIVO]])," ")</f>
        <v xml:space="preserve"> </v>
      </c>
      <c r="Z90" s="12" t="str">
        <f>+IF(Tabla44[[#This Row],[AGRUPACIONES]]=1,SUMIFS(Tabla44[TOTAL COBERTURA],Tabla44[ZONA DEFINITIVO],Tabla44[[#This Row],[ZONA DEFINITIVO]])," ")</f>
        <v xml:space="preserve"> </v>
      </c>
      <c r="AA90" s="12"/>
      <c r="AB90" s="35">
        <v>26162316</v>
      </c>
      <c r="AC90" s="37">
        <v>0</v>
      </c>
      <c r="AD90" s="35">
        <f t="shared" si="2"/>
        <v>0</v>
      </c>
      <c r="AE90" s="12"/>
      <c r="AF90" s="12">
        <f>COUNTIF($A$20:A90,A90)</f>
        <v>20</v>
      </c>
      <c r="AG90" s="38">
        <v>26162316</v>
      </c>
      <c r="AH90" s="38">
        <f>Tabla44[[#This Row],[VALOR CONTRAPARTIDA]]+Tabla44[[#This Row],[TOTAL APORTES ICBF]]</f>
        <v>26162316</v>
      </c>
      <c r="AI90" s="35" t="str">
        <f>+IF(Tabla44[[#This Row],[AGRUPACIONES]]=1,SUMIFS(Tabla44[TOTAL APORTES ICBF],Tabla44[ZONA DEFINITIVO],Tabla44[[#This Row],[ZONA DEFINITIVO]])," ")</f>
        <v xml:space="preserve"> </v>
      </c>
      <c r="AJ90" s="38"/>
      <c r="AK90" s="38"/>
      <c r="AL90" s="35"/>
      <c r="AM90" s="35">
        <f>VLOOKUP(Tabla44[[#This Row],[SERVICIO 2025]],$J$2:$V$15,5,0)*Tabla44[[#This Row],[TOTAL COBERTURA]]</f>
        <v>592512</v>
      </c>
      <c r="AN90" s="35">
        <f>VLOOKUP(Tabla44[[#This Row],[SERVICIO 2025]],$J$2:$V$15,6,0)*Tabla44[[#This Row],[TOTAL COBERTURA]]</f>
        <v>492348</v>
      </c>
      <c r="AO90" s="35">
        <f>VLOOKUP(Tabla44[[#This Row],[SERVICIO 2025]],$J$2:$V$15,8,0)*Tabla44[[#This Row],[TOTAL COBERTURA]]</f>
        <v>349200</v>
      </c>
      <c r="AP90" s="35">
        <f>VLOOKUP(Tabla44[[#This Row],[SERVICIO 2025]],$J$2:$V$15,3,0)*Tabla44[[#This Row],[TOTAL COBERTURA]]*8</f>
        <v>24728256</v>
      </c>
      <c r="AQ90" s="35"/>
      <c r="AR90" s="35">
        <f>SUM(Tabla44[[#This Row],[VALOR FASE PREPARATORIA DE ALISTAMIENTO]:[VALOR RACION PREPARADA]])</f>
        <v>26162316</v>
      </c>
      <c r="AS90" s="35" t="str">
        <f>+IF(Tabla44[[#This Row],[AGRUPACIONES]]=1,SUMIFS(Tabla44[VALOR TOTAL],Tabla44[ZONA DEFINITIVO],Tabla44[[#This Row],[ZONA DEFINITIVO]])," ")</f>
        <v xml:space="preserve"> </v>
      </c>
      <c r="AT90" s="35">
        <f>VLOOKUP(Tabla44[[#This Row],[SERVICIO 2025]],$J$2:$V$15,10,0)*Tabla44[[#This Row],[TOTAL COBERTURA]]*$X$7</f>
        <v>17316768</v>
      </c>
      <c r="AU90" s="39">
        <f>Tabla44[[#This Row],[TOTAL CONTRATO (ICBF+EAS)]]+Tabla44[[#This Row],[VALOR COMPONENTE ALIMENTACION NO ASIGNADO]]</f>
        <v>43479084</v>
      </c>
      <c r="AV9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90" s="35">
        <f>(VLOOKUP(Tabla44[[#This Row],[SERVICIO 2025]],$J$2:$V$15,3,0)*Tabla44[[#This Row],[TOTAL COBERTURA]])+VLOOKUP(Tabla44[[#This Row],[SERVICIO 2025]],$J$2:$V$15,10,0)*Tabla44[[#This Row],[TOTAL COBERTURA]]</f>
        <v>5255628</v>
      </c>
      <c r="AX90" s="35">
        <f>(VLOOKUP(Tabla44[[#This Row],[SERVICIO 2025]],$J$2:$V$15,3,0)*Tabla44[[#This Row],[TOTAL COBERTURA]])+VLOOKUP(Tabla44[[#This Row],[SERVICIO 2025]],$J$2:$V$15,10,0)*Tabla44[[#This Row],[TOTAL COBERTURA]]</f>
        <v>5255628</v>
      </c>
      <c r="AY90" s="35">
        <f>(VLOOKUP(Tabla44[[#This Row],[SERVICIO 2025]],$J$2:$V$15,3,0)*Tabla44[[#This Row],[TOTAL COBERTURA]])+VLOOKUP(Tabla44[[#This Row],[SERVICIO 2025]],$J$2:$V$15,10,0)*Tabla44[[#This Row],[TOTAL COBERTURA]]</f>
        <v>5255628</v>
      </c>
      <c r="AZ90" s="35">
        <f>(VLOOKUP(Tabla44[[#This Row],[SERVICIO 2025]],$J$2:$V$15,3,0)*Tabla44[[#This Row],[TOTAL COBERTURA]])+VLOOKUP(Tabla44[[#This Row],[SERVICIO 2025]],$J$2:$V$15,10,0)*Tabla44[[#This Row],[TOTAL COBERTURA]]</f>
        <v>5255628</v>
      </c>
      <c r="BA90" s="35">
        <f>(VLOOKUP(Tabla44[[#This Row],[SERVICIO 2025]],$J$2:$V$15,3,0)*Tabla44[[#This Row],[TOTAL COBERTURA]])+VLOOKUP(Tabla44[[#This Row],[SERVICIO 2025]],$J$2:$V$15,10,0)*Tabla44[[#This Row],[TOTAL COBERTURA]]</f>
        <v>5255628</v>
      </c>
      <c r="BB90" s="35">
        <f>(VLOOKUP(Tabla44[[#This Row],[SERVICIO 2025]],$J$2:$V$15,3,0)*Tabla44[[#This Row],[TOTAL COBERTURA]])+VLOOKUP(Tabla44[[#This Row],[SERVICIO 2025]],$J$2:$V$15,10,0)*Tabla44[[#This Row],[TOTAL COBERTURA]]</f>
        <v>5255628</v>
      </c>
      <c r="BC9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90" s="35">
        <f>SUM(Tabla44[[#This Row],[DESEMBOLSO 1]:[DESEMBOLSO 8]])</f>
        <v>43479084</v>
      </c>
      <c r="BE90" s="12" t="b">
        <f>EXACT(Tabla44[[#This Row],[VALOR ATENCIÓN (8 MESES)]],Tabla44[[#This Row],[VALOR TOTAL]])</f>
        <v>1</v>
      </c>
      <c r="BF90" s="23">
        <f>Tabla44[[#This Row],[VALOR ATENCIÓN (8 MESES)]]-Tabla44[[#This Row],[VALOR TOTAL]]</f>
        <v>0</v>
      </c>
      <c r="BG90" s="12" t="b">
        <f>EXACT(Tabla44[[#This Row],[TOTAL DESEMBOLSOS]],Tabla44[[#This Row],[VALOR TOTAL DEL CONTRATO INCLUIDO EL COMPONENTE DE ALIMENTACIÓN]])</f>
        <v>1</v>
      </c>
      <c r="BH90" s="29">
        <f>Tabla44[[#This Row],[TOTAL DESEMBOLSOS]]-Tabla44[[#This Row],[VALOR TOTAL DEL CONTRATO INCLUIDO EL COMPONENTE DE ALIMENTACIÓN]]</f>
        <v>0</v>
      </c>
      <c r="BI90" t="s">
        <v>98</v>
      </c>
    </row>
    <row r="91" spans="1:61">
      <c r="A91" s="13">
        <v>1924</v>
      </c>
      <c r="B91" s="13"/>
      <c r="C91" s="12" t="s">
        <v>87</v>
      </c>
      <c r="D91" s="12" t="s">
        <v>1534</v>
      </c>
      <c r="E91" s="12" t="s">
        <v>2978</v>
      </c>
      <c r="F91" s="12" t="s">
        <v>18</v>
      </c>
      <c r="G91" s="12" t="s">
        <v>90</v>
      </c>
      <c r="H91" s="12" t="s">
        <v>2990</v>
      </c>
      <c r="I91" s="36">
        <v>51131135692</v>
      </c>
      <c r="J91" s="12" t="s">
        <v>2991</v>
      </c>
      <c r="K91" s="12">
        <v>1</v>
      </c>
      <c r="L91" s="12">
        <v>13</v>
      </c>
      <c r="M91" s="12"/>
      <c r="N91" s="13">
        <v>1924</v>
      </c>
      <c r="O91" s="12" t="s">
        <v>2850</v>
      </c>
      <c r="P91" s="12"/>
      <c r="Q91" s="12"/>
      <c r="R91" s="12" t="s">
        <v>94</v>
      </c>
      <c r="S91" s="12">
        <v>10</v>
      </c>
      <c r="T91" s="12">
        <v>811021339</v>
      </c>
      <c r="U91" s="12" t="s">
        <v>2851</v>
      </c>
      <c r="V91" s="12">
        <f>VLOOKUP(Tabla44[[#This Row],[ZONA DEFINITIVO]],[1]Hoja1!$A$1:$D$125,3,0)</f>
        <v>229935</v>
      </c>
      <c r="W91" s="12">
        <f>VLOOKUP(Tabla44[[#This Row],[ZONA DEFINITIVO]],[1]Hoja1!$A$1:$D$125,2,0)</f>
        <v>17252</v>
      </c>
      <c r="X91" s="12">
        <f>VLOOKUP(Tabla44[[#This Row],[ZONA DEFINITIVO]],[1]Hoja1!$A$1:$D$125,4,0)</f>
        <v>104125</v>
      </c>
      <c r="Y91" s="12" t="str">
        <f>+IF(Tabla44[[#This Row],[AGRUPACIONES]]=1,SUMIFS(Tabla44[UDS],Tabla44[ZONA DEFINITIVO],Tabla44[[#This Row],[ZONA DEFINITIVO]])," ")</f>
        <v xml:space="preserve"> </v>
      </c>
      <c r="Z91" s="12" t="str">
        <f>+IF(Tabla44[[#This Row],[AGRUPACIONES]]=1,SUMIFS(Tabla44[TOTAL COBERTURA],Tabla44[ZONA DEFINITIVO],Tabla44[[#This Row],[ZONA DEFINITIVO]])," ")</f>
        <v xml:space="preserve"> </v>
      </c>
      <c r="AA91" s="12"/>
      <c r="AB91" s="35">
        <v>28342509</v>
      </c>
      <c r="AC91" s="37">
        <v>0</v>
      </c>
      <c r="AD91" s="35">
        <f t="shared" si="2"/>
        <v>0</v>
      </c>
      <c r="AE91" s="12"/>
      <c r="AF91" s="12">
        <f>COUNTIF($A$20:A91,A91)</f>
        <v>21</v>
      </c>
      <c r="AG91" s="38">
        <v>28342509</v>
      </c>
      <c r="AH91" s="38">
        <f>Tabla44[[#This Row],[VALOR CONTRAPARTIDA]]+Tabla44[[#This Row],[TOTAL APORTES ICBF]]</f>
        <v>28342509</v>
      </c>
      <c r="AI91" s="35" t="str">
        <f>+IF(Tabla44[[#This Row],[AGRUPACIONES]]=1,SUMIFS(Tabla44[TOTAL APORTES ICBF],Tabla44[ZONA DEFINITIVO],Tabla44[[#This Row],[ZONA DEFINITIVO]])," ")</f>
        <v xml:space="preserve"> </v>
      </c>
      <c r="AJ91" s="38"/>
      <c r="AK91" s="38"/>
      <c r="AL91" s="35"/>
      <c r="AM91" s="35">
        <f>VLOOKUP(Tabla44[[#This Row],[SERVICIO 2025]],$J$2:$V$15,5,0)*Tabla44[[#This Row],[TOTAL COBERTURA]]</f>
        <v>641888</v>
      </c>
      <c r="AN91" s="35">
        <f>VLOOKUP(Tabla44[[#This Row],[SERVICIO 2025]],$J$2:$V$15,6,0)*Tabla44[[#This Row],[TOTAL COBERTURA]]</f>
        <v>533377</v>
      </c>
      <c r="AO91" s="35">
        <f>VLOOKUP(Tabla44[[#This Row],[SERVICIO 2025]],$J$2:$V$15,8,0)*Tabla44[[#This Row],[TOTAL COBERTURA]]</f>
        <v>378300</v>
      </c>
      <c r="AP91" s="35">
        <f>VLOOKUP(Tabla44[[#This Row],[SERVICIO 2025]],$J$2:$V$15,3,0)*Tabla44[[#This Row],[TOTAL COBERTURA]]*8</f>
        <v>26788944</v>
      </c>
      <c r="AQ91" s="35"/>
      <c r="AR91" s="35">
        <f>SUM(Tabla44[[#This Row],[VALOR FASE PREPARATORIA DE ALISTAMIENTO]:[VALOR RACION PREPARADA]])</f>
        <v>28342509</v>
      </c>
      <c r="AS91" s="35" t="str">
        <f>+IF(Tabla44[[#This Row],[AGRUPACIONES]]=1,SUMIFS(Tabla44[VALOR TOTAL],Tabla44[ZONA DEFINITIVO],Tabla44[[#This Row],[ZONA DEFINITIVO]])," ")</f>
        <v xml:space="preserve"> </v>
      </c>
      <c r="AT91" s="35">
        <f>VLOOKUP(Tabla44[[#This Row],[SERVICIO 2025]],$J$2:$V$15,10,0)*Tabla44[[#This Row],[TOTAL COBERTURA]]*$X$7</f>
        <v>18759832</v>
      </c>
      <c r="AU91" s="39">
        <f>Tabla44[[#This Row],[TOTAL CONTRATO (ICBF+EAS)]]+Tabla44[[#This Row],[VALOR COMPONENTE ALIMENTACION NO ASIGNADO]]</f>
        <v>47102341</v>
      </c>
      <c r="AV9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91" s="35">
        <f>(VLOOKUP(Tabla44[[#This Row],[SERVICIO 2025]],$J$2:$V$15,3,0)*Tabla44[[#This Row],[TOTAL COBERTURA]])+VLOOKUP(Tabla44[[#This Row],[SERVICIO 2025]],$J$2:$V$15,10,0)*Tabla44[[#This Row],[TOTAL COBERTURA]]</f>
        <v>5693597</v>
      </c>
      <c r="AX91" s="35">
        <f>(VLOOKUP(Tabla44[[#This Row],[SERVICIO 2025]],$J$2:$V$15,3,0)*Tabla44[[#This Row],[TOTAL COBERTURA]])+VLOOKUP(Tabla44[[#This Row],[SERVICIO 2025]],$J$2:$V$15,10,0)*Tabla44[[#This Row],[TOTAL COBERTURA]]</f>
        <v>5693597</v>
      </c>
      <c r="AY91" s="35">
        <f>(VLOOKUP(Tabla44[[#This Row],[SERVICIO 2025]],$J$2:$V$15,3,0)*Tabla44[[#This Row],[TOTAL COBERTURA]])+VLOOKUP(Tabla44[[#This Row],[SERVICIO 2025]],$J$2:$V$15,10,0)*Tabla44[[#This Row],[TOTAL COBERTURA]]</f>
        <v>5693597</v>
      </c>
      <c r="AZ91" s="35">
        <f>(VLOOKUP(Tabla44[[#This Row],[SERVICIO 2025]],$J$2:$V$15,3,0)*Tabla44[[#This Row],[TOTAL COBERTURA]])+VLOOKUP(Tabla44[[#This Row],[SERVICIO 2025]],$J$2:$V$15,10,0)*Tabla44[[#This Row],[TOTAL COBERTURA]]</f>
        <v>5693597</v>
      </c>
      <c r="BA91" s="35">
        <f>(VLOOKUP(Tabla44[[#This Row],[SERVICIO 2025]],$J$2:$V$15,3,0)*Tabla44[[#This Row],[TOTAL COBERTURA]])+VLOOKUP(Tabla44[[#This Row],[SERVICIO 2025]],$J$2:$V$15,10,0)*Tabla44[[#This Row],[TOTAL COBERTURA]]</f>
        <v>5693597</v>
      </c>
      <c r="BB91" s="35">
        <f>(VLOOKUP(Tabla44[[#This Row],[SERVICIO 2025]],$J$2:$V$15,3,0)*Tabla44[[#This Row],[TOTAL COBERTURA]])+VLOOKUP(Tabla44[[#This Row],[SERVICIO 2025]],$J$2:$V$15,10,0)*Tabla44[[#This Row],[TOTAL COBERTURA]]</f>
        <v>5693597</v>
      </c>
      <c r="BC9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91" s="35">
        <f>SUM(Tabla44[[#This Row],[DESEMBOLSO 1]:[DESEMBOLSO 8]])</f>
        <v>47102341</v>
      </c>
      <c r="BE91" s="12" t="b">
        <f>EXACT(Tabla44[[#This Row],[VALOR ATENCIÓN (8 MESES)]],Tabla44[[#This Row],[VALOR TOTAL]])</f>
        <v>1</v>
      </c>
      <c r="BF91" s="23">
        <f>Tabla44[[#This Row],[VALOR ATENCIÓN (8 MESES)]]-Tabla44[[#This Row],[VALOR TOTAL]]</f>
        <v>0</v>
      </c>
      <c r="BG91" s="12" t="b">
        <f>EXACT(Tabla44[[#This Row],[TOTAL DESEMBOLSOS]],Tabla44[[#This Row],[VALOR TOTAL DEL CONTRATO INCLUIDO EL COMPONENTE DE ALIMENTACIÓN]])</f>
        <v>1</v>
      </c>
      <c r="BH91" s="29">
        <f>Tabla44[[#This Row],[TOTAL DESEMBOLSOS]]-Tabla44[[#This Row],[VALOR TOTAL DEL CONTRATO INCLUIDO EL COMPONENTE DE ALIMENTACIÓN]]</f>
        <v>0</v>
      </c>
      <c r="BI91" t="s">
        <v>98</v>
      </c>
    </row>
    <row r="92" spans="1:61">
      <c r="A92" s="13">
        <v>1924</v>
      </c>
      <c r="B92" s="13"/>
      <c r="C92" s="12" t="s">
        <v>87</v>
      </c>
      <c r="D92" s="12" t="s">
        <v>1534</v>
      </c>
      <c r="E92" s="12" t="s">
        <v>2978</v>
      </c>
      <c r="F92" s="12" t="s">
        <v>18</v>
      </c>
      <c r="G92" s="12" t="s">
        <v>90</v>
      </c>
      <c r="H92" s="12" t="s">
        <v>2992</v>
      </c>
      <c r="I92" s="36">
        <v>51131135716</v>
      </c>
      <c r="J92" s="12" t="s">
        <v>2993</v>
      </c>
      <c r="K92" s="12">
        <v>1</v>
      </c>
      <c r="L92" s="12">
        <v>16</v>
      </c>
      <c r="M92" s="12"/>
      <c r="N92" s="13">
        <v>1924</v>
      </c>
      <c r="O92" s="12" t="s">
        <v>2850</v>
      </c>
      <c r="P92" s="12"/>
      <c r="Q92" s="12"/>
      <c r="R92" s="12" t="s">
        <v>94</v>
      </c>
      <c r="S92" s="12">
        <v>10</v>
      </c>
      <c r="T92" s="12">
        <v>811021339</v>
      </c>
      <c r="U92" s="12" t="s">
        <v>2851</v>
      </c>
      <c r="V92" s="12">
        <f>VLOOKUP(Tabla44[[#This Row],[ZONA DEFINITIVO]],[1]Hoja1!$A$1:$D$125,3,0)</f>
        <v>229935</v>
      </c>
      <c r="W92" s="12">
        <f>VLOOKUP(Tabla44[[#This Row],[ZONA DEFINITIVO]],[1]Hoja1!$A$1:$D$125,2,0)</f>
        <v>17252</v>
      </c>
      <c r="X92" s="12">
        <f>VLOOKUP(Tabla44[[#This Row],[ZONA DEFINITIVO]],[1]Hoja1!$A$1:$D$125,4,0)</f>
        <v>104125</v>
      </c>
      <c r="Y92" s="12" t="str">
        <f>+IF(Tabla44[[#This Row],[AGRUPACIONES]]=1,SUMIFS(Tabla44[UDS],Tabla44[ZONA DEFINITIVO],Tabla44[[#This Row],[ZONA DEFINITIVO]])," ")</f>
        <v xml:space="preserve"> </v>
      </c>
      <c r="Z92" s="12" t="str">
        <f>+IF(Tabla44[[#This Row],[AGRUPACIONES]]=1,SUMIFS(Tabla44[TOTAL COBERTURA],Tabla44[ZONA DEFINITIVO],Tabla44[[#This Row],[ZONA DEFINITIVO]])," ")</f>
        <v xml:space="preserve"> </v>
      </c>
      <c r="AA92" s="12"/>
      <c r="AB92" s="35">
        <v>34883088</v>
      </c>
      <c r="AC92" s="37">
        <v>0</v>
      </c>
      <c r="AD92" s="35">
        <f t="shared" si="2"/>
        <v>0</v>
      </c>
      <c r="AE92" s="12"/>
      <c r="AF92" s="12">
        <f>COUNTIF($A$20:A92,A92)</f>
        <v>22</v>
      </c>
      <c r="AG92" s="38">
        <v>34883088</v>
      </c>
      <c r="AH92" s="38">
        <f>Tabla44[[#This Row],[VALOR CONTRAPARTIDA]]+Tabla44[[#This Row],[TOTAL APORTES ICBF]]</f>
        <v>34883088</v>
      </c>
      <c r="AI92" s="35" t="str">
        <f>+IF(Tabla44[[#This Row],[AGRUPACIONES]]=1,SUMIFS(Tabla44[TOTAL APORTES ICBF],Tabla44[ZONA DEFINITIVO],Tabla44[[#This Row],[ZONA DEFINITIVO]])," ")</f>
        <v xml:space="preserve"> </v>
      </c>
      <c r="AJ92" s="38"/>
      <c r="AK92" s="38"/>
      <c r="AL92" s="35"/>
      <c r="AM92" s="35">
        <f>VLOOKUP(Tabla44[[#This Row],[SERVICIO 2025]],$J$2:$V$15,5,0)*Tabla44[[#This Row],[TOTAL COBERTURA]]</f>
        <v>790016</v>
      </c>
      <c r="AN92" s="35">
        <f>VLOOKUP(Tabla44[[#This Row],[SERVICIO 2025]],$J$2:$V$15,6,0)*Tabla44[[#This Row],[TOTAL COBERTURA]]</f>
        <v>656464</v>
      </c>
      <c r="AO92" s="35">
        <f>VLOOKUP(Tabla44[[#This Row],[SERVICIO 2025]],$J$2:$V$15,8,0)*Tabla44[[#This Row],[TOTAL COBERTURA]]</f>
        <v>465600</v>
      </c>
      <c r="AP92" s="35">
        <f>VLOOKUP(Tabla44[[#This Row],[SERVICIO 2025]],$J$2:$V$15,3,0)*Tabla44[[#This Row],[TOTAL COBERTURA]]*8</f>
        <v>32971008</v>
      </c>
      <c r="AQ92" s="35"/>
      <c r="AR92" s="35">
        <f>SUM(Tabla44[[#This Row],[VALOR FASE PREPARATORIA DE ALISTAMIENTO]:[VALOR RACION PREPARADA]])</f>
        <v>34883088</v>
      </c>
      <c r="AS92" s="35" t="str">
        <f>+IF(Tabla44[[#This Row],[AGRUPACIONES]]=1,SUMIFS(Tabla44[VALOR TOTAL],Tabla44[ZONA DEFINITIVO],Tabla44[[#This Row],[ZONA DEFINITIVO]])," ")</f>
        <v xml:space="preserve"> </v>
      </c>
      <c r="AT92" s="35">
        <f>VLOOKUP(Tabla44[[#This Row],[SERVICIO 2025]],$J$2:$V$15,10,0)*Tabla44[[#This Row],[TOTAL COBERTURA]]*$X$7</f>
        <v>23089024</v>
      </c>
      <c r="AU92" s="39">
        <f>Tabla44[[#This Row],[TOTAL CONTRATO (ICBF+EAS)]]+Tabla44[[#This Row],[VALOR COMPONENTE ALIMENTACION NO ASIGNADO]]</f>
        <v>57972112</v>
      </c>
      <c r="AV9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92" s="35">
        <f>(VLOOKUP(Tabla44[[#This Row],[SERVICIO 2025]],$J$2:$V$15,3,0)*Tabla44[[#This Row],[TOTAL COBERTURA]])+VLOOKUP(Tabla44[[#This Row],[SERVICIO 2025]],$J$2:$V$15,10,0)*Tabla44[[#This Row],[TOTAL COBERTURA]]</f>
        <v>7007504</v>
      </c>
      <c r="AX92" s="35">
        <f>(VLOOKUP(Tabla44[[#This Row],[SERVICIO 2025]],$J$2:$V$15,3,0)*Tabla44[[#This Row],[TOTAL COBERTURA]])+VLOOKUP(Tabla44[[#This Row],[SERVICIO 2025]],$J$2:$V$15,10,0)*Tabla44[[#This Row],[TOTAL COBERTURA]]</f>
        <v>7007504</v>
      </c>
      <c r="AY92" s="35">
        <f>(VLOOKUP(Tabla44[[#This Row],[SERVICIO 2025]],$J$2:$V$15,3,0)*Tabla44[[#This Row],[TOTAL COBERTURA]])+VLOOKUP(Tabla44[[#This Row],[SERVICIO 2025]],$J$2:$V$15,10,0)*Tabla44[[#This Row],[TOTAL COBERTURA]]</f>
        <v>7007504</v>
      </c>
      <c r="AZ92" s="35">
        <f>(VLOOKUP(Tabla44[[#This Row],[SERVICIO 2025]],$J$2:$V$15,3,0)*Tabla44[[#This Row],[TOTAL COBERTURA]])+VLOOKUP(Tabla44[[#This Row],[SERVICIO 2025]],$J$2:$V$15,10,0)*Tabla44[[#This Row],[TOTAL COBERTURA]]</f>
        <v>7007504</v>
      </c>
      <c r="BA92" s="35">
        <f>(VLOOKUP(Tabla44[[#This Row],[SERVICIO 2025]],$J$2:$V$15,3,0)*Tabla44[[#This Row],[TOTAL COBERTURA]])+VLOOKUP(Tabla44[[#This Row],[SERVICIO 2025]],$J$2:$V$15,10,0)*Tabla44[[#This Row],[TOTAL COBERTURA]]</f>
        <v>7007504</v>
      </c>
      <c r="BB92" s="35">
        <f>(VLOOKUP(Tabla44[[#This Row],[SERVICIO 2025]],$J$2:$V$15,3,0)*Tabla44[[#This Row],[TOTAL COBERTURA]])+VLOOKUP(Tabla44[[#This Row],[SERVICIO 2025]],$J$2:$V$15,10,0)*Tabla44[[#This Row],[TOTAL COBERTURA]]</f>
        <v>7007504</v>
      </c>
      <c r="BC9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92" s="35">
        <f>SUM(Tabla44[[#This Row],[DESEMBOLSO 1]:[DESEMBOLSO 8]])</f>
        <v>57972112</v>
      </c>
      <c r="BE92" s="12" t="b">
        <f>EXACT(Tabla44[[#This Row],[VALOR ATENCIÓN (8 MESES)]],Tabla44[[#This Row],[VALOR TOTAL]])</f>
        <v>1</v>
      </c>
      <c r="BF92" s="23">
        <f>Tabla44[[#This Row],[VALOR ATENCIÓN (8 MESES)]]-Tabla44[[#This Row],[VALOR TOTAL]]</f>
        <v>0</v>
      </c>
      <c r="BG92" s="12" t="b">
        <f>EXACT(Tabla44[[#This Row],[TOTAL DESEMBOLSOS]],Tabla44[[#This Row],[VALOR TOTAL DEL CONTRATO INCLUIDO EL COMPONENTE DE ALIMENTACIÓN]])</f>
        <v>1</v>
      </c>
      <c r="BH92" s="29">
        <f>Tabla44[[#This Row],[TOTAL DESEMBOLSOS]]-Tabla44[[#This Row],[VALOR TOTAL DEL CONTRATO INCLUIDO EL COMPONENTE DE ALIMENTACIÓN]]</f>
        <v>0</v>
      </c>
      <c r="BI92" t="s">
        <v>98</v>
      </c>
    </row>
    <row r="93" spans="1:61">
      <c r="A93" s="13">
        <v>1924</v>
      </c>
      <c r="B93" s="13"/>
      <c r="C93" s="12" t="s">
        <v>87</v>
      </c>
      <c r="D93" s="12" t="s">
        <v>1534</v>
      </c>
      <c r="E93" s="12" t="s">
        <v>2978</v>
      </c>
      <c r="F93" s="12" t="s">
        <v>18</v>
      </c>
      <c r="G93" s="12" t="s">
        <v>90</v>
      </c>
      <c r="H93" s="12" t="s">
        <v>2994</v>
      </c>
      <c r="I93" s="36">
        <v>51131135734</v>
      </c>
      <c r="J93" s="12" t="s">
        <v>2995</v>
      </c>
      <c r="K93" s="12">
        <v>1</v>
      </c>
      <c r="L93" s="12">
        <v>19</v>
      </c>
      <c r="M93" s="12"/>
      <c r="N93" s="13">
        <v>1924</v>
      </c>
      <c r="O93" s="12" t="s">
        <v>2850</v>
      </c>
      <c r="P93" s="12"/>
      <c r="Q93" s="12"/>
      <c r="R93" s="12" t="s">
        <v>94</v>
      </c>
      <c r="S93" s="12">
        <v>10</v>
      </c>
      <c r="T93" s="12">
        <v>811021339</v>
      </c>
      <c r="U93" s="12" t="s">
        <v>2851</v>
      </c>
      <c r="V93" s="12">
        <f>VLOOKUP(Tabla44[[#This Row],[ZONA DEFINITIVO]],[1]Hoja1!$A$1:$D$125,3,0)</f>
        <v>229935</v>
      </c>
      <c r="W93" s="12">
        <f>VLOOKUP(Tabla44[[#This Row],[ZONA DEFINITIVO]],[1]Hoja1!$A$1:$D$125,2,0)</f>
        <v>17252</v>
      </c>
      <c r="X93" s="12">
        <f>VLOOKUP(Tabla44[[#This Row],[ZONA DEFINITIVO]],[1]Hoja1!$A$1:$D$125,4,0)</f>
        <v>104125</v>
      </c>
      <c r="Y93" s="12" t="str">
        <f>+IF(Tabla44[[#This Row],[AGRUPACIONES]]=1,SUMIFS(Tabla44[UDS],Tabla44[ZONA DEFINITIVO],Tabla44[[#This Row],[ZONA DEFINITIVO]])," ")</f>
        <v xml:space="preserve"> </v>
      </c>
      <c r="Z93" s="12" t="str">
        <f>+IF(Tabla44[[#This Row],[AGRUPACIONES]]=1,SUMIFS(Tabla44[TOTAL COBERTURA],Tabla44[ZONA DEFINITIVO],Tabla44[[#This Row],[ZONA DEFINITIVO]])," ")</f>
        <v xml:space="preserve"> </v>
      </c>
      <c r="AA93" s="12"/>
      <c r="AB93" s="35">
        <v>41423667</v>
      </c>
      <c r="AC93" s="37">
        <v>0</v>
      </c>
      <c r="AD93" s="35">
        <f t="shared" si="2"/>
        <v>0</v>
      </c>
      <c r="AE93" s="12"/>
      <c r="AF93" s="12">
        <f>COUNTIF($A$20:A93,A93)</f>
        <v>23</v>
      </c>
      <c r="AG93" s="38">
        <v>41423667</v>
      </c>
      <c r="AH93" s="38">
        <f>Tabla44[[#This Row],[VALOR CONTRAPARTIDA]]+Tabla44[[#This Row],[TOTAL APORTES ICBF]]</f>
        <v>41423667</v>
      </c>
      <c r="AI93" s="35" t="str">
        <f>+IF(Tabla44[[#This Row],[AGRUPACIONES]]=1,SUMIFS(Tabla44[TOTAL APORTES ICBF],Tabla44[ZONA DEFINITIVO],Tabla44[[#This Row],[ZONA DEFINITIVO]])," ")</f>
        <v xml:space="preserve"> </v>
      </c>
      <c r="AJ93" s="38"/>
      <c r="AK93" s="38"/>
      <c r="AL93" s="35"/>
      <c r="AM93" s="35">
        <f>VLOOKUP(Tabla44[[#This Row],[SERVICIO 2025]],$J$2:$V$15,5,0)*Tabla44[[#This Row],[TOTAL COBERTURA]]</f>
        <v>938144</v>
      </c>
      <c r="AN93" s="35">
        <f>VLOOKUP(Tabla44[[#This Row],[SERVICIO 2025]],$J$2:$V$15,6,0)*Tabla44[[#This Row],[TOTAL COBERTURA]]</f>
        <v>779551</v>
      </c>
      <c r="AO93" s="35">
        <f>VLOOKUP(Tabla44[[#This Row],[SERVICIO 2025]],$J$2:$V$15,8,0)*Tabla44[[#This Row],[TOTAL COBERTURA]]</f>
        <v>552900</v>
      </c>
      <c r="AP93" s="35">
        <f>VLOOKUP(Tabla44[[#This Row],[SERVICIO 2025]],$J$2:$V$15,3,0)*Tabla44[[#This Row],[TOTAL COBERTURA]]*8</f>
        <v>39153072</v>
      </c>
      <c r="AQ93" s="35"/>
      <c r="AR93" s="35">
        <f>SUM(Tabla44[[#This Row],[VALOR FASE PREPARATORIA DE ALISTAMIENTO]:[VALOR RACION PREPARADA]])</f>
        <v>41423667</v>
      </c>
      <c r="AS93" s="35" t="str">
        <f>+IF(Tabla44[[#This Row],[AGRUPACIONES]]=1,SUMIFS(Tabla44[VALOR TOTAL],Tabla44[ZONA DEFINITIVO],Tabla44[[#This Row],[ZONA DEFINITIVO]])," ")</f>
        <v xml:space="preserve"> </v>
      </c>
      <c r="AT93" s="35">
        <f>VLOOKUP(Tabla44[[#This Row],[SERVICIO 2025]],$J$2:$V$15,10,0)*Tabla44[[#This Row],[TOTAL COBERTURA]]*$X$7</f>
        <v>27418216</v>
      </c>
      <c r="AU93" s="39">
        <f>Tabla44[[#This Row],[TOTAL CONTRATO (ICBF+EAS)]]+Tabla44[[#This Row],[VALOR COMPONENTE ALIMENTACION NO ASIGNADO]]</f>
        <v>68841883</v>
      </c>
      <c r="AV9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9812455</v>
      </c>
      <c r="AW93" s="35">
        <f>(VLOOKUP(Tabla44[[#This Row],[SERVICIO 2025]],$J$2:$V$15,3,0)*Tabla44[[#This Row],[TOTAL COBERTURA]])+VLOOKUP(Tabla44[[#This Row],[SERVICIO 2025]],$J$2:$V$15,10,0)*Tabla44[[#This Row],[TOTAL COBERTURA]]</f>
        <v>8321411</v>
      </c>
      <c r="AX93" s="35">
        <f>(VLOOKUP(Tabla44[[#This Row],[SERVICIO 2025]],$J$2:$V$15,3,0)*Tabla44[[#This Row],[TOTAL COBERTURA]])+VLOOKUP(Tabla44[[#This Row],[SERVICIO 2025]],$J$2:$V$15,10,0)*Tabla44[[#This Row],[TOTAL COBERTURA]]</f>
        <v>8321411</v>
      </c>
      <c r="AY93" s="35">
        <f>(VLOOKUP(Tabla44[[#This Row],[SERVICIO 2025]],$J$2:$V$15,3,0)*Tabla44[[#This Row],[TOTAL COBERTURA]])+VLOOKUP(Tabla44[[#This Row],[SERVICIO 2025]],$J$2:$V$15,10,0)*Tabla44[[#This Row],[TOTAL COBERTURA]]</f>
        <v>8321411</v>
      </c>
      <c r="AZ93" s="35">
        <f>(VLOOKUP(Tabla44[[#This Row],[SERVICIO 2025]],$J$2:$V$15,3,0)*Tabla44[[#This Row],[TOTAL COBERTURA]])+VLOOKUP(Tabla44[[#This Row],[SERVICIO 2025]],$J$2:$V$15,10,0)*Tabla44[[#This Row],[TOTAL COBERTURA]]</f>
        <v>8321411</v>
      </c>
      <c r="BA93" s="35">
        <f>(VLOOKUP(Tabla44[[#This Row],[SERVICIO 2025]],$J$2:$V$15,3,0)*Tabla44[[#This Row],[TOTAL COBERTURA]])+VLOOKUP(Tabla44[[#This Row],[SERVICIO 2025]],$J$2:$V$15,10,0)*Tabla44[[#This Row],[TOTAL COBERTURA]]</f>
        <v>8321411</v>
      </c>
      <c r="BB93" s="35">
        <f>(VLOOKUP(Tabla44[[#This Row],[SERVICIO 2025]],$J$2:$V$15,3,0)*Tabla44[[#This Row],[TOTAL COBERTURA]])+VLOOKUP(Tabla44[[#This Row],[SERVICIO 2025]],$J$2:$V$15,10,0)*Tabla44[[#This Row],[TOTAL COBERTURA]]</f>
        <v>8321411</v>
      </c>
      <c r="BC9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9100962</v>
      </c>
      <c r="BD93" s="35">
        <f>SUM(Tabla44[[#This Row],[DESEMBOLSO 1]:[DESEMBOLSO 8]])</f>
        <v>68841883</v>
      </c>
      <c r="BE93" s="12" t="b">
        <f>EXACT(Tabla44[[#This Row],[VALOR ATENCIÓN (8 MESES)]],Tabla44[[#This Row],[VALOR TOTAL]])</f>
        <v>1</v>
      </c>
      <c r="BF93" s="23">
        <f>Tabla44[[#This Row],[VALOR ATENCIÓN (8 MESES)]]-Tabla44[[#This Row],[VALOR TOTAL]]</f>
        <v>0</v>
      </c>
      <c r="BG93" s="12" t="b">
        <f>EXACT(Tabla44[[#This Row],[TOTAL DESEMBOLSOS]],Tabla44[[#This Row],[VALOR TOTAL DEL CONTRATO INCLUIDO EL COMPONENTE DE ALIMENTACIÓN]])</f>
        <v>1</v>
      </c>
      <c r="BH93" s="29">
        <f>Tabla44[[#This Row],[TOTAL DESEMBOLSOS]]-Tabla44[[#This Row],[VALOR TOTAL DEL CONTRATO INCLUIDO EL COMPONENTE DE ALIMENTACIÓN]]</f>
        <v>0</v>
      </c>
      <c r="BI93" t="s">
        <v>98</v>
      </c>
    </row>
    <row r="94" spans="1:61">
      <c r="A94" s="13">
        <v>1924</v>
      </c>
      <c r="B94" s="13"/>
      <c r="C94" s="12" t="s">
        <v>87</v>
      </c>
      <c r="D94" s="12" t="s">
        <v>1534</v>
      </c>
      <c r="E94" s="12" t="s">
        <v>2978</v>
      </c>
      <c r="F94" s="12" t="s">
        <v>18</v>
      </c>
      <c r="G94" s="12" t="s">
        <v>90</v>
      </c>
      <c r="H94" s="12" t="s">
        <v>2996</v>
      </c>
      <c r="I94" s="36">
        <v>51131135992</v>
      </c>
      <c r="J94" s="12" t="s">
        <v>2997</v>
      </c>
      <c r="K94" s="12">
        <v>1</v>
      </c>
      <c r="L94" s="12">
        <v>8</v>
      </c>
      <c r="M94" s="12"/>
      <c r="N94" s="13">
        <v>1924</v>
      </c>
      <c r="O94" s="12" t="s">
        <v>2850</v>
      </c>
      <c r="P94" s="12"/>
      <c r="Q94" s="12"/>
      <c r="R94" s="12" t="s">
        <v>94</v>
      </c>
      <c r="S94" s="12">
        <v>10</v>
      </c>
      <c r="T94" s="12">
        <v>811021339</v>
      </c>
      <c r="U94" s="12" t="s">
        <v>2851</v>
      </c>
      <c r="V94" s="12">
        <f>VLOOKUP(Tabla44[[#This Row],[ZONA DEFINITIVO]],[1]Hoja1!$A$1:$D$125,3,0)</f>
        <v>229935</v>
      </c>
      <c r="W94" s="12">
        <f>VLOOKUP(Tabla44[[#This Row],[ZONA DEFINITIVO]],[1]Hoja1!$A$1:$D$125,2,0)</f>
        <v>17252</v>
      </c>
      <c r="X94" s="12">
        <f>VLOOKUP(Tabla44[[#This Row],[ZONA DEFINITIVO]],[1]Hoja1!$A$1:$D$125,4,0)</f>
        <v>104125</v>
      </c>
      <c r="Y94" s="12" t="str">
        <f>+IF(Tabla44[[#This Row],[AGRUPACIONES]]=1,SUMIFS(Tabla44[UDS],Tabla44[ZONA DEFINITIVO],Tabla44[[#This Row],[ZONA DEFINITIVO]])," ")</f>
        <v xml:space="preserve"> </v>
      </c>
      <c r="Z94" s="12" t="str">
        <f>+IF(Tabla44[[#This Row],[AGRUPACIONES]]=1,SUMIFS(Tabla44[TOTAL COBERTURA],Tabla44[ZONA DEFINITIVO],Tabla44[[#This Row],[ZONA DEFINITIVO]])," ")</f>
        <v xml:space="preserve"> </v>
      </c>
      <c r="AA94" s="12"/>
      <c r="AB94" s="35">
        <v>17441544</v>
      </c>
      <c r="AC94" s="37">
        <v>0</v>
      </c>
      <c r="AD94" s="35">
        <f t="shared" si="2"/>
        <v>0</v>
      </c>
      <c r="AE94" s="12"/>
      <c r="AF94" s="12">
        <f>COUNTIF($A$20:A94,A94)</f>
        <v>24</v>
      </c>
      <c r="AG94" s="38">
        <v>17441544</v>
      </c>
      <c r="AH94" s="38">
        <f>Tabla44[[#This Row],[VALOR CONTRAPARTIDA]]+Tabla44[[#This Row],[TOTAL APORTES ICBF]]</f>
        <v>17441544</v>
      </c>
      <c r="AI94" s="35" t="str">
        <f>+IF(Tabla44[[#This Row],[AGRUPACIONES]]=1,SUMIFS(Tabla44[TOTAL APORTES ICBF],Tabla44[ZONA DEFINITIVO],Tabla44[[#This Row],[ZONA DEFINITIVO]])," ")</f>
        <v xml:space="preserve"> </v>
      </c>
      <c r="AJ94" s="38"/>
      <c r="AK94" s="38"/>
      <c r="AL94" s="35"/>
      <c r="AM94" s="35">
        <f>VLOOKUP(Tabla44[[#This Row],[SERVICIO 2025]],$J$2:$V$15,5,0)*Tabla44[[#This Row],[TOTAL COBERTURA]]</f>
        <v>395008</v>
      </c>
      <c r="AN94" s="35">
        <f>VLOOKUP(Tabla44[[#This Row],[SERVICIO 2025]],$J$2:$V$15,6,0)*Tabla44[[#This Row],[TOTAL COBERTURA]]</f>
        <v>328232</v>
      </c>
      <c r="AO94" s="35">
        <f>VLOOKUP(Tabla44[[#This Row],[SERVICIO 2025]],$J$2:$V$15,8,0)*Tabla44[[#This Row],[TOTAL COBERTURA]]</f>
        <v>232800</v>
      </c>
      <c r="AP94" s="35">
        <f>VLOOKUP(Tabla44[[#This Row],[SERVICIO 2025]],$J$2:$V$15,3,0)*Tabla44[[#This Row],[TOTAL COBERTURA]]*8</f>
        <v>16485504</v>
      </c>
      <c r="AQ94" s="35"/>
      <c r="AR94" s="35">
        <f>SUM(Tabla44[[#This Row],[VALOR FASE PREPARATORIA DE ALISTAMIENTO]:[VALOR RACION PREPARADA]])</f>
        <v>17441544</v>
      </c>
      <c r="AS94" s="35" t="str">
        <f>+IF(Tabla44[[#This Row],[AGRUPACIONES]]=1,SUMIFS(Tabla44[VALOR TOTAL],Tabla44[ZONA DEFINITIVO],Tabla44[[#This Row],[ZONA DEFINITIVO]])," ")</f>
        <v xml:space="preserve"> </v>
      </c>
      <c r="AT94" s="35">
        <f>VLOOKUP(Tabla44[[#This Row],[SERVICIO 2025]],$J$2:$V$15,10,0)*Tabla44[[#This Row],[TOTAL COBERTURA]]*$X$7</f>
        <v>11544512</v>
      </c>
      <c r="AU94" s="39">
        <f>Tabla44[[#This Row],[TOTAL CONTRATO (ICBF+EAS)]]+Tabla44[[#This Row],[VALOR COMPONENTE ALIMENTACION NO ASIGNADO]]</f>
        <v>28986056</v>
      </c>
      <c r="AV9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4131560</v>
      </c>
      <c r="AW94" s="35">
        <f>(VLOOKUP(Tabla44[[#This Row],[SERVICIO 2025]],$J$2:$V$15,3,0)*Tabla44[[#This Row],[TOTAL COBERTURA]])+VLOOKUP(Tabla44[[#This Row],[SERVICIO 2025]],$J$2:$V$15,10,0)*Tabla44[[#This Row],[TOTAL COBERTURA]]</f>
        <v>3503752</v>
      </c>
      <c r="AX94" s="35">
        <f>(VLOOKUP(Tabla44[[#This Row],[SERVICIO 2025]],$J$2:$V$15,3,0)*Tabla44[[#This Row],[TOTAL COBERTURA]])+VLOOKUP(Tabla44[[#This Row],[SERVICIO 2025]],$J$2:$V$15,10,0)*Tabla44[[#This Row],[TOTAL COBERTURA]]</f>
        <v>3503752</v>
      </c>
      <c r="AY94" s="35">
        <f>(VLOOKUP(Tabla44[[#This Row],[SERVICIO 2025]],$J$2:$V$15,3,0)*Tabla44[[#This Row],[TOTAL COBERTURA]])+VLOOKUP(Tabla44[[#This Row],[SERVICIO 2025]],$J$2:$V$15,10,0)*Tabla44[[#This Row],[TOTAL COBERTURA]]</f>
        <v>3503752</v>
      </c>
      <c r="AZ94" s="35">
        <f>(VLOOKUP(Tabla44[[#This Row],[SERVICIO 2025]],$J$2:$V$15,3,0)*Tabla44[[#This Row],[TOTAL COBERTURA]])+VLOOKUP(Tabla44[[#This Row],[SERVICIO 2025]],$J$2:$V$15,10,0)*Tabla44[[#This Row],[TOTAL COBERTURA]]</f>
        <v>3503752</v>
      </c>
      <c r="BA94" s="35">
        <f>(VLOOKUP(Tabla44[[#This Row],[SERVICIO 2025]],$J$2:$V$15,3,0)*Tabla44[[#This Row],[TOTAL COBERTURA]])+VLOOKUP(Tabla44[[#This Row],[SERVICIO 2025]],$J$2:$V$15,10,0)*Tabla44[[#This Row],[TOTAL COBERTURA]]</f>
        <v>3503752</v>
      </c>
      <c r="BB94" s="35">
        <f>(VLOOKUP(Tabla44[[#This Row],[SERVICIO 2025]],$J$2:$V$15,3,0)*Tabla44[[#This Row],[TOTAL COBERTURA]])+VLOOKUP(Tabla44[[#This Row],[SERVICIO 2025]],$J$2:$V$15,10,0)*Tabla44[[#This Row],[TOTAL COBERTURA]]</f>
        <v>3503752</v>
      </c>
      <c r="BC9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3831984</v>
      </c>
      <c r="BD94" s="35">
        <f>SUM(Tabla44[[#This Row],[DESEMBOLSO 1]:[DESEMBOLSO 8]])</f>
        <v>28986056</v>
      </c>
      <c r="BE94" s="12" t="b">
        <f>EXACT(Tabla44[[#This Row],[VALOR ATENCIÓN (8 MESES)]],Tabla44[[#This Row],[VALOR TOTAL]])</f>
        <v>1</v>
      </c>
      <c r="BF94" s="23">
        <f>Tabla44[[#This Row],[VALOR ATENCIÓN (8 MESES)]]-Tabla44[[#This Row],[VALOR TOTAL]]</f>
        <v>0</v>
      </c>
      <c r="BG94" s="12" t="b">
        <f>EXACT(Tabla44[[#This Row],[TOTAL DESEMBOLSOS]],Tabla44[[#This Row],[VALOR TOTAL DEL CONTRATO INCLUIDO EL COMPONENTE DE ALIMENTACIÓN]])</f>
        <v>1</v>
      </c>
      <c r="BH94" s="29">
        <f>Tabla44[[#This Row],[TOTAL DESEMBOLSOS]]-Tabla44[[#This Row],[VALOR TOTAL DEL CONTRATO INCLUIDO EL COMPONENTE DE ALIMENTACIÓN]]</f>
        <v>0</v>
      </c>
      <c r="BI94" t="s">
        <v>98</v>
      </c>
    </row>
    <row r="95" spans="1:61">
      <c r="A95" s="13">
        <v>1924</v>
      </c>
      <c r="B95" s="13"/>
      <c r="C95" s="12" t="s">
        <v>87</v>
      </c>
      <c r="D95" s="12" t="s">
        <v>1534</v>
      </c>
      <c r="E95" s="12" t="s">
        <v>2978</v>
      </c>
      <c r="F95" s="12" t="s">
        <v>18</v>
      </c>
      <c r="G95" s="12" t="s">
        <v>90</v>
      </c>
      <c r="H95" s="12" t="s">
        <v>2998</v>
      </c>
      <c r="I95" s="36">
        <v>51131136011</v>
      </c>
      <c r="J95" s="12" t="s">
        <v>2999</v>
      </c>
      <c r="K95" s="12">
        <v>1</v>
      </c>
      <c r="L95" s="12">
        <v>33</v>
      </c>
      <c r="M95" s="12"/>
      <c r="N95" s="13">
        <v>1924</v>
      </c>
      <c r="O95" s="12" t="s">
        <v>2850</v>
      </c>
      <c r="P95" s="12"/>
      <c r="Q95" s="12"/>
      <c r="R95" s="12" t="s">
        <v>94</v>
      </c>
      <c r="S95" s="12">
        <v>10</v>
      </c>
      <c r="T95" s="12">
        <v>811021339</v>
      </c>
      <c r="U95" s="12" t="s">
        <v>2851</v>
      </c>
      <c r="V95" s="12">
        <f>VLOOKUP(Tabla44[[#This Row],[ZONA DEFINITIVO]],[1]Hoja1!$A$1:$D$125,3,0)</f>
        <v>229935</v>
      </c>
      <c r="W95" s="12">
        <f>VLOOKUP(Tabla44[[#This Row],[ZONA DEFINITIVO]],[1]Hoja1!$A$1:$D$125,2,0)</f>
        <v>17252</v>
      </c>
      <c r="X95" s="12">
        <f>VLOOKUP(Tabla44[[#This Row],[ZONA DEFINITIVO]],[1]Hoja1!$A$1:$D$125,4,0)</f>
        <v>104125</v>
      </c>
      <c r="Y95" s="12" t="str">
        <f>+IF(Tabla44[[#This Row],[AGRUPACIONES]]=1,SUMIFS(Tabla44[UDS],Tabla44[ZONA DEFINITIVO],Tabla44[[#This Row],[ZONA DEFINITIVO]])," ")</f>
        <v xml:space="preserve"> </v>
      </c>
      <c r="Z95" s="12" t="str">
        <f>+IF(Tabla44[[#This Row],[AGRUPACIONES]]=1,SUMIFS(Tabla44[TOTAL COBERTURA],Tabla44[ZONA DEFINITIVO],Tabla44[[#This Row],[ZONA DEFINITIVO]])," ")</f>
        <v xml:space="preserve"> </v>
      </c>
      <c r="AA95" s="12"/>
      <c r="AB95" s="35">
        <v>71946369</v>
      </c>
      <c r="AC95" s="37">
        <v>0</v>
      </c>
      <c r="AD95" s="35">
        <f t="shared" si="2"/>
        <v>0</v>
      </c>
      <c r="AE95" s="12"/>
      <c r="AF95" s="12">
        <f>COUNTIF($A$20:A95,A95)</f>
        <v>25</v>
      </c>
      <c r="AG95" s="38">
        <v>71946369</v>
      </c>
      <c r="AH95" s="38">
        <f>Tabla44[[#This Row],[VALOR CONTRAPARTIDA]]+Tabla44[[#This Row],[TOTAL APORTES ICBF]]</f>
        <v>71946369</v>
      </c>
      <c r="AI95" s="35" t="str">
        <f>+IF(Tabla44[[#This Row],[AGRUPACIONES]]=1,SUMIFS(Tabla44[TOTAL APORTES ICBF],Tabla44[ZONA DEFINITIVO],Tabla44[[#This Row],[ZONA DEFINITIVO]])," ")</f>
        <v xml:space="preserve"> </v>
      </c>
      <c r="AJ95" s="38"/>
      <c r="AK95" s="38"/>
      <c r="AL95" s="35"/>
      <c r="AM95" s="35">
        <f>VLOOKUP(Tabla44[[#This Row],[SERVICIO 2025]],$J$2:$V$15,5,0)*Tabla44[[#This Row],[TOTAL COBERTURA]]</f>
        <v>1629408</v>
      </c>
      <c r="AN95" s="35">
        <f>VLOOKUP(Tabla44[[#This Row],[SERVICIO 2025]],$J$2:$V$15,6,0)*Tabla44[[#This Row],[TOTAL COBERTURA]]</f>
        <v>1353957</v>
      </c>
      <c r="AO95" s="35">
        <f>VLOOKUP(Tabla44[[#This Row],[SERVICIO 2025]],$J$2:$V$15,8,0)*Tabla44[[#This Row],[TOTAL COBERTURA]]</f>
        <v>960300</v>
      </c>
      <c r="AP95" s="35">
        <f>VLOOKUP(Tabla44[[#This Row],[SERVICIO 2025]],$J$2:$V$15,3,0)*Tabla44[[#This Row],[TOTAL COBERTURA]]*8</f>
        <v>68002704</v>
      </c>
      <c r="AQ95" s="35"/>
      <c r="AR95" s="35">
        <f>SUM(Tabla44[[#This Row],[VALOR FASE PREPARATORIA DE ALISTAMIENTO]:[VALOR RACION PREPARADA]])</f>
        <v>71946369</v>
      </c>
      <c r="AS95" s="35" t="str">
        <f>+IF(Tabla44[[#This Row],[AGRUPACIONES]]=1,SUMIFS(Tabla44[VALOR TOTAL],Tabla44[ZONA DEFINITIVO],Tabla44[[#This Row],[ZONA DEFINITIVO]])," ")</f>
        <v xml:space="preserve"> </v>
      </c>
      <c r="AT95" s="35">
        <f>VLOOKUP(Tabla44[[#This Row],[SERVICIO 2025]],$J$2:$V$15,10,0)*Tabla44[[#This Row],[TOTAL COBERTURA]]*$X$7</f>
        <v>47621112</v>
      </c>
      <c r="AU95" s="39">
        <f>Tabla44[[#This Row],[TOTAL CONTRATO (ICBF+EAS)]]+Tabla44[[#This Row],[VALOR COMPONENTE ALIMENTACION NO ASIGNADO]]</f>
        <v>119567481</v>
      </c>
      <c r="AV9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17042685</v>
      </c>
      <c r="AW95" s="35">
        <f>(VLOOKUP(Tabla44[[#This Row],[SERVICIO 2025]],$J$2:$V$15,3,0)*Tabla44[[#This Row],[TOTAL COBERTURA]])+VLOOKUP(Tabla44[[#This Row],[SERVICIO 2025]],$J$2:$V$15,10,0)*Tabla44[[#This Row],[TOTAL COBERTURA]]</f>
        <v>14452977</v>
      </c>
      <c r="AX95" s="35">
        <f>(VLOOKUP(Tabla44[[#This Row],[SERVICIO 2025]],$J$2:$V$15,3,0)*Tabla44[[#This Row],[TOTAL COBERTURA]])+VLOOKUP(Tabla44[[#This Row],[SERVICIO 2025]],$J$2:$V$15,10,0)*Tabla44[[#This Row],[TOTAL COBERTURA]]</f>
        <v>14452977</v>
      </c>
      <c r="AY95" s="35">
        <f>(VLOOKUP(Tabla44[[#This Row],[SERVICIO 2025]],$J$2:$V$15,3,0)*Tabla44[[#This Row],[TOTAL COBERTURA]])+VLOOKUP(Tabla44[[#This Row],[SERVICIO 2025]],$J$2:$V$15,10,0)*Tabla44[[#This Row],[TOTAL COBERTURA]]</f>
        <v>14452977</v>
      </c>
      <c r="AZ95" s="35">
        <f>(VLOOKUP(Tabla44[[#This Row],[SERVICIO 2025]],$J$2:$V$15,3,0)*Tabla44[[#This Row],[TOTAL COBERTURA]])+VLOOKUP(Tabla44[[#This Row],[SERVICIO 2025]],$J$2:$V$15,10,0)*Tabla44[[#This Row],[TOTAL COBERTURA]]</f>
        <v>14452977</v>
      </c>
      <c r="BA95" s="35">
        <f>(VLOOKUP(Tabla44[[#This Row],[SERVICIO 2025]],$J$2:$V$15,3,0)*Tabla44[[#This Row],[TOTAL COBERTURA]])+VLOOKUP(Tabla44[[#This Row],[SERVICIO 2025]],$J$2:$V$15,10,0)*Tabla44[[#This Row],[TOTAL COBERTURA]]</f>
        <v>14452977</v>
      </c>
      <c r="BB95" s="35">
        <f>(VLOOKUP(Tabla44[[#This Row],[SERVICIO 2025]],$J$2:$V$15,3,0)*Tabla44[[#This Row],[TOTAL COBERTURA]])+VLOOKUP(Tabla44[[#This Row],[SERVICIO 2025]],$J$2:$V$15,10,0)*Tabla44[[#This Row],[TOTAL COBERTURA]]</f>
        <v>14452977</v>
      </c>
      <c r="BC9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15806934</v>
      </c>
      <c r="BD95" s="35">
        <f>SUM(Tabla44[[#This Row],[DESEMBOLSO 1]:[DESEMBOLSO 8]])</f>
        <v>119567481</v>
      </c>
      <c r="BE95" s="12" t="b">
        <f>EXACT(Tabla44[[#This Row],[VALOR ATENCIÓN (8 MESES)]],Tabla44[[#This Row],[VALOR TOTAL]])</f>
        <v>1</v>
      </c>
      <c r="BF95" s="23">
        <f>Tabla44[[#This Row],[VALOR ATENCIÓN (8 MESES)]]-Tabla44[[#This Row],[VALOR TOTAL]]</f>
        <v>0</v>
      </c>
      <c r="BG95" s="12" t="b">
        <f>EXACT(Tabla44[[#This Row],[TOTAL DESEMBOLSOS]],Tabla44[[#This Row],[VALOR TOTAL DEL CONTRATO INCLUIDO EL COMPONENTE DE ALIMENTACIÓN]])</f>
        <v>1</v>
      </c>
      <c r="BH95" s="29">
        <f>Tabla44[[#This Row],[TOTAL DESEMBOLSOS]]-Tabla44[[#This Row],[VALOR TOTAL DEL CONTRATO INCLUIDO EL COMPONENTE DE ALIMENTACIÓN]]</f>
        <v>0</v>
      </c>
      <c r="BI95" t="s">
        <v>98</v>
      </c>
    </row>
    <row r="96" spans="1:61">
      <c r="A96" s="13">
        <v>1924</v>
      </c>
      <c r="B96" s="13"/>
      <c r="C96" s="12" t="s">
        <v>87</v>
      </c>
      <c r="D96" s="12" t="s">
        <v>1534</v>
      </c>
      <c r="E96" s="12" t="s">
        <v>2978</v>
      </c>
      <c r="F96" s="12" t="s">
        <v>18</v>
      </c>
      <c r="G96" s="12" t="s">
        <v>90</v>
      </c>
      <c r="H96" s="12" t="s">
        <v>3000</v>
      </c>
      <c r="I96" s="36">
        <v>51131136019</v>
      </c>
      <c r="J96" s="12" t="s">
        <v>3001</v>
      </c>
      <c r="K96" s="12">
        <v>1</v>
      </c>
      <c r="L96" s="12">
        <v>20</v>
      </c>
      <c r="M96" s="12"/>
      <c r="N96" s="13">
        <v>1924</v>
      </c>
      <c r="O96" s="12" t="s">
        <v>2850</v>
      </c>
      <c r="P96" s="12"/>
      <c r="Q96" s="12"/>
      <c r="R96" s="12" t="s">
        <v>94</v>
      </c>
      <c r="S96" s="12">
        <v>10</v>
      </c>
      <c r="T96" s="12">
        <v>811021339</v>
      </c>
      <c r="U96" s="12" t="s">
        <v>2851</v>
      </c>
      <c r="V96" s="12">
        <f>VLOOKUP(Tabla44[[#This Row],[ZONA DEFINITIVO]],[1]Hoja1!$A$1:$D$125,3,0)</f>
        <v>229935</v>
      </c>
      <c r="W96" s="12">
        <f>VLOOKUP(Tabla44[[#This Row],[ZONA DEFINITIVO]],[1]Hoja1!$A$1:$D$125,2,0)</f>
        <v>17252</v>
      </c>
      <c r="X96" s="12">
        <f>VLOOKUP(Tabla44[[#This Row],[ZONA DEFINITIVO]],[1]Hoja1!$A$1:$D$125,4,0)</f>
        <v>104125</v>
      </c>
      <c r="Y96" s="12" t="str">
        <f>+IF(Tabla44[[#This Row],[AGRUPACIONES]]=1,SUMIFS(Tabla44[UDS],Tabla44[ZONA DEFINITIVO],Tabla44[[#This Row],[ZONA DEFINITIVO]])," ")</f>
        <v xml:space="preserve"> </v>
      </c>
      <c r="Z96" s="12" t="str">
        <f>+IF(Tabla44[[#This Row],[AGRUPACIONES]]=1,SUMIFS(Tabla44[TOTAL COBERTURA],Tabla44[ZONA DEFINITIVO],Tabla44[[#This Row],[ZONA DEFINITIVO]])," ")</f>
        <v xml:space="preserve"> </v>
      </c>
      <c r="AA96" s="12"/>
      <c r="AB96" s="35">
        <v>43603860</v>
      </c>
      <c r="AC96" s="37">
        <v>0</v>
      </c>
      <c r="AD96" s="35">
        <f t="shared" si="2"/>
        <v>0</v>
      </c>
      <c r="AE96" s="12"/>
      <c r="AF96" s="12">
        <f>COUNTIF($A$20:A96,A96)</f>
        <v>26</v>
      </c>
      <c r="AG96" s="38">
        <v>43603860</v>
      </c>
      <c r="AH96" s="38">
        <f>Tabla44[[#This Row],[VALOR CONTRAPARTIDA]]+Tabla44[[#This Row],[TOTAL APORTES ICBF]]</f>
        <v>43603860</v>
      </c>
      <c r="AI96" s="35" t="str">
        <f>+IF(Tabla44[[#This Row],[AGRUPACIONES]]=1,SUMIFS(Tabla44[TOTAL APORTES ICBF],Tabla44[ZONA DEFINITIVO],Tabla44[[#This Row],[ZONA DEFINITIVO]])," ")</f>
        <v xml:space="preserve"> </v>
      </c>
      <c r="AJ96" s="38"/>
      <c r="AK96" s="38"/>
      <c r="AL96" s="35"/>
      <c r="AM96" s="35">
        <f>VLOOKUP(Tabla44[[#This Row],[SERVICIO 2025]],$J$2:$V$15,5,0)*Tabla44[[#This Row],[TOTAL COBERTURA]]</f>
        <v>987520</v>
      </c>
      <c r="AN96" s="35">
        <f>VLOOKUP(Tabla44[[#This Row],[SERVICIO 2025]],$J$2:$V$15,6,0)*Tabla44[[#This Row],[TOTAL COBERTURA]]</f>
        <v>820580</v>
      </c>
      <c r="AO96" s="35">
        <f>VLOOKUP(Tabla44[[#This Row],[SERVICIO 2025]],$J$2:$V$15,8,0)*Tabla44[[#This Row],[TOTAL COBERTURA]]</f>
        <v>582000</v>
      </c>
      <c r="AP96" s="35">
        <f>VLOOKUP(Tabla44[[#This Row],[SERVICIO 2025]],$J$2:$V$15,3,0)*Tabla44[[#This Row],[TOTAL COBERTURA]]*8</f>
        <v>41213760</v>
      </c>
      <c r="AQ96" s="35"/>
      <c r="AR96" s="35">
        <f>SUM(Tabla44[[#This Row],[VALOR FASE PREPARATORIA DE ALISTAMIENTO]:[VALOR RACION PREPARADA]])</f>
        <v>43603860</v>
      </c>
      <c r="AS96" s="35" t="str">
        <f>+IF(Tabla44[[#This Row],[AGRUPACIONES]]=1,SUMIFS(Tabla44[VALOR TOTAL],Tabla44[ZONA DEFINITIVO],Tabla44[[#This Row],[ZONA DEFINITIVO]])," ")</f>
        <v xml:space="preserve"> </v>
      </c>
      <c r="AT96" s="35">
        <f>VLOOKUP(Tabla44[[#This Row],[SERVICIO 2025]],$J$2:$V$15,10,0)*Tabla44[[#This Row],[TOTAL COBERTURA]]*$X$7</f>
        <v>28861280</v>
      </c>
      <c r="AU96" s="39">
        <f>Tabla44[[#This Row],[TOTAL CONTRATO (ICBF+EAS)]]+Tabla44[[#This Row],[VALOR COMPONENTE ALIMENTACION NO ASIGNADO]]</f>
        <v>72465140</v>
      </c>
      <c r="AV9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96" s="35">
        <f>(VLOOKUP(Tabla44[[#This Row],[SERVICIO 2025]],$J$2:$V$15,3,0)*Tabla44[[#This Row],[TOTAL COBERTURA]])+VLOOKUP(Tabla44[[#This Row],[SERVICIO 2025]],$J$2:$V$15,10,0)*Tabla44[[#This Row],[TOTAL COBERTURA]]</f>
        <v>8759380</v>
      </c>
      <c r="AX96" s="35">
        <f>(VLOOKUP(Tabla44[[#This Row],[SERVICIO 2025]],$J$2:$V$15,3,0)*Tabla44[[#This Row],[TOTAL COBERTURA]])+VLOOKUP(Tabla44[[#This Row],[SERVICIO 2025]],$J$2:$V$15,10,0)*Tabla44[[#This Row],[TOTAL COBERTURA]]</f>
        <v>8759380</v>
      </c>
      <c r="AY96" s="35">
        <f>(VLOOKUP(Tabla44[[#This Row],[SERVICIO 2025]],$J$2:$V$15,3,0)*Tabla44[[#This Row],[TOTAL COBERTURA]])+VLOOKUP(Tabla44[[#This Row],[SERVICIO 2025]],$J$2:$V$15,10,0)*Tabla44[[#This Row],[TOTAL COBERTURA]]</f>
        <v>8759380</v>
      </c>
      <c r="AZ96" s="35">
        <f>(VLOOKUP(Tabla44[[#This Row],[SERVICIO 2025]],$J$2:$V$15,3,0)*Tabla44[[#This Row],[TOTAL COBERTURA]])+VLOOKUP(Tabla44[[#This Row],[SERVICIO 2025]],$J$2:$V$15,10,0)*Tabla44[[#This Row],[TOTAL COBERTURA]]</f>
        <v>8759380</v>
      </c>
      <c r="BA96" s="35">
        <f>(VLOOKUP(Tabla44[[#This Row],[SERVICIO 2025]],$J$2:$V$15,3,0)*Tabla44[[#This Row],[TOTAL COBERTURA]])+VLOOKUP(Tabla44[[#This Row],[SERVICIO 2025]],$J$2:$V$15,10,0)*Tabla44[[#This Row],[TOTAL COBERTURA]]</f>
        <v>8759380</v>
      </c>
      <c r="BB96" s="35">
        <f>(VLOOKUP(Tabla44[[#This Row],[SERVICIO 2025]],$J$2:$V$15,3,0)*Tabla44[[#This Row],[TOTAL COBERTURA]])+VLOOKUP(Tabla44[[#This Row],[SERVICIO 2025]],$J$2:$V$15,10,0)*Tabla44[[#This Row],[TOTAL COBERTURA]]</f>
        <v>8759380</v>
      </c>
      <c r="BC9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96" s="35">
        <f>SUM(Tabla44[[#This Row],[DESEMBOLSO 1]:[DESEMBOLSO 8]])</f>
        <v>72465140</v>
      </c>
      <c r="BE96" s="12" t="b">
        <f>EXACT(Tabla44[[#This Row],[VALOR ATENCIÓN (8 MESES)]],Tabla44[[#This Row],[VALOR TOTAL]])</f>
        <v>1</v>
      </c>
      <c r="BF96" s="23">
        <f>Tabla44[[#This Row],[VALOR ATENCIÓN (8 MESES)]]-Tabla44[[#This Row],[VALOR TOTAL]]</f>
        <v>0</v>
      </c>
      <c r="BG96" s="12" t="b">
        <f>EXACT(Tabla44[[#This Row],[TOTAL DESEMBOLSOS]],Tabla44[[#This Row],[VALOR TOTAL DEL CONTRATO INCLUIDO EL COMPONENTE DE ALIMENTACIÓN]])</f>
        <v>1</v>
      </c>
      <c r="BH96" s="29">
        <f>Tabla44[[#This Row],[TOTAL DESEMBOLSOS]]-Tabla44[[#This Row],[VALOR TOTAL DEL CONTRATO INCLUIDO EL COMPONENTE DE ALIMENTACIÓN]]</f>
        <v>0</v>
      </c>
      <c r="BI96" t="s">
        <v>98</v>
      </c>
    </row>
    <row r="97" spans="1:61">
      <c r="A97" s="13">
        <v>1924</v>
      </c>
      <c r="B97" s="13"/>
      <c r="C97" s="12" t="s">
        <v>87</v>
      </c>
      <c r="D97" s="12" t="s">
        <v>1534</v>
      </c>
      <c r="E97" s="12" t="s">
        <v>2978</v>
      </c>
      <c r="F97" s="12" t="s">
        <v>18</v>
      </c>
      <c r="G97" s="12" t="s">
        <v>90</v>
      </c>
      <c r="H97" s="12" t="s">
        <v>1647</v>
      </c>
      <c r="I97" s="36">
        <v>51131136031</v>
      </c>
      <c r="J97" s="12" t="s">
        <v>3002</v>
      </c>
      <c r="K97" s="12">
        <v>1</v>
      </c>
      <c r="L97" s="12">
        <v>11</v>
      </c>
      <c r="M97" s="12"/>
      <c r="N97" s="13">
        <v>1924</v>
      </c>
      <c r="O97" s="12" t="s">
        <v>2850</v>
      </c>
      <c r="P97" s="12"/>
      <c r="Q97" s="12"/>
      <c r="R97" s="12" t="s">
        <v>94</v>
      </c>
      <c r="S97" s="12">
        <v>10</v>
      </c>
      <c r="T97" s="12">
        <v>811021339</v>
      </c>
      <c r="U97" s="12" t="s">
        <v>2851</v>
      </c>
      <c r="V97" s="12">
        <f>VLOOKUP(Tabla44[[#This Row],[ZONA DEFINITIVO]],[1]Hoja1!$A$1:$D$125,3,0)</f>
        <v>229935</v>
      </c>
      <c r="W97" s="12">
        <f>VLOOKUP(Tabla44[[#This Row],[ZONA DEFINITIVO]],[1]Hoja1!$A$1:$D$125,2,0)</f>
        <v>17252</v>
      </c>
      <c r="X97" s="12">
        <f>VLOOKUP(Tabla44[[#This Row],[ZONA DEFINITIVO]],[1]Hoja1!$A$1:$D$125,4,0)</f>
        <v>104125</v>
      </c>
      <c r="Y97" s="12" t="str">
        <f>+IF(Tabla44[[#This Row],[AGRUPACIONES]]=1,SUMIFS(Tabla44[UDS],Tabla44[ZONA DEFINITIVO],Tabla44[[#This Row],[ZONA DEFINITIVO]])," ")</f>
        <v xml:space="preserve"> </v>
      </c>
      <c r="Z97" s="12" t="str">
        <f>+IF(Tabla44[[#This Row],[AGRUPACIONES]]=1,SUMIFS(Tabla44[TOTAL COBERTURA],Tabla44[ZONA DEFINITIVO],Tabla44[[#This Row],[ZONA DEFINITIVO]])," ")</f>
        <v xml:space="preserve"> </v>
      </c>
      <c r="AA97" s="12"/>
      <c r="AB97" s="35">
        <v>23982123</v>
      </c>
      <c r="AC97" s="37">
        <v>0</v>
      </c>
      <c r="AD97" s="35">
        <f t="shared" si="2"/>
        <v>0</v>
      </c>
      <c r="AE97" s="12"/>
      <c r="AF97" s="12">
        <f>COUNTIF($A$20:A97,A97)</f>
        <v>27</v>
      </c>
      <c r="AG97" s="38">
        <v>23982123</v>
      </c>
      <c r="AH97" s="38">
        <f>Tabla44[[#This Row],[VALOR CONTRAPARTIDA]]+Tabla44[[#This Row],[TOTAL APORTES ICBF]]</f>
        <v>23982123</v>
      </c>
      <c r="AI97" s="35" t="str">
        <f>+IF(Tabla44[[#This Row],[AGRUPACIONES]]=1,SUMIFS(Tabla44[TOTAL APORTES ICBF],Tabla44[ZONA DEFINITIVO],Tabla44[[#This Row],[ZONA DEFINITIVO]])," ")</f>
        <v xml:space="preserve"> </v>
      </c>
      <c r="AJ97" s="38"/>
      <c r="AK97" s="38"/>
      <c r="AL97" s="35"/>
      <c r="AM97" s="35">
        <f>VLOOKUP(Tabla44[[#This Row],[SERVICIO 2025]],$J$2:$V$15,5,0)*Tabla44[[#This Row],[TOTAL COBERTURA]]</f>
        <v>543136</v>
      </c>
      <c r="AN97" s="35">
        <f>VLOOKUP(Tabla44[[#This Row],[SERVICIO 2025]],$J$2:$V$15,6,0)*Tabla44[[#This Row],[TOTAL COBERTURA]]</f>
        <v>451319</v>
      </c>
      <c r="AO97" s="35">
        <f>VLOOKUP(Tabla44[[#This Row],[SERVICIO 2025]],$J$2:$V$15,8,0)*Tabla44[[#This Row],[TOTAL COBERTURA]]</f>
        <v>320100</v>
      </c>
      <c r="AP97" s="35">
        <f>VLOOKUP(Tabla44[[#This Row],[SERVICIO 2025]],$J$2:$V$15,3,0)*Tabla44[[#This Row],[TOTAL COBERTURA]]*8</f>
        <v>22667568</v>
      </c>
      <c r="AQ97" s="35"/>
      <c r="AR97" s="35">
        <f>SUM(Tabla44[[#This Row],[VALOR FASE PREPARATORIA DE ALISTAMIENTO]:[VALOR RACION PREPARADA]])</f>
        <v>23982123</v>
      </c>
      <c r="AS97" s="35" t="str">
        <f>+IF(Tabla44[[#This Row],[AGRUPACIONES]]=1,SUMIFS(Tabla44[VALOR TOTAL],Tabla44[ZONA DEFINITIVO],Tabla44[[#This Row],[ZONA DEFINITIVO]])," ")</f>
        <v xml:space="preserve"> </v>
      </c>
      <c r="AT97" s="35">
        <f>VLOOKUP(Tabla44[[#This Row],[SERVICIO 2025]],$J$2:$V$15,10,0)*Tabla44[[#This Row],[TOTAL COBERTURA]]*$X$7</f>
        <v>15873704</v>
      </c>
      <c r="AU97" s="39">
        <f>Tabla44[[#This Row],[TOTAL CONTRATO (ICBF+EAS)]]+Tabla44[[#This Row],[VALOR COMPONENTE ALIMENTACION NO ASIGNADO]]</f>
        <v>39855827</v>
      </c>
      <c r="AV9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97" s="35">
        <f>(VLOOKUP(Tabla44[[#This Row],[SERVICIO 2025]],$J$2:$V$15,3,0)*Tabla44[[#This Row],[TOTAL COBERTURA]])+VLOOKUP(Tabla44[[#This Row],[SERVICIO 2025]],$J$2:$V$15,10,0)*Tabla44[[#This Row],[TOTAL COBERTURA]]</f>
        <v>4817659</v>
      </c>
      <c r="AX97" s="35">
        <f>(VLOOKUP(Tabla44[[#This Row],[SERVICIO 2025]],$J$2:$V$15,3,0)*Tabla44[[#This Row],[TOTAL COBERTURA]])+VLOOKUP(Tabla44[[#This Row],[SERVICIO 2025]],$J$2:$V$15,10,0)*Tabla44[[#This Row],[TOTAL COBERTURA]]</f>
        <v>4817659</v>
      </c>
      <c r="AY97" s="35">
        <f>(VLOOKUP(Tabla44[[#This Row],[SERVICIO 2025]],$J$2:$V$15,3,0)*Tabla44[[#This Row],[TOTAL COBERTURA]])+VLOOKUP(Tabla44[[#This Row],[SERVICIO 2025]],$J$2:$V$15,10,0)*Tabla44[[#This Row],[TOTAL COBERTURA]]</f>
        <v>4817659</v>
      </c>
      <c r="AZ97" s="35">
        <f>(VLOOKUP(Tabla44[[#This Row],[SERVICIO 2025]],$J$2:$V$15,3,0)*Tabla44[[#This Row],[TOTAL COBERTURA]])+VLOOKUP(Tabla44[[#This Row],[SERVICIO 2025]],$J$2:$V$15,10,0)*Tabla44[[#This Row],[TOTAL COBERTURA]]</f>
        <v>4817659</v>
      </c>
      <c r="BA97" s="35">
        <f>(VLOOKUP(Tabla44[[#This Row],[SERVICIO 2025]],$J$2:$V$15,3,0)*Tabla44[[#This Row],[TOTAL COBERTURA]])+VLOOKUP(Tabla44[[#This Row],[SERVICIO 2025]],$J$2:$V$15,10,0)*Tabla44[[#This Row],[TOTAL COBERTURA]]</f>
        <v>4817659</v>
      </c>
      <c r="BB97" s="35">
        <f>(VLOOKUP(Tabla44[[#This Row],[SERVICIO 2025]],$J$2:$V$15,3,0)*Tabla44[[#This Row],[TOTAL COBERTURA]])+VLOOKUP(Tabla44[[#This Row],[SERVICIO 2025]],$J$2:$V$15,10,0)*Tabla44[[#This Row],[TOTAL COBERTURA]]</f>
        <v>4817659</v>
      </c>
      <c r="BC9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97" s="35">
        <f>SUM(Tabla44[[#This Row],[DESEMBOLSO 1]:[DESEMBOLSO 8]])</f>
        <v>39855827</v>
      </c>
      <c r="BE97" s="12" t="b">
        <f>EXACT(Tabla44[[#This Row],[VALOR ATENCIÓN (8 MESES)]],Tabla44[[#This Row],[VALOR TOTAL]])</f>
        <v>1</v>
      </c>
      <c r="BF97" s="23">
        <f>Tabla44[[#This Row],[VALOR ATENCIÓN (8 MESES)]]-Tabla44[[#This Row],[VALOR TOTAL]]</f>
        <v>0</v>
      </c>
      <c r="BG97" s="12" t="b">
        <f>EXACT(Tabla44[[#This Row],[TOTAL DESEMBOLSOS]],Tabla44[[#This Row],[VALOR TOTAL DEL CONTRATO INCLUIDO EL COMPONENTE DE ALIMENTACIÓN]])</f>
        <v>1</v>
      </c>
      <c r="BH97" s="29">
        <f>Tabla44[[#This Row],[TOTAL DESEMBOLSOS]]-Tabla44[[#This Row],[VALOR TOTAL DEL CONTRATO INCLUIDO EL COMPONENTE DE ALIMENTACIÓN]]</f>
        <v>0</v>
      </c>
      <c r="BI97" t="s">
        <v>98</v>
      </c>
    </row>
    <row r="98" spans="1:61">
      <c r="A98" s="13">
        <v>1924</v>
      </c>
      <c r="B98" s="13"/>
      <c r="C98" s="12" t="s">
        <v>87</v>
      </c>
      <c r="D98" s="12" t="s">
        <v>1534</v>
      </c>
      <c r="E98" s="12" t="s">
        <v>2978</v>
      </c>
      <c r="F98" s="12" t="s">
        <v>18</v>
      </c>
      <c r="G98" s="12" t="s">
        <v>90</v>
      </c>
      <c r="H98" s="12" t="s">
        <v>3003</v>
      </c>
      <c r="I98" s="36">
        <v>51131136039</v>
      </c>
      <c r="J98" s="12" t="s">
        <v>3004</v>
      </c>
      <c r="K98" s="12">
        <v>1</v>
      </c>
      <c r="L98" s="12">
        <v>15</v>
      </c>
      <c r="M98" s="12"/>
      <c r="N98" s="13">
        <v>1924</v>
      </c>
      <c r="O98" s="12" t="s">
        <v>2850</v>
      </c>
      <c r="P98" s="12"/>
      <c r="Q98" s="12"/>
      <c r="R98" s="12" t="s">
        <v>94</v>
      </c>
      <c r="S98" s="12">
        <v>10</v>
      </c>
      <c r="T98" s="12">
        <v>811021339</v>
      </c>
      <c r="U98" s="12" t="s">
        <v>2851</v>
      </c>
      <c r="V98" s="12">
        <f>VLOOKUP(Tabla44[[#This Row],[ZONA DEFINITIVO]],[1]Hoja1!$A$1:$D$125,3,0)</f>
        <v>229935</v>
      </c>
      <c r="W98" s="12">
        <f>VLOOKUP(Tabla44[[#This Row],[ZONA DEFINITIVO]],[1]Hoja1!$A$1:$D$125,2,0)</f>
        <v>17252</v>
      </c>
      <c r="X98" s="12">
        <f>VLOOKUP(Tabla44[[#This Row],[ZONA DEFINITIVO]],[1]Hoja1!$A$1:$D$125,4,0)</f>
        <v>104125</v>
      </c>
      <c r="Y98" s="12" t="str">
        <f>+IF(Tabla44[[#This Row],[AGRUPACIONES]]=1,SUMIFS(Tabla44[UDS],Tabla44[ZONA DEFINITIVO],Tabla44[[#This Row],[ZONA DEFINITIVO]])," ")</f>
        <v xml:space="preserve"> </v>
      </c>
      <c r="Z98" s="12" t="str">
        <f>+IF(Tabla44[[#This Row],[AGRUPACIONES]]=1,SUMIFS(Tabla44[TOTAL COBERTURA],Tabla44[ZONA DEFINITIVO],Tabla44[[#This Row],[ZONA DEFINITIVO]])," ")</f>
        <v xml:space="preserve"> </v>
      </c>
      <c r="AA98" s="12"/>
      <c r="AB98" s="35">
        <v>32702895</v>
      </c>
      <c r="AC98" s="37">
        <v>0</v>
      </c>
      <c r="AD98" s="35">
        <f t="shared" si="2"/>
        <v>0</v>
      </c>
      <c r="AE98" s="12"/>
      <c r="AF98" s="12">
        <f>COUNTIF($A$20:A98,A98)</f>
        <v>28</v>
      </c>
      <c r="AG98" s="38">
        <v>32702895</v>
      </c>
      <c r="AH98" s="38">
        <f>Tabla44[[#This Row],[VALOR CONTRAPARTIDA]]+Tabla44[[#This Row],[TOTAL APORTES ICBF]]</f>
        <v>32702895</v>
      </c>
      <c r="AI98" s="35" t="str">
        <f>+IF(Tabla44[[#This Row],[AGRUPACIONES]]=1,SUMIFS(Tabla44[TOTAL APORTES ICBF],Tabla44[ZONA DEFINITIVO],Tabla44[[#This Row],[ZONA DEFINITIVO]])," ")</f>
        <v xml:space="preserve"> </v>
      </c>
      <c r="AJ98" s="38"/>
      <c r="AK98" s="38"/>
      <c r="AL98" s="35"/>
      <c r="AM98" s="35">
        <f>VLOOKUP(Tabla44[[#This Row],[SERVICIO 2025]],$J$2:$V$15,5,0)*Tabla44[[#This Row],[TOTAL COBERTURA]]</f>
        <v>740640</v>
      </c>
      <c r="AN98" s="35">
        <f>VLOOKUP(Tabla44[[#This Row],[SERVICIO 2025]],$J$2:$V$15,6,0)*Tabla44[[#This Row],[TOTAL COBERTURA]]</f>
        <v>615435</v>
      </c>
      <c r="AO98" s="35">
        <f>VLOOKUP(Tabla44[[#This Row],[SERVICIO 2025]],$J$2:$V$15,8,0)*Tabla44[[#This Row],[TOTAL COBERTURA]]</f>
        <v>436500</v>
      </c>
      <c r="AP98" s="35">
        <f>VLOOKUP(Tabla44[[#This Row],[SERVICIO 2025]],$J$2:$V$15,3,0)*Tabla44[[#This Row],[TOTAL COBERTURA]]*8</f>
        <v>30910320</v>
      </c>
      <c r="AQ98" s="35"/>
      <c r="AR98" s="35">
        <f>SUM(Tabla44[[#This Row],[VALOR FASE PREPARATORIA DE ALISTAMIENTO]:[VALOR RACION PREPARADA]])</f>
        <v>32702895</v>
      </c>
      <c r="AS98" s="35" t="str">
        <f>+IF(Tabla44[[#This Row],[AGRUPACIONES]]=1,SUMIFS(Tabla44[VALOR TOTAL],Tabla44[ZONA DEFINITIVO],Tabla44[[#This Row],[ZONA DEFINITIVO]])," ")</f>
        <v xml:space="preserve"> </v>
      </c>
      <c r="AT98" s="35">
        <f>VLOOKUP(Tabla44[[#This Row],[SERVICIO 2025]],$J$2:$V$15,10,0)*Tabla44[[#This Row],[TOTAL COBERTURA]]*$X$7</f>
        <v>21645960</v>
      </c>
      <c r="AU98" s="39">
        <f>Tabla44[[#This Row],[TOTAL CONTRATO (ICBF+EAS)]]+Tabla44[[#This Row],[VALOR COMPONENTE ALIMENTACION NO ASIGNADO]]</f>
        <v>54348855</v>
      </c>
      <c r="AV9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98" s="35">
        <f>(VLOOKUP(Tabla44[[#This Row],[SERVICIO 2025]],$J$2:$V$15,3,0)*Tabla44[[#This Row],[TOTAL COBERTURA]])+VLOOKUP(Tabla44[[#This Row],[SERVICIO 2025]],$J$2:$V$15,10,0)*Tabla44[[#This Row],[TOTAL COBERTURA]]</f>
        <v>6569535</v>
      </c>
      <c r="AX98" s="35">
        <f>(VLOOKUP(Tabla44[[#This Row],[SERVICIO 2025]],$J$2:$V$15,3,0)*Tabla44[[#This Row],[TOTAL COBERTURA]])+VLOOKUP(Tabla44[[#This Row],[SERVICIO 2025]],$J$2:$V$15,10,0)*Tabla44[[#This Row],[TOTAL COBERTURA]]</f>
        <v>6569535</v>
      </c>
      <c r="AY98" s="35">
        <f>(VLOOKUP(Tabla44[[#This Row],[SERVICIO 2025]],$J$2:$V$15,3,0)*Tabla44[[#This Row],[TOTAL COBERTURA]])+VLOOKUP(Tabla44[[#This Row],[SERVICIO 2025]],$J$2:$V$15,10,0)*Tabla44[[#This Row],[TOTAL COBERTURA]]</f>
        <v>6569535</v>
      </c>
      <c r="AZ98" s="35">
        <f>(VLOOKUP(Tabla44[[#This Row],[SERVICIO 2025]],$J$2:$V$15,3,0)*Tabla44[[#This Row],[TOTAL COBERTURA]])+VLOOKUP(Tabla44[[#This Row],[SERVICIO 2025]],$J$2:$V$15,10,0)*Tabla44[[#This Row],[TOTAL COBERTURA]]</f>
        <v>6569535</v>
      </c>
      <c r="BA98" s="35">
        <f>(VLOOKUP(Tabla44[[#This Row],[SERVICIO 2025]],$J$2:$V$15,3,0)*Tabla44[[#This Row],[TOTAL COBERTURA]])+VLOOKUP(Tabla44[[#This Row],[SERVICIO 2025]],$J$2:$V$15,10,0)*Tabla44[[#This Row],[TOTAL COBERTURA]]</f>
        <v>6569535</v>
      </c>
      <c r="BB98" s="35">
        <f>(VLOOKUP(Tabla44[[#This Row],[SERVICIO 2025]],$J$2:$V$15,3,0)*Tabla44[[#This Row],[TOTAL COBERTURA]])+VLOOKUP(Tabla44[[#This Row],[SERVICIO 2025]],$J$2:$V$15,10,0)*Tabla44[[#This Row],[TOTAL COBERTURA]]</f>
        <v>6569535</v>
      </c>
      <c r="BC9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98" s="35">
        <f>SUM(Tabla44[[#This Row],[DESEMBOLSO 1]:[DESEMBOLSO 8]])</f>
        <v>54348855</v>
      </c>
      <c r="BE98" s="12" t="b">
        <f>EXACT(Tabla44[[#This Row],[VALOR ATENCIÓN (8 MESES)]],Tabla44[[#This Row],[VALOR TOTAL]])</f>
        <v>1</v>
      </c>
      <c r="BF98" s="23">
        <f>Tabla44[[#This Row],[VALOR ATENCIÓN (8 MESES)]]-Tabla44[[#This Row],[VALOR TOTAL]]</f>
        <v>0</v>
      </c>
      <c r="BG98" s="12" t="b">
        <f>EXACT(Tabla44[[#This Row],[TOTAL DESEMBOLSOS]],Tabla44[[#This Row],[VALOR TOTAL DEL CONTRATO INCLUIDO EL COMPONENTE DE ALIMENTACIÓN]])</f>
        <v>1</v>
      </c>
      <c r="BH98" s="29">
        <f>Tabla44[[#This Row],[TOTAL DESEMBOLSOS]]-Tabla44[[#This Row],[VALOR TOTAL DEL CONTRATO INCLUIDO EL COMPONENTE DE ALIMENTACIÓN]]</f>
        <v>0</v>
      </c>
      <c r="BI98" t="s">
        <v>98</v>
      </c>
    </row>
    <row r="99" spans="1:61">
      <c r="A99" s="13">
        <v>1924</v>
      </c>
      <c r="B99" s="13"/>
      <c r="C99" s="12" t="s">
        <v>87</v>
      </c>
      <c r="D99" s="12" t="s">
        <v>1534</v>
      </c>
      <c r="E99" s="12" t="s">
        <v>2978</v>
      </c>
      <c r="F99" s="12" t="s">
        <v>18</v>
      </c>
      <c r="G99" s="12" t="s">
        <v>90</v>
      </c>
      <c r="H99" s="12" t="s">
        <v>3005</v>
      </c>
      <c r="I99" s="36">
        <v>51131136075</v>
      </c>
      <c r="J99" s="12" t="s">
        <v>3006</v>
      </c>
      <c r="K99" s="12">
        <v>1</v>
      </c>
      <c r="L99" s="12">
        <v>20</v>
      </c>
      <c r="M99" s="12"/>
      <c r="N99" s="13">
        <v>1924</v>
      </c>
      <c r="O99" s="12" t="s">
        <v>2850</v>
      </c>
      <c r="P99" s="12"/>
      <c r="Q99" s="12"/>
      <c r="R99" s="12" t="s">
        <v>94</v>
      </c>
      <c r="S99" s="12">
        <v>10</v>
      </c>
      <c r="T99" s="12">
        <v>811021339</v>
      </c>
      <c r="U99" s="12" t="s">
        <v>2851</v>
      </c>
      <c r="V99" s="12">
        <f>VLOOKUP(Tabla44[[#This Row],[ZONA DEFINITIVO]],[1]Hoja1!$A$1:$D$125,3,0)</f>
        <v>229935</v>
      </c>
      <c r="W99" s="12">
        <f>VLOOKUP(Tabla44[[#This Row],[ZONA DEFINITIVO]],[1]Hoja1!$A$1:$D$125,2,0)</f>
        <v>17252</v>
      </c>
      <c r="X99" s="12">
        <f>VLOOKUP(Tabla44[[#This Row],[ZONA DEFINITIVO]],[1]Hoja1!$A$1:$D$125,4,0)</f>
        <v>104125</v>
      </c>
      <c r="Y99" s="12" t="str">
        <f>+IF(Tabla44[[#This Row],[AGRUPACIONES]]=1,SUMIFS(Tabla44[UDS],Tabla44[ZONA DEFINITIVO],Tabla44[[#This Row],[ZONA DEFINITIVO]])," ")</f>
        <v xml:space="preserve"> </v>
      </c>
      <c r="Z99" s="12" t="str">
        <f>+IF(Tabla44[[#This Row],[AGRUPACIONES]]=1,SUMIFS(Tabla44[TOTAL COBERTURA],Tabla44[ZONA DEFINITIVO],Tabla44[[#This Row],[ZONA DEFINITIVO]])," ")</f>
        <v xml:space="preserve"> </v>
      </c>
      <c r="AA99" s="12"/>
      <c r="AB99" s="35">
        <v>43603860</v>
      </c>
      <c r="AC99" s="37">
        <v>0</v>
      </c>
      <c r="AD99" s="35">
        <f t="shared" si="2"/>
        <v>0</v>
      </c>
      <c r="AE99" s="12"/>
      <c r="AF99" s="12">
        <f>COUNTIF($A$20:A99,A99)</f>
        <v>29</v>
      </c>
      <c r="AG99" s="38">
        <v>43603860</v>
      </c>
      <c r="AH99" s="38">
        <f>Tabla44[[#This Row],[VALOR CONTRAPARTIDA]]+Tabla44[[#This Row],[TOTAL APORTES ICBF]]</f>
        <v>43603860</v>
      </c>
      <c r="AI99" s="35" t="str">
        <f>+IF(Tabla44[[#This Row],[AGRUPACIONES]]=1,SUMIFS(Tabla44[TOTAL APORTES ICBF],Tabla44[ZONA DEFINITIVO],Tabla44[[#This Row],[ZONA DEFINITIVO]])," ")</f>
        <v xml:space="preserve"> </v>
      </c>
      <c r="AJ99" s="38"/>
      <c r="AK99" s="38"/>
      <c r="AL99" s="35"/>
      <c r="AM99" s="35">
        <f>VLOOKUP(Tabla44[[#This Row],[SERVICIO 2025]],$J$2:$V$15,5,0)*Tabla44[[#This Row],[TOTAL COBERTURA]]</f>
        <v>987520</v>
      </c>
      <c r="AN99" s="35">
        <f>VLOOKUP(Tabla44[[#This Row],[SERVICIO 2025]],$J$2:$V$15,6,0)*Tabla44[[#This Row],[TOTAL COBERTURA]]</f>
        <v>820580</v>
      </c>
      <c r="AO99" s="35">
        <f>VLOOKUP(Tabla44[[#This Row],[SERVICIO 2025]],$J$2:$V$15,8,0)*Tabla44[[#This Row],[TOTAL COBERTURA]]</f>
        <v>582000</v>
      </c>
      <c r="AP99" s="35">
        <f>VLOOKUP(Tabla44[[#This Row],[SERVICIO 2025]],$J$2:$V$15,3,0)*Tabla44[[#This Row],[TOTAL COBERTURA]]*8</f>
        <v>41213760</v>
      </c>
      <c r="AQ99" s="35"/>
      <c r="AR99" s="35">
        <f>SUM(Tabla44[[#This Row],[VALOR FASE PREPARATORIA DE ALISTAMIENTO]:[VALOR RACION PREPARADA]])</f>
        <v>43603860</v>
      </c>
      <c r="AS99" s="35" t="str">
        <f>+IF(Tabla44[[#This Row],[AGRUPACIONES]]=1,SUMIFS(Tabla44[VALOR TOTAL],Tabla44[ZONA DEFINITIVO],Tabla44[[#This Row],[ZONA DEFINITIVO]])," ")</f>
        <v xml:space="preserve"> </v>
      </c>
      <c r="AT99" s="35">
        <f>VLOOKUP(Tabla44[[#This Row],[SERVICIO 2025]],$J$2:$V$15,10,0)*Tabla44[[#This Row],[TOTAL COBERTURA]]*$X$7</f>
        <v>28861280</v>
      </c>
      <c r="AU99" s="39">
        <f>Tabla44[[#This Row],[TOTAL CONTRATO (ICBF+EAS)]]+Tabla44[[#This Row],[VALOR COMPONENTE ALIMENTACION NO ASIGNADO]]</f>
        <v>72465140</v>
      </c>
      <c r="AV9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99" s="35">
        <f>(VLOOKUP(Tabla44[[#This Row],[SERVICIO 2025]],$J$2:$V$15,3,0)*Tabla44[[#This Row],[TOTAL COBERTURA]])+VLOOKUP(Tabla44[[#This Row],[SERVICIO 2025]],$J$2:$V$15,10,0)*Tabla44[[#This Row],[TOTAL COBERTURA]]</f>
        <v>8759380</v>
      </c>
      <c r="AX99" s="35">
        <f>(VLOOKUP(Tabla44[[#This Row],[SERVICIO 2025]],$J$2:$V$15,3,0)*Tabla44[[#This Row],[TOTAL COBERTURA]])+VLOOKUP(Tabla44[[#This Row],[SERVICIO 2025]],$J$2:$V$15,10,0)*Tabla44[[#This Row],[TOTAL COBERTURA]]</f>
        <v>8759380</v>
      </c>
      <c r="AY99" s="35">
        <f>(VLOOKUP(Tabla44[[#This Row],[SERVICIO 2025]],$J$2:$V$15,3,0)*Tabla44[[#This Row],[TOTAL COBERTURA]])+VLOOKUP(Tabla44[[#This Row],[SERVICIO 2025]],$J$2:$V$15,10,0)*Tabla44[[#This Row],[TOTAL COBERTURA]]</f>
        <v>8759380</v>
      </c>
      <c r="AZ99" s="35">
        <f>(VLOOKUP(Tabla44[[#This Row],[SERVICIO 2025]],$J$2:$V$15,3,0)*Tabla44[[#This Row],[TOTAL COBERTURA]])+VLOOKUP(Tabla44[[#This Row],[SERVICIO 2025]],$J$2:$V$15,10,0)*Tabla44[[#This Row],[TOTAL COBERTURA]]</f>
        <v>8759380</v>
      </c>
      <c r="BA99" s="35">
        <f>(VLOOKUP(Tabla44[[#This Row],[SERVICIO 2025]],$J$2:$V$15,3,0)*Tabla44[[#This Row],[TOTAL COBERTURA]])+VLOOKUP(Tabla44[[#This Row],[SERVICIO 2025]],$J$2:$V$15,10,0)*Tabla44[[#This Row],[TOTAL COBERTURA]]</f>
        <v>8759380</v>
      </c>
      <c r="BB99" s="35">
        <f>(VLOOKUP(Tabla44[[#This Row],[SERVICIO 2025]],$J$2:$V$15,3,0)*Tabla44[[#This Row],[TOTAL COBERTURA]])+VLOOKUP(Tabla44[[#This Row],[SERVICIO 2025]],$J$2:$V$15,10,0)*Tabla44[[#This Row],[TOTAL COBERTURA]]</f>
        <v>8759380</v>
      </c>
      <c r="BC9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99" s="35">
        <f>SUM(Tabla44[[#This Row],[DESEMBOLSO 1]:[DESEMBOLSO 8]])</f>
        <v>72465140</v>
      </c>
      <c r="BE99" s="12" t="b">
        <f>EXACT(Tabla44[[#This Row],[VALOR ATENCIÓN (8 MESES)]],Tabla44[[#This Row],[VALOR TOTAL]])</f>
        <v>1</v>
      </c>
      <c r="BF99" s="23">
        <f>Tabla44[[#This Row],[VALOR ATENCIÓN (8 MESES)]]-Tabla44[[#This Row],[VALOR TOTAL]]</f>
        <v>0</v>
      </c>
      <c r="BG99" s="12" t="b">
        <f>EXACT(Tabla44[[#This Row],[TOTAL DESEMBOLSOS]],Tabla44[[#This Row],[VALOR TOTAL DEL CONTRATO INCLUIDO EL COMPONENTE DE ALIMENTACIÓN]])</f>
        <v>1</v>
      </c>
      <c r="BH99" s="29">
        <f>Tabla44[[#This Row],[TOTAL DESEMBOLSOS]]-Tabla44[[#This Row],[VALOR TOTAL DEL CONTRATO INCLUIDO EL COMPONENTE DE ALIMENTACIÓN]]</f>
        <v>0</v>
      </c>
      <c r="BI99" t="s">
        <v>98</v>
      </c>
    </row>
    <row r="100" spans="1:61">
      <c r="A100" s="13">
        <v>1924</v>
      </c>
      <c r="B100" s="13"/>
      <c r="C100" s="12" t="s">
        <v>87</v>
      </c>
      <c r="D100" s="12" t="s">
        <v>1534</v>
      </c>
      <c r="E100" s="12" t="s">
        <v>2978</v>
      </c>
      <c r="F100" s="12" t="s">
        <v>18</v>
      </c>
      <c r="G100" s="12" t="s">
        <v>90</v>
      </c>
      <c r="H100" s="12" t="s">
        <v>3007</v>
      </c>
      <c r="I100" s="36">
        <v>51131136083</v>
      </c>
      <c r="J100" s="12" t="s">
        <v>3008</v>
      </c>
      <c r="K100" s="12">
        <v>1</v>
      </c>
      <c r="L100" s="12">
        <v>19</v>
      </c>
      <c r="M100" s="12"/>
      <c r="N100" s="13">
        <v>1924</v>
      </c>
      <c r="O100" s="12" t="s">
        <v>2850</v>
      </c>
      <c r="P100" s="12"/>
      <c r="Q100" s="12"/>
      <c r="R100" s="12" t="s">
        <v>94</v>
      </c>
      <c r="S100" s="12">
        <v>10</v>
      </c>
      <c r="T100" s="12">
        <v>811021339</v>
      </c>
      <c r="U100" s="12" t="s">
        <v>2851</v>
      </c>
      <c r="V100" s="12">
        <f>VLOOKUP(Tabla44[[#This Row],[ZONA DEFINITIVO]],[1]Hoja1!$A$1:$D$125,3,0)</f>
        <v>229935</v>
      </c>
      <c r="W100" s="12">
        <f>VLOOKUP(Tabla44[[#This Row],[ZONA DEFINITIVO]],[1]Hoja1!$A$1:$D$125,2,0)</f>
        <v>17252</v>
      </c>
      <c r="X100" s="12">
        <f>VLOOKUP(Tabla44[[#This Row],[ZONA DEFINITIVO]],[1]Hoja1!$A$1:$D$125,4,0)</f>
        <v>104125</v>
      </c>
      <c r="Y100" s="12" t="str">
        <f>+IF(Tabla44[[#This Row],[AGRUPACIONES]]=1,SUMIFS(Tabla44[UDS],Tabla44[ZONA DEFINITIVO],Tabla44[[#This Row],[ZONA DEFINITIVO]])," ")</f>
        <v xml:space="preserve"> </v>
      </c>
      <c r="Z100" s="12" t="str">
        <f>+IF(Tabla44[[#This Row],[AGRUPACIONES]]=1,SUMIFS(Tabla44[TOTAL COBERTURA],Tabla44[ZONA DEFINITIVO],Tabla44[[#This Row],[ZONA DEFINITIVO]])," ")</f>
        <v xml:space="preserve"> </v>
      </c>
      <c r="AA100" s="12"/>
      <c r="AB100" s="35">
        <v>41423667</v>
      </c>
      <c r="AC100" s="37">
        <v>0</v>
      </c>
      <c r="AD100" s="35">
        <f t="shared" si="2"/>
        <v>0</v>
      </c>
      <c r="AE100" s="12"/>
      <c r="AF100" s="12">
        <f>COUNTIF($A$20:A100,A100)</f>
        <v>30</v>
      </c>
      <c r="AG100" s="38">
        <v>41423667</v>
      </c>
      <c r="AH100" s="38">
        <f>Tabla44[[#This Row],[VALOR CONTRAPARTIDA]]+Tabla44[[#This Row],[TOTAL APORTES ICBF]]</f>
        <v>41423667</v>
      </c>
      <c r="AI100" s="35" t="str">
        <f>+IF(Tabla44[[#This Row],[AGRUPACIONES]]=1,SUMIFS(Tabla44[TOTAL APORTES ICBF],Tabla44[ZONA DEFINITIVO],Tabla44[[#This Row],[ZONA DEFINITIVO]])," ")</f>
        <v xml:space="preserve"> </v>
      </c>
      <c r="AJ100" s="38"/>
      <c r="AK100" s="38"/>
      <c r="AL100" s="35"/>
      <c r="AM100" s="35">
        <f>VLOOKUP(Tabla44[[#This Row],[SERVICIO 2025]],$J$2:$V$15,5,0)*Tabla44[[#This Row],[TOTAL COBERTURA]]</f>
        <v>938144</v>
      </c>
      <c r="AN100" s="35">
        <f>VLOOKUP(Tabla44[[#This Row],[SERVICIO 2025]],$J$2:$V$15,6,0)*Tabla44[[#This Row],[TOTAL COBERTURA]]</f>
        <v>779551</v>
      </c>
      <c r="AO100" s="35">
        <f>VLOOKUP(Tabla44[[#This Row],[SERVICIO 2025]],$J$2:$V$15,8,0)*Tabla44[[#This Row],[TOTAL COBERTURA]]</f>
        <v>552900</v>
      </c>
      <c r="AP100" s="35">
        <f>VLOOKUP(Tabla44[[#This Row],[SERVICIO 2025]],$J$2:$V$15,3,0)*Tabla44[[#This Row],[TOTAL COBERTURA]]*8</f>
        <v>39153072</v>
      </c>
      <c r="AQ100" s="35"/>
      <c r="AR100" s="35">
        <f>SUM(Tabla44[[#This Row],[VALOR FASE PREPARATORIA DE ALISTAMIENTO]:[VALOR RACION PREPARADA]])</f>
        <v>41423667</v>
      </c>
      <c r="AS100" s="35" t="str">
        <f>+IF(Tabla44[[#This Row],[AGRUPACIONES]]=1,SUMIFS(Tabla44[VALOR TOTAL],Tabla44[ZONA DEFINITIVO],Tabla44[[#This Row],[ZONA DEFINITIVO]])," ")</f>
        <v xml:space="preserve"> </v>
      </c>
      <c r="AT100" s="35">
        <f>VLOOKUP(Tabla44[[#This Row],[SERVICIO 2025]],$J$2:$V$15,10,0)*Tabla44[[#This Row],[TOTAL COBERTURA]]*$X$7</f>
        <v>27418216</v>
      </c>
      <c r="AU100" s="39">
        <f>Tabla44[[#This Row],[TOTAL CONTRATO (ICBF+EAS)]]+Tabla44[[#This Row],[VALOR COMPONENTE ALIMENTACION NO ASIGNADO]]</f>
        <v>68841883</v>
      </c>
      <c r="AV10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9812455</v>
      </c>
      <c r="AW100" s="35">
        <f>(VLOOKUP(Tabla44[[#This Row],[SERVICIO 2025]],$J$2:$V$15,3,0)*Tabla44[[#This Row],[TOTAL COBERTURA]])+VLOOKUP(Tabla44[[#This Row],[SERVICIO 2025]],$J$2:$V$15,10,0)*Tabla44[[#This Row],[TOTAL COBERTURA]]</f>
        <v>8321411</v>
      </c>
      <c r="AX100" s="35">
        <f>(VLOOKUP(Tabla44[[#This Row],[SERVICIO 2025]],$J$2:$V$15,3,0)*Tabla44[[#This Row],[TOTAL COBERTURA]])+VLOOKUP(Tabla44[[#This Row],[SERVICIO 2025]],$J$2:$V$15,10,0)*Tabla44[[#This Row],[TOTAL COBERTURA]]</f>
        <v>8321411</v>
      </c>
      <c r="AY100" s="35">
        <f>(VLOOKUP(Tabla44[[#This Row],[SERVICIO 2025]],$J$2:$V$15,3,0)*Tabla44[[#This Row],[TOTAL COBERTURA]])+VLOOKUP(Tabla44[[#This Row],[SERVICIO 2025]],$J$2:$V$15,10,0)*Tabla44[[#This Row],[TOTAL COBERTURA]]</f>
        <v>8321411</v>
      </c>
      <c r="AZ100" s="35">
        <f>(VLOOKUP(Tabla44[[#This Row],[SERVICIO 2025]],$J$2:$V$15,3,0)*Tabla44[[#This Row],[TOTAL COBERTURA]])+VLOOKUP(Tabla44[[#This Row],[SERVICIO 2025]],$J$2:$V$15,10,0)*Tabla44[[#This Row],[TOTAL COBERTURA]]</f>
        <v>8321411</v>
      </c>
      <c r="BA100" s="35">
        <f>(VLOOKUP(Tabla44[[#This Row],[SERVICIO 2025]],$J$2:$V$15,3,0)*Tabla44[[#This Row],[TOTAL COBERTURA]])+VLOOKUP(Tabla44[[#This Row],[SERVICIO 2025]],$J$2:$V$15,10,0)*Tabla44[[#This Row],[TOTAL COBERTURA]]</f>
        <v>8321411</v>
      </c>
      <c r="BB100" s="35">
        <f>(VLOOKUP(Tabla44[[#This Row],[SERVICIO 2025]],$J$2:$V$15,3,0)*Tabla44[[#This Row],[TOTAL COBERTURA]])+VLOOKUP(Tabla44[[#This Row],[SERVICIO 2025]],$J$2:$V$15,10,0)*Tabla44[[#This Row],[TOTAL COBERTURA]]</f>
        <v>8321411</v>
      </c>
      <c r="BC10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9100962</v>
      </c>
      <c r="BD100" s="35">
        <f>SUM(Tabla44[[#This Row],[DESEMBOLSO 1]:[DESEMBOLSO 8]])</f>
        <v>68841883</v>
      </c>
      <c r="BE100" s="12" t="b">
        <f>EXACT(Tabla44[[#This Row],[VALOR ATENCIÓN (8 MESES)]],Tabla44[[#This Row],[VALOR TOTAL]])</f>
        <v>1</v>
      </c>
      <c r="BF100" s="23">
        <f>Tabla44[[#This Row],[VALOR ATENCIÓN (8 MESES)]]-Tabla44[[#This Row],[VALOR TOTAL]]</f>
        <v>0</v>
      </c>
      <c r="BG100" s="12" t="b">
        <f>EXACT(Tabla44[[#This Row],[TOTAL DESEMBOLSOS]],Tabla44[[#This Row],[VALOR TOTAL DEL CONTRATO INCLUIDO EL COMPONENTE DE ALIMENTACIÓN]])</f>
        <v>1</v>
      </c>
      <c r="BH100" s="29">
        <f>Tabla44[[#This Row],[TOTAL DESEMBOLSOS]]-Tabla44[[#This Row],[VALOR TOTAL DEL CONTRATO INCLUIDO EL COMPONENTE DE ALIMENTACIÓN]]</f>
        <v>0</v>
      </c>
      <c r="BI100" t="s">
        <v>98</v>
      </c>
    </row>
    <row r="101" spans="1:61">
      <c r="A101" s="13">
        <v>1924</v>
      </c>
      <c r="B101" s="13"/>
      <c r="C101" s="12" t="s">
        <v>87</v>
      </c>
      <c r="D101" s="12" t="s">
        <v>1534</v>
      </c>
      <c r="E101" s="12" t="s">
        <v>2978</v>
      </c>
      <c r="F101" s="12" t="s">
        <v>18</v>
      </c>
      <c r="G101" s="12" t="s">
        <v>90</v>
      </c>
      <c r="H101" s="12" t="s">
        <v>3009</v>
      </c>
      <c r="I101" s="36">
        <v>51131136086</v>
      </c>
      <c r="J101" s="12" t="s">
        <v>3010</v>
      </c>
      <c r="K101" s="12">
        <v>1</v>
      </c>
      <c r="L101" s="12">
        <v>20</v>
      </c>
      <c r="M101" s="12"/>
      <c r="N101" s="13">
        <v>1924</v>
      </c>
      <c r="O101" s="12" t="s">
        <v>2850</v>
      </c>
      <c r="P101" s="12"/>
      <c r="Q101" s="12"/>
      <c r="R101" s="12" t="s">
        <v>94</v>
      </c>
      <c r="S101" s="12">
        <v>10</v>
      </c>
      <c r="T101" s="12">
        <v>811021339</v>
      </c>
      <c r="U101" s="12" t="s">
        <v>2851</v>
      </c>
      <c r="V101" s="12">
        <f>VLOOKUP(Tabla44[[#This Row],[ZONA DEFINITIVO]],[1]Hoja1!$A$1:$D$125,3,0)</f>
        <v>229935</v>
      </c>
      <c r="W101" s="12">
        <f>VLOOKUP(Tabla44[[#This Row],[ZONA DEFINITIVO]],[1]Hoja1!$A$1:$D$125,2,0)</f>
        <v>17252</v>
      </c>
      <c r="X101" s="12">
        <f>VLOOKUP(Tabla44[[#This Row],[ZONA DEFINITIVO]],[1]Hoja1!$A$1:$D$125,4,0)</f>
        <v>104125</v>
      </c>
      <c r="Y101" s="12" t="str">
        <f>+IF(Tabla44[[#This Row],[AGRUPACIONES]]=1,SUMIFS(Tabla44[UDS],Tabla44[ZONA DEFINITIVO],Tabla44[[#This Row],[ZONA DEFINITIVO]])," ")</f>
        <v xml:space="preserve"> </v>
      </c>
      <c r="Z101" s="12" t="str">
        <f>+IF(Tabla44[[#This Row],[AGRUPACIONES]]=1,SUMIFS(Tabla44[TOTAL COBERTURA],Tabla44[ZONA DEFINITIVO],Tabla44[[#This Row],[ZONA DEFINITIVO]])," ")</f>
        <v xml:space="preserve"> </v>
      </c>
      <c r="AA101" s="12"/>
      <c r="AB101" s="35">
        <v>43603860</v>
      </c>
      <c r="AC101" s="37">
        <v>0</v>
      </c>
      <c r="AD101" s="35">
        <f t="shared" si="2"/>
        <v>0</v>
      </c>
      <c r="AE101" s="12"/>
      <c r="AF101" s="12">
        <f>COUNTIF($A$20:A101,A101)</f>
        <v>31</v>
      </c>
      <c r="AG101" s="38">
        <v>43603860</v>
      </c>
      <c r="AH101" s="38">
        <f>Tabla44[[#This Row],[VALOR CONTRAPARTIDA]]+Tabla44[[#This Row],[TOTAL APORTES ICBF]]</f>
        <v>43603860</v>
      </c>
      <c r="AI101" s="35" t="str">
        <f>+IF(Tabla44[[#This Row],[AGRUPACIONES]]=1,SUMIFS(Tabla44[TOTAL APORTES ICBF],Tabla44[ZONA DEFINITIVO],Tabla44[[#This Row],[ZONA DEFINITIVO]])," ")</f>
        <v xml:space="preserve"> </v>
      </c>
      <c r="AJ101" s="38"/>
      <c r="AK101" s="38"/>
      <c r="AL101" s="35"/>
      <c r="AM101" s="35">
        <f>VLOOKUP(Tabla44[[#This Row],[SERVICIO 2025]],$J$2:$V$15,5,0)*Tabla44[[#This Row],[TOTAL COBERTURA]]</f>
        <v>987520</v>
      </c>
      <c r="AN101" s="35">
        <f>VLOOKUP(Tabla44[[#This Row],[SERVICIO 2025]],$J$2:$V$15,6,0)*Tabla44[[#This Row],[TOTAL COBERTURA]]</f>
        <v>820580</v>
      </c>
      <c r="AO101" s="35">
        <f>VLOOKUP(Tabla44[[#This Row],[SERVICIO 2025]],$J$2:$V$15,8,0)*Tabla44[[#This Row],[TOTAL COBERTURA]]</f>
        <v>582000</v>
      </c>
      <c r="AP101" s="35">
        <f>VLOOKUP(Tabla44[[#This Row],[SERVICIO 2025]],$J$2:$V$15,3,0)*Tabla44[[#This Row],[TOTAL COBERTURA]]*8</f>
        <v>41213760</v>
      </c>
      <c r="AQ101" s="35"/>
      <c r="AR101" s="35">
        <f>SUM(Tabla44[[#This Row],[VALOR FASE PREPARATORIA DE ALISTAMIENTO]:[VALOR RACION PREPARADA]])</f>
        <v>43603860</v>
      </c>
      <c r="AS101" s="35" t="str">
        <f>+IF(Tabla44[[#This Row],[AGRUPACIONES]]=1,SUMIFS(Tabla44[VALOR TOTAL],Tabla44[ZONA DEFINITIVO],Tabla44[[#This Row],[ZONA DEFINITIVO]])," ")</f>
        <v xml:space="preserve"> </v>
      </c>
      <c r="AT101" s="35">
        <f>VLOOKUP(Tabla44[[#This Row],[SERVICIO 2025]],$J$2:$V$15,10,0)*Tabla44[[#This Row],[TOTAL COBERTURA]]*$X$7</f>
        <v>28861280</v>
      </c>
      <c r="AU101" s="39">
        <f>Tabla44[[#This Row],[TOTAL CONTRATO (ICBF+EAS)]]+Tabla44[[#This Row],[VALOR COMPONENTE ALIMENTACION NO ASIGNADO]]</f>
        <v>72465140</v>
      </c>
      <c r="AV10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101" s="35">
        <f>(VLOOKUP(Tabla44[[#This Row],[SERVICIO 2025]],$J$2:$V$15,3,0)*Tabla44[[#This Row],[TOTAL COBERTURA]])+VLOOKUP(Tabla44[[#This Row],[SERVICIO 2025]],$J$2:$V$15,10,0)*Tabla44[[#This Row],[TOTAL COBERTURA]]</f>
        <v>8759380</v>
      </c>
      <c r="AX101" s="35">
        <f>(VLOOKUP(Tabla44[[#This Row],[SERVICIO 2025]],$J$2:$V$15,3,0)*Tabla44[[#This Row],[TOTAL COBERTURA]])+VLOOKUP(Tabla44[[#This Row],[SERVICIO 2025]],$J$2:$V$15,10,0)*Tabla44[[#This Row],[TOTAL COBERTURA]]</f>
        <v>8759380</v>
      </c>
      <c r="AY101" s="35">
        <f>(VLOOKUP(Tabla44[[#This Row],[SERVICIO 2025]],$J$2:$V$15,3,0)*Tabla44[[#This Row],[TOTAL COBERTURA]])+VLOOKUP(Tabla44[[#This Row],[SERVICIO 2025]],$J$2:$V$15,10,0)*Tabla44[[#This Row],[TOTAL COBERTURA]]</f>
        <v>8759380</v>
      </c>
      <c r="AZ101" s="35">
        <f>(VLOOKUP(Tabla44[[#This Row],[SERVICIO 2025]],$J$2:$V$15,3,0)*Tabla44[[#This Row],[TOTAL COBERTURA]])+VLOOKUP(Tabla44[[#This Row],[SERVICIO 2025]],$J$2:$V$15,10,0)*Tabla44[[#This Row],[TOTAL COBERTURA]]</f>
        <v>8759380</v>
      </c>
      <c r="BA101" s="35">
        <f>(VLOOKUP(Tabla44[[#This Row],[SERVICIO 2025]],$J$2:$V$15,3,0)*Tabla44[[#This Row],[TOTAL COBERTURA]])+VLOOKUP(Tabla44[[#This Row],[SERVICIO 2025]],$J$2:$V$15,10,0)*Tabla44[[#This Row],[TOTAL COBERTURA]]</f>
        <v>8759380</v>
      </c>
      <c r="BB101" s="35">
        <f>(VLOOKUP(Tabla44[[#This Row],[SERVICIO 2025]],$J$2:$V$15,3,0)*Tabla44[[#This Row],[TOTAL COBERTURA]])+VLOOKUP(Tabla44[[#This Row],[SERVICIO 2025]],$J$2:$V$15,10,0)*Tabla44[[#This Row],[TOTAL COBERTURA]]</f>
        <v>8759380</v>
      </c>
      <c r="BC10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101" s="35">
        <f>SUM(Tabla44[[#This Row],[DESEMBOLSO 1]:[DESEMBOLSO 8]])</f>
        <v>72465140</v>
      </c>
      <c r="BE101" s="12" t="b">
        <f>EXACT(Tabla44[[#This Row],[VALOR ATENCIÓN (8 MESES)]],Tabla44[[#This Row],[VALOR TOTAL]])</f>
        <v>1</v>
      </c>
      <c r="BF101" s="23">
        <f>Tabla44[[#This Row],[VALOR ATENCIÓN (8 MESES)]]-Tabla44[[#This Row],[VALOR TOTAL]]</f>
        <v>0</v>
      </c>
      <c r="BG101" s="12" t="b">
        <f>EXACT(Tabla44[[#This Row],[TOTAL DESEMBOLSOS]],Tabla44[[#This Row],[VALOR TOTAL DEL CONTRATO INCLUIDO EL COMPONENTE DE ALIMENTACIÓN]])</f>
        <v>1</v>
      </c>
      <c r="BH101" s="29">
        <f>Tabla44[[#This Row],[TOTAL DESEMBOLSOS]]-Tabla44[[#This Row],[VALOR TOTAL DEL CONTRATO INCLUIDO EL COMPONENTE DE ALIMENTACIÓN]]</f>
        <v>0</v>
      </c>
      <c r="BI101" t="s">
        <v>98</v>
      </c>
    </row>
    <row r="102" spans="1:61">
      <c r="A102" s="13">
        <v>1924</v>
      </c>
      <c r="B102" s="13"/>
      <c r="C102" s="12" t="s">
        <v>87</v>
      </c>
      <c r="D102" s="12" t="s">
        <v>1534</v>
      </c>
      <c r="E102" s="12" t="s">
        <v>2978</v>
      </c>
      <c r="F102" s="12" t="s">
        <v>18</v>
      </c>
      <c r="G102" s="12" t="s">
        <v>90</v>
      </c>
      <c r="H102" s="12" t="s">
        <v>3011</v>
      </c>
      <c r="I102" s="36">
        <v>51131148676</v>
      </c>
      <c r="J102" s="12" t="s">
        <v>3012</v>
      </c>
      <c r="K102" s="12">
        <v>1</v>
      </c>
      <c r="L102" s="12">
        <v>16</v>
      </c>
      <c r="M102" s="12"/>
      <c r="N102" s="13">
        <v>1924</v>
      </c>
      <c r="O102" s="12" t="s">
        <v>2850</v>
      </c>
      <c r="P102" s="12"/>
      <c r="Q102" s="12"/>
      <c r="R102" s="12" t="s">
        <v>94</v>
      </c>
      <c r="S102" s="12">
        <v>10</v>
      </c>
      <c r="T102" s="12">
        <v>811021339</v>
      </c>
      <c r="U102" s="12" t="s">
        <v>2851</v>
      </c>
      <c r="V102" s="12">
        <f>VLOOKUP(Tabla44[[#This Row],[ZONA DEFINITIVO]],[1]Hoja1!$A$1:$D$125,3,0)</f>
        <v>229935</v>
      </c>
      <c r="W102" s="12">
        <f>VLOOKUP(Tabla44[[#This Row],[ZONA DEFINITIVO]],[1]Hoja1!$A$1:$D$125,2,0)</f>
        <v>17252</v>
      </c>
      <c r="X102" s="12">
        <f>VLOOKUP(Tabla44[[#This Row],[ZONA DEFINITIVO]],[1]Hoja1!$A$1:$D$125,4,0)</f>
        <v>104125</v>
      </c>
      <c r="Y102" s="12" t="str">
        <f>+IF(Tabla44[[#This Row],[AGRUPACIONES]]=1,SUMIFS(Tabla44[UDS],Tabla44[ZONA DEFINITIVO],Tabla44[[#This Row],[ZONA DEFINITIVO]])," ")</f>
        <v xml:space="preserve"> </v>
      </c>
      <c r="Z102" s="12" t="str">
        <f>+IF(Tabla44[[#This Row],[AGRUPACIONES]]=1,SUMIFS(Tabla44[TOTAL COBERTURA],Tabla44[ZONA DEFINITIVO],Tabla44[[#This Row],[ZONA DEFINITIVO]])," ")</f>
        <v xml:space="preserve"> </v>
      </c>
      <c r="AA102" s="12"/>
      <c r="AB102" s="35">
        <v>34883088</v>
      </c>
      <c r="AC102" s="37">
        <v>0</v>
      </c>
      <c r="AD102" s="35">
        <f t="shared" si="2"/>
        <v>0</v>
      </c>
      <c r="AE102" s="12"/>
      <c r="AF102" s="12">
        <f>COUNTIF($A$20:A102,A102)</f>
        <v>32</v>
      </c>
      <c r="AG102" s="38">
        <v>34883088</v>
      </c>
      <c r="AH102" s="38">
        <f>Tabla44[[#This Row],[VALOR CONTRAPARTIDA]]+Tabla44[[#This Row],[TOTAL APORTES ICBF]]</f>
        <v>34883088</v>
      </c>
      <c r="AI102" s="35" t="str">
        <f>+IF(Tabla44[[#This Row],[AGRUPACIONES]]=1,SUMIFS(Tabla44[TOTAL APORTES ICBF],Tabla44[ZONA DEFINITIVO],Tabla44[[#This Row],[ZONA DEFINITIVO]])," ")</f>
        <v xml:space="preserve"> </v>
      </c>
      <c r="AJ102" s="38"/>
      <c r="AK102" s="38"/>
      <c r="AL102" s="35"/>
      <c r="AM102" s="35">
        <f>VLOOKUP(Tabla44[[#This Row],[SERVICIO 2025]],$J$2:$V$15,5,0)*Tabla44[[#This Row],[TOTAL COBERTURA]]</f>
        <v>790016</v>
      </c>
      <c r="AN102" s="35">
        <f>VLOOKUP(Tabla44[[#This Row],[SERVICIO 2025]],$J$2:$V$15,6,0)*Tabla44[[#This Row],[TOTAL COBERTURA]]</f>
        <v>656464</v>
      </c>
      <c r="AO102" s="35">
        <f>VLOOKUP(Tabla44[[#This Row],[SERVICIO 2025]],$J$2:$V$15,8,0)*Tabla44[[#This Row],[TOTAL COBERTURA]]</f>
        <v>465600</v>
      </c>
      <c r="AP102" s="35">
        <f>VLOOKUP(Tabla44[[#This Row],[SERVICIO 2025]],$J$2:$V$15,3,0)*Tabla44[[#This Row],[TOTAL COBERTURA]]*8</f>
        <v>32971008</v>
      </c>
      <c r="AQ102" s="35"/>
      <c r="AR102" s="35">
        <f>SUM(Tabla44[[#This Row],[VALOR FASE PREPARATORIA DE ALISTAMIENTO]:[VALOR RACION PREPARADA]])</f>
        <v>34883088</v>
      </c>
      <c r="AS102" s="35" t="str">
        <f>+IF(Tabla44[[#This Row],[AGRUPACIONES]]=1,SUMIFS(Tabla44[VALOR TOTAL],Tabla44[ZONA DEFINITIVO],Tabla44[[#This Row],[ZONA DEFINITIVO]])," ")</f>
        <v xml:space="preserve"> </v>
      </c>
      <c r="AT102" s="35">
        <f>VLOOKUP(Tabla44[[#This Row],[SERVICIO 2025]],$J$2:$V$15,10,0)*Tabla44[[#This Row],[TOTAL COBERTURA]]*$X$7</f>
        <v>23089024</v>
      </c>
      <c r="AU102" s="39">
        <f>Tabla44[[#This Row],[TOTAL CONTRATO (ICBF+EAS)]]+Tabla44[[#This Row],[VALOR COMPONENTE ALIMENTACION NO ASIGNADO]]</f>
        <v>57972112</v>
      </c>
      <c r="AV10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102" s="35">
        <f>(VLOOKUP(Tabla44[[#This Row],[SERVICIO 2025]],$J$2:$V$15,3,0)*Tabla44[[#This Row],[TOTAL COBERTURA]])+VLOOKUP(Tabla44[[#This Row],[SERVICIO 2025]],$J$2:$V$15,10,0)*Tabla44[[#This Row],[TOTAL COBERTURA]]</f>
        <v>7007504</v>
      </c>
      <c r="AX102" s="35">
        <f>(VLOOKUP(Tabla44[[#This Row],[SERVICIO 2025]],$J$2:$V$15,3,0)*Tabla44[[#This Row],[TOTAL COBERTURA]])+VLOOKUP(Tabla44[[#This Row],[SERVICIO 2025]],$J$2:$V$15,10,0)*Tabla44[[#This Row],[TOTAL COBERTURA]]</f>
        <v>7007504</v>
      </c>
      <c r="AY102" s="35">
        <f>(VLOOKUP(Tabla44[[#This Row],[SERVICIO 2025]],$J$2:$V$15,3,0)*Tabla44[[#This Row],[TOTAL COBERTURA]])+VLOOKUP(Tabla44[[#This Row],[SERVICIO 2025]],$J$2:$V$15,10,0)*Tabla44[[#This Row],[TOTAL COBERTURA]]</f>
        <v>7007504</v>
      </c>
      <c r="AZ102" s="35">
        <f>(VLOOKUP(Tabla44[[#This Row],[SERVICIO 2025]],$J$2:$V$15,3,0)*Tabla44[[#This Row],[TOTAL COBERTURA]])+VLOOKUP(Tabla44[[#This Row],[SERVICIO 2025]],$J$2:$V$15,10,0)*Tabla44[[#This Row],[TOTAL COBERTURA]]</f>
        <v>7007504</v>
      </c>
      <c r="BA102" s="35">
        <f>(VLOOKUP(Tabla44[[#This Row],[SERVICIO 2025]],$J$2:$V$15,3,0)*Tabla44[[#This Row],[TOTAL COBERTURA]])+VLOOKUP(Tabla44[[#This Row],[SERVICIO 2025]],$J$2:$V$15,10,0)*Tabla44[[#This Row],[TOTAL COBERTURA]]</f>
        <v>7007504</v>
      </c>
      <c r="BB102" s="35">
        <f>(VLOOKUP(Tabla44[[#This Row],[SERVICIO 2025]],$J$2:$V$15,3,0)*Tabla44[[#This Row],[TOTAL COBERTURA]])+VLOOKUP(Tabla44[[#This Row],[SERVICIO 2025]],$J$2:$V$15,10,0)*Tabla44[[#This Row],[TOTAL COBERTURA]]</f>
        <v>7007504</v>
      </c>
      <c r="BC10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102" s="35">
        <f>SUM(Tabla44[[#This Row],[DESEMBOLSO 1]:[DESEMBOLSO 8]])</f>
        <v>57972112</v>
      </c>
      <c r="BE102" s="12" t="b">
        <f>EXACT(Tabla44[[#This Row],[VALOR ATENCIÓN (8 MESES)]],Tabla44[[#This Row],[VALOR TOTAL]])</f>
        <v>1</v>
      </c>
      <c r="BF102" s="23">
        <f>Tabla44[[#This Row],[VALOR ATENCIÓN (8 MESES)]]-Tabla44[[#This Row],[VALOR TOTAL]]</f>
        <v>0</v>
      </c>
      <c r="BG102" s="12" t="b">
        <f>EXACT(Tabla44[[#This Row],[TOTAL DESEMBOLSOS]],Tabla44[[#This Row],[VALOR TOTAL DEL CONTRATO INCLUIDO EL COMPONENTE DE ALIMENTACIÓN]])</f>
        <v>1</v>
      </c>
      <c r="BH102" s="29">
        <f>Tabla44[[#This Row],[TOTAL DESEMBOLSOS]]-Tabla44[[#This Row],[VALOR TOTAL DEL CONTRATO INCLUIDO EL COMPONENTE DE ALIMENTACIÓN]]</f>
        <v>0</v>
      </c>
      <c r="BI102" t="s">
        <v>98</v>
      </c>
    </row>
    <row r="103" spans="1:61">
      <c r="A103" s="13">
        <v>1924</v>
      </c>
      <c r="B103" s="13"/>
      <c r="C103" s="12" t="s">
        <v>87</v>
      </c>
      <c r="D103" s="12" t="s">
        <v>1534</v>
      </c>
      <c r="E103" s="12" t="s">
        <v>2978</v>
      </c>
      <c r="F103" s="12" t="s">
        <v>18</v>
      </c>
      <c r="G103" s="12" t="s">
        <v>90</v>
      </c>
      <c r="H103" s="12" t="s">
        <v>3013</v>
      </c>
      <c r="I103" s="36">
        <v>51131151143</v>
      </c>
      <c r="J103" s="12" t="s">
        <v>3014</v>
      </c>
      <c r="K103" s="12">
        <v>1</v>
      </c>
      <c r="L103" s="12">
        <v>20</v>
      </c>
      <c r="M103" s="12"/>
      <c r="N103" s="13">
        <v>1924</v>
      </c>
      <c r="O103" s="12" t="s">
        <v>2850</v>
      </c>
      <c r="P103" s="12"/>
      <c r="Q103" s="12"/>
      <c r="R103" s="12" t="s">
        <v>94</v>
      </c>
      <c r="S103" s="12">
        <v>10</v>
      </c>
      <c r="T103" s="12">
        <v>811021339</v>
      </c>
      <c r="U103" s="12" t="s">
        <v>2851</v>
      </c>
      <c r="V103" s="12">
        <f>VLOOKUP(Tabla44[[#This Row],[ZONA DEFINITIVO]],[1]Hoja1!$A$1:$D$125,3,0)</f>
        <v>229935</v>
      </c>
      <c r="W103" s="12">
        <f>VLOOKUP(Tabla44[[#This Row],[ZONA DEFINITIVO]],[1]Hoja1!$A$1:$D$125,2,0)</f>
        <v>17252</v>
      </c>
      <c r="X103" s="12">
        <f>VLOOKUP(Tabla44[[#This Row],[ZONA DEFINITIVO]],[1]Hoja1!$A$1:$D$125,4,0)</f>
        <v>104125</v>
      </c>
      <c r="Y103" s="12" t="str">
        <f>+IF(Tabla44[[#This Row],[AGRUPACIONES]]=1,SUMIFS(Tabla44[UDS],Tabla44[ZONA DEFINITIVO],Tabla44[[#This Row],[ZONA DEFINITIVO]])," ")</f>
        <v xml:space="preserve"> </v>
      </c>
      <c r="Z103" s="12" t="str">
        <f>+IF(Tabla44[[#This Row],[AGRUPACIONES]]=1,SUMIFS(Tabla44[TOTAL COBERTURA],Tabla44[ZONA DEFINITIVO],Tabla44[[#This Row],[ZONA DEFINITIVO]])," ")</f>
        <v xml:space="preserve"> </v>
      </c>
      <c r="AA103" s="12"/>
      <c r="AB103" s="35">
        <v>43603860</v>
      </c>
      <c r="AC103" s="37">
        <v>0</v>
      </c>
      <c r="AD103" s="35">
        <f t="shared" si="2"/>
        <v>0</v>
      </c>
      <c r="AE103" s="12"/>
      <c r="AF103" s="12">
        <f>COUNTIF($A$20:A103,A103)</f>
        <v>33</v>
      </c>
      <c r="AG103" s="38">
        <v>43603860</v>
      </c>
      <c r="AH103" s="38">
        <f>Tabla44[[#This Row],[VALOR CONTRAPARTIDA]]+Tabla44[[#This Row],[TOTAL APORTES ICBF]]</f>
        <v>43603860</v>
      </c>
      <c r="AI103" s="35" t="str">
        <f>+IF(Tabla44[[#This Row],[AGRUPACIONES]]=1,SUMIFS(Tabla44[TOTAL APORTES ICBF],Tabla44[ZONA DEFINITIVO],Tabla44[[#This Row],[ZONA DEFINITIVO]])," ")</f>
        <v xml:space="preserve"> </v>
      </c>
      <c r="AJ103" s="38"/>
      <c r="AK103" s="38"/>
      <c r="AL103" s="35"/>
      <c r="AM103" s="35">
        <f>VLOOKUP(Tabla44[[#This Row],[SERVICIO 2025]],$J$2:$V$15,5,0)*Tabla44[[#This Row],[TOTAL COBERTURA]]</f>
        <v>987520</v>
      </c>
      <c r="AN103" s="35">
        <f>VLOOKUP(Tabla44[[#This Row],[SERVICIO 2025]],$J$2:$V$15,6,0)*Tabla44[[#This Row],[TOTAL COBERTURA]]</f>
        <v>820580</v>
      </c>
      <c r="AO103" s="35">
        <f>VLOOKUP(Tabla44[[#This Row],[SERVICIO 2025]],$J$2:$V$15,8,0)*Tabla44[[#This Row],[TOTAL COBERTURA]]</f>
        <v>582000</v>
      </c>
      <c r="AP103" s="35">
        <f>VLOOKUP(Tabla44[[#This Row],[SERVICIO 2025]],$J$2:$V$15,3,0)*Tabla44[[#This Row],[TOTAL COBERTURA]]*8</f>
        <v>41213760</v>
      </c>
      <c r="AQ103" s="35"/>
      <c r="AR103" s="35">
        <f>SUM(Tabla44[[#This Row],[VALOR FASE PREPARATORIA DE ALISTAMIENTO]:[VALOR RACION PREPARADA]])</f>
        <v>43603860</v>
      </c>
      <c r="AS103" s="35" t="str">
        <f>+IF(Tabla44[[#This Row],[AGRUPACIONES]]=1,SUMIFS(Tabla44[VALOR TOTAL],Tabla44[ZONA DEFINITIVO],Tabla44[[#This Row],[ZONA DEFINITIVO]])," ")</f>
        <v xml:space="preserve"> </v>
      </c>
      <c r="AT103" s="35">
        <f>VLOOKUP(Tabla44[[#This Row],[SERVICIO 2025]],$J$2:$V$15,10,0)*Tabla44[[#This Row],[TOTAL COBERTURA]]*$X$7</f>
        <v>28861280</v>
      </c>
      <c r="AU103" s="39">
        <f>Tabla44[[#This Row],[TOTAL CONTRATO (ICBF+EAS)]]+Tabla44[[#This Row],[VALOR COMPONENTE ALIMENTACION NO ASIGNADO]]</f>
        <v>72465140</v>
      </c>
      <c r="AV10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103" s="35">
        <f>(VLOOKUP(Tabla44[[#This Row],[SERVICIO 2025]],$J$2:$V$15,3,0)*Tabla44[[#This Row],[TOTAL COBERTURA]])+VLOOKUP(Tabla44[[#This Row],[SERVICIO 2025]],$J$2:$V$15,10,0)*Tabla44[[#This Row],[TOTAL COBERTURA]]</f>
        <v>8759380</v>
      </c>
      <c r="AX103" s="35">
        <f>(VLOOKUP(Tabla44[[#This Row],[SERVICIO 2025]],$J$2:$V$15,3,0)*Tabla44[[#This Row],[TOTAL COBERTURA]])+VLOOKUP(Tabla44[[#This Row],[SERVICIO 2025]],$J$2:$V$15,10,0)*Tabla44[[#This Row],[TOTAL COBERTURA]]</f>
        <v>8759380</v>
      </c>
      <c r="AY103" s="35">
        <f>(VLOOKUP(Tabla44[[#This Row],[SERVICIO 2025]],$J$2:$V$15,3,0)*Tabla44[[#This Row],[TOTAL COBERTURA]])+VLOOKUP(Tabla44[[#This Row],[SERVICIO 2025]],$J$2:$V$15,10,0)*Tabla44[[#This Row],[TOTAL COBERTURA]]</f>
        <v>8759380</v>
      </c>
      <c r="AZ103" s="35">
        <f>(VLOOKUP(Tabla44[[#This Row],[SERVICIO 2025]],$J$2:$V$15,3,0)*Tabla44[[#This Row],[TOTAL COBERTURA]])+VLOOKUP(Tabla44[[#This Row],[SERVICIO 2025]],$J$2:$V$15,10,0)*Tabla44[[#This Row],[TOTAL COBERTURA]]</f>
        <v>8759380</v>
      </c>
      <c r="BA103" s="35">
        <f>(VLOOKUP(Tabla44[[#This Row],[SERVICIO 2025]],$J$2:$V$15,3,0)*Tabla44[[#This Row],[TOTAL COBERTURA]])+VLOOKUP(Tabla44[[#This Row],[SERVICIO 2025]],$J$2:$V$15,10,0)*Tabla44[[#This Row],[TOTAL COBERTURA]]</f>
        <v>8759380</v>
      </c>
      <c r="BB103" s="35">
        <f>(VLOOKUP(Tabla44[[#This Row],[SERVICIO 2025]],$J$2:$V$15,3,0)*Tabla44[[#This Row],[TOTAL COBERTURA]])+VLOOKUP(Tabla44[[#This Row],[SERVICIO 2025]],$J$2:$V$15,10,0)*Tabla44[[#This Row],[TOTAL COBERTURA]]</f>
        <v>8759380</v>
      </c>
      <c r="BC10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103" s="35">
        <f>SUM(Tabla44[[#This Row],[DESEMBOLSO 1]:[DESEMBOLSO 8]])</f>
        <v>72465140</v>
      </c>
      <c r="BE103" s="12" t="b">
        <f>EXACT(Tabla44[[#This Row],[VALOR ATENCIÓN (8 MESES)]],Tabla44[[#This Row],[VALOR TOTAL]])</f>
        <v>1</v>
      </c>
      <c r="BF103" s="23">
        <f>Tabla44[[#This Row],[VALOR ATENCIÓN (8 MESES)]]-Tabla44[[#This Row],[VALOR TOTAL]]</f>
        <v>0</v>
      </c>
      <c r="BG103" s="12" t="b">
        <f>EXACT(Tabla44[[#This Row],[TOTAL DESEMBOLSOS]],Tabla44[[#This Row],[VALOR TOTAL DEL CONTRATO INCLUIDO EL COMPONENTE DE ALIMENTACIÓN]])</f>
        <v>1</v>
      </c>
      <c r="BH103" s="29">
        <f>Tabla44[[#This Row],[TOTAL DESEMBOLSOS]]-Tabla44[[#This Row],[VALOR TOTAL DEL CONTRATO INCLUIDO EL COMPONENTE DE ALIMENTACIÓN]]</f>
        <v>0</v>
      </c>
      <c r="BI103" t="s">
        <v>98</v>
      </c>
    </row>
    <row r="104" spans="1:61">
      <c r="A104" s="13">
        <v>1924</v>
      </c>
      <c r="B104" s="13"/>
      <c r="C104" s="12" t="s">
        <v>87</v>
      </c>
      <c r="D104" s="12" t="s">
        <v>1534</v>
      </c>
      <c r="E104" s="12" t="s">
        <v>2978</v>
      </c>
      <c r="F104" s="12" t="s">
        <v>18</v>
      </c>
      <c r="G104" s="12" t="s">
        <v>90</v>
      </c>
      <c r="H104" s="12" t="s">
        <v>3015</v>
      </c>
      <c r="I104" s="36">
        <v>51131153059</v>
      </c>
      <c r="J104" s="12" t="s">
        <v>3016</v>
      </c>
      <c r="K104" s="12">
        <v>1</v>
      </c>
      <c r="L104" s="12">
        <v>12</v>
      </c>
      <c r="M104" s="12"/>
      <c r="N104" s="13">
        <v>1924</v>
      </c>
      <c r="O104" s="12" t="s">
        <v>2850</v>
      </c>
      <c r="P104" s="12"/>
      <c r="Q104" s="12"/>
      <c r="R104" s="12" t="s">
        <v>94</v>
      </c>
      <c r="S104" s="12">
        <v>10</v>
      </c>
      <c r="T104" s="12">
        <v>811021339</v>
      </c>
      <c r="U104" s="12" t="s">
        <v>2851</v>
      </c>
      <c r="V104" s="12">
        <f>VLOOKUP(Tabla44[[#This Row],[ZONA DEFINITIVO]],[1]Hoja1!$A$1:$D$125,3,0)</f>
        <v>229935</v>
      </c>
      <c r="W104" s="12">
        <f>VLOOKUP(Tabla44[[#This Row],[ZONA DEFINITIVO]],[1]Hoja1!$A$1:$D$125,2,0)</f>
        <v>17252</v>
      </c>
      <c r="X104" s="12">
        <f>VLOOKUP(Tabla44[[#This Row],[ZONA DEFINITIVO]],[1]Hoja1!$A$1:$D$125,4,0)</f>
        <v>104125</v>
      </c>
      <c r="Y104" s="12" t="str">
        <f>+IF(Tabla44[[#This Row],[AGRUPACIONES]]=1,SUMIFS(Tabla44[UDS],Tabla44[ZONA DEFINITIVO],Tabla44[[#This Row],[ZONA DEFINITIVO]])," ")</f>
        <v xml:space="preserve"> </v>
      </c>
      <c r="Z104" s="12" t="str">
        <f>+IF(Tabla44[[#This Row],[AGRUPACIONES]]=1,SUMIFS(Tabla44[TOTAL COBERTURA],Tabla44[ZONA DEFINITIVO],Tabla44[[#This Row],[ZONA DEFINITIVO]])," ")</f>
        <v xml:space="preserve"> </v>
      </c>
      <c r="AA104" s="12"/>
      <c r="AB104" s="35">
        <v>26162316</v>
      </c>
      <c r="AC104" s="37">
        <v>0</v>
      </c>
      <c r="AD104" s="35">
        <f t="shared" si="2"/>
        <v>0</v>
      </c>
      <c r="AE104" s="12"/>
      <c r="AF104" s="12">
        <f>COUNTIF($A$20:A104,A104)</f>
        <v>34</v>
      </c>
      <c r="AG104" s="38">
        <v>26162316</v>
      </c>
      <c r="AH104" s="38">
        <f>Tabla44[[#This Row],[VALOR CONTRAPARTIDA]]+Tabla44[[#This Row],[TOTAL APORTES ICBF]]</f>
        <v>26162316</v>
      </c>
      <c r="AI104" s="35" t="str">
        <f>+IF(Tabla44[[#This Row],[AGRUPACIONES]]=1,SUMIFS(Tabla44[TOTAL APORTES ICBF],Tabla44[ZONA DEFINITIVO],Tabla44[[#This Row],[ZONA DEFINITIVO]])," ")</f>
        <v xml:space="preserve"> </v>
      </c>
      <c r="AJ104" s="38"/>
      <c r="AK104" s="38"/>
      <c r="AL104" s="35"/>
      <c r="AM104" s="35">
        <f>VLOOKUP(Tabla44[[#This Row],[SERVICIO 2025]],$J$2:$V$15,5,0)*Tabla44[[#This Row],[TOTAL COBERTURA]]</f>
        <v>592512</v>
      </c>
      <c r="AN104" s="35">
        <f>VLOOKUP(Tabla44[[#This Row],[SERVICIO 2025]],$J$2:$V$15,6,0)*Tabla44[[#This Row],[TOTAL COBERTURA]]</f>
        <v>492348</v>
      </c>
      <c r="AO104" s="35">
        <f>VLOOKUP(Tabla44[[#This Row],[SERVICIO 2025]],$J$2:$V$15,8,0)*Tabla44[[#This Row],[TOTAL COBERTURA]]</f>
        <v>349200</v>
      </c>
      <c r="AP104" s="35">
        <f>VLOOKUP(Tabla44[[#This Row],[SERVICIO 2025]],$J$2:$V$15,3,0)*Tabla44[[#This Row],[TOTAL COBERTURA]]*8</f>
        <v>24728256</v>
      </c>
      <c r="AQ104" s="35"/>
      <c r="AR104" s="35">
        <f>SUM(Tabla44[[#This Row],[VALOR FASE PREPARATORIA DE ALISTAMIENTO]:[VALOR RACION PREPARADA]])</f>
        <v>26162316</v>
      </c>
      <c r="AS104" s="35" t="str">
        <f>+IF(Tabla44[[#This Row],[AGRUPACIONES]]=1,SUMIFS(Tabla44[VALOR TOTAL],Tabla44[ZONA DEFINITIVO],Tabla44[[#This Row],[ZONA DEFINITIVO]])," ")</f>
        <v xml:space="preserve"> </v>
      </c>
      <c r="AT104" s="35">
        <f>VLOOKUP(Tabla44[[#This Row],[SERVICIO 2025]],$J$2:$V$15,10,0)*Tabla44[[#This Row],[TOTAL COBERTURA]]*$X$7</f>
        <v>17316768</v>
      </c>
      <c r="AU104" s="39">
        <f>Tabla44[[#This Row],[TOTAL CONTRATO (ICBF+EAS)]]+Tabla44[[#This Row],[VALOR COMPONENTE ALIMENTACION NO ASIGNADO]]</f>
        <v>43479084</v>
      </c>
      <c r="AV10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104" s="35">
        <f>(VLOOKUP(Tabla44[[#This Row],[SERVICIO 2025]],$J$2:$V$15,3,0)*Tabla44[[#This Row],[TOTAL COBERTURA]])+VLOOKUP(Tabla44[[#This Row],[SERVICIO 2025]],$J$2:$V$15,10,0)*Tabla44[[#This Row],[TOTAL COBERTURA]]</f>
        <v>5255628</v>
      </c>
      <c r="AX104" s="35">
        <f>(VLOOKUP(Tabla44[[#This Row],[SERVICIO 2025]],$J$2:$V$15,3,0)*Tabla44[[#This Row],[TOTAL COBERTURA]])+VLOOKUP(Tabla44[[#This Row],[SERVICIO 2025]],$J$2:$V$15,10,0)*Tabla44[[#This Row],[TOTAL COBERTURA]]</f>
        <v>5255628</v>
      </c>
      <c r="AY104" s="35">
        <f>(VLOOKUP(Tabla44[[#This Row],[SERVICIO 2025]],$J$2:$V$15,3,0)*Tabla44[[#This Row],[TOTAL COBERTURA]])+VLOOKUP(Tabla44[[#This Row],[SERVICIO 2025]],$J$2:$V$15,10,0)*Tabla44[[#This Row],[TOTAL COBERTURA]]</f>
        <v>5255628</v>
      </c>
      <c r="AZ104" s="35">
        <f>(VLOOKUP(Tabla44[[#This Row],[SERVICIO 2025]],$J$2:$V$15,3,0)*Tabla44[[#This Row],[TOTAL COBERTURA]])+VLOOKUP(Tabla44[[#This Row],[SERVICIO 2025]],$J$2:$V$15,10,0)*Tabla44[[#This Row],[TOTAL COBERTURA]]</f>
        <v>5255628</v>
      </c>
      <c r="BA104" s="35">
        <f>(VLOOKUP(Tabla44[[#This Row],[SERVICIO 2025]],$J$2:$V$15,3,0)*Tabla44[[#This Row],[TOTAL COBERTURA]])+VLOOKUP(Tabla44[[#This Row],[SERVICIO 2025]],$J$2:$V$15,10,0)*Tabla44[[#This Row],[TOTAL COBERTURA]]</f>
        <v>5255628</v>
      </c>
      <c r="BB104" s="35">
        <f>(VLOOKUP(Tabla44[[#This Row],[SERVICIO 2025]],$J$2:$V$15,3,0)*Tabla44[[#This Row],[TOTAL COBERTURA]])+VLOOKUP(Tabla44[[#This Row],[SERVICIO 2025]],$J$2:$V$15,10,0)*Tabla44[[#This Row],[TOTAL COBERTURA]]</f>
        <v>5255628</v>
      </c>
      <c r="BC10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104" s="35">
        <f>SUM(Tabla44[[#This Row],[DESEMBOLSO 1]:[DESEMBOLSO 8]])</f>
        <v>43479084</v>
      </c>
      <c r="BE104" s="12" t="b">
        <f>EXACT(Tabla44[[#This Row],[VALOR ATENCIÓN (8 MESES)]],Tabla44[[#This Row],[VALOR TOTAL]])</f>
        <v>1</v>
      </c>
      <c r="BF104" s="23">
        <f>Tabla44[[#This Row],[VALOR ATENCIÓN (8 MESES)]]-Tabla44[[#This Row],[VALOR TOTAL]]</f>
        <v>0</v>
      </c>
      <c r="BG104" s="12" t="b">
        <f>EXACT(Tabla44[[#This Row],[TOTAL DESEMBOLSOS]],Tabla44[[#This Row],[VALOR TOTAL DEL CONTRATO INCLUIDO EL COMPONENTE DE ALIMENTACIÓN]])</f>
        <v>1</v>
      </c>
      <c r="BH104" s="29">
        <f>Tabla44[[#This Row],[TOTAL DESEMBOLSOS]]-Tabla44[[#This Row],[VALOR TOTAL DEL CONTRATO INCLUIDO EL COMPONENTE DE ALIMENTACIÓN]]</f>
        <v>0</v>
      </c>
      <c r="BI104" t="s">
        <v>98</v>
      </c>
    </row>
    <row r="105" spans="1:61">
      <c r="A105" s="13">
        <v>1924</v>
      </c>
      <c r="B105" s="13"/>
      <c r="C105" s="12" t="s">
        <v>87</v>
      </c>
      <c r="D105" s="12" t="s">
        <v>1534</v>
      </c>
      <c r="E105" s="12" t="s">
        <v>2978</v>
      </c>
      <c r="F105" s="12" t="s">
        <v>14</v>
      </c>
      <c r="G105" s="12" t="s">
        <v>90</v>
      </c>
      <c r="H105" s="12" t="s">
        <v>3017</v>
      </c>
      <c r="I105" s="36">
        <v>511300080646</v>
      </c>
      <c r="J105" s="12" t="s">
        <v>3018</v>
      </c>
      <c r="K105" s="12">
        <v>1</v>
      </c>
      <c r="L105" s="12">
        <v>80</v>
      </c>
      <c r="M105" s="12"/>
      <c r="N105" s="13">
        <v>1924</v>
      </c>
      <c r="O105" s="12" t="s">
        <v>2850</v>
      </c>
      <c r="P105" s="12"/>
      <c r="Q105" s="12"/>
      <c r="R105" s="12" t="s">
        <v>94</v>
      </c>
      <c r="S105" s="12">
        <v>10</v>
      </c>
      <c r="T105" s="12">
        <v>811021339</v>
      </c>
      <c r="U105" s="12" t="s">
        <v>2851</v>
      </c>
      <c r="V105" s="12">
        <f>VLOOKUP(Tabla44[[#This Row],[ZONA DEFINITIVO]],[1]Hoja1!$A$1:$D$125,3,0)</f>
        <v>229935</v>
      </c>
      <c r="W105" s="12">
        <f>VLOOKUP(Tabla44[[#This Row],[ZONA DEFINITIVO]],[1]Hoja1!$A$1:$D$125,2,0)</f>
        <v>17252</v>
      </c>
      <c r="X105" s="12">
        <f>VLOOKUP(Tabla44[[#This Row],[ZONA DEFINITIVO]],[1]Hoja1!$A$1:$D$125,4,0)</f>
        <v>104125</v>
      </c>
      <c r="Y105" s="12" t="str">
        <f>+IF(Tabla44[[#This Row],[AGRUPACIONES]]=1,SUMIFS(Tabla44[UDS],Tabla44[ZONA DEFINITIVO],Tabla44[[#This Row],[ZONA DEFINITIVO]])," ")</f>
        <v xml:space="preserve"> </v>
      </c>
      <c r="Z105" s="12" t="str">
        <f>+IF(Tabla44[[#This Row],[AGRUPACIONES]]=1,SUMIFS(Tabla44[TOTAL COBERTURA],Tabla44[ZONA DEFINITIVO],Tabla44[[#This Row],[ZONA DEFINITIVO]])," ")</f>
        <v xml:space="preserve"> </v>
      </c>
      <c r="AA105" s="12"/>
      <c r="AB105" s="35">
        <v>335108000</v>
      </c>
      <c r="AC105" s="37">
        <v>0</v>
      </c>
      <c r="AD105" s="35">
        <f t="shared" si="2"/>
        <v>0</v>
      </c>
      <c r="AE105" s="12"/>
      <c r="AF105" s="12">
        <f>COUNTIF($A$20:A105,A105)</f>
        <v>35</v>
      </c>
      <c r="AG105" s="38">
        <v>335108000</v>
      </c>
      <c r="AH105" s="38">
        <f>Tabla44[[#This Row],[VALOR CONTRAPARTIDA]]+Tabla44[[#This Row],[TOTAL APORTES ICBF]]</f>
        <v>335108000</v>
      </c>
      <c r="AI105" s="35" t="str">
        <f>+IF(Tabla44[[#This Row],[AGRUPACIONES]]=1,SUMIFS(Tabla44[TOTAL APORTES ICBF],Tabla44[ZONA DEFINITIVO],Tabla44[[#This Row],[ZONA DEFINITIVO]])," ")</f>
        <v xml:space="preserve"> </v>
      </c>
      <c r="AJ105" s="38"/>
      <c r="AK105" s="38"/>
      <c r="AL105" s="35"/>
      <c r="AM105" s="35">
        <f>VLOOKUP(Tabla44[[#This Row],[SERVICIO 2025]],$J$2:$V$15,5,0)*Tabla44[[#This Row],[TOTAL COBERTURA]]</f>
        <v>7051440</v>
      </c>
      <c r="AN105" s="35">
        <f>VLOOKUP(Tabla44[[#This Row],[SERVICIO 2025]],$J$2:$V$15,6,0)*Tabla44[[#This Row],[TOTAL COBERTURA]]</f>
        <v>6003440</v>
      </c>
      <c r="AO105" s="35">
        <f>VLOOKUP(Tabla44[[#This Row],[SERVICIO 2025]],$J$2:$V$15,8,0)*Tabla44[[#This Row],[TOTAL COBERTURA]]</f>
        <v>0</v>
      </c>
      <c r="AP105" s="35">
        <f>VLOOKUP(Tabla44[[#This Row],[SERVICIO 2025]],$J$2:$V$15,3,0)*Tabla44[[#This Row],[TOTAL COBERTURA]]*8</f>
        <v>322053120</v>
      </c>
      <c r="AQ105" s="35"/>
      <c r="AR105" s="35">
        <f>SUM(Tabla44[[#This Row],[VALOR FASE PREPARATORIA DE ALISTAMIENTO]:[VALOR RACION PREPARADA]])</f>
        <v>335108000</v>
      </c>
      <c r="AS105" s="35" t="str">
        <f>+IF(Tabla44[[#This Row],[AGRUPACIONES]]=1,SUMIFS(Tabla44[VALOR TOTAL],Tabla44[ZONA DEFINITIVO],Tabla44[[#This Row],[ZONA DEFINITIVO]])," ")</f>
        <v xml:space="preserve"> </v>
      </c>
      <c r="AT105" s="35">
        <f>VLOOKUP(Tabla44[[#This Row],[SERVICIO 2025]],$J$2:$V$15,10,0)*Tabla44[[#This Row],[TOTAL COBERTURA]]*$X$7</f>
        <v>0</v>
      </c>
      <c r="AU105" s="39">
        <f>Tabla44[[#This Row],[TOTAL CONTRATO (ICBF+EAS)]]+Tabla44[[#This Row],[VALOR COMPONENTE ALIMENTACION NO ASIGNADO]]</f>
        <v>335108000</v>
      </c>
      <c r="AV10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47308080</v>
      </c>
      <c r="AW105" s="35">
        <f>(VLOOKUP(Tabla44[[#This Row],[SERVICIO 2025]],$J$2:$V$15,3,0)*Tabla44[[#This Row],[TOTAL COBERTURA]])+VLOOKUP(Tabla44[[#This Row],[SERVICIO 2025]],$J$2:$V$15,10,0)*Tabla44[[#This Row],[TOTAL COBERTURA]]</f>
        <v>40256640</v>
      </c>
      <c r="AX105" s="35">
        <f>(VLOOKUP(Tabla44[[#This Row],[SERVICIO 2025]],$J$2:$V$15,3,0)*Tabla44[[#This Row],[TOTAL COBERTURA]])+VLOOKUP(Tabla44[[#This Row],[SERVICIO 2025]],$J$2:$V$15,10,0)*Tabla44[[#This Row],[TOTAL COBERTURA]]</f>
        <v>40256640</v>
      </c>
      <c r="AY105" s="35">
        <f>(VLOOKUP(Tabla44[[#This Row],[SERVICIO 2025]],$J$2:$V$15,3,0)*Tabla44[[#This Row],[TOTAL COBERTURA]])+VLOOKUP(Tabla44[[#This Row],[SERVICIO 2025]],$J$2:$V$15,10,0)*Tabla44[[#This Row],[TOTAL COBERTURA]]</f>
        <v>40256640</v>
      </c>
      <c r="AZ105" s="35">
        <f>(VLOOKUP(Tabla44[[#This Row],[SERVICIO 2025]],$J$2:$V$15,3,0)*Tabla44[[#This Row],[TOTAL COBERTURA]])+VLOOKUP(Tabla44[[#This Row],[SERVICIO 2025]],$J$2:$V$15,10,0)*Tabla44[[#This Row],[TOTAL COBERTURA]]</f>
        <v>40256640</v>
      </c>
      <c r="BA105" s="35">
        <f>(VLOOKUP(Tabla44[[#This Row],[SERVICIO 2025]],$J$2:$V$15,3,0)*Tabla44[[#This Row],[TOTAL COBERTURA]])+VLOOKUP(Tabla44[[#This Row],[SERVICIO 2025]],$J$2:$V$15,10,0)*Tabla44[[#This Row],[TOTAL COBERTURA]]</f>
        <v>40256640</v>
      </c>
      <c r="BB105" s="35">
        <f>(VLOOKUP(Tabla44[[#This Row],[SERVICIO 2025]],$J$2:$V$15,3,0)*Tabla44[[#This Row],[TOTAL COBERTURA]])+VLOOKUP(Tabla44[[#This Row],[SERVICIO 2025]],$J$2:$V$15,10,0)*Tabla44[[#This Row],[TOTAL COBERTURA]]</f>
        <v>40256640</v>
      </c>
      <c r="BC10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46260080</v>
      </c>
      <c r="BD105" s="35">
        <f>SUM(Tabla44[[#This Row],[DESEMBOLSO 1]:[DESEMBOLSO 8]])</f>
        <v>335108000</v>
      </c>
      <c r="BE105" s="12" t="b">
        <f>EXACT(Tabla44[[#This Row],[VALOR ATENCIÓN (8 MESES)]],Tabla44[[#This Row],[VALOR TOTAL]])</f>
        <v>1</v>
      </c>
      <c r="BF105" s="23">
        <f>Tabla44[[#This Row],[VALOR ATENCIÓN (8 MESES)]]-Tabla44[[#This Row],[VALOR TOTAL]]</f>
        <v>0</v>
      </c>
      <c r="BG105" s="12" t="b">
        <f>EXACT(Tabla44[[#This Row],[TOTAL DESEMBOLSOS]],Tabla44[[#This Row],[VALOR TOTAL DEL CONTRATO INCLUIDO EL COMPONENTE DE ALIMENTACIÓN]])</f>
        <v>1</v>
      </c>
      <c r="BH105" s="29">
        <f>Tabla44[[#This Row],[TOTAL DESEMBOLSOS]]-Tabla44[[#This Row],[VALOR TOTAL DEL CONTRATO INCLUIDO EL COMPONENTE DE ALIMENTACIÓN]]</f>
        <v>0</v>
      </c>
      <c r="BI105" t="s">
        <v>98</v>
      </c>
    </row>
    <row r="106" spans="1:61">
      <c r="A106" s="13">
        <v>1924</v>
      </c>
      <c r="B106" s="13"/>
      <c r="C106" s="12" t="s">
        <v>87</v>
      </c>
      <c r="D106" s="12" t="s">
        <v>1534</v>
      </c>
      <c r="E106" s="12" t="s">
        <v>2978</v>
      </c>
      <c r="F106" s="12" t="s">
        <v>18</v>
      </c>
      <c r="G106" s="12" t="s">
        <v>90</v>
      </c>
      <c r="H106" s="12" t="s">
        <v>3019</v>
      </c>
      <c r="I106" s="36">
        <v>511300084691</v>
      </c>
      <c r="J106" s="12" t="s">
        <v>3020</v>
      </c>
      <c r="K106" s="12">
        <v>1</v>
      </c>
      <c r="L106" s="12">
        <v>13</v>
      </c>
      <c r="M106" s="12"/>
      <c r="N106" s="13">
        <v>1924</v>
      </c>
      <c r="O106" s="12" t="s">
        <v>2850</v>
      </c>
      <c r="P106" s="12"/>
      <c r="Q106" s="12"/>
      <c r="R106" s="12" t="s">
        <v>94</v>
      </c>
      <c r="S106" s="12">
        <v>10</v>
      </c>
      <c r="T106" s="12">
        <v>811021339</v>
      </c>
      <c r="U106" s="12" t="s">
        <v>2851</v>
      </c>
      <c r="V106" s="12">
        <f>VLOOKUP(Tabla44[[#This Row],[ZONA DEFINITIVO]],[1]Hoja1!$A$1:$D$125,3,0)</f>
        <v>229935</v>
      </c>
      <c r="W106" s="12">
        <f>VLOOKUP(Tabla44[[#This Row],[ZONA DEFINITIVO]],[1]Hoja1!$A$1:$D$125,2,0)</f>
        <v>17252</v>
      </c>
      <c r="X106" s="12">
        <f>VLOOKUP(Tabla44[[#This Row],[ZONA DEFINITIVO]],[1]Hoja1!$A$1:$D$125,4,0)</f>
        <v>104125</v>
      </c>
      <c r="Y106" s="12" t="str">
        <f>+IF(Tabla44[[#This Row],[AGRUPACIONES]]=1,SUMIFS(Tabla44[UDS],Tabla44[ZONA DEFINITIVO],Tabla44[[#This Row],[ZONA DEFINITIVO]])," ")</f>
        <v xml:space="preserve"> </v>
      </c>
      <c r="Z106" s="12" t="str">
        <f>+IF(Tabla44[[#This Row],[AGRUPACIONES]]=1,SUMIFS(Tabla44[TOTAL COBERTURA],Tabla44[ZONA DEFINITIVO],Tabla44[[#This Row],[ZONA DEFINITIVO]])," ")</f>
        <v xml:space="preserve"> </v>
      </c>
      <c r="AA106" s="12"/>
      <c r="AB106" s="35">
        <v>28342509</v>
      </c>
      <c r="AC106" s="37">
        <v>0</v>
      </c>
      <c r="AD106" s="35">
        <f t="shared" si="2"/>
        <v>0</v>
      </c>
      <c r="AE106" s="12"/>
      <c r="AF106" s="12">
        <f>COUNTIF($A$20:A106,A106)</f>
        <v>36</v>
      </c>
      <c r="AG106" s="38">
        <v>28342509</v>
      </c>
      <c r="AH106" s="38">
        <f>Tabla44[[#This Row],[VALOR CONTRAPARTIDA]]+Tabla44[[#This Row],[TOTAL APORTES ICBF]]</f>
        <v>28342509</v>
      </c>
      <c r="AI106" s="35" t="str">
        <f>+IF(Tabla44[[#This Row],[AGRUPACIONES]]=1,SUMIFS(Tabla44[TOTAL APORTES ICBF],Tabla44[ZONA DEFINITIVO],Tabla44[[#This Row],[ZONA DEFINITIVO]])," ")</f>
        <v xml:space="preserve"> </v>
      </c>
      <c r="AJ106" s="38"/>
      <c r="AK106" s="38"/>
      <c r="AL106" s="35"/>
      <c r="AM106" s="35">
        <f>VLOOKUP(Tabla44[[#This Row],[SERVICIO 2025]],$J$2:$V$15,5,0)*Tabla44[[#This Row],[TOTAL COBERTURA]]</f>
        <v>641888</v>
      </c>
      <c r="AN106" s="35">
        <f>VLOOKUP(Tabla44[[#This Row],[SERVICIO 2025]],$J$2:$V$15,6,0)*Tabla44[[#This Row],[TOTAL COBERTURA]]</f>
        <v>533377</v>
      </c>
      <c r="AO106" s="35">
        <f>VLOOKUP(Tabla44[[#This Row],[SERVICIO 2025]],$J$2:$V$15,8,0)*Tabla44[[#This Row],[TOTAL COBERTURA]]</f>
        <v>378300</v>
      </c>
      <c r="AP106" s="35">
        <f>VLOOKUP(Tabla44[[#This Row],[SERVICIO 2025]],$J$2:$V$15,3,0)*Tabla44[[#This Row],[TOTAL COBERTURA]]*8</f>
        <v>26788944</v>
      </c>
      <c r="AQ106" s="35"/>
      <c r="AR106" s="35">
        <f>SUM(Tabla44[[#This Row],[VALOR FASE PREPARATORIA DE ALISTAMIENTO]:[VALOR RACION PREPARADA]])</f>
        <v>28342509</v>
      </c>
      <c r="AS106" s="35" t="str">
        <f>+IF(Tabla44[[#This Row],[AGRUPACIONES]]=1,SUMIFS(Tabla44[VALOR TOTAL],Tabla44[ZONA DEFINITIVO],Tabla44[[#This Row],[ZONA DEFINITIVO]])," ")</f>
        <v xml:space="preserve"> </v>
      </c>
      <c r="AT106" s="35">
        <f>VLOOKUP(Tabla44[[#This Row],[SERVICIO 2025]],$J$2:$V$15,10,0)*Tabla44[[#This Row],[TOTAL COBERTURA]]*$X$7</f>
        <v>18759832</v>
      </c>
      <c r="AU106" s="39">
        <f>Tabla44[[#This Row],[TOTAL CONTRATO (ICBF+EAS)]]+Tabla44[[#This Row],[VALOR COMPONENTE ALIMENTACION NO ASIGNADO]]</f>
        <v>47102341</v>
      </c>
      <c r="AV10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106" s="35">
        <f>(VLOOKUP(Tabla44[[#This Row],[SERVICIO 2025]],$J$2:$V$15,3,0)*Tabla44[[#This Row],[TOTAL COBERTURA]])+VLOOKUP(Tabla44[[#This Row],[SERVICIO 2025]],$J$2:$V$15,10,0)*Tabla44[[#This Row],[TOTAL COBERTURA]]</f>
        <v>5693597</v>
      </c>
      <c r="AX106" s="35">
        <f>(VLOOKUP(Tabla44[[#This Row],[SERVICIO 2025]],$J$2:$V$15,3,0)*Tabla44[[#This Row],[TOTAL COBERTURA]])+VLOOKUP(Tabla44[[#This Row],[SERVICIO 2025]],$J$2:$V$15,10,0)*Tabla44[[#This Row],[TOTAL COBERTURA]]</f>
        <v>5693597</v>
      </c>
      <c r="AY106" s="35">
        <f>(VLOOKUP(Tabla44[[#This Row],[SERVICIO 2025]],$J$2:$V$15,3,0)*Tabla44[[#This Row],[TOTAL COBERTURA]])+VLOOKUP(Tabla44[[#This Row],[SERVICIO 2025]],$J$2:$V$15,10,0)*Tabla44[[#This Row],[TOTAL COBERTURA]]</f>
        <v>5693597</v>
      </c>
      <c r="AZ106" s="35">
        <f>(VLOOKUP(Tabla44[[#This Row],[SERVICIO 2025]],$J$2:$V$15,3,0)*Tabla44[[#This Row],[TOTAL COBERTURA]])+VLOOKUP(Tabla44[[#This Row],[SERVICIO 2025]],$J$2:$V$15,10,0)*Tabla44[[#This Row],[TOTAL COBERTURA]]</f>
        <v>5693597</v>
      </c>
      <c r="BA106" s="35">
        <f>(VLOOKUP(Tabla44[[#This Row],[SERVICIO 2025]],$J$2:$V$15,3,0)*Tabla44[[#This Row],[TOTAL COBERTURA]])+VLOOKUP(Tabla44[[#This Row],[SERVICIO 2025]],$J$2:$V$15,10,0)*Tabla44[[#This Row],[TOTAL COBERTURA]]</f>
        <v>5693597</v>
      </c>
      <c r="BB106" s="35">
        <f>(VLOOKUP(Tabla44[[#This Row],[SERVICIO 2025]],$J$2:$V$15,3,0)*Tabla44[[#This Row],[TOTAL COBERTURA]])+VLOOKUP(Tabla44[[#This Row],[SERVICIO 2025]],$J$2:$V$15,10,0)*Tabla44[[#This Row],[TOTAL COBERTURA]]</f>
        <v>5693597</v>
      </c>
      <c r="BC10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106" s="35">
        <f>SUM(Tabla44[[#This Row],[DESEMBOLSO 1]:[DESEMBOLSO 8]])</f>
        <v>47102341</v>
      </c>
      <c r="BE106" s="12" t="b">
        <f>EXACT(Tabla44[[#This Row],[VALOR ATENCIÓN (8 MESES)]],Tabla44[[#This Row],[VALOR TOTAL]])</f>
        <v>1</v>
      </c>
      <c r="BF106" s="23">
        <f>Tabla44[[#This Row],[VALOR ATENCIÓN (8 MESES)]]-Tabla44[[#This Row],[VALOR TOTAL]]</f>
        <v>0</v>
      </c>
      <c r="BG106" s="12" t="b">
        <f>EXACT(Tabla44[[#This Row],[TOTAL DESEMBOLSOS]],Tabla44[[#This Row],[VALOR TOTAL DEL CONTRATO INCLUIDO EL COMPONENTE DE ALIMENTACIÓN]])</f>
        <v>1</v>
      </c>
      <c r="BH106" s="29">
        <f>Tabla44[[#This Row],[TOTAL DESEMBOLSOS]]-Tabla44[[#This Row],[VALOR TOTAL DEL CONTRATO INCLUIDO EL COMPONENTE DE ALIMENTACIÓN]]</f>
        <v>0</v>
      </c>
      <c r="BI106" t="s">
        <v>98</v>
      </c>
    </row>
    <row r="107" spans="1:61">
      <c r="A107" s="13">
        <v>1924</v>
      </c>
      <c r="B107" s="13"/>
      <c r="C107" s="12" t="s">
        <v>87</v>
      </c>
      <c r="D107" s="12" t="s">
        <v>1534</v>
      </c>
      <c r="E107" s="12" t="s">
        <v>3021</v>
      </c>
      <c r="F107" s="12" t="s">
        <v>18</v>
      </c>
      <c r="G107" s="12" t="s">
        <v>90</v>
      </c>
      <c r="H107" s="12" t="s">
        <v>3022</v>
      </c>
      <c r="I107" s="36">
        <v>54111115103</v>
      </c>
      <c r="J107" s="12" t="s">
        <v>3023</v>
      </c>
      <c r="K107" s="12">
        <v>1</v>
      </c>
      <c r="L107" s="12">
        <v>12</v>
      </c>
      <c r="M107" s="12"/>
      <c r="N107" s="13">
        <v>1924</v>
      </c>
      <c r="O107" s="12" t="s">
        <v>2850</v>
      </c>
      <c r="P107" s="12"/>
      <c r="Q107" s="12"/>
      <c r="R107" s="12" t="s">
        <v>94</v>
      </c>
      <c r="S107" s="12">
        <v>10</v>
      </c>
      <c r="T107" s="12">
        <v>811021339</v>
      </c>
      <c r="U107" s="12" t="s">
        <v>2851</v>
      </c>
      <c r="V107" s="12">
        <f>VLOOKUP(Tabla44[[#This Row],[ZONA DEFINITIVO]],[1]Hoja1!$A$1:$D$125,3,0)</f>
        <v>229935</v>
      </c>
      <c r="W107" s="12">
        <f>VLOOKUP(Tabla44[[#This Row],[ZONA DEFINITIVO]],[1]Hoja1!$A$1:$D$125,2,0)</f>
        <v>17252</v>
      </c>
      <c r="X107" s="12">
        <f>VLOOKUP(Tabla44[[#This Row],[ZONA DEFINITIVO]],[1]Hoja1!$A$1:$D$125,4,0)</f>
        <v>104125</v>
      </c>
      <c r="Y107" s="12" t="str">
        <f>+IF(Tabla44[[#This Row],[AGRUPACIONES]]=1,SUMIFS(Tabla44[UDS],Tabla44[ZONA DEFINITIVO],Tabla44[[#This Row],[ZONA DEFINITIVO]])," ")</f>
        <v xml:space="preserve"> </v>
      </c>
      <c r="Z107" s="12" t="str">
        <f>+IF(Tabla44[[#This Row],[AGRUPACIONES]]=1,SUMIFS(Tabla44[TOTAL COBERTURA],Tabla44[ZONA DEFINITIVO],Tabla44[[#This Row],[ZONA DEFINITIVO]])," ")</f>
        <v xml:space="preserve"> </v>
      </c>
      <c r="AA107" s="12"/>
      <c r="AB107" s="35">
        <v>26162316</v>
      </c>
      <c r="AC107" s="37">
        <v>0</v>
      </c>
      <c r="AD107" s="35">
        <f t="shared" si="2"/>
        <v>0</v>
      </c>
      <c r="AE107" s="12"/>
      <c r="AF107" s="12">
        <f>COUNTIF($A$20:A107,A107)</f>
        <v>37</v>
      </c>
      <c r="AG107" s="38">
        <v>26162316</v>
      </c>
      <c r="AH107" s="38">
        <f>Tabla44[[#This Row],[VALOR CONTRAPARTIDA]]+Tabla44[[#This Row],[TOTAL APORTES ICBF]]</f>
        <v>26162316</v>
      </c>
      <c r="AI107" s="35" t="str">
        <f>+IF(Tabla44[[#This Row],[AGRUPACIONES]]=1,SUMIFS(Tabla44[TOTAL APORTES ICBF],Tabla44[ZONA DEFINITIVO],Tabla44[[#This Row],[ZONA DEFINITIVO]])," ")</f>
        <v xml:space="preserve"> </v>
      </c>
      <c r="AJ107" s="38"/>
      <c r="AK107" s="38"/>
      <c r="AL107" s="35"/>
      <c r="AM107" s="35">
        <f>VLOOKUP(Tabla44[[#This Row],[SERVICIO 2025]],$J$2:$V$15,5,0)*Tabla44[[#This Row],[TOTAL COBERTURA]]</f>
        <v>592512</v>
      </c>
      <c r="AN107" s="35">
        <f>VLOOKUP(Tabla44[[#This Row],[SERVICIO 2025]],$J$2:$V$15,6,0)*Tabla44[[#This Row],[TOTAL COBERTURA]]</f>
        <v>492348</v>
      </c>
      <c r="AO107" s="35">
        <f>VLOOKUP(Tabla44[[#This Row],[SERVICIO 2025]],$J$2:$V$15,8,0)*Tabla44[[#This Row],[TOTAL COBERTURA]]</f>
        <v>349200</v>
      </c>
      <c r="AP107" s="35">
        <f>VLOOKUP(Tabla44[[#This Row],[SERVICIO 2025]],$J$2:$V$15,3,0)*Tabla44[[#This Row],[TOTAL COBERTURA]]*8</f>
        <v>24728256</v>
      </c>
      <c r="AQ107" s="35"/>
      <c r="AR107" s="35">
        <f>SUM(Tabla44[[#This Row],[VALOR FASE PREPARATORIA DE ALISTAMIENTO]:[VALOR RACION PREPARADA]])</f>
        <v>26162316</v>
      </c>
      <c r="AS107" s="35" t="str">
        <f>+IF(Tabla44[[#This Row],[AGRUPACIONES]]=1,SUMIFS(Tabla44[VALOR TOTAL],Tabla44[ZONA DEFINITIVO],Tabla44[[#This Row],[ZONA DEFINITIVO]])," ")</f>
        <v xml:space="preserve"> </v>
      </c>
      <c r="AT107" s="35">
        <f>VLOOKUP(Tabla44[[#This Row],[SERVICIO 2025]],$J$2:$V$15,10,0)*Tabla44[[#This Row],[TOTAL COBERTURA]]*$X$7</f>
        <v>17316768</v>
      </c>
      <c r="AU107" s="39">
        <f>Tabla44[[#This Row],[TOTAL CONTRATO (ICBF+EAS)]]+Tabla44[[#This Row],[VALOR COMPONENTE ALIMENTACION NO ASIGNADO]]</f>
        <v>43479084</v>
      </c>
      <c r="AV10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107" s="35">
        <f>(VLOOKUP(Tabla44[[#This Row],[SERVICIO 2025]],$J$2:$V$15,3,0)*Tabla44[[#This Row],[TOTAL COBERTURA]])+VLOOKUP(Tabla44[[#This Row],[SERVICIO 2025]],$J$2:$V$15,10,0)*Tabla44[[#This Row],[TOTAL COBERTURA]]</f>
        <v>5255628</v>
      </c>
      <c r="AX107" s="35">
        <f>(VLOOKUP(Tabla44[[#This Row],[SERVICIO 2025]],$J$2:$V$15,3,0)*Tabla44[[#This Row],[TOTAL COBERTURA]])+VLOOKUP(Tabla44[[#This Row],[SERVICIO 2025]],$J$2:$V$15,10,0)*Tabla44[[#This Row],[TOTAL COBERTURA]]</f>
        <v>5255628</v>
      </c>
      <c r="AY107" s="35">
        <f>(VLOOKUP(Tabla44[[#This Row],[SERVICIO 2025]],$J$2:$V$15,3,0)*Tabla44[[#This Row],[TOTAL COBERTURA]])+VLOOKUP(Tabla44[[#This Row],[SERVICIO 2025]],$J$2:$V$15,10,0)*Tabla44[[#This Row],[TOTAL COBERTURA]]</f>
        <v>5255628</v>
      </c>
      <c r="AZ107" s="35">
        <f>(VLOOKUP(Tabla44[[#This Row],[SERVICIO 2025]],$J$2:$V$15,3,0)*Tabla44[[#This Row],[TOTAL COBERTURA]])+VLOOKUP(Tabla44[[#This Row],[SERVICIO 2025]],$J$2:$V$15,10,0)*Tabla44[[#This Row],[TOTAL COBERTURA]]</f>
        <v>5255628</v>
      </c>
      <c r="BA107" s="35">
        <f>(VLOOKUP(Tabla44[[#This Row],[SERVICIO 2025]],$J$2:$V$15,3,0)*Tabla44[[#This Row],[TOTAL COBERTURA]])+VLOOKUP(Tabla44[[#This Row],[SERVICIO 2025]],$J$2:$V$15,10,0)*Tabla44[[#This Row],[TOTAL COBERTURA]]</f>
        <v>5255628</v>
      </c>
      <c r="BB107" s="35">
        <f>(VLOOKUP(Tabla44[[#This Row],[SERVICIO 2025]],$J$2:$V$15,3,0)*Tabla44[[#This Row],[TOTAL COBERTURA]])+VLOOKUP(Tabla44[[#This Row],[SERVICIO 2025]],$J$2:$V$15,10,0)*Tabla44[[#This Row],[TOTAL COBERTURA]]</f>
        <v>5255628</v>
      </c>
      <c r="BC10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107" s="35">
        <f>SUM(Tabla44[[#This Row],[DESEMBOLSO 1]:[DESEMBOLSO 8]])</f>
        <v>43479084</v>
      </c>
      <c r="BE107" s="12" t="b">
        <f>EXACT(Tabla44[[#This Row],[VALOR ATENCIÓN (8 MESES)]],Tabla44[[#This Row],[VALOR TOTAL]])</f>
        <v>1</v>
      </c>
      <c r="BF107" s="23">
        <f>Tabla44[[#This Row],[VALOR ATENCIÓN (8 MESES)]]-Tabla44[[#This Row],[VALOR TOTAL]]</f>
        <v>0</v>
      </c>
      <c r="BG107" s="12" t="b">
        <f>EXACT(Tabla44[[#This Row],[TOTAL DESEMBOLSOS]],Tabla44[[#This Row],[VALOR TOTAL DEL CONTRATO INCLUIDO EL COMPONENTE DE ALIMENTACIÓN]])</f>
        <v>1</v>
      </c>
      <c r="BH107" s="29">
        <f>Tabla44[[#This Row],[TOTAL DESEMBOLSOS]]-Tabla44[[#This Row],[VALOR TOTAL DEL CONTRATO INCLUIDO EL COMPONENTE DE ALIMENTACIÓN]]</f>
        <v>0</v>
      </c>
      <c r="BI107" t="s">
        <v>98</v>
      </c>
    </row>
    <row r="108" spans="1:61">
      <c r="A108" s="13">
        <v>1924</v>
      </c>
      <c r="B108" s="13"/>
      <c r="C108" s="12" t="s">
        <v>87</v>
      </c>
      <c r="D108" s="12" t="s">
        <v>1534</v>
      </c>
      <c r="E108" s="12" t="s">
        <v>3021</v>
      </c>
      <c r="F108" s="12" t="s">
        <v>18</v>
      </c>
      <c r="G108" s="12" t="s">
        <v>90</v>
      </c>
      <c r="H108" s="12" t="s">
        <v>240</v>
      </c>
      <c r="I108" s="36">
        <v>54111115111</v>
      </c>
      <c r="J108" s="12" t="s">
        <v>3024</v>
      </c>
      <c r="K108" s="12">
        <v>1</v>
      </c>
      <c r="L108" s="12">
        <v>13</v>
      </c>
      <c r="M108" s="12"/>
      <c r="N108" s="13">
        <v>1924</v>
      </c>
      <c r="O108" s="12" t="s">
        <v>2850</v>
      </c>
      <c r="P108" s="12"/>
      <c r="Q108" s="12"/>
      <c r="R108" s="12" t="s">
        <v>94</v>
      </c>
      <c r="S108" s="12">
        <v>10</v>
      </c>
      <c r="T108" s="12">
        <v>811021339</v>
      </c>
      <c r="U108" s="12" t="s">
        <v>2851</v>
      </c>
      <c r="V108" s="12">
        <f>VLOOKUP(Tabla44[[#This Row],[ZONA DEFINITIVO]],[1]Hoja1!$A$1:$D$125,3,0)</f>
        <v>229935</v>
      </c>
      <c r="W108" s="12">
        <f>VLOOKUP(Tabla44[[#This Row],[ZONA DEFINITIVO]],[1]Hoja1!$A$1:$D$125,2,0)</f>
        <v>17252</v>
      </c>
      <c r="X108" s="12">
        <f>VLOOKUP(Tabla44[[#This Row],[ZONA DEFINITIVO]],[1]Hoja1!$A$1:$D$125,4,0)</f>
        <v>104125</v>
      </c>
      <c r="Y108" s="12" t="str">
        <f>+IF(Tabla44[[#This Row],[AGRUPACIONES]]=1,SUMIFS(Tabla44[UDS],Tabla44[ZONA DEFINITIVO],Tabla44[[#This Row],[ZONA DEFINITIVO]])," ")</f>
        <v xml:space="preserve"> </v>
      </c>
      <c r="Z108" s="12" t="str">
        <f>+IF(Tabla44[[#This Row],[AGRUPACIONES]]=1,SUMIFS(Tabla44[TOTAL COBERTURA],Tabla44[ZONA DEFINITIVO],Tabla44[[#This Row],[ZONA DEFINITIVO]])," ")</f>
        <v xml:space="preserve"> </v>
      </c>
      <c r="AA108" s="12"/>
      <c r="AB108" s="35">
        <v>28342509</v>
      </c>
      <c r="AC108" s="37">
        <v>0</v>
      </c>
      <c r="AD108" s="35">
        <f t="shared" si="2"/>
        <v>0</v>
      </c>
      <c r="AE108" s="12"/>
      <c r="AF108" s="12">
        <f>COUNTIF($A$20:A108,A108)</f>
        <v>38</v>
      </c>
      <c r="AG108" s="38">
        <v>28342509</v>
      </c>
      <c r="AH108" s="38">
        <f>Tabla44[[#This Row],[VALOR CONTRAPARTIDA]]+Tabla44[[#This Row],[TOTAL APORTES ICBF]]</f>
        <v>28342509</v>
      </c>
      <c r="AI108" s="35" t="str">
        <f>+IF(Tabla44[[#This Row],[AGRUPACIONES]]=1,SUMIFS(Tabla44[TOTAL APORTES ICBF],Tabla44[ZONA DEFINITIVO],Tabla44[[#This Row],[ZONA DEFINITIVO]])," ")</f>
        <v xml:space="preserve"> </v>
      </c>
      <c r="AJ108" s="38"/>
      <c r="AK108" s="38"/>
      <c r="AL108" s="35"/>
      <c r="AM108" s="35">
        <f>VLOOKUP(Tabla44[[#This Row],[SERVICIO 2025]],$J$2:$V$15,5,0)*Tabla44[[#This Row],[TOTAL COBERTURA]]</f>
        <v>641888</v>
      </c>
      <c r="AN108" s="35">
        <f>VLOOKUP(Tabla44[[#This Row],[SERVICIO 2025]],$J$2:$V$15,6,0)*Tabla44[[#This Row],[TOTAL COBERTURA]]</f>
        <v>533377</v>
      </c>
      <c r="AO108" s="35">
        <f>VLOOKUP(Tabla44[[#This Row],[SERVICIO 2025]],$J$2:$V$15,8,0)*Tabla44[[#This Row],[TOTAL COBERTURA]]</f>
        <v>378300</v>
      </c>
      <c r="AP108" s="35">
        <f>VLOOKUP(Tabla44[[#This Row],[SERVICIO 2025]],$J$2:$V$15,3,0)*Tabla44[[#This Row],[TOTAL COBERTURA]]*8</f>
        <v>26788944</v>
      </c>
      <c r="AQ108" s="35"/>
      <c r="AR108" s="35">
        <f>SUM(Tabla44[[#This Row],[VALOR FASE PREPARATORIA DE ALISTAMIENTO]:[VALOR RACION PREPARADA]])</f>
        <v>28342509</v>
      </c>
      <c r="AS108" s="35" t="str">
        <f>+IF(Tabla44[[#This Row],[AGRUPACIONES]]=1,SUMIFS(Tabla44[VALOR TOTAL],Tabla44[ZONA DEFINITIVO],Tabla44[[#This Row],[ZONA DEFINITIVO]])," ")</f>
        <v xml:space="preserve"> </v>
      </c>
      <c r="AT108" s="35">
        <f>VLOOKUP(Tabla44[[#This Row],[SERVICIO 2025]],$J$2:$V$15,10,0)*Tabla44[[#This Row],[TOTAL COBERTURA]]*$X$7</f>
        <v>18759832</v>
      </c>
      <c r="AU108" s="39">
        <f>Tabla44[[#This Row],[TOTAL CONTRATO (ICBF+EAS)]]+Tabla44[[#This Row],[VALOR COMPONENTE ALIMENTACION NO ASIGNADO]]</f>
        <v>47102341</v>
      </c>
      <c r="AV10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108" s="35">
        <f>(VLOOKUP(Tabla44[[#This Row],[SERVICIO 2025]],$J$2:$V$15,3,0)*Tabla44[[#This Row],[TOTAL COBERTURA]])+VLOOKUP(Tabla44[[#This Row],[SERVICIO 2025]],$J$2:$V$15,10,0)*Tabla44[[#This Row],[TOTAL COBERTURA]]</f>
        <v>5693597</v>
      </c>
      <c r="AX108" s="35">
        <f>(VLOOKUP(Tabla44[[#This Row],[SERVICIO 2025]],$J$2:$V$15,3,0)*Tabla44[[#This Row],[TOTAL COBERTURA]])+VLOOKUP(Tabla44[[#This Row],[SERVICIO 2025]],$J$2:$V$15,10,0)*Tabla44[[#This Row],[TOTAL COBERTURA]]</f>
        <v>5693597</v>
      </c>
      <c r="AY108" s="35">
        <f>(VLOOKUP(Tabla44[[#This Row],[SERVICIO 2025]],$J$2:$V$15,3,0)*Tabla44[[#This Row],[TOTAL COBERTURA]])+VLOOKUP(Tabla44[[#This Row],[SERVICIO 2025]],$J$2:$V$15,10,0)*Tabla44[[#This Row],[TOTAL COBERTURA]]</f>
        <v>5693597</v>
      </c>
      <c r="AZ108" s="35">
        <f>(VLOOKUP(Tabla44[[#This Row],[SERVICIO 2025]],$J$2:$V$15,3,0)*Tabla44[[#This Row],[TOTAL COBERTURA]])+VLOOKUP(Tabla44[[#This Row],[SERVICIO 2025]],$J$2:$V$15,10,0)*Tabla44[[#This Row],[TOTAL COBERTURA]]</f>
        <v>5693597</v>
      </c>
      <c r="BA108" s="35">
        <f>(VLOOKUP(Tabla44[[#This Row],[SERVICIO 2025]],$J$2:$V$15,3,0)*Tabla44[[#This Row],[TOTAL COBERTURA]])+VLOOKUP(Tabla44[[#This Row],[SERVICIO 2025]],$J$2:$V$15,10,0)*Tabla44[[#This Row],[TOTAL COBERTURA]]</f>
        <v>5693597</v>
      </c>
      <c r="BB108" s="35">
        <f>(VLOOKUP(Tabla44[[#This Row],[SERVICIO 2025]],$J$2:$V$15,3,0)*Tabla44[[#This Row],[TOTAL COBERTURA]])+VLOOKUP(Tabla44[[#This Row],[SERVICIO 2025]],$J$2:$V$15,10,0)*Tabla44[[#This Row],[TOTAL COBERTURA]]</f>
        <v>5693597</v>
      </c>
      <c r="BC10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108" s="35">
        <f>SUM(Tabla44[[#This Row],[DESEMBOLSO 1]:[DESEMBOLSO 8]])</f>
        <v>47102341</v>
      </c>
      <c r="BE108" s="12" t="b">
        <f>EXACT(Tabla44[[#This Row],[VALOR ATENCIÓN (8 MESES)]],Tabla44[[#This Row],[VALOR TOTAL]])</f>
        <v>1</v>
      </c>
      <c r="BF108" s="23">
        <f>Tabla44[[#This Row],[VALOR ATENCIÓN (8 MESES)]]-Tabla44[[#This Row],[VALOR TOTAL]]</f>
        <v>0</v>
      </c>
      <c r="BG108" s="12" t="b">
        <f>EXACT(Tabla44[[#This Row],[TOTAL DESEMBOLSOS]],Tabla44[[#This Row],[VALOR TOTAL DEL CONTRATO INCLUIDO EL COMPONENTE DE ALIMENTACIÓN]])</f>
        <v>1</v>
      </c>
      <c r="BH108" s="29">
        <f>Tabla44[[#This Row],[TOTAL DESEMBOLSOS]]-Tabla44[[#This Row],[VALOR TOTAL DEL CONTRATO INCLUIDO EL COMPONENTE DE ALIMENTACIÓN]]</f>
        <v>0</v>
      </c>
      <c r="BI108" t="s">
        <v>98</v>
      </c>
    </row>
    <row r="109" spans="1:61">
      <c r="A109" s="13">
        <v>1924</v>
      </c>
      <c r="B109" s="13"/>
      <c r="C109" s="12" t="s">
        <v>87</v>
      </c>
      <c r="D109" s="12" t="s">
        <v>1534</v>
      </c>
      <c r="E109" s="12" t="s">
        <v>3021</v>
      </c>
      <c r="F109" s="12" t="s">
        <v>18</v>
      </c>
      <c r="G109" s="12" t="s">
        <v>90</v>
      </c>
      <c r="H109" s="12" t="s">
        <v>3025</v>
      </c>
      <c r="I109" s="36">
        <v>54111115112</v>
      </c>
      <c r="J109" s="12" t="s">
        <v>3026</v>
      </c>
      <c r="K109" s="12">
        <v>1</v>
      </c>
      <c r="L109" s="12">
        <v>12</v>
      </c>
      <c r="M109" s="12"/>
      <c r="N109" s="13">
        <v>1924</v>
      </c>
      <c r="O109" s="12" t="s">
        <v>2850</v>
      </c>
      <c r="P109" s="12"/>
      <c r="Q109" s="12"/>
      <c r="R109" s="12" t="s">
        <v>94</v>
      </c>
      <c r="S109" s="12">
        <v>10</v>
      </c>
      <c r="T109" s="12">
        <v>811021339</v>
      </c>
      <c r="U109" s="12" t="s">
        <v>2851</v>
      </c>
      <c r="V109" s="12">
        <f>VLOOKUP(Tabla44[[#This Row],[ZONA DEFINITIVO]],[1]Hoja1!$A$1:$D$125,3,0)</f>
        <v>229935</v>
      </c>
      <c r="W109" s="12">
        <f>VLOOKUP(Tabla44[[#This Row],[ZONA DEFINITIVO]],[1]Hoja1!$A$1:$D$125,2,0)</f>
        <v>17252</v>
      </c>
      <c r="X109" s="12">
        <f>VLOOKUP(Tabla44[[#This Row],[ZONA DEFINITIVO]],[1]Hoja1!$A$1:$D$125,4,0)</f>
        <v>104125</v>
      </c>
      <c r="Y109" s="12" t="str">
        <f>+IF(Tabla44[[#This Row],[AGRUPACIONES]]=1,SUMIFS(Tabla44[UDS],Tabla44[ZONA DEFINITIVO],Tabla44[[#This Row],[ZONA DEFINITIVO]])," ")</f>
        <v xml:space="preserve"> </v>
      </c>
      <c r="Z109" s="12" t="str">
        <f>+IF(Tabla44[[#This Row],[AGRUPACIONES]]=1,SUMIFS(Tabla44[TOTAL COBERTURA],Tabla44[ZONA DEFINITIVO],Tabla44[[#This Row],[ZONA DEFINITIVO]])," ")</f>
        <v xml:space="preserve"> </v>
      </c>
      <c r="AA109" s="12"/>
      <c r="AB109" s="35">
        <v>26162316</v>
      </c>
      <c r="AC109" s="37">
        <v>0</v>
      </c>
      <c r="AD109" s="35">
        <f t="shared" si="2"/>
        <v>0</v>
      </c>
      <c r="AE109" s="12"/>
      <c r="AF109" s="12">
        <f>COUNTIF($A$20:A109,A109)</f>
        <v>39</v>
      </c>
      <c r="AG109" s="38">
        <v>26162316</v>
      </c>
      <c r="AH109" s="38">
        <f>Tabla44[[#This Row],[VALOR CONTRAPARTIDA]]+Tabla44[[#This Row],[TOTAL APORTES ICBF]]</f>
        <v>26162316</v>
      </c>
      <c r="AI109" s="35" t="str">
        <f>+IF(Tabla44[[#This Row],[AGRUPACIONES]]=1,SUMIFS(Tabla44[TOTAL APORTES ICBF],Tabla44[ZONA DEFINITIVO],Tabla44[[#This Row],[ZONA DEFINITIVO]])," ")</f>
        <v xml:space="preserve"> </v>
      </c>
      <c r="AJ109" s="38"/>
      <c r="AK109" s="38"/>
      <c r="AL109" s="35"/>
      <c r="AM109" s="35">
        <f>VLOOKUP(Tabla44[[#This Row],[SERVICIO 2025]],$J$2:$V$15,5,0)*Tabla44[[#This Row],[TOTAL COBERTURA]]</f>
        <v>592512</v>
      </c>
      <c r="AN109" s="35">
        <f>VLOOKUP(Tabla44[[#This Row],[SERVICIO 2025]],$J$2:$V$15,6,0)*Tabla44[[#This Row],[TOTAL COBERTURA]]</f>
        <v>492348</v>
      </c>
      <c r="AO109" s="35">
        <f>VLOOKUP(Tabla44[[#This Row],[SERVICIO 2025]],$J$2:$V$15,8,0)*Tabla44[[#This Row],[TOTAL COBERTURA]]</f>
        <v>349200</v>
      </c>
      <c r="AP109" s="35">
        <f>VLOOKUP(Tabla44[[#This Row],[SERVICIO 2025]],$J$2:$V$15,3,0)*Tabla44[[#This Row],[TOTAL COBERTURA]]*8</f>
        <v>24728256</v>
      </c>
      <c r="AQ109" s="35"/>
      <c r="AR109" s="35">
        <f>SUM(Tabla44[[#This Row],[VALOR FASE PREPARATORIA DE ALISTAMIENTO]:[VALOR RACION PREPARADA]])</f>
        <v>26162316</v>
      </c>
      <c r="AS109" s="35" t="str">
        <f>+IF(Tabla44[[#This Row],[AGRUPACIONES]]=1,SUMIFS(Tabla44[VALOR TOTAL],Tabla44[ZONA DEFINITIVO],Tabla44[[#This Row],[ZONA DEFINITIVO]])," ")</f>
        <v xml:space="preserve"> </v>
      </c>
      <c r="AT109" s="35">
        <f>VLOOKUP(Tabla44[[#This Row],[SERVICIO 2025]],$J$2:$V$15,10,0)*Tabla44[[#This Row],[TOTAL COBERTURA]]*$X$7</f>
        <v>17316768</v>
      </c>
      <c r="AU109" s="39">
        <f>Tabla44[[#This Row],[TOTAL CONTRATO (ICBF+EAS)]]+Tabla44[[#This Row],[VALOR COMPONENTE ALIMENTACION NO ASIGNADO]]</f>
        <v>43479084</v>
      </c>
      <c r="AV10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109" s="35">
        <f>(VLOOKUP(Tabla44[[#This Row],[SERVICIO 2025]],$J$2:$V$15,3,0)*Tabla44[[#This Row],[TOTAL COBERTURA]])+VLOOKUP(Tabla44[[#This Row],[SERVICIO 2025]],$J$2:$V$15,10,0)*Tabla44[[#This Row],[TOTAL COBERTURA]]</f>
        <v>5255628</v>
      </c>
      <c r="AX109" s="35">
        <f>(VLOOKUP(Tabla44[[#This Row],[SERVICIO 2025]],$J$2:$V$15,3,0)*Tabla44[[#This Row],[TOTAL COBERTURA]])+VLOOKUP(Tabla44[[#This Row],[SERVICIO 2025]],$J$2:$V$15,10,0)*Tabla44[[#This Row],[TOTAL COBERTURA]]</f>
        <v>5255628</v>
      </c>
      <c r="AY109" s="35">
        <f>(VLOOKUP(Tabla44[[#This Row],[SERVICIO 2025]],$J$2:$V$15,3,0)*Tabla44[[#This Row],[TOTAL COBERTURA]])+VLOOKUP(Tabla44[[#This Row],[SERVICIO 2025]],$J$2:$V$15,10,0)*Tabla44[[#This Row],[TOTAL COBERTURA]]</f>
        <v>5255628</v>
      </c>
      <c r="AZ109" s="35">
        <f>(VLOOKUP(Tabla44[[#This Row],[SERVICIO 2025]],$J$2:$V$15,3,0)*Tabla44[[#This Row],[TOTAL COBERTURA]])+VLOOKUP(Tabla44[[#This Row],[SERVICIO 2025]],$J$2:$V$15,10,0)*Tabla44[[#This Row],[TOTAL COBERTURA]]</f>
        <v>5255628</v>
      </c>
      <c r="BA109" s="35">
        <f>(VLOOKUP(Tabla44[[#This Row],[SERVICIO 2025]],$J$2:$V$15,3,0)*Tabla44[[#This Row],[TOTAL COBERTURA]])+VLOOKUP(Tabla44[[#This Row],[SERVICIO 2025]],$J$2:$V$15,10,0)*Tabla44[[#This Row],[TOTAL COBERTURA]]</f>
        <v>5255628</v>
      </c>
      <c r="BB109" s="35">
        <f>(VLOOKUP(Tabla44[[#This Row],[SERVICIO 2025]],$J$2:$V$15,3,0)*Tabla44[[#This Row],[TOTAL COBERTURA]])+VLOOKUP(Tabla44[[#This Row],[SERVICIO 2025]],$J$2:$V$15,10,0)*Tabla44[[#This Row],[TOTAL COBERTURA]]</f>
        <v>5255628</v>
      </c>
      <c r="BC10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109" s="35">
        <f>SUM(Tabla44[[#This Row],[DESEMBOLSO 1]:[DESEMBOLSO 8]])</f>
        <v>43479084</v>
      </c>
      <c r="BE109" s="12" t="b">
        <f>EXACT(Tabla44[[#This Row],[VALOR ATENCIÓN (8 MESES)]],Tabla44[[#This Row],[VALOR TOTAL]])</f>
        <v>1</v>
      </c>
      <c r="BF109" s="23">
        <f>Tabla44[[#This Row],[VALOR ATENCIÓN (8 MESES)]]-Tabla44[[#This Row],[VALOR TOTAL]]</f>
        <v>0</v>
      </c>
      <c r="BG109" s="12" t="b">
        <f>EXACT(Tabla44[[#This Row],[TOTAL DESEMBOLSOS]],Tabla44[[#This Row],[VALOR TOTAL DEL CONTRATO INCLUIDO EL COMPONENTE DE ALIMENTACIÓN]])</f>
        <v>1</v>
      </c>
      <c r="BH109" s="29">
        <f>Tabla44[[#This Row],[TOTAL DESEMBOLSOS]]-Tabla44[[#This Row],[VALOR TOTAL DEL CONTRATO INCLUIDO EL COMPONENTE DE ALIMENTACIÓN]]</f>
        <v>0</v>
      </c>
      <c r="BI109" t="s">
        <v>98</v>
      </c>
    </row>
    <row r="110" spans="1:61">
      <c r="A110" s="13">
        <v>1924</v>
      </c>
      <c r="B110" s="13"/>
      <c r="C110" s="12" t="s">
        <v>87</v>
      </c>
      <c r="D110" s="12" t="s">
        <v>1534</v>
      </c>
      <c r="E110" s="12" t="s">
        <v>3021</v>
      </c>
      <c r="F110" s="12" t="s">
        <v>18</v>
      </c>
      <c r="G110" s="12" t="s">
        <v>90</v>
      </c>
      <c r="H110" s="12" t="s">
        <v>3027</v>
      </c>
      <c r="I110" s="36">
        <v>54111115115</v>
      </c>
      <c r="J110" s="12" t="s">
        <v>3028</v>
      </c>
      <c r="K110" s="12">
        <v>1</v>
      </c>
      <c r="L110" s="12">
        <v>18</v>
      </c>
      <c r="M110" s="12"/>
      <c r="N110" s="13">
        <v>1924</v>
      </c>
      <c r="O110" s="12" t="s">
        <v>2850</v>
      </c>
      <c r="P110" s="12"/>
      <c r="Q110" s="12"/>
      <c r="R110" s="12" t="s">
        <v>94</v>
      </c>
      <c r="S110" s="12">
        <v>10</v>
      </c>
      <c r="T110" s="12">
        <v>811021339</v>
      </c>
      <c r="U110" s="12" t="s">
        <v>2851</v>
      </c>
      <c r="V110" s="12">
        <f>VLOOKUP(Tabla44[[#This Row],[ZONA DEFINITIVO]],[1]Hoja1!$A$1:$D$125,3,0)</f>
        <v>229935</v>
      </c>
      <c r="W110" s="12">
        <f>VLOOKUP(Tabla44[[#This Row],[ZONA DEFINITIVO]],[1]Hoja1!$A$1:$D$125,2,0)</f>
        <v>17252</v>
      </c>
      <c r="X110" s="12">
        <f>VLOOKUP(Tabla44[[#This Row],[ZONA DEFINITIVO]],[1]Hoja1!$A$1:$D$125,4,0)</f>
        <v>104125</v>
      </c>
      <c r="Y110" s="12" t="str">
        <f>+IF(Tabla44[[#This Row],[AGRUPACIONES]]=1,SUMIFS(Tabla44[UDS],Tabla44[ZONA DEFINITIVO],Tabla44[[#This Row],[ZONA DEFINITIVO]])," ")</f>
        <v xml:space="preserve"> </v>
      </c>
      <c r="Z110" s="12" t="str">
        <f>+IF(Tabla44[[#This Row],[AGRUPACIONES]]=1,SUMIFS(Tabla44[TOTAL COBERTURA],Tabla44[ZONA DEFINITIVO],Tabla44[[#This Row],[ZONA DEFINITIVO]])," ")</f>
        <v xml:space="preserve"> </v>
      </c>
      <c r="AA110" s="12"/>
      <c r="AB110" s="35">
        <v>39243474</v>
      </c>
      <c r="AC110" s="37">
        <v>0</v>
      </c>
      <c r="AD110" s="35">
        <f t="shared" si="2"/>
        <v>0</v>
      </c>
      <c r="AE110" s="12"/>
      <c r="AF110" s="12">
        <f>COUNTIF($A$20:A110,A110)</f>
        <v>40</v>
      </c>
      <c r="AG110" s="38">
        <v>39243474</v>
      </c>
      <c r="AH110" s="38">
        <f>Tabla44[[#This Row],[VALOR CONTRAPARTIDA]]+Tabla44[[#This Row],[TOTAL APORTES ICBF]]</f>
        <v>39243474</v>
      </c>
      <c r="AI110" s="35" t="str">
        <f>+IF(Tabla44[[#This Row],[AGRUPACIONES]]=1,SUMIFS(Tabla44[TOTAL APORTES ICBF],Tabla44[ZONA DEFINITIVO],Tabla44[[#This Row],[ZONA DEFINITIVO]])," ")</f>
        <v xml:space="preserve"> </v>
      </c>
      <c r="AJ110" s="38"/>
      <c r="AK110" s="38"/>
      <c r="AL110" s="35"/>
      <c r="AM110" s="35">
        <f>VLOOKUP(Tabla44[[#This Row],[SERVICIO 2025]],$J$2:$V$15,5,0)*Tabla44[[#This Row],[TOTAL COBERTURA]]</f>
        <v>888768</v>
      </c>
      <c r="AN110" s="35">
        <f>VLOOKUP(Tabla44[[#This Row],[SERVICIO 2025]],$J$2:$V$15,6,0)*Tabla44[[#This Row],[TOTAL COBERTURA]]</f>
        <v>738522</v>
      </c>
      <c r="AO110" s="35">
        <f>VLOOKUP(Tabla44[[#This Row],[SERVICIO 2025]],$J$2:$V$15,8,0)*Tabla44[[#This Row],[TOTAL COBERTURA]]</f>
        <v>523800</v>
      </c>
      <c r="AP110" s="35">
        <f>VLOOKUP(Tabla44[[#This Row],[SERVICIO 2025]],$J$2:$V$15,3,0)*Tabla44[[#This Row],[TOTAL COBERTURA]]*8</f>
        <v>37092384</v>
      </c>
      <c r="AQ110" s="35"/>
      <c r="AR110" s="35">
        <f>SUM(Tabla44[[#This Row],[VALOR FASE PREPARATORIA DE ALISTAMIENTO]:[VALOR RACION PREPARADA]])</f>
        <v>39243474</v>
      </c>
      <c r="AS110" s="35" t="str">
        <f>+IF(Tabla44[[#This Row],[AGRUPACIONES]]=1,SUMIFS(Tabla44[VALOR TOTAL],Tabla44[ZONA DEFINITIVO],Tabla44[[#This Row],[ZONA DEFINITIVO]])," ")</f>
        <v xml:space="preserve"> </v>
      </c>
      <c r="AT110" s="35">
        <f>VLOOKUP(Tabla44[[#This Row],[SERVICIO 2025]],$J$2:$V$15,10,0)*Tabla44[[#This Row],[TOTAL COBERTURA]]*$X$7</f>
        <v>25975152</v>
      </c>
      <c r="AU110" s="39">
        <f>Tabla44[[#This Row],[TOTAL CONTRATO (ICBF+EAS)]]+Tabla44[[#This Row],[VALOR COMPONENTE ALIMENTACION NO ASIGNADO]]</f>
        <v>65218626</v>
      </c>
      <c r="AV11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110" s="35">
        <f>(VLOOKUP(Tabla44[[#This Row],[SERVICIO 2025]],$J$2:$V$15,3,0)*Tabla44[[#This Row],[TOTAL COBERTURA]])+VLOOKUP(Tabla44[[#This Row],[SERVICIO 2025]],$J$2:$V$15,10,0)*Tabla44[[#This Row],[TOTAL COBERTURA]]</f>
        <v>7883442</v>
      </c>
      <c r="AX110" s="35">
        <f>(VLOOKUP(Tabla44[[#This Row],[SERVICIO 2025]],$J$2:$V$15,3,0)*Tabla44[[#This Row],[TOTAL COBERTURA]])+VLOOKUP(Tabla44[[#This Row],[SERVICIO 2025]],$J$2:$V$15,10,0)*Tabla44[[#This Row],[TOTAL COBERTURA]]</f>
        <v>7883442</v>
      </c>
      <c r="AY110" s="35">
        <f>(VLOOKUP(Tabla44[[#This Row],[SERVICIO 2025]],$J$2:$V$15,3,0)*Tabla44[[#This Row],[TOTAL COBERTURA]])+VLOOKUP(Tabla44[[#This Row],[SERVICIO 2025]],$J$2:$V$15,10,0)*Tabla44[[#This Row],[TOTAL COBERTURA]]</f>
        <v>7883442</v>
      </c>
      <c r="AZ110" s="35">
        <f>(VLOOKUP(Tabla44[[#This Row],[SERVICIO 2025]],$J$2:$V$15,3,0)*Tabla44[[#This Row],[TOTAL COBERTURA]])+VLOOKUP(Tabla44[[#This Row],[SERVICIO 2025]],$J$2:$V$15,10,0)*Tabla44[[#This Row],[TOTAL COBERTURA]]</f>
        <v>7883442</v>
      </c>
      <c r="BA110" s="35">
        <f>(VLOOKUP(Tabla44[[#This Row],[SERVICIO 2025]],$J$2:$V$15,3,0)*Tabla44[[#This Row],[TOTAL COBERTURA]])+VLOOKUP(Tabla44[[#This Row],[SERVICIO 2025]],$J$2:$V$15,10,0)*Tabla44[[#This Row],[TOTAL COBERTURA]]</f>
        <v>7883442</v>
      </c>
      <c r="BB110" s="35">
        <f>(VLOOKUP(Tabla44[[#This Row],[SERVICIO 2025]],$J$2:$V$15,3,0)*Tabla44[[#This Row],[TOTAL COBERTURA]])+VLOOKUP(Tabla44[[#This Row],[SERVICIO 2025]],$J$2:$V$15,10,0)*Tabla44[[#This Row],[TOTAL COBERTURA]]</f>
        <v>7883442</v>
      </c>
      <c r="BC11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110" s="35">
        <f>SUM(Tabla44[[#This Row],[DESEMBOLSO 1]:[DESEMBOLSO 8]])</f>
        <v>65218626</v>
      </c>
      <c r="BE110" s="12" t="b">
        <f>EXACT(Tabla44[[#This Row],[VALOR ATENCIÓN (8 MESES)]],Tabla44[[#This Row],[VALOR TOTAL]])</f>
        <v>1</v>
      </c>
      <c r="BF110" s="23">
        <f>Tabla44[[#This Row],[VALOR ATENCIÓN (8 MESES)]]-Tabla44[[#This Row],[VALOR TOTAL]]</f>
        <v>0</v>
      </c>
      <c r="BG110" s="12" t="b">
        <f>EXACT(Tabla44[[#This Row],[TOTAL DESEMBOLSOS]],Tabla44[[#This Row],[VALOR TOTAL DEL CONTRATO INCLUIDO EL COMPONENTE DE ALIMENTACIÓN]])</f>
        <v>1</v>
      </c>
      <c r="BH110" s="29">
        <f>Tabla44[[#This Row],[TOTAL DESEMBOLSOS]]-Tabla44[[#This Row],[VALOR TOTAL DEL CONTRATO INCLUIDO EL COMPONENTE DE ALIMENTACIÓN]]</f>
        <v>0</v>
      </c>
      <c r="BI110" t="s">
        <v>98</v>
      </c>
    </row>
    <row r="111" spans="1:61">
      <c r="A111" s="13">
        <v>1924</v>
      </c>
      <c r="B111" s="13"/>
      <c r="C111" s="12" t="s">
        <v>87</v>
      </c>
      <c r="D111" s="12" t="s">
        <v>1534</v>
      </c>
      <c r="E111" s="12" t="s">
        <v>3021</v>
      </c>
      <c r="F111" s="12" t="s">
        <v>18</v>
      </c>
      <c r="G111" s="12" t="s">
        <v>90</v>
      </c>
      <c r="H111" s="12" t="s">
        <v>3029</v>
      </c>
      <c r="I111" s="36">
        <v>54111115118</v>
      </c>
      <c r="J111" s="12" t="s">
        <v>3030</v>
      </c>
      <c r="K111" s="12">
        <v>1</v>
      </c>
      <c r="L111" s="12">
        <v>11</v>
      </c>
      <c r="M111" s="12"/>
      <c r="N111" s="13">
        <v>1924</v>
      </c>
      <c r="O111" s="12" t="s">
        <v>2850</v>
      </c>
      <c r="P111" s="12"/>
      <c r="Q111" s="12"/>
      <c r="R111" s="12" t="s">
        <v>94</v>
      </c>
      <c r="S111" s="12">
        <v>10</v>
      </c>
      <c r="T111" s="12">
        <v>811021339</v>
      </c>
      <c r="U111" s="12" t="s">
        <v>2851</v>
      </c>
      <c r="V111" s="12">
        <f>VLOOKUP(Tabla44[[#This Row],[ZONA DEFINITIVO]],[1]Hoja1!$A$1:$D$125,3,0)</f>
        <v>229935</v>
      </c>
      <c r="W111" s="12">
        <f>VLOOKUP(Tabla44[[#This Row],[ZONA DEFINITIVO]],[1]Hoja1!$A$1:$D$125,2,0)</f>
        <v>17252</v>
      </c>
      <c r="X111" s="12">
        <f>VLOOKUP(Tabla44[[#This Row],[ZONA DEFINITIVO]],[1]Hoja1!$A$1:$D$125,4,0)</f>
        <v>104125</v>
      </c>
      <c r="Y111" s="12" t="str">
        <f>+IF(Tabla44[[#This Row],[AGRUPACIONES]]=1,SUMIFS(Tabla44[UDS],Tabla44[ZONA DEFINITIVO],Tabla44[[#This Row],[ZONA DEFINITIVO]])," ")</f>
        <v xml:space="preserve"> </v>
      </c>
      <c r="Z111" s="12" t="str">
        <f>+IF(Tabla44[[#This Row],[AGRUPACIONES]]=1,SUMIFS(Tabla44[TOTAL COBERTURA],Tabla44[ZONA DEFINITIVO],Tabla44[[#This Row],[ZONA DEFINITIVO]])," ")</f>
        <v xml:space="preserve"> </v>
      </c>
      <c r="AA111" s="12"/>
      <c r="AB111" s="35">
        <v>23982123</v>
      </c>
      <c r="AC111" s="37">
        <v>0</v>
      </c>
      <c r="AD111" s="35">
        <f t="shared" si="2"/>
        <v>0</v>
      </c>
      <c r="AE111" s="12"/>
      <c r="AF111" s="12">
        <f>COUNTIF($A$20:A111,A111)</f>
        <v>41</v>
      </c>
      <c r="AG111" s="38">
        <v>23982123</v>
      </c>
      <c r="AH111" s="38">
        <f>Tabla44[[#This Row],[VALOR CONTRAPARTIDA]]+Tabla44[[#This Row],[TOTAL APORTES ICBF]]</f>
        <v>23982123</v>
      </c>
      <c r="AI111" s="35" t="str">
        <f>+IF(Tabla44[[#This Row],[AGRUPACIONES]]=1,SUMIFS(Tabla44[TOTAL APORTES ICBF],Tabla44[ZONA DEFINITIVO],Tabla44[[#This Row],[ZONA DEFINITIVO]])," ")</f>
        <v xml:space="preserve"> </v>
      </c>
      <c r="AJ111" s="38"/>
      <c r="AK111" s="38"/>
      <c r="AL111" s="35"/>
      <c r="AM111" s="35">
        <f>VLOOKUP(Tabla44[[#This Row],[SERVICIO 2025]],$J$2:$V$15,5,0)*Tabla44[[#This Row],[TOTAL COBERTURA]]</f>
        <v>543136</v>
      </c>
      <c r="AN111" s="35">
        <f>VLOOKUP(Tabla44[[#This Row],[SERVICIO 2025]],$J$2:$V$15,6,0)*Tabla44[[#This Row],[TOTAL COBERTURA]]</f>
        <v>451319</v>
      </c>
      <c r="AO111" s="35">
        <f>VLOOKUP(Tabla44[[#This Row],[SERVICIO 2025]],$J$2:$V$15,8,0)*Tabla44[[#This Row],[TOTAL COBERTURA]]</f>
        <v>320100</v>
      </c>
      <c r="AP111" s="35">
        <f>VLOOKUP(Tabla44[[#This Row],[SERVICIO 2025]],$J$2:$V$15,3,0)*Tabla44[[#This Row],[TOTAL COBERTURA]]*8</f>
        <v>22667568</v>
      </c>
      <c r="AQ111" s="35"/>
      <c r="AR111" s="35">
        <f>SUM(Tabla44[[#This Row],[VALOR FASE PREPARATORIA DE ALISTAMIENTO]:[VALOR RACION PREPARADA]])</f>
        <v>23982123</v>
      </c>
      <c r="AS111" s="35" t="str">
        <f>+IF(Tabla44[[#This Row],[AGRUPACIONES]]=1,SUMIFS(Tabla44[VALOR TOTAL],Tabla44[ZONA DEFINITIVO],Tabla44[[#This Row],[ZONA DEFINITIVO]])," ")</f>
        <v xml:space="preserve"> </v>
      </c>
      <c r="AT111" s="35">
        <f>VLOOKUP(Tabla44[[#This Row],[SERVICIO 2025]],$J$2:$V$15,10,0)*Tabla44[[#This Row],[TOTAL COBERTURA]]*$X$7</f>
        <v>15873704</v>
      </c>
      <c r="AU111" s="39">
        <f>Tabla44[[#This Row],[TOTAL CONTRATO (ICBF+EAS)]]+Tabla44[[#This Row],[VALOR COMPONENTE ALIMENTACION NO ASIGNADO]]</f>
        <v>39855827</v>
      </c>
      <c r="AV11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111" s="35">
        <f>(VLOOKUP(Tabla44[[#This Row],[SERVICIO 2025]],$J$2:$V$15,3,0)*Tabla44[[#This Row],[TOTAL COBERTURA]])+VLOOKUP(Tabla44[[#This Row],[SERVICIO 2025]],$J$2:$V$15,10,0)*Tabla44[[#This Row],[TOTAL COBERTURA]]</f>
        <v>4817659</v>
      </c>
      <c r="AX111" s="35">
        <f>(VLOOKUP(Tabla44[[#This Row],[SERVICIO 2025]],$J$2:$V$15,3,0)*Tabla44[[#This Row],[TOTAL COBERTURA]])+VLOOKUP(Tabla44[[#This Row],[SERVICIO 2025]],$J$2:$V$15,10,0)*Tabla44[[#This Row],[TOTAL COBERTURA]]</f>
        <v>4817659</v>
      </c>
      <c r="AY111" s="35">
        <f>(VLOOKUP(Tabla44[[#This Row],[SERVICIO 2025]],$J$2:$V$15,3,0)*Tabla44[[#This Row],[TOTAL COBERTURA]])+VLOOKUP(Tabla44[[#This Row],[SERVICIO 2025]],$J$2:$V$15,10,0)*Tabla44[[#This Row],[TOTAL COBERTURA]]</f>
        <v>4817659</v>
      </c>
      <c r="AZ111" s="35">
        <f>(VLOOKUP(Tabla44[[#This Row],[SERVICIO 2025]],$J$2:$V$15,3,0)*Tabla44[[#This Row],[TOTAL COBERTURA]])+VLOOKUP(Tabla44[[#This Row],[SERVICIO 2025]],$J$2:$V$15,10,0)*Tabla44[[#This Row],[TOTAL COBERTURA]]</f>
        <v>4817659</v>
      </c>
      <c r="BA111" s="35">
        <f>(VLOOKUP(Tabla44[[#This Row],[SERVICIO 2025]],$J$2:$V$15,3,0)*Tabla44[[#This Row],[TOTAL COBERTURA]])+VLOOKUP(Tabla44[[#This Row],[SERVICIO 2025]],$J$2:$V$15,10,0)*Tabla44[[#This Row],[TOTAL COBERTURA]]</f>
        <v>4817659</v>
      </c>
      <c r="BB111" s="35">
        <f>(VLOOKUP(Tabla44[[#This Row],[SERVICIO 2025]],$J$2:$V$15,3,0)*Tabla44[[#This Row],[TOTAL COBERTURA]])+VLOOKUP(Tabla44[[#This Row],[SERVICIO 2025]],$J$2:$V$15,10,0)*Tabla44[[#This Row],[TOTAL COBERTURA]]</f>
        <v>4817659</v>
      </c>
      <c r="BC11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111" s="35">
        <f>SUM(Tabla44[[#This Row],[DESEMBOLSO 1]:[DESEMBOLSO 8]])</f>
        <v>39855827</v>
      </c>
      <c r="BE111" s="12" t="b">
        <f>EXACT(Tabla44[[#This Row],[VALOR ATENCIÓN (8 MESES)]],Tabla44[[#This Row],[VALOR TOTAL]])</f>
        <v>1</v>
      </c>
      <c r="BF111" s="23">
        <f>Tabla44[[#This Row],[VALOR ATENCIÓN (8 MESES)]]-Tabla44[[#This Row],[VALOR TOTAL]]</f>
        <v>0</v>
      </c>
      <c r="BG111" s="12" t="b">
        <f>EXACT(Tabla44[[#This Row],[TOTAL DESEMBOLSOS]],Tabla44[[#This Row],[VALOR TOTAL DEL CONTRATO INCLUIDO EL COMPONENTE DE ALIMENTACIÓN]])</f>
        <v>1</v>
      </c>
      <c r="BH111" s="29">
        <f>Tabla44[[#This Row],[TOTAL DESEMBOLSOS]]-Tabla44[[#This Row],[VALOR TOTAL DEL CONTRATO INCLUIDO EL COMPONENTE DE ALIMENTACIÓN]]</f>
        <v>0</v>
      </c>
      <c r="BI111" t="s">
        <v>98</v>
      </c>
    </row>
    <row r="112" spans="1:61">
      <c r="A112" s="13">
        <v>1924</v>
      </c>
      <c r="B112" s="13"/>
      <c r="C112" s="12" t="s">
        <v>87</v>
      </c>
      <c r="D112" s="12" t="s">
        <v>1534</v>
      </c>
      <c r="E112" s="12" t="s">
        <v>3021</v>
      </c>
      <c r="F112" s="12" t="s">
        <v>18</v>
      </c>
      <c r="G112" s="12" t="s">
        <v>90</v>
      </c>
      <c r="H112" s="12" t="s">
        <v>3031</v>
      </c>
      <c r="I112" s="36">
        <v>54111115121</v>
      </c>
      <c r="J112" s="12" t="s">
        <v>3032</v>
      </c>
      <c r="K112" s="12">
        <v>1</v>
      </c>
      <c r="L112" s="12">
        <v>13</v>
      </c>
      <c r="M112" s="12"/>
      <c r="N112" s="13">
        <v>1924</v>
      </c>
      <c r="O112" s="12" t="s">
        <v>2850</v>
      </c>
      <c r="P112" s="12"/>
      <c r="Q112" s="12"/>
      <c r="R112" s="12" t="s">
        <v>94</v>
      </c>
      <c r="S112" s="12">
        <v>10</v>
      </c>
      <c r="T112" s="12">
        <v>811021339</v>
      </c>
      <c r="U112" s="12" t="s">
        <v>2851</v>
      </c>
      <c r="V112" s="12">
        <f>VLOOKUP(Tabla44[[#This Row],[ZONA DEFINITIVO]],[1]Hoja1!$A$1:$D$125,3,0)</f>
        <v>229935</v>
      </c>
      <c r="W112" s="12">
        <f>VLOOKUP(Tabla44[[#This Row],[ZONA DEFINITIVO]],[1]Hoja1!$A$1:$D$125,2,0)</f>
        <v>17252</v>
      </c>
      <c r="X112" s="12">
        <f>VLOOKUP(Tabla44[[#This Row],[ZONA DEFINITIVO]],[1]Hoja1!$A$1:$D$125,4,0)</f>
        <v>104125</v>
      </c>
      <c r="Y112" s="12" t="str">
        <f>+IF(Tabla44[[#This Row],[AGRUPACIONES]]=1,SUMIFS(Tabla44[UDS],Tabla44[ZONA DEFINITIVO],Tabla44[[#This Row],[ZONA DEFINITIVO]])," ")</f>
        <v xml:space="preserve"> </v>
      </c>
      <c r="Z112" s="12" t="str">
        <f>+IF(Tabla44[[#This Row],[AGRUPACIONES]]=1,SUMIFS(Tabla44[TOTAL COBERTURA],Tabla44[ZONA DEFINITIVO],Tabla44[[#This Row],[ZONA DEFINITIVO]])," ")</f>
        <v xml:space="preserve"> </v>
      </c>
      <c r="AA112" s="12"/>
      <c r="AB112" s="35">
        <v>28342509</v>
      </c>
      <c r="AC112" s="37">
        <v>0</v>
      </c>
      <c r="AD112" s="35">
        <f t="shared" si="2"/>
        <v>0</v>
      </c>
      <c r="AE112" s="12"/>
      <c r="AF112" s="12">
        <f>COUNTIF($A$20:A112,A112)</f>
        <v>42</v>
      </c>
      <c r="AG112" s="38">
        <v>28342509</v>
      </c>
      <c r="AH112" s="38">
        <f>Tabla44[[#This Row],[VALOR CONTRAPARTIDA]]+Tabla44[[#This Row],[TOTAL APORTES ICBF]]</f>
        <v>28342509</v>
      </c>
      <c r="AI112" s="35" t="str">
        <f>+IF(Tabla44[[#This Row],[AGRUPACIONES]]=1,SUMIFS(Tabla44[TOTAL APORTES ICBF],Tabla44[ZONA DEFINITIVO],Tabla44[[#This Row],[ZONA DEFINITIVO]])," ")</f>
        <v xml:space="preserve"> </v>
      </c>
      <c r="AJ112" s="38"/>
      <c r="AK112" s="38"/>
      <c r="AL112" s="35"/>
      <c r="AM112" s="35">
        <f>VLOOKUP(Tabla44[[#This Row],[SERVICIO 2025]],$J$2:$V$15,5,0)*Tabla44[[#This Row],[TOTAL COBERTURA]]</f>
        <v>641888</v>
      </c>
      <c r="AN112" s="35">
        <f>VLOOKUP(Tabla44[[#This Row],[SERVICIO 2025]],$J$2:$V$15,6,0)*Tabla44[[#This Row],[TOTAL COBERTURA]]</f>
        <v>533377</v>
      </c>
      <c r="AO112" s="35">
        <f>VLOOKUP(Tabla44[[#This Row],[SERVICIO 2025]],$J$2:$V$15,8,0)*Tabla44[[#This Row],[TOTAL COBERTURA]]</f>
        <v>378300</v>
      </c>
      <c r="AP112" s="35">
        <f>VLOOKUP(Tabla44[[#This Row],[SERVICIO 2025]],$J$2:$V$15,3,0)*Tabla44[[#This Row],[TOTAL COBERTURA]]*8</f>
        <v>26788944</v>
      </c>
      <c r="AQ112" s="35"/>
      <c r="AR112" s="35">
        <f>SUM(Tabla44[[#This Row],[VALOR FASE PREPARATORIA DE ALISTAMIENTO]:[VALOR RACION PREPARADA]])</f>
        <v>28342509</v>
      </c>
      <c r="AS112" s="35" t="str">
        <f>+IF(Tabla44[[#This Row],[AGRUPACIONES]]=1,SUMIFS(Tabla44[VALOR TOTAL],Tabla44[ZONA DEFINITIVO],Tabla44[[#This Row],[ZONA DEFINITIVO]])," ")</f>
        <v xml:space="preserve"> </v>
      </c>
      <c r="AT112" s="35">
        <f>VLOOKUP(Tabla44[[#This Row],[SERVICIO 2025]],$J$2:$V$15,10,0)*Tabla44[[#This Row],[TOTAL COBERTURA]]*$X$7</f>
        <v>18759832</v>
      </c>
      <c r="AU112" s="39">
        <f>Tabla44[[#This Row],[TOTAL CONTRATO (ICBF+EAS)]]+Tabla44[[#This Row],[VALOR COMPONENTE ALIMENTACION NO ASIGNADO]]</f>
        <v>47102341</v>
      </c>
      <c r="AV11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112" s="35">
        <f>(VLOOKUP(Tabla44[[#This Row],[SERVICIO 2025]],$J$2:$V$15,3,0)*Tabla44[[#This Row],[TOTAL COBERTURA]])+VLOOKUP(Tabla44[[#This Row],[SERVICIO 2025]],$J$2:$V$15,10,0)*Tabla44[[#This Row],[TOTAL COBERTURA]]</f>
        <v>5693597</v>
      </c>
      <c r="AX112" s="35">
        <f>(VLOOKUP(Tabla44[[#This Row],[SERVICIO 2025]],$J$2:$V$15,3,0)*Tabla44[[#This Row],[TOTAL COBERTURA]])+VLOOKUP(Tabla44[[#This Row],[SERVICIO 2025]],$J$2:$V$15,10,0)*Tabla44[[#This Row],[TOTAL COBERTURA]]</f>
        <v>5693597</v>
      </c>
      <c r="AY112" s="35">
        <f>(VLOOKUP(Tabla44[[#This Row],[SERVICIO 2025]],$J$2:$V$15,3,0)*Tabla44[[#This Row],[TOTAL COBERTURA]])+VLOOKUP(Tabla44[[#This Row],[SERVICIO 2025]],$J$2:$V$15,10,0)*Tabla44[[#This Row],[TOTAL COBERTURA]]</f>
        <v>5693597</v>
      </c>
      <c r="AZ112" s="35">
        <f>(VLOOKUP(Tabla44[[#This Row],[SERVICIO 2025]],$J$2:$V$15,3,0)*Tabla44[[#This Row],[TOTAL COBERTURA]])+VLOOKUP(Tabla44[[#This Row],[SERVICIO 2025]],$J$2:$V$15,10,0)*Tabla44[[#This Row],[TOTAL COBERTURA]]</f>
        <v>5693597</v>
      </c>
      <c r="BA112" s="35">
        <f>(VLOOKUP(Tabla44[[#This Row],[SERVICIO 2025]],$J$2:$V$15,3,0)*Tabla44[[#This Row],[TOTAL COBERTURA]])+VLOOKUP(Tabla44[[#This Row],[SERVICIO 2025]],$J$2:$V$15,10,0)*Tabla44[[#This Row],[TOTAL COBERTURA]]</f>
        <v>5693597</v>
      </c>
      <c r="BB112" s="35">
        <f>(VLOOKUP(Tabla44[[#This Row],[SERVICIO 2025]],$J$2:$V$15,3,0)*Tabla44[[#This Row],[TOTAL COBERTURA]])+VLOOKUP(Tabla44[[#This Row],[SERVICIO 2025]],$J$2:$V$15,10,0)*Tabla44[[#This Row],[TOTAL COBERTURA]]</f>
        <v>5693597</v>
      </c>
      <c r="BC11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112" s="35">
        <f>SUM(Tabla44[[#This Row],[DESEMBOLSO 1]:[DESEMBOLSO 8]])</f>
        <v>47102341</v>
      </c>
      <c r="BE112" s="12" t="b">
        <f>EXACT(Tabla44[[#This Row],[VALOR ATENCIÓN (8 MESES)]],Tabla44[[#This Row],[VALOR TOTAL]])</f>
        <v>1</v>
      </c>
      <c r="BF112" s="23">
        <f>Tabla44[[#This Row],[VALOR ATENCIÓN (8 MESES)]]-Tabla44[[#This Row],[VALOR TOTAL]]</f>
        <v>0</v>
      </c>
      <c r="BG112" s="12" t="b">
        <f>EXACT(Tabla44[[#This Row],[TOTAL DESEMBOLSOS]],Tabla44[[#This Row],[VALOR TOTAL DEL CONTRATO INCLUIDO EL COMPONENTE DE ALIMENTACIÓN]])</f>
        <v>1</v>
      </c>
      <c r="BH112" s="29">
        <f>Tabla44[[#This Row],[TOTAL DESEMBOLSOS]]-Tabla44[[#This Row],[VALOR TOTAL DEL CONTRATO INCLUIDO EL COMPONENTE DE ALIMENTACIÓN]]</f>
        <v>0</v>
      </c>
      <c r="BI112" t="s">
        <v>98</v>
      </c>
    </row>
    <row r="113" spans="1:61">
      <c r="A113" s="13">
        <v>1924</v>
      </c>
      <c r="B113" s="13"/>
      <c r="C113" s="12" t="s">
        <v>87</v>
      </c>
      <c r="D113" s="12" t="s">
        <v>1534</v>
      </c>
      <c r="E113" s="12" t="s">
        <v>3021</v>
      </c>
      <c r="F113" s="12" t="s">
        <v>18</v>
      </c>
      <c r="G113" s="12" t="s">
        <v>90</v>
      </c>
      <c r="H113" s="12" t="s">
        <v>3033</v>
      </c>
      <c r="I113" s="36">
        <v>54111134903</v>
      </c>
      <c r="J113" s="12" t="s">
        <v>3034</v>
      </c>
      <c r="K113" s="12">
        <v>1</v>
      </c>
      <c r="L113" s="12">
        <v>11</v>
      </c>
      <c r="M113" s="12"/>
      <c r="N113" s="13">
        <v>1924</v>
      </c>
      <c r="O113" s="12" t="s">
        <v>2850</v>
      </c>
      <c r="P113" s="12"/>
      <c r="Q113" s="12"/>
      <c r="R113" s="12" t="s">
        <v>94</v>
      </c>
      <c r="S113" s="12">
        <v>10</v>
      </c>
      <c r="T113" s="12">
        <v>811021339</v>
      </c>
      <c r="U113" s="12" t="s">
        <v>2851</v>
      </c>
      <c r="V113" s="12">
        <f>VLOOKUP(Tabla44[[#This Row],[ZONA DEFINITIVO]],[1]Hoja1!$A$1:$D$125,3,0)</f>
        <v>229935</v>
      </c>
      <c r="W113" s="12">
        <f>VLOOKUP(Tabla44[[#This Row],[ZONA DEFINITIVO]],[1]Hoja1!$A$1:$D$125,2,0)</f>
        <v>17252</v>
      </c>
      <c r="X113" s="12">
        <f>VLOOKUP(Tabla44[[#This Row],[ZONA DEFINITIVO]],[1]Hoja1!$A$1:$D$125,4,0)</f>
        <v>104125</v>
      </c>
      <c r="Y113" s="12" t="str">
        <f>+IF(Tabla44[[#This Row],[AGRUPACIONES]]=1,SUMIFS(Tabla44[UDS],Tabla44[ZONA DEFINITIVO],Tabla44[[#This Row],[ZONA DEFINITIVO]])," ")</f>
        <v xml:space="preserve"> </v>
      </c>
      <c r="Z113" s="12" t="str">
        <f>+IF(Tabla44[[#This Row],[AGRUPACIONES]]=1,SUMIFS(Tabla44[TOTAL COBERTURA],Tabla44[ZONA DEFINITIVO],Tabla44[[#This Row],[ZONA DEFINITIVO]])," ")</f>
        <v xml:space="preserve"> </v>
      </c>
      <c r="AA113" s="12"/>
      <c r="AB113" s="35">
        <v>23982123</v>
      </c>
      <c r="AC113" s="37">
        <v>0</v>
      </c>
      <c r="AD113" s="35">
        <f t="shared" si="2"/>
        <v>0</v>
      </c>
      <c r="AE113" s="12"/>
      <c r="AF113" s="12">
        <f>COUNTIF($A$20:A113,A113)</f>
        <v>43</v>
      </c>
      <c r="AG113" s="38">
        <v>23982123</v>
      </c>
      <c r="AH113" s="38">
        <f>Tabla44[[#This Row],[VALOR CONTRAPARTIDA]]+Tabla44[[#This Row],[TOTAL APORTES ICBF]]</f>
        <v>23982123</v>
      </c>
      <c r="AI113" s="35" t="str">
        <f>+IF(Tabla44[[#This Row],[AGRUPACIONES]]=1,SUMIFS(Tabla44[TOTAL APORTES ICBF],Tabla44[ZONA DEFINITIVO],Tabla44[[#This Row],[ZONA DEFINITIVO]])," ")</f>
        <v xml:space="preserve"> </v>
      </c>
      <c r="AJ113" s="38"/>
      <c r="AK113" s="38"/>
      <c r="AL113" s="35"/>
      <c r="AM113" s="35">
        <f>VLOOKUP(Tabla44[[#This Row],[SERVICIO 2025]],$J$2:$V$15,5,0)*Tabla44[[#This Row],[TOTAL COBERTURA]]</f>
        <v>543136</v>
      </c>
      <c r="AN113" s="35">
        <f>VLOOKUP(Tabla44[[#This Row],[SERVICIO 2025]],$J$2:$V$15,6,0)*Tabla44[[#This Row],[TOTAL COBERTURA]]</f>
        <v>451319</v>
      </c>
      <c r="AO113" s="35">
        <f>VLOOKUP(Tabla44[[#This Row],[SERVICIO 2025]],$J$2:$V$15,8,0)*Tabla44[[#This Row],[TOTAL COBERTURA]]</f>
        <v>320100</v>
      </c>
      <c r="AP113" s="35">
        <f>VLOOKUP(Tabla44[[#This Row],[SERVICIO 2025]],$J$2:$V$15,3,0)*Tabla44[[#This Row],[TOTAL COBERTURA]]*8</f>
        <v>22667568</v>
      </c>
      <c r="AQ113" s="35"/>
      <c r="AR113" s="35">
        <f>SUM(Tabla44[[#This Row],[VALOR FASE PREPARATORIA DE ALISTAMIENTO]:[VALOR RACION PREPARADA]])</f>
        <v>23982123</v>
      </c>
      <c r="AS113" s="35" t="str">
        <f>+IF(Tabla44[[#This Row],[AGRUPACIONES]]=1,SUMIFS(Tabla44[VALOR TOTAL],Tabla44[ZONA DEFINITIVO],Tabla44[[#This Row],[ZONA DEFINITIVO]])," ")</f>
        <v xml:space="preserve"> </v>
      </c>
      <c r="AT113" s="35">
        <f>VLOOKUP(Tabla44[[#This Row],[SERVICIO 2025]],$J$2:$V$15,10,0)*Tabla44[[#This Row],[TOTAL COBERTURA]]*$X$7</f>
        <v>15873704</v>
      </c>
      <c r="AU113" s="39">
        <f>Tabla44[[#This Row],[TOTAL CONTRATO (ICBF+EAS)]]+Tabla44[[#This Row],[VALOR COMPONENTE ALIMENTACION NO ASIGNADO]]</f>
        <v>39855827</v>
      </c>
      <c r="AV11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113" s="35">
        <f>(VLOOKUP(Tabla44[[#This Row],[SERVICIO 2025]],$J$2:$V$15,3,0)*Tabla44[[#This Row],[TOTAL COBERTURA]])+VLOOKUP(Tabla44[[#This Row],[SERVICIO 2025]],$J$2:$V$15,10,0)*Tabla44[[#This Row],[TOTAL COBERTURA]]</f>
        <v>4817659</v>
      </c>
      <c r="AX113" s="35">
        <f>(VLOOKUP(Tabla44[[#This Row],[SERVICIO 2025]],$J$2:$V$15,3,0)*Tabla44[[#This Row],[TOTAL COBERTURA]])+VLOOKUP(Tabla44[[#This Row],[SERVICIO 2025]],$J$2:$V$15,10,0)*Tabla44[[#This Row],[TOTAL COBERTURA]]</f>
        <v>4817659</v>
      </c>
      <c r="AY113" s="35">
        <f>(VLOOKUP(Tabla44[[#This Row],[SERVICIO 2025]],$J$2:$V$15,3,0)*Tabla44[[#This Row],[TOTAL COBERTURA]])+VLOOKUP(Tabla44[[#This Row],[SERVICIO 2025]],$J$2:$V$15,10,0)*Tabla44[[#This Row],[TOTAL COBERTURA]]</f>
        <v>4817659</v>
      </c>
      <c r="AZ113" s="35">
        <f>(VLOOKUP(Tabla44[[#This Row],[SERVICIO 2025]],$J$2:$V$15,3,0)*Tabla44[[#This Row],[TOTAL COBERTURA]])+VLOOKUP(Tabla44[[#This Row],[SERVICIO 2025]],$J$2:$V$15,10,0)*Tabla44[[#This Row],[TOTAL COBERTURA]]</f>
        <v>4817659</v>
      </c>
      <c r="BA113" s="35">
        <f>(VLOOKUP(Tabla44[[#This Row],[SERVICIO 2025]],$J$2:$V$15,3,0)*Tabla44[[#This Row],[TOTAL COBERTURA]])+VLOOKUP(Tabla44[[#This Row],[SERVICIO 2025]],$J$2:$V$15,10,0)*Tabla44[[#This Row],[TOTAL COBERTURA]]</f>
        <v>4817659</v>
      </c>
      <c r="BB113" s="35">
        <f>(VLOOKUP(Tabla44[[#This Row],[SERVICIO 2025]],$J$2:$V$15,3,0)*Tabla44[[#This Row],[TOTAL COBERTURA]])+VLOOKUP(Tabla44[[#This Row],[SERVICIO 2025]],$J$2:$V$15,10,0)*Tabla44[[#This Row],[TOTAL COBERTURA]]</f>
        <v>4817659</v>
      </c>
      <c r="BC11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113" s="35">
        <f>SUM(Tabla44[[#This Row],[DESEMBOLSO 1]:[DESEMBOLSO 8]])</f>
        <v>39855827</v>
      </c>
      <c r="BE113" s="12" t="b">
        <f>EXACT(Tabla44[[#This Row],[VALOR ATENCIÓN (8 MESES)]],Tabla44[[#This Row],[VALOR TOTAL]])</f>
        <v>1</v>
      </c>
      <c r="BF113" s="23">
        <f>Tabla44[[#This Row],[VALOR ATENCIÓN (8 MESES)]]-Tabla44[[#This Row],[VALOR TOTAL]]</f>
        <v>0</v>
      </c>
      <c r="BG113" s="12" t="b">
        <f>EXACT(Tabla44[[#This Row],[TOTAL DESEMBOLSOS]],Tabla44[[#This Row],[VALOR TOTAL DEL CONTRATO INCLUIDO EL COMPONENTE DE ALIMENTACIÓN]])</f>
        <v>1</v>
      </c>
      <c r="BH113" s="29">
        <f>Tabla44[[#This Row],[TOTAL DESEMBOLSOS]]-Tabla44[[#This Row],[VALOR TOTAL DEL CONTRATO INCLUIDO EL COMPONENTE DE ALIMENTACIÓN]]</f>
        <v>0</v>
      </c>
      <c r="BI113" t="s">
        <v>98</v>
      </c>
    </row>
    <row r="114" spans="1:61">
      <c r="A114" s="13">
        <v>1924</v>
      </c>
      <c r="B114" s="13"/>
      <c r="C114" s="12" t="s">
        <v>87</v>
      </c>
      <c r="D114" s="12" t="s">
        <v>1534</v>
      </c>
      <c r="E114" s="12" t="s">
        <v>3021</v>
      </c>
      <c r="F114" s="12" t="s">
        <v>18</v>
      </c>
      <c r="G114" s="12" t="s">
        <v>90</v>
      </c>
      <c r="H114" s="12" t="s">
        <v>3035</v>
      </c>
      <c r="I114" s="36">
        <v>54111134906</v>
      </c>
      <c r="J114" s="12" t="s">
        <v>3036</v>
      </c>
      <c r="K114" s="12">
        <v>1</v>
      </c>
      <c r="L114" s="12">
        <v>17</v>
      </c>
      <c r="M114" s="12"/>
      <c r="N114" s="13">
        <v>1924</v>
      </c>
      <c r="O114" s="12" t="s">
        <v>2850</v>
      </c>
      <c r="P114" s="12"/>
      <c r="Q114" s="12"/>
      <c r="R114" s="12" t="s">
        <v>94</v>
      </c>
      <c r="S114" s="12">
        <v>10</v>
      </c>
      <c r="T114" s="12">
        <v>811021339</v>
      </c>
      <c r="U114" s="12" t="s">
        <v>2851</v>
      </c>
      <c r="V114" s="12">
        <f>VLOOKUP(Tabla44[[#This Row],[ZONA DEFINITIVO]],[1]Hoja1!$A$1:$D$125,3,0)</f>
        <v>229935</v>
      </c>
      <c r="W114" s="12">
        <f>VLOOKUP(Tabla44[[#This Row],[ZONA DEFINITIVO]],[1]Hoja1!$A$1:$D$125,2,0)</f>
        <v>17252</v>
      </c>
      <c r="X114" s="12">
        <f>VLOOKUP(Tabla44[[#This Row],[ZONA DEFINITIVO]],[1]Hoja1!$A$1:$D$125,4,0)</f>
        <v>104125</v>
      </c>
      <c r="Y114" s="12" t="str">
        <f>+IF(Tabla44[[#This Row],[AGRUPACIONES]]=1,SUMIFS(Tabla44[UDS],Tabla44[ZONA DEFINITIVO],Tabla44[[#This Row],[ZONA DEFINITIVO]])," ")</f>
        <v xml:space="preserve"> </v>
      </c>
      <c r="Z114" s="12" t="str">
        <f>+IF(Tabla44[[#This Row],[AGRUPACIONES]]=1,SUMIFS(Tabla44[TOTAL COBERTURA],Tabla44[ZONA DEFINITIVO],Tabla44[[#This Row],[ZONA DEFINITIVO]])," ")</f>
        <v xml:space="preserve"> </v>
      </c>
      <c r="AA114" s="12"/>
      <c r="AB114" s="35">
        <v>37063281</v>
      </c>
      <c r="AC114" s="37">
        <v>0</v>
      </c>
      <c r="AD114" s="35">
        <f t="shared" si="2"/>
        <v>0</v>
      </c>
      <c r="AE114" s="12"/>
      <c r="AF114" s="12">
        <f>COUNTIF($A$20:A114,A114)</f>
        <v>44</v>
      </c>
      <c r="AG114" s="38">
        <v>37063281</v>
      </c>
      <c r="AH114" s="38">
        <f>Tabla44[[#This Row],[VALOR CONTRAPARTIDA]]+Tabla44[[#This Row],[TOTAL APORTES ICBF]]</f>
        <v>37063281</v>
      </c>
      <c r="AI114" s="35" t="str">
        <f>+IF(Tabla44[[#This Row],[AGRUPACIONES]]=1,SUMIFS(Tabla44[TOTAL APORTES ICBF],Tabla44[ZONA DEFINITIVO],Tabla44[[#This Row],[ZONA DEFINITIVO]])," ")</f>
        <v xml:space="preserve"> </v>
      </c>
      <c r="AJ114" s="38"/>
      <c r="AK114" s="38"/>
      <c r="AL114" s="35"/>
      <c r="AM114" s="35">
        <f>VLOOKUP(Tabla44[[#This Row],[SERVICIO 2025]],$J$2:$V$15,5,0)*Tabla44[[#This Row],[TOTAL COBERTURA]]</f>
        <v>839392</v>
      </c>
      <c r="AN114" s="35">
        <f>VLOOKUP(Tabla44[[#This Row],[SERVICIO 2025]],$J$2:$V$15,6,0)*Tabla44[[#This Row],[TOTAL COBERTURA]]</f>
        <v>697493</v>
      </c>
      <c r="AO114" s="35">
        <f>VLOOKUP(Tabla44[[#This Row],[SERVICIO 2025]],$J$2:$V$15,8,0)*Tabla44[[#This Row],[TOTAL COBERTURA]]</f>
        <v>494700</v>
      </c>
      <c r="AP114" s="35">
        <f>VLOOKUP(Tabla44[[#This Row],[SERVICIO 2025]],$J$2:$V$15,3,0)*Tabla44[[#This Row],[TOTAL COBERTURA]]*8</f>
        <v>35031696</v>
      </c>
      <c r="AQ114" s="35"/>
      <c r="AR114" s="35">
        <f>SUM(Tabla44[[#This Row],[VALOR FASE PREPARATORIA DE ALISTAMIENTO]:[VALOR RACION PREPARADA]])</f>
        <v>37063281</v>
      </c>
      <c r="AS114" s="35" t="str">
        <f>+IF(Tabla44[[#This Row],[AGRUPACIONES]]=1,SUMIFS(Tabla44[VALOR TOTAL],Tabla44[ZONA DEFINITIVO],Tabla44[[#This Row],[ZONA DEFINITIVO]])," ")</f>
        <v xml:space="preserve"> </v>
      </c>
      <c r="AT114" s="35">
        <f>VLOOKUP(Tabla44[[#This Row],[SERVICIO 2025]],$J$2:$V$15,10,0)*Tabla44[[#This Row],[TOTAL COBERTURA]]*$X$7</f>
        <v>24532088</v>
      </c>
      <c r="AU114" s="39">
        <f>Tabla44[[#This Row],[TOTAL CONTRATO (ICBF+EAS)]]+Tabla44[[#This Row],[VALOR COMPONENTE ALIMENTACION NO ASIGNADO]]</f>
        <v>61595369</v>
      </c>
      <c r="AV11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114" s="35">
        <f>(VLOOKUP(Tabla44[[#This Row],[SERVICIO 2025]],$J$2:$V$15,3,0)*Tabla44[[#This Row],[TOTAL COBERTURA]])+VLOOKUP(Tabla44[[#This Row],[SERVICIO 2025]],$J$2:$V$15,10,0)*Tabla44[[#This Row],[TOTAL COBERTURA]]</f>
        <v>7445473</v>
      </c>
      <c r="AX114" s="35">
        <f>(VLOOKUP(Tabla44[[#This Row],[SERVICIO 2025]],$J$2:$V$15,3,0)*Tabla44[[#This Row],[TOTAL COBERTURA]])+VLOOKUP(Tabla44[[#This Row],[SERVICIO 2025]],$J$2:$V$15,10,0)*Tabla44[[#This Row],[TOTAL COBERTURA]]</f>
        <v>7445473</v>
      </c>
      <c r="AY114" s="35">
        <f>(VLOOKUP(Tabla44[[#This Row],[SERVICIO 2025]],$J$2:$V$15,3,0)*Tabla44[[#This Row],[TOTAL COBERTURA]])+VLOOKUP(Tabla44[[#This Row],[SERVICIO 2025]],$J$2:$V$15,10,0)*Tabla44[[#This Row],[TOTAL COBERTURA]]</f>
        <v>7445473</v>
      </c>
      <c r="AZ114" s="35">
        <f>(VLOOKUP(Tabla44[[#This Row],[SERVICIO 2025]],$J$2:$V$15,3,0)*Tabla44[[#This Row],[TOTAL COBERTURA]])+VLOOKUP(Tabla44[[#This Row],[SERVICIO 2025]],$J$2:$V$15,10,0)*Tabla44[[#This Row],[TOTAL COBERTURA]]</f>
        <v>7445473</v>
      </c>
      <c r="BA114" s="35">
        <f>(VLOOKUP(Tabla44[[#This Row],[SERVICIO 2025]],$J$2:$V$15,3,0)*Tabla44[[#This Row],[TOTAL COBERTURA]])+VLOOKUP(Tabla44[[#This Row],[SERVICIO 2025]],$J$2:$V$15,10,0)*Tabla44[[#This Row],[TOTAL COBERTURA]]</f>
        <v>7445473</v>
      </c>
      <c r="BB114" s="35">
        <f>(VLOOKUP(Tabla44[[#This Row],[SERVICIO 2025]],$J$2:$V$15,3,0)*Tabla44[[#This Row],[TOTAL COBERTURA]])+VLOOKUP(Tabla44[[#This Row],[SERVICIO 2025]],$J$2:$V$15,10,0)*Tabla44[[#This Row],[TOTAL COBERTURA]]</f>
        <v>7445473</v>
      </c>
      <c r="BC11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114" s="35">
        <f>SUM(Tabla44[[#This Row],[DESEMBOLSO 1]:[DESEMBOLSO 8]])</f>
        <v>61595369</v>
      </c>
      <c r="BE114" s="12" t="b">
        <f>EXACT(Tabla44[[#This Row],[VALOR ATENCIÓN (8 MESES)]],Tabla44[[#This Row],[VALOR TOTAL]])</f>
        <v>1</v>
      </c>
      <c r="BF114" s="23">
        <f>Tabla44[[#This Row],[VALOR ATENCIÓN (8 MESES)]]-Tabla44[[#This Row],[VALOR TOTAL]]</f>
        <v>0</v>
      </c>
      <c r="BG114" s="12" t="b">
        <f>EXACT(Tabla44[[#This Row],[TOTAL DESEMBOLSOS]],Tabla44[[#This Row],[VALOR TOTAL DEL CONTRATO INCLUIDO EL COMPONENTE DE ALIMENTACIÓN]])</f>
        <v>1</v>
      </c>
      <c r="BH114" s="29">
        <f>Tabla44[[#This Row],[TOTAL DESEMBOLSOS]]-Tabla44[[#This Row],[VALOR TOTAL DEL CONTRATO INCLUIDO EL COMPONENTE DE ALIMENTACIÓN]]</f>
        <v>0</v>
      </c>
      <c r="BI114" t="s">
        <v>98</v>
      </c>
    </row>
    <row r="115" spans="1:61">
      <c r="A115" s="13">
        <v>1924</v>
      </c>
      <c r="B115" s="13"/>
      <c r="C115" s="12" t="s">
        <v>87</v>
      </c>
      <c r="D115" s="12" t="s">
        <v>1534</v>
      </c>
      <c r="E115" s="12" t="s">
        <v>3021</v>
      </c>
      <c r="F115" s="12" t="s">
        <v>18</v>
      </c>
      <c r="G115" s="12" t="s">
        <v>90</v>
      </c>
      <c r="H115" s="12" t="s">
        <v>3037</v>
      </c>
      <c r="I115" s="36">
        <v>54111134908</v>
      </c>
      <c r="J115" s="12" t="s">
        <v>3038</v>
      </c>
      <c r="K115" s="12">
        <v>1</v>
      </c>
      <c r="L115" s="12">
        <v>22</v>
      </c>
      <c r="M115" s="12"/>
      <c r="N115" s="13">
        <v>1924</v>
      </c>
      <c r="O115" s="12" t="s">
        <v>2850</v>
      </c>
      <c r="P115" s="12"/>
      <c r="Q115" s="12"/>
      <c r="R115" s="12" t="s">
        <v>94</v>
      </c>
      <c r="S115" s="12">
        <v>10</v>
      </c>
      <c r="T115" s="12">
        <v>811021339</v>
      </c>
      <c r="U115" s="12" t="s">
        <v>2851</v>
      </c>
      <c r="V115" s="12">
        <f>VLOOKUP(Tabla44[[#This Row],[ZONA DEFINITIVO]],[1]Hoja1!$A$1:$D$125,3,0)</f>
        <v>229935</v>
      </c>
      <c r="W115" s="12">
        <f>VLOOKUP(Tabla44[[#This Row],[ZONA DEFINITIVO]],[1]Hoja1!$A$1:$D$125,2,0)</f>
        <v>17252</v>
      </c>
      <c r="X115" s="12">
        <f>VLOOKUP(Tabla44[[#This Row],[ZONA DEFINITIVO]],[1]Hoja1!$A$1:$D$125,4,0)</f>
        <v>104125</v>
      </c>
      <c r="Y115" s="12" t="str">
        <f>+IF(Tabla44[[#This Row],[AGRUPACIONES]]=1,SUMIFS(Tabla44[UDS],Tabla44[ZONA DEFINITIVO],Tabla44[[#This Row],[ZONA DEFINITIVO]])," ")</f>
        <v xml:space="preserve"> </v>
      </c>
      <c r="Z115" s="12" t="str">
        <f>+IF(Tabla44[[#This Row],[AGRUPACIONES]]=1,SUMIFS(Tabla44[TOTAL COBERTURA],Tabla44[ZONA DEFINITIVO],Tabla44[[#This Row],[ZONA DEFINITIVO]])," ")</f>
        <v xml:space="preserve"> </v>
      </c>
      <c r="AA115" s="12"/>
      <c r="AB115" s="35">
        <v>47964246</v>
      </c>
      <c r="AC115" s="37">
        <v>0</v>
      </c>
      <c r="AD115" s="35">
        <f t="shared" si="2"/>
        <v>0</v>
      </c>
      <c r="AE115" s="12"/>
      <c r="AF115" s="12">
        <f>COUNTIF($A$20:A115,A115)</f>
        <v>45</v>
      </c>
      <c r="AG115" s="38">
        <v>47964246</v>
      </c>
      <c r="AH115" s="38">
        <f>Tabla44[[#This Row],[VALOR CONTRAPARTIDA]]+Tabla44[[#This Row],[TOTAL APORTES ICBF]]</f>
        <v>47964246</v>
      </c>
      <c r="AI115" s="35" t="str">
        <f>+IF(Tabla44[[#This Row],[AGRUPACIONES]]=1,SUMIFS(Tabla44[TOTAL APORTES ICBF],Tabla44[ZONA DEFINITIVO],Tabla44[[#This Row],[ZONA DEFINITIVO]])," ")</f>
        <v xml:space="preserve"> </v>
      </c>
      <c r="AJ115" s="38"/>
      <c r="AK115" s="38"/>
      <c r="AL115" s="35"/>
      <c r="AM115" s="35">
        <f>VLOOKUP(Tabla44[[#This Row],[SERVICIO 2025]],$J$2:$V$15,5,0)*Tabla44[[#This Row],[TOTAL COBERTURA]]</f>
        <v>1086272</v>
      </c>
      <c r="AN115" s="35">
        <f>VLOOKUP(Tabla44[[#This Row],[SERVICIO 2025]],$J$2:$V$15,6,0)*Tabla44[[#This Row],[TOTAL COBERTURA]]</f>
        <v>902638</v>
      </c>
      <c r="AO115" s="35">
        <f>VLOOKUP(Tabla44[[#This Row],[SERVICIO 2025]],$J$2:$V$15,8,0)*Tabla44[[#This Row],[TOTAL COBERTURA]]</f>
        <v>640200</v>
      </c>
      <c r="AP115" s="35">
        <f>VLOOKUP(Tabla44[[#This Row],[SERVICIO 2025]],$J$2:$V$15,3,0)*Tabla44[[#This Row],[TOTAL COBERTURA]]*8</f>
        <v>45335136</v>
      </c>
      <c r="AQ115" s="35"/>
      <c r="AR115" s="35">
        <f>SUM(Tabla44[[#This Row],[VALOR FASE PREPARATORIA DE ALISTAMIENTO]:[VALOR RACION PREPARADA]])</f>
        <v>47964246</v>
      </c>
      <c r="AS115" s="35" t="str">
        <f>+IF(Tabla44[[#This Row],[AGRUPACIONES]]=1,SUMIFS(Tabla44[VALOR TOTAL],Tabla44[ZONA DEFINITIVO],Tabla44[[#This Row],[ZONA DEFINITIVO]])," ")</f>
        <v xml:space="preserve"> </v>
      </c>
      <c r="AT115" s="35">
        <f>VLOOKUP(Tabla44[[#This Row],[SERVICIO 2025]],$J$2:$V$15,10,0)*Tabla44[[#This Row],[TOTAL COBERTURA]]*$X$7</f>
        <v>31747408</v>
      </c>
      <c r="AU115" s="39">
        <f>Tabla44[[#This Row],[TOTAL CONTRATO (ICBF+EAS)]]+Tabla44[[#This Row],[VALOR COMPONENTE ALIMENTACION NO ASIGNADO]]</f>
        <v>79711654</v>
      </c>
      <c r="AV11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11361790</v>
      </c>
      <c r="AW115" s="35">
        <f>(VLOOKUP(Tabla44[[#This Row],[SERVICIO 2025]],$J$2:$V$15,3,0)*Tabla44[[#This Row],[TOTAL COBERTURA]])+VLOOKUP(Tabla44[[#This Row],[SERVICIO 2025]],$J$2:$V$15,10,0)*Tabla44[[#This Row],[TOTAL COBERTURA]]</f>
        <v>9635318</v>
      </c>
      <c r="AX115" s="35">
        <f>(VLOOKUP(Tabla44[[#This Row],[SERVICIO 2025]],$J$2:$V$15,3,0)*Tabla44[[#This Row],[TOTAL COBERTURA]])+VLOOKUP(Tabla44[[#This Row],[SERVICIO 2025]],$J$2:$V$15,10,0)*Tabla44[[#This Row],[TOTAL COBERTURA]]</f>
        <v>9635318</v>
      </c>
      <c r="AY115" s="35">
        <f>(VLOOKUP(Tabla44[[#This Row],[SERVICIO 2025]],$J$2:$V$15,3,0)*Tabla44[[#This Row],[TOTAL COBERTURA]])+VLOOKUP(Tabla44[[#This Row],[SERVICIO 2025]],$J$2:$V$15,10,0)*Tabla44[[#This Row],[TOTAL COBERTURA]]</f>
        <v>9635318</v>
      </c>
      <c r="AZ115" s="35">
        <f>(VLOOKUP(Tabla44[[#This Row],[SERVICIO 2025]],$J$2:$V$15,3,0)*Tabla44[[#This Row],[TOTAL COBERTURA]])+VLOOKUP(Tabla44[[#This Row],[SERVICIO 2025]],$J$2:$V$15,10,0)*Tabla44[[#This Row],[TOTAL COBERTURA]]</f>
        <v>9635318</v>
      </c>
      <c r="BA115" s="35">
        <f>(VLOOKUP(Tabla44[[#This Row],[SERVICIO 2025]],$J$2:$V$15,3,0)*Tabla44[[#This Row],[TOTAL COBERTURA]])+VLOOKUP(Tabla44[[#This Row],[SERVICIO 2025]],$J$2:$V$15,10,0)*Tabla44[[#This Row],[TOTAL COBERTURA]]</f>
        <v>9635318</v>
      </c>
      <c r="BB115" s="35">
        <f>(VLOOKUP(Tabla44[[#This Row],[SERVICIO 2025]],$J$2:$V$15,3,0)*Tabla44[[#This Row],[TOTAL COBERTURA]])+VLOOKUP(Tabla44[[#This Row],[SERVICIO 2025]],$J$2:$V$15,10,0)*Tabla44[[#This Row],[TOTAL COBERTURA]]</f>
        <v>9635318</v>
      </c>
      <c r="BC11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10537956</v>
      </c>
      <c r="BD115" s="35">
        <f>SUM(Tabla44[[#This Row],[DESEMBOLSO 1]:[DESEMBOLSO 8]])</f>
        <v>79711654</v>
      </c>
      <c r="BE115" s="12" t="b">
        <f>EXACT(Tabla44[[#This Row],[VALOR ATENCIÓN (8 MESES)]],Tabla44[[#This Row],[VALOR TOTAL]])</f>
        <v>1</v>
      </c>
      <c r="BF115" s="23">
        <f>Tabla44[[#This Row],[VALOR ATENCIÓN (8 MESES)]]-Tabla44[[#This Row],[VALOR TOTAL]]</f>
        <v>0</v>
      </c>
      <c r="BG115" s="12" t="b">
        <f>EXACT(Tabla44[[#This Row],[TOTAL DESEMBOLSOS]],Tabla44[[#This Row],[VALOR TOTAL DEL CONTRATO INCLUIDO EL COMPONENTE DE ALIMENTACIÓN]])</f>
        <v>1</v>
      </c>
      <c r="BH115" s="29">
        <f>Tabla44[[#This Row],[TOTAL DESEMBOLSOS]]-Tabla44[[#This Row],[VALOR TOTAL DEL CONTRATO INCLUIDO EL COMPONENTE DE ALIMENTACIÓN]]</f>
        <v>0</v>
      </c>
      <c r="BI115" t="s">
        <v>98</v>
      </c>
    </row>
    <row r="116" spans="1:61">
      <c r="A116" s="13">
        <v>1924</v>
      </c>
      <c r="B116" s="13"/>
      <c r="C116" s="12" t="s">
        <v>87</v>
      </c>
      <c r="D116" s="12" t="s">
        <v>1534</v>
      </c>
      <c r="E116" s="12" t="s">
        <v>3021</v>
      </c>
      <c r="F116" s="12" t="s">
        <v>18</v>
      </c>
      <c r="G116" s="12" t="s">
        <v>90</v>
      </c>
      <c r="H116" s="12" t="s">
        <v>3039</v>
      </c>
      <c r="I116" s="36">
        <v>54111134913</v>
      </c>
      <c r="J116" s="12" t="s">
        <v>3040</v>
      </c>
      <c r="K116" s="12">
        <v>1</v>
      </c>
      <c r="L116" s="12">
        <v>13</v>
      </c>
      <c r="M116" s="12"/>
      <c r="N116" s="13">
        <v>1924</v>
      </c>
      <c r="O116" s="12" t="s">
        <v>2850</v>
      </c>
      <c r="P116" s="12"/>
      <c r="Q116" s="12"/>
      <c r="R116" s="12" t="s">
        <v>94</v>
      </c>
      <c r="S116" s="12">
        <v>10</v>
      </c>
      <c r="T116" s="12">
        <v>811021339</v>
      </c>
      <c r="U116" s="12" t="s">
        <v>2851</v>
      </c>
      <c r="V116" s="12">
        <f>VLOOKUP(Tabla44[[#This Row],[ZONA DEFINITIVO]],[1]Hoja1!$A$1:$D$125,3,0)</f>
        <v>229935</v>
      </c>
      <c r="W116" s="12">
        <f>VLOOKUP(Tabla44[[#This Row],[ZONA DEFINITIVO]],[1]Hoja1!$A$1:$D$125,2,0)</f>
        <v>17252</v>
      </c>
      <c r="X116" s="12">
        <f>VLOOKUP(Tabla44[[#This Row],[ZONA DEFINITIVO]],[1]Hoja1!$A$1:$D$125,4,0)</f>
        <v>104125</v>
      </c>
      <c r="Y116" s="12" t="str">
        <f>+IF(Tabla44[[#This Row],[AGRUPACIONES]]=1,SUMIFS(Tabla44[UDS],Tabla44[ZONA DEFINITIVO],Tabla44[[#This Row],[ZONA DEFINITIVO]])," ")</f>
        <v xml:space="preserve"> </v>
      </c>
      <c r="Z116" s="12" t="str">
        <f>+IF(Tabla44[[#This Row],[AGRUPACIONES]]=1,SUMIFS(Tabla44[TOTAL COBERTURA],Tabla44[ZONA DEFINITIVO],Tabla44[[#This Row],[ZONA DEFINITIVO]])," ")</f>
        <v xml:space="preserve"> </v>
      </c>
      <c r="AA116" s="12"/>
      <c r="AB116" s="35">
        <v>28342509</v>
      </c>
      <c r="AC116" s="37">
        <v>0</v>
      </c>
      <c r="AD116" s="35">
        <f t="shared" si="2"/>
        <v>0</v>
      </c>
      <c r="AE116" s="12"/>
      <c r="AF116" s="12">
        <f>COUNTIF($A$20:A116,A116)</f>
        <v>46</v>
      </c>
      <c r="AG116" s="38">
        <v>28342509</v>
      </c>
      <c r="AH116" s="38">
        <f>Tabla44[[#This Row],[VALOR CONTRAPARTIDA]]+Tabla44[[#This Row],[TOTAL APORTES ICBF]]</f>
        <v>28342509</v>
      </c>
      <c r="AI116" s="35" t="str">
        <f>+IF(Tabla44[[#This Row],[AGRUPACIONES]]=1,SUMIFS(Tabla44[TOTAL APORTES ICBF],Tabla44[ZONA DEFINITIVO],Tabla44[[#This Row],[ZONA DEFINITIVO]])," ")</f>
        <v xml:space="preserve"> </v>
      </c>
      <c r="AJ116" s="38"/>
      <c r="AK116" s="38"/>
      <c r="AL116" s="35"/>
      <c r="AM116" s="35">
        <f>VLOOKUP(Tabla44[[#This Row],[SERVICIO 2025]],$J$2:$V$15,5,0)*Tabla44[[#This Row],[TOTAL COBERTURA]]</f>
        <v>641888</v>
      </c>
      <c r="AN116" s="35">
        <f>VLOOKUP(Tabla44[[#This Row],[SERVICIO 2025]],$J$2:$V$15,6,0)*Tabla44[[#This Row],[TOTAL COBERTURA]]</f>
        <v>533377</v>
      </c>
      <c r="AO116" s="35">
        <f>VLOOKUP(Tabla44[[#This Row],[SERVICIO 2025]],$J$2:$V$15,8,0)*Tabla44[[#This Row],[TOTAL COBERTURA]]</f>
        <v>378300</v>
      </c>
      <c r="AP116" s="35">
        <f>VLOOKUP(Tabla44[[#This Row],[SERVICIO 2025]],$J$2:$V$15,3,0)*Tabla44[[#This Row],[TOTAL COBERTURA]]*8</f>
        <v>26788944</v>
      </c>
      <c r="AQ116" s="35"/>
      <c r="AR116" s="35">
        <f>SUM(Tabla44[[#This Row],[VALOR FASE PREPARATORIA DE ALISTAMIENTO]:[VALOR RACION PREPARADA]])</f>
        <v>28342509</v>
      </c>
      <c r="AS116" s="35" t="str">
        <f>+IF(Tabla44[[#This Row],[AGRUPACIONES]]=1,SUMIFS(Tabla44[VALOR TOTAL],Tabla44[ZONA DEFINITIVO],Tabla44[[#This Row],[ZONA DEFINITIVO]])," ")</f>
        <v xml:space="preserve"> </v>
      </c>
      <c r="AT116" s="35">
        <f>VLOOKUP(Tabla44[[#This Row],[SERVICIO 2025]],$J$2:$V$15,10,0)*Tabla44[[#This Row],[TOTAL COBERTURA]]*$X$7</f>
        <v>18759832</v>
      </c>
      <c r="AU116" s="39">
        <f>Tabla44[[#This Row],[TOTAL CONTRATO (ICBF+EAS)]]+Tabla44[[#This Row],[VALOR COMPONENTE ALIMENTACION NO ASIGNADO]]</f>
        <v>47102341</v>
      </c>
      <c r="AV11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116" s="35">
        <f>(VLOOKUP(Tabla44[[#This Row],[SERVICIO 2025]],$J$2:$V$15,3,0)*Tabla44[[#This Row],[TOTAL COBERTURA]])+VLOOKUP(Tabla44[[#This Row],[SERVICIO 2025]],$J$2:$V$15,10,0)*Tabla44[[#This Row],[TOTAL COBERTURA]]</f>
        <v>5693597</v>
      </c>
      <c r="AX116" s="35">
        <f>(VLOOKUP(Tabla44[[#This Row],[SERVICIO 2025]],$J$2:$V$15,3,0)*Tabla44[[#This Row],[TOTAL COBERTURA]])+VLOOKUP(Tabla44[[#This Row],[SERVICIO 2025]],$J$2:$V$15,10,0)*Tabla44[[#This Row],[TOTAL COBERTURA]]</f>
        <v>5693597</v>
      </c>
      <c r="AY116" s="35">
        <f>(VLOOKUP(Tabla44[[#This Row],[SERVICIO 2025]],$J$2:$V$15,3,0)*Tabla44[[#This Row],[TOTAL COBERTURA]])+VLOOKUP(Tabla44[[#This Row],[SERVICIO 2025]],$J$2:$V$15,10,0)*Tabla44[[#This Row],[TOTAL COBERTURA]]</f>
        <v>5693597</v>
      </c>
      <c r="AZ116" s="35">
        <f>(VLOOKUP(Tabla44[[#This Row],[SERVICIO 2025]],$J$2:$V$15,3,0)*Tabla44[[#This Row],[TOTAL COBERTURA]])+VLOOKUP(Tabla44[[#This Row],[SERVICIO 2025]],$J$2:$V$15,10,0)*Tabla44[[#This Row],[TOTAL COBERTURA]]</f>
        <v>5693597</v>
      </c>
      <c r="BA116" s="35">
        <f>(VLOOKUP(Tabla44[[#This Row],[SERVICIO 2025]],$J$2:$V$15,3,0)*Tabla44[[#This Row],[TOTAL COBERTURA]])+VLOOKUP(Tabla44[[#This Row],[SERVICIO 2025]],$J$2:$V$15,10,0)*Tabla44[[#This Row],[TOTAL COBERTURA]]</f>
        <v>5693597</v>
      </c>
      <c r="BB116" s="35">
        <f>(VLOOKUP(Tabla44[[#This Row],[SERVICIO 2025]],$J$2:$V$15,3,0)*Tabla44[[#This Row],[TOTAL COBERTURA]])+VLOOKUP(Tabla44[[#This Row],[SERVICIO 2025]],$J$2:$V$15,10,0)*Tabla44[[#This Row],[TOTAL COBERTURA]]</f>
        <v>5693597</v>
      </c>
      <c r="BC11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116" s="35">
        <f>SUM(Tabla44[[#This Row],[DESEMBOLSO 1]:[DESEMBOLSO 8]])</f>
        <v>47102341</v>
      </c>
      <c r="BE116" s="12" t="b">
        <f>EXACT(Tabla44[[#This Row],[VALOR ATENCIÓN (8 MESES)]],Tabla44[[#This Row],[VALOR TOTAL]])</f>
        <v>1</v>
      </c>
      <c r="BF116" s="23">
        <f>Tabla44[[#This Row],[VALOR ATENCIÓN (8 MESES)]]-Tabla44[[#This Row],[VALOR TOTAL]]</f>
        <v>0</v>
      </c>
      <c r="BG116" s="12" t="b">
        <f>EXACT(Tabla44[[#This Row],[TOTAL DESEMBOLSOS]],Tabla44[[#This Row],[VALOR TOTAL DEL CONTRATO INCLUIDO EL COMPONENTE DE ALIMENTACIÓN]])</f>
        <v>1</v>
      </c>
      <c r="BH116" s="29">
        <f>Tabla44[[#This Row],[TOTAL DESEMBOLSOS]]-Tabla44[[#This Row],[VALOR TOTAL DEL CONTRATO INCLUIDO EL COMPONENTE DE ALIMENTACIÓN]]</f>
        <v>0</v>
      </c>
      <c r="BI116" t="s">
        <v>98</v>
      </c>
    </row>
    <row r="117" spans="1:61">
      <c r="A117" s="13">
        <v>1924</v>
      </c>
      <c r="B117" s="13"/>
      <c r="C117" s="12" t="s">
        <v>87</v>
      </c>
      <c r="D117" s="12" t="s">
        <v>1534</v>
      </c>
      <c r="E117" s="12" t="s">
        <v>3021</v>
      </c>
      <c r="F117" s="12" t="s">
        <v>18</v>
      </c>
      <c r="G117" s="12" t="s">
        <v>90</v>
      </c>
      <c r="H117" s="12" t="s">
        <v>3041</v>
      </c>
      <c r="I117" s="36">
        <v>54111134933</v>
      </c>
      <c r="J117" s="12" t="s">
        <v>3042</v>
      </c>
      <c r="K117" s="12">
        <v>1</v>
      </c>
      <c r="L117" s="12">
        <v>7</v>
      </c>
      <c r="M117" s="12"/>
      <c r="N117" s="13">
        <v>1924</v>
      </c>
      <c r="O117" s="12" t="s">
        <v>2850</v>
      </c>
      <c r="P117" s="12"/>
      <c r="Q117" s="12"/>
      <c r="R117" s="12" t="s">
        <v>94</v>
      </c>
      <c r="S117" s="12">
        <v>10</v>
      </c>
      <c r="T117" s="12">
        <v>811021339</v>
      </c>
      <c r="U117" s="12" t="s">
        <v>2851</v>
      </c>
      <c r="V117" s="12">
        <f>VLOOKUP(Tabla44[[#This Row],[ZONA DEFINITIVO]],[1]Hoja1!$A$1:$D$125,3,0)</f>
        <v>229935</v>
      </c>
      <c r="W117" s="12">
        <f>VLOOKUP(Tabla44[[#This Row],[ZONA DEFINITIVO]],[1]Hoja1!$A$1:$D$125,2,0)</f>
        <v>17252</v>
      </c>
      <c r="X117" s="12">
        <f>VLOOKUP(Tabla44[[#This Row],[ZONA DEFINITIVO]],[1]Hoja1!$A$1:$D$125,4,0)</f>
        <v>104125</v>
      </c>
      <c r="Y117" s="12" t="str">
        <f>+IF(Tabla44[[#This Row],[AGRUPACIONES]]=1,SUMIFS(Tabla44[UDS],Tabla44[ZONA DEFINITIVO],Tabla44[[#This Row],[ZONA DEFINITIVO]])," ")</f>
        <v xml:space="preserve"> </v>
      </c>
      <c r="Z117" s="12" t="str">
        <f>+IF(Tabla44[[#This Row],[AGRUPACIONES]]=1,SUMIFS(Tabla44[TOTAL COBERTURA],Tabla44[ZONA DEFINITIVO],Tabla44[[#This Row],[ZONA DEFINITIVO]])," ")</f>
        <v xml:space="preserve"> </v>
      </c>
      <c r="AA117" s="12"/>
      <c r="AB117" s="35">
        <v>15261351</v>
      </c>
      <c r="AC117" s="37">
        <v>0</v>
      </c>
      <c r="AD117" s="35">
        <f t="shared" si="2"/>
        <v>0</v>
      </c>
      <c r="AE117" s="12"/>
      <c r="AF117" s="12">
        <f>COUNTIF($A$20:A117,A117)</f>
        <v>47</v>
      </c>
      <c r="AG117" s="38">
        <v>15261351</v>
      </c>
      <c r="AH117" s="38">
        <f>Tabla44[[#This Row],[VALOR CONTRAPARTIDA]]+Tabla44[[#This Row],[TOTAL APORTES ICBF]]</f>
        <v>15261351</v>
      </c>
      <c r="AI117" s="35" t="str">
        <f>+IF(Tabla44[[#This Row],[AGRUPACIONES]]=1,SUMIFS(Tabla44[TOTAL APORTES ICBF],Tabla44[ZONA DEFINITIVO],Tabla44[[#This Row],[ZONA DEFINITIVO]])," ")</f>
        <v xml:space="preserve"> </v>
      </c>
      <c r="AJ117" s="38"/>
      <c r="AK117" s="38"/>
      <c r="AL117" s="35"/>
      <c r="AM117" s="35">
        <f>VLOOKUP(Tabla44[[#This Row],[SERVICIO 2025]],$J$2:$V$15,5,0)*Tabla44[[#This Row],[TOTAL COBERTURA]]</f>
        <v>345632</v>
      </c>
      <c r="AN117" s="35">
        <f>VLOOKUP(Tabla44[[#This Row],[SERVICIO 2025]],$J$2:$V$15,6,0)*Tabla44[[#This Row],[TOTAL COBERTURA]]</f>
        <v>287203</v>
      </c>
      <c r="AO117" s="35">
        <f>VLOOKUP(Tabla44[[#This Row],[SERVICIO 2025]],$J$2:$V$15,8,0)*Tabla44[[#This Row],[TOTAL COBERTURA]]</f>
        <v>203700</v>
      </c>
      <c r="AP117" s="35">
        <f>VLOOKUP(Tabla44[[#This Row],[SERVICIO 2025]],$J$2:$V$15,3,0)*Tabla44[[#This Row],[TOTAL COBERTURA]]*8</f>
        <v>14424816</v>
      </c>
      <c r="AQ117" s="35"/>
      <c r="AR117" s="35">
        <f>SUM(Tabla44[[#This Row],[VALOR FASE PREPARATORIA DE ALISTAMIENTO]:[VALOR RACION PREPARADA]])</f>
        <v>15261351</v>
      </c>
      <c r="AS117" s="35" t="str">
        <f>+IF(Tabla44[[#This Row],[AGRUPACIONES]]=1,SUMIFS(Tabla44[VALOR TOTAL],Tabla44[ZONA DEFINITIVO],Tabla44[[#This Row],[ZONA DEFINITIVO]])," ")</f>
        <v xml:space="preserve"> </v>
      </c>
      <c r="AT117" s="35">
        <f>VLOOKUP(Tabla44[[#This Row],[SERVICIO 2025]],$J$2:$V$15,10,0)*Tabla44[[#This Row],[TOTAL COBERTURA]]*$X$7</f>
        <v>10101448</v>
      </c>
      <c r="AU117" s="39">
        <f>Tabla44[[#This Row],[TOTAL CONTRATO (ICBF+EAS)]]+Tabla44[[#This Row],[VALOR COMPONENTE ALIMENTACION NO ASIGNADO]]</f>
        <v>25362799</v>
      </c>
      <c r="AV11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3615115</v>
      </c>
      <c r="AW117" s="35">
        <f>(VLOOKUP(Tabla44[[#This Row],[SERVICIO 2025]],$J$2:$V$15,3,0)*Tabla44[[#This Row],[TOTAL COBERTURA]])+VLOOKUP(Tabla44[[#This Row],[SERVICIO 2025]],$J$2:$V$15,10,0)*Tabla44[[#This Row],[TOTAL COBERTURA]]</f>
        <v>3065783</v>
      </c>
      <c r="AX117" s="35">
        <f>(VLOOKUP(Tabla44[[#This Row],[SERVICIO 2025]],$J$2:$V$15,3,0)*Tabla44[[#This Row],[TOTAL COBERTURA]])+VLOOKUP(Tabla44[[#This Row],[SERVICIO 2025]],$J$2:$V$15,10,0)*Tabla44[[#This Row],[TOTAL COBERTURA]]</f>
        <v>3065783</v>
      </c>
      <c r="AY117" s="35">
        <f>(VLOOKUP(Tabla44[[#This Row],[SERVICIO 2025]],$J$2:$V$15,3,0)*Tabla44[[#This Row],[TOTAL COBERTURA]])+VLOOKUP(Tabla44[[#This Row],[SERVICIO 2025]],$J$2:$V$15,10,0)*Tabla44[[#This Row],[TOTAL COBERTURA]]</f>
        <v>3065783</v>
      </c>
      <c r="AZ117" s="35">
        <f>(VLOOKUP(Tabla44[[#This Row],[SERVICIO 2025]],$J$2:$V$15,3,0)*Tabla44[[#This Row],[TOTAL COBERTURA]])+VLOOKUP(Tabla44[[#This Row],[SERVICIO 2025]],$J$2:$V$15,10,0)*Tabla44[[#This Row],[TOTAL COBERTURA]]</f>
        <v>3065783</v>
      </c>
      <c r="BA117" s="35">
        <f>(VLOOKUP(Tabla44[[#This Row],[SERVICIO 2025]],$J$2:$V$15,3,0)*Tabla44[[#This Row],[TOTAL COBERTURA]])+VLOOKUP(Tabla44[[#This Row],[SERVICIO 2025]],$J$2:$V$15,10,0)*Tabla44[[#This Row],[TOTAL COBERTURA]]</f>
        <v>3065783</v>
      </c>
      <c r="BB117" s="35">
        <f>(VLOOKUP(Tabla44[[#This Row],[SERVICIO 2025]],$J$2:$V$15,3,0)*Tabla44[[#This Row],[TOTAL COBERTURA]])+VLOOKUP(Tabla44[[#This Row],[SERVICIO 2025]],$J$2:$V$15,10,0)*Tabla44[[#This Row],[TOTAL COBERTURA]]</f>
        <v>3065783</v>
      </c>
      <c r="BC11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3352986</v>
      </c>
      <c r="BD117" s="35">
        <f>SUM(Tabla44[[#This Row],[DESEMBOLSO 1]:[DESEMBOLSO 8]])</f>
        <v>25362799</v>
      </c>
      <c r="BE117" s="12" t="b">
        <f>EXACT(Tabla44[[#This Row],[VALOR ATENCIÓN (8 MESES)]],Tabla44[[#This Row],[VALOR TOTAL]])</f>
        <v>1</v>
      </c>
      <c r="BF117" s="23">
        <f>Tabla44[[#This Row],[VALOR ATENCIÓN (8 MESES)]]-Tabla44[[#This Row],[VALOR TOTAL]]</f>
        <v>0</v>
      </c>
      <c r="BG117" s="12" t="b">
        <f>EXACT(Tabla44[[#This Row],[TOTAL DESEMBOLSOS]],Tabla44[[#This Row],[VALOR TOTAL DEL CONTRATO INCLUIDO EL COMPONENTE DE ALIMENTACIÓN]])</f>
        <v>1</v>
      </c>
      <c r="BH117" s="29">
        <f>Tabla44[[#This Row],[TOTAL DESEMBOLSOS]]-Tabla44[[#This Row],[VALOR TOTAL DEL CONTRATO INCLUIDO EL COMPONENTE DE ALIMENTACIÓN]]</f>
        <v>0</v>
      </c>
      <c r="BI117" t="s">
        <v>98</v>
      </c>
    </row>
    <row r="118" spans="1:61">
      <c r="A118" s="13">
        <v>1924</v>
      </c>
      <c r="B118" s="13"/>
      <c r="C118" s="12" t="s">
        <v>87</v>
      </c>
      <c r="D118" s="12" t="s">
        <v>1534</v>
      </c>
      <c r="E118" s="12" t="s">
        <v>3021</v>
      </c>
      <c r="F118" s="12" t="s">
        <v>18</v>
      </c>
      <c r="G118" s="12" t="s">
        <v>90</v>
      </c>
      <c r="H118" s="12" t="s">
        <v>3043</v>
      </c>
      <c r="I118" s="36">
        <v>54111134934</v>
      </c>
      <c r="J118" s="12" t="s">
        <v>3044</v>
      </c>
      <c r="K118" s="12">
        <v>1</v>
      </c>
      <c r="L118" s="12">
        <v>19</v>
      </c>
      <c r="M118" s="12"/>
      <c r="N118" s="13">
        <v>1924</v>
      </c>
      <c r="O118" s="12" t="s">
        <v>2850</v>
      </c>
      <c r="P118" s="12"/>
      <c r="Q118" s="12"/>
      <c r="R118" s="12" t="s">
        <v>94</v>
      </c>
      <c r="S118" s="12">
        <v>10</v>
      </c>
      <c r="T118" s="12">
        <v>811021339</v>
      </c>
      <c r="U118" s="12" t="s">
        <v>2851</v>
      </c>
      <c r="V118" s="12">
        <f>VLOOKUP(Tabla44[[#This Row],[ZONA DEFINITIVO]],[1]Hoja1!$A$1:$D$125,3,0)</f>
        <v>229935</v>
      </c>
      <c r="W118" s="12">
        <f>VLOOKUP(Tabla44[[#This Row],[ZONA DEFINITIVO]],[1]Hoja1!$A$1:$D$125,2,0)</f>
        <v>17252</v>
      </c>
      <c r="X118" s="12">
        <f>VLOOKUP(Tabla44[[#This Row],[ZONA DEFINITIVO]],[1]Hoja1!$A$1:$D$125,4,0)</f>
        <v>104125</v>
      </c>
      <c r="Y118" s="12" t="str">
        <f>+IF(Tabla44[[#This Row],[AGRUPACIONES]]=1,SUMIFS(Tabla44[UDS],Tabla44[ZONA DEFINITIVO],Tabla44[[#This Row],[ZONA DEFINITIVO]])," ")</f>
        <v xml:space="preserve"> </v>
      </c>
      <c r="Z118" s="12" t="str">
        <f>+IF(Tabla44[[#This Row],[AGRUPACIONES]]=1,SUMIFS(Tabla44[TOTAL COBERTURA],Tabla44[ZONA DEFINITIVO],Tabla44[[#This Row],[ZONA DEFINITIVO]])," ")</f>
        <v xml:space="preserve"> </v>
      </c>
      <c r="AA118" s="12"/>
      <c r="AB118" s="35">
        <v>41423667</v>
      </c>
      <c r="AC118" s="37">
        <v>0</v>
      </c>
      <c r="AD118" s="35">
        <f t="shared" si="2"/>
        <v>0</v>
      </c>
      <c r="AE118" s="12"/>
      <c r="AF118" s="12">
        <f>COUNTIF($A$20:A118,A118)</f>
        <v>48</v>
      </c>
      <c r="AG118" s="38">
        <v>41423667</v>
      </c>
      <c r="AH118" s="38">
        <f>Tabla44[[#This Row],[VALOR CONTRAPARTIDA]]+Tabla44[[#This Row],[TOTAL APORTES ICBF]]</f>
        <v>41423667</v>
      </c>
      <c r="AI118" s="35" t="str">
        <f>+IF(Tabla44[[#This Row],[AGRUPACIONES]]=1,SUMIFS(Tabla44[TOTAL APORTES ICBF],Tabla44[ZONA DEFINITIVO],Tabla44[[#This Row],[ZONA DEFINITIVO]])," ")</f>
        <v xml:space="preserve"> </v>
      </c>
      <c r="AJ118" s="38"/>
      <c r="AK118" s="38"/>
      <c r="AL118" s="35"/>
      <c r="AM118" s="35">
        <f>VLOOKUP(Tabla44[[#This Row],[SERVICIO 2025]],$J$2:$V$15,5,0)*Tabla44[[#This Row],[TOTAL COBERTURA]]</f>
        <v>938144</v>
      </c>
      <c r="AN118" s="35">
        <f>VLOOKUP(Tabla44[[#This Row],[SERVICIO 2025]],$J$2:$V$15,6,0)*Tabla44[[#This Row],[TOTAL COBERTURA]]</f>
        <v>779551</v>
      </c>
      <c r="AO118" s="35">
        <f>VLOOKUP(Tabla44[[#This Row],[SERVICIO 2025]],$J$2:$V$15,8,0)*Tabla44[[#This Row],[TOTAL COBERTURA]]</f>
        <v>552900</v>
      </c>
      <c r="AP118" s="35">
        <f>VLOOKUP(Tabla44[[#This Row],[SERVICIO 2025]],$J$2:$V$15,3,0)*Tabla44[[#This Row],[TOTAL COBERTURA]]*8</f>
        <v>39153072</v>
      </c>
      <c r="AQ118" s="35"/>
      <c r="AR118" s="35">
        <f>SUM(Tabla44[[#This Row],[VALOR FASE PREPARATORIA DE ALISTAMIENTO]:[VALOR RACION PREPARADA]])</f>
        <v>41423667</v>
      </c>
      <c r="AS118" s="35" t="str">
        <f>+IF(Tabla44[[#This Row],[AGRUPACIONES]]=1,SUMIFS(Tabla44[VALOR TOTAL],Tabla44[ZONA DEFINITIVO],Tabla44[[#This Row],[ZONA DEFINITIVO]])," ")</f>
        <v xml:space="preserve"> </v>
      </c>
      <c r="AT118" s="35">
        <f>VLOOKUP(Tabla44[[#This Row],[SERVICIO 2025]],$J$2:$V$15,10,0)*Tabla44[[#This Row],[TOTAL COBERTURA]]*$X$7</f>
        <v>27418216</v>
      </c>
      <c r="AU118" s="39">
        <f>Tabla44[[#This Row],[TOTAL CONTRATO (ICBF+EAS)]]+Tabla44[[#This Row],[VALOR COMPONENTE ALIMENTACION NO ASIGNADO]]</f>
        <v>68841883</v>
      </c>
      <c r="AV11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9812455</v>
      </c>
      <c r="AW118" s="35">
        <f>(VLOOKUP(Tabla44[[#This Row],[SERVICIO 2025]],$J$2:$V$15,3,0)*Tabla44[[#This Row],[TOTAL COBERTURA]])+VLOOKUP(Tabla44[[#This Row],[SERVICIO 2025]],$J$2:$V$15,10,0)*Tabla44[[#This Row],[TOTAL COBERTURA]]</f>
        <v>8321411</v>
      </c>
      <c r="AX118" s="35">
        <f>(VLOOKUP(Tabla44[[#This Row],[SERVICIO 2025]],$J$2:$V$15,3,0)*Tabla44[[#This Row],[TOTAL COBERTURA]])+VLOOKUP(Tabla44[[#This Row],[SERVICIO 2025]],$J$2:$V$15,10,0)*Tabla44[[#This Row],[TOTAL COBERTURA]]</f>
        <v>8321411</v>
      </c>
      <c r="AY118" s="35">
        <f>(VLOOKUP(Tabla44[[#This Row],[SERVICIO 2025]],$J$2:$V$15,3,0)*Tabla44[[#This Row],[TOTAL COBERTURA]])+VLOOKUP(Tabla44[[#This Row],[SERVICIO 2025]],$J$2:$V$15,10,0)*Tabla44[[#This Row],[TOTAL COBERTURA]]</f>
        <v>8321411</v>
      </c>
      <c r="AZ118" s="35">
        <f>(VLOOKUP(Tabla44[[#This Row],[SERVICIO 2025]],$J$2:$V$15,3,0)*Tabla44[[#This Row],[TOTAL COBERTURA]])+VLOOKUP(Tabla44[[#This Row],[SERVICIO 2025]],$J$2:$V$15,10,0)*Tabla44[[#This Row],[TOTAL COBERTURA]]</f>
        <v>8321411</v>
      </c>
      <c r="BA118" s="35">
        <f>(VLOOKUP(Tabla44[[#This Row],[SERVICIO 2025]],$J$2:$V$15,3,0)*Tabla44[[#This Row],[TOTAL COBERTURA]])+VLOOKUP(Tabla44[[#This Row],[SERVICIO 2025]],$J$2:$V$15,10,0)*Tabla44[[#This Row],[TOTAL COBERTURA]]</f>
        <v>8321411</v>
      </c>
      <c r="BB118" s="35">
        <f>(VLOOKUP(Tabla44[[#This Row],[SERVICIO 2025]],$J$2:$V$15,3,0)*Tabla44[[#This Row],[TOTAL COBERTURA]])+VLOOKUP(Tabla44[[#This Row],[SERVICIO 2025]],$J$2:$V$15,10,0)*Tabla44[[#This Row],[TOTAL COBERTURA]]</f>
        <v>8321411</v>
      </c>
      <c r="BC11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9100962</v>
      </c>
      <c r="BD118" s="35">
        <f>SUM(Tabla44[[#This Row],[DESEMBOLSO 1]:[DESEMBOLSO 8]])</f>
        <v>68841883</v>
      </c>
      <c r="BE118" s="12" t="b">
        <f>EXACT(Tabla44[[#This Row],[VALOR ATENCIÓN (8 MESES)]],Tabla44[[#This Row],[VALOR TOTAL]])</f>
        <v>1</v>
      </c>
      <c r="BF118" s="23">
        <f>Tabla44[[#This Row],[VALOR ATENCIÓN (8 MESES)]]-Tabla44[[#This Row],[VALOR TOTAL]]</f>
        <v>0</v>
      </c>
      <c r="BG118" s="12" t="b">
        <f>EXACT(Tabla44[[#This Row],[TOTAL DESEMBOLSOS]],Tabla44[[#This Row],[VALOR TOTAL DEL CONTRATO INCLUIDO EL COMPONENTE DE ALIMENTACIÓN]])</f>
        <v>1</v>
      </c>
      <c r="BH118" s="29">
        <f>Tabla44[[#This Row],[TOTAL DESEMBOLSOS]]-Tabla44[[#This Row],[VALOR TOTAL DEL CONTRATO INCLUIDO EL COMPONENTE DE ALIMENTACIÓN]]</f>
        <v>0</v>
      </c>
      <c r="BI118" t="s">
        <v>98</v>
      </c>
    </row>
    <row r="119" spans="1:61">
      <c r="A119" s="13">
        <v>1924</v>
      </c>
      <c r="B119" s="13"/>
      <c r="C119" s="12" t="s">
        <v>87</v>
      </c>
      <c r="D119" s="12" t="s">
        <v>1534</v>
      </c>
      <c r="E119" s="12" t="s">
        <v>3021</v>
      </c>
      <c r="F119" s="12" t="s">
        <v>18</v>
      </c>
      <c r="G119" s="12" t="s">
        <v>90</v>
      </c>
      <c r="H119" s="12" t="s">
        <v>3045</v>
      </c>
      <c r="I119" s="36">
        <v>54111134941</v>
      </c>
      <c r="J119" s="12" t="s">
        <v>3046</v>
      </c>
      <c r="K119" s="12">
        <v>1</v>
      </c>
      <c r="L119" s="12">
        <v>13</v>
      </c>
      <c r="M119" s="12"/>
      <c r="N119" s="13">
        <v>1924</v>
      </c>
      <c r="O119" s="12" t="s">
        <v>2850</v>
      </c>
      <c r="P119" s="12"/>
      <c r="Q119" s="12"/>
      <c r="R119" s="12" t="s">
        <v>94</v>
      </c>
      <c r="S119" s="12">
        <v>10</v>
      </c>
      <c r="T119" s="12">
        <v>811021339</v>
      </c>
      <c r="U119" s="12" t="s">
        <v>2851</v>
      </c>
      <c r="V119" s="12">
        <f>VLOOKUP(Tabla44[[#This Row],[ZONA DEFINITIVO]],[1]Hoja1!$A$1:$D$125,3,0)</f>
        <v>229935</v>
      </c>
      <c r="W119" s="12">
        <f>VLOOKUP(Tabla44[[#This Row],[ZONA DEFINITIVO]],[1]Hoja1!$A$1:$D$125,2,0)</f>
        <v>17252</v>
      </c>
      <c r="X119" s="12">
        <f>VLOOKUP(Tabla44[[#This Row],[ZONA DEFINITIVO]],[1]Hoja1!$A$1:$D$125,4,0)</f>
        <v>104125</v>
      </c>
      <c r="Y119" s="12" t="str">
        <f>+IF(Tabla44[[#This Row],[AGRUPACIONES]]=1,SUMIFS(Tabla44[UDS],Tabla44[ZONA DEFINITIVO],Tabla44[[#This Row],[ZONA DEFINITIVO]])," ")</f>
        <v xml:space="preserve"> </v>
      </c>
      <c r="Z119" s="12" t="str">
        <f>+IF(Tabla44[[#This Row],[AGRUPACIONES]]=1,SUMIFS(Tabla44[TOTAL COBERTURA],Tabla44[ZONA DEFINITIVO],Tabla44[[#This Row],[ZONA DEFINITIVO]])," ")</f>
        <v xml:space="preserve"> </v>
      </c>
      <c r="AA119" s="12"/>
      <c r="AB119" s="35">
        <v>28342509</v>
      </c>
      <c r="AC119" s="37">
        <v>0</v>
      </c>
      <c r="AD119" s="35">
        <f t="shared" si="2"/>
        <v>0</v>
      </c>
      <c r="AE119" s="12"/>
      <c r="AF119" s="12">
        <f>COUNTIF($A$20:A119,A119)</f>
        <v>49</v>
      </c>
      <c r="AG119" s="38">
        <v>28342509</v>
      </c>
      <c r="AH119" s="38">
        <f>Tabla44[[#This Row],[VALOR CONTRAPARTIDA]]+Tabla44[[#This Row],[TOTAL APORTES ICBF]]</f>
        <v>28342509</v>
      </c>
      <c r="AI119" s="35" t="str">
        <f>+IF(Tabla44[[#This Row],[AGRUPACIONES]]=1,SUMIFS(Tabla44[TOTAL APORTES ICBF],Tabla44[ZONA DEFINITIVO],Tabla44[[#This Row],[ZONA DEFINITIVO]])," ")</f>
        <v xml:space="preserve"> </v>
      </c>
      <c r="AJ119" s="38"/>
      <c r="AK119" s="38"/>
      <c r="AL119" s="35"/>
      <c r="AM119" s="35">
        <f>VLOOKUP(Tabla44[[#This Row],[SERVICIO 2025]],$J$2:$V$15,5,0)*Tabla44[[#This Row],[TOTAL COBERTURA]]</f>
        <v>641888</v>
      </c>
      <c r="AN119" s="35">
        <f>VLOOKUP(Tabla44[[#This Row],[SERVICIO 2025]],$J$2:$V$15,6,0)*Tabla44[[#This Row],[TOTAL COBERTURA]]</f>
        <v>533377</v>
      </c>
      <c r="AO119" s="35">
        <f>VLOOKUP(Tabla44[[#This Row],[SERVICIO 2025]],$J$2:$V$15,8,0)*Tabla44[[#This Row],[TOTAL COBERTURA]]</f>
        <v>378300</v>
      </c>
      <c r="AP119" s="35">
        <f>VLOOKUP(Tabla44[[#This Row],[SERVICIO 2025]],$J$2:$V$15,3,0)*Tabla44[[#This Row],[TOTAL COBERTURA]]*8</f>
        <v>26788944</v>
      </c>
      <c r="AQ119" s="35"/>
      <c r="AR119" s="35">
        <f>SUM(Tabla44[[#This Row],[VALOR FASE PREPARATORIA DE ALISTAMIENTO]:[VALOR RACION PREPARADA]])</f>
        <v>28342509</v>
      </c>
      <c r="AS119" s="35" t="str">
        <f>+IF(Tabla44[[#This Row],[AGRUPACIONES]]=1,SUMIFS(Tabla44[VALOR TOTAL],Tabla44[ZONA DEFINITIVO],Tabla44[[#This Row],[ZONA DEFINITIVO]])," ")</f>
        <v xml:space="preserve"> </v>
      </c>
      <c r="AT119" s="35">
        <f>VLOOKUP(Tabla44[[#This Row],[SERVICIO 2025]],$J$2:$V$15,10,0)*Tabla44[[#This Row],[TOTAL COBERTURA]]*$X$7</f>
        <v>18759832</v>
      </c>
      <c r="AU119" s="39">
        <f>Tabla44[[#This Row],[TOTAL CONTRATO (ICBF+EAS)]]+Tabla44[[#This Row],[VALOR COMPONENTE ALIMENTACION NO ASIGNADO]]</f>
        <v>47102341</v>
      </c>
      <c r="AV11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119" s="35">
        <f>(VLOOKUP(Tabla44[[#This Row],[SERVICIO 2025]],$J$2:$V$15,3,0)*Tabla44[[#This Row],[TOTAL COBERTURA]])+VLOOKUP(Tabla44[[#This Row],[SERVICIO 2025]],$J$2:$V$15,10,0)*Tabla44[[#This Row],[TOTAL COBERTURA]]</f>
        <v>5693597</v>
      </c>
      <c r="AX119" s="35">
        <f>(VLOOKUP(Tabla44[[#This Row],[SERVICIO 2025]],$J$2:$V$15,3,0)*Tabla44[[#This Row],[TOTAL COBERTURA]])+VLOOKUP(Tabla44[[#This Row],[SERVICIO 2025]],$J$2:$V$15,10,0)*Tabla44[[#This Row],[TOTAL COBERTURA]]</f>
        <v>5693597</v>
      </c>
      <c r="AY119" s="35">
        <f>(VLOOKUP(Tabla44[[#This Row],[SERVICIO 2025]],$J$2:$V$15,3,0)*Tabla44[[#This Row],[TOTAL COBERTURA]])+VLOOKUP(Tabla44[[#This Row],[SERVICIO 2025]],$J$2:$V$15,10,0)*Tabla44[[#This Row],[TOTAL COBERTURA]]</f>
        <v>5693597</v>
      </c>
      <c r="AZ119" s="35">
        <f>(VLOOKUP(Tabla44[[#This Row],[SERVICIO 2025]],$J$2:$V$15,3,0)*Tabla44[[#This Row],[TOTAL COBERTURA]])+VLOOKUP(Tabla44[[#This Row],[SERVICIO 2025]],$J$2:$V$15,10,0)*Tabla44[[#This Row],[TOTAL COBERTURA]]</f>
        <v>5693597</v>
      </c>
      <c r="BA119" s="35">
        <f>(VLOOKUP(Tabla44[[#This Row],[SERVICIO 2025]],$J$2:$V$15,3,0)*Tabla44[[#This Row],[TOTAL COBERTURA]])+VLOOKUP(Tabla44[[#This Row],[SERVICIO 2025]],$J$2:$V$15,10,0)*Tabla44[[#This Row],[TOTAL COBERTURA]]</f>
        <v>5693597</v>
      </c>
      <c r="BB119" s="35">
        <f>(VLOOKUP(Tabla44[[#This Row],[SERVICIO 2025]],$J$2:$V$15,3,0)*Tabla44[[#This Row],[TOTAL COBERTURA]])+VLOOKUP(Tabla44[[#This Row],[SERVICIO 2025]],$J$2:$V$15,10,0)*Tabla44[[#This Row],[TOTAL COBERTURA]]</f>
        <v>5693597</v>
      </c>
      <c r="BC11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119" s="35">
        <f>SUM(Tabla44[[#This Row],[DESEMBOLSO 1]:[DESEMBOLSO 8]])</f>
        <v>47102341</v>
      </c>
      <c r="BE119" s="12" t="b">
        <f>EXACT(Tabla44[[#This Row],[VALOR ATENCIÓN (8 MESES)]],Tabla44[[#This Row],[VALOR TOTAL]])</f>
        <v>1</v>
      </c>
      <c r="BF119" s="23">
        <f>Tabla44[[#This Row],[VALOR ATENCIÓN (8 MESES)]]-Tabla44[[#This Row],[VALOR TOTAL]]</f>
        <v>0</v>
      </c>
      <c r="BG119" s="12" t="b">
        <f>EXACT(Tabla44[[#This Row],[TOTAL DESEMBOLSOS]],Tabla44[[#This Row],[VALOR TOTAL DEL CONTRATO INCLUIDO EL COMPONENTE DE ALIMENTACIÓN]])</f>
        <v>1</v>
      </c>
      <c r="BH119" s="29">
        <f>Tabla44[[#This Row],[TOTAL DESEMBOLSOS]]-Tabla44[[#This Row],[VALOR TOTAL DEL CONTRATO INCLUIDO EL COMPONENTE DE ALIMENTACIÓN]]</f>
        <v>0</v>
      </c>
      <c r="BI119" t="s">
        <v>98</v>
      </c>
    </row>
    <row r="120" spans="1:61">
      <c r="A120" s="13">
        <v>1924</v>
      </c>
      <c r="B120" s="13"/>
      <c r="C120" s="12" t="s">
        <v>87</v>
      </c>
      <c r="D120" s="12" t="s">
        <v>1534</v>
      </c>
      <c r="E120" s="12" t="s">
        <v>3021</v>
      </c>
      <c r="F120" s="12" t="s">
        <v>18</v>
      </c>
      <c r="G120" s="12" t="s">
        <v>90</v>
      </c>
      <c r="H120" s="12" t="s">
        <v>3047</v>
      </c>
      <c r="I120" s="36">
        <v>54111134953</v>
      </c>
      <c r="J120" s="12" t="s">
        <v>3048</v>
      </c>
      <c r="K120" s="12">
        <v>1</v>
      </c>
      <c r="L120" s="12">
        <v>9</v>
      </c>
      <c r="M120" s="12"/>
      <c r="N120" s="13">
        <v>1924</v>
      </c>
      <c r="O120" s="12" t="s">
        <v>2850</v>
      </c>
      <c r="P120" s="12"/>
      <c r="Q120" s="12"/>
      <c r="R120" s="12" t="s">
        <v>94</v>
      </c>
      <c r="S120" s="12">
        <v>10</v>
      </c>
      <c r="T120" s="12">
        <v>811021339</v>
      </c>
      <c r="U120" s="12" t="s">
        <v>2851</v>
      </c>
      <c r="V120" s="12">
        <f>VLOOKUP(Tabla44[[#This Row],[ZONA DEFINITIVO]],[1]Hoja1!$A$1:$D$125,3,0)</f>
        <v>229935</v>
      </c>
      <c r="W120" s="12">
        <f>VLOOKUP(Tabla44[[#This Row],[ZONA DEFINITIVO]],[1]Hoja1!$A$1:$D$125,2,0)</f>
        <v>17252</v>
      </c>
      <c r="X120" s="12">
        <f>VLOOKUP(Tabla44[[#This Row],[ZONA DEFINITIVO]],[1]Hoja1!$A$1:$D$125,4,0)</f>
        <v>104125</v>
      </c>
      <c r="Y120" s="12" t="str">
        <f>+IF(Tabla44[[#This Row],[AGRUPACIONES]]=1,SUMIFS(Tabla44[UDS],Tabla44[ZONA DEFINITIVO],Tabla44[[#This Row],[ZONA DEFINITIVO]])," ")</f>
        <v xml:space="preserve"> </v>
      </c>
      <c r="Z120" s="12" t="str">
        <f>+IF(Tabla44[[#This Row],[AGRUPACIONES]]=1,SUMIFS(Tabla44[TOTAL COBERTURA],Tabla44[ZONA DEFINITIVO],Tabla44[[#This Row],[ZONA DEFINITIVO]])," ")</f>
        <v xml:space="preserve"> </v>
      </c>
      <c r="AA120" s="12"/>
      <c r="AB120" s="35">
        <v>19621737</v>
      </c>
      <c r="AC120" s="37">
        <v>0</v>
      </c>
      <c r="AD120" s="35">
        <f t="shared" si="2"/>
        <v>0</v>
      </c>
      <c r="AE120" s="12"/>
      <c r="AF120" s="12">
        <f>COUNTIF($A$20:A120,A120)</f>
        <v>50</v>
      </c>
      <c r="AG120" s="38">
        <v>19621737</v>
      </c>
      <c r="AH120" s="38">
        <f>Tabla44[[#This Row],[VALOR CONTRAPARTIDA]]+Tabla44[[#This Row],[TOTAL APORTES ICBF]]</f>
        <v>19621737</v>
      </c>
      <c r="AI120" s="35" t="str">
        <f>+IF(Tabla44[[#This Row],[AGRUPACIONES]]=1,SUMIFS(Tabla44[TOTAL APORTES ICBF],Tabla44[ZONA DEFINITIVO],Tabla44[[#This Row],[ZONA DEFINITIVO]])," ")</f>
        <v xml:space="preserve"> </v>
      </c>
      <c r="AJ120" s="38"/>
      <c r="AK120" s="38"/>
      <c r="AL120" s="35"/>
      <c r="AM120" s="35">
        <f>VLOOKUP(Tabla44[[#This Row],[SERVICIO 2025]],$J$2:$V$15,5,0)*Tabla44[[#This Row],[TOTAL COBERTURA]]</f>
        <v>444384</v>
      </c>
      <c r="AN120" s="35">
        <f>VLOOKUP(Tabla44[[#This Row],[SERVICIO 2025]],$J$2:$V$15,6,0)*Tabla44[[#This Row],[TOTAL COBERTURA]]</f>
        <v>369261</v>
      </c>
      <c r="AO120" s="35">
        <f>VLOOKUP(Tabla44[[#This Row],[SERVICIO 2025]],$J$2:$V$15,8,0)*Tabla44[[#This Row],[TOTAL COBERTURA]]</f>
        <v>261900</v>
      </c>
      <c r="AP120" s="35">
        <f>VLOOKUP(Tabla44[[#This Row],[SERVICIO 2025]],$J$2:$V$15,3,0)*Tabla44[[#This Row],[TOTAL COBERTURA]]*8</f>
        <v>18546192</v>
      </c>
      <c r="AQ120" s="35"/>
      <c r="AR120" s="35">
        <f>SUM(Tabla44[[#This Row],[VALOR FASE PREPARATORIA DE ALISTAMIENTO]:[VALOR RACION PREPARADA]])</f>
        <v>19621737</v>
      </c>
      <c r="AS120" s="35" t="str">
        <f>+IF(Tabla44[[#This Row],[AGRUPACIONES]]=1,SUMIFS(Tabla44[VALOR TOTAL],Tabla44[ZONA DEFINITIVO],Tabla44[[#This Row],[ZONA DEFINITIVO]])," ")</f>
        <v xml:space="preserve"> </v>
      </c>
      <c r="AT120" s="35">
        <f>VLOOKUP(Tabla44[[#This Row],[SERVICIO 2025]],$J$2:$V$15,10,0)*Tabla44[[#This Row],[TOTAL COBERTURA]]*$X$7</f>
        <v>12987576</v>
      </c>
      <c r="AU120" s="39">
        <f>Tabla44[[#This Row],[TOTAL CONTRATO (ICBF+EAS)]]+Tabla44[[#This Row],[VALOR COMPONENTE ALIMENTACION NO ASIGNADO]]</f>
        <v>32609313</v>
      </c>
      <c r="AV12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4648005</v>
      </c>
      <c r="AW120" s="35">
        <f>(VLOOKUP(Tabla44[[#This Row],[SERVICIO 2025]],$J$2:$V$15,3,0)*Tabla44[[#This Row],[TOTAL COBERTURA]])+VLOOKUP(Tabla44[[#This Row],[SERVICIO 2025]],$J$2:$V$15,10,0)*Tabla44[[#This Row],[TOTAL COBERTURA]]</f>
        <v>3941721</v>
      </c>
      <c r="AX120" s="35">
        <f>(VLOOKUP(Tabla44[[#This Row],[SERVICIO 2025]],$J$2:$V$15,3,0)*Tabla44[[#This Row],[TOTAL COBERTURA]])+VLOOKUP(Tabla44[[#This Row],[SERVICIO 2025]],$J$2:$V$15,10,0)*Tabla44[[#This Row],[TOTAL COBERTURA]]</f>
        <v>3941721</v>
      </c>
      <c r="AY120" s="35">
        <f>(VLOOKUP(Tabla44[[#This Row],[SERVICIO 2025]],$J$2:$V$15,3,0)*Tabla44[[#This Row],[TOTAL COBERTURA]])+VLOOKUP(Tabla44[[#This Row],[SERVICIO 2025]],$J$2:$V$15,10,0)*Tabla44[[#This Row],[TOTAL COBERTURA]]</f>
        <v>3941721</v>
      </c>
      <c r="AZ120" s="35">
        <f>(VLOOKUP(Tabla44[[#This Row],[SERVICIO 2025]],$J$2:$V$15,3,0)*Tabla44[[#This Row],[TOTAL COBERTURA]])+VLOOKUP(Tabla44[[#This Row],[SERVICIO 2025]],$J$2:$V$15,10,0)*Tabla44[[#This Row],[TOTAL COBERTURA]]</f>
        <v>3941721</v>
      </c>
      <c r="BA120" s="35">
        <f>(VLOOKUP(Tabla44[[#This Row],[SERVICIO 2025]],$J$2:$V$15,3,0)*Tabla44[[#This Row],[TOTAL COBERTURA]])+VLOOKUP(Tabla44[[#This Row],[SERVICIO 2025]],$J$2:$V$15,10,0)*Tabla44[[#This Row],[TOTAL COBERTURA]]</f>
        <v>3941721</v>
      </c>
      <c r="BB120" s="35">
        <f>(VLOOKUP(Tabla44[[#This Row],[SERVICIO 2025]],$J$2:$V$15,3,0)*Tabla44[[#This Row],[TOTAL COBERTURA]])+VLOOKUP(Tabla44[[#This Row],[SERVICIO 2025]],$J$2:$V$15,10,0)*Tabla44[[#This Row],[TOTAL COBERTURA]]</f>
        <v>3941721</v>
      </c>
      <c r="BC12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4310982</v>
      </c>
      <c r="BD120" s="35">
        <f>SUM(Tabla44[[#This Row],[DESEMBOLSO 1]:[DESEMBOLSO 8]])</f>
        <v>32609313</v>
      </c>
      <c r="BE120" s="12" t="b">
        <f>EXACT(Tabla44[[#This Row],[VALOR ATENCIÓN (8 MESES)]],Tabla44[[#This Row],[VALOR TOTAL]])</f>
        <v>1</v>
      </c>
      <c r="BF120" s="23">
        <f>Tabla44[[#This Row],[VALOR ATENCIÓN (8 MESES)]]-Tabla44[[#This Row],[VALOR TOTAL]]</f>
        <v>0</v>
      </c>
      <c r="BG120" s="12" t="b">
        <f>EXACT(Tabla44[[#This Row],[TOTAL DESEMBOLSOS]],Tabla44[[#This Row],[VALOR TOTAL DEL CONTRATO INCLUIDO EL COMPONENTE DE ALIMENTACIÓN]])</f>
        <v>1</v>
      </c>
      <c r="BH120" s="29">
        <f>Tabla44[[#This Row],[TOTAL DESEMBOLSOS]]-Tabla44[[#This Row],[VALOR TOTAL DEL CONTRATO INCLUIDO EL COMPONENTE DE ALIMENTACIÓN]]</f>
        <v>0</v>
      </c>
      <c r="BI120" t="s">
        <v>98</v>
      </c>
    </row>
    <row r="121" spans="1:61">
      <c r="A121" s="13">
        <v>1924</v>
      </c>
      <c r="B121" s="13"/>
      <c r="C121" s="12" t="s">
        <v>87</v>
      </c>
      <c r="D121" s="12" t="s">
        <v>1534</v>
      </c>
      <c r="E121" s="12" t="s">
        <v>3021</v>
      </c>
      <c r="F121" s="12" t="s">
        <v>18</v>
      </c>
      <c r="G121" s="12" t="s">
        <v>90</v>
      </c>
      <c r="H121" s="12" t="s">
        <v>3049</v>
      </c>
      <c r="I121" s="36">
        <v>54111134954</v>
      </c>
      <c r="J121" s="12" t="s">
        <v>3050</v>
      </c>
      <c r="K121" s="12">
        <v>1</v>
      </c>
      <c r="L121" s="12">
        <v>6</v>
      </c>
      <c r="M121" s="12"/>
      <c r="N121" s="13">
        <v>1924</v>
      </c>
      <c r="O121" s="12" t="s">
        <v>2850</v>
      </c>
      <c r="P121" s="12"/>
      <c r="Q121" s="12"/>
      <c r="R121" s="12" t="s">
        <v>94</v>
      </c>
      <c r="S121" s="12">
        <v>10</v>
      </c>
      <c r="T121" s="12">
        <v>811021339</v>
      </c>
      <c r="U121" s="12" t="s">
        <v>2851</v>
      </c>
      <c r="V121" s="12">
        <f>VLOOKUP(Tabla44[[#This Row],[ZONA DEFINITIVO]],[1]Hoja1!$A$1:$D$125,3,0)</f>
        <v>229935</v>
      </c>
      <c r="W121" s="12">
        <f>VLOOKUP(Tabla44[[#This Row],[ZONA DEFINITIVO]],[1]Hoja1!$A$1:$D$125,2,0)</f>
        <v>17252</v>
      </c>
      <c r="X121" s="12">
        <f>VLOOKUP(Tabla44[[#This Row],[ZONA DEFINITIVO]],[1]Hoja1!$A$1:$D$125,4,0)</f>
        <v>104125</v>
      </c>
      <c r="Y121" s="12" t="str">
        <f>+IF(Tabla44[[#This Row],[AGRUPACIONES]]=1,SUMIFS(Tabla44[UDS],Tabla44[ZONA DEFINITIVO],Tabla44[[#This Row],[ZONA DEFINITIVO]])," ")</f>
        <v xml:space="preserve"> </v>
      </c>
      <c r="Z121" s="12" t="str">
        <f>+IF(Tabla44[[#This Row],[AGRUPACIONES]]=1,SUMIFS(Tabla44[TOTAL COBERTURA],Tabla44[ZONA DEFINITIVO],Tabla44[[#This Row],[ZONA DEFINITIVO]])," ")</f>
        <v xml:space="preserve"> </v>
      </c>
      <c r="AA121" s="12"/>
      <c r="AB121" s="35">
        <v>13081158</v>
      </c>
      <c r="AC121" s="37">
        <v>0</v>
      </c>
      <c r="AD121" s="35">
        <f t="shared" si="2"/>
        <v>0</v>
      </c>
      <c r="AE121" s="12"/>
      <c r="AF121" s="12">
        <f>COUNTIF($A$20:A121,A121)</f>
        <v>51</v>
      </c>
      <c r="AG121" s="38">
        <v>13081158</v>
      </c>
      <c r="AH121" s="38">
        <f>Tabla44[[#This Row],[VALOR CONTRAPARTIDA]]+Tabla44[[#This Row],[TOTAL APORTES ICBF]]</f>
        <v>13081158</v>
      </c>
      <c r="AI121" s="35" t="str">
        <f>+IF(Tabla44[[#This Row],[AGRUPACIONES]]=1,SUMIFS(Tabla44[TOTAL APORTES ICBF],Tabla44[ZONA DEFINITIVO],Tabla44[[#This Row],[ZONA DEFINITIVO]])," ")</f>
        <v xml:space="preserve"> </v>
      </c>
      <c r="AJ121" s="38"/>
      <c r="AK121" s="38"/>
      <c r="AL121" s="35"/>
      <c r="AM121" s="35">
        <f>VLOOKUP(Tabla44[[#This Row],[SERVICIO 2025]],$J$2:$V$15,5,0)*Tabla44[[#This Row],[TOTAL COBERTURA]]</f>
        <v>296256</v>
      </c>
      <c r="AN121" s="35">
        <f>VLOOKUP(Tabla44[[#This Row],[SERVICIO 2025]],$J$2:$V$15,6,0)*Tabla44[[#This Row],[TOTAL COBERTURA]]</f>
        <v>246174</v>
      </c>
      <c r="AO121" s="35">
        <f>VLOOKUP(Tabla44[[#This Row],[SERVICIO 2025]],$J$2:$V$15,8,0)*Tabla44[[#This Row],[TOTAL COBERTURA]]</f>
        <v>174600</v>
      </c>
      <c r="AP121" s="35">
        <f>VLOOKUP(Tabla44[[#This Row],[SERVICIO 2025]],$J$2:$V$15,3,0)*Tabla44[[#This Row],[TOTAL COBERTURA]]*8</f>
        <v>12364128</v>
      </c>
      <c r="AQ121" s="35"/>
      <c r="AR121" s="35">
        <f>SUM(Tabla44[[#This Row],[VALOR FASE PREPARATORIA DE ALISTAMIENTO]:[VALOR RACION PREPARADA]])</f>
        <v>13081158</v>
      </c>
      <c r="AS121" s="35" t="str">
        <f>+IF(Tabla44[[#This Row],[AGRUPACIONES]]=1,SUMIFS(Tabla44[VALOR TOTAL],Tabla44[ZONA DEFINITIVO],Tabla44[[#This Row],[ZONA DEFINITIVO]])," ")</f>
        <v xml:space="preserve"> </v>
      </c>
      <c r="AT121" s="35">
        <f>VLOOKUP(Tabla44[[#This Row],[SERVICIO 2025]],$J$2:$V$15,10,0)*Tabla44[[#This Row],[TOTAL COBERTURA]]*$X$7</f>
        <v>8658384</v>
      </c>
      <c r="AU121" s="39">
        <f>Tabla44[[#This Row],[TOTAL CONTRATO (ICBF+EAS)]]+Tabla44[[#This Row],[VALOR COMPONENTE ALIMENTACION NO ASIGNADO]]</f>
        <v>21739542</v>
      </c>
      <c r="AV12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3098670</v>
      </c>
      <c r="AW121" s="35">
        <f>(VLOOKUP(Tabla44[[#This Row],[SERVICIO 2025]],$J$2:$V$15,3,0)*Tabla44[[#This Row],[TOTAL COBERTURA]])+VLOOKUP(Tabla44[[#This Row],[SERVICIO 2025]],$J$2:$V$15,10,0)*Tabla44[[#This Row],[TOTAL COBERTURA]]</f>
        <v>2627814</v>
      </c>
      <c r="AX121" s="35">
        <f>(VLOOKUP(Tabla44[[#This Row],[SERVICIO 2025]],$J$2:$V$15,3,0)*Tabla44[[#This Row],[TOTAL COBERTURA]])+VLOOKUP(Tabla44[[#This Row],[SERVICIO 2025]],$J$2:$V$15,10,0)*Tabla44[[#This Row],[TOTAL COBERTURA]]</f>
        <v>2627814</v>
      </c>
      <c r="AY121" s="35">
        <f>(VLOOKUP(Tabla44[[#This Row],[SERVICIO 2025]],$J$2:$V$15,3,0)*Tabla44[[#This Row],[TOTAL COBERTURA]])+VLOOKUP(Tabla44[[#This Row],[SERVICIO 2025]],$J$2:$V$15,10,0)*Tabla44[[#This Row],[TOTAL COBERTURA]]</f>
        <v>2627814</v>
      </c>
      <c r="AZ121" s="35">
        <f>(VLOOKUP(Tabla44[[#This Row],[SERVICIO 2025]],$J$2:$V$15,3,0)*Tabla44[[#This Row],[TOTAL COBERTURA]])+VLOOKUP(Tabla44[[#This Row],[SERVICIO 2025]],$J$2:$V$15,10,0)*Tabla44[[#This Row],[TOTAL COBERTURA]]</f>
        <v>2627814</v>
      </c>
      <c r="BA121" s="35">
        <f>(VLOOKUP(Tabla44[[#This Row],[SERVICIO 2025]],$J$2:$V$15,3,0)*Tabla44[[#This Row],[TOTAL COBERTURA]])+VLOOKUP(Tabla44[[#This Row],[SERVICIO 2025]],$J$2:$V$15,10,0)*Tabla44[[#This Row],[TOTAL COBERTURA]]</f>
        <v>2627814</v>
      </c>
      <c r="BB121" s="35">
        <f>(VLOOKUP(Tabla44[[#This Row],[SERVICIO 2025]],$J$2:$V$15,3,0)*Tabla44[[#This Row],[TOTAL COBERTURA]])+VLOOKUP(Tabla44[[#This Row],[SERVICIO 2025]],$J$2:$V$15,10,0)*Tabla44[[#This Row],[TOTAL COBERTURA]]</f>
        <v>2627814</v>
      </c>
      <c r="BC12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2873988</v>
      </c>
      <c r="BD121" s="35">
        <f>SUM(Tabla44[[#This Row],[DESEMBOLSO 1]:[DESEMBOLSO 8]])</f>
        <v>21739542</v>
      </c>
      <c r="BE121" s="12" t="b">
        <f>EXACT(Tabla44[[#This Row],[VALOR ATENCIÓN (8 MESES)]],Tabla44[[#This Row],[VALOR TOTAL]])</f>
        <v>1</v>
      </c>
      <c r="BF121" s="23">
        <f>Tabla44[[#This Row],[VALOR ATENCIÓN (8 MESES)]]-Tabla44[[#This Row],[VALOR TOTAL]]</f>
        <v>0</v>
      </c>
      <c r="BG121" s="12" t="b">
        <f>EXACT(Tabla44[[#This Row],[TOTAL DESEMBOLSOS]],Tabla44[[#This Row],[VALOR TOTAL DEL CONTRATO INCLUIDO EL COMPONENTE DE ALIMENTACIÓN]])</f>
        <v>1</v>
      </c>
      <c r="BH121" s="29">
        <f>Tabla44[[#This Row],[TOTAL DESEMBOLSOS]]-Tabla44[[#This Row],[VALOR TOTAL DEL CONTRATO INCLUIDO EL COMPONENTE DE ALIMENTACIÓN]]</f>
        <v>0</v>
      </c>
      <c r="BI121" t="s">
        <v>98</v>
      </c>
    </row>
    <row r="122" spans="1:61">
      <c r="A122" s="13">
        <v>1924</v>
      </c>
      <c r="B122" s="13"/>
      <c r="C122" s="12" t="s">
        <v>87</v>
      </c>
      <c r="D122" s="12" t="s">
        <v>1534</v>
      </c>
      <c r="E122" s="12" t="s">
        <v>3021</v>
      </c>
      <c r="F122" s="12" t="s">
        <v>18</v>
      </c>
      <c r="G122" s="12" t="s">
        <v>90</v>
      </c>
      <c r="H122" s="12" t="s">
        <v>3051</v>
      </c>
      <c r="I122" s="36">
        <v>54111134955</v>
      </c>
      <c r="J122" s="12" t="s">
        <v>3052</v>
      </c>
      <c r="K122" s="12">
        <v>1</v>
      </c>
      <c r="L122" s="12">
        <v>10</v>
      </c>
      <c r="M122" s="12"/>
      <c r="N122" s="13">
        <v>1924</v>
      </c>
      <c r="O122" s="12" t="s">
        <v>2850</v>
      </c>
      <c r="P122" s="12"/>
      <c r="Q122" s="12"/>
      <c r="R122" s="12" t="s">
        <v>94</v>
      </c>
      <c r="S122" s="12">
        <v>10</v>
      </c>
      <c r="T122" s="12">
        <v>811021339</v>
      </c>
      <c r="U122" s="12" t="s">
        <v>2851</v>
      </c>
      <c r="V122" s="12">
        <f>VLOOKUP(Tabla44[[#This Row],[ZONA DEFINITIVO]],[1]Hoja1!$A$1:$D$125,3,0)</f>
        <v>229935</v>
      </c>
      <c r="W122" s="12">
        <f>VLOOKUP(Tabla44[[#This Row],[ZONA DEFINITIVO]],[1]Hoja1!$A$1:$D$125,2,0)</f>
        <v>17252</v>
      </c>
      <c r="X122" s="12">
        <f>VLOOKUP(Tabla44[[#This Row],[ZONA DEFINITIVO]],[1]Hoja1!$A$1:$D$125,4,0)</f>
        <v>104125</v>
      </c>
      <c r="Y122" s="12" t="str">
        <f>+IF(Tabla44[[#This Row],[AGRUPACIONES]]=1,SUMIFS(Tabla44[UDS],Tabla44[ZONA DEFINITIVO],Tabla44[[#This Row],[ZONA DEFINITIVO]])," ")</f>
        <v xml:space="preserve"> </v>
      </c>
      <c r="Z122" s="12" t="str">
        <f>+IF(Tabla44[[#This Row],[AGRUPACIONES]]=1,SUMIFS(Tabla44[TOTAL COBERTURA],Tabla44[ZONA DEFINITIVO],Tabla44[[#This Row],[ZONA DEFINITIVO]])," ")</f>
        <v xml:space="preserve"> </v>
      </c>
      <c r="AA122" s="12"/>
      <c r="AB122" s="35">
        <v>21801930</v>
      </c>
      <c r="AC122" s="37">
        <v>0</v>
      </c>
      <c r="AD122" s="35">
        <f t="shared" si="2"/>
        <v>0</v>
      </c>
      <c r="AE122" s="12"/>
      <c r="AF122" s="12">
        <f>COUNTIF($A$20:A122,A122)</f>
        <v>52</v>
      </c>
      <c r="AG122" s="38">
        <v>21801930</v>
      </c>
      <c r="AH122" s="38">
        <f>Tabla44[[#This Row],[VALOR CONTRAPARTIDA]]+Tabla44[[#This Row],[TOTAL APORTES ICBF]]</f>
        <v>21801930</v>
      </c>
      <c r="AI122" s="35" t="str">
        <f>+IF(Tabla44[[#This Row],[AGRUPACIONES]]=1,SUMIFS(Tabla44[TOTAL APORTES ICBF],Tabla44[ZONA DEFINITIVO],Tabla44[[#This Row],[ZONA DEFINITIVO]])," ")</f>
        <v xml:space="preserve"> </v>
      </c>
      <c r="AJ122" s="38"/>
      <c r="AK122" s="38"/>
      <c r="AL122" s="35"/>
      <c r="AM122" s="35">
        <f>VLOOKUP(Tabla44[[#This Row],[SERVICIO 2025]],$J$2:$V$15,5,0)*Tabla44[[#This Row],[TOTAL COBERTURA]]</f>
        <v>493760</v>
      </c>
      <c r="AN122" s="35">
        <f>VLOOKUP(Tabla44[[#This Row],[SERVICIO 2025]],$J$2:$V$15,6,0)*Tabla44[[#This Row],[TOTAL COBERTURA]]</f>
        <v>410290</v>
      </c>
      <c r="AO122" s="35">
        <f>VLOOKUP(Tabla44[[#This Row],[SERVICIO 2025]],$J$2:$V$15,8,0)*Tabla44[[#This Row],[TOTAL COBERTURA]]</f>
        <v>291000</v>
      </c>
      <c r="AP122" s="35">
        <f>VLOOKUP(Tabla44[[#This Row],[SERVICIO 2025]],$J$2:$V$15,3,0)*Tabla44[[#This Row],[TOTAL COBERTURA]]*8</f>
        <v>20606880</v>
      </c>
      <c r="AQ122" s="35"/>
      <c r="AR122" s="35">
        <f>SUM(Tabla44[[#This Row],[VALOR FASE PREPARATORIA DE ALISTAMIENTO]:[VALOR RACION PREPARADA]])</f>
        <v>21801930</v>
      </c>
      <c r="AS122" s="35" t="str">
        <f>+IF(Tabla44[[#This Row],[AGRUPACIONES]]=1,SUMIFS(Tabla44[VALOR TOTAL],Tabla44[ZONA DEFINITIVO],Tabla44[[#This Row],[ZONA DEFINITIVO]])," ")</f>
        <v xml:space="preserve"> </v>
      </c>
      <c r="AT122" s="35">
        <f>VLOOKUP(Tabla44[[#This Row],[SERVICIO 2025]],$J$2:$V$15,10,0)*Tabla44[[#This Row],[TOTAL COBERTURA]]*$X$7</f>
        <v>14430640</v>
      </c>
      <c r="AU122" s="39">
        <f>Tabla44[[#This Row],[TOTAL CONTRATO (ICBF+EAS)]]+Tabla44[[#This Row],[VALOR COMPONENTE ALIMENTACION NO ASIGNADO]]</f>
        <v>36232570</v>
      </c>
      <c r="AV12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122" s="35">
        <f>(VLOOKUP(Tabla44[[#This Row],[SERVICIO 2025]],$J$2:$V$15,3,0)*Tabla44[[#This Row],[TOTAL COBERTURA]])+VLOOKUP(Tabla44[[#This Row],[SERVICIO 2025]],$J$2:$V$15,10,0)*Tabla44[[#This Row],[TOTAL COBERTURA]]</f>
        <v>4379690</v>
      </c>
      <c r="AX122" s="35">
        <f>(VLOOKUP(Tabla44[[#This Row],[SERVICIO 2025]],$J$2:$V$15,3,0)*Tabla44[[#This Row],[TOTAL COBERTURA]])+VLOOKUP(Tabla44[[#This Row],[SERVICIO 2025]],$J$2:$V$15,10,0)*Tabla44[[#This Row],[TOTAL COBERTURA]]</f>
        <v>4379690</v>
      </c>
      <c r="AY122" s="35">
        <f>(VLOOKUP(Tabla44[[#This Row],[SERVICIO 2025]],$J$2:$V$15,3,0)*Tabla44[[#This Row],[TOTAL COBERTURA]])+VLOOKUP(Tabla44[[#This Row],[SERVICIO 2025]],$J$2:$V$15,10,0)*Tabla44[[#This Row],[TOTAL COBERTURA]]</f>
        <v>4379690</v>
      </c>
      <c r="AZ122" s="35">
        <f>(VLOOKUP(Tabla44[[#This Row],[SERVICIO 2025]],$J$2:$V$15,3,0)*Tabla44[[#This Row],[TOTAL COBERTURA]])+VLOOKUP(Tabla44[[#This Row],[SERVICIO 2025]],$J$2:$V$15,10,0)*Tabla44[[#This Row],[TOTAL COBERTURA]]</f>
        <v>4379690</v>
      </c>
      <c r="BA122" s="35">
        <f>(VLOOKUP(Tabla44[[#This Row],[SERVICIO 2025]],$J$2:$V$15,3,0)*Tabla44[[#This Row],[TOTAL COBERTURA]])+VLOOKUP(Tabla44[[#This Row],[SERVICIO 2025]],$J$2:$V$15,10,0)*Tabla44[[#This Row],[TOTAL COBERTURA]]</f>
        <v>4379690</v>
      </c>
      <c r="BB122" s="35">
        <f>(VLOOKUP(Tabla44[[#This Row],[SERVICIO 2025]],$J$2:$V$15,3,0)*Tabla44[[#This Row],[TOTAL COBERTURA]])+VLOOKUP(Tabla44[[#This Row],[SERVICIO 2025]],$J$2:$V$15,10,0)*Tabla44[[#This Row],[TOTAL COBERTURA]]</f>
        <v>4379690</v>
      </c>
      <c r="BC12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122" s="35">
        <f>SUM(Tabla44[[#This Row],[DESEMBOLSO 1]:[DESEMBOLSO 8]])</f>
        <v>36232570</v>
      </c>
      <c r="BE122" s="12" t="b">
        <f>EXACT(Tabla44[[#This Row],[VALOR ATENCIÓN (8 MESES)]],Tabla44[[#This Row],[VALOR TOTAL]])</f>
        <v>1</v>
      </c>
      <c r="BF122" s="23">
        <f>Tabla44[[#This Row],[VALOR ATENCIÓN (8 MESES)]]-Tabla44[[#This Row],[VALOR TOTAL]]</f>
        <v>0</v>
      </c>
      <c r="BG122" s="12" t="b">
        <f>EXACT(Tabla44[[#This Row],[TOTAL DESEMBOLSOS]],Tabla44[[#This Row],[VALOR TOTAL DEL CONTRATO INCLUIDO EL COMPONENTE DE ALIMENTACIÓN]])</f>
        <v>1</v>
      </c>
      <c r="BH122" s="29">
        <f>Tabla44[[#This Row],[TOTAL DESEMBOLSOS]]-Tabla44[[#This Row],[VALOR TOTAL DEL CONTRATO INCLUIDO EL COMPONENTE DE ALIMENTACIÓN]]</f>
        <v>0</v>
      </c>
      <c r="BI122" t="s">
        <v>98</v>
      </c>
    </row>
    <row r="123" spans="1:61">
      <c r="A123" s="13">
        <v>1924</v>
      </c>
      <c r="B123" s="13"/>
      <c r="C123" s="12" t="s">
        <v>87</v>
      </c>
      <c r="D123" s="12" t="s">
        <v>1534</v>
      </c>
      <c r="E123" s="12" t="s">
        <v>3021</v>
      </c>
      <c r="F123" s="12" t="s">
        <v>18</v>
      </c>
      <c r="G123" s="12" t="s">
        <v>90</v>
      </c>
      <c r="H123" s="12" t="s">
        <v>3053</v>
      </c>
      <c r="I123" s="36">
        <v>54111144826</v>
      </c>
      <c r="J123" s="12" t="s">
        <v>3054</v>
      </c>
      <c r="K123" s="12">
        <v>1</v>
      </c>
      <c r="L123" s="12">
        <v>10</v>
      </c>
      <c r="M123" s="12"/>
      <c r="N123" s="13">
        <v>1924</v>
      </c>
      <c r="O123" s="12" t="s">
        <v>2850</v>
      </c>
      <c r="P123" s="12"/>
      <c r="Q123" s="12"/>
      <c r="R123" s="12" t="s">
        <v>94</v>
      </c>
      <c r="S123" s="12">
        <v>10</v>
      </c>
      <c r="T123" s="12">
        <v>811021339</v>
      </c>
      <c r="U123" s="12" t="s">
        <v>2851</v>
      </c>
      <c r="V123" s="12">
        <f>VLOOKUP(Tabla44[[#This Row],[ZONA DEFINITIVO]],[1]Hoja1!$A$1:$D$125,3,0)</f>
        <v>229935</v>
      </c>
      <c r="W123" s="12">
        <f>VLOOKUP(Tabla44[[#This Row],[ZONA DEFINITIVO]],[1]Hoja1!$A$1:$D$125,2,0)</f>
        <v>17252</v>
      </c>
      <c r="X123" s="12">
        <f>VLOOKUP(Tabla44[[#This Row],[ZONA DEFINITIVO]],[1]Hoja1!$A$1:$D$125,4,0)</f>
        <v>104125</v>
      </c>
      <c r="Y123" s="12" t="str">
        <f>+IF(Tabla44[[#This Row],[AGRUPACIONES]]=1,SUMIFS(Tabla44[UDS],Tabla44[ZONA DEFINITIVO],Tabla44[[#This Row],[ZONA DEFINITIVO]])," ")</f>
        <v xml:space="preserve"> </v>
      </c>
      <c r="Z123" s="12" t="str">
        <f>+IF(Tabla44[[#This Row],[AGRUPACIONES]]=1,SUMIFS(Tabla44[TOTAL COBERTURA],Tabla44[ZONA DEFINITIVO],Tabla44[[#This Row],[ZONA DEFINITIVO]])," ")</f>
        <v xml:space="preserve"> </v>
      </c>
      <c r="AA123" s="12"/>
      <c r="AB123" s="35">
        <v>21801930</v>
      </c>
      <c r="AC123" s="37">
        <v>0</v>
      </c>
      <c r="AD123" s="35">
        <f t="shared" si="2"/>
        <v>0</v>
      </c>
      <c r="AE123" s="12"/>
      <c r="AF123" s="12">
        <f>COUNTIF($A$20:A123,A123)</f>
        <v>53</v>
      </c>
      <c r="AG123" s="38">
        <v>21801930</v>
      </c>
      <c r="AH123" s="38">
        <f>Tabla44[[#This Row],[VALOR CONTRAPARTIDA]]+Tabla44[[#This Row],[TOTAL APORTES ICBF]]</f>
        <v>21801930</v>
      </c>
      <c r="AI123" s="35" t="str">
        <f>+IF(Tabla44[[#This Row],[AGRUPACIONES]]=1,SUMIFS(Tabla44[TOTAL APORTES ICBF],Tabla44[ZONA DEFINITIVO],Tabla44[[#This Row],[ZONA DEFINITIVO]])," ")</f>
        <v xml:space="preserve"> </v>
      </c>
      <c r="AJ123" s="38"/>
      <c r="AK123" s="38"/>
      <c r="AL123" s="35"/>
      <c r="AM123" s="35">
        <f>VLOOKUP(Tabla44[[#This Row],[SERVICIO 2025]],$J$2:$V$15,5,0)*Tabla44[[#This Row],[TOTAL COBERTURA]]</f>
        <v>493760</v>
      </c>
      <c r="AN123" s="35">
        <f>VLOOKUP(Tabla44[[#This Row],[SERVICIO 2025]],$J$2:$V$15,6,0)*Tabla44[[#This Row],[TOTAL COBERTURA]]</f>
        <v>410290</v>
      </c>
      <c r="AO123" s="35">
        <f>VLOOKUP(Tabla44[[#This Row],[SERVICIO 2025]],$J$2:$V$15,8,0)*Tabla44[[#This Row],[TOTAL COBERTURA]]</f>
        <v>291000</v>
      </c>
      <c r="AP123" s="35">
        <f>VLOOKUP(Tabla44[[#This Row],[SERVICIO 2025]],$J$2:$V$15,3,0)*Tabla44[[#This Row],[TOTAL COBERTURA]]*8</f>
        <v>20606880</v>
      </c>
      <c r="AQ123" s="35"/>
      <c r="AR123" s="35">
        <f>SUM(Tabla44[[#This Row],[VALOR FASE PREPARATORIA DE ALISTAMIENTO]:[VALOR RACION PREPARADA]])</f>
        <v>21801930</v>
      </c>
      <c r="AS123" s="35" t="str">
        <f>+IF(Tabla44[[#This Row],[AGRUPACIONES]]=1,SUMIFS(Tabla44[VALOR TOTAL],Tabla44[ZONA DEFINITIVO],Tabla44[[#This Row],[ZONA DEFINITIVO]])," ")</f>
        <v xml:space="preserve"> </v>
      </c>
      <c r="AT123" s="35">
        <f>VLOOKUP(Tabla44[[#This Row],[SERVICIO 2025]],$J$2:$V$15,10,0)*Tabla44[[#This Row],[TOTAL COBERTURA]]*$X$7</f>
        <v>14430640</v>
      </c>
      <c r="AU123" s="39">
        <f>Tabla44[[#This Row],[TOTAL CONTRATO (ICBF+EAS)]]+Tabla44[[#This Row],[VALOR COMPONENTE ALIMENTACION NO ASIGNADO]]</f>
        <v>36232570</v>
      </c>
      <c r="AV12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123" s="35">
        <f>(VLOOKUP(Tabla44[[#This Row],[SERVICIO 2025]],$J$2:$V$15,3,0)*Tabla44[[#This Row],[TOTAL COBERTURA]])+VLOOKUP(Tabla44[[#This Row],[SERVICIO 2025]],$J$2:$V$15,10,0)*Tabla44[[#This Row],[TOTAL COBERTURA]]</f>
        <v>4379690</v>
      </c>
      <c r="AX123" s="35">
        <f>(VLOOKUP(Tabla44[[#This Row],[SERVICIO 2025]],$J$2:$V$15,3,0)*Tabla44[[#This Row],[TOTAL COBERTURA]])+VLOOKUP(Tabla44[[#This Row],[SERVICIO 2025]],$J$2:$V$15,10,0)*Tabla44[[#This Row],[TOTAL COBERTURA]]</f>
        <v>4379690</v>
      </c>
      <c r="AY123" s="35">
        <f>(VLOOKUP(Tabla44[[#This Row],[SERVICIO 2025]],$J$2:$V$15,3,0)*Tabla44[[#This Row],[TOTAL COBERTURA]])+VLOOKUP(Tabla44[[#This Row],[SERVICIO 2025]],$J$2:$V$15,10,0)*Tabla44[[#This Row],[TOTAL COBERTURA]]</f>
        <v>4379690</v>
      </c>
      <c r="AZ123" s="35">
        <f>(VLOOKUP(Tabla44[[#This Row],[SERVICIO 2025]],$J$2:$V$15,3,0)*Tabla44[[#This Row],[TOTAL COBERTURA]])+VLOOKUP(Tabla44[[#This Row],[SERVICIO 2025]],$J$2:$V$15,10,0)*Tabla44[[#This Row],[TOTAL COBERTURA]]</f>
        <v>4379690</v>
      </c>
      <c r="BA123" s="35">
        <f>(VLOOKUP(Tabla44[[#This Row],[SERVICIO 2025]],$J$2:$V$15,3,0)*Tabla44[[#This Row],[TOTAL COBERTURA]])+VLOOKUP(Tabla44[[#This Row],[SERVICIO 2025]],$J$2:$V$15,10,0)*Tabla44[[#This Row],[TOTAL COBERTURA]]</f>
        <v>4379690</v>
      </c>
      <c r="BB123" s="35">
        <f>(VLOOKUP(Tabla44[[#This Row],[SERVICIO 2025]],$J$2:$V$15,3,0)*Tabla44[[#This Row],[TOTAL COBERTURA]])+VLOOKUP(Tabla44[[#This Row],[SERVICIO 2025]],$J$2:$V$15,10,0)*Tabla44[[#This Row],[TOTAL COBERTURA]]</f>
        <v>4379690</v>
      </c>
      <c r="BC12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123" s="35">
        <f>SUM(Tabla44[[#This Row],[DESEMBOLSO 1]:[DESEMBOLSO 8]])</f>
        <v>36232570</v>
      </c>
      <c r="BE123" s="12" t="b">
        <f>EXACT(Tabla44[[#This Row],[VALOR ATENCIÓN (8 MESES)]],Tabla44[[#This Row],[VALOR TOTAL]])</f>
        <v>1</v>
      </c>
      <c r="BF123" s="23">
        <f>Tabla44[[#This Row],[VALOR ATENCIÓN (8 MESES)]]-Tabla44[[#This Row],[VALOR TOTAL]]</f>
        <v>0</v>
      </c>
      <c r="BG123" s="12" t="b">
        <f>EXACT(Tabla44[[#This Row],[TOTAL DESEMBOLSOS]],Tabla44[[#This Row],[VALOR TOTAL DEL CONTRATO INCLUIDO EL COMPONENTE DE ALIMENTACIÓN]])</f>
        <v>1</v>
      </c>
      <c r="BH123" s="29">
        <f>Tabla44[[#This Row],[TOTAL DESEMBOLSOS]]-Tabla44[[#This Row],[VALOR TOTAL DEL CONTRATO INCLUIDO EL COMPONENTE DE ALIMENTACIÓN]]</f>
        <v>0</v>
      </c>
      <c r="BI123" t="s">
        <v>98</v>
      </c>
    </row>
    <row r="124" spans="1:61">
      <c r="A124" s="13">
        <v>1924</v>
      </c>
      <c r="B124" s="13"/>
      <c r="C124" s="12" t="s">
        <v>87</v>
      </c>
      <c r="D124" s="12" t="s">
        <v>1534</v>
      </c>
      <c r="E124" s="12" t="s">
        <v>3021</v>
      </c>
      <c r="F124" s="12" t="s">
        <v>18</v>
      </c>
      <c r="G124" s="12" t="s">
        <v>90</v>
      </c>
      <c r="H124" s="12" t="s">
        <v>883</v>
      </c>
      <c r="I124" s="36">
        <v>54111144827</v>
      </c>
      <c r="J124" s="12" t="s">
        <v>3055</v>
      </c>
      <c r="K124" s="12">
        <v>1</v>
      </c>
      <c r="L124" s="12">
        <v>12</v>
      </c>
      <c r="M124" s="12"/>
      <c r="N124" s="13">
        <v>1924</v>
      </c>
      <c r="O124" s="12" t="s">
        <v>2850</v>
      </c>
      <c r="P124" s="12"/>
      <c r="Q124" s="12"/>
      <c r="R124" s="12" t="s">
        <v>94</v>
      </c>
      <c r="S124" s="12">
        <v>10</v>
      </c>
      <c r="T124" s="12">
        <v>811021339</v>
      </c>
      <c r="U124" s="12" t="s">
        <v>2851</v>
      </c>
      <c r="V124" s="12">
        <f>VLOOKUP(Tabla44[[#This Row],[ZONA DEFINITIVO]],[1]Hoja1!$A$1:$D$125,3,0)</f>
        <v>229935</v>
      </c>
      <c r="W124" s="12">
        <f>VLOOKUP(Tabla44[[#This Row],[ZONA DEFINITIVO]],[1]Hoja1!$A$1:$D$125,2,0)</f>
        <v>17252</v>
      </c>
      <c r="X124" s="12">
        <f>VLOOKUP(Tabla44[[#This Row],[ZONA DEFINITIVO]],[1]Hoja1!$A$1:$D$125,4,0)</f>
        <v>104125</v>
      </c>
      <c r="Y124" s="12" t="str">
        <f>+IF(Tabla44[[#This Row],[AGRUPACIONES]]=1,SUMIFS(Tabla44[UDS],Tabla44[ZONA DEFINITIVO],Tabla44[[#This Row],[ZONA DEFINITIVO]])," ")</f>
        <v xml:space="preserve"> </v>
      </c>
      <c r="Z124" s="12" t="str">
        <f>+IF(Tabla44[[#This Row],[AGRUPACIONES]]=1,SUMIFS(Tabla44[TOTAL COBERTURA],Tabla44[ZONA DEFINITIVO],Tabla44[[#This Row],[ZONA DEFINITIVO]])," ")</f>
        <v xml:space="preserve"> </v>
      </c>
      <c r="AA124" s="12"/>
      <c r="AB124" s="35">
        <v>26162316</v>
      </c>
      <c r="AC124" s="37">
        <v>0</v>
      </c>
      <c r="AD124" s="35">
        <f t="shared" si="2"/>
        <v>0</v>
      </c>
      <c r="AE124" s="12"/>
      <c r="AF124" s="12">
        <f>COUNTIF($A$20:A124,A124)</f>
        <v>54</v>
      </c>
      <c r="AG124" s="38">
        <v>26162316</v>
      </c>
      <c r="AH124" s="38">
        <f>Tabla44[[#This Row],[VALOR CONTRAPARTIDA]]+Tabla44[[#This Row],[TOTAL APORTES ICBF]]</f>
        <v>26162316</v>
      </c>
      <c r="AI124" s="35" t="str">
        <f>+IF(Tabla44[[#This Row],[AGRUPACIONES]]=1,SUMIFS(Tabla44[TOTAL APORTES ICBF],Tabla44[ZONA DEFINITIVO],Tabla44[[#This Row],[ZONA DEFINITIVO]])," ")</f>
        <v xml:space="preserve"> </v>
      </c>
      <c r="AJ124" s="38"/>
      <c r="AK124" s="38"/>
      <c r="AL124" s="35"/>
      <c r="AM124" s="35">
        <f>VLOOKUP(Tabla44[[#This Row],[SERVICIO 2025]],$J$2:$V$15,5,0)*Tabla44[[#This Row],[TOTAL COBERTURA]]</f>
        <v>592512</v>
      </c>
      <c r="AN124" s="35">
        <f>VLOOKUP(Tabla44[[#This Row],[SERVICIO 2025]],$J$2:$V$15,6,0)*Tabla44[[#This Row],[TOTAL COBERTURA]]</f>
        <v>492348</v>
      </c>
      <c r="AO124" s="35">
        <f>VLOOKUP(Tabla44[[#This Row],[SERVICIO 2025]],$J$2:$V$15,8,0)*Tabla44[[#This Row],[TOTAL COBERTURA]]</f>
        <v>349200</v>
      </c>
      <c r="AP124" s="35">
        <f>VLOOKUP(Tabla44[[#This Row],[SERVICIO 2025]],$J$2:$V$15,3,0)*Tabla44[[#This Row],[TOTAL COBERTURA]]*8</f>
        <v>24728256</v>
      </c>
      <c r="AQ124" s="35"/>
      <c r="AR124" s="35">
        <f>SUM(Tabla44[[#This Row],[VALOR FASE PREPARATORIA DE ALISTAMIENTO]:[VALOR RACION PREPARADA]])</f>
        <v>26162316</v>
      </c>
      <c r="AS124" s="35" t="str">
        <f>+IF(Tabla44[[#This Row],[AGRUPACIONES]]=1,SUMIFS(Tabla44[VALOR TOTAL],Tabla44[ZONA DEFINITIVO],Tabla44[[#This Row],[ZONA DEFINITIVO]])," ")</f>
        <v xml:space="preserve"> </v>
      </c>
      <c r="AT124" s="35">
        <f>VLOOKUP(Tabla44[[#This Row],[SERVICIO 2025]],$J$2:$V$15,10,0)*Tabla44[[#This Row],[TOTAL COBERTURA]]*$X$7</f>
        <v>17316768</v>
      </c>
      <c r="AU124" s="39">
        <f>Tabla44[[#This Row],[TOTAL CONTRATO (ICBF+EAS)]]+Tabla44[[#This Row],[VALOR COMPONENTE ALIMENTACION NO ASIGNADO]]</f>
        <v>43479084</v>
      </c>
      <c r="AV12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124" s="35">
        <f>(VLOOKUP(Tabla44[[#This Row],[SERVICIO 2025]],$J$2:$V$15,3,0)*Tabla44[[#This Row],[TOTAL COBERTURA]])+VLOOKUP(Tabla44[[#This Row],[SERVICIO 2025]],$J$2:$V$15,10,0)*Tabla44[[#This Row],[TOTAL COBERTURA]]</f>
        <v>5255628</v>
      </c>
      <c r="AX124" s="35">
        <f>(VLOOKUP(Tabla44[[#This Row],[SERVICIO 2025]],$J$2:$V$15,3,0)*Tabla44[[#This Row],[TOTAL COBERTURA]])+VLOOKUP(Tabla44[[#This Row],[SERVICIO 2025]],$J$2:$V$15,10,0)*Tabla44[[#This Row],[TOTAL COBERTURA]]</f>
        <v>5255628</v>
      </c>
      <c r="AY124" s="35">
        <f>(VLOOKUP(Tabla44[[#This Row],[SERVICIO 2025]],$J$2:$V$15,3,0)*Tabla44[[#This Row],[TOTAL COBERTURA]])+VLOOKUP(Tabla44[[#This Row],[SERVICIO 2025]],$J$2:$V$15,10,0)*Tabla44[[#This Row],[TOTAL COBERTURA]]</f>
        <v>5255628</v>
      </c>
      <c r="AZ124" s="35">
        <f>(VLOOKUP(Tabla44[[#This Row],[SERVICIO 2025]],$J$2:$V$15,3,0)*Tabla44[[#This Row],[TOTAL COBERTURA]])+VLOOKUP(Tabla44[[#This Row],[SERVICIO 2025]],$J$2:$V$15,10,0)*Tabla44[[#This Row],[TOTAL COBERTURA]]</f>
        <v>5255628</v>
      </c>
      <c r="BA124" s="35">
        <f>(VLOOKUP(Tabla44[[#This Row],[SERVICIO 2025]],$J$2:$V$15,3,0)*Tabla44[[#This Row],[TOTAL COBERTURA]])+VLOOKUP(Tabla44[[#This Row],[SERVICIO 2025]],$J$2:$V$15,10,0)*Tabla44[[#This Row],[TOTAL COBERTURA]]</f>
        <v>5255628</v>
      </c>
      <c r="BB124" s="35">
        <f>(VLOOKUP(Tabla44[[#This Row],[SERVICIO 2025]],$J$2:$V$15,3,0)*Tabla44[[#This Row],[TOTAL COBERTURA]])+VLOOKUP(Tabla44[[#This Row],[SERVICIO 2025]],$J$2:$V$15,10,0)*Tabla44[[#This Row],[TOTAL COBERTURA]]</f>
        <v>5255628</v>
      </c>
      <c r="BC12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124" s="35">
        <f>SUM(Tabla44[[#This Row],[DESEMBOLSO 1]:[DESEMBOLSO 8]])</f>
        <v>43479084</v>
      </c>
      <c r="BE124" s="12" t="b">
        <f>EXACT(Tabla44[[#This Row],[VALOR ATENCIÓN (8 MESES)]],Tabla44[[#This Row],[VALOR TOTAL]])</f>
        <v>1</v>
      </c>
      <c r="BF124" s="23">
        <f>Tabla44[[#This Row],[VALOR ATENCIÓN (8 MESES)]]-Tabla44[[#This Row],[VALOR TOTAL]]</f>
        <v>0</v>
      </c>
      <c r="BG124" s="12" t="b">
        <f>EXACT(Tabla44[[#This Row],[TOTAL DESEMBOLSOS]],Tabla44[[#This Row],[VALOR TOTAL DEL CONTRATO INCLUIDO EL COMPONENTE DE ALIMENTACIÓN]])</f>
        <v>1</v>
      </c>
      <c r="BH124" s="29">
        <f>Tabla44[[#This Row],[TOTAL DESEMBOLSOS]]-Tabla44[[#This Row],[VALOR TOTAL DEL CONTRATO INCLUIDO EL COMPONENTE DE ALIMENTACIÓN]]</f>
        <v>0</v>
      </c>
      <c r="BI124" t="s">
        <v>98</v>
      </c>
    </row>
    <row r="125" spans="1:61">
      <c r="A125" s="13">
        <v>1924</v>
      </c>
      <c r="B125" s="13"/>
      <c r="C125" s="12" t="s">
        <v>87</v>
      </c>
      <c r="D125" s="12" t="s">
        <v>1534</v>
      </c>
      <c r="E125" s="12" t="s">
        <v>3021</v>
      </c>
      <c r="F125" s="12" t="s">
        <v>18</v>
      </c>
      <c r="G125" s="12" t="s">
        <v>90</v>
      </c>
      <c r="H125" s="12" t="s">
        <v>3056</v>
      </c>
      <c r="I125" s="36">
        <v>54111144828</v>
      </c>
      <c r="J125" s="12" t="s">
        <v>3057</v>
      </c>
      <c r="K125" s="12">
        <v>1</v>
      </c>
      <c r="L125" s="12">
        <v>7</v>
      </c>
      <c r="M125" s="12"/>
      <c r="N125" s="13">
        <v>1924</v>
      </c>
      <c r="O125" s="12" t="s">
        <v>2850</v>
      </c>
      <c r="P125" s="12"/>
      <c r="Q125" s="12"/>
      <c r="R125" s="12" t="s">
        <v>94</v>
      </c>
      <c r="S125" s="12">
        <v>10</v>
      </c>
      <c r="T125" s="12">
        <v>811021339</v>
      </c>
      <c r="U125" s="12" t="s">
        <v>2851</v>
      </c>
      <c r="V125" s="12">
        <f>VLOOKUP(Tabla44[[#This Row],[ZONA DEFINITIVO]],[1]Hoja1!$A$1:$D$125,3,0)</f>
        <v>229935</v>
      </c>
      <c r="W125" s="12">
        <f>VLOOKUP(Tabla44[[#This Row],[ZONA DEFINITIVO]],[1]Hoja1!$A$1:$D$125,2,0)</f>
        <v>17252</v>
      </c>
      <c r="X125" s="12">
        <f>VLOOKUP(Tabla44[[#This Row],[ZONA DEFINITIVO]],[1]Hoja1!$A$1:$D$125,4,0)</f>
        <v>104125</v>
      </c>
      <c r="Y125" s="12" t="str">
        <f>+IF(Tabla44[[#This Row],[AGRUPACIONES]]=1,SUMIFS(Tabla44[UDS],Tabla44[ZONA DEFINITIVO],Tabla44[[#This Row],[ZONA DEFINITIVO]])," ")</f>
        <v xml:space="preserve"> </v>
      </c>
      <c r="Z125" s="12" t="str">
        <f>+IF(Tabla44[[#This Row],[AGRUPACIONES]]=1,SUMIFS(Tabla44[TOTAL COBERTURA],Tabla44[ZONA DEFINITIVO],Tabla44[[#This Row],[ZONA DEFINITIVO]])," ")</f>
        <v xml:space="preserve"> </v>
      </c>
      <c r="AA125" s="12"/>
      <c r="AB125" s="35">
        <v>15261351</v>
      </c>
      <c r="AC125" s="37">
        <v>0</v>
      </c>
      <c r="AD125" s="35">
        <f t="shared" si="2"/>
        <v>0</v>
      </c>
      <c r="AE125" s="12"/>
      <c r="AF125" s="12">
        <f>COUNTIF($A$20:A125,A125)</f>
        <v>55</v>
      </c>
      <c r="AG125" s="38">
        <v>15261351</v>
      </c>
      <c r="AH125" s="38">
        <f>Tabla44[[#This Row],[VALOR CONTRAPARTIDA]]+Tabla44[[#This Row],[TOTAL APORTES ICBF]]</f>
        <v>15261351</v>
      </c>
      <c r="AI125" s="35" t="str">
        <f>+IF(Tabla44[[#This Row],[AGRUPACIONES]]=1,SUMIFS(Tabla44[TOTAL APORTES ICBF],Tabla44[ZONA DEFINITIVO],Tabla44[[#This Row],[ZONA DEFINITIVO]])," ")</f>
        <v xml:space="preserve"> </v>
      </c>
      <c r="AJ125" s="38"/>
      <c r="AK125" s="38"/>
      <c r="AL125" s="35"/>
      <c r="AM125" s="35">
        <f>VLOOKUP(Tabla44[[#This Row],[SERVICIO 2025]],$J$2:$V$15,5,0)*Tabla44[[#This Row],[TOTAL COBERTURA]]</f>
        <v>345632</v>
      </c>
      <c r="AN125" s="35">
        <f>VLOOKUP(Tabla44[[#This Row],[SERVICIO 2025]],$J$2:$V$15,6,0)*Tabla44[[#This Row],[TOTAL COBERTURA]]</f>
        <v>287203</v>
      </c>
      <c r="AO125" s="35">
        <f>VLOOKUP(Tabla44[[#This Row],[SERVICIO 2025]],$J$2:$V$15,8,0)*Tabla44[[#This Row],[TOTAL COBERTURA]]</f>
        <v>203700</v>
      </c>
      <c r="AP125" s="35">
        <f>VLOOKUP(Tabla44[[#This Row],[SERVICIO 2025]],$J$2:$V$15,3,0)*Tabla44[[#This Row],[TOTAL COBERTURA]]*8</f>
        <v>14424816</v>
      </c>
      <c r="AQ125" s="35"/>
      <c r="AR125" s="35">
        <f>SUM(Tabla44[[#This Row],[VALOR FASE PREPARATORIA DE ALISTAMIENTO]:[VALOR RACION PREPARADA]])</f>
        <v>15261351</v>
      </c>
      <c r="AS125" s="35" t="str">
        <f>+IF(Tabla44[[#This Row],[AGRUPACIONES]]=1,SUMIFS(Tabla44[VALOR TOTAL],Tabla44[ZONA DEFINITIVO],Tabla44[[#This Row],[ZONA DEFINITIVO]])," ")</f>
        <v xml:space="preserve"> </v>
      </c>
      <c r="AT125" s="35">
        <f>VLOOKUP(Tabla44[[#This Row],[SERVICIO 2025]],$J$2:$V$15,10,0)*Tabla44[[#This Row],[TOTAL COBERTURA]]*$X$7</f>
        <v>10101448</v>
      </c>
      <c r="AU125" s="39">
        <f>Tabla44[[#This Row],[TOTAL CONTRATO (ICBF+EAS)]]+Tabla44[[#This Row],[VALOR COMPONENTE ALIMENTACION NO ASIGNADO]]</f>
        <v>25362799</v>
      </c>
      <c r="AV12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3615115</v>
      </c>
      <c r="AW125" s="35">
        <f>(VLOOKUP(Tabla44[[#This Row],[SERVICIO 2025]],$J$2:$V$15,3,0)*Tabla44[[#This Row],[TOTAL COBERTURA]])+VLOOKUP(Tabla44[[#This Row],[SERVICIO 2025]],$J$2:$V$15,10,0)*Tabla44[[#This Row],[TOTAL COBERTURA]]</f>
        <v>3065783</v>
      </c>
      <c r="AX125" s="35">
        <f>(VLOOKUP(Tabla44[[#This Row],[SERVICIO 2025]],$J$2:$V$15,3,0)*Tabla44[[#This Row],[TOTAL COBERTURA]])+VLOOKUP(Tabla44[[#This Row],[SERVICIO 2025]],$J$2:$V$15,10,0)*Tabla44[[#This Row],[TOTAL COBERTURA]]</f>
        <v>3065783</v>
      </c>
      <c r="AY125" s="35">
        <f>(VLOOKUP(Tabla44[[#This Row],[SERVICIO 2025]],$J$2:$V$15,3,0)*Tabla44[[#This Row],[TOTAL COBERTURA]])+VLOOKUP(Tabla44[[#This Row],[SERVICIO 2025]],$J$2:$V$15,10,0)*Tabla44[[#This Row],[TOTAL COBERTURA]]</f>
        <v>3065783</v>
      </c>
      <c r="AZ125" s="35">
        <f>(VLOOKUP(Tabla44[[#This Row],[SERVICIO 2025]],$J$2:$V$15,3,0)*Tabla44[[#This Row],[TOTAL COBERTURA]])+VLOOKUP(Tabla44[[#This Row],[SERVICIO 2025]],$J$2:$V$15,10,0)*Tabla44[[#This Row],[TOTAL COBERTURA]]</f>
        <v>3065783</v>
      </c>
      <c r="BA125" s="35">
        <f>(VLOOKUP(Tabla44[[#This Row],[SERVICIO 2025]],$J$2:$V$15,3,0)*Tabla44[[#This Row],[TOTAL COBERTURA]])+VLOOKUP(Tabla44[[#This Row],[SERVICIO 2025]],$J$2:$V$15,10,0)*Tabla44[[#This Row],[TOTAL COBERTURA]]</f>
        <v>3065783</v>
      </c>
      <c r="BB125" s="35">
        <f>(VLOOKUP(Tabla44[[#This Row],[SERVICIO 2025]],$J$2:$V$15,3,0)*Tabla44[[#This Row],[TOTAL COBERTURA]])+VLOOKUP(Tabla44[[#This Row],[SERVICIO 2025]],$J$2:$V$15,10,0)*Tabla44[[#This Row],[TOTAL COBERTURA]]</f>
        <v>3065783</v>
      </c>
      <c r="BC12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3352986</v>
      </c>
      <c r="BD125" s="35">
        <f>SUM(Tabla44[[#This Row],[DESEMBOLSO 1]:[DESEMBOLSO 8]])</f>
        <v>25362799</v>
      </c>
      <c r="BE125" s="12" t="b">
        <f>EXACT(Tabla44[[#This Row],[VALOR ATENCIÓN (8 MESES)]],Tabla44[[#This Row],[VALOR TOTAL]])</f>
        <v>1</v>
      </c>
      <c r="BF125" s="23">
        <f>Tabla44[[#This Row],[VALOR ATENCIÓN (8 MESES)]]-Tabla44[[#This Row],[VALOR TOTAL]]</f>
        <v>0</v>
      </c>
      <c r="BG125" s="12" t="b">
        <f>EXACT(Tabla44[[#This Row],[TOTAL DESEMBOLSOS]],Tabla44[[#This Row],[VALOR TOTAL DEL CONTRATO INCLUIDO EL COMPONENTE DE ALIMENTACIÓN]])</f>
        <v>1</v>
      </c>
      <c r="BH125" s="29">
        <f>Tabla44[[#This Row],[TOTAL DESEMBOLSOS]]-Tabla44[[#This Row],[VALOR TOTAL DEL CONTRATO INCLUIDO EL COMPONENTE DE ALIMENTACIÓN]]</f>
        <v>0</v>
      </c>
      <c r="BI125" t="s">
        <v>98</v>
      </c>
    </row>
    <row r="126" spans="1:61">
      <c r="A126" s="13">
        <v>1924</v>
      </c>
      <c r="B126" s="13"/>
      <c r="C126" s="12" t="s">
        <v>87</v>
      </c>
      <c r="D126" s="12" t="s">
        <v>1534</v>
      </c>
      <c r="E126" s="12" t="s">
        <v>3021</v>
      </c>
      <c r="F126" s="12" t="s">
        <v>18</v>
      </c>
      <c r="G126" s="12" t="s">
        <v>90</v>
      </c>
      <c r="H126" s="12" t="s">
        <v>3058</v>
      </c>
      <c r="I126" s="36">
        <v>54111144829</v>
      </c>
      <c r="J126" s="12" t="s">
        <v>3059</v>
      </c>
      <c r="K126" s="12">
        <v>1</v>
      </c>
      <c r="L126" s="12">
        <v>17</v>
      </c>
      <c r="M126" s="12"/>
      <c r="N126" s="13">
        <v>1924</v>
      </c>
      <c r="O126" s="12" t="s">
        <v>2850</v>
      </c>
      <c r="P126" s="12"/>
      <c r="Q126" s="12"/>
      <c r="R126" s="12" t="s">
        <v>94</v>
      </c>
      <c r="S126" s="12">
        <v>10</v>
      </c>
      <c r="T126" s="12">
        <v>811021339</v>
      </c>
      <c r="U126" s="12" t="s">
        <v>2851</v>
      </c>
      <c r="V126" s="12">
        <f>VLOOKUP(Tabla44[[#This Row],[ZONA DEFINITIVO]],[1]Hoja1!$A$1:$D$125,3,0)</f>
        <v>229935</v>
      </c>
      <c r="W126" s="12">
        <f>VLOOKUP(Tabla44[[#This Row],[ZONA DEFINITIVO]],[1]Hoja1!$A$1:$D$125,2,0)</f>
        <v>17252</v>
      </c>
      <c r="X126" s="12">
        <f>VLOOKUP(Tabla44[[#This Row],[ZONA DEFINITIVO]],[1]Hoja1!$A$1:$D$125,4,0)</f>
        <v>104125</v>
      </c>
      <c r="Y126" s="12" t="str">
        <f>+IF(Tabla44[[#This Row],[AGRUPACIONES]]=1,SUMIFS(Tabla44[UDS],Tabla44[ZONA DEFINITIVO],Tabla44[[#This Row],[ZONA DEFINITIVO]])," ")</f>
        <v xml:space="preserve"> </v>
      </c>
      <c r="Z126" s="12" t="str">
        <f>+IF(Tabla44[[#This Row],[AGRUPACIONES]]=1,SUMIFS(Tabla44[TOTAL COBERTURA],Tabla44[ZONA DEFINITIVO],Tabla44[[#This Row],[ZONA DEFINITIVO]])," ")</f>
        <v xml:space="preserve"> </v>
      </c>
      <c r="AA126" s="12"/>
      <c r="AB126" s="35">
        <v>37063281</v>
      </c>
      <c r="AC126" s="37">
        <v>0</v>
      </c>
      <c r="AD126" s="35">
        <f t="shared" si="2"/>
        <v>0</v>
      </c>
      <c r="AE126" s="12"/>
      <c r="AF126" s="12">
        <f>COUNTIF($A$20:A126,A126)</f>
        <v>56</v>
      </c>
      <c r="AG126" s="38">
        <v>37063281</v>
      </c>
      <c r="AH126" s="38">
        <f>Tabla44[[#This Row],[VALOR CONTRAPARTIDA]]+Tabla44[[#This Row],[TOTAL APORTES ICBF]]</f>
        <v>37063281</v>
      </c>
      <c r="AI126" s="35" t="str">
        <f>+IF(Tabla44[[#This Row],[AGRUPACIONES]]=1,SUMIFS(Tabla44[TOTAL APORTES ICBF],Tabla44[ZONA DEFINITIVO],Tabla44[[#This Row],[ZONA DEFINITIVO]])," ")</f>
        <v xml:space="preserve"> </v>
      </c>
      <c r="AJ126" s="38"/>
      <c r="AK126" s="38"/>
      <c r="AL126" s="35"/>
      <c r="AM126" s="35">
        <f>VLOOKUP(Tabla44[[#This Row],[SERVICIO 2025]],$J$2:$V$15,5,0)*Tabla44[[#This Row],[TOTAL COBERTURA]]</f>
        <v>839392</v>
      </c>
      <c r="AN126" s="35">
        <f>VLOOKUP(Tabla44[[#This Row],[SERVICIO 2025]],$J$2:$V$15,6,0)*Tabla44[[#This Row],[TOTAL COBERTURA]]</f>
        <v>697493</v>
      </c>
      <c r="AO126" s="35">
        <f>VLOOKUP(Tabla44[[#This Row],[SERVICIO 2025]],$J$2:$V$15,8,0)*Tabla44[[#This Row],[TOTAL COBERTURA]]</f>
        <v>494700</v>
      </c>
      <c r="AP126" s="35">
        <f>VLOOKUP(Tabla44[[#This Row],[SERVICIO 2025]],$J$2:$V$15,3,0)*Tabla44[[#This Row],[TOTAL COBERTURA]]*8</f>
        <v>35031696</v>
      </c>
      <c r="AQ126" s="35"/>
      <c r="AR126" s="35">
        <f>SUM(Tabla44[[#This Row],[VALOR FASE PREPARATORIA DE ALISTAMIENTO]:[VALOR RACION PREPARADA]])</f>
        <v>37063281</v>
      </c>
      <c r="AS126" s="35" t="str">
        <f>+IF(Tabla44[[#This Row],[AGRUPACIONES]]=1,SUMIFS(Tabla44[VALOR TOTAL],Tabla44[ZONA DEFINITIVO],Tabla44[[#This Row],[ZONA DEFINITIVO]])," ")</f>
        <v xml:space="preserve"> </v>
      </c>
      <c r="AT126" s="35">
        <f>VLOOKUP(Tabla44[[#This Row],[SERVICIO 2025]],$J$2:$V$15,10,0)*Tabla44[[#This Row],[TOTAL COBERTURA]]*$X$7</f>
        <v>24532088</v>
      </c>
      <c r="AU126" s="39">
        <f>Tabla44[[#This Row],[TOTAL CONTRATO (ICBF+EAS)]]+Tabla44[[#This Row],[VALOR COMPONENTE ALIMENTACION NO ASIGNADO]]</f>
        <v>61595369</v>
      </c>
      <c r="AV12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126" s="35">
        <f>(VLOOKUP(Tabla44[[#This Row],[SERVICIO 2025]],$J$2:$V$15,3,0)*Tabla44[[#This Row],[TOTAL COBERTURA]])+VLOOKUP(Tabla44[[#This Row],[SERVICIO 2025]],$J$2:$V$15,10,0)*Tabla44[[#This Row],[TOTAL COBERTURA]]</f>
        <v>7445473</v>
      </c>
      <c r="AX126" s="35">
        <f>(VLOOKUP(Tabla44[[#This Row],[SERVICIO 2025]],$J$2:$V$15,3,0)*Tabla44[[#This Row],[TOTAL COBERTURA]])+VLOOKUP(Tabla44[[#This Row],[SERVICIO 2025]],$J$2:$V$15,10,0)*Tabla44[[#This Row],[TOTAL COBERTURA]]</f>
        <v>7445473</v>
      </c>
      <c r="AY126" s="35">
        <f>(VLOOKUP(Tabla44[[#This Row],[SERVICIO 2025]],$J$2:$V$15,3,0)*Tabla44[[#This Row],[TOTAL COBERTURA]])+VLOOKUP(Tabla44[[#This Row],[SERVICIO 2025]],$J$2:$V$15,10,0)*Tabla44[[#This Row],[TOTAL COBERTURA]]</f>
        <v>7445473</v>
      </c>
      <c r="AZ126" s="35">
        <f>(VLOOKUP(Tabla44[[#This Row],[SERVICIO 2025]],$J$2:$V$15,3,0)*Tabla44[[#This Row],[TOTAL COBERTURA]])+VLOOKUP(Tabla44[[#This Row],[SERVICIO 2025]],$J$2:$V$15,10,0)*Tabla44[[#This Row],[TOTAL COBERTURA]]</f>
        <v>7445473</v>
      </c>
      <c r="BA126" s="35">
        <f>(VLOOKUP(Tabla44[[#This Row],[SERVICIO 2025]],$J$2:$V$15,3,0)*Tabla44[[#This Row],[TOTAL COBERTURA]])+VLOOKUP(Tabla44[[#This Row],[SERVICIO 2025]],$J$2:$V$15,10,0)*Tabla44[[#This Row],[TOTAL COBERTURA]]</f>
        <v>7445473</v>
      </c>
      <c r="BB126" s="35">
        <f>(VLOOKUP(Tabla44[[#This Row],[SERVICIO 2025]],$J$2:$V$15,3,0)*Tabla44[[#This Row],[TOTAL COBERTURA]])+VLOOKUP(Tabla44[[#This Row],[SERVICIO 2025]],$J$2:$V$15,10,0)*Tabla44[[#This Row],[TOTAL COBERTURA]]</f>
        <v>7445473</v>
      </c>
      <c r="BC12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126" s="35">
        <f>SUM(Tabla44[[#This Row],[DESEMBOLSO 1]:[DESEMBOLSO 8]])</f>
        <v>61595369</v>
      </c>
      <c r="BE126" s="12" t="b">
        <f>EXACT(Tabla44[[#This Row],[VALOR ATENCIÓN (8 MESES)]],Tabla44[[#This Row],[VALOR TOTAL]])</f>
        <v>1</v>
      </c>
      <c r="BF126" s="23">
        <f>Tabla44[[#This Row],[VALOR ATENCIÓN (8 MESES)]]-Tabla44[[#This Row],[VALOR TOTAL]]</f>
        <v>0</v>
      </c>
      <c r="BG126" s="12" t="b">
        <f>EXACT(Tabla44[[#This Row],[TOTAL DESEMBOLSOS]],Tabla44[[#This Row],[VALOR TOTAL DEL CONTRATO INCLUIDO EL COMPONENTE DE ALIMENTACIÓN]])</f>
        <v>1</v>
      </c>
      <c r="BH126" s="29">
        <f>Tabla44[[#This Row],[TOTAL DESEMBOLSOS]]-Tabla44[[#This Row],[VALOR TOTAL DEL CONTRATO INCLUIDO EL COMPONENTE DE ALIMENTACIÓN]]</f>
        <v>0</v>
      </c>
      <c r="BI126" t="s">
        <v>98</v>
      </c>
    </row>
    <row r="127" spans="1:61">
      <c r="A127" s="13">
        <v>1924</v>
      </c>
      <c r="B127" s="13"/>
      <c r="C127" s="12" t="s">
        <v>87</v>
      </c>
      <c r="D127" s="12" t="s">
        <v>1534</v>
      </c>
      <c r="E127" s="12" t="s">
        <v>3021</v>
      </c>
      <c r="F127" s="12" t="s">
        <v>18</v>
      </c>
      <c r="G127" s="12" t="s">
        <v>90</v>
      </c>
      <c r="H127" s="12" t="s">
        <v>3060</v>
      </c>
      <c r="I127" s="36">
        <v>54111150186</v>
      </c>
      <c r="J127" s="12" t="s">
        <v>3061</v>
      </c>
      <c r="K127" s="12">
        <v>1</v>
      </c>
      <c r="L127" s="12">
        <v>8</v>
      </c>
      <c r="M127" s="12"/>
      <c r="N127" s="13">
        <v>1924</v>
      </c>
      <c r="O127" s="12" t="s">
        <v>2850</v>
      </c>
      <c r="P127" s="12"/>
      <c r="Q127" s="12"/>
      <c r="R127" s="12" t="s">
        <v>94</v>
      </c>
      <c r="S127" s="12">
        <v>10</v>
      </c>
      <c r="T127" s="12">
        <v>811021339</v>
      </c>
      <c r="U127" s="12" t="s">
        <v>2851</v>
      </c>
      <c r="V127" s="12">
        <f>VLOOKUP(Tabla44[[#This Row],[ZONA DEFINITIVO]],[1]Hoja1!$A$1:$D$125,3,0)</f>
        <v>229935</v>
      </c>
      <c r="W127" s="12">
        <f>VLOOKUP(Tabla44[[#This Row],[ZONA DEFINITIVO]],[1]Hoja1!$A$1:$D$125,2,0)</f>
        <v>17252</v>
      </c>
      <c r="X127" s="12">
        <f>VLOOKUP(Tabla44[[#This Row],[ZONA DEFINITIVO]],[1]Hoja1!$A$1:$D$125,4,0)</f>
        <v>104125</v>
      </c>
      <c r="Y127" s="12" t="str">
        <f>+IF(Tabla44[[#This Row],[AGRUPACIONES]]=1,SUMIFS(Tabla44[UDS],Tabla44[ZONA DEFINITIVO],Tabla44[[#This Row],[ZONA DEFINITIVO]])," ")</f>
        <v xml:space="preserve"> </v>
      </c>
      <c r="Z127" s="12" t="str">
        <f>+IF(Tabla44[[#This Row],[AGRUPACIONES]]=1,SUMIFS(Tabla44[TOTAL COBERTURA],Tabla44[ZONA DEFINITIVO],Tabla44[[#This Row],[ZONA DEFINITIVO]])," ")</f>
        <v xml:space="preserve"> </v>
      </c>
      <c r="AA127" s="12"/>
      <c r="AB127" s="35">
        <v>17441544</v>
      </c>
      <c r="AC127" s="37">
        <v>0</v>
      </c>
      <c r="AD127" s="35">
        <f t="shared" si="2"/>
        <v>0</v>
      </c>
      <c r="AE127" s="12"/>
      <c r="AF127" s="12">
        <f>COUNTIF($A$20:A127,A127)</f>
        <v>57</v>
      </c>
      <c r="AG127" s="38">
        <v>17441544</v>
      </c>
      <c r="AH127" s="38">
        <f>Tabla44[[#This Row],[VALOR CONTRAPARTIDA]]+Tabla44[[#This Row],[TOTAL APORTES ICBF]]</f>
        <v>17441544</v>
      </c>
      <c r="AI127" s="35" t="str">
        <f>+IF(Tabla44[[#This Row],[AGRUPACIONES]]=1,SUMIFS(Tabla44[TOTAL APORTES ICBF],Tabla44[ZONA DEFINITIVO],Tabla44[[#This Row],[ZONA DEFINITIVO]])," ")</f>
        <v xml:space="preserve"> </v>
      </c>
      <c r="AJ127" s="38"/>
      <c r="AK127" s="38"/>
      <c r="AL127" s="35"/>
      <c r="AM127" s="35">
        <f>VLOOKUP(Tabla44[[#This Row],[SERVICIO 2025]],$J$2:$V$15,5,0)*Tabla44[[#This Row],[TOTAL COBERTURA]]</f>
        <v>395008</v>
      </c>
      <c r="AN127" s="35">
        <f>VLOOKUP(Tabla44[[#This Row],[SERVICIO 2025]],$J$2:$V$15,6,0)*Tabla44[[#This Row],[TOTAL COBERTURA]]</f>
        <v>328232</v>
      </c>
      <c r="AO127" s="35">
        <f>VLOOKUP(Tabla44[[#This Row],[SERVICIO 2025]],$J$2:$V$15,8,0)*Tabla44[[#This Row],[TOTAL COBERTURA]]</f>
        <v>232800</v>
      </c>
      <c r="AP127" s="35">
        <f>VLOOKUP(Tabla44[[#This Row],[SERVICIO 2025]],$J$2:$V$15,3,0)*Tabla44[[#This Row],[TOTAL COBERTURA]]*8</f>
        <v>16485504</v>
      </c>
      <c r="AQ127" s="35"/>
      <c r="AR127" s="35">
        <f>SUM(Tabla44[[#This Row],[VALOR FASE PREPARATORIA DE ALISTAMIENTO]:[VALOR RACION PREPARADA]])</f>
        <v>17441544</v>
      </c>
      <c r="AS127" s="35" t="str">
        <f>+IF(Tabla44[[#This Row],[AGRUPACIONES]]=1,SUMIFS(Tabla44[VALOR TOTAL],Tabla44[ZONA DEFINITIVO],Tabla44[[#This Row],[ZONA DEFINITIVO]])," ")</f>
        <v xml:space="preserve"> </v>
      </c>
      <c r="AT127" s="35">
        <f>VLOOKUP(Tabla44[[#This Row],[SERVICIO 2025]],$J$2:$V$15,10,0)*Tabla44[[#This Row],[TOTAL COBERTURA]]*$X$7</f>
        <v>11544512</v>
      </c>
      <c r="AU127" s="39">
        <f>Tabla44[[#This Row],[TOTAL CONTRATO (ICBF+EAS)]]+Tabla44[[#This Row],[VALOR COMPONENTE ALIMENTACION NO ASIGNADO]]</f>
        <v>28986056</v>
      </c>
      <c r="AV12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4131560</v>
      </c>
      <c r="AW127" s="35">
        <f>(VLOOKUP(Tabla44[[#This Row],[SERVICIO 2025]],$J$2:$V$15,3,0)*Tabla44[[#This Row],[TOTAL COBERTURA]])+VLOOKUP(Tabla44[[#This Row],[SERVICIO 2025]],$J$2:$V$15,10,0)*Tabla44[[#This Row],[TOTAL COBERTURA]]</f>
        <v>3503752</v>
      </c>
      <c r="AX127" s="35">
        <f>(VLOOKUP(Tabla44[[#This Row],[SERVICIO 2025]],$J$2:$V$15,3,0)*Tabla44[[#This Row],[TOTAL COBERTURA]])+VLOOKUP(Tabla44[[#This Row],[SERVICIO 2025]],$J$2:$V$15,10,0)*Tabla44[[#This Row],[TOTAL COBERTURA]]</f>
        <v>3503752</v>
      </c>
      <c r="AY127" s="35">
        <f>(VLOOKUP(Tabla44[[#This Row],[SERVICIO 2025]],$J$2:$V$15,3,0)*Tabla44[[#This Row],[TOTAL COBERTURA]])+VLOOKUP(Tabla44[[#This Row],[SERVICIO 2025]],$J$2:$V$15,10,0)*Tabla44[[#This Row],[TOTAL COBERTURA]]</f>
        <v>3503752</v>
      </c>
      <c r="AZ127" s="35">
        <f>(VLOOKUP(Tabla44[[#This Row],[SERVICIO 2025]],$J$2:$V$15,3,0)*Tabla44[[#This Row],[TOTAL COBERTURA]])+VLOOKUP(Tabla44[[#This Row],[SERVICIO 2025]],$J$2:$V$15,10,0)*Tabla44[[#This Row],[TOTAL COBERTURA]]</f>
        <v>3503752</v>
      </c>
      <c r="BA127" s="35">
        <f>(VLOOKUP(Tabla44[[#This Row],[SERVICIO 2025]],$J$2:$V$15,3,0)*Tabla44[[#This Row],[TOTAL COBERTURA]])+VLOOKUP(Tabla44[[#This Row],[SERVICIO 2025]],$J$2:$V$15,10,0)*Tabla44[[#This Row],[TOTAL COBERTURA]]</f>
        <v>3503752</v>
      </c>
      <c r="BB127" s="35">
        <f>(VLOOKUP(Tabla44[[#This Row],[SERVICIO 2025]],$J$2:$V$15,3,0)*Tabla44[[#This Row],[TOTAL COBERTURA]])+VLOOKUP(Tabla44[[#This Row],[SERVICIO 2025]],$J$2:$V$15,10,0)*Tabla44[[#This Row],[TOTAL COBERTURA]]</f>
        <v>3503752</v>
      </c>
      <c r="BC12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3831984</v>
      </c>
      <c r="BD127" s="35">
        <f>SUM(Tabla44[[#This Row],[DESEMBOLSO 1]:[DESEMBOLSO 8]])</f>
        <v>28986056</v>
      </c>
      <c r="BE127" s="12" t="b">
        <f>EXACT(Tabla44[[#This Row],[VALOR ATENCIÓN (8 MESES)]],Tabla44[[#This Row],[VALOR TOTAL]])</f>
        <v>1</v>
      </c>
      <c r="BF127" s="23">
        <f>Tabla44[[#This Row],[VALOR ATENCIÓN (8 MESES)]]-Tabla44[[#This Row],[VALOR TOTAL]]</f>
        <v>0</v>
      </c>
      <c r="BG127" s="12" t="b">
        <f>EXACT(Tabla44[[#This Row],[TOTAL DESEMBOLSOS]],Tabla44[[#This Row],[VALOR TOTAL DEL CONTRATO INCLUIDO EL COMPONENTE DE ALIMENTACIÓN]])</f>
        <v>1</v>
      </c>
      <c r="BH127" s="29">
        <f>Tabla44[[#This Row],[TOTAL DESEMBOLSOS]]-Tabla44[[#This Row],[VALOR TOTAL DEL CONTRATO INCLUIDO EL COMPONENTE DE ALIMENTACIÓN]]</f>
        <v>0</v>
      </c>
      <c r="BI127" t="s">
        <v>98</v>
      </c>
    </row>
    <row r="128" spans="1:61">
      <c r="A128" s="21">
        <v>1924</v>
      </c>
      <c r="B128" s="21"/>
      <c r="C128" s="22" t="s">
        <v>87</v>
      </c>
      <c r="D128" s="22" t="s">
        <v>1534</v>
      </c>
      <c r="E128" s="22" t="s">
        <v>3021</v>
      </c>
      <c r="F128" s="22" t="s">
        <v>14</v>
      </c>
      <c r="G128" s="12" t="s">
        <v>90</v>
      </c>
      <c r="H128" s="22" t="s">
        <v>3062</v>
      </c>
      <c r="I128" s="36">
        <v>541100102496</v>
      </c>
      <c r="J128" s="22" t="s">
        <v>1789</v>
      </c>
      <c r="K128" s="12">
        <v>1</v>
      </c>
      <c r="L128" s="22">
        <v>48</v>
      </c>
      <c r="M128" s="22"/>
      <c r="N128" s="21">
        <v>1924</v>
      </c>
      <c r="O128" s="22" t="s">
        <v>2850</v>
      </c>
      <c r="P128" s="22"/>
      <c r="Q128" s="22"/>
      <c r="R128" s="12" t="s">
        <v>94</v>
      </c>
      <c r="S128" s="12">
        <v>10</v>
      </c>
      <c r="T128" s="12">
        <v>811021339</v>
      </c>
      <c r="U128" s="12" t="s">
        <v>2851</v>
      </c>
      <c r="V128" s="22">
        <f>VLOOKUP(Tabla44[[#This Row],[ZONA DEFINITIVO]],[1]Hoja1!$A$1:$D$125,3,0)</f>
        <v>229935</v>
      </c>
      <c r="W128" s="22">
        <f>VLOOKUP(Tabla44[[#This Row],[ZONA DEFINITIVO]],[1]Hoja1!$A$1:$D$125,2,0)</f>
        <v>17252</v>
      </c>
      <c r="X128" s="22">
        <f>VLOOKUP(Tabla44[[#This Row],[ZONA DEFINITIVO]],[1]Hoja1!$A$1:$D$125,4,0)</f>
        <v>104125</v>
      </c>
      <c r="Y128" s="22" t="str">
        <f>+IF(Tabla44[[#This Row],[AGRUPACIONES]]=1,SUMIFS(Tabla44[UDS],Tabla44[ZONA DEFINITIVO],Tabla44[[#This Row],[ZONA DEFINITIVO]])," ")</f>
        <v xml:space="preserve"> </v>
      </c>
      <c r="Z128" s="22" t="str">
        <f>+IF(Tabla44[[#This Row],[AGRUPACIONES]]=1,SUMIFS(Tabla44[TOTAL COBERTURA],Tabla44[ZONA DEFINITIVO],Tabla44[[#This Row],[ZONA DEFINITIVO]])," ")</f>
        <v xml:space="preserve"> </v>
      </c>
      <c r="AA128" s="22"/>
      <c r="AB128" s="40">
        <v>201064800</v>
      </c>
      <c r="AC128" s="37">
        <v>0</v>
      </c>
      <c r="AD128" s="40">
        <f t="shared" si="2"/>
        <v>0</v>
      </c>
      <c r="AE128" s="22"/>
      <c r="AF128" s="12">
        <f>COUNTIF($A$20:A128,A128)</f>
        <v>58</v>
      </c>
      <c r="AG128" s="41">
        <v>201064800</v>
      </c>
      <c r="AH128" s="41">
        <f>Tabla44[[#This Row],[VALOR CONTRAPARTIDA]]+Tabla44[[#This Row],[TOTAL APORTES ICBF]]</f>
        <v>201064800</v>
      </c>
      <c r="AI128" s="40" t="str">
        <f>+IF(Tabla44[[#This Row],[AGRUPACIONES]]=1,SUMIFS(Tabla44[TOTAL APORTES ICBF],Tabla44[ZONA DEFINITIVO],Tabla44[[#This Row],[ZONA DEFINITIVO]])," ")</f>
        <v xml:space="preserve"> </v>
      </c>
      <c r="AJ128" s="41"/>
      <c r="AK128" s="41"/>
      <c r="AL128" s="40"/>
      <c r="AM128" s="40">
        <f>VLOOKUP(Tabla44[[#This Row],[SERVICIO 2025]],$J$2:$V$15,5,0)*Tabla44[[#This Row],[TOTAL COBERTURA]]</f>
        <v>4230864</v>
      </c>
      <c r="AN128" s="40">
        <f>VLOOKUP(Tabla44[[#This Row],[SERVICIO 2025]],$J$2:$V$15,6,0)*Tabla44[[#This Row],[TOTAL COBERTURA]]</f>
        <v>3602064</v>
      </c>
      <c r="AO128" s="40">
        <f>VLOOKUP(Tabla44[[#This Row],[SERVICIO 2025]],$J$2:$V$15,8,0)*Tabla44[[#This Row],[TOTAL COBERTURA]]</f>
        <v>0</v>
      </c>
      <c r="AP128" s="40">
        <f>VLOOKUP(Tabla44[[#This Row],[SERVICIO 2025]],$J$2:$V$15,3,0)*Tabla44[[#This Row],[TOTAL COBERTURA]]*8</f>
        <v>193231872</v>
      </c>
      <c r="AQ128" s="40"/>
      <c r="AR128" s="40">
        <f>SUM(Tabla44[[#This Row],[VALOR FASE PREPARATORIA DE ALISTAMIENTO]:[VALOR RACION PREPARADA]])</f>
        <v>201064800</v>
      </c>
      <c r="AS128" s="40" t="str">
        <f>+IF(Tabla44[[#This Row],[AGRUPACIONES]]=1,SUMIFS(Tabla44[VALOR TOTAL],Tabla44[ZONA DEFINITIVO],Tabla44[[#This Row],[ZONA DEFINITIVO]])," ")</f>
        <v xml:space="preserve"> </v>
      </c>
      <c r="AT128" s="35">
        <f>VLOOKUP(Tabla44[[#This Row],[SERVICIO 2025]],$J$2:$V$15,10,0)*Tabla44[[#This Row],[TOTAL COBERTURA]]*$X$7</f>
        <v>0</v>
      </c>
      <c r="AU128" s="42">
        <f>Tabla44[[#This Row],[TOTAL CONTRATO (ICBF+EAS)]]+Tabla44[[#This Row],[VALOR COMPONENTE ALIMENTACION NO ASIGNADO]]</f>
        <v>201064800</v>
      </c>
      <c r="AV12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28384848</v>
      </c>
      <c r="AW128" s="35">
        <f>(VLOOKUP(Tabla44[[#This Row],[SERVICIO 2025]],$J$2:$V$15,3,0)*Tabla44[[#This Row],[TOTAL COBERTURA]])+VLOOKUP(Tabla44[[#This Row],[SERVICIO 2025]],$J$2:$V$15,10,0)*Tabla44[[#This Row],[TOTAL COBERTURA]]</f>
        <v>24153984</v>
      </c>
      <c r="AX128" s="40">
        <f>(VLOOKUP(Tabla44[[#This Row],[SERVICIO 2025]],$J$2:$V$15,3,0)*Tabla44[[#This Row],[TOTAL COBERTURA]])+VLOOKUP(Tabla44[[#This Row],[SERVICIO 2025]],$J$2:$V$15,10,0)*Tabla44[[#This Row],[TOTAL COBERTURA]]</f>
        <v>24153984</v>
      </c>
      <c r="AY128" s="40">
        <f>(VLOOKUP(Tabla44[[#This Row],[SERVICIO 2025]],$J$2:$V$15,3,0)*Tabla44[[#This Row],[TOTAL COBERTURA]])+VLOOKUP(Tabla44[[#This Row],[SERVICIO 2025]],$J$2:$V$15,10,0)*Tabla44[[#This Row],[TOTAL COBERTURA]]</f>
        <v>24153984</v>
      </c>
      <c r="AZ128" s="40">
        <f>(VLOOKUP(Tabla44[[#This Row],[SERVICIO 2025]],$J$2:$V$15,3,0)*Tabla44[[#This Row],[TOTAL COBERTURA]])+VLOOKUP(Tabla44[[#This Row],[SERVICIO 2025]],$J$2:$V$15,10,0)*Tabla44[[#This Row],[TOTAL COBERTURA]]</f>
        <v>24153984</v>
      </c>
      <c r="BA128" s="40">
        <f>(VLOOKUP(Tabla44[[#This Row],[SERVICIO 2025]],$J$2:$V$15,3,0)*Tabla44[[#This Row],[TOTAL COBERTURA]])+VLOOKUP(Tabla44[[#This Row],[SERVICIO 2025]],$J$2:$V$15,10,0)*Tabla44[[#This Row],[TOTAL COBERTURA]]</f>
        <v>24153984</v>
      </c>
      <c r="BB128" s="40">
        <f>(VLOOKUP(Tabla44[[#This Row],[SERVICIO 2025]],$J$2:$V$15,3,0)*Tabla44[[#This Row],[TOTAL COBERTURA]])+VLOOKUP(Tabla44[[#This Row],[SERVICIO 2025]],$J$2:$V$15,10,0)*Tabla44[[#This Row],[TOTAL COBERTURA]]</f>
        <v>24153984</v>
      </c>
      <c r="BC128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27756048</v>
      </c>
      <c r="BD128" s="40">
        <f>SUM(Tabla44[[#This Row],[DESEMBOLSO 1]:[DESEMBOLSO 8]])</f>
        <v>201064800</v>
      </c>
      <c r="BE128" s="22" t="b">
        <f>EXACT(Tabla44[[#This Row],[VALOR ATENCIÓN (8 MESES)]],Tabla44[[#This Row],[VALOR TOTAL]])</f>
        <v>1</v>
      </c>
      <c r="BF128" s="28">
        <f>Tabla44[[#This Row],[VALOR ATENCIÓN (8 MESES)]]-Tabla44[[#This Row],[VALOR TOTAL]]</f>
        <v>0</v>
      </c>
      <c r="BG128" s="22" t="b">
        <f>EXACT(Tabla44[[#This Row],[TOTAL DESEMBOLSOS]],Tabla44[[#This Row],[VALOR TOTAL DEL CONTRATO INCLUIDO EL COMPONENTE DE ALIMENTACIÓN]])</f>
        <v>1</v>
      </c>
      <c r="BH128" s="29">
        <f>Tabla44[[#This Row],[TOTAL DESEMBOLSOS]]-Tabla44[[#This Row],[VALOR TOTAL DEL CONTRATO INCLUIDO EL COMPONENTE DE ALIMENTACIÓN]]</f>
        <v>0</v>
      </c>
      <c r="BI128" t="s">
        <v>98</v>
      </c>
    </row>
    <row r="129" spans="1:61">
      <c r="A129" s="13">
        <v>1924</v>
      </c>
      <c r="B129" s="13"/>
      <c r="C129" s="12" t="s">
        <v>87</v>
      </c>
      <c r="D129" s="12" t="s">
        <v>1534</v>
      </c>
      <c r="E129" s="12" t="s">
        <v>3063</v>
      </c>
      <c r="F129" s="12" t="s">
        <v>18</v>
      </c>
      <c r="G129" s="12" t="s">
        <v>90</v>
      </c>
      <c r="H129" s="12" t="s">
        <v>3064</v>
      </c>
      <c r="I129" s="36">
        <v>56281136186</v>
      </c>
      <c r="J129" s="12" t="s">
        <v>3065</v>
      </c>
      <c r="K129" s="12">
        <v>1</v>
      </c>
      <c r="L129" s="12">
        <v>13</v>
      </c>
      <c r="M129" s="12"/>
      <c r="N129" s="13">
        <v>1924</v>
      </c>
      <c r="O129" s="12" t="s">
        <v>2850</v>
      </c>
      <c r="P129" s="12"/>
      <c r="Q129" s="12"/>
      <c r="R129" s="12" t="s">
        <v>94</v>
      </c>
      <c r="S129" s="12">
        <v>10</v>
      </c>
      <c r="T129" s="12">
        <v>811021339</v>
      </c>
      <c r="U129" s="12" t="s">
        <v>2851</v>
      </c>
      <c r="V129" s="12">
        <f>VLOOKUP(Tabla44[[#This Row],[ZONA DEFINITIVO]],[1]Hoja1!$A$1:$D$125,3,0)</f>
        <v>229935</v>
      </c>
      <c r="W129" s="12">
        <f>VLOOKUP(Tabla44[[#This Row],[ZONA DEFINITIVO]],[1]Hoja1!$A$1:$D$125,2,0)</f>
        <v>17252</v>
      </c>
      <c r="X129" s="12">
        <f>VLOOKUP(Tabla44[[#This Row],[ZONA DEFINITIVO]],[1]Hoja1!$A$1:$D$125,4,0)</f>
        <v>104125</v>
      </c>
      <c r="Y129" s="12" t="str">
        <f>+IF(Tabla44[[#This Row],[AGRUPACIONES]]=1,SUMIFS(Tabla44[UDS],Tabla44[ZONA DEFINITIVO],Tabla44[[#This Row],[ZONA DEFINITIVO]])," ")</f>
        <v xml:space="preserve"> </v>
      </c>
      <c r="Z129" s="12" t="str">
        <f>+IF(Tabla44[[#This Row],[AGRUPACIONES]]=1,SUMIFS(Tabla44[TOTAL COBERTURA],Tabla44[ZONA DEFINITIVO],Tabla44[[#This Row],[ZONA DEFINITIVO]])," ")</f>
        <v xml:space="preserve"> </v>
      </c>
      <c r="AA129" s="12"/>
      <c r="AB129" s="35">
        <v>28342509</v>
      </c>
      <c r="AC129" s="37">
        <v>0</v>
      </c>
      <c r="AD129" s="35">
        <f t="shared" si="2"/>
        <v>0</v>
      </c>
      <c r="AE129" s="12"/>
      <c r="AF129" s="12">
        <f>COUNTIF($A$20:A129,A129)</f>
        <v>59</v>
      </c>
      <c r="AG129" s="38">
        <v>28342509</v>
      </c>
      <c r="AH129" s="38">
        <f>Tabla44[[#This Row],[VALOR CONTRAPARTIDA]]+Tabla44[[#This Row],[TOTAL APORTES ICBF]]</f>
        <v>28342509</v>
      </c>
      <c r="AI129" s="35" t="str">
        <f>+IF(Tabla44[[#This Row],[AGRUPACIONES]]=1,SUMIFS(Tabla44[TOTAL APORTES ICBF],Tabla44[ZONA DEFINITIVO],Tabla44[[#This Row],[ZONA DEFINITIVO]])," ")</f>
        <v xml:space="preserve"> </v>
      </c>
      <c r="AJ129" s="38"/>
      <c r="AK129" s="38"/>
      <c r="AL129" s="35"/>
      <c r="AM129" s="35">
        <f>VLOOKUP(Tabla44[[#This Row],[SERVICIO 2025]],$J$2:$V$15,5,0)*Tabla44[[#This Row],[TOTAL COBERTURA]]</f>
        <v>641888</v>
      </c>
      <c r="AN129" s="35">
        <f>VLOOKUP(Tabla44[[#This Row],[SERVICIO 2025]],$J$2:$V$15,6,0)*Tabla44[[#This Row],[TOTAL COBERTURA]]</f>
        <v>533377</v>
      </c>
      <c r="AO129" s="35">
        <f>VLOOKUP(Tabla44[[#This Row],[SERVICIO 2025]],$J$2:$V$15,8,0)*Tabla44[[#This Row],[TOTAL COBERTURA]]</f>
        <v>378300</v>
      </c>
      <c r="AP129" s="35">
        <f>VLOOKUP(Tabla44[[#This Row],[SERVICIO 2025]],$J$2:$V$15,3,0)*Tabla44[[#This Row],[TOTAL COBERTURA]]*8</f>
        <v>26788944</v>
      </c>
      <c r="AQ129" s="35"/>
      <c r="AR129" s="35">
        <f>SUM(Tabla44[[#This Row],[VALOR FASE PREPARATORIA DE ALISTAMIENTO]:[VALOR RACION PREPARADA]])</f>
        <v>28342509</v>
      </c>
      <c r="AS129" s="35" t="str">
        <f>+IF(Tabla44[[#This Row],[AGRUPACIONES]]=1,SUMIFS(Tabla44[VALOR TOTAL],Tabla44[ZONA DEFINITIVO],Tabla44[[#This Row],[ZONA DEFINITIVO]])," ")</f>
        <v xml:space="preserve"> </v>
      </c>
      <c r="AT129" s="35">
        <f>VLOOKUP(Tabla44[[#This Row],[SERVICIO 2025]],$J$2:$V$15,10,0)*Tabla44[[#This Row],[TOTAL COBERTURA]]*$X$7</f>
        <v>18759832</v>
      </c>
      <c r="AU129" s="39">
        <f>Tabla44[[#This Row],[TOTAL CONTRATO (ICBF+EAS)]]+Tabla44[[#This Row],[VALOR COMPONENTE ALIMENTACION NO ASIGNADO]]</f>
        <v>47102341</v>
      </c>
      <c r="AV12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129" s="35">
        <f>(VLOOKUP(Tabla44[[#This Row],[SERVICIO 2025]],$J$2:$V$15,3,0)*Tabla44[[#This Row],[TOTAL COBERTURA]])+VLOOKUP(Tabla44[[#This Row],[SERVICIO 2025]],$J$2:$V$15,10,0)*Tabla44[[#This Row],[TOTAL COBERTURA]]</f>
        <v>5693597</v>
      </c>
      <c r="AX129" s="35">
        <f>(VLOOKUP(Tabla44[[#This Row],[SERVICIO 2025]],$J$2:$V$15,3,0)*Tabla44[[#This Row],[TOTAL COBERTURA]])+VLOOKUP(Tabla44[[#This Row],[SERVICIO 2025]],$J$2:$V$15,10,0)*Tabla44[[#This Row],[TOTAL COBERTURA]]</f>
        <v>5693597</v>
      </c>
      <c r="AY129" s="35">
        <f>(VLOOKUP(Tabla44[[#This Row],[SERVICIO 2025]],$J$2:$V$15,3,0)*Tabla44[[#This Row],[TOTAL COBERTURA]])+VLOOKUP(Tabla44[[#This Row],[SERVICIO 2025]],$J$2:$V$15,10,0)*Tabla44[[#This Row],[TOTAL COBERTURA]]</f>
        <v>5693597</v>
      </c>
      <c r="AZ129" s="35">
        <f>(VLOOKUP(Tabla44[[#This Row],[SERVICIO 2025]],$J$2:$V$15,3,0)*Tabla44[[#This Row],[TOTAL COBERTURA]])+VLOOKUP(Tabla44[[#This Row],[SERVICIO 2025]],$J$2:$V$15,10,0)*Tabla44[[#This Row],[TOTAL COBERTURA]]</f>
        <v>5693597</v>
      </c>
      <c r="BA129" s="35">
        <f>(VLOOKUP(Tabla44[[#This Row],[SERVICIO 2025]],$J$2:$V$15,3,0)*Tabla44[[#This Row],[TOTAL COBERTURA]])+VLOOKUP(Tabla44[[#This Row],[SERVICIO 2025]],$J$2:$V$15,10,0)*Tabla44[[#This Row],[TOTAL COBERTURA]]</f>
        <v>5693597</v>
      </c>
      <c r="BB129" s="35">
        <f>(VLOOKUP(Tabla44[[#This Row],[SERVICIO 2025]],$J$2:$V$15,3,0)*Tabla44[[#This Row],[TOTAL COBERTURA]])+VLOOKUP(Tabla44[[#This Row],[SERVICIO 2025]],$J$2:$V$15,10,0)*Tabla44[[#This Row],[TOTAL COBERTURA]]</f>
        <v>5693597</v>
      </c>
      <c r="BC12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129" s="35">
        <f>SUM(Tabla44[[#This Row],[DESEMBOLSO 1]:[DESEMBOLSO 8]])</f>
        <v>47102341</v>
      </c>
      <c r="BE129" s="12" t="b">
        <f>EXACT(Tabla44[[#This Row],[VALOR ATENCIÓN (8 MESES)]],Tabla44[[#This Row],[VALOR TOTAL]])</f>
        <v>1</v>
      </c>
      <c r="BF129" s="23">
        <f>Tabla44[[#This Row],[VALOR ATENCIÓN (8 MESES)]]-Tabla44[[#This Row],[VALOR TOTAL]]</f>
        <v>0</v>
      </c>
      <c r="BG129" s="12" t="b">
        <f>EXACT(Tabla44[[#This Row],[TOTAL DESEMBOLSOS]],Tabla44[[#This Row],[VALOR TOTAL DEL CONTRATO INCLUIDO EL COMPONENTE DE ALIMENTACIÓN]])</f>
        <v>1</v>
      </c>
      <c r="BH129" s="29">
        <f>Tabla44[[#This Row],[TOTAL DESEMBOLSOS]]-Tabla44[[#This Row],[VALOR TOTAL DEL CONTRATO INCLUIDO EL COMPONENTE DE ALIMENTACIÓN]]</f>
        <v>0</v>
      </c>
      <c r="BI129" t="s">
        <v>98</v>
      </c>
    </row>
    <row r="130" spans="1:61">
      <c r="A130" s="13">
        <v>1924</v>
      </c>
      <c r="B130" s="13"/>
      <c r="C130" s="12" t="s">
        <v>87</v>
      </c>
      <c r="D130" s="12" t="s">
        <v>1534</v>
      </c>
      <c r="E130" s="12" t="s">
        <v>3063</v>
      </c>
      <c r="F130" s="12" t="s">
        <v>18</v>
      </c>
      <c r="G130" s="12" t="s">
        <v>90</v>
      </c>
      <c r="H130" s="12" t="s">
        <v>3066</v>
      </c>
      <c r="I130" s="36">
        <v>56281136191</v>
      </c>
      <c r="J130" s="12" t="s">
        <v>3067</v>
      </c>
      <c r="K130" s="12">
        <v>1</v>
      </c>
      <c r="L130" s="12">
        <v>15</v>
      </c>
      <c r="M130" s="12"/>
      <c r="N130" s="13">
        <v>1924</v>
      </c>
      <c r="O130" s="12" t="s">
        <v>2850</v>
      </c>
      <c r="P130" s="12"/>
      <c r="Q130" s="12"/>
      <c r="R130" s="12" t="s">
        <v>94</v>
      </c>
      <c r="S130" s="12">
        <v>10</v>
      </c>
      <c r="T130" s="12">
        <v>811021339</v>
      </c>
      <c r="U130" s="12" t="s">
        <v>2851</v>
      </c>
      <c r="V130" s="12">
        <f>VLOOKUP(Tabla44[[#This Row],[ZONA DEFINITIVO]],[1]Hoja1!$A$1:$D$125,3,0)</f>
        <v>229935</v>
      </c>
      <c r="W130" s="12">
        <f>VLOOKUP(Tabla44[[#This Row],[ZONA DEFINITIVO]],[1]Hoja1!$A$1:$D$125,2,0)</f>
        <v>17252</v>
      </c>
      <c r="X130" s="12">
        <f>VLOOKUP(Tabla44[[#This Row],[ZONA DEFINITIVO]],[1]Hoja1!$A$1:$D$125,4,0)</f>
        <v>104125</v>
      </c>
      <c r="Y130" s="12" t="str">
        <f>+IF(Tabla44[[#This Row],[AGRUPACIONES]]=1,SUMIFS(Tabla44[UDS],Tabla44[ZONA DEFINITIVO],Tabla44[[#This Row],[ZONA DEFINITIVO]])," ")</f>
        <v xml:space="preserve"> </v>
      </c>
      <c r="Z130" s="12" t="str">
        <f>+IF(Tabla44[[#This Row],[AGRUPACIONES]]=1,SUMIFS(Tabla44[TOTAL COBERTURA],Tabla44[ZONA DEFINITIVO],Tabla44[[#This Row],[ZONA DEFINITIVO]])," ")</f>
        <v xml:space="preserve"> </v>
      </c>
      <c r="AA130" s="12"/>
      <c r="AB130" s="35">
        <v>32702895</v>
      </c>
      <c r="AC130" s="37">
        <v>0</v>
      </c>
      <c r="AD130" s="35">
        <f t="shared" si="2"/>
        <v>0</v>
      </c>
      <c r="AE130" s="12"/>
      <c r="AF130" s="12">
        <f>COUNTIF($A$20:A130,A130)</f>
        <v>60</v>
      </c>
      <c r="AG130" s="38">
        <v>32702895</v>
      </c>
      <c r="AH130" s="38">
        <f>Tabla44[[#This Row],[VALOR CONTRAPARTIDA]]+Tabla44[[#This Row],[TOTAL APORTES ICBF]]</f>
        <v>32702895</v>
      </c>
      <c r="AI130" s="35" t="str">
        <f>+IF(Tabla44[[#This Row],[AGRUPACIONES]]=1,SUMIFS(Tabla44[TOTAL APORTES ICBF],Tabla44[ZONA DEFINITIVO],Tabla44[[#This Row],[ZONA DEFINITIVO]])," ")</f>
        <v xml:space="preserve"> </v>
      </c>
      <c r="AJ130" s="38"/>
      <c r="AK130" s="38"/>
      <c r="AL130" s="35"/>
      <c r="AM130" s="35">
        <f>VLOOKUP(Tabla44[[#This Row],[SERVICIO 2025]],$J$2:$V$15,5,0)*Tabla44[[#This Row],[TOTAL COBERTURA]]</f>
        <v>740640</v>
      </c>
      <c r="AN130" s="35">
        <f>VLOOKUP(Tabla44[[#This Row],[SERVICIO 2025]],$J$2:$V$15,6,0)*Tabla44[[#This Row],[TOTAL COBERTURA]]</f>
        <v>615435</v>
      </c>
      <c r="AO130" s="35">
        <f>VLOOKUP(Tabla44[[#This Row],[SERVICIO 2025]],$J$2:$V$15,8,0)*Tabla44[[#This Row],[TOTAL COBERTURA]]</f>
        <v>436500</v>
      </c>
      <c r="AP130" s="35">
        <f>VLOOKUP(Tabla44[[#This Row],[SERVICIO 2025]],$J$2:$V$15,3,0)*Tabla44[[#This Row],[TOTAL COBERTURA]]*8</f>
        <v>30910320</v>
      </c>
      <c r="AQ130" s="35"/>
      <c r="AR130" s="35">
        <f>SUM(Tabla44[[#This Row],[VALOR FASE PREPARATORIA DE ALISTAMIENTO]:[VALOR RACION PREPARADA]])</f>
        <v>32702895</v>
      </c>
      <c r="AS130" s="35" t="str">
        <f>+IF(Tabla44[[#This Row],[AGRUPACIONES]]=1,SUMIFS(Tabla44[VALOR TOTAL],Tabla44[ZONA DEFINITIVO],Tabla44[[#This Row],[ZONA DEFINITIVO]])," ")</f>
        <v xml:space="preserve"> </v>
      </c>
      <c r="AT130" s="35">
        <f>VLOOKUP(Tabla44[[#This Row],[SERVICIO 2025]],$J$2:$V$15,10,0)*Tabla44[[#This Row],[TOTAL COBERTURA]]*$X$7</f>
        <v>21645960</v>
      </c>
      <c r="AU130" s="39">
        <f>Tabla44[[#This Row],[TOTAL CONTRATO (ICBF+EAS)]]+Tabla44[[#This Row],[VALOR COMPONENTE ALIMENTACION NO ASIGNADO]]</f>
        <v>54348855</v>
      </c>
      <c r="AV13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130" s="35">
        <f>(VLOOKUP(Tabla44[[#This Row],[SERVICIO 2025]],$J$2:$V$15,3,0)*Tabla44[[#This Row],[TOTAL COBERTURA]])+VLOOKUP(Tabla44[[#This Row],[SERVICIO 2025]],$J$2:$V$15,10,0)*Tabla44[[#This Row],[TOTAL COBERTURA]]</f>
        <v>6569535</v>
      </c>
      <c r="AX130" s="35">
        <f>(VLOOKUP(Tabla44[[#This Row],[SERVICIO 2025]],$J$2:$V$15,3,0)*Tabla44[[#This Row],[TOTAL COBERTURA]])+VLOOKUP(Tabla44[[#This Row],[SERVICIO 2025]],$J$2:$V$15,10,0)*Tabla44[[#This Row],[TOTAL COBERTURA]]</f>
        <v>6569535</v>
      </c>
      <c r="AY130" s="35">
        <f>(VLOOKUP(Tabla44[[#This Row],[SERVICIO 2025]],$J$2:$V$15,3,0)*Tabla44[[#This Row],[TOTAL COBERTURA]])+VLOOKUP(Tabla44[[#This Row],[SERVICIO 2025]],$J$2:$V$15,10,0)*Tabla44[[#This Row],[TOTAL COBERTURA]]</f>
        <v>6569535</v>
      </c>
      <c r="AZ130" s="35">
        <f>(VLOOKUP(Tabla44[[#This Row],[SERVICIO 2025]],$J$2:$V$15,3,0)*Tabla44[[#This Row],[TOTAL COBERTURA]])+VLOOKUP(Tabla44[[#This Row],[SERVICIO 2025]],$J$2:$V$15,10,0)*Tabla44[[#This Row],[TOTAL COBERTURA]]</f>
        <v>6569535</v>
      </c>
      <c r="BA130" s="35">
        <f>(VLOOKUP(Tabla44[[#This Row],[SERVICIO 2025]],$J$2:$V$15,3,0)*Tabla44[[#This Row],[TOTAL COBERTURA]])+VLOOKUP(Tabla44[[#This Row],[SERVICIO 2025]],$J$2:$V$15,10,0)*Tabla44[[#This Row],[TOTAL COBERTURA]]</f>
        <v>6569535</v>
      </c>
      <c r="BB130" s="35">
        <f>(VLOOKUP(Tabla44[[#This Row],[SERVICIO 2025]],$J$2:$V$15,3,0)*Tabla44[[#This Row],[TOTAL COBERTURA]])+VLOOKUP(Tabla44[[#This Row],[SERVICIO 2025]],$J$2:$V$15,10,0)*Tabla44[[#This Row],[TOTAL COBERTURA]]</f>
        <v>6569535</v>
      </c>
      <c r="BC13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130" s="35">
        <f>SUM(Tabla44[[#This Row],[DESEMBOLSO 1]:[DESEMBOLSO 8]])</f>
        <v>54348855</v>
      </c>
      <c r="BE130" s="12" t="b">
        <f>EXACT(Tabla44[[#This Row],[VALOR ATENCIÓN (8 MESES)]],Tabla44[[#This Row],[VALOR TOTAL]])</f>
        <v>1</v>
      </c>
      <c r="BF130" s="23">
        <f>Tabla44[[#This Row],[VALOR ATENCIÓN (8 MESES)]]-Tabla44[[#This Row],[VALOR TOTAL]]</f>
        <v>0</v>
      </c>
      <c r="BG130" s="12" t="b">
        <f>EXACT(Tabla44[[#This Row],[TOTAL DESEMBOLSOS]],Tabla44[[#This Row],[VALOR TOTAL DEL CONTRATO INCLUIDO EL COMPONENTE DE ALIMENTACIÓN]])</f>
        <v>1</v>
      </c>
      <c r="BH130" s="29">
        <f>Tabla44[[#This Row],[TOTAL DESEMBOLSOS]]-Tabla44[[#This Row],[VALOR TOTAL DEL CONTRATO INCLUIDO EL COMPONENTE DE ALIMENTACIÓN]]</f>
        <v>0</v>
      </c>
      <c r="BI130" t="s">
        <v>98</v>
      </c>
    </row>
    <row r="131" spans="1:61">
      <c r="A131" s="13">
        <v>1924</v>
      </c>
      <c r="B131" s="13"/>
      <c r="C131" s="12" t="s">
        <v>87</v>
      </c>
      <c r="D131" s="12" t="s">
        <v>1534</v>
      </c>
      <c r="E131" s="12" t="s">
        <v>3063</v>
      </c>
      <c r="F131" s="12" t="s">
        <v>18</v>
      </c>
      <c r="G131" s="12" t="s">
        <v>90</v>
      </c>
      <c r="H131" s="12" t="s">
        <v>3068</v>
      </c>
      <c r="I131" s="36">
        <v>56281152884</v>
      </c>
      <c r="J131" s="12" t="s">
        <v>3069</v>
      </c>
      <c r="K131" s="12">
        <v>1</v>
      </c>
      <c r="L131" s="12">
        <v>20</v>
      </c>
      <c r="M131" s="12"/>
      <c r="N131" s="13">
        <v>1924</v>
      </c>
      <c r="O131" s="12" t="s">
        <v>2850</v>
      </c>
      <c r="P131" s="12"/>
      <c r="Q131" s="12"/>
      <c r="R131" s="12" t="s">
        <v>94</v>
      </c>
      <c r="S131" s="12">
        <v>10</v>
      </c>
      <c r="T131" s="12">
        <v>811021339</v>
      </c>
      <c r="U131" s="12" t="s">
        <v>2851</v>
      </c>
      <c r="V131" s="12">
        <f>VLOOKUP(Tabla44[[#This Row],[ZONA DEFINITIVO]],[1]Hoja1!$A$1:$D$125,3,0)</f>
        <v>229935</v>
      </c>
      <c r="W131" s="12">
        <f>VLOOKUP(Tabla44[[#This Row],[ZONA DEFINITIVO]],[1]Hoja1!$A$1:$D$125,2,0)</f>
        <v>17252</v>
      </c>
      <c r="X131" s="12">
        <f>VLOOKUP(Tabla44[[#This Row],[ZONA DEFINITIVO]],[1]Hoja1!$A$1:$D$125,4,0)</f>
        <v>104125</v>
      </c>
      <c r="Y131" s="12" t="str">
        <f>+IF(Tabla44[[#This Row],[AGRUPACIONES]]=1,SUMIFS(Tabla44[UDS],Tabla44[ZONA DEFINITIVO],Tabla44[[#This Row],[ZONA DEFINITIVO]])," ")</f>
        <v xml:space="preserve"> </v>
      </c>
      <c r="Z131" s="12" t="str">
        <f>+IF(Tabla44[[#This Row],[AGRUPACIONES]]=1,SUMIFS(Tabla44[TOTAL COBERTURA],Tabla44[ZONA DEFINITIVO],Tabla44[[#This Row],[ZONA DEFINITIVO]])," ")</f>
        <v xml:space="preserve"> </v>
      </c>
      <c r="AA131" s="12"/>
      <c r="AB131" s="35">
        <v>43603860</v>
      </c>
      <c r="AC131" s="37">
        <v>0</v>
      </c>
      <c r="AD131" s="35">
        <f t="shared" si="2"/>
        <v>0</v>
      </c>
      <c r="AE131" s="12"/>
      <c r="AF131" s="12">
        <f>COUNTIF($A$20:A131,A131)</f>
        <v>61</v>
      </c>
      <c r="AG131" s="38">
        <v>43603860</v>
      </c>
      <c r="AH131" s="38">
        <f>Tabla44[[#This Row],[VALOR CONTRAPARTIDA]]+Tabla44[[#This Row],[TOTAL APORTES ICBF]]</f>
        <v>43603860</v>
      </c>
      <c r="AI131" s="35" t="str">
        <f>+IF(Tabla44[[#This Row],[AGRUPACIONES]]=1,SUMIFS(Tabla44[TOTAL APORTES ICBF],Tabla44[ZONA DEFINITIVO],Tabla44[[#This Row],[ZONA DEFINITIVO]])," ")</f>
        <v xml:space="preserve"> </v>
      </c>
      <c r="AJ131" s="38"/>
      <c r="AK131" s="38"/>
      <c r="AL131" s="35"/>
      <c r="AM131" s="35">
        <f>VLOOKUP(Tabla44[[#This Row],[SERVICIO 2025]],$J$2:$V$15,5,0)*Tabla44[[#This Row],[TOTAL COBERTURA]]</f>
        <v>987520</v>
      </c>
      <c r="AN131" s="35">
        <f>VLOOKUP(Tabla44[[#This Row],[SERVICIO 2025]],$J$2:$V$15,6,0)*Tabla44[[#This Row],[TOTAL COBERTURA]]</f>
        <v>820580</v>
      </c>
      <c r="AO131" s="35">
        <f>VLOOKUP(Tabla44[[#This Row],[SERVICIO 2025]],$J$2:$V$15,8,0)*Tabla44[[#This Row],[TOTAL COBERTURA]]</f>
        <v>582000</v>
      </c>
      <c r="AP131" s="35">
        <f>VLOOKUP(Tabla44[[#This Row],[SERVICIO 2025]],$J$2:$V$15,3,0)*Tabla44[[#This Row],[TOTAL COBERTURA]]*8</f>
        <v>41213760</v>
      </c>
      <c r="AQ131" s="35"/>
      <c r="AR131" s="35">
        <f>SUM(Tabla44[[#This Row],[VALOR FASE PREPARATORIA DE ALISTAMIENTO]:[VALOR RACION PREPARADA]])</f>
        <v>43603860</v>
      </c>
      <c r="AS131" s="35" t="str">
        <f>+IF(Tabla44[[#This Row],[AGRUPACIONES]]=1,SUMIFS(Tabla44[VALOR TOTAL],Tabla44[ZONA DEFINITIVO],Tabla44[[#This Row],[ZONA DEFINITIVO]])," ")</f>
        <v xml:space="preserve"> </v>
      </c>
      <c r="AT131" s="35">
        <f>VLOOKUP(Tabla44[[#This Row],[SERVICIO 2025]],$J$2:$V$15,10,0)*Tabla44[[#This Row],[TOTAL COBERTURA]]*$X$7</f>
        <v>28861280</v>
      </c>
      <c r="AU131" s="39">
        <f>Tabla44[[#This Row],[TOTAL CONTRATO (ICBF+EAS)]]+Tabla44[[#This Row],[VALOR COMPONENTE ALIMENTACION NO ASIGNADO]]</f>
        <v>72465140</v>
      </c>
      <c r="AV13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131" s="35">
        <f>(VLOOKUP(Tabla44[[#This Row],[SERVICIO 2025]],$J$2:$V$15,3,0)*Tabla44[[#This Row],[TOTAL COBERTURA]])+VLOOKUP(Tabla44[[#This Row],[SERVICIO 2025]],$J$2:$V$15,10,0)*Tabla44[[#This Row],[TOTAL COBERTURA]]</f>
        <v>8759380</v>
      </c>
      <c r="AX131" s="35">
        <f>(VLOOKUP(Tabla44[[#This Row],[SERVICIO 2025]],$J$2:$V$15,3,0)*Tabla44[[#This Row],[TOTAL COBERTURA]])+VLOOKUP(Tabla44[[#This Row],[SERVICIO 2025]],$J$2:$V$15,10,0)*Tabla44[[#This Row],[TOTAL COBERTURA]]</f>
        <v>8759380</v>
      </c>
      <c r="AY131" s="35">
        <f>(VLOOKUP(Tabla44[[#This Row],[SERVICIO 2025]],$J$2:$V$15,3,0)*Tabla44[[#This Row],[TOTAL COBERTURA]])+VLOOKUP(Tabla44[[#This Row],[SERVICIO 2025]],$J$2:$V$15,10,0)*Tabla44[[#This Row],[TOTAL COBERTURA]]</f>
        <v>8759380</v>
      </c>
      <c r="AZ131" s="35">
        <f>(VLOOKUP(Tabla44[[#This Row],[SERVICIO 2025]],$J$2:$V$15,3,0)*Tabla44[[#This Row],[TOTAL COBERTURA]])+VLOOKUP(Tabla44[[#This Row],[SERVICIO 2025]],$J$2:$V$15,10,0)*Tabla44[[#This Row],[TOTAL COBERTURA]]</f>
        <v>8759380</v>
      </c>
      <c r="BA131" s="35">
        <f>(VLOOKUP(Tabla44[[#This Row],[SERVICIO 2025]],$J$2:$V$15,3,0)*Tabla44[[#This Row],[TOTAL COBERTURA]])+VLOOKUP(Tabla44[[#This Row],[SERVICIO 2025]],$J$2:$V$15,10,0)*Tabla44[[#This Row],[TOTAL COBERTURA]]</f>
        <v>8759380</v>
      </c>
      <c r="BB131" s="35">
        <f>(VLOOKUP(Tabla44[[#This Row],[SERVICIO 2025]],$J$2:$V$15,3,0)*Tabla44[[#This Row],[TOTAL COBERTURA]])+VLOOKUP(Tabla44[[#This Row],[SERVICIO 2025]],$J$2:$V$15,10,0)*Tabla44[[#This Row],[TOTAL COBERTURA]]</f>
        <v>8759380</v>
      </c>
      <c r="BC13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131" s="35">
        <f>SUM(Tabla44[[#This Row],[DESEMBOLSO 1]:[DESEMBOLSO 8]])</f>
        <v>72465140</v>
      </c>
      <c r="BE131" s="12" t="b">
        <f>EXACT(Tabla44[[#This Row],[VALOR ATENCIÓN (8 MESES)]],Tabla44[[#This Row],[VALOR TOTAL]])</f>
        <v>1</v>
      </c>
      <c r="BF131" s="23">
        <f>Tabla44[[#This Row],[VALOR ATENCIÓN (8 MESES)]]-Tabla44[[#This Row],[VALOR TOTAL]]</f>
        <v>0</v>
      </c>
      <c r="BG131" s="12" t="b">
        <f>EXACT(Tabla44[[#This Row],[TOTAL DESEMBOLSOS]],Tabla44[[#This Row],[VALOR TOTAL DEL CONTRATO INCLUIDO EL COMPONENTE DE ALIMENTACIÓN]])</f>
        <v>1</v>
      </c>
      <c r="BH131" s="29">
        <f>Tabla44[[#This Row],[TOTAL DESEMBOLSOS]]-Tabla44[[#This Row],[VALOR TOTAL DEL CONTRATO INCLUIDO EL COMPONENTE DE ALIMENTACIÓN]]</f>
        <v>0</v>
      </c>
      <c r="BI131" t="s">
        <v>98</v>
      </c>
    </row>
    <row r="132" spans="1:61">
      <c r="A132" s="13">
        <v>1924</v>
      </c>
      <c r="B132" s="13"/>
      <c r="C132" s="12" t="s">
        <v>87</v>
      </c>
      <c r="D132" s="12" t="s">
        <v>1534</v>
      </c>
      <c r="E132" s="12" t="s">
        <v>3063</v>
      </c>
      <c r="F132" s="12" t="s">
        <v>18</v>
      </c>
      <c r="G132" s="12" t="s">
        <v>90</v>
      </c>
      <c r="H132" s="12" t="s">
        <v>3070</v>
      </c>
      <c r="I132" s="36">
        <v>56281152886</v>
      </c>
      <c r="J132" s="12" t="s">
        <v>3071</v>
      </c>
      <c r="K132" s="12">
        <v>1</v>
      </c>
      <c r="L132" s="12">
        <v>23</v>
      </c>
      <c r="M132" s="12"/>
      <c r="N132" s="13">
        <v>1924</v>
      </c>
      <c r="O132" s="12" t="s">
        <v>2850</v>
      </c>
      <c r="P132" s="12"/>
      <c r="Q132" s="12"/>
      <c r="R132" s="12" t="s">
        <v>94</v>
      </c>
      <c r="S132" s="12">
        <v>10</v>
      </c>
      <c r="T132" s="12">
        <v>811021339</v>
      </c>
      <c r="U132" s="12" t="s">
        <v>2851</v>
      </c>
      <c r="V132" s="12">
        <f>VLOOKUP(Tabla44[[#This Row],[ZONA DEFINITIVO]],[1]Hoja1!$A$1:$D$125,3,0)</f>
        <v>229935</v>
      </c>
      <c r="W132" s="12">
        <f>VLOOKUP(Tabla44[[#This Row],[ZONA DEFINITIVO]],[1]Hoja1!$A$1:$D$125,2,0)</f>
        <v>17252</v>
      </c>
      <c r="X132" s="12">
        <f>VLOOKUP(Tabla44[[#This Row],[ZONA DEFINITIVO]],[1]Hoja1!$A$1:$D$125,4,0)</f>
        <v>104125</v>
      </c>
      <c r="Y132" s="12" t="str">
        <f>+IF(Tabla44[[#This Row],[AGRUPACIONES]]=1,SUMIFS(Tabla44[UDS],Tabla44[ZONA DEFINITIVO],Tabla44[[#This Row],[ZONA DEFINITIVO]])," ")</f>
        <v xml:space="preserve"> </v>
      </c>
      <c r="Z132" s="12" t="str">
        <f>+IF(Tabla44[[#This Row],[AGRUPACIONES]]=1,SUMIFS(Tabla44[TOTAL COBERTURA],Tabla44[ZONA DEFINITIVO],Tabla44[[#This Row],[ZONA DEFINITIVO]])," ")</f>
        <v xml:space="preserve"> </v>
      </c>
      <c r="AA132" s="12"/>
      <c r="AB132" s="35">
        <v>50144439</v>
      </c>
      <c r="AC132" s="37">
        <v>0</v>
      </c>
      <c r="AD132" s="35">
        <f t="shared" si="2"/>
        <v>0</v>
      </c>
      <c r="AE132" s="12"/>
      <c r="AF132" s="12">
        <f>COUNTIF($A$20:A132,A132)</f>
        <v>62</v>
      </c>
      <c r="AG132" s="38">
        <v>50144439</v>
      </c>
      <c r="AH132" s="38">
        <f>Tabla44[[#This Row],[VALOR CONTRAPARTIDA]]+Tabla44[[#This Row],[TOTAL APORTES ICBF]]</f>
        <v>50144439</v>
      </c>
      <c r="AI132" s="35" t="str">
        <f>+IF(Tabla44[[#This Row],[AGRUPACIONES]]=1,SUMIFS(Tabla44[TOTAL APORTES ICBF],Tabla44[ZONA DEFINITIVO],Tabla44[[#This Row],[ZONA DEFINITIVO]])," ")</f>
        <v xml:space="preserve"> </v>
      </c>
      <c r="AJ132" s="38"/>
      <c r="AK132" s="38"/>
      <c r="AL132" s="35"/>
      <c r="AM132" s="35">
        <f>VLOOKUP(Tabla44[[#This Row],[SERVICIO 2025]],$J$2:$V$15,5,0)*Tabla44[[#This Row],[TOTAL COBERTURA]]</f>
        <v>1135648</v>
      </c>
      <c r="AN132" s="35">
        <f>VLOOKUP(Tabla44[[#This Row],[SERVICIO 2025]],$J$2:$V$15,6,0)*Tabla44[[#This Row],[TOTAL COBERTURA]]</f>
        <v>943667</v>
      </c>
      <c r="AO132" s="35">
        <f>VLOOKUP(Tabla44[[#This Row],[SERVICIO 2025]],$J$2:$V$15,8,0)*Tabla44[[#This Row],[TOTAL COBERTURA]]</f>
        <v>669300</v>
      </c>
      <c r="AP132" s="35">
        <f>VLOOKUP(Tabla44[[#This Row],[SERVICIO 2025]],$J$2:$V$15,3,0)*Tabla44[[#This Row],[TOTAL COBERTURA]]*8</f>
        <v>47395824</v>
      </c>
      <c r="AQ132" s="35"/>
      <c r="AR132" s="35">
        <f>SUM(Tabla44[[#This Row],[VALOR FASE PREPARATORIA DE ALISTAMIENTO]:[VALOR RACION PREPARADA]])</f>
        <v>50144439</v>
      </c>
      <c r="AS132" s="35" t="str">
        <f>+IF(Tabla44[[#This Row],[AGRUPACIONES]]=1,SUMIFS(Tabla44[VALOR TOTAL],Tabla44[ZONA DEFINITIVO],Tabla44[[#This Row],[ZONA DEFINITIVO]])," ")</f>
        <v xml:space="preserve"> </v>
      </c>
      <c r="AT132" s="35">
        <f>VLOOKUP(Tabla44[[#This Row],[SERVICIO 2025]],$J$2:$V$15,10,0)*Tabla44[[#This Row],[TOTAL COBERTURA]]*$X$7</f>
        <v>33190472</v>
      </c>
      <c r="AU132" s="39">
        <f>Tabla44[[#This Row],[TOTAL CONTRATO (ICBF+EAS)]]+Tabla44[[#This Row],[VALOR COMPONENTE ALIMENTACION NO ASIGNADO]]</f>
        <v>83334911</v>
      </c>
      <c r="AV13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11878235</v>
      </c>
      <c r="AW132" s="35">
        <f>(VLOOKUP(Tabla44[[#This Row],[SERVICIO 2025]],$J$2:$V$15,3,0)*Tabla44[[#This Row],[TOTAL COBERTURA]])+VLOOKUP(Tabla44[[#This Row],[SERVICIO 2025]],$J$2:$V$15,10,0)*Tabla44[[#This Row],[TOTAL COBERTURA]]</f>
        <v>10073287</v>
      </c>
      <c r="AX132" s="35">
        <f>(VLOOKUP(Tabla44[[#This Row],[SERVICIO 2025]],$J$2:$V$15,3,0)*Tabla44[[#This Row],[TOTAL COBERTURA]])+VLOOKUP(Tabla44[[#This Row],[SERVICIO 2025]],$J$2:$V$15,10,0)*Tabla44[[#This Row],[TOTAL COBERTURA]]</f>
        <v>10073287</v>
      </c>
      <c r="AY132" s="35">
        <f>(VLOOKUP(Tabla44[[#This Row],[SERVICIO 2025]],$J$2:$V$15,3,0)*Tabla44[[#This Row],[TOTAL COBERTURA]])+VLOOKUP(Tabla44[[#This Row],[SERVICIO 2025]],$J$2:$V$15,10,0)*Tabla44[[#This Row],[TOTAL COBERTURA]]</f>
        <v>10073287</v>
      </c>
      <c r="AZ132" s="35">
        <f>(VLOOKUP(Tabla44[[#This Row],[SERVICIO 2025]],$J$2:$V$15,3,0)*Tabla44[[#This Row],[TOTAL COBERTURA]])+VLOOKUP(Tabla44[[#This Row],[SERVICIO 2025]],$J$2:$V$15,10,0)*Tabla44[[#This Row],[TOTAL COBERTURA]]</f>
        <v>10073287</v>
      </c>
      <c r="BA132" s="35">
        <f>(VLOOKUP(Tabla44[[#This Row],[SERVICIO 2025]],$J$2:$V$15,3,0)*Tabla44[[#This Row],[TOTAL COBERTURA]])+VLOOKUP(Tabla44[[#This Row],[SERVICIO 2025]],$J$2:$V$15,10,0)*Tabla44[[#This Row],[TOTAL COBERTURA]]</f>
        <v>10073287</v>
      </c>
      <c r="BB132" s="35">
        <f>(VLOOKUP(Tabla44[[#This Row],[SERVICIO 2025]],$J$2:$V$15,3,0)*Tabla44[[#This Row],[TOTAL COBERTURA]])+VLOOKUP(Tabla44[[#This Row],[SERVICIO 2025]],$J$2:$V$15,10,0)*Tabla44[[#This Row],[TOTAL COBERTURA]]</f>
        <v>10073287</v>
      </c>
      <c r="BC13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11016954</v>
      </c>
      <c r="BD132" s="35">
        <f>SUM(Tabla44[[#This Row],[DESEMBOLSO 1]:[DESEMBOLSO 8]])</f>
        <v>83334911</v>
      </c>
      <c r="BE132" s="12" t="b">
        <f>EXACT(Tabla44[[#This Row],[VALOR ATENCIÓN (8 MESES)]],Tabla44[[#This Row],[VALOR TOTAL]])</f>
        <v>1</v>
      </c>
      <c r="BF132" s="23">
        <f>Tabla44[[#This Row],[VALOR ATENCIÓN (8 MESES)]]-Tabla44[[#This Row],[VALOR TOTAL]]</f>
        <v>0</v>
      </c>
      <c r="BG132" s="12" t="b">
        <f>EXACT(Tabla44[[#This Row],[TOTAL DESEMBOLSOS]],Tabla44[[#This Row],[VALOR TOTAL DEL CONTRATO INCLUIDO EL COMPONENTE DE ALIMENTACIÓN]])</f>
        <v>1</v>
      </c>
      <c r="BH132" s="29">
        <f>Tabla44[[#This Row],[TOTAL DESEMBOLSOS]]-Tabla44[[#This Row],[VALOR TOTAL DEL CONTRATO INCLUIDO EL COMPONENTE DE ALIMENTACIÓN]]</f>
        <v>0</v>
      </c>
      <c r="BI132" t="s">
        <v>98</v>
      </c>
    </row>
    <row r="133" spans="1:61">
      <c r="A133" s="13">
        <v>1924</v>
      </c>
      <c r="B133" s="13"/>
      <c r="C133" s="12" t="s">
        <v>87</v>
      </c>
      <c r="D133" s="12" t="s">
        <v>1534</v>
      </c>
      <c r="E133" s="12" t="s">
        <v>3063</v>
      </c>
      <c r="F133" s="12" t="s">
        <v>18</v>
      </c>
      <c r="G133" s="12" t="s">
        <v>90</v>
      </c>
      <c r="H133" s="12" t="s">
        <v>3072</v>
      </c>
      <c r="I133" s="36">
        <v>56281153186</v>
      </c>
      <c r="J133" s="12" t="s">
        <v>3073</v>
      </c>
      <c r="K133" s="12">
        <v>1</v>
      </c>
      <c r="L133" s="12">
        <v>27</v>
      </c>
      <c r="M133" s="12"/>
      <c r="N133" s="13">
        <v>1924</v>
      </c>
      <c r="O133" s="12" t="s">
        <v>2850</v>
      </c>
      <c r="P133" s="12"/>
      <c r="Q133" s="12"/>
      <c r="R133" s="12" t="s">
        <v>94</v>
      </c>
      <c r="S133" s="12">
        <v>10</v>
      </c>
      <c r="T133" s="12">
        <v>811021339</v>
      </c>
      <c r="U133" s="12" t="s">
        <v>2851</v>
      </c>
      <c r="V133" s="12">
        <f>VLOOKUP(Tabla44[[#This Row],[ZONA DEFINITIVO]],[1]Hoja1!$A$1:$D$125,3,0)</f>
        <v>229935</v>
      </c>
      <c r="W133" s="12">
        <f>VLOOKUP(Tabla44[[#This Row],[ZONA DEFINITIVO]],[1]Hoja1!$A$1:$D$125,2,0)</f>
        <v>17252</v>
      </c>
      <c r="X133" s="12">
        <f>VLOOKUP(Tabla44[[#This Row],[ZONA DEFINITIVO]],[1]Hoja1!$A$1:$D$125,4,0)</f>
        <v>104125</v>
      </c>
      <c r="Y133" s="12" t="str">
        <f>+IF(Tabla44[[#This Row],[AGRUPACIONES]]=1,SUMIFS(Tabla44[UDS],Tabla44[ZONA DEFINITIVO],Tabla44[[#This Row],[ZONA DEFINITIVO]])," ")</f>
        <v xml:space="preserve"> </v>
      </c>
      <c r="Z133" s="12" t="str">
        <f>+IF(Tabla44[[#This Row],[AGRUPACIONES]]=1,SUMIFS(Tabla44[TOTAL COBERTURA],Tabla44[ZONA DEFINITIVO],Tabla44[[#This Row],[ZONA DEFINITIVO]])," ")</f>
        <v xml:space="preserve"> </v>
      </c>
      <c r="AA133" s="12"/>
      <c r="AB133" s="35">
        <v>58865211</v>
      </c>
      <c r="AC133" s="37">
        <v>0</v>
      </c>
      <c r="AD133" s="35">
        <f t="shared" si="2"/>
        <v>0</v>
      </c>
      <c r="AE133" s="12"/>
      <c r="AF133" s="12">
        <f>COUNTIF($A$20:A133,A133)</f>
        <v>63</v>
      </c>
      <c r="AG133" s="38">
        <v>58865211</v>
      </c>
      <c r="AH133" s="38">
        <f>Tabla44[[#This Row],[VALOR CONTRAPARTIDA]]+Tabla44[[#This Row],[TOTAL APORTES ICBF]]</f>
        <v>58865211</v>
      </c>
      <c r="AI133" s="35" t="str">
        <f>+IF(Tabla44[[#This Row],[AGRUPACIONES]]=1,SUMIFS(Tabla44[TOTAL APORTES ICBF],Tabla44[ZONA DEFINITIVO],Tabla44[[#This Row],[ZONA DEFINITIVO]])," ")</f>
        <v xml:space="preserve"> </v>
      </c>
      <c r="AJ133" s="38"/>
      <c r="AK133" s="38"/>
      <c r="AL133" s="35"/>
      <c r="AM133" s="35">
        <f>VLOOKUP(Tabla44[[#This Row],[SERVICIO 2025]],$J$2:$V$15,5,0)*Tabla44[[#This Row],[TOTAL COBERTURA]]</f>
        <v>1333152</v>
      </c>
      <c r="AN133" s="35">
        <f>VLOOKUP(Tabla44[[#This Row],[SERVICIO 2025]],$J$2:$V$15,6,0)*Tabla44[[#This Row],[TOTAL COBERTURA]]</f>
        <v>1107783</v>
      </c>
      <c r="AO133" s="35">
        <f>VLOOKUP(Tabla44[[#This Row],[SERVICIO 2025]],$J$2:$V$15,8,0)*Tabla44[[#This Row],[TOTAL COBERTURA]]</f>
        <v>785700</v>
      </c>
      <c r="AP133" s="35">
        <f>VLOOKUP(Tabla44[[#This Row],[SERVICIO 2025]],$J$2:$V$15,3,0)*Tabla44[[#This Row],[TOTAL COBERTURA]]*8</f>
        <v>55638576</v>
      </c>
      <c r="AQ133" s="35"/>
      <c r="AR133" s="35">
        <f>SUM(Tabla44[[#This Row],[VALOR FASE PREPARATORIA DE ALISTAMIENTO]:[VALOR RACION PREPARADA]])</f>
        <v>58865211</v>
      </c>
      <c r="AS133" s="35" t="str">
        <f>+IF(Tabla44[[#This Row],[AGRUPACIONES]]=1,SUMIFS(Tabla44[VALOR TOTAL],Tabla44[ZONA DEFINITIVO],Tabla44[[#This Row],[ZONA DEFINITIVO]])," ")</f>
        <v xml:space="preserve"> </v>
      </c>
      <c r="AT133" s="35">
        <f>VLOOKUP(Tabla44[[#This Row],[SERVICIO 2025]],$J$2:$V$15,10,0)*Tabla44[[#This Row],[TOTAL COBERTURA]]*$X$7</f>
        <v>38962728</v>
      </c>
      <c r="AU133" s="39">
        <f>Tabla44[[#This Row],[TOTAL CONTRATO (ICBF+EAS)]]+Tabla44[[#This Row],[VALOR COMPONENTE ALIMENTACION NO ASIGNADO]]</f>
        <v>97827939</v>
      </c>
      <c r="AV13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13944015</v>
      </c>
      <c r="AW133" s="35">
        <f>(VLOOKUP(Tabla44[[#This Row],[SERVICIO 2025]],$J$2:$V$15,3,0)*Tabla44[[#This Row],[TOTAL COBERTURA]])+VLOOKUP(Tabla44[[#This Row],[SERVICIO 2025]],$J$2:$V$15,10,0)*Tabla44[[#This Row],[TOTAL COBERTURA]]</f>
        <v>11825163</v>
      </c>
      <c r="AX133" s="35">
        <f>(VLOOKUP(Tabla44[[#This Row],[SERVICIO 2025]],$J$2:$V$15,3,0)*Tabla44[[#This Row],[TOTAL COBERTURA]])+VLOOKUP(Tabla44[[#This Row],[SERVICIO 2025]],$J$2:$V$15,10,0)*Tabla44[[#This Row],[TOTAL COBERTURA]]</f>
        <v>11825163</v>
      </c>
      <c r="AY133" s="35">
        <f>(VLOOKUP(Tabla44[[#This Row],[SERVICIO 2025]],$J$2:$V$15,3,0)*Tabla44[[#This Row],[TOTAL COBERTURA]])+VLOOKUP(Tabla44[[#This Row],[SERVICIO 2025]],$J$2:$V$15,10,0)*Tabla44[[#This Row],[TOTAL COBERTURA]]</f>
        <v>11825163</v>
      </c>
      <c r="AZ133" s="35">
        <f>(VLOOKUP(Tabla44[[#This Row],[SERVICIO 2025]],$J$2:$V$15,3,0)*Tabla44[[#This Row],[TOTAL COBERTURA]])+VLOOKUP(Tabla44[[#This Row],[SERVICIO 2025]],$J$2:$V$15,10,0)*Tabla44[[#This Row],[TOTAL COBERTURA]]</f>
        <v>11825163</v>
      </c>
      <c r="BA133" s="35">
        <f>(VLOOKUP(Tabla44[[#This Row],[SERVICIO 2025]],$J$2:$V$15,3,0)*Tabla44[[#This Row],[TOTAL COBERTURA]])+VLOOKUP(Tabla44[[#This Row],[SERVICIO 2025]],$J$2:$V$15,10,0)*Tabla44[[#This Row],[TOTAL COBERTURA]]</f>
        <v>11825163</v>
      </c>
      <c r="BB133" s="35">
        <f>(VLOOKUP(Tabla44[[#This Row],[SERVICIO 2025]],$J$2:$V$15,3,0)*Tabla44[[#This Row],[TOTAL COBERTURA]])+VLOOKUP(Tabla44[[#This Row],[SERVICIO 2025]],$J$2:$V$15,10,0)*Tabla44[[#This Row],[TOTAL COBERTURA]]</f>
        <v>11825163</v>
      </c>
      <c r="BC13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12932946</v>
      </c>
      <c r="BD133" s="35">
        <f>SUM(Tabla44[[#This Row],[DESEMBOLSO 1]:[DESEMBOLSO 8]])</f>
        <v>97827939</v>
      </c>
      <c r="BE133" s="12" t="b">
        <f>EXACT(Tabla44[[#This Row],[VALOR ATENCIÓN (8 MESES)]],Tabla44[[#This Row],[VALOR TOTAL]])</f>
        <v>1</v>
      </c>
      <c r="BF133" s="23">
        <f>Tabla44[[#This Row],[VALOR ATENCIÓN (8 MESES)]]-Tabla44[[#This Row],[VALOR TOTAL]]</f>
        <v>0</v>
      </c>
      <c r="BG133" s="12" t="b">
        <f>EXACT(Tabla44[[#This Row],[TOTAL DESEMBOLSOS]],Tabla44[[#This Row],[VALOR TOTAL DEL CONTRATO INCLUIDO EL COMPONENTE DE ALIMENTACIÓN]])</f>
        <v>1</v>
      </c>
      <c r="BH133" s="29">
        <f>Tabla44[[#This Row],[TOTAL DESEMBOLSOS]]-Tabla44[[#This Row],[VALOR TOTAL DEL CONTRATO INCLUIDO EL COMPONENTE DE ALIMENTACIÓN]]</f>
        <v>0</v>
      </c>
      <c r="BI133" t="s">
        <v>98</v>
      </c>
    </row>
    <row r="134" spans="1:61">
      <c r="A134" s="13">
        <v>1924</v>
      </c>
      <c r="B134" s="13"/>
      <c r="C134" s="12" t="s">
        <v>87</v>
      </c>
      <c r="D134" s="12" t="s">
        <v>1534</v>
      </c>
      <c r="E134" s="12" t="s">
        <v>3063</v>
      </c>
      <c r="F134" s="12" t="s">
        <v>18</v>
      </c>
      <c r="G134" s="12" t="s">
        <v>90</v>
      </c>
      <c r="H134" s="12" t="s">
        <v>3074</v>
      </c>
      <c r="I134" s="36">
        <v>56281153187</v>
      </c>
      <c r="J134" s="12" t="s">
        <v>3075</v>
      </c>
      <c r="K134" s="12">
        <v>1</v>
      </c>
      <c r="L134" s="12">
        <v>14</v>
      </c>
      <c r="M134" s="12"/>
      <c r="N134" s="13">
        <v>1924</v>
      </c>
      <c r="O134" s="12" t="s">
        <v>2850</v>
      </c>
      <c r="P134" s="12"/>
      <c r="Q134" s="12"/>
      <c r="R134" s="12" t="s">
        <v>94</v>
      </c>
      <c r="S134" s="12">
        <v>10</v>
      </c>
      <c r="T134" s="12">
        <v>811021339</v>
      </c>
      <c r="U134" s="12" t="s">
        <v>2851</v>
      </c>
      <c r="V134" s="12">
        <f>VLOOKUP(Tabla44[[#This Row],[ZONA DEFINITIVO]],[1]Hoja1!$A$1:$D$125,3,0)</f>
        <v>229935</v>
      </c>
      <c r="W134" s="12">
        <f>VLOOKUP(Tabla44[[#This Row],[ZONA DEFINITIVO]],[1]Hoja1!$A$1:$D$125,2,0)</f>
        <v>17252</v>
      </c>
      <c r="X134" s="12">
        <f>VLOOKUP(Tabla44[[#This Row],[ZONA DEFINITIVO]],[1]Hoja1!$A$1:$D$125,4,0)</f>
        <v>104125</v>
      </c>
      <c r="Y134" s="12" t="str">
        <f>+IF(Tabla44[[#This Row],[AGRUPACIONES]]=1,SUMIFS(Tabla44[UDS],Tabla44[ZONA DEFINITIVO],Tabla44[[#This Row],[ZONA DEFINITIVO]])," ")</f>
        <v xml:space="preserve"> </v>
      </c>
      <c r="Z134" s="12" t="str">
        <f>+IF(Tabla44[[#This Row],[AGRUPACIONES]]=1,SUMIFS(Tabla44[TOTAL COBERTURA],Tabla44[ZONA DEFINITIVO],Tabla44[[#This Row],[ZONA DEFINITIVO]])," ")</f>
        <v xml:space="preserve"> </v>
      </c>
      <c r="AA134" s="12"/>
      <c r="AB134" s="35">
        <v>30522702</v>
      </c>
      <c r="AC134" s="37">
        <v>0</v>
      </c>
      <c r="AD134" s="35">
        <f t="shared" si="2"/>
        <v>0</v>
      </c>
      <c r="AE134" s="12"/>
      <c r="AF134" s="12">
        <f>COUNTIF($A$20:A134,A134)</f>
        <v>64</v>
      </c>
      <c r="AG134" s="38">
        <v>30522702</v>
      </c>
      <c r="AH134" s="38">
        <f>Tabla44[[#This Row],[VALOR CONTRAPARTIDA]]+Tabla44[[#This Row],[TOTAL APORTES ICBF]]</f>
        <v>30522702</v>
      </c>
      <c r="AI134" s="35" t="str">
        <f>+IF(Tabla44[[#This Row],[AGRUPACIONES]]=1,SUMIFS(Tabla44[TOTAL APORTES ICBF],Tabla44[ZONA DEFINITIVO],Tabla44[[#This Row],[ZONA DEFINITIVO]])," ")</f>
        <v xml:space="preserve"> </v>
      </c>
      <c r="AJ134" s="38"/>
      <c r="AK134" s="38"/>
      <c r="AL134" s="35"/>
      <c r="AM134" s="35">
        <f>VLOOKUP(Tabla44[[#This Row],[SERVICIO 2025]],$J$2:$V$15,5,0)*Tabla44[[#This Row],[TOTAL COBERTURA]]</f>
        <v>691264</v>
      </c>
      <c r="AN134" s="35">
        <f>VLOOKUP(Tabla44[[#This Row],[SERVICIO 2025]],$J$2:$V$15,6,0)*Tabla44[[#This Row],[TOTAL COBERTURA]]</f>
        <v>574406</v>
      </c>
      <c r="AO134" s="35">
        <f>VLOOKUP(Tabla44[[#This Row],[SERVICIO 2025]],$J$2:$V$15,8,0)*Tabla44[[#This Row],[TOTAL COBERTURA]]</f>
        <v>407400</v>
      </c>
      <c r="AP134" s="35">
        <f>VLOOKUP(Tabla44[[#This Row],[SERVICIO 2025]],$J$2:$V$15,3,0)*Tabla44[[#This Row],[TOTAL COBERTURA]]*8</f>
        <v>28849632</v>
      </c>
      <c r="AQ134" s="35"/>
      <c r="AR134" s="35">
        <f>SUM(Tabla44[[#This Row],[VALOR FASE PREPARATORIA DE ALISTAMIENTO]:[VALOR RACION PREPARADA]])</f>
        <v>30522702</v>
      </c>
      <c r="AS134" s="35" t="str">
        <f>+IF(Tabla44[[#This Row],[AGRUPACIONES]]=1,SUMIFS(Tabla44[VALOR TOTAL],Tabla44[ZONA DEFINITIVO],Tabla44[[#This Row],[ZONA DEFINITIVO]])," ")</f>
        <v xml:space="preserve"> </v>
      </c>
      <c r="AT134" s="35">
        <f>VLOOKUP(Tabla44[[#This Row],[SERVICIO 2025]],$J$2:$V$15,10,0)*Tabla44[[#This Row],[TOTAL COBERTURA]]*$X$7</f>
        <v>20202896</v>
      </c>
      <c r="AU134" s="39">
        <f>Tabla44[[#This Row],[TOTAL CONTRATO (ICBF+EAS)]]+Tabla44[[#This Row],[VALOR COMPONENTE ALIMENTACION NO ASIGNADO]]</f>
        <v>50725598</v>
      </c>
      <c r="AV13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134" s="35">
        <f>(VLOOKUP(Tabla44[[#This Row],[SERVICIO 2025]],$J$2:$V$15,3,0)*Tabla44[[#This Row],[TOTAL COBERTURA]])+VLOOKUP(Tabla44[[#This Row],[SERVICIO 2025]],$J$2:$V$15,10,0)*Tabla44[[#This Row],[TOTAL COBERTURA]]</f>
        <v>6131566</v>
      </c>
      <c r="AX134" s="35">
        <f>(VLOOKUP(Tabla44[[#This Row],[SERVICIO 2025]],$J$2:$V$15,3,0)*Tabla44[[#This Row],[TOTAL COBERTURA]])+VLOOKUP(Tabla44[[#This Row],[SERVICIO 2025]],$J$2:$V$15,10,0)*Tabla44[[#This Row],[TOTAL COBERTURA]]</f>
        <v>6131566</v>
      </c>
      <c r="AY134" s="35">
        <f>(VLOOKUP(Tabla44[[#This Row],[SERVICIO 2025]],$J$2:$V$15,3,0)*Tabla44[[#This Row],[TOTAL COBERTURA]])+VLOOKUP(Tabla44[[#This Row],[SERVICIO 2025]],$J$2:$V$15,10,0)*Tabla44[[#This Row],[TOTAL COBERTURA]]</f>
        <v>6131566</v>
      </c>
      <c r="AZ134" s="35">
        <f>(VLOOKUP(Tabla44[[#This Row],[SERVICIO 2025]],$J$2:$V$15,3,0)*Tabla44[[#This Row],[TOTAL COBERTURA]])+VLOOKUP(Tabla44[[#This Row],[SERVICIO 2025]],$J$2:$V$15,10,0)*Tabla44[[#This Row],[TOTAL COBERTURA]]</f>
        <v>6131566</v>
      </c>
      <c r="BA134" s="35">
        <f>(VLOOKUP(Tabla44[[#This Row],[SERVICIO 2025]],$J$2:$V$15,3,0)*Tabla44[[#This Row],[TOTAL COBERTURA]])+VLOOKUP(Tabla44[[#This Row],[SERVICIO 2025]],$J$2:$V$15,10,0)*Tabla44[[#This Row],[TOTAL COBERTURA]]</f>
        <v>6131566</v>
      </c>
      <c r="BB134" s="35">
        <f>(VLOOKUP(Tabla44[[#This Row],[SERVICIO 2025]],$J$2:$V$15,3,0)*Tabla44[[#This Row],[TOTAL COBERTURA]])+VLOOKUP(Tabla44[[#This Row],[SERVICIO 2025]],$J$2:$V$15,10,0)*Tabla44[[#This Row],[TOTAL COBERTURA]]</f>
        <v>6131566</v>
      </c>
      <c r="BC13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134" s="35">
        <f>SUM(Tabla44[[#This Row],[DESEMBOLSO 1]:[DESEMBOLSO 8]])</f>
        <v>50725598</v>
      </c>
      <c r="BE134" s="12" t="b">
        <f>EXACT(Tabla44[[#This Row],[VALOR ATENCIÓN (8 MESES)]],Tabla44[[#This Row],[VALOR TOTAL]])</f>
        <v>1</v>
      </c>
      <c r="BF134" s="23">
        <f>Tabla44[[#This Row],[VALOR ATENCIÓN (8 MESES)]]-Tabla44[[#This Row],[VALOR TOTAL]]</f>
        <v>0</v>
      </c>
      <c r="BG134" s="12" t="b">
        <f>EXACT(Tabla44[[#This Row],[TOTAL DESEMBOLSOS]],Tabla44[[#This Row],[VALOR TOTAL DEL CONTRATO INCLUIDO EL COMPONENTE DE ALIMENTACIÓN]])</f>
        <v>1</v>
      </c>
      <c r="BH134" s="29">
        <f>Tabla44[[#This Row],[TOTAL DESEMBOLSOS]]-Tabla44[[#This Row],[VALOR TOTAL DEL CONTRATO INCLUIDO EL COMPONENTE DE ALIMENTACIÓN]]</f>
        <v>0</v>
      </c>
      <c r="BI134" t="s">
        <v>98</v>
      </c>
    </row>
    <row r="135" spans="1:61">
      <c r="A135" s="13">
        <v>1924</v>
      </c>
      <c r="B135" s="13"/>
      <c r="C135" s="12" t="s">
        <v>87</v>
      </c>
      <c r="D135" s="12" t="s">
        <v>1534</v>
      </c>
      <c r="E135" s="12" t="s">
        <v>3063</v>
      </c>
      <c r="F135" s="12" t="s">
        <v>18</v>
      </c>
      <c r="G135" s="12" t="s">
        <v>90</v>
      </c>
      <c r="H135" s="12" t="s">
        <v>1342</v>
      </c>
      <c r="I135" s="36">
        <v>56281153403</v>
      </c>
      <c r="J135" s="12" t="s">
        <v>3076</v>
      </c>
      <c r="K135" s="12">
        <v>1</v>
      </c>
      <c r="L135" s="12">
        <v>16</v>
      </c>
      <c r="M135" s="12"/>
      <c r="N135" s="13">
        <v>1924</v>
      </c>
      <c r="O135" s="12" t="s">
        <v>2850</v>
      </c>
      <c r="P135" s="12"/>
      <c r="Q135" s="12"/>
      <c r="R135" s="12" t="s">
        <v>94</v>
      </c>
      <c r="S135" s="12">
        <v>10</v>
      </c>
      <c r="T135" s="12">
        <v>811021339</v>
      </c>
      <c r="U135" s="12" t="s">
        <v>2851</v>
      </c>
      <c r="V135" s="12">
        <f>VLOOKUP(Tabla44[[#This Row],[ZONA DEFINITIVO]],[1]Hoja1!$A$1:$D$125,3,0)</f>
        <v>229935</v>
      </c>
      <c r="W135" s="12">
        <f>VLOOKUP(Tabla44[[#This Row],[ZONA DEFINITIVO]],[1]Hoja1!$A$1:$D$125,2,0)</f>
        <v>17252</v>
      </c>
      <c r="X135" s="12">
        <f>VLOOKUP(Tabla44[[#This Row],[ZONA DEFINITIVO]],[1]Hoja1!$A$1:$D$125,4,0)</f>
        <v>104125</v>
      </c>
      <c r="Y135" s="12" t="str">
        <f>+IF(Tabla44[[#This Row],[AGRUPACIONES]]=1,SUMIFS(Tabla44[UDS],Tabla44[ZONA DEFINITIVO],Tabla44[[#This Row],[ZONA DEFINITIVO]])," ")</f>
        <v xml:space="preserve"> </v>
      </c>
      <c r="Z135" s="12" t="str">
        <f>+IF(Tabla44[[#This Row],[AGRUPACIONES]]=1,SUMIFS(Tabla44[TOTAL COBERTURA],Tabla44[ZONA DEFINITIVO],Tabla44[[#This Row],[ZONA DEFINITIVO]])," ")</f>
        <v xml:space="preserve"> </v>
      </c>
      <c r="AA135" s="12"/>
      <c r="AB135" s="35">
        <v>34883088</v>
      </c>
      <c r="AC135" s="37">
        <v>0</v>
      </c>
      <c r="AD135" s="35">
        <f t="shared" si="2"/>
        <v>0</v>
      </c>
      <c r="AE135" s="12"/>
      <c r="AF135" s="12">
        <f>COUNTIF($A$20:A135,A135)</f>
        <v>65</v>
      </c>
      <c r="AG135" s="38">
        <v>34883088</v>
      </c>
      <c r="AH135" s="38">
        <f>Tabla44[[#This Row],[VALOR CONTRAPARTIDA]]+Tabla44[[#This Row],[TOTAL APORTES ICBF]]</f>
        <v>34883088</v>
      </c>
      <c r="AI135" s="35" t="str">
        <f>+IF(Tabla44[[#This Row],[AGRUPACIONES]]=1,SUMIFS(Tabla44[TOTAL APORTES ICBF],Tabla44[ZONA DEFINITIVO],Tabla44[[#This Row],[ZONA DEFINITIVO]])," ")</f>
        <v xml:space="preserve"> </v>
      </c>
      <c r="AJ135" s="38"/>
      <c r="AK135" s="38"/>
      <c r="AL135" s="35"/>
      <c r="AM135" s="35">
        <f>VLOOKUP(Tabla44[[#This Row],[SERVICIO 2025]],$J$2:$V$15,5,0)*Tabla44[[#This Row],[TOTAL COBERTURA]]</f>
        <v>790016</v>
      </c>
      <c r="AN135" s="35">
        <f>VLOOKUP(Tabla44[[#This Row],[SERVICIO 2025]],$J$2:$V$15,6,0)*Tabla44[[#This Row],[TOTAL COBERTURA]]</f>
        <v>656464</v>
      </c>
      <c r="AO135" s="35">
        <f>VLOOKUP(Tabla44[[#This Row],[SERVICIO 2025]],$J$2:$V$15,8,0)*Tabla44[[#This Row],[TOTAL COBERTURA]]</f>
        <v>465600</v>
      </c>
      <c r="AP135" s="35">
        <f>VLOOKUP(Tabla44[[#This Row],[SERVICIO 2025]],$J$2:$V$15,3,0)*Tabla44[[#This Row],[TOTAL COBERTURA]]*8</f>
        <v>32971008</v>
      </c>
      <c r="AQ135" s="35"/>
      <c r="AR135" s="35">
        <f>SUM(Tabla44[[#This Row],[VALOR FASE PREPARATORIA DE ALISTAMIENTO]:[VALOR RACION PREPARADA]])</f>
        <v>34883088</v>
      </c>
      <c r="AS135" s="35" t="str">
        <f>+IF(Tabla44[[#This Row],[AGRUPACIONES]]=1,SUMIFS(Tabla44[VALOR TOTAL],Tabla44[ZONA DEFINITIVO],Tabla44[[#This Row],[ZONA DEFINITIVO]])," ")</f>
        <v xml:space="preserve"> </v>
      </c>
      <c r="AT135" s="35">
        <f>VLOOKUP(Tabla44[[#This Row],[SERVICIO 2025]],$J$2:$V$15,10,0)*Tabla44[[#This Row],[TOTAL COBERTURA]]*$X$7</f>
        <v>23089024</v>
      </c>
      <c r="AU135" s="39">
        <f>Tabla44[[#This Row],[TOTAL CONTRATO (ICBF+EAS)]]+Tabla44[[#This Row],[VALOR COMPONENTE ALIMENTACION NO ASIGNADO]]</f>
        <v>57972112</v>
      </c>
      <c r="AV13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135" s="35">
        <f>(VLOOKUP(Tabla44[[#This Row],[SERVICIO 2025]],$J$2:$V$15,3,0)*Tabla44[[#This Row],[TOTAL COBERTURA]])+VLOOKUP(Tabla44[[#This Row],[SERVICIO 2025]],$J$2:$V$15,10,0)*Tabla44[[#This Row],[TOTAL COBERTURA]]</f>
        <v>7007504</v>
      </c>
      <c r="AX135" s="35">
        <f>(VLOOKUP(Tabla44[[#This Row],[SERVICIO 2025]],$J$2:$V$15,3,0)*Tabla44[[#This Row],[TOTAL COBERTURA]])+VLOOKUP(Tabla44[[#This Row],[SERVICIO 2025]],$J$2:$V$15,10,0)*Tabla44[[#This Row],[TOTAL COBERTURA]]</f>
        <v>7007504</v>
      </c>
      <c r="AY135" s="35">
        <f>(VLOOKUP(Tabla44[[#This Row],[SERVICIO 2025]],$J$2:$V$15,3,0)*Tabla44[[#This Row],[TOTAL COBERTURA]])+VLOOKUP(Tabla44[[#This Row],[SERVICIO 2025]],$J$2:$V$15,10,0)*Tabla44[[#This Row],[TOTAL COBERTURA]]</f>
        <v>7007504</v>
      </c>
      <c r="AZ135" s="35">
        <f>(VLOOKUP(Tabla44[[#This Row],[SERVICIO 2025]],$J$2:$V$15,3,0)*Tabla44[[#This Row],[TOTAL COBERTURA]])+VLOOKUP(Tabla44[[#This Row],[SERVICIO 2025]],$J$2:$V$15,10,0)*Tabla44[[#This Row],[TOTAL COBERTURA]]</f>
        <v>7007504</v>
      </c>
      <c r="BA135" s="35">
        <f>(VLOOKUP(Tabla44[[#This Row],[SERVICIO 2025]],$J$2:$V$15,3,0)*Tabla44[[#This Row],[TOTAL COBERTURA]])+VLOOKUP(Tabla44[[#This Row],[SERVICIO 2025]],$J$2:$V$15,10,0)*Tabla44[[#This Row],[TOTAL COBERTURA]]</f>
        <v>7007504</v>
      </c>
      <c r="BB135" s="35">
        <f>(VLOOKUP(Tabla44[[#This Row],[SERVICIO 2025]],$J$2:$V$15,3,0)*Tabla44[[#This Row],[TOTAL COBERTURA]])+VLOOKUP(Tabla44[[#This Row],[SERVICIO 2025]],$J$2:$V$15,10,0)*Tabla44[[#This Row],[TOTAL COBERTURA]]</f>
        <v>7007504</v>
      </c>
      <c r="BC13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135" s="35">
        <f>SUM(Tabla44[[#This Row],[DESEMBOLSO 1]:[DESEMBOLSO 8]])</f>
        <v>57972112</v>
      </c>
      <c r="BE135" s="12" t="b">
        <f>EXACT(Tabla44[[#This Row],[VALOR ATENCIÓN (8 MESES)]],Tabla44[[#This Row],[VALOR TOTAL]])</f>
        <v>1</v>
      </c>
      <c r="BF135" s="23">
        <f>Tabla44[[#This Row],[VALOR ATENCIÓN (8 MESES)]]-Tabla44[[#This Row],[VALOR TOTAL]]</f>
        <v>0</v>
      </c>
      <c r="BG135" s="12" t="b">
        <f>EXACT(Tabla44[[#This Row],[TOTAL DESEMBOLSOS]],Tabla44[[#This Row],[VALOR TOTAL DEL CONTRATO INCLUIDO EL COMPONENTE DE ALIMENTACIÓN]])</f>
        <v>1</v>
      </c>
      <c r="BH135" s="29">
        <f>Tabla44[[#This Row],[TOTAL DESEMBOLSOS]]-Tabla44[[#This Row],[VALOR TOTAL DEL CONTRATO INCLUIDO EL COMPONENTE DE ALIMENTACIÓN]]</f>
        <v>0</v>
      </c>
      <c r="BI135" t="s">
        <v>98</v>
      </c>
    </row>
    <row r="136" spans="1:61">
      <c r="A136" s="13">
        <v>1924</v>
      </c>
      <c r="B136" s="13"/>
      <c r="C136" s="12" t="s">
        <v>87</v>
      </c>
      <c r="D136" s="12" t="s">
        <v>1534</v>
      </c>
      <c r="E136" s="12" t="s">
        <v>3063</v>
      </c>
      <c r="F136" s="12" t="s">
        <v>18</v>
      </c>
      <c r="G136" s="12" t="s">
        <v>90</v>
      </c>
      <c r="H136" s="12" t="s">
        <v>3077</v>
      </c>
      <c r="I136" s="36">
        <v>562800101710</v>
      </c>
      <c r="J136" s="12" t="s">
        <v>3078</v>
      </c>
      <c r="K136" s="12">
        <v>1</v>
      </c>
      <c r="L136" s="12">
        <v>22</v>
      </c>
      <c r="M136" s="12"/>
      <c r="N136" s="13">
        <v>1924</v>
      </c>
      <c r="O136" s="12" t="s">
        <v>2850</v>
      </c>
      <c r="P136" s="12"/>
      <c r="Q136" s="12"/>
      <c r="R136" s="12" t="s">
        <v>94</v>
      </c>
      <c r="S136" s="12">
        <v>10</v>
      </c>
      <c r="T136" s="12">
        <v>811021339</v>
      </c>
      <c r="U136" s="12" t="s">
        <v>2851</v>
      </c>
      <c r="V136" s="12">
        <f>VLOOKUP(Tabla44[[#This Row],[ZONA DEFINITIVO]],[1]Hoja1!$A$1:$D$125,3,0)</f>
        <v>229935</v>
      </c>
      <c r="W136" s="12">
        <f>VLOOKUP(Tabla44[[#This Row],[ZONA DEFINITIVO]],[1]Hoja1!$A$1:$D$125,2,0)</f>
        <v>17252</v>
      </c>
      <c r="X136" s="12">
        <f>VLOOKUP(Tabla44[[#This Row],[ZONA DEFINITIVO]],[1]Hoja1!$A$1:$D$125,4,0)</f>
        <v>104125</v>
      </c>
      <c r="Y136" s="12" t="str">
        <f>+IF(Tabla44[[#This Row],[AGRUPACIONES]]=1,SUMIFS(Tabla44[UDS],Tabla44[ZONA DEFINITIVO],Tabla44[[#This Row],[ZONA DEFINITIVO]])," ")</f>
        <v xml:space="preserve"> </v>
      </c>
      <c r="Z136" s="12" t="str">
        <f>+IF(Tabla44[[#This Row],[AGRUPACIONES]]=1,SUMIFS(Tabla44[TOTAL COBERTURA],Tabla44[ZONA DEFINITIVO],Tabla44[[#This Row],[ZONA DEFINITIVO]])," ")</f>
        <v xml:space="preserve"> </v>
      </c>
      <c r="AA136" s="12"/>
      <c r="AB136" s="35">
        <v>47964246</v>
      </c>
      <c r="AC136" s="37">
        <v>0</v>
      </c>
      <c r="AD136" s="35">
        <f t="shared" si="2"/>
        <v>0</v>
      </c>
      <c r="AE136" s="12"/>
      <c r="AF136" s="12">
        <f>COUNTIF($A$20:A136,A136)</f>
        <v>66</v>
      </c>
      <c r="AG136" s="38">
        <v>47964246</v>
      </c>
      <c r="AH136" s="38">
        <f>Tabla44[[#This Row],[VALOR CONTRAPARTIDA]]+Tabla44[[#This Row],[TOTAL APORTES ICBF]]</f>
        <v>47964246</v>
      </c>
      <c r="AI136" s="35" t="str">
        <f>+IF(Tabla44[[#This Row],[AGRUPACIONES]]=1,SUMIFS(Tabla44[TOTAL APORTES ICBF],Tabla44[ZONA DEFINITIVO],Tabla44[[#This Row],[ZONA DEFINITIVO]])," ")</f>
        <v xml:space="preserve"> </v>
      </c>
      <c r="AJ136" s="38"/>
      <c r="AK136" s="38"/>
      <c r="AL136" s="35"/>
      <c r="AM136" s="35">
        <f>VLOOKUP(Tabla44[[#This Row],[SERVICIO 2025]],$J$2:$V$15,5,0)*Tabla44[[#This Row],[TOTAL COBERTURA]]</f>
        <v>1086272</v>
      </c>
      <c r="AN136" s="35">
        <f>VLOOKUP(Tabla44[[#This Row],[SERVICIO 2025]],$J$2:$V$15,6,0)*Tabla44[[#This Row],[TOTAL COBERTURA]]</f>
        <v>902638</v>
      </c>
      <c r="AO136" s="35">
        <f>VLOOKUP(Tabla44[[#This Row],[SERVICIO 2025]],$J$2:$V$15,8,0)*Tabla44[[#This Row],[TOTAL COBERTURA]]</f>
        <v>640200</v>
      </c>
      <c r="AP136" s="35">
        <f>VLOOKUP(Tabla44[[#This Row],[SERVICIO 2025]],$J$2:$V$15,3,0)*Tabla44[[#This Row],[TOTAL COBERTURA]]*8</f>
        <v>45335136</v>
      </c>
      <c r="AQ136" s="35"/>
      <c r="AR136" s="35">
        <f>SUM(Tabla44[[#This Row],[VALOR FASE PREPARATORIA DE ALISTAMIENTO]:[VALOR RACION PREPARADA]])</f>
        <v>47964246</v>
      </c>
      <c r="AS136" s="35" t="str">
        <f>+IF(Tabla44[[#This Row],[AGRUPACIONES]]=1,SUMIFS(Tabla44[VALOR TOTAL],Tabla44[ZONA DEFINITIVO],Tabla44[[#This Row],[ZONA DEFINITIVO]])," ")</f>
        <v xml:space="preserve"> </v>
      </c>
      <c r="AT136" s="35">
        <f>VLOOKUP(Tabla44[[#This Row],[SERVICIO 2025]],$J$2:$V$15,10,0)*Tabla44[[#This Row],[TOTAL COBERTURA]]*$X$7</f>
        <v>31747408</v>
      </c>
      <c r="AU136" s="39">
        <f>Tabla44[[#This Row],[TOTAL CONTRATO (ICBF+EAS)]]+Tabla44[[#This Row],[VALOR COMPONENTE ALIMENTACION NO ASIGNADO]]</f>
        <v>79711654</v>
      </c>
      <c r="AV13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11361790</v>
      </c>
      <c r="AW136" s="35">
        <f>(VLOOKUP(Tabla44[[#This Row],[SERVICIO 2025]],$J$2:$V$15,3,0)*Tabla44[[#This Row],[TOTAL COBERTURA]])+VLOOKUP(Tabla44[[#This Row],[SERVICIO 2025]],$J$2:$V$15,10,0)*Tabla44[[#This Row],[TOTAL COBERTURA]]</f>
        <v>9635318</v>
      </c>
      <c r="AX136" s="35">
        <f>(VLOOKUP(Tabla44[[#This Row],[SERVICIO 2025]],$J$2:$V$15,3,0)*Tabla44[[#This Row],[TOTAL COBERTURA]])+VLOOKUP(Tabla44[[#This Row],[SERVICIO 2025]],$J$2:$V$15,10,0)*Tabla44[[#This Row],[TOTAL COBERTURA]]</f>
        <v>9635318</v>
      </c>
      <c r="AY136" s="35">
        <f>(VLOOKUP(Tabla44[[#This Row],[SERVICIO 2025]],$J$2:$V$15,3,0)*Tabla44[[#This Row],[TOTAL COBERTURA]])+VLOOKUP(Tabla44[[#This Row],[SERVICIO 2025]],$J$2:$V$15,10,0)*Tabla44[[#This Row],[TOTAL COBERTURA]]</f>
        <v>9635318</v>
      </c>
      <c r="AZ136" s="35">
        <f>(VLOOKUP(Tabla44[[#This Row],[SERVICIO 2025]],$J$2:$V$15,3,0)*Tabla44[[#This Row],[TOTAL COBERTURA]])+VLOOKUP(Tabla44[[#This Row],[SERVICIO 2025]],$J$2:$V$15,10,0)*Tabla44[[#This Row],[TOTAL COBERTURA]]</f>
        <v>9635318</v>
      </c>
      <c r="BA136" s="35">
        <f>(VLOOKUP(Tabla44[[#This Row],[SERVICIO 2025]],$J$2:$V$15,3,0)*Tabla44[[#This Row],[TOTAL COBERTURA]])+VLOOKUP(Tabla44[[#This Row],[SERVICIO 2025]],$J$2:$V$15,10,0)*Tabla44[[#This Row],[TOTAL COBERTURA]]</f>
        <v>9635318</v>
      </c>
      <c r="BB136" s="35">
        <f>(VLOOKUP(Tabla44[[#This Row],[SERVICIO 2025]],$J$2:$V$15,3,0)*Tabla44[[#This Row],[TOTAL COBERTURA]])+VLOOKUP(Tabla44[[#This Row],[SERVICIO 2025]],$J$2:$V$15,10,0)*Tabla44[[#This Row],[TOTAL COBERTURA]]</f>
        <v>9635318</v>
      </c>
      <c r="BC13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10537956</v>
      </c>
      <c r="BD136" s="35">
        <f>SUM(Tabla44[[#This Row],[DESEMBOLSO 1]:[DESEMBOLSO 8]])</f>
        <v>79711654</v>
      </c>
      <c r="BE136" s="12" t="b">
        <f>EXACT(Tabla44[[#This Row],[VALOR ATENCIÓN (8 MESES)]],Tabla44[[#This Row],[VALOR TOTAL]])</f>
        <v>1</v>
      </c>
      <c r="BF136" s="23">
        <f>Tabla44[[#This Row],[VALOR ATENCIÓN (8 MESES)]]-Tabla44[[#This Row],[VALOR TOTAL]]</f>
        <v>0</v>
      </c>
      <c r="BG136" s="12" t="b">
        <f>EXACT(Tabla44[[#This Row],[TOTAL DESEMBOLSOS]],Tabla44[[#This Row],[VALOR TOTAL DEL CONTRATO INCLUIDO EL COMPONENTE DE ALIMENTACIÓN]])</f>
        <v>1</v>
      </c>
      <c r="BH136" s="29">
        <f>Tabla44[[#This Row],[TOTAL DESEMBOLSOS]]-Tabla44[[#This Row],[VALOR TOTAL DEL CONTRATO INCLUIDO EL COMPONENTE DE ALIMENTACIÓN]]</f>
        <v>0</v>
      </c>
      <c r="BI136" t="s">
        <v>98</v>
      </c>
    </row>
    <row r="137" spans="1:61">
      <c r="A137" s="13">
        <v>1950</v>
      </c>
      <c r="B137" s="13"/>
      <c r="C137" s="12" t="s">
        <v>87</v>
      </c>
      <c r="D137" s="12" t="s">
        <v>88</v>
      </c>
      <c r="E137" s="12" t="s">
        <v>3079</v>
      </c>
      <c r="F137" s="12" t="s">
        <v>21</v>
      </c>
      <c r="G137" s="12" t="s">
        <v>90</v>
      </c>
      <c r="H137" s="12" t="s">
        <v>3080</v>
      </c>
      <c r="I137" s="36">
        <v>50861118165</v>
      </c>
      <c r="J137" s="12" t="s">
        <v>3081</v>
      </c>
      <c r="K137" s="12">
        <v>1</v>
      </c>
      <c r="L137" s="12">
        <v>33</v>
      </c>
      <c r="M137" s="12"/>
      <c r="N137" s="13">
        <v>1950</v>
      </c>
      <c r="O137" s="12" t="s">
        <v>2850</v>
      </c>
      <c r="P137" s="12"/>
      <c r="Q137" s="12"/>
      <c r="R137" s="12" t="s">
        <v>94</v>
      </c>
      <c r="S137" s="12">
        <v>10</v>
      </c>
      <c r="T137" s="12">
        <v>900077807</v>
      </c>
      <c r="U137" s="12" t="s">
        <v>3082</v>
      </c>
      <c r="V137" s="12">
        <f>VLOOKUP(Tabla44[[#This Row],[ZONA DEFINITIVO]],[1]Hoja1!$A$1:$D$125,3,0)</f>
        <v>229936</v>
      </c>
      <c r="W137" s="12">
        <f>VLOOKUP(Tabla44[[#This Row],[ZONA DEFINITIVO]],[1]Hoja1!$A$1:$D$125,2,0)</f>
        <v>17251</v>
      </c>
      <c r="X137" s="12">
        <f>VLOOKUP(Tabla44[[#This Row],[ZONA DEFINITIVO]],[1]Hoja1!$A$1:$D$125,4,0)</f>
        <v>104025</v>
      </c>
      <c r="Y137" s="12">
        <f>+IF(Tabla44[[#This Row],[AGRUPACIONES]]=1,SUMIFS(Tabla44[UDS],Tabla44[ZONA DEFINITIVO],Tabla44[[#This Row],[ZONA DEFINITIVO]])," ")</f>
        <v>16</v>
      </c>
      <c r="Z137" s="12">
        <f>+IF(Tabla44[[#This Row],[AGRUPACIONES]]=1,SUMIFS(Tabla44[TOTAL COBERTURA],Tabla44[ZONA DEFINITIVO],Tabla44[[#This Row],[ZONA DEFINITIVO]])," ")</f>
        <v>401</v>
      </c>
      <c r="AA137" s="12"/>
      <c r="AB137" s="35">
        <v>50137065</v>
      </c>
      <c r="AC137" s="37">
        <v>0</v>
      </c>
      <c r="AD137" s="35">
        <f t="shared" si="2"/>
        <v>0</v>
      </c>
      <c r="AE137" s="12"/>
      <c r="AF137" s="12">
        <f>COUNTIF($A$20:A137,A137)</f>
        <v>1</v>
      </c>
      <c r="AG137" s="38">
        <v>50137065</v>
      </c>
      <c r="AH137" s="38">
        <f>Tabla44[[#This Row],[VALOR CONTRAPARTIDA]]+Tabla44[[#This Row],[TOTAL APORTES ICBF]]</f>
        <v>50137065</v>
      </c>
      <c r="AI137" s="35">
        <f>+IF(Tabla44[[#This Row],[AGRUPACIONES]]=1,SUMIFS(Tabla44[TOTAL APORTES ICBF],Tabla44[ZONA DEFINITIVO],Tabla44[[#This Row],[ZONA DEFINITIVO]])," ")</f>
        <v>1058856825</v>
      </c>
      <c r="AJ137" s="38">
        <f>ROUND(+IF(Tabla44[[#This Row],[AGRUPACIONES]]=1,SUMIFS(Tabla44[VALOR CONTRAPARTIDA],Tabla44[ZONA DEFINITIVO],Tabla44[[#This Row],[ZONA DEFINITIVO]])," "),0)</f>
        <v>0</v>
      </c>
      <c r="AK137" s="38">
        <f>Tabla44[[#This Row],[TOTAL APORTES ICBF AGRUPADO]]+Tabla44[[#This Row],[TOTAL CONTRAPARTIDA AGRUPADO]]</f>
        <v>1058856825</v>
      </c>
      <c r="AL137" s="35">
        <f>Tabla44[[#This Row],[TOTAL APORTES ICBF AGRUPADO]]/$AL$18</f>
        <v>743.84041095890416</v>
      </c>
      <c r="AM137" s="35">
        <f>VLOOKUP(Tabla44[[#This Row],[SERVICIO 2025]],$J$2:$V$15,5,0)*Tabla44[[#This Row],[TOTAL COBERTURA]]</f>
        <v>1542552</v>
      </c>
      <c r="AN137" s="35">
        <f>VLOOKUP(Tabla44[[#This Row],[SERVICIO 2025]],$J$2:$V$15,6,0)*Tabla44[[#This Row],[TOTAL COBERTURA]]</f>
        <v>1248753</v>
      </c>
      <c r="AO137" s="35">
        <f>VLOOKUP(Tabla44[[#This Row],[SERVICIO 2025]],$J$2:$V$15,8,0)*Tabla44[[#This Row],[TOTAL COBERTURA]]</f>
        <v>0</v>
      </c>
      <c r="AP137" s="35">
        <f>VLOOKUP(Tabla44[[#This Row],[SERVICIO 2025]],$J$2:$V$15,3,0)*Tabla44[[#This Row],[TOTAL COBERTURA]]*8</f>
        <v>47345760</v>
      </c>
      <c r="AQ137" s="35"/>
      <c r="AR137" s="35">
        <f>SUM(Tabla44[[#This Row],[VALOR FASE PREPARATORIA DE ALISTAMIENTO]:[VALOR RACION PREPARADA]])</f>
        <v>50137065</v>
      </c>
      <c r="AS137" s="35">
        <f>+IF(Tabla44[[#This Row],[AGRUPACIONES]]=1,SUMIFS(Tabla44[VALOR TOTAL],Tabla44[ZONA DEFINITIVO],Tabla44[[#This Row],[ZONA DEFINITIVO]])," ")</f>
        <v>1058856825</v>
      </c>
      <c r="AT137" s="35">
        <f>VLOOKUP(Tabla44[[#This Row],[SERVICIO 2025]],$J$2:$V$15,10,0)*Tabla44[[#This Row],[TOTAL COBERTURA]]*$X$7</f>
        <v>49716744</v>
      </c>
      <c r="AU137" s="39">
        <f>Tabla44[[#This Row],[TOTAL CONTRATO (ICBF+EAS)]]+Tabla44[[#This Row],[VALOR COMPONENTE ALIMENTACION NO ASIGNADO]]</f>
        <v>99853809</v>
      </c>
      <c r="AV13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13675365</v>
      </c>
      <c r="AW137" s="35">
        <f>(VLOOKUP(Tabla44[[#This Row],[SERVICIO 2025]],$J$2:$V$15,3,0)*Tabla44[[#This Row],[TOTAL COBERTURA]])+VLOOKUP(Tabla44[[#This Row],[SERVICIO 2025]],$J$2:$V$15,10,0)*Tabla44[[#This Row],[TOTAL COBERTURA]]</f>
        <v>12132813</v>
      </c>
      <c r="AX137" s="35">
        <f>(VLOOKUP(Tabla44[[#This Row],[SERVICIO 2025]],$J$2:$V$15,3,0)*Tabla44[[#This Row],[TOTAL COBERTURA]])+VLOOKUP(Tabla44[[#This Row],[SERVICIO 2025]],$J$2:$V$15,10,0)*Tabla44[[#This Row],[TOTAL COBERTURA]]</f>
        <v>12132813</v>
      </c>
      <c r="AY137" s="35">
        <f>(VLOOKUP(Tabla44[[#This Row],[SERVICIO 2025]],$J$2:$V$15,3,0)*Tabla44[[#This Row],[TOTAL COBERTURA]])+VLOOKUP(Tabla44[[#This Row],[SERVICIO 2025]],$J$2:$V$15,10,0)*Tabla44[[#This Row],[TOTAL COBERTURA]]</f>
        <v>12132813</v>
      </c>
      <c r="AZ137" s="35">
        <f>(VLOOKUP(Tabla44[[#This Row],[SERVICIO 2025]],$J$2:$V$15,3,0)*Tabla44[[#This Row],[TOTAL COBERTURA]])+VLOOKUP(Tabla44[[#This Row],[SERVICIO 2025]],$J$2:$V$15,10,0)*Tabla44[[#This Row],[TOTAL COBERTURA]]</f>
        <v>12132813</v>
      </c>
      <c r="BA137" s="35">
        <f>(VLOOKUP(Tabla44[[#This Row],[SERVICIO 2025]],$J$2:$V$15,3,0)*Tabla44[[#This Row],[TOTAL COBERTURA]])+VLOOKUP(Tabla44[[#This Row],[SERVICIO 2025]],$J$2:$V$15,10,0)*Tabla44[[#This Row],[TOTAL COBERTURA]]</f>
        <v>12132813</v>
      </c>
      <c r="BB137" s="35">
        <f>(VLOOKUP(Tabla44[[#This Row],[SERVICIO 2025]],$J$2:$V$15,3,0)*Tabla44[[#This Row],[TOTAL COBERTURA]])+VLOOKUP(Tabla44[[#This Row],[SERVICIO 2025]],$J$2:$V$15,10,0)*Tabla44[[#This Row],[TOTAL COBERTURA]]</f>
        <v>12132813</v>
      </c>
      <c r="BC13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13381566</v>
      </c>
      <c r="BD137" s="35">
        <f>SUM(Tabla44[[#This Row],[DESEMBOLSO 1]:[DESEMBOLSO 8]])</f>
        <v>99853809</v>
      </c>
      <c r="BE137" s="12" t="b">
        <f>EXACT(Tabla44[[#This Row],[VALOR ATENCIÓN (8 MESES)]],Tabla44[[#This Row],[VALOR TOTAL]])</f>
        <v>1</v>
      </c>
      <c r="BF137" s="23">
        <f>Tabla44[[#This Row],[VALOR ATENCIÓN (8 MESES)]]-Tabla44[[#This Row],[VALOR TOTAL]]</f>
        <v>0</v>
      </c>
      <c r="BG137" s="12" t="b">
        <f>EXACT(Tabla44[[#This Row],[TOTAL DESEMBOLSOS]],Tabla44[[#This Row],[VALOR TOTAL DEL CONTRATO INCLUIDO EL COMPONENTE DE ALIMENTACIÓN]])</f>
        <v>1</v>
      </c>
      <c r="BH137" s="29">
        <f>Tabla44[[#This Row],[TOTAL DESEMBOLSOS]]-Tabla44[[#This Row],[VALOR TOTAL DEL CONTRATO INCLUIDO EL COMPONENTE DE ALIMENTACIÓN]]</f>
        <v>0</v>
      </c>
      <c r="BI137" t="s">
        <v>98</v>
      </c>
    </row>
    <row r="138" spans="1:61">
      <c r="A138" s="13">
        <v>1950</v>
      </c>
      <c r="B138" s="13"/>
      <c r="C138" s="12" t="s">
        <v>87</v>
      </c>
      <c r="D138" s="12" t="s">
        <v>88</v>
      </c>
      <c r="E138" s="12" t="s">
        <v>3079</v>
      </c>
      <c r="F138" s="12" t="s">
        <v>21</v>
      </c>
      <c r="G138" s="12" t="s">
        <v>90</v>
      </c>
      <c r="H138" s="12" t="s">
        <v>3083</v>
      </c>
      <c r="I138" s="36">
        <v>50861134367</v>
      </c>
      <c r="J138" s="12" t="s">
        <v>3084</v>
      </c>
      <c r="K138" s="12">
        <v>1</v>
      </c>
      <c r="L138" s="12">
        <v>28</v>
      </c>
      <c r="M138" s="12"/>
      <c r="N138" s="13">
        <v>1950</v>
      </c>
      <c r="O138" s="12" t="s">
        <v>2850</v>
      </c>
      <c r="P138" s="12"/>
      <c r="Q138" s="12"/>
      <c r="R138" s="12" t="s">
        <v>94</v>
      </c>
      <c r="S138" s="12">
        <v>10</v>
      </c>
      <c r="T138" s="12">
        <v>900077807</v>
      </c>
      <c r="U138" s="12" t="s">
        <v>3082</v>
      </c>
      <c r="V138" s="12">
        <f>VLOOKUP(Tabla44[[#This Row],[ZONA DEFINITIVO]],[1]Hoja1!$A$1:$D$125,3,0)</f>
        <v>229936</v>
      </c>
      <c r="W138" s="12">
        <f>VLOOKUP(Tabla44[[#This Row],[ZONA DEFINITIVO]],[1]Hoja1!$A$1:$D$125,2,0)</f>
        <v>17251</v>
      </c>
      <c r="X138" s="12">
        <f>VLOOKUP(Tabla44[[#This Row],[ZONA DEFINITIVO]],[1]Hoja1!$A$1:$D$125,4,0)</f>
        <v>104025</v>
      </c>
      <c r="Y138" s="12" t="str">
        <f>+IF(Tabla44[[#This Row],[AGRUPACIONES]]=1,SUMIFS(Tabla44[UDS],Tabla44[ZONA DEFINITIVO],Tabla44[[#This Row],[ZONA DEFINITIVO]])," ")</f>
        <v xml:space="preserve"> </v>
      </c>
      <c r="Z138" s="12" t="str">
        <f>+IF(Tabla44[[#This Row],[AGRUPACIONES]]=1,SUMIFS(Tabla44[TOTAL COBERTURA],Tabla44[ZONA DEFINITIVO],Tabla44[[#This Row],[ZONA DEFINITIVO]])," ")</f>
        <v xml:space="preserve"> </v>
      </c>
      <c r="AA138" s="12"/>
      <c r="AB138" s="35">
        <v>42540540</v>
      </c>
      <c r="AC138" s="37">
        <v>0</v>
      </c>
      <c r="AD138" s="35">
        <f t="shared" si="2"/>
        <v>0</v>
      </c>
      <c r="AE138" s="12"/>
      <c r="AF138" s="12">
        <f>COUNTIF($A$20:A138,A138)</f>
        <v>2</v>
      </c>
      <c r="AG138" s="38">
        <v>42540540</v>
      </c>
      <c r="AH138" s="38">
        <f>Tabla44[[#This Row],[VALOR CONTRAPARTIDA]]+Tabla44[[#This Row],[TOTAL APORTES ICBF]]</f>
        <v>42540540</v>
      </c>
      <c r="AI138" s="35" t="str">
        <f>+IF(Tabla44[[#This Row],[AGRUPACIONES]]=1,SUMIFS(Tabla44[TOTAL APORTES ICBF],Tabla44[ZONA DEFINITIVO],Tabla44[[#This Row],[ZONA DEFINITIVO]])," ")</f>
        <v xml:space="preserve"> </v>
      </c>
      <c r="AJ138" s="38"/>
      <c r="AK138" s="38"/>
      <c r="AL138" s="35"/>
      <c r="AM138" s="35">
        <f>VLOOKUP(Tabla44[[#This Row],[SERVICIO 2025]],$J$2:$V$15,5,0)*Tabla44[[#This Row],[TOTAL COBERTURA]]</f>
        <v>1308832</v>
      </c>
      <c r="AN138" s="35">
        <f>VLOOKUP(Tabla44[[#This Row],[SERVICIO 2025]],$J$2:$V$15,6,0)*Tabla44[[#This Row],[TOTAL COBERTURA]]</f>
        <v>1059548</v>
      </c>
      <c r="AO138" s="35">
        <f>VLOOKUP(Tabla44[[#This Row],[SERVICIO 2025]],$J$2:$V$15,8,0)*Tabla44[[#This Row],[TOTAL COBERTURA]]</f>
        <v>0</v>
      </c>
      <c r="AP138" s="35">
        <f>VLOOKUP(Tabla44[[#This Row],[SERVICIO 2025]],$J$2:$V$15,3,0)*Tabla44[[#This Row],[TOTAL COBERTURA]]*8</f>
        <v>40172160</v>
      </c>
      <c r="AQ138" s="35"/>
      <c r="AR138" s="35">
        <f>SUM(Tabla44[[#This Row],[VALOR FASE PREPARATORIA DE ALISTAMIENTO]:[VALOR RACION PREPARADA]])</f>
        <v>42540540</v>
      </c>
      <c r="AS138" s="35" t="str">
        <f>+IF(Tabla44[[#This Row],[AGRUPACIONES]]=1,SUMIFS(Tabla44[VALOR TOTAL],Tabla44[ZONA DEFINITIVO],Tabla44[[#This Row],[ZONA DEFINITIVO]])," ")</f>
        <v xml:space="preserve"> </v>
      </c>
      <c r="AT138" s="35">
        <f>VLOOKUP(Tabla44[[#This Row],[SERVICIO 2025]],$J$2:$V$15,10,0)*Tabla44[[#This Row],[TOTAL COBERTURA]]*$X$7</f>
        <v>42183904</v>
      </c>
      <c r="AU138" s="39">
        <f>Tabla44[[#This Row],[TOTAL CONTRATO (ICBF+EAS)]]+Tabla44[[#This Row],[VALOR COMPONENTE ALIMENTACION NO ASIGNADO]]</f>
        <v>84724444</v>
      </c>
      <c r="AV13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11603340</v>
      </c>
      <c r="AW138" s="35">
        <f>(VLOOKUP(Tabla44[[#This Row],[SERVICIO 2025]],$J$2:$V$15,3,0)*Tabla44[[#This Row],[TOTAL COBERTURA]])+VLOOKUP(Tabla44[[#This Row],[SERVICIO 2025]],$J$2:$V$15,10,0)*Tabla44[[#This Row],[TOTAL COBERTURA]]</f>
        <v>10294508</v>
      </c>
      <c r="AX138" s="35">
        <f>(VLOOKUP(Tabla44[[#This Row],[SERVICIO 2025]],$J$2:$V$15,3,0)*Tabla44[[#This Row],[TOTAL COBERTURA]])+VLOOKUP(Tabla44[[#This Row],[SERVICIO 2025]],$J$2:$V$15,10,0)*Tabla44[[#This Row],[TOTAL COBERTURA]]</f>
        <v>10294508</v>
      </c>
      <c r="AY138" s="35">
        <f>(VLOOKUP(Tabla44[[#This Row],[SERVICIO 2025]],$J$2:$V$15,3,0)*Tabla44[[#This Row],[TOTAL COBERTURA]])+VLOOKUP(Tabla44[[#This Row],[SERVICIO 2025]],$J$2:$V$15,10,0)*Tabla44[[#This Row],[TOTAL COBERTURA]]</f>
        <v>10294508</v>
      </c>
      <c r="AZ138" s="35">
        <f>(VLOOKUP(Tabla44[[#This Row],[SERVICIO 2025]],$J$2:$V$15,3,0)*Tabla44[[#This Row],[TOTAL COBERTURA]])+VLOOKUP(Tabla44[[#This Row],[SERVICIO 2025]],$J$2:$V$15,10,0)*Tabla44[[#This Row],[TOTAL COBERTURA]]</f>
        <v>10294508</v>
      </c>
      <c r="BA138" s="35">
        <f>(VLOOKUP(Tabla44[[#This Row],[SERVICIO 2025]],$J$2:$V$15,3,0)*Tabla44[[#This Row],[TOTAL COBERTURA]])+VLOOKUP(Tabla44[[#This Row],[SERVICIO 2025]],$J$2:$V$15,10,0)*Tabla44[[#This Row],[TOTAL COBERTURA]]</f>
        <v>10294508</v>
      </c>
      <c r="BB138" s="35">
        <f>(VLOOKUP(Tabla44[[#This Row],[SERVICIO 2025]],$J$2:$V$15,3,0)*Tabla44[[#This Row],[TOTAL COBERTURA]])+VLOOKUP(Tabla44[[#This Row],[SERVICIO 2025]],$J$2:$V$15,10,0)*Tabla44[[#This Row],[TOTAL COBERTURA]]</f>
        <v>10294508</v>
      </c>
      <c r="BC13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11354056</v>
      </c>
      <c r="BD138" s="35">
        <f>SUM(Tabla44[[#This Row],[DESEMBOLSO 1]:[DESEMBOLSO 8]])</f>
        <v>84724444</v>
      </c>
      <c r="BE138" s="12" t="b">
        <f>EXACT(Tabla44[[#This Row],[VALOR ATENCIÓN (8 MESES)]],Tabla44[[#This Row],[VALOR TOTAL]])</f>
        <v>1</v>
      </c>
      <c r="BF138" s="23">
        <f>Tabla44[[#This Row],[VALOR ATENCIÓN (8 MESES)]]-Tabla44[[#This Row],[VALOR TOTAL]]</f>
        <v>0</v>
      </c>
      <c r="BG138" s="12" t="b">
        <f>EXACT(Tabla44[[#This Row],[TOTAL DESEMBOLSOS]],Tabla44[[#This Row],[VALOR TOTAL DEL CONTRATO INCLUIDO EL COMPONENTE DE ALIMENTACIÓN]])</f>
        <v>1</v>
      </c>
      <c r="BH138" s="29">
        <f>Tabla44[[#This Row],[TOTAL DESEMBOLSOS]]-Tabla44[[#This Row],[VALOR TOTAL DEL CONTRATO INCLUIDO EL COMPONENTE DE ALIMENTACIÓN]]</f>
        <v>0</v>
      </c>
      <c r="BI138" t="s">
        <v>98</v>
      </c>
    </row>
    <row r="139" spans="1:61">
      <c r="A139" s="13">
        <v>1950</v>
      </c>
      <c r="B139" s="13"/>
      <c r="C139" s="12" t="s">
        <v>87</v>
      </c>
      <c r="D139" s="12" t="s">
        <v>88</v>
      </c>
      <c r="E139" s="12" t="s">
        <v>3079</v>
      </c>
      <c r="F139" s="12" t="s">
        <v>21</v>
      </c>
      <c r="G139" s="12" t="s">
        <v>90</v>
      </c>
      <c r="H139" s="12" t="s">
        <v>3085</v>
      </c>
      <c r="I139" s="36">
        <v>50861134391</v>
      </c>
      <c r="J139" s="12" t="s">
        <v>3086</v>
      </c>
      <c r="K139" s="12">
        <v>1</v>
      </c>
      <c r="L139" s="12">
        <v>16</v>
      </c>
      <c r="M139" s="12"/>
      <c r="N139" s="13">
        <v>1950</v>
      </c>
      <c r="O139" s="12" t="s">
        <v>2850</v>
      </c>
      <c r="P139" s="12"/>
      <c r="Q139" s="12"/>
      <c r="R139" s="12" t="s">
        <v>94</v>
      </c>
      <c r="S139" s="12">
        <v>10</v>
      </c>
      <c r="T139" s="12">
        <v>900077807</v>
      </c>
      <c r="U139" s="12" t="s">
        <v>3082</v>
      </c>
      <c r="V139" s="12">
        <f>VLOOKUP(Tabla44[[#This Row],[ZONA DEFINITIVO]],[1]Hoja1!$A$1:$D$125,3,0)</f>
        <v>229936</v>
      </c>
      <c r="W139" s="12">
        <f>VLOOKUP(Tabla44[[#This Row],[ZONA DEFINITIVO]],[1]Hoja1!$A$1:$D$125,2,0)</f>
        <v>17251</v>
      </c>
      <c r="X139" s="12">
        <f>VLOOKUP(Tabla44[[#This Row],[ZONA DEFINITIVO]],[1]Hoja1!$A$1:$D$125,4,0)</f>
        <v>104025</v>
      </c>
      <c r="Y139" s="12" t="str">
        <f>+IF(Tabla44[[#This Row],[AGRUPACIONES]]=1,SUMIFS(Tabla44[UDS],Tabla44[ZONA DEFINITIVO],Tabla44[[#This Row],[ZONA DEFINITIVO]])," ")</f>
        <v xml:space="preserve"> </v>
      </c>
      <c r="Z139" s="12" t="str">
        <f>+IF(Tabla44[[#This Row],[AGRUPACIONES]]=1,SUMIFS(Tabla44[TOTAL COBERTURA],Tabla44[ZONA DEFINITIVO],Tabla44[[#This Row],[ZONA DEFINITIVO]])," ")</f>
        <v xml:space="preserve"> </v>
      </c>
      <c r="AA139" s="12"/>
      <c r="AB139" s="35">
        <v>24308880</v>
      </c>
      <c r="AC139" s="37">
        <v>0</v>
      </c>
      <c r="AD139" s="35">
        <f t="shared" si="2"/>
        <v>0</v>
      </c>
      <c r="AE139" s="12"/>
      <c r="AF139" s="12">
        <f>COUNTIF($A$20:A139,A139)</f>
        <v>3</v>
      </c>
      <c r="AG139" s="38">
        <v>24308880</v>
      </c>
      <c r="AH139" s="38">
        <f>Tabla44[[#This Row],[VALOR CONTRAPARTIDA]]+Tabla44[[#This Row],[TOTAL APORTES ICBF]]</f>
        <v>24308880</v>
      </c>
      <c r="AI139" s="35" t="str">
        <f>+IF(Tabla44[[#This Row],[AGRUPACIONES]]=1,SUMIFS(Tabla44[TOTAL APORTES ICBF],Tabla44[ZONA DEFINITIVO],Tabla44[[#This Row],[ZONA DEFINITIVO]])," ")</f>
        <v xml:space="preserve"> </v>
      </c>
      <c r="AJ139" s="38"/>
      <c r="AK139" s="38"/>
      <c r="AL139" s="35"/>
      <c r="AM139" s="35">
        <f>VLOOKUP(Tabla44[[#This Row],[SERVICIO 2025]],$J$2:$V$15,5,0)*Tabla44[[#This Row],[TOTAL COBERTURA]]</f>
        <v>747904</v>
      </c>
      <c r="AN139" s="35">
        <f>VLOOKUP(Tabla44[[#This Row],[SERVICIO 2025]],$J$2:$V$15,6,0)*Tabla44[[#This Row],[TOTAL COBERTURA]]</f>
        <v>605456</v>
      </c>
      <c r="AO139" s="35">
        <f>VLOOKUP(Tabla44[[#This Row],[SERVICIO 2025]],$J$2:$V$15,8,0)*Tabla44[[#This Row],[TOTAL COBERTURA]]</f>
        <v>0</v>
      </c>
      <c r="AP139" s="35">
        <f>VLOOKUP(Tabla44[[#This Row],[SERVICIO 2025]],$J$2:$V$15,3,0)*Tabla44[[#This Row],[TOTAL COBERTURA]]*8</f>
        <v>22955520</v>
      </c>
      <c r="AQ139" s="35"/>
      <c r="AR139" s="35">
        <f>SUM(Tabla44[[#This Row],[VALOR FASE PREPARATORIA DE ALISTAMIENTO]:[VALOR RACION PREPARADA]])</f>
        <v>24308880</v>
      </c>
      <c r="AS139" s="35" t="str">
        <f>+IF(Tabla44[[#This Row],[AGRUPACIONES]]=1,SUMIFS(Tabla44[VALOR TOTAL],Tabla44[ZONA DEFINITIVO],Tabla44[[#This Row],[ZONA DEFINITIVO]])," ")</f>
        <v xml:space="preserve"> </v>
      </c>
      <c r="AT139" s="35">
        <f>VLOOKUP(Tabla44[[#This Row],[SERVICIO 2025]],$J$2:$V$15,10,0)*Tabla44[[#This Row],[TOTAL COBERTURA]]*$X$7</f>
        <v>24105088</v>
      </c>
      <c r="AU139" s="39">
        <f>Tabla44[[#This Row],[TOTAL CONTRATO (ICBF+EAS)]]+Tabla44[[#This Row],[VALOR COMPONENTE ALIMENTACION NO ASIGNADO]]</f>
        <v>48413968</v>
      </c>
      <c r="AV13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6630480</v>
      </c>
      <c r="AW139" s="35">
        <f>(VLOOKUP(Tabla44[[#This Row],[SERVICIO 2025]],$J$2:$V$15,3,0)*Tabla44[[#This Row],[TOTAL COBERTURA]])+VLOOKUP(Tabla44[[#This Row],[SERVICIO 2025]],$J$2:$V$15,10,0)*Tabla44[[#This Row],[TOTAL COBERTURA]]</f>
        <v>5882576</v>
      </c>
      <c r="AX139" s="35">
        <f>(VLOOKUP(Tabla44[[#This Row],[SERVICIO 2025]],$J$2:$V$15,3,0)*Tabla44[[#This Row],[TOTAL COBERTURA]])+VLOOKUP(Tabla44[[#This Row],[SERVICIO 2025]],$J$2:$V$15,10,0)*Tabla44[[#This Row],[TOTAL COBERTURA]]</f>
        <v>5882576</v>
      </c>
      <c r="AY139" s="35">
        <f>(VLOOKUP(Tabla44[[#This Row],[SERVICIO 2025]],$J$2:$V$15,3,0)*Tabla44[[#This Row],[TOTAL COBERTURA]])+VLOOKUP(Tabla44[[#This Row],[SERVICIO 2025]],$J$2:$V$15,10,0)*Tabla44[[#This Row],[TOTAL COBERTURA]]</f>
        <v>5882576</v>
      </c>
      <c r="AZ139" s="35">
        <f>(VLOOKUP(Tabla44[[#This Row],[SERVICIO 2025]],$J$2:$V$15,3,0)*Tabla44[[#This Row],[TOTAL COBERTURA]])+VLOOKUP(Tabla44[[#This Row],[SERVICIO 2025]],$J$2:$V$15,10,0)*Tabla44[[#This Row],[TOTAL COBERTURA]]</f>
        <v>5882576</v>
      </c>
      <c r="BA139" s="35">
        <f>(VLOOKUP(Tabla44[[#This Row],[SERVICIO 2025]],$J$2:$V$15,3,0)*Tabla44[[#This Row],[TOTAL COBERTURA]])+VLOOKUP(Tabla44[[#This Row],[SERVICIO 2025]],$J$2:$V$15,10,0)*Tabla44[[#This Row],[TOTAL COBERTURA]]</f>
        <v>5882576</v>
      </c>
      <c r="BB139" s="35">
        <f>(VLOOKUP(Tabla44[[#This Row],[SERVICIO 2025]],$J$2:$V$15,3,0)*Tabla44[[#This Row],[TOTAL COBERTURA]])+VLOOKUP(Tabla44[[#This Row],[SERVICIO 2025]],$J$2:$V$15,10,0)*Tabla44[[#This Row],[TOTAL COBERTURA]]</f>
        <v>5882576</v>
      </c>
      <c r="BC13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6488032</v>
      </c>
      <c r="BD139" s="35">
        <f>SUM(Tabla44[[#This Row],[DESEMBOLSO 1]:[DESEMBOLSO 8]])</f>
        <v>48413968</v>
      </c>
      <c r="BE139" s="12" t="b">
        <f>EXACT(Tabla44[[#This Row],[VALOR ATENCIÓN (8 MESES)]],Tabla44[[#This Row],[VALOR TOTAL]])</f>
        <v>1</v>
      </c>
      <c r="BF139" s="23">
        <f>Tabla44[[#This Row],[VALOR ATENCIÓN (8 MESES)]]-Tabla44[[#This Row],[VALOR TOTAL]]</f>
        <v>0</v>
      </c>
      <c r="BG139" s="12" t="b">
        <f>EXACT(Tabla44[[#This Row],[TOTAL DESEMBOLSOS]],Tabla44[[#This Row],[VALOR TOTAL DEL CONTRATO INCLUIDO EL COMPONENTE DE ALIMENTACIÓN]])</f>
        <v>1</v>
      </c>
      <c r="BH139" s="29">
        <f>Tabla44[[#This Row],[TOTAL DESEMBOLSOS]]-Tabla44[[#This Row],[VALOR TOTAL DEL CONTRATO INCLUIDO EL COMPONENTE DE ALIMENTACIÓN]]</f>
        <v>0</v>
      </c>
      <c r="BI139" t="s">
        <v>98</v>
      </c>
    </row>
    <row r="140" spans="1:61">
      <c r="A140" s="13">
        <v>1950</v>
      </c>
      <c r="B140" s="13"/>
      <c r="C140" s="12" t="s">
        <v>87</v>
      </c>
      <c r="D140" s="12" t="s">
        <v>88</v>
      </c>
      <c r="E140" s="12" t="s">
        <v>3079</v>
      </c>
      <c r="F140" s="12" t="s">
        <v>21</v>
      </c>
      <c r="G140" s="12" t="s">
        <v>90</v>
      </c>
      <c r="H140" s="12" t="s">
        <v>795</v>
      </c>
      <c r="I140" s="36">
        <v>50861152809</v>
      </c>
      <c r="J140" s="12" t="s">
        <v>3087</v>
      </c>
      <c r="K140" s="12">
        <v>1</v>
      </c>
      <c r="L140" s="12">
        <v>11</v>
      </c>
      <c r="M140" s="12"/>
      <c r="N140" s="13">
        <v>1950</v>
      </c>
      <c r="O140" s="12" t="s">
        <v>2850</v>
      </c>
      <c r="P140" s="12"/>
      <c r="Q140" s="12"/>
      <c r="R140" s="12" t="s">
        <v>94</v>
      </c>
      <c r="S140" s="12">
        <v>10</v>
      </c>
      <c r="T140" s="12">
        <v>900077807</v>
      </c>
      <c r="U140" s="12" t="s">
        <v>3082</v>
      </c>
      <c r="V140" s="12">
        <f>VLOOKUP(Tabla44[[#This Row],[ZONA DEFINITIVO]],[1]Hoja1!$A$1:$D$125,3,0)</f>
        <v>229936</v>
      </c>
      <c r="W140" s="12">
        <f>VLOOKUP(Tabla44[[#This Row],[ZONA DEFINITIVO]],[1]Hoja1!$A$1:$D$125,2,0)</f>
        <v>17251</v>
      </c>
      <c r="X140" s="12">
        <f>VLOOKUP(Tabla44[[#This Row],[ZONA DEFINITIVO]],[1]Hoja1!$A$1:$D$125,4,0)</f>
        <v>104025</v>
      </c>
      <c r="Y140" s="12" t="str">
        <f>+IF(Tabla44[[#This Row],[AGRUPACIONES]]=1,SUMIFS(Tabla44[UDS],Tabla44[ZONA DEFINITIVO],Tabla44[[#This Row],[ZONA DEFINITIVO]])," ")</f>
        <v xml:space="preserve"> </v>
      </c>
      <c r="Z140" s="12" t="str">
        <f>+IF(Tabla44[[#This Row],[AGRUPACIONES]]=1,SUMIFS(Tabla44[TOTAL COBERTURA],Tabla44[ZONA DEFINITIVO],Tabla44[[#This Row],[ZONA DEFINITIVO]])," ")</f>
        <v xml:space="preserve"> </v>
      </c>
      <c r="AA140" s="12"/>
      <c r="AB140" s="35">
        <v>16712355</v>
      </c>
      <c r="AC140" s="37">
        <v>0</v>
      </c>
      <c r="AD140" s="35">
        <f t="shared" si="2"/>
        <v>0</v>
      </c>
      <c r="AE140" s="12"/>
      <c r="AF140" s="12">
        <f>COUNTIF($A$20:A140,A140)</f>
        <v>4</v>
      </c>
      <c r="AG140" s="38">
        <v>16712355</v>
      </c>
      <c r="AH140" s="38">
        <f>Tabla44[[#This Row],[VALOR CONTRAPARTIDA]]+Tabla44[[#This Row],[TOTAL APORTES ICBF]]</f>
        <v>16712355</v>
      </c>
      <c r="AI140" s="35" t="str">
        <f>+IF(Tabla44[[#This Row],[AGRUPACIONES]]=1,SUMIFS(Tabla44[TOTAL APORTES ICBF],Tabla44[ZONA DEFINITIVO],Tabla44[[#This Row],[ZONA DEFINITIVO]])," ")</f>
        <v xml:space="preserve"> </v>
      </c>
      <c r="AJ140" s="38"/>
      <c r="AK140" s="38"/>
      <c r="AL140" s="35"/>
      <c r="AM140" s="35">
        <f>VLOOKUP(Tabla44[[#This Row],[SERVICIO 2025]],$J$2:$V$15,5,0)*Tabla44[[#This Row],[TOTAL COBERTURA]]</f>
        <v>514184</v>
      </c>
      <c r="AN140" s="35">
        <f>VLOOKUP(Tabla44[[#This Row],[SERVICIO 2025]],$J$2:$V$15,6,0)*Tabla44[[#This Row],[TOTAL COBERTURA]]</f>
        <v>416251</v>
      </c>
      <c r="AO140" s="35">
        <f>VLOOKUP(Tabla44[[#This Row],[SERVICIO 2025]],$J$2:$V$15,8,0)*Tabla44[[#This Row],[TOTAL COBERTURA]]</f>
        <v>0</v>
      </c>
      <c r="AP140" s="35">
        <f>VLOOKUP(Tabla44[[#This Row],[SERVICIO 2025]],$J$2:$V$15,3,0)*Tabla44[[#This Row],[TOTAL COBERTURA]]*8</f>
        <v>15781920</v>
      </c>
      <c r="AQ140" s="35"/>
      <c r="AR140" s="35">
        <f>SUM(Tabla44[[#This Row],[VALOR FASE PREPARATORIA DE ALISTAMIENTO]:[VALOR RACION PREPARADA]])</f>
        <v>16712355</v>
      </c>
      <c r="AS140" s="35" t="str">
        <f>+IF(Tabla44[[#This Row],[AGRUPACIONES]]=1,SUMIFS(Tabla44[VALOR TOTAL],Tabla44[ZONA DEFINITIVO],Tabla44[[#This Row],[ZONA DEFINITIVO]])," ")</f>
        <v xml:space="preserve"> </v>
      </c>
      <c r="AT140" s="35">
        <f>VLOOKUP(Tabla44[[#This Row],[SERVICIO 2025]],$J$2:$V$15,10,0)*Tabla44[[#This Row],[TOTAL COBERTURA]]*$X$7</f>
        <v>16572248</v>
      </c>
      <c r="AU140" s="39">
        <f>Tabla44[[#This Row],[TOTAL CONTRATO (ICBF+EAS)]]+Tabla44[[#This Row],[VALOR COMPONENTE ALIMENTACION NO ASIGNADO]]</f>
        <v>33284603</v>
      </c>
      <c r="AV14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140" s="35">
        <f>(VLOOKUP(Tabla44[[#This Row],[SERVICIO 2025]],$J$2:$V$15,3,0)*Tabla44[[#This Row],[TOTAL COBERTURA]])+VLOOKUP(Tabla44[[#This Row],[SERVICIO 2025]],$J$2:$V$15,10,0)*Tabla44[[#This Row],[TOTAL COBERTURA]]</f>
        <v>4044271</v>
      </c>
      <c r="AX140" s="35">
        <f>(VLOOKUP(Tabla44[[#This Row],[SERVICIO 2025]],$J$2:$V$15,3,0)*Tabla44[[#This Row],[TOTAL COBERTURA]])+VLOOKUP(Tabla44[[#This Row],[SERVICIO 2025]],$J$2:$V$15,10,0)*Tabla44[[#This Row],[TOTAL COBERTURA]]</f>
        <v>4044271</v>
      </c>
      <c r="AY140" s="35">
        <f>(VLOOKUP(Tabla44[[#This Row],[SERVICIO 2025]],$J$2:$V$15,3,0)*Tabla44[[#This Row],[TOTAL COBERTURA]])+VLOOKUP(Tabla44[[#This Row],[SERVICIO 2025]],$J$2:$V$15,10,0)*Tabla44[[#This Row],[TOTAL COBERTURA]]</f>
        <v>4044271</v>
      </c>
      <c r="AZ140" s="35">
        <f>(VLOOKUP(Tabla44[[#This Row],[SERVICIO 2025]],$J$2:$V$15,3,0)*Tabla44[[#This Row],[TOTAL COBERTURA]])+VLOOKUP(Tabla44[[#This Row],[SERVICIO 2025]],$J$2:$V$15,10,0)*Tabla44[[#This Row],[TOTAL COBERTURA]]</f>
        <v>4044271</v>
      </c>
      <c r="BA140" s="35">
        <f>(VLOOKUP(Tabla44[[#This Row],[SERVICIO 2025]],$J$2:$V$15,3,0)*Tabla44[[#This Row],[TOTAL COBERTURA]])+VLOOKUP(Tabla44[[#This Row],[SERVICIO 2025]],$J$2:$V$15,10,0)*Tabla44[[#This Row],[TOTAL COBERTURA]]</f>
        <v>4044271</v>
      </c>
      <c r="BB140" s="35">
        <f>(VLOOKUP(Tabla44[[#This Row],[SERVICIO 2025]],$J$2:$V$15,3,0)*Tabla44[[#This Row],[TOTAL COBERTURA]])+VLOOKUP(Tabla44[[#This Row],[SERVICIO 2025]],$J$2:$V$15,10,0)*Tabla44[[#This Row],[TOTAL COBERTURA]]</f>
        <v>4044271</v>
      </c>
      <c r="BC14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140" s="35">
        <f>SUM(Tabla44[[#This Row],[DESEMBOLSO 1]:[DESEMBOLSO 8]])</f>
        <v>33284603</v>
      </c>
      <c r="BE140" s="12" t="b">
        <f>EXACT(Tabla44[[#This Row],[VALOR ATENCIÓN (8 MESES)]],Tabla44[[#This Row],[VALOR TOTAL]])</f>
        <v>1</v>
      </c>
      <c r="BF140" s="23">
        <f>Tabla44[[#This Row],[VALOR ATENCIÓN (8 MESES)]]-Tabla44[[#This Row],[VALOR TOTAL]]</f>
        <v>0</v>
      </c>
      <c r="BG140" s="12" t="b">
        <f>EXACT(Tabla44[[#This Row],[TOTAL DESEMBOLSOS]],Tabla44[[#This Row],[VALOR TOTAL DEL CONTRATO INCLUIDO EL COMPONENTE DE ALIMENTACIÓN]])</f>
        <v>1</v>
      </c>
      <c r="BH140" s="29">
        <f>Tabla44[[#This Row],[TOTAL DESEMBOLSOS]]-Tabla44[[#This Row],[VALOR TOTAL DEL CONTRATO INCLUIDO EL COMPONENTE DE ALIMENTACIÓN]]</f>
        <v>0</v>
      </c>
      <c r="BI140" t="s">
        <v>98</v>
      </c>
    </row>
    <row r="141" spans="1:61">
      <c r="A141" s="13">
        <v>1950</v>
      </c>
      <c r="B141" s="13"/>
      <c r="C141" s="12" t="s">
        <v>87</v>
      </c>
      <c r="D141" s="12" t="s">
        <v>88</v>
      </c>
      <c r="E141" s="12" t="s">
        <v>3079</v>
      </c>
      <c r="F141" s="12" t="s">
        <v>21</v>
      </c>
      <c r="G141" s="12" t="s">
        <v>90</v>
      </c>
      <c r="H141" s="12" t="s">
        <v>3088</v>
      </c>
      <c r="I141" s="36">
        <v>508600059306</v>
      </c>
      <c r="J141" s="12" t="s">
        <v>3089</v>
      </c>
      <c r="K141" s="12">
        <v>1</v>
      </c>
      <c r="L141" s="12">
        <v>11</v>
      </c>
      <c r="M141" s="12"/>
      <c r="N141" s="13">
        <v>1950</v>
      </c>
      <c r="O141" s="12" t="s">
        <v>2850</v>
      </c>
      <c r="P141" s="12"/>
      <c r="Q141" s="12"/>
      <c r="R141" s="12" t="s">
        <v>94</v>
      </c>
      <c r="S141" s="12">
        <v>10</v>
      </c>
      <c r="T141" s="12">
        <v>900077807</v>
      </c>
      <c r="U141" s="12" t="s">
        <v>3082</v>
      </c>
      <c r="V141" s="12">
        <f>VLOOKUP(Tabla44[[#This Row],[ZONA DEFINITIVO]],[1]Hoja1!$A$1:$D$125,3,0)</f>
        <v>229936</v>
      </c>
      <c r="W141" s="12">
        <f>VLOOKUP(Tabla44[[#This Row],[ZONA DEFINITIVO]],[1]Hoja1!$A$1:$D$125,2,0)</f>
        <v>17251</v>
      </c>
      <c r="X141" s="12">
        <f>VLOOKUP(Tabla44[[#This Row],[ZONA DEFINITIVO]],[1]Hoja1!$A$1:$D$125,4,0)</f>
        <v>104025</v>
      </c>
      <c r="Y141" s="12" t="str">
        <f>+IF(Tabla44[[#This Row],[AGRUPACIONES]]=1,SUMIFS(Tabla44[UDS],Tabla44[ZONA DEFINITIVO],Tabla44[[#This Row],[ZONA DEFINITIVO]])," ")</f>
        <v xml:space="preserve"> </v>
      </c>
      <c r="Z141" s="12" t="str">
        <f>+IF(Tabla44[[#This Row],[AGRUPACIONES]]=1,SUMIFS(Tabla44[TOTAL COBERTURA],Tabla44[ZONA DEFINITIVO],Tabla44[[#This Row],[ZONA DEFINITIVO]])," ")</f>
        <v xml:space="preserve"> </v>
      </c>
      <c r="AA141" s="12"/>
      <c r="AB141" s="35">
        <v>16712355</v>
      </c>
      <c r="AC141" s="37">
        <v>0</v>
      </c>
      <c r="AD141" s="35">
        <f t="shared" si="2"/>
        <v>0</v>
      </c>
      <c r="AE141" s="12"/>
      <c r="AF141" s="12">
        <f>COUNTIF($A$20:A141,A141)</f>
        <v>5</v>
      </c>
      <c r="AG141" s="38">
        <v>16712355</v>
      </c>
      <c r="AH141" s="38">
        <f>Tabla44[[#This Row],[VALOR CONTRAPARTIDA]]+Tabla44[[#This Row],[TOTAL APORTES ICBF]]</f>
        <v>16712355</v>
      </c>
      <c r="AI141" s="35" t="str">
        <f>+IF(Tabla44[[#This Row],[AGRUPACIONES]]=1,SUMIFS(Tabla44[TOTAL APORTES ICBF],Tabla44[ZONA DEFINITIVO],Tabla44[[#This Row],[ZONA DEFINITIVO]])," ")</f>
        <v xml:space="preserve"> </v>
      </c>
      <c r="AJ141" s="38"/>
      <c r="AK141" s="38"/>
      <c r="AL141" s="35"/>
      <c r="AM141" s="35">
        <f>VLOOKUP(Tabla44[[#This Row],[SERVICIO 2025]],$J$2:$V$15,5,0)*Tabla44[[#This Row],[TOTAL COBERTURA]]</f>
        <v>514184</v>
      </c>
      <c r="AN141" s="35">
        <f>VLOOKUP(Tabla44[[#This Row],[SERVICIO 2025]],$J$2:$V$15,6,0)*Tabla44[[#This Row],[TOTAL COBERTURA]]</f>
        <v>416251</v>
      </c>
      <c r="AO141" s="35">
        <f>VLOOKUP(Tabla44[[#This Row],[SERVICIO 2025]],$J$2:$V$15,8,0)*Tabla44[[#This Row],[TOTAL COBERTURA]]</f>
        <v>0</v>
      </c>
      <c r="AP141" s="35">
        <f>VLOOKUP(Tabla44[[#This Row],[SERVICIO 2025]],$J$2:$V$15,3,0)*Tabla44[[#This Row],[TOTAL COBERTURA]]*8</f>
        <v>15781920</v>
      </c>
      <c r="AQ141" s="35"/>
      <c r="AR141" s="35">
        <f>SUM(Tabla44[[#This Row],[VALOR FASE PREPARATORIA DE ALISTAMIENTO]:[VALOR RACION PREPARADA]])</f>
        <v>16712355</v>
      </c>
      <c r="AS141" s="35" t="str">
        <f>+IF(Tabla44[[#This Row],[AGRUPACIONES]]=1,SUMIFS(Tabla44[VALOR TOTAL],Tabla44[ZONA DEFINITIVO],Tabla44[[#This Row],[ZONA DEFINITIVO]])," ")</f>
        <v xml:space="preserve"> </v>
      </c>
      <c r="AT141" s="35">
        <f>VLOOKUP(Tabla44[[#This Row],[SERVICIO 2025]],$J$2:$V$15,10,0)*Tabla44[[#This Row],[TOTAL COBERTURA]]*$X$7</f>
        <v>16572248</v>
      </c>
      <c r="AU141" s="39">
        <f>Tabla44[[#This Row],[TOTAL CONTRATO (ICBF+EAS)]]+Tabla44[[#This Row],[VALOR COMPONENTE ALIMENTACION NO ASIGNADO]]</f>
        <v>33284603</v>
      </c>
      <c r="AV14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141" s="35">
        <f>(VLOOKUP(Tabla44[[#This Row],[SERVICIO 2025]],$J$2:$V$15,3,0)*Tabla44[[#This Row],[TOTAL COBERTURA]])+VLOOKUP(Tabla44[[#This Row],[SERVICIO 2025]],$J$2:$V$15,10,0)*Tabla44[[#This Row],[TOTAL COBERTURA]]</f>
        <v>4044271</v>
      </c>
      <c r="AX141" s="35">
        <f>(VLOOKUP(Tabla44[[#This Row],[SERVICIO 2025]],$J$2:$V$15,3,0)*Tabla44[[#This Row],[TOTAL COBERTURA]])+VLOOKUP(Tabla44[[#This Row],[SERVICIO 2025]],$J$2:$V$15,10,0)*Tabla44[[#This Row],[TOTAL COBERTURA]]</f>
        <v>4044271</v>
      </c>
      <c r="AY141" s="35">
        <f>(VLOOKUP(Tabla44[[#This Row],[SERVICIO 2025]],$J$2:$V$15,3,0)*Tabla44[[#This Row],[TOTAL COBERTURA]])+VLOOKUP(Tabla44[[#This Row],[SERVICIO 2025]],$J$2:$V$15,10,0)*Tabla44[[#This Row],[TOTAL COBERTURA]]</f>
        <v>4044271</v>
      </c>
      <c r="AZ141" s="35">
        <f>(VLOOKUP(Tabla44[[#This Row],[SERVICIO 2025]],$J$2:$V$15,3,0)*Tabla44[[#This Row],[TOTAL COBERTURA]])+VLOOKUP(Tabla44[[#This Row],[SERVICIO 2025]],$J$2:$V$15,10,0)*Tabla44[[#This Row],[TOTAL COBERTURA]]</f>
        <v>4044271</v>
      </c>
      <c r="BA141" s="35">
        <f>(VLOOKUP(Tabla44[[#This Row],[SERVICIO 2025]],$J$2:$V$15,3,0)*Tabla44[[#This Row],[TOTAL COBERTURA]])+VLOOKUP(Tabla44[[#This Row],[SERVICIO 2025]],$J$2:$V$15,10,0)*Tabla44[[#This Row],[TOTAL COBERTURA]]</f>
        <v>4044271</v>
      </c>
      <c r="BB141" s="35">
        <f>(VLOOKUP(Tabla44[[#This Row],[SERVICIO 2025]],$J$2:$V$15,3,0)*Tabla44[[#This Row],[TOTAL COBERTURA]])+VLOOKUP(Tabla44[[#This Row],[SERVICIO 2025]],$J$2:$V$15,10,0)*Tabla44[[#This Row],[TOTAL COBERTURA]]</f>
        <v>4044271</v>
      </c>
      <c r="BC14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141" s="35">
        <f>SUM(Tabla44[[#This Row],[DESEMBOLSO 1]:[DESEMBOLSO 8]])</f>
        <v>33284603</v>
      </c>
      <c r="BE141" s="12" t="b">
        <f>EXACT(Tabla44[[#This Row],[VALOR ATENCIÓN (8 MESES)]],Tabla44[[#This Row],[VALOR TOTAL]])</f>
        <v>1</v>
      </c>
      <c r="BF141" s="23">
        <f>Tabla44[[#This Row],[VALOR ATENCIÓN (8 MESES)]]-Tabla44[[#This Row],[VALOR TOTAL]]</f>
        <v>0</v>
      </c>
      <c r="BG141" s="12" t="b">
        <f>EXACT(Tabla44[[#This Row],[TOTAL DESEMBOLSOS]],Tabla44[[#This Row],[VALOR TOTAL DEL CONTRATO INCLUIDO EL COMPONENTE DE ALIMENTACIÓN]])</f>
        <v>1</v>
      </c>
      <c r="BH141" s="29">
        <f>Tabla44[[#This Row],[TOTAL DESEMBOLSOS]]-Tabla44[[#This Row],[VALOR TOTAL DEL CONTRATO INCLUIDO EL COMPONENTE DE ALIMENTACIÓN]]</f>
        <v>0</v>
      </c>
      <c r="BI141" t="s">
        <v>98</v>
      </c>
    </row>
    <row r="142" spans="1:61">
      <c r="A142" s="13">
        <v>1950</v>
      </c>
      <c r="B142" s="13"/>
      <c r="C142" s="12" t="s">
        <v>87</v>
      </c>
      <c r="D142" s="12" t="s">
        <v>88</v>
      </c>
      <c r="E142" s="12" t="s">
        <v>3079</v>
      </c>
      <c r="F142" s="12" t="s">
        <v>15</v>
      </c>
      <c r="G142" s="12" t="s">
        <v>90</v>
      </c>
      <c r="H142" s="12" t="s">
        <v>3090</v>
      </c>
      <c r="I142" s="36">
        <v>508600102586</v>
      </c>
      <c r="J142" s="12" t="s">
        <v>3091</v>
      </c>
      <c r="K142" s="12">
        <v>1</v>
      </c>
      <c r="L142" s="12">
        <v>56</v>
      </c>
      <c r="M142" s="12"/>
      <c r="N142" s="13">
        <v>1950</v>
      </c>
      <c r="O142" s="12" t="s">
        <v>2850</v>
      </c>
      <c r="P142" s="12"/>
      <c r="Q142" s="12"/>
      <c r="R142" s="12" t="s">
        <v>94</v>
      </c>
      <c r="S142" s="12">
        <v>10</v>
      </c>
      <c r="T142" s="12">
        <v>900077807</v>
      </c>
      <c r="U142" s="12" t="s">
        <v>3082</v>
      </c>
      <c r="V142" s="12">
        <f>VLOOKUP(Tabla44[[#This Row],[ZONA DEFINITIVO]],[1]Hoja1!$A$1:$D$125,3,0)</f>
        <v>229936</v>
      </c>
      <c r="W142" s="12">
        <f>VLOOKUP(Tabla44[[#This Row],[ZONA DEFINITIVO]],[1]Hoja1!$A$1:$D$125,2,0)</f>
        <v>17251</v>
      </c>
      <c r="X142" s="12">
        <f>VLOOKUP(Tabla44[[#This Row],[ZONA DEFINITIVO]],[1]Hoja1!$A$1:$D$125,4,0)</f>
        <v>104025</v>
      </c>
      <c r="Y142" s="12" t="str">
        <f>+IF(Tabla44[[#This Row],[AGRUPACIONES]]=1,SUMIFS(Tabla44[UDS],Tabla44[ZONA DEFINITIVO],Tabla44[[#This Row],[ZONA DEFINITIVO]])," ")</f>
        <v xml:space="preserve"> </v>
      </c>
      <c r="Z142" s="12" t="str">
        <f>+IF(Tabla44[[#This Row],[AGRUPACIONES]]=1,SUMIFS(Tabla44[TOTAL COBERTURA],Tabla44[ZONA DEFINITIVO],Tabla44[[#This Row],[ZONA DEFINITIVO]])," ")</f>
        <v xml:space="preserve"> </v>
      </c>
      <c r="AA142" s="12"/>
      <c r="AB142" s="35">
        <v>242446512</v>
      </c>
      <c r="AC142" s="37">
        <v>0</v>
      </c>
      <c r="AD142" s="35">
        <f t="shared" si="2"/>
        <v>0</v>
      </c>
      <c r="AE142" s="12"/>
      <c r="AF142" s="12">
        <f>COUNTIF($A$20:A142,A142)</f>
        <v>6</v>
      </c>
      <c r="AG142" s="38">
        <v>242446512</v>
      </c>
      <c r="AH142" s="38">
        <f>Tabla44[[#This Row],[VALOR CONTRAPARTIDA]]+Tabla44[[#This Row],[TOTAL APORTES ICBF]]</f>
        <v>242446512</v>
      </c>
      <c r="AI142" s="35" t="str">
        <f>+IF(Tabla44[[#This Row],[AGRUPACIONES]]=1,SUMIFS(Tabla44[TOTAL APORTES ICBF],Tabla44[ZONA DEFINITIVO],Tabla44[[#This Row],[ZONA DEFINITIVO]])," ")</f>
        <v xml:space="preserve"> </v>
      </c>
      <c r="AJ142" s="38"/>
      <c r="AK142" s="38"/>
      <c r="AL142" s="35"/>
      <c r="AM142" s="35">
        <f>VLOOKUP(Tabla44[[#This Row],[SERVICIO 2025]],$J$2:$V$15,5,0)*Tabla44[[#This Row],[TOTAL COBERTURA]]</f>
        <v>4936008</v>
      </c>
      <c r="AN142" s="35">
        <f>VLOOKUP(Tabla44[[#This Row],[SERVICIO 2025]],$J$2:$V$15,6,0)*Tabla44[[#This Row],[TOTAL COBERTURA]]</f>
        <v>4202408</v>
      </c>
      <c r="AO142" s="35">
        <f>VLOOKUP(Tabla44[[#This Row],[SERVICIO 2025]],$J$2:$V$15,8,0)*Tabla44[[#This Row],[TOTAL COBERTURA]]</f>
        <v>0</v>
      </c>
      <c r="AP142" s="35">
        <f>VLOOKUP(Tabla44[[#This Row],[SERVICIO 2025]],$J$2:$V$15,3,0)*Tabla44[[#This Row],[TOTAL COBERTURA]]*8</f>
        <v>233308096</v>
      </c>
      <c r="AQ142" s="35"/>
      <c r="AR142" s="35">
        <f>SUM(Tabla44[[#This Row],[VALOR FASE PREPARATORIA DE ALISTAMIENTO]:[VALOR RACION PREPARADA]])</f>
        <v>242446512</v>
      </c>
      <c r="AS142" s="35" t="str">
        <f>+IF(Tabla44[[#This Row],[AGRUPACIONES]]=1,SUMIFS(Tabla44[VALOR TOTAL],Tabla44[ZONA DEFINITIVO],Tabla44[[#This Row],[ZONA DEFINITIVO]])," ")</f>
        <v xml:space="preserve"> </v>
      </c>
      <c r="AT142" s="35">
        <f>VLOOKUP(Tabla44[[#This Row],[SERVICIO 2025]],$J$2:$V$15,10,0)*Tabla44[[#This Row],[TOTAL COBERTURA]]*$X$7</f>
        <v>0</v>
      </c>
      <c r="AU142" s="39">
        <f>Tabla44[[#This Row],[TOTAL CONTRATO (ICBF+EAS)]]+Tabla44[[#This Row],[VALOR COMPONENTE ALIMENTACION NO ASIGNADO]]</f>
        <v>242446512</v>
      </c>
      <c r="AV14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34099520</v>
      </c>
      <c r="AW142" s="35">
        <f>(VLOOKUP(Tabla44[[#This Row],[SERVICIO 2025]],$J$2:$V$15,3,0)*Tabla44[[#This Row],[TOTAL COBERTURA]])+VLOOKUP(Tabla44[[#This Row],[SERVICIO 2025]],$J$2:$V$15,10,0)*Tabla44[[#This Row],[TOTAL COBERTURA]]</f>
        <v>29163512</v>
      </c>
      <c r="AX142" s="35">
        <f>(VLOOKUP(Tabla44[[#This Row],[SERVICIO 2025]],$J$2:$V$15,3,0)*Tabla44[[#This Row],[TOTAL COBERTURA]])+VLOOKUP(Tabla44[[#This Row],[SERVICIO 2025]],$J$2:$V$15,10,0)*Tabla44[[#This Row],[TOTAL COBERTURA]]</f>
        <v>29163512</v>
      </c>
      <c r="AY142" s="35">
        <f>(VLOOKUP(Tabla44[[#This Row],[SERVICIO 2025]],$J$2:$V$15,3,0)*Tabla44[[#This Row],[TOTAL COBERTURA]])+VLOOKUP(Tabla44[[#This Row],[SERVICIO 2025]],$J$2:$V$15,10,0)*Tabla44[[#This Row],[TOTAL COBERTURA]]</f>
        <v>29163512</v>
      </c>
      <c r="AZ142" s="35">
        <f>(VLOOKUP(Tabla44[[#This Row],[SERVICIO 2025]],$J$2:$V$15,3,0)*Tabla44[[#This Row],[TOTAL COBERTURA]])+VLOOKUP(Tabla44[[#This Row],[SERVICIO 2025]],$J$2:$V$15,10,0)*Tabla44[[#This Row],[TOTAL COBERTURA]]</f>
        <v>29163512</v>
      </c>
      <c r="BA142" s="35">
        <f>(VLOOKUP(Tabla44[[#This Row],[SERVICIO 2025]],$J$2:$V$15,3,0)*Tabla44[[#This Row],[TOTAL COBERTURA]])+VLOOKUP(Tabla44[[#This Row],[SERVICIO 2025]],$J$2:$V$15,10,0)*Tabla44[[#This Row],[TOTAL COBERTURA]]</f>
        <v>29163512</v>
      </c>
      <c r="BB142" s="35">
        <f>(VLOOKUP(Tabla44[[#This Row],[SERVICIO 2025]],$J$2:$V$15,3,0)*Tabla44[[#This Row],[TOTAL COBERTURA]])+VLOOKUP(Tabla44[[#This Row],[SERVICIO 2025]],$J$2:$V$15,10,0)*Tabla44[[#This Row],[TOTAL COBERTURA]]</f>
        <v>29163512</v>
      </c>
      <c r="BC14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33365920</v>
      </c>
      <c r="BD142" s="35">
        <f>SUM(Tabla44[[#This Row],[DESEMBOLSO 1]:[DESEMBOLSO 8]])</f>
        <v>242446512</v>
      </c>
      <c r="BE142" s="12" t="b">
        <f>EXACT(Tabla44[[#This Row],[VALOR ATENCIÓN (8 MESES)]],Tabla44[[#This Row],[VALOR TOTAL]])</f>
        <v>1</v>
      </c>
      <c r="BF142" s="23">
        <f>Tabla44[[#This Row],[VALOR ATENCIÓN (8 MESES)]]-Tabla44[[#This Row],[VALOR TOTAL]]</f>
        <v>0</v>
      </c>
      <c r="BG142" s="12" t="b">
        <f>EXACT(Tabla44[[#This Row],[TOTAL DESEMBOLSOS]],Tabla44[[#This Row],[VALOR TOTAL DEL CONTRATO INCLUIDO EL COMPONENTE DE ALIMENTACIÓN]])</f>
        <v>1</v>
      </c>
      <c r="BH142" s="29">
        <f>Tabla44[[#This Row],[TOTAL DESEMBOLSOS]]-Tabla44[[#This Row],[VALOR TOTAL DEL CONTRATO INCLUIDO EL COMPONENTE DE ALIMENTACIÓN]]</f>
        <v>0</v>
      </c>
      <c r="BI142" t="s">
        <v>98</v>
      </c>
    </row>
    <row r="143" spans="1:61">
      <c r="A143" s="13">
        <v>1950</v>
      </c>
      <c r="B143" s="13"/>
      <c r="C143" s="12" t="s">
        <v>87</v>
      </c>
      <c r="D143" s="12" t="s">
        <v>88</v>
      </c>
      <c r="E143" s="12" t="s">
        <v>3092</v>
      </c>
      <c r="F143" s="12" t="s">
        <v>21</v>
      </c>
      <c r="G143" s="12" t="s">
        <v>90</v>
      </c>
      <c r="H143" s="12" t="s">
        <v>1685</v>
      </c>
      <c r="I143" s="36">
        <v>52641135098</v>
      </c>
      <c r="J143" s="12" t="s">
        <v>3093</v>
      </c>
      <c r="K143" s="12">
        <v>1</v>
      </c>
      <c r="L143" s="12">
        <v>19</v>
      </c>
      <c r="M143" s="12"/>
      <c r="N143" s="13">
        <v>1950</v>
      </c>
      <c r="O143" s="12" t="s">
        <v>2850</v>
      </c>
      <c r="P143" s="12"/>
      <c r="Q143" s="12"/>
      <c r="R143" s="12" t="s">
        <v>94</v>
      </c>
      <c r="S143" s="12">
        <v>10</v>
      </c>
      <c r="T143" s="12">
        <v>900077807</v>
      </c>
      <c r="U143" s="12" t="s">
        <v>3082</v>
      </c>
      <c r="V143" s="12">
        <f>VLOOKUP(Tabla44[[#This Row],[ZONA DEFINITIVO]],[1]Hoja1!$A$1:$D$125,3,0)</f>
        <v>229936</v>
      </c>
      <c r="W143" s="12">
        <f>VLOOKUP(Tabla44[[#This Row],[ZONA DEFINITIVO]],[1]Hoja1!$A$1:$D$125,2,0)</f>
        <v>17251</v>
      </c>
      <c r="X143" s="12">
        <f>VLOOKUP(Tabla44[[#This Row],[ZONA DEFINITIVO]],[1]Hoja1!$A$1:$D$125,4,0)</f>
        <v>104025</v>
      </c>
      <c r="Y143" s="12" t="str">
        <f>+IF(Tabla44[[#This Row],[AGRUPACIONES]]=1,SUMIFS(Tabla44[UDS],Tabla44[ZONA DEFINITIVO],Tabla44[[#This Row],[ZONA DEFINITIVO]])," ")</f>
        <v xml:space="preserve"> </v>
      </c>
      <c r="Z143" s="12" t="str">
        <f>+IF(Tabla44[[#This Row],[AGRUPACIONES]]=1,SUMIFS(Tabla44[TOTAL COBERTURA],Tabla44[ZONA DEFINITIVO],Tabla44[[#This Row],[ZONA DEFINITIVO]])," ")</f>
        <v xml:space="preserve"> </v>
      </c>
      <c r="AA143" s="12"/>
      <c r="AB143" s="35">
        <v>28866795</v>
      </c>
      <c r="AC143" s="37">
        <v>0</v>
      </c>
      <c r="AD143" s="35">
        <f t="shared" si="2"/>
        <v>0</v>
      </c>
      <c r="AE143" s="12"/>
      <c r="AF143" s="12">
        <f>COUNTIF($A$20:A143,A143)</f>
        <v>7</v>
      </c>
      <c r="AG143" s="38">
        <v>28866795</v>
      </c>
      <c r="AH143" s="38">
        <f>Tabla44[[#This Row],[VALOR CONTRAPARTIDA]]+Tabla44[[#This Row],[TOTAL APORTES ICBF]]</f>
        <v>28866795</v>
      </c>
      <c r="AI143" s="35" t="str">
        <f>+IF(Tabla44[[#This Row],[AGRUPACIONES]]=1,SUMIFS(Tabla44[TOTAL APORTES ICBF],Tabla44[ZONA DEFINITIVO],Tabla44[[#This Row],[ZONA DEFINITIVO]])," ")</f>
        <v xml:space="preserve"> </v>
      </c>
      <c r="AJ143" s="38"/>
      <c r="AK143" s="38"/>
      <c r="AL143" s="35"/>
      <c r="AM143" s="35">
        <f>VLOOKUP(Tabla44[[#This Row],[SERVICIO 2025]],$J$2:$V$15,5,0)*Tabla44[[#This Row],[TOTAL COBERTURA]]</f>
        <v>888136</v>
      </c>
      <c r="AN143" s="35">
        <f>VLOOKUP(Tabla44[[#This Row],[SERVICIO 2025]],$J$2:$V$15,6,0)*Tabla44[[#This Row],[TOTAL COBERTURA]]</f>
        <v>718979</v>
      </c>
      <c r="AO143" s="35">
        <f>VLOOKUP(Tabla44[[#This Row],[SERVICIO 2025]],$J$2:$V$15,8,0)*Tabla44[[#This Row],[TOTAL COBERTURA]]</f>
        <v>0</v>
      </c>
      <c r="AP143" s="35">
        <f>VLOOKUP(Tabla44[[#This Row],[SERVICIO 2025]],$J$2:$V$15,3,0)*Tabla44[[#This Row],[TOTAL COBERTURA]]*8</f>
        <v>27259680</v>
      </c>
      <c r="AQ143" s="35"/>
      <c r="AR143" s="35">
        <f>SUM(Tabla44[[#This Row],[VALOR FASE PREPARATORIA DE ALISTAMIENTO]:[VALOR RACION PREPARADA]])</f>
        <v>28866795</v>
      </c>
      <c r="AS143" s="35" t="str">
        <f>+IF(Tabla44[[#This Row],[AGRUPACIONES]]=1,SUMIFS(Tabla44[VALOR TOTAL],Tabla44[ZONA DEFINITIVO],Tabla44[[#This Row],[ZONA DEFINITIVO]])," ")</f>
        <v xml:space="preserve"> </v>
      </c>
      <c r="AT143" s="35">
        <f>VLOOKUP(Tabla44[[#This Row],[SERVICIO 2025]],$J$2:$V$15,10,0)*Tabla44[[#This Row],[TOTAL COBERTURA]]*$X$7</f>
        <v>28624792</v>
      </c>
      <c r="AU143" s="39">
        <f>Tabla44[[#This Row],[TOTAL CONTRATO (ICBF+EAS)]]+Tabla44[[#This Row],[VALOR COMPONENTE ALIMENTACION NO ASIGNADO]]</f>
        <v>57491587</v>
      </c>
      <c r="AV14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7873695</v>
      </c>
      <c r="AW143" s="35">
        <f>(VLOOKUP(Tabla44[[#This Row],[SERVICIO 2025]],$J$2:$V$15,3,0)*Tabla44[[#This Row],[TOTAL COBERTURA]])+VLOOKUP(Tabla44[[#This Row],[SERVICIO 2025]],$J$2:$V$15,10,0)*Tabla44[[#This Row],[TOTAL COBERTURA]]</f>
        <v>6985559</v>
      </c>
      <c r="AX143" s="35">
        <f>(VLOOKUP(Tabla44[[#This Row],[SERVICIO 2025]],$J$2:$V$15,3,0)*Tabla44[[#This Row],[TOTAL COBERTURA]])+VLOOKUP(Tabla44[[#This Row],[SERVICIO 2025]],$J$2:$V$15,10,0)*Tabla44[[#This Row],[TOTAL COBERTURA]]</f>
        <v>6985559</v>
      </c>
      <c r="AY143" s="35">
        <f>(VLOOKUP(Tabla44[[#This Row],[SERVICIO 2025]],$J$2:$V$15,3,0)*Tabla44[[#This Row],[TOTAL COBERTURA]])+VLOOKUP(Tabla44[[#This Row],[SERVICIO 2025]],$J$2:$V$15,10,0)*Tabla44[[#This Row],[TOTAL COBERTURA]]</f>
        <v>6985559</v>
      </c>
      <c r="AZ143" s="35">
        <f>(VLOOKUP(Tabla44[[#This Row],[SERVICIO 2025]],$J$2:$V$15,3,0)*Tabla44[[#This Row],[TOTAL COBERTURA]])+VLOOKUP(Tabla44[[#This Row],[SERVICIO 2025]],$J$2:$V$15,10,0)*Tabla44[[#This Row],[TOTAL COBERTURA]]</f>
        <v>6985559</v>
      </c>
      <c r="BA143" s="35">
        <f>(VLOOKUP(Tabla44[[#This Row],[SERVICIO 2025]],$J$2:$V$15,3,0)*Tabla44[[#This Row],[TOTAL COBERTURA]])+VLOOKUP(Tabla44[[#This Row],[SERVICIO 2025]],$J$2:$V$15,10,0)*Tabla44[[#This Row],[TOTAL COBERTURA]]</f>
        <v>6985559</v>
      </c>
      <c r="BB143" s="35">
        <f>(VLOOKUP(Tabla44[[#This Row],[SERVICIO 2025]],$J$2:$V$15,3,0)*Tabla44[[#This Row],[TOTAL COBERTURA]])+VLOOKUP(Tabla44[[#This Row],[SERVICIO 2025]],$J$2:$V$15,10,0)*Tabla44[[#This Row],[TOTAL COBERTURA]]</f>
        <v>6985559</v>
      </c>
      <c r="BC14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7704538</v>
      </c>
      <c r="BD143" s="35">
        <f>SUM(Tabla44[[#This Row],[DESEMBOLSO 1]:[DESEMBOLSO 8]])</f>
        <v>57491587</v>
      </c>
      <c r="BE143" s="12" t="b">
        <f>EXACT(Tabla44[[#This Row],[VALOR ATENCIÓN (8 MESES)]],Tabla44[[#This Row],[VALOR TOTAL]])</f>
        <v>1</v>
      </c>
      <c r="BF143" s="23">
        <f>Tabla44[[#This Row],[VALOR ATENCIÓN (8 MESES)]]-Tabla44[[#This Row],[VALOR TOTAL]]</f>
        <v>0</v>
      </c>
      <c r="BG143" s="12" t="b">
        <f>EXACT(Tabla44[[#This Row],[TOTAL DESEMBOLSOS]],Tabla44[[#This Row],[VALOR TOTAL DEL CONTRATO INCLUIDO EL COMPONENTE DE ALIMENTACIÓN]])</f>
        <v>1</v>
      </c>
      <c r="BH143" s="29">
        <f>Tabla44[[#This Row],[TOTAL DESEMBOLSOS]]-Tabla44[[#This Row],[VALOR TOTAL DEL CONTRATO INCLUIDO EL COMPONENTE DE ALIMENTACIÓN]]</f>
        <v>0</v>
      </c>
      <c r="BI143" t="s">
        <v>98</v>
      </c>
    </row>
    <row r="144" spans="1:61">
      <c r="A144" s="13">
        <v>1950</v>
      </c>
      <c r="B144" s="13"/>
      <c r="C144" s="12" t="s">
        <v>87</v>
      </c>
      <c r="D144" s="12" t="s">
        <v>88</v>
      </c>
      <c r="E144" s="12" t="s">
        <v>3092</v>
      </c>
      <c r="F144" s="12" t="s">
        <v>21</v>
      </c>
      <c r="G144" s="12" t="s">
        <v>90</v>
      </c>
      <c r="H144" s="12" t="s">
        <v>3094</v>
      </c>
      <c r="I144" s="36">
        <v>52641135125</v>
      </c>
      <c r="J144" s="12" t="s">
        <v>3095</v>
      </c>
      <c r="K144" s="12">
        <v>1</v>
      </c>
      <c r="L144" s="12">
        <v>14</v>
      </c>
      <c r="M144" s="12"/>
      <c r="N144" s="13">
        <v>1950</v>
      </c>
      <c r="O144" s="12" t="s">
        <v>2850</v>
      </c>
      <c r="P144" s="12"/>
      <c r="Q144" s="12"/>
      <c r="R144" s="12" t="s">
        <v>94</v>
      </c>
      <c r="S144" s="12">
        <v>10</v>
      </c>
      <c r="T144" s="12">
        <v>900077807</v>
      </c>
      <c r="U144" s="12" t="s">
        <v>3082</v>
      </c>
      <c r="V144" s="12">
        <f>VLOOKUP(Tabla44[[#This Row],[ZONA DEFINITIVO]],[1]Hoja1!$A$1:$D$125,3,0)</f>
        <v>229936</v>
      </c>
      <c r="W144" s="12">
        <f>VLOOKUP(Tabla44[[#This Row],[ZONA DEFINITIVO]],[1]Hoja1!$A$1:$D$125,2,0)</f>
        <v>17251</v>
      </c>
      <c r="X144" s="12">
        <f>VLOOKUP(Tabla44[[#This Row],[ZONA DEFINITIVO]],[1]Hoja1!$A$1:$D$125,4,0)</f>
        <v>104025</v>
      </c>
      <c r="Y144" s="12" t="str">
        <f>+IF(Tabla44[[#This Row],[AGRUPACIONES]]=1,SUMIFS(Tabla44[UDS],Tabla44[ZONA DEFINITIVO],Tabla44[[#This Row],[ZONA DEFINITIVO]])," ")</f>
        <v xml:space="preserve"> </v>
      </c>
      <c r="Z144" s="12" t="str">
        <f>+IF(Tabla44[[#This Row],[AGRUPACIONES]]=1,SUMIFS(Tabla44[TOTAL COBERTURA],Tabla44[ZONA DEFINITIVO],Tabla44[[#This Row],[ZONA DEFINITIVO]])," ")</f>
        <v xml:space="preserve"> </v>
      </c>
      <c r="AA144" s="12"/>
      <c r="AB144" s="35">
        <v>21270270</v>
      </c>
      <c r="AC144" s="37">
        <v>0</v>
      </c>
      <c r="AD144" s="35">
        <f t="shared" si="2"/>
        <v>0</v>
      </c>
      <c r="AE144" s="12"/>
      <c r="AF144" s="12">
        <f>COUNTIF($A$20:A144,A144)</f>
        <v>8</v>
      </c>
      <c r="AG144" s="38">
        <v>21270270</v>
      </c>
      <c r="AH144" s="38">
        <f>Tabla44[[#This Row],[VALOR CONTRAPARTIDA]]+Tabla44[[#This Row],[TOTAL APORTES ICBF]]</f>
        <v>21270270</v>
      </c>
      <c r="AI144" s="35" t="str">
        <f>+IF(Tabla44[[#This Row],[AGRUPACIONES]]=1,SUMIFS(Tabla44[TOTAL APORTES ICBF],Tabla44[ZONA DEFINITIVO],Tabla44[[#This Row],[ZONA DEFINITIVO]])," ")</f>
        <v xml:space="preserve"> </v>
      </c>
      <c r="AJ144" s="38"/>
      <c r="AK144" s="38"/>
      <c r="AL144" s="35"/>
      <c r="AM144" s="35">
        <f>VLOOKUP(Tabla44[[#This Row],[SERVICIO 2025]],$J$2:$V$15,5,0)*Tabla44[[#This Row],[TOTAL COBERTURA]]</f>
        <v>654416</v>
      </c>
      <c r="AN144" s="35">
        <f>VLOOKUP(Tabla44[[#This Row],[SERVICIO 2025]],$J$2:$V$15,6,0)*Tabla44[[#This Row],[TOTAL COBERTURA]]</f>
        <v>529774</v>
      </c>
      <c r="AO144" s="35">
        <f>VLOOKUP(Tabla44[[#This Row],[SERVICIO 2025]],$J$2:$V$15,8,0)*Tabla44[[#This Row],[TOTAL COBERTURA]]</f>
        <v>0</v>
      </c>
      <c r="AP144" s="35">
        <f>VLOOKUP(Tabla44[[#This Row],[SERVICIO 2025]],$J$2:$V$15,3,0)*Tabla44[[#This Row],[TOTAL COBERTURA]]*8</f>
        <v>20086080</v>
      </c>
      <c r="AQ144" s="35"/>
      <c r="AR144" s="35">
        <f>SUM(Tabla44[[#This Row],[VALOR FASE PREPARATORIA DE ALISTAMIENTO]:[VALOR RACION PREPARADA]])</f>
        <v>21270270</v>
      </c>
      <c r="AS144" s="35" t="str">
        <f>+IF(Tabla44[[#This Row],[AGRUPACIONES]]=1,SUMIFS(Tabla44[VALOR TOTAL],Tabla44[ZONA DEFINITIVO],Tabla44[[#This Row],[ZONA DEFINITIVO]])," ")</f>
        <v xml:space="preserve"> </v>
      </c>
      <c r="AT144" s="35">
        <f>VLOOKUP(Tabla44[[#This Row],[SERVICIO 2025]],$J$2:$V$15,10,0)*Tabla44[[#This Row],[TOTAL COBERTURA]]*$X$7</f>
        <v>21091952</v>
      </c>
      <c r="AU144" s="39">
        <f>Tabla44[[#This Row],[TOTAL CONTRATO (ICBF+EAS)]]+Tabla44[[#This Row],[VALOR COMPONENTE ALIMENTACION NO ASIGNADO]]</f>
        <v>42362222</v>
      </c>
      <c r="AV14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5801670</v>
      </c>
      <c r="AW144" s="35">
        <f>(VLOOKUP(Tabla44[[#This Row],[SERVICIO 2025]],$J$2:$V$15,3,0)*Tabla44[[#This Row],[TOTAL COBERTURA]])+VLOOKUP(Tabla44[[#This Row],[SERVICIO 2025]],$J$2:$V$15,10,0)*Tabla44[[#This Row],[TOTAL COBERTURA]]</f>
        <v>5147254</v>
      </c>
      <c r="AX144" s="35">
        <f>(VLOOKUP(Tabla44[[#This Row],[SERVICIO 2025]],$J$2:$V$15,3,0)*Tabla44[[#This Row],[TOTAL COBERTURA]])+VLOOKUP(Tabla44[[#This Row],[SERVICIO 2025]],$J$2:$V$15,10,0)*Tabla44[[#This Row],[TOTAL COBERTURA]]</f>
        <v>5147254</v>
      </c>
      <c r="AY144" s="35">
        <f>(VLOOKUP(Tabla44[[#This Row],[SERVICIO 2025]],$J$2:$V$15,3,0)*Tabla44[[#This Row],[TOTAL COBERTURA]])+VLOOKUP(Tabla44[[#This Row],[SERVICIO 2025]],$J$2:$V$15,10,0)*Tabla44[[#This Row],[TOTAL COBERTURA]]</f>
        <v>5147254</v>
      </c>
      <c r="AZ144" s="35">
        <f>(VLOOKUP(Tabla44[[#This Row],[SERVICIO 2025]],$J$2:$V$15,3,0)*Tabla44[[#This Row],[TOTAL COBERTURA]])+VLOOKUP(Tabla44[[#This Row],[SERVICIO 2025]],$J$2:$V$15,10,0)*Tabla44[[#This Row],[TOTAL COBERTURA]]</f>
        <v>5147254</v>
      </c>
      <c r="BA144" s="35">
        <f>(VLOOKUP(Tabla44[[#This Row],[SERVICIO 2025]],$J$2:$V$15,3,0)*Tabla44[[#This Row],[TOTAL COBERTURA]])+VLOOKUP(Tabla44[[#This Row],[SERVICIO 2025]],$J$2:$V$15,10,0)*Tabla44[[#This Row],[TOTAL COBERTURA]]</f>
        <v>5147254</v>
      </c>
      <c r="BB144" s="35">
        <f>(VLOOKUP(Tabla44[[#This Row],[SERVICIO 2025]],$J$2:$V$15,3,0)*Tabla44[[#This Row],[TOTAL COBERTURA]])+VLOOKUP(Tabla44[[#This Row],[SERVICIO 2025]],$J$2:$V$15,10,0)*Tabla44[[#This Row],[TOTAL COBERTURA]]</f>
        <v>5147254</v>
      </c>
      <c r="BC14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5677028</v>
      </c>
      <c r="BD144" s="35">
        <f>SUM(Tabla44[[#This Row],[DESEMBOLSO 1]:[DESEMBOLSO 8]])</f>
        <v>42362222</v>
      </c>
      <c r="BE144" s="12" t="b">
        <f>EXACT(Tabla44[[#This Row],[VALOR ATENCIÓN (8 MESES)]],Tabla44[[#This Row],[VALOR TOTAL]])</f>
        <v>1</v>
      </c>
      <c r="BF144" s="23">
        <f>Tabla44[[#This Row],[VALOR ATENCIÓN (8 MESES)]]-Tabla44[[#This Row],[VALOR TOTAL]]</f>
        <v>0</v>
      </c>
      <c r="BG144" s="12" t="b">
        <f>EXACT(Tabla44[[#This Row],[TOTAL DESEMBOLSOS]],Tabla44[[#This Row],[VALOR TOTAL DEL CONTRATO INCLUIDO EL COMPONENTE DE ALIMENTACIÓN]])</f>
        <v>1</v>
      </c>
      <c r="BH144" s="29">
        <f>Tabla44[[#This Row],[TOTAL DESEMBOLSOS]]-Tabla44[[#This Row],[VALOR TOTAL DEL CONTRATO INCLUIDO EL COMPONENTE DE ALIMENTACIÓN]]</f>
        <v>0</v>
      </c>
      <c r="BI144" t="s">
        <v>98</v>
      </c>
    </row>
    <row r="145" spans="1:61">
      <c r="A145" s="13">
        <v>1950</v>
      </c>
      <c r="B145" s="13"/>
      <c r="C145" s="12" t="s">
        <v>87</v>
      </c>
      <c r="D145" s="12" t="s">
        <v>88</v>
      </c>
      <c r="E145" s="12" t="s">
        <v>3092</v>
      </c>
      <c r="F145" s="12" t="s">
        <v>21</v>
      </c>
      <c r="G145" s="12" t="s">
        <v>90</v>
      </c>
      <c r="H145" s="12" t="s">
        <v>3096</v>
      </c>
      <c r="I145" s="36">
        <v>52641135129</v>
      </c>
      <c r="J145" s="12" t="s">
        <v>3097</v>
      </c>
      <c r="K145" s="12">
        <v>1</v>
      </c>
      <c r="L145" s="12">
        <v>12</v>
      </c>
      <c r="M145" s="12"/>
      <c r="N145" s="13">
        <v>1950</v>
      </c>
      <c r="O145" s="12" t="s">
        <v>2850</v>
      </c>
      <c r="P145" s="12"/>
      <c r="Q145" s="12"/>
      <c r="R145" s="12" t="s">
        <v>94</v>
      </c>
      <c r="S145" s="12">
        <v>10</v>
      </c>
      <c r="T145" s="12">
        <v>900077807</v>
      </c>
      <c r="U145" s="12" t="s">
        <v>3082</v>
      </c>
      <c r="V145" s="12">
        <f>VLOOKUP(Tabla44[[#This Row],[ZONA DEFINITIVO]],[1]Hoja1!$A$1:$D$125,3,0)</f>
        <v>229936</v>
      </c>
      <c r="W145" s="12">
        <f>VLOOKUP(Tabla44[[#This Row],[ZONA DEFINITIVO]],[1]Hoja1!$A$1:$D$125,2,0)</f>
        <v>17251</v>
      </c>
      <c r="X145" s="12">
        <f>VLOOKUP(Tabla44[[#This Row],[ZONA DEFINITIVO]],[1]Hoja1!$A$1:$D$125,4,0)</f>
        <v>104025</v>
      </c>
      <c r="Y145" s="12" t="str">
        <f>+IF(Tabla44[[#This Row],[AGRUPACIONES]]=1,SUMIFS(Tabla44[UDS],Tabla44[ZONA DEFINITIVO],Tabla44[[#This Row],[ZONA DEFINITIVO]])," ")</f>
        <v xml:space="preserve"> </v>
      </c>
      <c r="Z145" s="12" t="str">
        <f>+IF(Tabla44[[#This Row],[AGRUPACIONES]]=1,SUMIFS(Tabla44[TOTAL COBERTURA],Tabla44[ZONA DEFINITIVO],Tabla44[[#This Row],[ZONA DEFINITIVO]])," ")</f>
        <v xml:space="preserve"> </v>
      </c>
      <c r="AA145" s="12"/>
      <c r="AB145" s="35">
        <v>18231660</v>
      </c>
      <c r="AC145" s="37">
        <v>0</v>
      </c>
      <c r="AD145" s="35">
        <f t="shared" si="2"/>
        <v>0</v>
      </c>
      <c r="AE145" s="12"/>
      <c r="AF145" s="12">
        <f>COUNTIF($A$20:A145,A145)</f>
        <v>9</v>
      </c>
      <c r="AG145" s="38">
        <v>18231660</v>
      </c>
      <c r="AH145" s="38">
        <f>Tabla44[[#This Row],[VALOR CONTRAPARTIDA]]+Tabla44[[#This Row],[TOTAL APORTES ICBF]]</f>
        <v>18231660</v>
      </c>
      <c r="AI145" s="35" t="str">
        <f>+IF(Tabla44[[#This Row],[AGRUPACIONES]]=1,SUMIFS(Tabla44[TOTAL APORTES ICBF],Tabla44[ZONA DEFINITIVO],Tabla44[[#This Row],[ZONA DEFINITIVO]])," ")</f>
        <v xml:space="preserve"> </v>
      </c>
      <c r="AJ145" s="38"/>
      <c r="AK145" s="38"/>
      <c r="AL145" s="35"/>
      <c r="AM145" s="35">
        <f>VLOOKUP(Tabla44[[#This Row],[SERVICIO 2025]],$J$2:$V$15,5,0)*Tabla44[[#This Row],[TOTAL COBERTURA]]</f>
        <v>560928</v>
      </c>
      <c r="AN145" s="35">
        <f>VLOOKUP(Tabla44[[#This Row],[SERVICIO 2025]],$J$2:$V$15,6,0)*Tabla44[[#This Row],[TOTAL COBERTURA]]</f>
        <v>454092</v>
      </c>
      <c r="AO145" s="35">
        <f>VLOOKUP(Tabla44[[#This Row],[SERVICIO 2025]],$J$2:$V$15,8,0)*Tabla44[[#This Row],[TOTAL COBERTURA]]</f>
        <v>0</v>
      </c>
      <c r="AP145" s="35">
        <f>VLOOKUP(Tabla44[[#This Row],[SERVICIO 2025]],$J$2:$V$15,3,0)*Tabla44[[#This Row],[TOTAL COBERTURA]]*8</f>
        <v>17216640</v>
      </c>
      <c r="AQ145" s="35"/>
      <c r="AR145" s="35">
        <f>SUM(Tabla44[[#This Row],[VALOR FASE PREPARATORIA DE ALISTAMIENTO]:[VALOR RACION PREPARADA]])</f>
        <v>18231660</v>
      </c>
      <c r="AS145" s="35" t="str">
        <f>+IF(Tabla44[[#This Row],[AGRUPACIONES]]=1,SUMIFS(Tabla44[VALOR TOTAL],Tabla44[ZONA DEFINITIVO],Tabla44[[#This Row],[ZONA DEFINITIVO]])," ")</f>
        <v xml:space="preserve"> </v>
      </c>
      <c r="AT145" s="35">
        <f>VLOOKUP(Tabla44[[#This Row],[SERVICIO 2025]],$J$2:$V$15,10,0)*Tabla44[[#This Row],[TOTAL COBERTURA]]*$X$7</f>
        <v>18078816</v>
      </c>
      <c r="AU145" s="39">
        <f>Tabla44[[#This Row],[TOTAL CONTRATO (ICBF+EAS)]]+Tabla44[[#This Row],[VALOR COMPONENTE ALIMENTACION NO ASIGNADO]]</f>
        <v>36310476</v>
      </c>
      <c r="AV14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4972860</v>
      </c>
      <c r="AW145" s="35">
        <f>(VLOOKUP(Tabla44[[#This Row],[SERVICIO 2025]],$J$2:$V$15,3,0)*Tabla44[[#This Row],[TOTAL COBERTURA]])+VLOOKUP(Tabla44[[#This Row],[SERVICIO 2025]],$J$2:$V$15,10,0)*Tabla44[[#This Row],[TOTAL COBERTURA]]</f>
        <v>4411932</v>
      </c>
      <c r="AX145" s="35">
        <f>(VLOOKUP(Tabla44[[#This Row],[SERVICIO 2025]],$J$2:$V$15,3,0)*Tabla44[[#This Row],[TOTAL COBERTURA]])+VLOOKUP(Tabla44[[#This Row],[SERVICIO 2025]],$J$2:$V$15,10,0)*Tabla44[[#This Row],[TOTAL COBERTURA]]</f>
        <v>4411932</v>
      </c>
      <c r="AY145" s="35">
        <f>(VLOOKUP(Tabla44[[#This Row],[SERVICIO 2025]],$J$2:$V$15,3,0)*Tabla44[[#This Row],[TOTAL COBERTURA]])+VLOOKUP(Tabla44[[#This Row],[SERVICIO 2025]],$J$2:$V$15,10,0)*Tabla44[[#This Row],[TOTAL COBERTURA]]</f>
        <v>4411932</v>
      </c>
      <c r="AZ145" s="35">
        <f>(VLOOKUP(Tabla44[[#This Row],[SERVICIO 2025]],$J$2:$V$15,3,0)*Tabla44[[#This Row],[TOTAL COBERTURA]])+VLOOKUP(Tabla44[[#This Row],[SERVICIO 2025]],$J$2:$V$15,10,0)*Tabla44[[#This Row],[TOTAL COBERTURA]]</f>
        <v>4411932</v>
      </c>
      <c r="BA145" s="35">
        <f>(VLOOKUP(Tabla44[[#This Row],[SERVICIO 2025]],$J$2:$V$15,3,0)*Tabla44[[#This Row],[TOTAL COBERTURA]])+VLOOKUP(Tabla44[[#This Row],[SERVICIO 2025]],$J$2:$V$15,10,0)*Tabla44[[#This Row],[TOTAL COBERTURA]]</f>
        <v>4411932</v>
      </c>
      <c r="BB145" s="35">
        <f>(VLOOKUP(Tabla44[[#This Row],[SERVICIO 2025]],$J$2:$V$15,3,0)*Tabla44[[#This Row],[TOTAL COBERTURA]])+VLOOKUP(Tabla44[[#This Row],[SERVICIO 2025]],$J$2:$V$15,10,0)*Tabla44[[#This Row],[TOTAL COBERTURA]]</f>
        <v>4411932</v>
      </c>
      <c r="BC14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4866024</v>
      </c>
      <c r="BD145" s="35">
        <f>SUM(Tabla44[[#This Row],[DESEMBOLSO 1]:[DESEMBOLSO 8]])</f>
        <v>36310476</v>
      </c>
      <c r="BE145" s="12" t="b">
        <f>EXACT(Tabla44[[#This Row],[VALOR ATENCIÓN (8 MESES)]],Tabla44[[#This Row],[VALOR TOTAL]])</f>
        <v>1</v>
      </c>
      <c r="BF145" s="23">
        <f>Tabla44[[#This Row],[VALOR ATENCIÓN (8 MESES)]]-Tabla44[[#This Row],[VALOR TOTAL]]</f>
        <v>0</v>
      </c>
      <c r="BG145" s="12" t="b">
        <f>EXACT(Tabla44[[#This Row],[TOTAL DESEMBOLSOS]],Tabla44[[#This Row],[VALOR TOTAL DEL CONTRATO INCLUIDO EL COMPONENTE DE ALIMENTACIÓN]])</f>
        <v>1</v>
      </c>
      <c r="BH145" s="29">
        <f>Tabla44[[#This Row],[TOTAL DESEMBOLSOS]]-Tabla44[[#This Row],[VALOR TOTAL DEL CONTRATO INCLUIDO EL COMPONENTE DE ALIMENTACIÓN]]</f>
        <v>0</v>
      </c>
      <c r="BI145" t="s">
        <v>98</v>
      </c>
    </row>
    <row r="146" spans="1:61">
      <c r="A146" s="13">
        <v>1950</v>
      </c>
      <c r="B146" s="13"/>
      <c r="C146" s="12" t="s">
        <v>87</v>
      </c>
      <c r="D146" s="12" t="s">
        <v>88</v>
      </c>
      <c r="E146" s="12" t="s">
        <v>3092</v>
      </c>
      <c r="F146" s="12" t="s">
        <v>21</v>
      </c>
      <c r="G146" s="12" t="s">
        <v>90</v>
      </c>
      <c r="H146" s="12" t="s">
        <v>3098</v>
      </c>
      <c r="I146" s="36">
        <v>52641135132</v>
      </c>
      <c r="J146" s="12" t="s">
        <v>3099</v>
      </c>
      <c r="K146" s="12">
        <v>1</v>
      </c>
      <c r="L146" s="12">
        <v>11</v>
      </c>
      <c r="M146" s="12"/>
      <c r="N146" s="13">
        <v>1950</v>
      </c>
      <c r="O146" s="12" t="s">
        <v>2850</v>
      </c>
      <c r="P146" s="12"/>
      <c r="Q146" s="12"/>
      <c r="R146" s="12" t="s">
        <v>94</v>
      </c>
      <c r="S146" s="12">
        <v>10</v>
      </c>
      <c r="T146" s="12">
        <v>900077807</v>
      </c>
      <c r="U146" s="12" t="s">
        <v>3082</v>
      </c>
      <c r="V146" s="12">
        <f>VLOOKUP(Tabla44[[#This Row],[ZONA DEFINITIVO]],[1]Hoja1!$A$1:$D$125,3,0)</f>
        <v>229936</v>
      </c>
      <c r="W146" s="12">
        <f>VLOOKUP(Tabla44[[#This Row],[ZONA DEFINITIVO]],[1]Hoja1!$A$1:$D$125,2,0)</f>
        <v>17251</v>
      </c>
      <c r="X146" s="12">
        <f>VLOOKUP(Tabla44[[#This Row],[ZONA DEFINITIVO]],[1]Hoja1!$A$1:$D$125,4,0)</f>
        <v>104025</v>
      </c>
      <c r="Y146" s="12" t="str">
        <f>+IF(Tabla44[[#This Row],[AGRUPACIONES]]=1,SUMIFS(Tabla44[UDS],Tabla44[ZONA DEFINITIVO],Tabla44[[#This Row],[ZONA DEFINITIVO]])," ")</f>
        <v xml:space="preserve"> </v>
      </c>
      <c r="Z146" s="12" t="str">
        <f>+IF(Tabla44[[#This Row],[AGRUPACIONES]]=1,SUMIFS(Tabla44[TOTAL COBERTURA],Tabla44[ZONA DEFINITIVO],Tabla44[[#This Row],[ZONA DEFINITIVO]])," ")</f>
        <v xml:space="preserve"> </v>
      </c>
      <c r="AA146" s="12"/>
      <c r="AB146" s="35">
        <v>16712355</v>
      </c>
      <c r="AC146" s="37">
        <v>0</v>
      </c>
      <c r="AD146" s="35">
        <f t="shared" si="2"/>
        <v>0</v>
      </c>
      <c r="AE146" s="12"/>
      <c r="AF146" s="12">
        <f>COUNTIF($A$20:A146,A146)</f>
        <v>10</v>
      </c>
      <c r="AG146" s="38">
        <v>16712355</v>
      </c>
      <c r="AH146" s="38">
        <f>Tabla44[[#This Row],[VALOR CONTRAPARTIDA]]+Tabla44[[#This Row],[TOTAL APORTES ICBF]]</f>
        <v>16712355</v>
      </c>
      <c r="AI146" s="35" t="str">
        <f>+IF(Tabla44[[#This Row],[AGRUPACIONES]]=1,SUMIFS(Tabla44[TOTAL APORTES ICBF],Tabla44[ZONA DEFINITIVO],Tabla44[[#This Row],[ZONA DEFINITIVO]])," ")</f>
        <v xml:space="preserve"> </v>
      </c>
      <c r="AJ146" s="38"/>
      <c r="AK146" s="38"/>
      <c r="AL146" s="35"/>
      <c r="AM146" s="35">
        <f>VLOOKUP(Tabla44[[#This Row],[SERVICIO 2025]],$J$2:$V$15,5,0)*Tabla44[[#This Row],[TOTAL COBERTURA]]</f>
        <v>514184</v>
      </c>
      <c r="AN146" s="35">
        <f>VLOOKUP(Tabla44[[#This Row],[SERVICIO 2025]],$J$2:$V$15,6,0)*Tabla44[[#This Row],[TOTAL COBERTURA]]</f>
        <v>416251</v>
      </c>
      <c r="AO146" s="35">
        <f>VLOOKUP(Tabla44[[#This Row],[SERVICIO 2025]],$J$2:$V$15,8,0)*Tabla44[[#This Row],[TOTAL COBERTURA]]</f>
        <v>0</v>
      </c>
      <c r="AP146" s="35">
        <f>VLOOKUP(Tabla44[[#This Row],[SERVICIO 2025]],$J$2:$V$15,3,0)*Tabla44[[#This Row],[TOTAL COBERTURA]]*8</f>
        <v>15781920</v>
      </c>
      <c r="AQ146" s="35"/>
      <c r="AR146" s="35">
        <f>SUM(Tabla44[[#This Row],[VALOR FASE PREPARATORIA DE ALISTAMIENTO]:[VALOR RACION PREPARADA]])</f>
        <v>16712355</v>
      </c>
      <c r="AS146" s="35" t="str">
        <f>+IF(Tabla44[[#This Row],[AGRUPACIONES]]=1,SUMIFS(Tabla44[VALOR TOTAL],Tabla44[ZONA DEFINITIVO],Tabla44[[#This Row],[ZONA DEFINITIVO]])," ")</f>
        <v xml:space="preserve"> </v>
      </c>
      <c r="AT146" s="35">
        <f>VLOOKUP(Tabla44[[#This Row],[SERVICIO 2025]],$J$2:$V$15,10,0)*Tabla44[[#This Row],[TOTAL COBERTURA]]*$X$7</f>
        <v>16572248</v>
      </c>
      <c r="AU146" s="39">
        <f>Tabla44[[#This Row],[TOTAL CONTRATO (ICBF+EAS)]]+Tabla44[[#This Row],[VALOR COMPONENTE ALIMENTACION NO ASIGNADO]]</f>
        <v>33284603</v>
      </c>
      <c r="AV14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146" s="35">
        <f>(VLOOKUP(Tabla44[[#This Row],[SERVICIO 2025]],$J$2:$V$15,3,0)*Tabla44[[#This Row],[TOTAL COBERTURA]])+VLOOKUP(Tabla44[[#This Row],[SERVICIO 2025]],$J$2:$V$15,10,0)*Tabla44[[#This Row],[TOTAL COBERTURA]]</f>
        <v>4044271</v>
      </c>
      <c r="AX146" s="35">
        <f>(VLOOKUP(Tabla44[[#This Row],[SERVICIO 2025]],$J$2:$V$15,3,0)*Tabla44[[#This Row],[TOTAL COBERTURA]])+VLOOKUP(Tabla44[[#This Row],[SERVICIO 2025]],$J$2:$V$15,10,0)*Tabla44[[#This Row],[TOTAL COBERTURA]]</f>
        <v>4044271</v>
      </c>
      <c r="AY146" s="35">
        <f>(VLOOKUP(Tabla44[[#This Row],[SERVICIO 2025]],$J$2:$V$15,3,0)*Tabla44[[#This Row],[TOTAL COBERTURA]])+VLOOKUP(Tabla44[[#This Row],[SERVICIO 2025]],$J$2:$V$15,10,0)*Tabla44[[#This Row],[TOTAL COBERTURA]]</f>
        <v>4044271</v>
      </c>
      <c r="AZ146" s="35">
        <f>(VLOOKUP(Tabla44[[#This Row],[SERVICIO 2025]],$J$2:$V$15,3,0)*Tabla44[[#This Row],[TOTAL COBERTURA]])+VLOOKUP(Tabla44[[#This Row],[SERVICIO 2025]],$J$2:$V$15,10,0)*Tabla44[[#This Row],[TOTAL COBERTURA]]</f>
        <v>4044271</v>
      </c>
      <c r="BA146" s="35">
        <f>(VLOOKUP(Tabla44[[#This Row],[SERVICIO 2025]],$J$2:$V$15,3,0)*Tabla44[[#This Row],[TOTAL COBERTURA]])+VLOOKUP(Tabla44[[#This Row],[SERVICIO 2025]],$J$2:$V$15,10,0)*Tabla44[[#This Row],[TOTAL COBERTURA]]</f>
        <v>4044271</v>
      </c>
      <c r="BB146" s="35">
        <f>(VLOOKUP(Tabla44[[#This Row],[SERVICIO 2025]],$J$2:$V$15,3,0)*Tabla44[[#This Row],[TOTAL COBERTURA]])+VLOOKUP(Tabla44[[#This Row],[SERVICIO 2025]],$J$2:$V$15,10,0)*Tabla44[[#This Row],[TOTAL COBERTURA]]</f>
        <v>4044271</v>
      </c>
      <c r="BC14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146" s="35">
        <f>SUM(Tabla44[[#This Row],[DESEMBOLSO 1]:[DESEMBOLSO 8]])</f>
        <v>33284603</v>
      </c>
      <c r="BE146" s="12" t="b">
        <f>EXACT(Tabla44[[#This Row],[VALOR ATENCIÓN (8 MESES)]],Tabla44[[#This Row],[VALOR TOTAL]])</f>
        <v>1</v>
      </c>
      <c r="BF146" s="23">
        <f>Tabla44[[#This Row],[VALOR ATENCIÓN (8 MESES)]]-Tabla44[[#This Row],[VALOR TOTAL]]</f>
        <v>0</v>
      </c>
      <c r="BG146" s="12" t="b">
        <f>EXACT(Tabla44[[#This Row],[TOTAL DESEMBOLSOS]],Tabla44[[#This Row],[VALOR TOTAL DEL CONTRATO INCLUIDO EL COMPONENTE DE ALIMENTACIÓN]])</f>
        <v>1</v>
      </c>
      <c r="BH146" s="29">
        <f>Tabla44[[#This Row],[TOTAL DESEMBOLSOS]]-Tabla44[[#This Row],[VALOR TOTAL DEL CONTRATO INCLUIDO EL COMPONENTE DE ALIMENTACIÓN]]</f>
        <v>0</v>
      </c>
      <c r="BI146" t="s">
        <v>98</v>
      </c>
    </row>
    <row r="147" spans="1:61">
      <c r="A147" s="13">
        <v>1950</v>
      </c>
      <c r="B147" s="13"/>
      <c r="C147" s="12" t="s">
        <v>87</v>
      </c>
      <c r="D147" s="12" t="s">
        <v>88</v>
      </c>
      <c r="E147" s="12" t="s">
        <v>3092</v>
      </c>
      <c r="F147" s="12" t="s">
        <v>21</v>
      </c>
      <c r="G147" s="12" t="s">
        <v>90</v>
      </c>
      <c r="H147" s="12" t="s">
        <v>3100</v>
      </c>
      <c r="I147" s="36">
        <v>52641135136</v>
      </c>
      <c r="J147" s="12" t="s">
        <v>3101</v>
      </c>
      <c r="K147" s="12">
        <v>1</v>
      </c>
      <c r="L147" s="12">
        <v>15</v>
      </c>
      <c r="M147" s="12"/>
      <c r="N147" s="13">
        <v>1950</v>
      </c>
      <c r="O147" s="12" t="s">
        <v>2850</v>
      </c>
      <c r="P147" s="12"/>
      <c r="Q147" s="12"/>
      <c r="R147" s="12" t="s">
        <v>94</v>
      </c>
      <c r="S147" s="12">
        <v>10</v>
      </c>
      <c r="T147" s="12">
        <v>900077807</v>
      </c>
      <c r="U147" s="12" t="s">
        <v>3082</v>
      </c>
      <c r="V147" s="12">
        <f>VLOOKUP(Tabla44[[#This Row],[ZONA DEFINITIVO]],[1]Hoja1!$A$1:$D$125,3,0)</f>
        <v>229936</v>
      </c>
      <c r="W147" s="12">
        <f>VLOOKUP(Tabla44[[#This Row],[ZONA DEFINITIVO]],[1]Hoja1!$A$1:$D$125,2,0)</f>
        <v>17251</v>
      </c>
      <c r="X147" s="12">
        <f>VLOOKUP(Tabla44[[#This Row],[ZONA DEFINITIVO]],[1]Hoja1!$A$1:$D$125,4,0)</f>
        <v>104025</v>
      </c>
      <c r="Y147" s="12" t="str">
        <f>+IF(Tabla44[[#This Row],[AGRUPACIONES]]=1,SUMIFS(Tabla44[UDS],Tabla44[ZONA DEFINITIVO],Tabla44[[#This Row],[ZONA DEFINITIVO]])," ")</f>
        <v xml:space="preserve"> </v>
      </c>
      <c r="Z147" s="12" t="str">
        <f>+IF(Tabla44[[#This Row],[AGRUPACIONES]]=1,SUMIFS(Tabla44[TOTAL COBERTURA],Tabla44[ZONA DEFINITIVO],Tabla44[[#This Row],[ZONA DEFINITIVO]])," ")</f>
        <v xml:space="preserve"> </v>
      </c>
      <c r="AA147" s="12"/>
      <c r="AB147" s="35">
        <v>22789575</v>
      </c>
      <c r="AC147" s="37">
        <v>0</v>
      </c>
      <c r="AD147" s="35">
        <f t="shared" si="2"/>
        <v>0</v>
      </c>
      <c r="AE147" s="12"/>
      <c r="AF147" s="12">
        <f>COUNTIF($A$20:A147,A147)</f>
        <v>11</v>
      </c>
      <c r="AG147" s="38">
        <v>22789575</v>
      </c>
      <c r="AH147" s="38">
        <f>Tabla44[[#This Row],[VALOR CONTRAPARTIDA]]+Tabla44[[#This Row],[TOTAL APORTES ICBF]]</f>
        <v>22789575</v>
      </c>
      <c r="AI147" s="35" t="str">
        <f>+IF(Tabla44[[#This Row],[AGRUPACIONES]]=1,SUMIFS(Tabla44[TOTAL APORTES ICBF],Tabla44[ZONA DEFINITIVO],Tabla44[[#This Row],[ZONA DEFINITIVO]])," ")</f>
        <v xml:space="preserve"> </v>
      </c>
      <c r="AJ147" s="38"/>
      <c r="AK147" s="38"/>
      <c r="AL147" s="35"/>
      <c r="AM147" s="35">
        <f>VLOOKUP(Tabla44[[#This Row],[SERVICIO 2025]],$J$2:$V$15,5,0)*Tabla44[[#This Row],[TOTAL COBERTURA]]</f>
        <v>701160</v>
      </c>
      <c r="AN147" s="35">
        <f>VLOOKUP(Tabla44[[#This Row],[SERVICIO 2025]],$J$2:$V$15,6,0)*Tabla44[[#This Row],[TOTAL COBERTURA]]</f>
        <v>567615</v>
      </c>
      <c r="AO147" s="35">
        <f>VLOOKUP(Tabla44[[#This Row],[SERVICIO 2025]],$J$2:$V$15,8,0)*Tabla44[[#This Row],[TOTAL COBERTURA]]</f>
        <v>0</v>
      </c>
      <c r="AP147" s="35">
        <f>VLOOKUP(Tabla44[[#This Row],[SERVICIO 2025]],$J$2:$V$15,3,0)*Tabla44[[#This Row],[TOTAL COBERTURA]]*8</f>
        <v>21520800</v>
      </c>
      <c r="AQ147" s="35"/>
      <c r="AR147" s="35">
        <f>SUM(Tabla44[[#This Row],[VALOR FASE PREPARATORIA DE ALISTAMIENTO]:[VALOR RACION PREPARADA]])</f>
        <v>22789575</v>
      </c>
      <c r="AS147" s="35" t="str">
        <f>+IF(Tabla44[[#This Row],[AGRUPACIONES]]=1,SUMIFS(Tabla44[VALOR TOTAL],Tabla44[ZONA DEFINITIVO],Tabla44[[#This Row],[ZONA DEFINITIVO]])," ")</f>
        <v xml:space="preserve"> </v>
      </c>
      <c r="AT147" s="35">
        <f>VLOOKUP(Tabla44[[#This Row],[SERVICIO 2025]],$J$2:$V$15,10,0)*Tabla44[[#This Row],[TOTAL COBERTURA]]*$X$7</f>
        <v>22598520</v>
      </c>
      <c r="AU147" s="39">
        <f>Tabla44[[#This Row],[TOTAL CONTRATO (ICBF+EAS)]]+Tabla44[[#This Row],[VALOR COMPONENTE ALIMENTACION NO ASIGNADO]]</f>
        <v>45388095</v>
      </c>
      <c r="AV14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6216075</v>
      </c>
      <c r="AW147" s="35">
        <f>(VLOOKUP(Tabla44[[#This Row],[SERVICIO 2025]],$J$2:$V$15,3,0)*Tabla44[[#This Row],[TOTAL COBERTURA]])+VLOOKUP(Tabla44[[#This Row],[SERVICIO 2025]],$J$2:$V$15,10,0)*Tabla44[[#This Row],[TOTAL COBERTURA]]</f>
        <v>5514915</v>
      </c>
      <c r="AX147" s="35">
        <f>(VLOOKUP(Tabla44[[#This Row],[SERVICIO 2025]],$J$2:$V$15,3,0)*Tabla44[[#This Row],[TOTAL COBERTURA]])+VLOOKUP(Tabla44[[#This Row],[SERVICIO 2025]],$J$2:$V$15,10,0)*Tabla44[[#This Row],[TOTAL COBERTURA]]</f>
        <v>5514915</v>
      </c>
      <c r="AY147" s="35">
        <f>(VLOOKUP(Tabla44[[#This Row],[SERVICIO 2025]],$J$2:$V$15,3,0)*Tabla44[[#This Row],[TOTAL COBERTURA]])+VLOOKUP(Tabla44[[#This Row],[SERVICIO 2025]],$J$2:$V$15,10,0)*Tabla44[[#This Row],[TOTAL COBERTURA]]</f>
        <v>5514915</v>
      </c>
      <c r="AZ147" s="35">
        <f>(VLOOKUP(Tabla44[[#This Row],[SERVICIO 2025]],$J$2:$V$15,3,0)*Tabla44[[#This Row],[TOTAL COBERTURA]])+VLOOKUP(Tabla44[[#This Row],[SERVICIO 2025]],$J$2:$V$15,10,0)*Tabla44[[#This Row],[TOTAL COBERTURA]]</f>
        <v>5514915</v>
      </c>
      <c r="BA147" s="35">
        <f>(VLOOKUP(Tabla44[[#This Row],[SERVICIO 2025]],$J$2:$V$15,3,0)*Tabla44[[#This Row],[TOTAL COBERTURA]])+VLOOKUP(Tabla44[[#This Row],[SERVICIO 2025]],$J$2:$V$15,10,0)*Tabla44[[#This Row],[TOTAL COBERTURA]]</f>
        <v>5514915</v>
      </c>
      <c r="BB147" s="35">
        <f>(VLOOKUP(Tabla44[[#This Row],[SERVICIO 2025]],$J$2:$V$15,3,0)*Tabla44[[#This Row],[TOTAL COBERTURA]])+VLOOKUP(Tabla44[[#This Row],[SERVICIO 2025]],$J$2:$V$15,10,0)*Tabla44[[#This Row],[TOTAL COBERTURA]]</f>
        <v>5514915</v>
      </c>
      <c r="BC14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6082530</v>
      </c>
      <c r="BD147" s="35">
        <f>SUM(Tabla44[[#This Row],[DESEMBOLSO 1]:[DESEMBOLSO 8]])</f>
        <v>45388095</v>
      </c>
      <c r="BE147" s="12" t="b">
        <f>EXACT(Tabla44[[#This Row],[VALOR ATENCIÓN (8 MESES)]],Tabla44[[#This Row],[VALOR TOTAL]])</f>
        <v>1</v>
      </c>
      <c r="BF147" s="23">
        <f>Tabla44[[#This Row],[VALOR ATENCIÓN (8 MESES)]]-Tabla44[[#This Row],[VALOR TOTAL]]</f>
        <v>0</v>
      </c>
      <c r="BG147" s="12" t="b">
        <f>EXACT(Tabla44[[#This Row],[TOTAL DESEMBOLSOS]],Tabla44[[#This Row],[VALOR TOTAL DEL CONTRATO INCLUIDO EL COMPONENTE DE ALIMENTACIÓN]])</f>
        <v>1</v>
      </c>
      <c r="BH147" s="29">
        <f>Tabla44[[#This Row],[TOTAL DESEMBOLSOS]]-Tabla44[[#This Row],[VALOR TOTAL DEL CONTRATO INCLUIDO EL COMPONENTE DE ALIMENTACIÓN]]</f>
        <v>0</v>
      </c>
      <c r="BI147" t="s">
        <v>98</v>
      </c>
    </row>
    <row r="148" spans="1:61">
      <c r="A148" s="13">
        <v>1950</v>
      </c>
      <c r="B148" s="13"/>
      <c r="C148" s="12" t="s">
        <v>87</v>
      </c>
      <c r="D148" s="12" t="s">
        <v>88</v>
      </c>
      <c r="E148" s="12" t="s">
        <v>3092</v>
      </c>
      <c r="F148" s="12" t="s">
        <v>21</v>
      </c>
      <c r="G148" s="12" t="s">
        <v>90</v>
      </c>
      <c r="H148" s="12" t="s">
        <v>2986</v>
      </c>
      <c r="I148" s="36">
        <v>52641135143</v>
      </c>
      <c r="J148" s="12" t="s">
        <v>3102</v>
      </c>
      <c r="K148" s="12">
        <v>1</v>
      </c>
      <c r="L148" s="12">
        <v>18</v>
      </c>
      <c r="M148" s="12"/>
      <c r="N148" s="13">
        <v>1950</v>
      </c>
      <c r="O148" s="12" t="s">
        <v>2850</v>
      </c>
      <c r="P148" s="12"/>
      <c r="Q148" s="12"/>
      <c r="R148" s="12" t="s">
        <v>94</v>
      </c>
      <c r="S148" s="12">
        <v>10</v>
      </c>
      <c r="T148" s="12">
        <v>900077807</v>
      </c>
      <c r="U148" s="12" t="s">
        <v>3082</v>
      </c>
      <c r="V148" s="12">
        <f>VLOOKUP(Tabla44[[#This Row],[ZONA DEFINITIVO]],[1]Hoja1!$A$1:$D$125,3,0)</f>
        <v>229936</v>
      </c>
      <c r="W148" s="12">
        <f>VLOOKUP(Tabla44[[#This Row],[ZONA DEFINITIVO]],[1]Hoja1!$A$1:$D$125,2,0)</f>
        <v>17251</v>
      </c>
      <c r="X148" s="12">
        <f>VLOOKUP(Tabla44[[#This Row],[ZONA DEFINITIVO]],[1]Hoja1!$A$1:$D$125,4,0)</f>
        <v>104025</v>
      </c>
      <c r="Y148" s="12" t="str">
        <f>+IF(Tabla44[[#This Row],[AGRUPACIONES]]=1,SUMIFS(Tabla44[UDS],Tabla44[ZONA DEFINITIVO],Tabla44[[#This Row],[ZONA DEFINITIVO]])," ")</f>
        <v xml:space="preserve"> </v>
      </c>
      <c r="Z148" s="12" t="str">
        <f>+IF(Tabla44[[#This Row],[AGRUPACIONES]]=1,SUMIFS(Tabla44[TOTAL COBERTURA],Tabla44[ZONA DEFINITIVO],Tabla44[[#This Row],[ZONA DEFINITIVO]])," ")</f>
        <v xml:space="preserve"> </v>
      </c>
      <c r="AA148" s="12"/>
      <c r="AB148" s="35">
        <v>27347490</v>
      </c>
      <c r="AC148" s="37">
        <v>0</v>
      </c>
      <c r="AD148" s="35">
        <f t="shared" ref="AD148:AD211" si="3">AB148*AC148</f>
        <v>0</v>
      </c>
      <c r="AE148" s="12"/>
      <c r="AF148" s="12">
        <f>COUNTIF($A$20:A148,A148)</f>
        <v>12</v>
      </c>
      <c r="AG148" s="38">
        <v>27347490</v>
      </c>
      <c r="AH148" s="38">
        <f>Tabla44[[#This Row],[VALOR CONTRAPARTIDA]]+Tabla44[[#This Row],[TOTAL APORTES ICBF]]</f>
        <v>27347490</v>
      </c>
      <c r="AI148" s="35" t="str">
        <f>+IF(Tabla44[[#This Row],[AGRUPACIONES]]=1,SUMIFS(Tabla44[TOTAL APORTES ICBF],Tabla44[ZONA DEFINITIVO],Tabla44[[#This Row],[ZONA DEFINITIVO]])," ")</f>
        <v xml:space="preserve"> </v>
      </c>
      <c r="AJ148" s="38"/>
      <c r="AK148" s="38"/>
      <c r="AL148" s="35"/>
      <c r="AM148" s="35">
        <f>VLOOKUP(Tabla44[[#This Row],[SERVICIO 2025]],$J$2:$V$15,5,0)*Tabla44[[#This Row],[TOTAL COBERTURA]]</f>
        <v>841392</v>
      </c>
      <c r="AN148" s="35">
        <f>VLOOKUP(Tabla44[[#This Row],[SERVICIO 2025]],$J$2:$V$15,6,0)*Tabla44[[#This Row],[TOTAL COBERTURA]]</f>
        <v>681138</v>
      </c>
      <c r="AO148" s="35">
        <f>VLOOKUP(Tabla44[[#This Row],[SERVICIO 2025]],$J$2:$V$15,8,0)*Tabla44[[#This Row],[TOTAL COBERTURA]]</f>
        <v>0</v>
      </c>
      <c r="AP148" s="35">
        <f>VLOOKUP(Tabla44[[#This Row],[SERVICIO 2025]],$J$2:$V$15,3,0)*Tabla44[[#This Row],[TOTAL COBERTURA]]*8</f>
        <v>25824960</v>
      </c>
      <c r="AQ148" s="35"/>
      <c r="AR148" s="35">
        <f>SUM(Tabla44[[#This Row],[VALOR FASE PREPARATORIA DE ALISTAMIENTO]:[VALOR RACION PREPARADA]])</f>
        <v>27347490</v>
      </c>
      <c r="AS148" s="35" t="str">
        <f>+IF(Tabla44[[#This Row],[AGRUPACIONES]]=1,SUMIFS(Tabla44[VALOR TOTAL],Tabla44[ZONA DEFINITIVO],Tabla44[[#This Row],[ZONA DEFINITIVO]])," ")</f>
        <v xml:space="preserve"> </v>
      </c>
      <c r="AT148" s="35">
        <f>VLOOKUP(Tabla44[[#This Row],[SERVICIO 2025]],$J$2:$V$15,10,0)*Tabla44[[#This Row],[TOTAL COBERTURA]]*$X$7</f>
        <v>27118224</v>
      </c>
      <c r="AU148" s="39">
        <f>Tabla44[[#This Row],[TOTAL CONTRATO (ICBF+EAS)]]+Tabla44[[#This Row],[VALOR COMPONENTE ALIMENTACION NO ASIGNADO]]</f>
        <v>54465714</v>
      </c>
      <c r="AV14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7459290</v>
      </c>
      <c r="AW148" s="35">
        <f>(VLOOKUP(Tabla44[[#This Row],[SERVICIO 2025]],$J$2:$V$15,3,0)*Tabla44[[#This Row],[TOTAL COBERTURA]])+VLOOKUP(Tabla44[[#This Row],[SERVICIO 2025]],$J$2:$V$15,10,0)*Tabla44[[#This Row],[TOTAL COBERTURA]]</f>
        <v>6617898</v>
      </c>
      <c r="AX148" s="35">
        <f>(VLOOKUP(Tabla44[[#This Row],[SERVICIO 2025]],$J$2:$V$15,3,0)*Tabla44[[#This Row],[TOTAL COBERTURA]])+VLOOKUP(Tabla44[[#This Row],[SERVICIO 2025]],$J$2:$V$15,10,0)*Tabla44[[#This Row],[TOTAL COBERTURA]]</f>
        <v>6617898</v>
      </c>
      <c r="AY148" s="35">
        <f>(VLOOKUP(Tabla44[[#This Row],[SERVICIO 2025]],$J$2:$V$15,3,0)*Tabla44[[#This Row],[TOTAL COBERTURA]])+VLOOKUP(Tabla44[[#This Row],[SERVICIO 2025]],$J$2:$V$15,10,0)*Tabla44[[#This Row],[TOTAL COBERTURA]]</f>
        <v>6617898</v>
      </c>
      <c r="AZ148" s="35">
        <f>(VLOOKUP(Tabla44[[#This Row],[SERVICIO 2025]],$J$2:$V$15,3,0)*Tabla44[[#This Row],[TOTAL COBERTURA]])+VLOOKUP(Tabla44[[#This Row],[SERVICIO 2025]],$J$2:$V$15,10,0)*Tabla44[[#This Row],[TOTAL COBERTURA]]</f>
        <v>6617898</v>
      </c>
      <c r="BA148" s="35">
        <f>(VLOOKUP(Tabla44[[#This Row],[SERVICIO 2025]],$J$2:$V$15,3,0)*Tabla44[[#This Row],[TOTAL COBERTURA]])+VLOOKUP(Tabla44[[#This Row],[SERVICIO 2025]],$J$2:$V$15,10,0)*Tabla44[[#This Row],[TOTAL COBERTURA]]</f>
        <v>6617898</v>
      </c>
      <c r="BB148" s="35">
        <f>(VLOOKUP(Tabla44[[#This Row],[SERVICIO 2025]],$J$2:$V$15,3,0)*Tabla44[[#This Row],[TOTAL COBERTURA]])+VLOOKUP(Tabla44[[#This Row],[SERVICIO 2025]],$J$2:$V$15,10,0)*Tabla44[[#This Row],[TOTAL COBERTURA]]</f>
        <v>6617898</v>
      </c>
      <c r="BC14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7299036</v>
      </c>
      <c r="BD148" s="35">
        <f>SUM(Tabla44[[#This Row],[DESEMBOLSO 1]:[DESEMBOLSO 8]])</f>
        <v>54465714</v>
      </c>
      <c r="BE148" s="12" t="b">
        <f>EXACT(Tabla44[[#This Row],[VALOR ATENCIÓN (8 MESES)]],Tabla44[[#This Row],[VALOR TOTAL]])</f>
        <v>1</v>
      </c>
      <c r="BF148" s="23">
        <f>Tabla44[[#This Row],[VALOR ATENCIÓN (8 MESES)]]-Tabla44[[#This Row],[VALOR TOTAL]]</f>
        <v>0</v>
      </c>
      <c r="BG148" s="12" t="b">
        <f>EXACT(Tabla44[[#This Row],[TOTAL DESEMBOLSOS]],Tabla44[[#This Row],[VALOR TOTAL DEL CONTRATO INCLUIDO EL COMPONENTE DE ALIMENTACIÓN]])</f>
        <v>1</v>
      </c>
      <c r="BH148" s="29">
        <f>Tabla44[[#This Row],[TOTAL DESEMBOLSOS]]-Tabla44[[#This Row],[VALOR TOTAL DEL CONTRATO INCLUIDO EL COMPONENTE DE ALIMENTACIÓN]]</f>
        <v>0</v>
      </c>
      <c r="BI148" t="s">
        <v>98</v>
      </c>
    </row>
    <row r="149" spans="1:61">
      <c r="A149" s="13">
        <v>1950</v>
      </c>
      <c r="B149" s="13"/>
      <c r="C149" s="12" t="s">
        <v>87</v>
      </c>
      <c r="D149" s="12" t="s">
        <v>88</v>
      </c>
      <c r="E149" s="12" t="s">
        <v>3092</v>
      </c>
      <c r="F149" s="12" t="s">
        <v>21</v>
      </c>
      <c r="G149" s="12" t="s">
        <v>90</v>
      </c>
      <c r="H149" s="12" t="s">
        <v>2360</v>
      </c>
      <c r="I149" s="36">
        <v>52641136143</v>
      </c>
      <c r="J149" s="12" t="s">
        <v>3103</v>
      </c>
      <c r="K149" s="12">
        <v>1</v>
      </c>
      <c r="L149" s="12">
        <v>23</v>
      </c>
      <c r="M149" s="12"/>
      <c r="N149" s="13">
        <v>1950</v>
      </c>
      <c r="O149" s="12" t="s">
        <v>2850</v>
      </c>
      <c r="P149" s="12"/>
      <c r="Q149" s="12"/>
      <c r="R149" s="12" t="s">
        <v>94</v>
      </c>
      <c r="S149" s="12">
        <v>10</v>
      </c>
      <c r="T149" s="12">
        <v>900077807</v>
      </c>
      <c r="U149" s="12" t="s">
        <v>3082</v>
      </c>
      <c r="V149" s="12">
        <f>VLOOKUP(Tabla44[[#This Row],[ZONA DEFINITIVO]],[1]Hoja1!$A$1:$D$125,3,0)</f>
        <v>229936</v>
      </c>
      <c r="W149" s="12">
        <f>VLOOKUP(Tabla44[[#This Row],[ZONA DEFINITIVO]],[1]Hoja1!$A$1:$D$125,2,0)</f>
        <v>17251</v>
      </c>
      <c r="X149" s="12">
        <f>VLOOKUP(Tabla44[[#This Row],[ZONA DEFINITIVO]],[1]Hoja1!$A$1:$D$125,4,0)</f>
        <v>104025</v>
      </c>
      <c r="Y149" s="12" t="str">
        <f>+IF(Tabla44[[#This Row],[AGRUPACIONES]]=1,SUMIFS(Tabla44[UDS],Tabla44[ZONA DEFINITIVO],Tabla44[[#This Row],[ZONA DEFINITIVO]])," ")</f>
        <v xml:space="preserve"> </v>
      </c>
      <c r="Z149" s="12" t="str">
        <f>+IF(Tabla44[[#This Row],[AGRUPACIONES]]=1,SUMIFS(Tabla44[TOTAL COBERTURA],Tabla44[ZONA DEFINITIVO],Tabla44[[#This Row],[ZONA DEFINITIVO]])," ")</f>
        <v xml:space="preserve"> </v>
      </c>
      <c r="AA149" s="12"/>
      <c r="AB149" s="35">
        <v>34944015</v>
      </c>
      <c r="AC149" s="37">
        <v>0</v>
      </c>
      <c r="AD149" s="35">
        <f t="shared" si="3"/>
        <v>0</v>
      </c>
      <c r="AE149" s="12"/>
      <c r="AF149" s="12">
        <f>COUNTIF($A$20:A149,A149)</f>
        <v>13</v>
      </c>
      <c r="AG149" s="38">
        <v>34944015</v>
      </c>
      <c r="AH149" s="38">
        <f>Tabla44[[#This Row],[VALOR CONTRAPARTIDA]]+Tabla44[[#This Row],[TOTAL APORTES ICBF]]</f>
        <v>34944015</v>
      </c>
      <c r="AI149" s="35" t="str">
        <f>+IF(Tabla44[[#This Row],[AGRUPACIONES]]=1,SUMIFS(Tabla44[TOTAL APORTES ICBF],Tabla44[ZONA DEFINITIVO],Tabla44[[#This Row],[ZONA DEFINITIVO]])," ")</f>
        <v xml:space="preserve"> </v>
      </c>
      <c r="AJ149" s="38"/>
      <c r="AK149" s="38"/>
      <c r="AL149" s="35"/>
      <c r="AM149" s="35">
        <f>VLOOKUP(Tabla44[[#This Row],[SERVICIO 2025]],$J$2:$V$15,5,0)*Tabla44[[#This Row],[TOTAL COBERTURA]]</f>
        <v>1075112</v>
      </c>
      <c r="AN149" s="35">
        <f>VLOOKUP(Tabla44[[#This Row],[SERVICIO 2025]],$J$2:$V$15,6,0)*Tabla44[[#This Row],[TOTAL COBERTURA]]</f>
        <v>870343</v>
      </c>
      <c r="AO149" s="35">
        <f>VLOOKUP(Tabla44[[#This Row],[SERVICIO 2025]],$J$2:$V$15,8,0)*Tabla44[[#This Row],[TOTAL COBERTURA]]</f>
        <v>0</v>
      </c>
      <c r="AP149" s="35">
        <f>VLOOKUP(Tabla44[[#This Row],[SERVICIO 2025]],$J$2:$V$15,3,0)*Tabla44[[#This Row],[TOTAL COBERTURA]]*8</f>
        <v>32998560</v>
      </c>
      <c r="AQ149" s="35"/>
      <c r="AR149" s="35">
        <f>SUM(Tabla44[[#This Row],[VALOR FASE PREPARATORIA DE ALISTAMIENTO]:[VALOR RACION PREPARADA]])</f>
        <v>34944015</v>
      </c>
      <c r="AS149" s="35" t="str">
        <f>+IF(Tabla44[[#This Row],[AGRUPACIONES]]=1,SUMIFS(Tabla44[VALOR TOTAL],Tabla44[ZONA DEFINITIVO],Tabla44[[#This Row],[ZONA DEFINITIVO]])," ")</f>
        <v xml:space="preserve"> </v>
      </c>
      <c r="AT149" s="35">
        <f>VLOOKUP(Tabla44[[#This Row],[SERVICIO 2025]],$J$2:$V$15,10,0)*Tabla44[[#This Row],[TOTAL COBERTURA]]*$X$7</f>
        <v>34651064</v>
      </c>
      <c r="AU149" s="39">
        <f>Tabla44[[#This Row],[TOTAL CONTRATO (ICBF+EAS)]]+Tabla44[[#This Row],[VALOR COMPONENTE ALIMENTACION NO ASIGNADO]]</f>
        <v>69595079</v>
      </c>
      <c r="AV14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9531315</v>
      </c>
      <c r="AW149" s="35">
        <f>(VLOOKUP(Tabla44[[#This Row],[SERVICIO 2025]],$J$2:$V$15,3,0)*Tabla44[[#This Row],[TOTAL COBERTURA]])+VLOOKUP(Tabla44[[#This Row],[SERVICIO 2025]],$J$2:$V$15,10,0)*Tabla44[[#This Row],[TOTAL COBERTURA]]</f>
        <v>8456203</v>
      </c>
      <c r="AX149" s="35">
        <f>(VLOOKUP(Tabla44[[#This Row],[SERVICIO 2025]],$J$2:$V$15,3,0)*Tabla44[[#This Row],[TOTAL COBERTURA]])+VLOOKUP(Tabla44[[#This Row],[SERVICIO 2025]],$J$2:$V$15,10,0)*Tabla44[[#This Row],[TOTAL COBERTURA]]</f>
        <v>8456203</v>
      </c>
      <c r="AY149" s="35">
        <f>(VLOOKUP(Tabla44[[#This Row],[SERVICIO 2025]],$J$2:$V$15,3,0)*Tabla44[[#This Row],[TOTAL COBERTURA]])+VLOOKUP(Tabla44[[#This Row],[SERVICIO 2025]],$J$2:$V$15,10,0)*Tabla44[[#This Row],[TOTAL COBERTURA]]</f>
        <v>8456203</v>
      </c>
      <c r="AZ149" s="35">
        <f>(VLOOKUP(Tabla44[[#This Row],[SERVICIO 2025]],$J$2:$V$15,3,0)*Tabla44[[#This Row],[TOTAL COBERTURA]])+VLOOKUP(Tabla44[[#This Row],[SERVICIO 2025]],$J$2:$V$15,10,0)*Tabla44[[#This Row],[TOTAL COBERTURA]]</f>
        <v>8456203</v>
      </c>
      <c r="BA149" s="35">
        <f>(VLOOKUP(Tabla44[[#This Row],[SERVICIO 2025]],$J$2:$V$15,3,0)*Tabla44[[#This Row],[TOTAL COBERTURA]])+VLOOKUP(Tabla44[[#This Row],[SERVICIO 2025]],$J$2:$V$15,10,0)*Tabla44[[#This Row],[TOTAL COBERTURA]]</f>
        <v>8456203</v>
      </c>
      <c r="BB149" s="35">
        <f>(VLOOKUP(Tabla44[[#This Row],[SERVICIO 2025]],$J$2:$V$15,3,0)*Tabla44[[#This Row],[TOTAL COBERTURA]])+VLOOKUP(Tabla44[[#This Row],[SERVICIO 2025]],$J$2:$V$15,10,0)*Tabla44[[#This Row],[TOTAL COBERTURA]]</f>
        <v>8456203</v>
      </c>
      <c r="BC14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9326546</v>
      </c>
      <c r="BD149" s="35">
        <f>SUM(Tabla44[[#This Row],[DESEMBOLSO 1]:[DESEMBOLSO 8]])</f>
        <v>69595079</v>
      </c>
      <c r="BE149" s="12" t="b">
        <f>EXACT(Tabla44[[#This Row],[VALOR ATENCIÓN (8 MESES)]],Tabla44[[#This Row],[VALOR TOTAL]])</f>
        <v>1</v>
      </c>
      <c r="BF149" s="23">
        <f>Tabla44[[#This Row],[VALOR ATENCIÓN (8 MESES)]]-Tabla44[[#This Row],[VALOR TOTAL]]</f>
        <v>0</v>
      </c>
      <c r="BG149" s="12" t="b">
        <f>EXACT(Tabla44[[#This Row],[TOTAL DESEMBOLSOS]],Tabla44[[#This Row],[VALOR TOTAL DEL CONTRATO INCLUIDO EL COMPONENTE DE ALIMENTACIÓN]])</f>
        <v>1</v>
      </c>
      <c r="BH149" s="29">
        <f>Tabla44[[#This Row],[TOTAL DESEMBOLSOS]]-Tabla44[[#This Row],[VALOR TOTAL DEL CONTRATO INCLUIDO EL COMPONENTE DE ALIMENTACIÓN]]</f>
        <v>0</v>
      </c>
      <c r="BI149" t="s">
        <v>98</v>
      </c>
    </row>
    <row r="150" spans="1:61">
      <c r="A150" s="13">
        <v>1950</v>
      </c>
      <c r="B150" s="21"/>
      <c r="C150" s="22" t="s">
        <v>87</v>
      </c>
      <c r="D150" s="22" t="s">
        <v>88</v>
      </c>
      <c r="E150" s="22" t="s">
        <v>3092</v>
      </c>
      <c r="F150" s="22" t="s">
        <v>21</v>
      </c>
      <c r="G150" s="12" t="s">
        <v>90</v>
      </c>
      <c r="H150" s="22" t="s">
        <v>936</v>
      </c>
      <c r="I150" s="36">
        <v>52641136144</v>
      </c>
      <c r="J150" s="22" t="s">
        <v>3104</v>
      </c>
      <c r="K150" s="12">
        <v>1</v>
      </c>
      <c r="L150" s="22">
        <v>16</v>
      </c>
      <c r="M150" s="22"/>
      <c r="N150" s="13">
        <v>1950</v>
      </c>
      <c r="O150" s="22" t="s">
        <v>2850</v>
      </c>
      <c r="P150" s="22"/>
      <c r="Q150" s="22"/>
      <c r="R150" s="12" t="s">
        <v>94</v>
      </c>
      <c r="S150" s="12">
        <v>10</v>
      </c>
      <c r="T150" s="12">
        <v>900077807</v>
      </c>
      <c r="U150" s="12" t="s">
        <v>3082</v>
      </c>
      <c r="V150" s="22">
        <f>VLOOKUP(Tabla44[[#This Row],[ZONA DEFINITIVO]],[1]Hoja1!$A$1:$D$125,3,0)</f>
        <v>229936</v>
      </c>
      <c r="W150" s="22">
        <f>VLOOKUP(Tabla44[[#This Row],[ZONA DEFINITIVO]],[1]Hoja1!$A$1:$D$125,2,0)</f>
        <v>17251</v>
      </c>
      <c r="X150" s="22">
        <f>VLOOKUP(Tabla44[[#This Row],[ZONA DEFINITIVO]],[1]Hoja1!$A$1:$D$125,4,0)</f>
        <v>104025</v>
      </c>
      <c r="Y150" s="22" t="str">
        <f>+IF(Tabla44[[#This Row],[AGRUPACIONES]]=1,SUMIFS(Tabla44[UDS],Tabla44[ZONA DEFINITIVO],Tabla44[[#This Row],[ZONA DEFINITIVO]])," ")</f>
        <v xml:space="preserve"> </v>
      </c>
      <c r="Z150" s="22" t="str">
        <f>+IF(Tabla44[[#This Row],[AGRUPACIONES]]=1,SUMIFS(Tabla44[TOTAL COBERTURA],Tabla44[ZONA DEFINITIVO],Tabla44[[#This Row],[ZONA DEFINITIVO]])," ")</f>
        <v xml:space="preserve"> </v>
      </c>
      <c r="AA150" s="22"/>
      <c r="AB150" s="40">
        <v>24308880</v>
      </c>
      <c r="AC150" s="37">
        <v>0</v>
      </c>
      <c r="AD150" s="40">
        <f t="shared" si="3"/>
        <v>0</v>
      </c>
      <c r="AE150" s="22"/>
      <c r="AF150" s="12">
        <f>COUNTIF($A$20:A150,A150)</f>
        <v>14</v>
      </c>
      <c r="AG150" s="41">
        <v>24308880</v>
      </c>
      <c r="AH150" s="41">
        <f>Tabla44[[#This Row],[VALOR CONTRAPARTIDA]]+Tabla44[[#This Row],[TOTAL APORTES ICBF]]</f>
        <v>24308880</v>
      </c>
      <c r="AI150" s="40" t="str">
        <f>+IF(Tabla44[[#This Row],[AGRUPACIONES]]=1,SUMIFS(Tabla44[TOTAL APORTES ICBF],Tabla44[ZONA DEFINITIVO],Tabla44[[#This Row],[ZONA DEFINITIVO]])," ")</f>
        <v xml:space="preserve"> </v>
      </c>
      <c r="AJ150" s="41"/>
      <c r="AK150" s="41"/>
      <c r="AL150" s="40"/>
      <c r="AM150" s="40">
        <f>VLOOKUP(Tabla44[[#This Row],[SERVICIO 2025]],$J$2:$V$15,5,0)*Tabla44[[#This Row],[TOTAL COBERTURA]]</f>
        <v>747904</v>
      </c>
      <c r="AN150" s="40">
        <f>VLOOKUP(Tabla44[[#This Row],[SERVICIO 2025]],$J$2:$V$15,6,0)*Tabla44[[#This Row],[TOTAL COBERTURA]]</f>
        <v>605456</v>
      </c>
      <c r="AO150" s="40">
        <f>VLOOKUP(Tabla44[[#This Row],[SERVICIO 2025]],$J$2:$V$15,8,0)*Tabla44[[#This Row],[TOTAL COBERTURA]]</f>
        <v>0</v>
      </c>
      <c r="AP150" s="40">
        <f>VLOOKUP(Tabla44[[#This Row],[SERVICIO 2025]],$J$2:$V$15,3,0)*Tabla44[[#This Row],[TOTAL COBERTURA]]*8</f>
        <v>22955520</v>
      </c>
      <c r="AQ150" s="40"/>
      <c r="AR150" s="40">
        <f>SUM(Tabla44[[#This Row],[VALOR FASE PREPARATORIA DE ALISTAMIENTO]:[VALOR RACION PREPARADA]])</f>
        <v>24308880</v>
      </c>
      <c r="AS150" s="40" t="str">
        <f>+IF(Tabla44[[#This Row],[AGRUPACIONES]]=1,SUMIFS(Tabla44[VALOR TOTAL],Tabla44[ZONA DEFINITIVO],Tabla44[[#This Row],[ZONA DEFINITIVO]])," ")</f>
        <v xml:space="preserve"> </v>
      </c>
      <c r="AT150" s="35">
        <f>VLOOKUP(Tabla44[[#This Row],[SERVICIO 2025]],$J$2:$V$15,10,0)*Tabla44[[#This Row],[TOTAL COBERTURA]]*$X$7</f>
        <v>24105088</v>
      </c>
      <c r="AU150" s="42">
        <f>Tabla44[[#This Row],[TOTAL CONTRATO (ICBF+EAS)]]+Tabla44[[#This Row],[VALOR COMPONENTE ALIMENTACION NO ASIGNADO]]</f>
        <v>48413968</v>
      </c>
      <c r="AV15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6630480</v>
      </c>
      <c r="AW150" s="35">
        <f>(VLOOKUP(Tabla44[[#This Row],[SERVICIO 2025]],$J$2:$V$15,3,0)*Tabla44[[#This Row],[TOTAL COBERTURA]])+VLOOKUP(Tabla44[[#This Row],[SERVICIO 2025]],$J$2:$V$15,10,0)*Tabla44[[#This Row],[TOTAL COBERTURA]]</f>
        <v>5882576</v>
      </c>
      <c r="AX150" s="40">
        <f>(VLOOKUP(Tabla44[[#This Row],[SERVICIO 2025]],$J$2:$V$15,3,0)*Tabla44[[#This Row],[TOTAL COBERTURA]])+VLOOKUP(Tabla44[[#This Row],[SERVICIO 2025]],$J$2:$V$15,10,0)*Tabla44[[#This Row],[TOTAL COBERTURA]]</f>
        <v>5882576</v>
      </c>
      <c r="AY150" s="40">
        <f>(VLOOKUP(Tabla44[[#This Row],[SERVICIO 2025]],$J$2:$V$15,3,0)*Tabla44[[#This Row],[TOTAL COBERTURA]])+VLOOKUP(Tabla44[[#This Row],[SERVICIO 2025]],$J$2:$V$15,10,0)*Tabla44[[#This Row],[TOTAL COBERTURA]]</f>
        <v>5882576</v>
      </c>
      <c r="AZ150" s="40">
        <f>(VLOOKUP(Tabla44[[#This Row],[SERVICIO 2025]],$J$2:$V$15,3,0)*Tabla44[[#This Row],[TOTAL COBERTURA]])+VLOOKUP(Tabla44[[#This Row],[SERVICIO 2025]],$J$2:$V$15,10,0)*Tabla44[[#This Row],[TOTAL COBERTURA]]</f>
        <v>5882576</v>
      </c>
      <c r="BA150" s="40">
        <f>(VLOOKUP(Tabla44[[#This Row],[SERVICIO 2025]],$J$2:$V$15,3,0)*Tabla44[[#This Row],[TOTAL COBERTURA]])+VLOOKUP(Tabla44[[#This Row],[SERVICIO 2025]],$J$2:$V$15,10,0)*Tabla44[[#This Row],[TOTAL COBERTURA]]</f>
        <v>5882576</v>
      </c>
      <c r="BB150" s="40">
        <f>(VLOOKUP(Tabla44[[#This Row],[SERVICIO 2025]],$J$2:$V$15,3,0)*Tabla44[[#This Row],[TOTAL COBERTURA]])+VLOOKUP(Tabla44[[#This Row],[SERVICIO 2025]],$J$2:$V$15,10,0)*Tabla44[[#This Row],[TOTAL COBERTURA]]</f>
        <v>5882576</v>
      </c>
      <c r="BC150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6488032</v>
      </c>
      <c r="BD150" s="40">
        <f>SUM(Tabla44[[#This Row],[DESEMBOLSO 1]:[DESEMBOLSO 8]])</f>
        <v>48413968</v>
      </c>
      <c r="BE150" s="22" t="b">
        <f>EXACT(Tabla44[[#This Row],[VALOR ATENCIÓN (8 MESES)]],Tabla44[[#This Row],[VALOR TOTAL]])</f>
        <v>1</v>
      </c>
      <c r="BF150" s="28">
        <f>Tabla44[[#This Row],[VALOR ATENCIÓN (8 MESES)]]-Tabla44[[#This Row],[VALOR TOTAL]]</f>
        <v>0</v>
      </c>
      <c r="BG150" s="22" t="b">
        <f>EXACT(Tabla44[[#This Row],[TOTAL DESEMBOLSOS]],Tabla44[[#This Row],[VALOR TOTAL DEL CONTRATO INCLUIDO EL COMPONENTE DE ALIMENTACIÓN]])</f>
        <v>1</v>
      </c>
      <c r="BH150" s="29">
        <f>Tabla44[[#This Row],[TOTAL DESEMBOLSOS]]-Tabla44[[#This Row],[VALOR TOTAL DEL CONTRATO INCLUIDO EL COMPONENTE DE ALIMENTACIÓN]]</f>
        <v>0</v>
      </c>
      <c r="BI150" t="s">
        <v>98</v>
      </c>
    </row>
    <row r="151" spans="1:61">
      <c r="A151" s="13">
        <v>1950</v>
      </c>
      <c r="B151" s="13"/>
      <c r="C151" s="12" t="s">
        <v>87</v>
      </c>
      <c r="D151" s="12" t="s">
        <v>88</v>
      </c>
      <c r="E151" s="12" t="s">
        <v>3092</v>
      </c>
      <c r="F151" s="12" t="s">
        <v>21</v>
      </c>
      <c r="G151" s="12" t="s">
        <v>90</v>
      </c>
      <c r="H151" s="12" t="s">
        <v>3105</v>
      </c>
      <c r="I151" s="36">
        <v>52641151137</v>
      </c>
      <c r="J151" s="12" t="s">
        <v>3106</v>
      </c>
      <c r="K151" s="12">
        <v>1</v>
      </c>
      <c r="L151" s="12">
        <v>14</v>
      </c>
      <c r="M151" s="12"/>
      <c r="N151" s="13">
        <v>1950</v>
      </c>
      <c r="O151" s="12" t="s">
        <v>2850</v>
      </c>
      <c r="P151" s="12"/>
      <c r="Q151" s="12"/>
      <c r="R151" s="12" t="s">
        <v>94</v>
      </c>
      <c r="S151" s="12">
        <v>10</v>
      </c>
      <c r="T151" s="12">
        <v>900077807</v>
      </c>
      <c r="U151" s="12" t="s">
        <v>3082</v>
      </c>
      <c r="V151" s="12">
        <f>VLOOKUP(Tabla44[[#This Row],[ZONA DEFINITIVO]],[1]Hoja1!$A$1:$D$125,3,0)</f>
        <v>229936</v>
      </c>
      <c r="W151" s="12">
        <f>VLOOKUP(Tabla44[[#This Row],[ZONA DEFINITIVO]],[1]Hoja1!$A$1:$D$125,2,0)</f>
        <v>17251</v>
      </c>
      <c r="X151" s="12">
        <f>VLOOKUP(Tabla44[[#This Row],[ZONA DEFINITIVO]],[1]Hoja1!$A$1:$D$125,4,0)</f>
        <v>104025</v>
      </c>
      <c r="Y151" s="12" t="str">
        <f>+IF(Tabla44[[#This Row],[AGRUPACIONES]]=1,SUMIFS(Tabla44[UDS],Tabla44[ZONA DEFINITIVO],Tabla44[[#This Row],[ZONA DEFINITIVO]])," ")</f>
        <v xml:space="preserve"> </v>
      </c>
      <c r="Z151" s="12" t="str">
        <f>+IF(Tabla44[[#This Row],[AGRUPACIONES]]=1,SUMIFS(Tabla44[TOTAL COBERTURA],Tabla44[ZONA DEFINITIVO],Tabla44[[#This Row],[ZONA DEFINITIVO]])," ")</f>
        <v xml:space="preserve"> </v>
      </c>
      <c r="AA151" s="12"/>
      <c r="AB151" s="35">
        <v>21270270</v>
      </c>
      <c r="AC151" s="37">
        <v>0</v>
      </c>
      <c r="AD151" s="35">
        <f t="shared" si="3"/>
        <v>0</v>
      </c>
      <c r="AE151" s="12"/>
      <c r="AF151" s="12">
        <f>COUNTIF($A$20:A151,A151)</f>
        <v>15</v>
      </c>
      <c r="AG151" s="38">
        <v>21270270</v>
      </c>
      <c r="AH151" s="38">
        <f>Tabla44[[#This Row],[VALOR CONTRAPARTIDA]]+Tabla44[[#This Row],[TOTAL APORTES ICBF]]</f>
        <v>21270270</v>
      </c>
      <c r="AI151" s="35" t="str">
        <f>+IF(Tabla44[[#This Row],[AGRUPACIONES]]=1,SUMIFS(Tabla44[TOTAL APORTES ICBF],Tabla44[ZONA DEFINITIVO],Tabla44[[#This Row],[ZONA DEFINITIVO]])," ")</f>
        <v xml:space="preserve"> </v>
      </c>
      <c r="AJ151" s="38"/>
      <c r="AK151" s="38"/>
      <c r="AL151" s="35"/>
      <c r="AM151" s="35">
        <f>VLOOKUP(Tabla44[[#This Row],[SERVICIO 2025]],$J$2:$V$15,5,0)*Tabla44[[#This Row],[TOTAL COBERTURA]]</f>
        <v>654416</v>
      </c>
      <c r="AN151" s="35">
        <f>VLOOKUP(Tabla44[[#This Row],[SERVICIO 2025]],$J$2:$V$15,6,0)*Tabla44[[#This Row],[TOTAL COBERTURA]]</f>
        <v>529774</v>
      </c>
      <c r="AO151" s="35">
        <f>VLOOKUP(Tabla44[[#This Row],[SERVICIO 2025]],$J$2:$V$15,8,0)*Tabla44[[#This Row],[TOTAL COBERTURA]]</f>
        <v>0</v>
      </c>
      <c r="AP151" s="35">
        <f>VLOOKUP(Tabla44[[#This Row],[SERVICIO 2025]],$J$2:$V$15,3,0)*Tabla44[[#This Row],[TOTAL COBERTURA]]*8</f>
        <v>20086080</v>
      </c>
      <c r="AQ151" s="35"/>
      <c r="AR151" s="35">
        <f>SUM(Tabla44[[#This Row],[VALOR FASE PREPARATORIA DE ALISTAMIENTO]:[VALOR RACION PREPARADA]])</f>
        <v>21270270</v>
      </c>
      <c r="AS151" s="35" t="str">
        <f>+IF(Tabla44[[#This Row],[AGRUPACIONES]]=1,SUMIFS(Tabla44[VALOR TOTAL],Tabla44[ZONA DEFINITIVO],Tabla44[[#This Row],[ZONA DEFINITIVO]])," ")</f>
        <v xml:space="preserve"> </v>
      </c>
      <c r="AT151" s="35">
        <f>VLOOKUP(Tabla44[[#This Row],[SERVICIO 2025]],$J$2:$V$15,10,0)*Tabla44[[#This Row],[TOTAL COBERTURA]]*$X$7</f>
        <v>21091952</v>
      </c>
      <c r="AU151" s="39">
        <f>Tabla44[[#This Row],[TOTAL CONTRATO (ICBF+EAS)]]+Tabla44[[#This Row],[VALOR COMPONENTE ALIMENTACION NO ASIGNADO]]</f>
        <v>42362222</v>
      </c>
      <c r="AV15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5801670</v>
      </c>
      <c r="AW151" s="35">
        <f>(VLOOKUP(Tabla44[[#This Row],[SERVICIO 2025]],$J$2:$V$15,3,0)*Tabla44[[#This Row],[TOTAL COBERTURA]])+VLOOKUP(Tabla44[[#This Row],[SERVICIO 2025]],$J$2:$V$15,10,0)*Tabla44[[#This Row],[TOTAL COBERTURA]]</f>
        <v>5147254</v>
      </c>
      <c r="AX151" s="35">
        <f>(VLOOKUP(Tabla44[[#This Row],[SERVICIO 2025]],$J$2:$V$15,3,0)*Tabla44[[#This Row],[TOTAL COBERTURA]])+VLOOKUP(Tabla44[[#This Row],[SERVICIO 2025]],$J$2:$V$15,10,0)*Tabla44[[#This Row],[TOTAL COBERTURA]]</f>
        <v>5147254</v>
      </c>
      <c r="AY151" s="35">
        <f>(VLOOKUP(Tabla44[[#This Row],[SERVICIO 2025]],$J$2:$V$15,3,0)*Tabla44[[#This Row],[TOTAL COBERTURA]])+VLOOKUP(Tabla44[[#This Row],[SERVICIO 2025]],$J$2:$V$15,10,0)*Tabla44[[#This Row],[TOTAL COBERTURA]]</f>
        <v>5147254</v>
      </c>
      <c r="AZ151" s="35">
        <f>(VLOOKUP(Tabla44[[#This Row],[SERVICIO 2025]],$J$2:$V$15,3,0)*Tabla44[[#This Row],[TOTAL COBERTURA]])+VLOOKUP(Tabla44[[#This Row],[SERVICIO 2025]],$J$2:$V$15,10,0)*Tabla44[[#This Row],[TOTAL COBERTURA]]</f>
        <v>5147254</v>
      </c>
      <c r="BA151" s="35">
        <f>(VLOOKUP(Tabla44[[#This Row],[SERVICIO 2025]],$J$2:$V$15,3,0)*Tabla44[[#This Row],[TOTAL COBERTURA]])+VLOOKUP(Tabla44[[#This Row],[SERVICIO 2025]],$J$2:$V$15,10,0)*Tabla44[[#This Row],[TOTAL COBERTURA]]</f>
        <v>5147254</v>
      </c>
      <c r="BB151" s="35">
        <f>(VLOOKUP(Tabla44[[#This Row],[SERVICIO 2025]],$J$2:$V$15,3,0)*Tabla44[[#This Row],[TOTAL COBERTURA]])+VLOOKUP(Tabla44[[#This Row],[SERVICIO 2025]],$J$2:$V$15,10,0)*Tabla44[[#This Row],[TOTAL COBERTURA]]</f>
        <v>5147254</v>
      </c>
      <c r="BC15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5677028</v>
      </c>
      <c r="BD151" s="35">
        <f>SUM(Tabla44[[#This Row],[DESEMBOLSO 1]:[DESEMBOLSO 8]])</f>
        <v>42362222</v>
      </c>
      <c r="BE151" s="12" t="b">
        <f>EXACT(Tabla44[[#This Row],[VALOR ATENCIÓN (8 MESES)]],Tabla44[[#This Row],[VALOR TOTAL]])</f>
        <v>1</v>
      </c>
      <c r="BF151" s="23">
        <f>Tabla44[[#This Row],[VALOR ATENCIÓN (8 MESES)]]-Tabla44[[#This Row],[VALOR TOTAL]]</f>
        <v>0</v>
      </c>
      <c r="BG151" s="12" t="b">
        <f>EXACT(Tabla44[[#This Row],[TOTAL DESEMBOLSOS]],Tabla44[[#This Row],[VALOR TOTAL DEL CONTRATO INCLUIDO EL COMPONENTE DE ALIMENTACIÓN]])</f>
        <v>1</v>
      </c>
      <c r="BH151" s="29">
        <f>Tabla44[[#This Row],[TOTAL DESEMBOLSOS]]-Tabla44[[#This Row],[VALOR TOTAL DEL CONTRATO INCLUIDO EL COMPONENTE DE ALIMENTACIÓN]]</f>
        <v>0</v>
      </c>
      <c r="BI151" t="s">
        <v>98</v>
      </c>
    </row>
    <row r="152" spans="1:61">
      <c r="A152" s="13">
        <v>1950</v>
      </c>
      <c r="B152" s="13"/>
      <c r="C152" s="12" t="s">
        <v>87</v>
      </c>
      <c r="D152" s="12" t="s">
        <v>88</v>
      </c>
      <c r="E152" s="12" t="s">
        <v>3092</v>
      </c>
      <c r="F152" s="12" t="s">
        <v>15</v>
      </c>
      <c r="G152" s="12" t="s">
        <v>90</v>
      </c>
      <c r="H152" s="12" t="s">
        <v>3107</v>
      </c>
      <c r="I152" s="36">
        <v>526400023914</v>
      </c>
      <c r="J152" s="12" t="s">
        <v>3108</v>
      </c>
      <c r="K152" s="12">
        <v>1</v>
      </c>
      <c r="L152" s="12">
        <v>104</v>
      </c>
      <c r="M152" s="12"/>
      <c r="N152" s="13">
        <v>1950</v>
      </c>
      <c r="O152" s="12" t="s">
        <v>2850</v>
      </c>
      <c r="P152" s="12"/>
      <c r="Q152" s="12"/>
      <c r="R152" s="12" t="s">
        <v>94</v>
      </c>
      <c r="S152" s="12">
        <v>10</v>
      </c>
      <c r="T152" s="12">
        <v>900077807</v>
      </c>
      <c r="U152" s="12" t="s">
        <v>3082</v>
      </c>
      <c r="V152" s="12">
        <f>VLOOKUP(Tabla44[[#This Row],[ZONA DEFINITIVO]],[1]Hoja1!$A$1:$D$125,3,0)</f>
        <v>229936</v>
      </c>
      <c r="W152" s="12">
        <f>VLOOKUP(Tabla44[[#This Row],[ZONA DEFINITIVO]],[1]Hoja1!$A$1:$D$125,2,0)</f>
        <v>17251</v>
      </c>
      <c r="X152" s="12">
        <f>VLOOKUP(Tabla44[[#This Row],[ZONA DEFINITIVO]],[1]Hoja1!$A$1:$D$125,4,0)</f>
        <v>104025</v>
      </c>
      <c r="Y152" s="12" t="str">
        <f>+IF(Tabla44[[#This Row],[AGRUPACIONES]]=1,SUMIFS(Tabla44[UDS],Tabla44[ZONA DEFINITIVO],Tabla44[[#This Row],[ZONA DEFINITIVO]])," ")</f>
        <v xml:space="preserve"> </v>
      </c>
      <c r="Z152" s="12" t="str">
        <f>+IF(Tabla44[[#This Row],[AGRUPACIONES]]=1,SUMIFS(Tabla44[TOTAL COBERTURA],Tabla44[ZONA DEFINITIVO],Tabla44[[#This Row],[ZONA DEFINITIVO]])," ")</f>
        <v xml:space="preserve"> </v>
      </c>
      <c r="AA152" s="12"/>
      <c r="AB152" s="35">
        <v>450257808</v>
      </c>
      <c r="AC152" s="37">
        <v>0</v>
      </c>
      <c r="AD152" s="35">
        <f t="shared" si="3"/>
        <v>0</v>
      </c>
      <c r="AE152" s="12"/>
      <c r="AF152" s="12">
        <f>COUNTIF($A$20:A152,A152)</f>
        <v>16</v>
      </c>
      <c r="AG152" s="38">
        <v>450257808</v>
      </c>
      <c r="AH152" s="38">
        <f>Tabla44[[#This Row],[VALOR CONTRAPARTIDA]]+Tabla44[[#This Row],[TOTAL APORTES ICBF]]</f>
        <v>450257808</v>
      </c>
      <c r="AI152" s="35" t="str">
        <f>+IF(Tabla44[[#This Row],[AGRUPACIONES]]=1,SUMIFS(Tabla44[TOTAL APORTES ICBF],Tabla44[ZONA DEFINITIVO],Tabla44[[#This Row],[ZONA DEFINITIVO]])," ")</f>
        <v xml:space="preserve"> </v>
      </c>
      <c r="AJ152" s="38"/>
      <c r="AK152" s="38"/>
      <c r="AL152" s="35"/>
      <c r="AM152" s="35">
        <f>VLOOKUP(Tabla44[[#This Row],[SERVICIO 2025]],$J$2:$V$15,5,0)*Tabla44[[#This Row],[TOTAL COBERTURA]]</f>
        <v>9166872</v>
      </c>
      <c r="AN152" s="35">
        <f>VLOOKUP(Tabla44[[#This Row],[SERVICIO 2025]],$J$2:$V$15,6,0)*Tabla44[[#This Row],[TOTAL COBERTURA]]</f>
        <v>7804472</v>
      </c>
      <c r="AO152" s="35">
        <f>VLOOKUP(Tabla44[[#This Row],[SERVICIO 2025]],$J$2:$V$15,8,0)*Tabla44[[#This Row],[TOTAL COBERTURA]]</f>
        <v>0</v>
      </c>
      <c r="AP152" s="35">
        <f>VLOOKUP(Tabla44[[#This Row],[SERVICIO 2025]],$J$2:$V$15,3,0)*Tabla44[[#This Row],[TOTAL COBERTURA]]*8</f>
        <v>433286464</v>
      </c>
      <c r="AQ152" s="35"/>
      <c r="AR152" s="35">
        <f>SUM(Tabla44[[#This Row],[VALOR FASE PREPARATORIA DE ALISTAMIENTO]:[VALOR RACION PREPARADA]])</f>
        <v>450257808</v>
      </c>
      <c r="AS152" s="35" t="str">
        <f>+IF(Tabla44[[#This Row],[AGRUPACIONES]]=1,SUMIFS(Tabla44[VALOR TOTAL],Tabla44[ZONA DEFINITIVO],Tabla44[[#This Row],[ZONA DEFINITIVO]])," ")</f>
        <v xml:space="preserve"> </v>
      </c>
      <c r="AT152" s="35">
        <f>VLOOKUP(Tabla44[[#This Row],[SERVICIO 2025]],$J$2:$V$15,10,0)*Tabla44[[#This Row],[TOTAL COBERTURA]]*$X$7</f>
        <v>0</v>
      </c>
      <c r="AU152" s="39">
        <f>Tabla44[[#This Row],[TOTAL CONTRATO (ICBF+EAS)]]+Tabla44[[#This Row],[VALOR COMPONENTE ALIMENTACION NO ASIGNADO]]</f>
        <v>450257808</v>
      </c>
      <c r="AV15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63327680</v>
      </c>
      <c r="AW152" s="35">
        <f>(VLOOKUP(Tabla44[[#This Row],[SERVICIO 2025]],$J$2:$V$15,3,0)*Tabla44[[#This Row],[TOTAL COBERTURA]])+VLOOKUP(Tabla44[[#This Row],[SERVICIO 2025]],$J$2:$V$15,10,0)*Tabla44[[#This Row],[TOTAL COBERTURA]]</f>
        <v>54160808</v>
      </c>
      <c r="AX152" s="35">
        <f>(VLOOKUP(Tabla44[[#This Row],[SERVICIO 2025]],$J$2:$V$15,3,0)*Tabla44[[#This Row],[TOTAL COBERTURA]])+VLOOKUP(Tabla44[[#This Row],[SERVICIO 2025]],$J$2:$V$15,10,0)*Tabla44[[#This Row],[TOTAL COBERTURA]]</f>
        <v>54160808</v>
      </c>
      <c r="AY152" s="35">
        <f>(VLOOKUP(Tabla44[[#This Row],[SERVICIO 2025]],$J$2:$V$15,3,0)*Tabla44[[#This Row],[TOTAL COBERTURA]])+VLOOKUP(Tabla44[[#This Row],[SERVICIO 2025]],$J$2:$V$15,10,0)*Tabla44[[#This Row],[TOTAL COBERTURA]]</f>
        <v>54160808</v>
      </c>
      <c r="AZ152" s="35">
        <f>(VLOOKUP(Tabla44[[#This Row],[SERVICIO 2025]],$J$2:$V$15,3,0)*Tabla44[[#This Row],[TOTAL COBERTURA]])+VLOOKUP(Tabla44[[#This Row],[SERVICIO 2025]],$J$2:$V$15,10,0)*Tabla44[[#This Row],[TOTAL COBERTURA]]</f>
        <v>54160808</v>
      </c>
      <c r="BA152" s="35">
        <f>(VLOOKUP(Tabla44[[#This Row],[SERVICIO 2025]],$J$2:$V$15,3,0)*Tabla44[[#This Row],[TOTAL COBERTURA]])+VLOOKUP(Tabla44[[#This Row],[SERVICIO 2025]],$J$2:$V$15,10,0)*Tabla44[[#This Row],[TOTAL COBERTURA]]</f>
        <v>54160808</v>
      </c>
      <c r="BB152" s="35">
        <f>(VLOOKUP(Tabla44[[#This Row],[SERVICIO 2025]],$J$2:$V$15,3,0)*Tabla44[[#This Row],[TOTAL COBERTURA]])+VLOOKUP(Tabla44[[#This Row],[SERVICIO 2025]],$J$2:$V$15,10,0)*Tabla44[[#This Row],[TOTAL COBERTURA]]</f>
        <v>54160808</v>
      </c>
      <c r="BC15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61965280</v>
      </c>
      <c r="BD152" s="35">
        <f>SUM(Tabla44[[#This Row],[DESEMBOLSO 1]:[DESEMBOLSO 8]])</f>
        <v>450257808</v>
      </c>
      <c r="BE152" s="12" t="b">
        <f>EXACT(Tabla44[[#This Row],[VALOR ATENCIÓN (8 MESES)]],Tabla44[[#This Row],[VALOR TOTAL]])</f>
        <v>1</v>
      </c>
      <c r="BF152" s="23">
        <f>Tabla44[[#This Row],[VALOR ATENCIÓN (8 MESES)]]-Tabla44[[#This Row],[VALOR TOTAL]]</f>
        <v>0</v>
      </c>
      <c r="BG152" s="12" t="b">
        <f>EXACT(Tabla44[[#This Row],[TOTAL DESEMBOLSOS]],Tabla44[[#This Row],[VALOR TOTAL DEL CONTRATO INCLUIDO EL COMPONENTE DE ALIMENTACIÓN]])</f>
        <v>1</v>
      </c>
      <c r="BH152" s="29">
        <f>Tabla44[[#This Row],[TOTAL DESEMBOLSOS]]-Tabla44[[#This Row],[VALOR TOTAL DEL CONTRATO INCLUIDO EL COMPONENTE DE ALIMENTACIÓN]]</f>
        <v>0</v>
      </c>
      <c r="BI152" t="s">
        <v>98</v>
      </c>
    </row>
    <row r="153" spans="1:61">
      <c r="A153" s="13">
        <v>1963</v>
      </c>
      <c r="B153" s="13"/>
      <c r="C153" s="12" t="s">
        <v>87</v>
      </c>
      <c r="D153" s="12" t="s">
        <v>651</v>
      </c>
      <c r="E153" s="12" t="s">
        <v>3109</v>
      </c>
      <c r="F153" s="12" t="s">
        <v>18</v>
      </c>
      <c r="G153" s="12" t="s">
        <v>90</v>
      </c>
      <c r="H153" s="12" t="s">
        <v>3110</v>
      </c>
      <c r="I153" s="36">
        <v>50361114858</v>
      </c>
      <c r="J153" s="12" t="s">
        <v>3111</v>
      </c>
      <c r="K153" s="12">
        <v>1</v>
      </c>
      <c r="L153" s="12">
        <v>45</v>
      </c>
      <c r="M153" s="12"/>
      <c r="N153" s="13">
        <v>1963</v>
      </c>
      <c r="O153" s="12" t="s">
        <v>2850</v>
      </c>
      <c r="P153" s="12"/>
      <c r="Q153" s="12"/>
      <c r="R153" s="12" t="s">
        <v>94</v>
      </c>
      <c r="S153" s="12">
        <v>10</v>
      </c>
      <c r="T153" s="12">
        <v>811008215</v>
      </c>
      <c r="U153" s="12" t="s">
        <v>3112</v>
      </c>
      <c r="V153" s="12">
        <f>VLOOKUP(Tabla44[[#This Row],[ZONA DEFINITIVO]],[1]Hoja1!$A$1:$D$125,3,0)</f>
        <v>229937</v>
      </c>
      <c r="W153" s="12">
        <f>VLOOKUP(Tabla44[[#This Row],[ZONA DEFINITIVO]],[1]Hoja1!$A$1:$D$125,2,0)</f>
        <v>17256</v>
      </c>
      <c r="X153" s="12">
        <f>VLOOKUP(Tabla44[[#This Row],[ZONA DEFINITIVO]],[1]Hoja1!$A$1:$D$125,4,0)</f>
        <v>104525</v>
      </c>
      <c r="Y153" s="12">
        <f>+IF(Tabla44[[#This Row],[AGRUPACIONES]]=1,SUMIFS(Tabla44[UDS],Tabla44[ZONA DEFINITIVO],Tabla44[[#This Row],[ZONA DEFINITIVO]])," ")</f>
        <v>35</v>
      </c>
      <c r="Z153" s="12">
        <f>+IF(Tabla44[[#This Row],[AGRUPACIONES]]=1,SUMIFS(Tabla44[TOTAL COBERTURA],Tabla44[ZONA DEFINITIVO],Tabla44[[#This Row],[ZONA DEFINITIVO]])," ")</f>
        <v>1178</v>
      </c>
      <c r="AA153" s="12"/>
      <c r="AB153" s="35">
        <v>98108685</v>
      </c>
      <c r="AC153" s="37">
        <v>0</v>
      </c>
      <c r="AD153" s="35">
        <f t="shared" si="3"/>
        <v>0</v>
      </c>
      <c r="AE153" s="12"/>
      <c r="AF153" s="12">
        <f>COUNTIF($A$20:A153,A153)</f>
        <v>1</v>
      </c>
      <c r="AG153" s="38">
        <v>98108685</v>
      </c>
      <c r="AH153" s="38">
        <f>Tabla44[[#This Row],[VALOR CONTRAPARTIDA]]+Tabla44[[#This Row],[TOTAL APORTES ICBF]]</f>
        <v>98108685</v>
      </c>
      <c r="AI153" s="35">
        <f>+IF(Tabla44[[#This Row],[AGRUPACIONES]]=1,SUMIFS(Tabla44[TOTAL APORTES ICBF],Tabla44[ZONA DEFINITIVO],Tabla44[[#This Row],[ZONA DEFINITIVO]])," ")</f>
        <v>2870311244</v>
      </c>
      <c r="AJ153" s="38">
        <f>ROUND(+IF(Tabla44[[#This Row],[AGRUPACIONES]]=1,SUMIFS(Tabla44[VALOR CONTRAPARTIDA],Tabla44[ZONA DEFINITIVO],Tabla44[[#This Row],[ZONA DEFINITIVO]])," "),0)</f>
        <v>0</v>
      </c>
      <c r="AK153" s="38">
        <f>Tabla44[[#This Row],[TOTAL APORTES ICBF AGRUPADO]]+Tabla44[[#This Row],[TOTAL CONTRAPARTIDA AGRUPADO]]</f>
        <v>2870311244</v>
      </c>
      <c r="AL153" s="35">
        <f>Tabla44[[#This Row],[TOTAL APORTES ICBF AGRUPADO]]/$AL$18</f>
        <v>2016.3760056199508</v>
      </c>
      <c r="AM153" s="35">
        <f>VLOOKUP(Tabla44[[#This Row],[SERVICIO 2025]],$J$2:$V$15,5,0)*Tabla44[[#This Row],[TOTAL COBERTURA]]</f>
        <v>2221920</v>
      </c>
      <c r="AN153" s="35">
        <f>VLOOKUP(Tabla44[[#This Row],[SERVICIO 2025]],$J$2:$V$15,6,0)*Tabla44[[#This Row],[TOTAL COBERTURA]]</f>
        <v>1846305</v>
      </c>
      <c r="AO153" s="35">
        <f>VLOOKUP(Tabla44[[#This Row],[SERVICIO 2025]],$J$2:$V$15,8,0)*Tabla44[[#This Row],[TOTAL COBERTURA]]</f>
        <v>1309500</v>
      </c>
      <c r="AP153" s="35">
        <f>VLOOKUP(Tabla44[[#This Row],[SERVICIO 2025]],$J$2:$V$15,3,0)*Tabla44[[#This Row],[TOTAL COBERTURA]]*8</f>
        <v>92730960</v>
      </c>
      <c r="AQ153" s="35"/>
      <c r="AR153" s="35">
        <f>SUM(Tabla44[[#This Row],[VALOR FASE PREPARATORIA DE ALISTAMIENTO]:[VALOR RACION PREPARADA]])</f>
        <v>98108685</v>
      </c>
      <c r="AS153" s="35">
        <f>+IF(Tabla44[[#This Row],[AGRUPACIONES]]=1,SUMIFS(Tabla44[VALOR TOTAL],Tabla44[ZONA DEFINITIVO],Tabla44[[#This Row],[ZONA DEFINITIVO]])," ")</f>
        <v>2870311244</v>
      </c>
      <c r="AT153" s="35">
        <f>VLOOKUP(Tabla44[[#This Row],[SERVICIO 2025]],$J$2:$V$15,10,0)*Tabla44[[#This Row],[TOTAL COBERTURA]]*$X$7</f>
        <v>64937880</v>
      </c>
      <c r="AU153" s="39">
        <f>Tabla44[[#This Row],[TOTAL CONTRATO (ICBF+EAS)]]+Tabla44[[#This Row],[VALOR COMPONENTE ALIMENTACION NO ASIGNADO]]</f>
        <v>163046565</v>
      </c>
      <c r="AV15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23240025</v>
      </c>
      <c r="AW153" s="35">
        <f>(VLOOKUP(Tabla44[[#This Row],[SERVICIO 2025]],$J$2:$V$15,3,0)*Tabla44[[#This Row],[TOTAL COBERTURA]])+VLOOKUP(Tabla44[[#This Row],[SERVICIO 2025]],$J$2:$V$15,10,0)*Tabla44[[#This Row],[TOTAL COBERTURA]]</f>
        <v>19708605</v>
      </c>
      <c r="AX153" s="35">
        <f>(VLOOKUP(Tabla44[[#This Row],[SERVICIO 2025]],$J$2:$V$15,3,0)*Tabla44[[#This Row],[TOTAL COBERTURA]])+VLOOKUP(Tabla44[[#This Row],[SERVICIO 2025]],$J$2:$V$15,10,0)*Tabla44[[#This Row],[TOTAL COBERTURA]]</f>
        <v>19708605</v>
      </c>
      <c r="AY153" s="35">
        <f>(VLOOKUP(Tabla44[[#This Row],[SERVICIO 2025]],$J$2:$V$15,3,0)*Tabla44[[#This Row],[TOTAL COBERTURA]])+VLOOKUP(Tabla44[[#This Row],[SERVICIO 2025]],$J$2:$V$15,10,0)*Tabla44[[#This Row],[TOTAL COBERTURA]]</f>
        <v>19708605</v>
      </c>
      <c r="AZ153" s="35">
        <f>(VLOOKUP(Tabla44[[#This Row],[SERVICIO 2025]],$J$2:$V$15,3,0)*Tabla44[[#This Row],[TOTAL COBERTURA]])+VLOOKUP(Tabla44[[#This Row],[SERVICIO 2025]],$J$2:$V$15,10,0)*Tabla44[[#This Row],[TOTAL COBERTURA]]</f>
        <v>19708605</v>
      </c>
      <c r="BA153" s="35">
        <f>(VLOOKUP(Tabla44[[#This Row],[SERVICIO 2025]],$J$2:$V$15,3,0)*Tabla44[[#This Row],[TOTAL COBERTURA]])+VLOOKUP(Tabla44[[#This Row],[SERVICIO 2025]],$J$2:$V$15,10,0)*Tabla44[[#This Row],[TOTAL COBERTURA]]</f>
        <v>19708605</v>
      </c>
      <c r="BB153" s="35">
        <f>(VLOOKUP(Tabla44[[#This Row],[SERVICIO 2025]],$J$2:$V$15,3,0)*Tabla44[[#This Row],[TOTAL COBERTURA]])+VLOOKUP(Tabla44[[#This Row],[SERVICIO 2025]],$J$2:$V$15,10,0)*Tabla44[[#This Row],[TOTAL COBERTURA]]</f>
        <v>19708605</v>
      </c>
      <c r="BC15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21554910</v>
      </c>
      <c r="BD153" s="35">
        <f>SUM(Tabla44[[#This Row],[DESEMBOLSO 1]:[DESEMBOLSO 8]])</f>
        <v>163046565</v>
      </c>
      <c r="BE153" s="12" t="b">
        <f>EXACT(Tabla44[[#This Row],[VALOR ATENCIÓN (8 MESES)]],Tabla44[[#This Row],[VALOR TOTAL]])</f>
        <v>1</v>
      </c>
      <c r="BF153" s="23">
        <f>Tabla44[[#This Row],[VALOR ATENCIÓN (8 MESES)]]-Tabla44[[#This Row],[VALOR TOTAL]]</f>
        <v>0</v>
      </c>
      <c r="BG153" s="12" t="b">
        <f>EXACT(Tabla44[[#This Row],[TOTAL DESEMBOLSOS]],Tabla44[[#This Row],[VALOR TOTAL DEL CONTRATO INCLUIDO EL COMPONENTE DE ALIMENTACIÓN]])</f>
        <v>1</v>
      </c>
      <c r="BH153" s="29">
        <f>Tabla44[[#This Row],[TOTAL DESEMBOLSOS]]-Tabla44[[#This Row],[VALOR TOTAL DEL CONTRATO INCLUIDO EL COMPONENTE DE ALIMENTACIÓN]]</f>
        <v>0</v>
      </c>
      <c r="BI153" t="s">
        <v>98</v>
      </c>
    </row>
    <row r="154" spans="1:61">
      <c r="A154" s="13">
        <v>1963</v>
      </c>
      <c r="B154" s="13"/>
      <c r="C154" s="12" t="s">
        <v>87</v>
      </c>
      <c r="D154" s="12" t="s">
        <v>651</v>
      </c>
      <c r="E154" s="12" t="s">
        <v>3109</v>
      </c>
      <c r="F154" s="12" t="s">
        <v>18</v>
      </c>
      <c r="G154" s="12" t="s">
        <v>90</v>
      </c>
      <c r="H154" s="12" t="s">
        <v>2756</v>
      </c>
      <c r="I154" s="36">
        <v>50361114861</v>
      </c>
      <c r="J154" s="12" t="s">
        <v>3113</v>
      </c>
      <c r="K154" s="12">
        <v>1</v>
      </c>
      <c r="L154" s="12">
        <v>21</v>
      </c>
      <c r="M154" s="12"/>
      <c r="N154" s="13">
        <v>1963</v>
      </c>
      <c r="O154" s="12" t="s">
        <v>2850</v>
      </c>
      <c r="P154" s="12"/>
      <c r="Q154" s="12"/>
      <c r="R154" s="12" t="s">
        <v>94</v>
      </c>
      <c r="S154" s="12">
        <v>10</v>
      </c>
      <c r="T154" s="12">
        <v>811008215</v>
      </c>
      <c r="U154" s="12" t="s">
        <v>3112</v>
      </c>
      <c r="V154" s="12">
        <f>VLOOKUP(Tabla44[[#This Row],[ZONA DEFINITIVO]],[1]Hoja1!$A$1:$D$125,3,0)</f>
        <v>229937</v>
      </c>
      <c r="W154" s="12">
        <f>VLOOKUP(Tabla44[[#This Row],[ZONA DEFINITIVO]],[1]Hoja1!$A$1:$D$125,2,0)</f>
        <v>17256</v>
      </c>
      <c r="X154" s="12">
        <f>VLOOKUP(Tabla44[[#This Row],[ZONA DEFINITIVO]],[1]Hoja1!$A$1:$D$125,4,0)</f>
        <v>104525</v>
      </c>
      <c r="Y154" s="12" t="str">
        <f>+IF(Tabla44[[#This Row],[AGRUPACIONES]]=1,SUMIFS(Tabla44[UDS],Tabla44[ZONA DEFINITIVO],Tabla44[[#This Row],[ZONA DEFINITIVO]])," ")</f>
        <v xml:space="preserve"> </v>
      </c>
      <c r="Z154" s="12" t="str">
        <f>+IF(Tabla44[[#This Row],[AGRUPACIONES]]=1,SUMIFS(Tabla44[TOTAL COBERTURA],Tabla44[ZONA DEFINITIVO],Tabla44[[#This Row],[ZONA DEFINITIVO]])," ")</f>
        <v xml:space="preserve"> </v>
      </c>
      <c r="AA154" s="12"/>
      <c r="AB154" s="35">
        <v>45784053</v>
      </c>
      <c r="AC154" s="37">
        <v>0</v>
      </c>
      <c r="AD154" s="35">
        <f t="shared" si="3"/>
        <v>0</v>
      </c>
      <c r="AE154" s="12"/>
      <c r="AF154" s="12">
        <f>COUNTIF($A$20:A154,A154)</f>
        <v>2</v>
      </c>
      <c r="AG154" s="38">
        <v>45784053</v>
      </c>
      <c r="AH154" s="38">
        <f>Tabla44[[#This Row],[VALOR CONTRAPARTIDA]]+Tabla44[[#This Row],[TOTAL APORTES ICBF]]</f>
        <v>45784053</v>
      </c>
      <c r="AI154" s="35" t="str">
        <f>+IF(Tabla44[[#This Row],[AGRUPACIONES]]=1,SUMIFS(Tabla44[TOTAL APORTES ICBF],Tabla44[ZONA DEFINITIVO],Tabla44[[#This Row],[ZONA DEFINITIVO]])," ")</f>
        <v xml:space="preserve"> </v>
      </c>
      <c r="AJ154" s="38"/>
      <c r="AK154" s="38"/>
      <c r="AL154" s="35"/>
      <c r="AM154" s="35">
        <f>VLOOKUP(Tabla44[[#This Row],[SERVICIO 2025]],$J$2:$V$15,5,0)*Tabla44[[#This Row],[TOTAL COBERTURA]]</f>
        <v>1036896</v>
      </c>
      <c r="AN154" s="35">
        <f>VLOOKUP(Tabla44[[#This Row],[SERVICIO 2025]],$J$2:$V$15,6,0)*Tabla44[[#This Row],[TOTAL COBERTURA]]</f>
        <v>861609</v>
      </c>
      <c r="AO154" s="35">
        <f>VLOOKUP(Tabla44[[#This Row],[SERVICIO 2025]],$J$2:$V$15,8,0)*Tabla44[[#This Row],[TOTAL COBERTURA]]</f>
        <v>611100</v>
      </c>
      <c r="AP154" s="35">
        <f>VLOOKUP(Tabla44[[#This Row],[SERVICIO 2025]],$J$2:$V$15,3,0)*Tabla44[[#This Row],[TOTAL COBERTURA]]*8</f>
        <v>43274448</v>
      </c>
      <c r="AQ154" s="35"/>
      <c r="AR154" s="35">
        <f>SUM(Tabla44[[#This Row],[VALOR FASE PREPARATORIA DE ALISTAMIENTO]:[VALOR RACION PREPARADA]])</f>
        <v>45784053</v>
      </c>
      <c r="AS154" s="35" t="str">
        <f>+IF(Tabla44[[#This Row],[AGRUPACIONES]]=1,SUMIFS(Tabla44[VALOR TOTAL],Tabla44[ZONA DEFINITIVO],Tabla44[[#This Row],[ZONA DEFINITIVO]])," ")</f>
        <v xml:space="preserve"> </v>
      </c>
      <c r="AT154" s="35">
        <f>VLOOKUP(Tabla44[[#This Row],[SERVICIO 2025]],$J$2:$V$15,10,0)*Tabla44[[#This Row],[TOTAL COBERTURA]]*$X$7</f>
        <v>30304344</v>
      </c>
      <c r="AU154" s="39">
        <f>Tabla44[[#This Row],[TOTAL CONTRATO (ICBF+EAS)]]+Tabla44[[#This Row],[VALOR COMPONENTE ALIMENTACION NO ASIGNADO]]</f>
        <v>76088397</v>
      </c>
      <c r="AV15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10845345</v>
      </c>
      <c r="AW154" s="35">
        <f>(VLOOKUP(Tabla44[[#This Row],[SERVICIO 2025]],$J$2:$V$15,3,0)*Tabla44[[#This Row],[TOTAL COBERTURA]])+VLOOKUP(Tabla44[[#This Row],[SERVICIO 2025]],$J$2:$V$15,10,0)*Tabla44[[#This Row],[TOTAL COBERTURA]]</f>
        <v>9197349</v>
      </c>
      <c r="AX154" s="35">
        <f>(VLOOKUP(Tabla44[[#This Row],[SERVICIO 2025]],$J$2:$V$15,3,0)*Tabla44[[#This Row],[TOTAL COBERTURA]])+VLOOKUP(Tabla44[[#This Row],[SERVICIO 2025]],$J$2:$V$15,10,0)*Tabla44[[#This Row],[TOTAL COBERTURA]]</f>
        <v>9197349</v>
      </c>
      <c r="AY154" s="35">
        <f>(VLOOKUP(Tabla44[[#This Row],[SERVICIO 2025]],$J$2:$V$15,3,0)*Tabla44[[#This Row],[TOTAL COBERTURA]])+VLOOKUP(Tabla44[[#This Row],[SERVICIO 2025]],$J$2:$V$15,10,0)*Tabla44[[#This Row],[TOTAL COBERTURA]]</f>
        <v>9197349</v>
      </c>
      <c r="AZ154" s="35">
        <f>(VLOOKUP(Tabla44[[#This Row],[SERVICIO 2025]],$J$2:$V$15,3,0)*Tabla44[[#This Row],[TOTAL COBERTURA]])+VLOOKUP(Tabla44[[#This Row],[SERVICIO 2025]],$J$2:$V$15,10,0)*Tabla44[[#This Row],[TOTAL COBERTURA]]</f>
        <v>9197349</v>
      </c>
      <c r="BA154" s="35">
        <f>(VLOOKUP(Tabla44[[#This Row],[SERVICIO 2025]],$J$2:$V$15,3,0)*Tabla44[[#This Row],[TOTAL COBERTURA]])+VLOOKUP(Tabla44[[#This Row],[SERVICIO 2025]],$J$2:$V$15,10,0)*Tabla44[[#This Row],[TOTAL COBERTURA]]</f>
        <v>9197349</v>
      </c>
      <c r="BB154" s="35">
        <f>(VLOOKUP(Tabla44[[#This Row],[SERVICIO 2025]],$J$2:$V$15,3,0)*Tabla44[[#This Row],[TOTAL COBERTURA]])+VLOOKUP(Tabla44[[#This Row],[SERVICIO 2025]],$J$2:$V$15,10,0)*Tabla44[[#This Row],[TOTAL COBERTURA]]</f>
        <v>9197349</v>
      </c>
      <c r="BC15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10058958</v>
      </c>
      <c r="BD154" s="35">
        <f>SUM(Tabla44[[#This Row],[DESEMBOLSO 1]:[DESEMBOLSO 8]])</f>
        <v>76088397</v>
      </c>
      <c r="BE154" s="12" t="b">
        <f>EXACT(Tabla44[[#This Row],[VALOR ATENCIÓN (8 MESES)]],Tabla44[[#This Row],[VALOR TOTAL]])</f>
        <v>1</v>
      </c>
      <c r="BF154" s="23">
        <f>Tabla44[[#This Row],[VALOR ATENCIÓN (8 MESES)]]-Tabla44[[#This Row],[VALOR TOTAL]]</f>
        <v>0</v>
      </c>
      <c r="BG154" s="12" t="b">
        <f>EXACT(Tabla44[[#This Row],[TOTAL DESEMBOLSOS]],Tabla44[[#This Row],[VALOR TOTAL DEL CONTRATO INCLUIDO EL COMPONENTE DE ALIMENTACIÓN]])</f>
        <v>1</v>
      </c>
      <c r="BH154" s="29">
        <f>Tabla44[[#This Row],[TOTAL DESEMBOLSOS]]-Tabla44[[#This Row],[VALOR TOTAL DEL CONTRATO INCLUIDO EL COMPONENTE DE ALIMENTACIÓN]]</f>
        <v>0</v>
      </c>
      <c r="BI154" t="s">
        <v>98</v>
      </c>
    </row>
    <row r="155" spans="1:61">
      <c r="A155" s="13">
        <v>1963</v>
      </c>
      <c r="B155" s="13"/>
      <c r="C155" s="12" t="s">
        <v>87</v>
      </c>
      <c r="D155" s="12" t="s">
        <v>651</v>
      </c>
      <c r="E155" s="12" t="s">
        <v>3109</v>
      </c>
      <c r="F155" s="12" t="s">
        <v>18</v>
      </c>
      <c r="G155" s="12" t="s">
        <v>90</v>
      </c>
      <c r="H155" s="12" t="s">
        <v>2084</v>
      </c>
      <c r="I155" s="36">
        <v>50361136579</v>
      </c>
      <c r="J155" s="12" t="s">
        <v>3114</v>
      </c>
      <c r="K155" s="12">
        <v>1</v>
      </c>
      <c r="L155" s="12">
        <v>10</v>
      </c>
      <c r="M155" s="12"/>
      <c r="N155" s="13">
        <v>1963</v>
      </c>
      <c r="O155" s="12" t="s">
        <v>2850</v>
      </c>
      <c r="P155" s="12"/>
      <c r="Q155" s="12"/>
      <c r="R155" s="12" t="s">
        <v>94</v>
      </c>
      <c r="S155" s="12">
        <v>10</v>
      </c>
      <c r="T155" s="12">
        <v>811008215</v>
      </c>
      <c r="U155" s="12" t="s">
        <v>3112</v>
      </c>
      <c r="V155" s="12">
        <f>VLOOKUP(Tabla44[[#This Row],[ZONA DEFINITIVO]],[1]Hoja1!$A$1:$D$125,3,0)</f>
        <v>229937</v>
      </c>
      <c r="W155" s="12">
        <f>VLOOKUP(Tabla44[[#This Row],[ZONA DEFINITIVO]],[1]Hoja1!$A$1:$D$125,2,0)</f>
        <v>17256</v>
      </c>
      <c r="X155" s="12">
        <f>VLOOKUP(Tabla44[[#This Row],[ZONA DEFINITIVO]],[1]Hoja1!$A$1:$D$125,4,0)</f>
        <v>104525</v>
      </c>
      <c r="Y155" s="12" t="str">
        <f>+IF(Tabla44[[#This Row],[AGRUPACIONES]]=1,SUMIFS(Tabla44[UDS],Tabla44[ZONA DEFINITIVO],Tabla44[[#This Row],[ZONA DEFINITIVO]])," ")</f>
        <v xml:space="preserve"> </v>
      </c>
      <c r="Z155" s="12" t="str">
        <f>+IF(Tabla44[[#This Row],[AGRUPACIONES]]=1,SUMIFS(Tabla44[TOTAL COBERTURA],Tabla44[ZONA DEFINITIVO],Tabla44[[#This Row],[ZONA DEFINITIVO]])," ")</f>
        <v xml:space="preserve"> </v>
      </c>
      <c r="AA155" s="12"/>
      <c r="AB155" s="35">
        <v>21801930</v>
      </c>
      <c r="AC155" s="37">
        <v>0</v>
      </c>
      <c r="AD155" s="35">
        <f t="shared" si="3"/>
        <v>0</v>
      </c>
      <c r="AE155" s="12"/>
      <c r="AF155" s="12">
        <f>COUNTIF($A$20:A155,A155)</f>
        <v>3</v>
      </c>
      <c r="AG155" s="38">
        <v>21801930</v>
      </c>
      <c r="AH155" s="38">
        <f>Tabla44[[#This Row],[VALOR CONTRAPARTIDA]]+Tabla44[[#This Row],[TOTAL APORTES ICBF]]</f>
        <v>21801930</v>
      </c>
      <c r="AI155" s="35" t="str">
        <f>+IF(Tabla44[[#This Row],[AGRUPACIONES]]=1,SUMIFS(Tabla44[TOTAL APORTES ICBF],Tabla44[ZONA DEFINITIVO],Tabla44[[#This Row],[ZONA DEFINITIVO]])," ")</f>
        <v xml:space="preserve"> </v>
      </c>
      <c r="AJ155" s="38"/>
      <c r="AK155" s="38"/>
      <c r="AL155" s="35"/>
      <c r="AM155" s="35">
        <f>VLOOKUP(Tabla44[[#This Row],[SERVICIO 2025]],$J$2:$V$15,5,0)*Tabla44[[#This Row],[TOTAL COBERTURA]]</f>
        <v>493760</v>
      </c>
      <c r="AN155" s="35">
        <f>VLOOKUP(Tabla44[[#This Row],[SERVICIO 2025]],$J$2:$V$15,6,0)*Tabla44[[#This Row],[TOTAL COBERTURA]]</f>
        <v>410290</v>
      </c>
      <c r="AO155" s="35">
        <f>VLOOKUP(Tabla44[[#This Row],[SERVICIO 2025]],$J$2:$V$15,8,0)*Tabla44[[#This Row],[TOTAL COBERTURA]]</f>
        <v>291000</v>
      </c>
      <c r="AP155" s="35">
        <f>VLOOKUP(Tabla44[[#This Row],[SERVICIO 2025]],$J$2:$V$15,3,0)*Tabla44[[#This Row],[TOTAL COBERTURA]]*8</f>
        <v>20606880</v>
      </c>
      <c r="AQ155" s="35"/>
      <c r="AR155" s="35">
        <f>SUM(Tabla44[[#This Row],[VALOR FASE PREPARATORIA DE ALISTAMIENTO]:[VALOR RACION PREPARADA]])</f>
        <v>21801930</v>
      </c>
      <c r="AS155" s="35" t="str">
        <f>+IF(Tabla44[[#This Row],[AGRUPACIONES]]=1,SUMIFS(Tabla44[VALOR TOTAL],Tabla44[ZONA DEFINITIVO],Tabla44[[#This Row],[ZONA DEFINITIVO]])," ")</f>
        <v xml:space="preserve"> </v>
      </c>
      <c r="AT155" s="35">
        <f>VLOOKUP(Tabla44[[#This Row],[SERVICIO 2025]],$J$2:$V$15,10,0)*Tabla44[[#This Row],[TOTAL COBERTURA]]*$X$7</f>
        <v>14430640</v>
      </c>
      <c r="AU155" s="39">
        <f>Tabla44[[#This Row],[TOTAL CONTRATO (ICBF+EAS)]]+Tabla44[[#This Row],[VALOR COMPONENTE ALIMENTACION NO ASIGNADO]]</f>
        <v>36232570</v>
      </c>
      <c r="AV15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155" s="35">
        <f>(VLOOKUP(Tabla44[[#This Row],[SERVICIO 2025]],$J$2:$V$15,3,0)*Tabla44[[#This Row],[TOTAL COBERTURA]])+VLOOKUP(Tabla44[[#This Row],[SERVICIO 2025]],$J$2:$V$15,10,0)*Tabla44[[#This Row],[TOTAL COBERTURA]]</f>
        <v>4379690</v>
      </c>
      <c r="AX155" s="35">
        <f>(VLOOKUP(Tabla44[[#This Row],[SERVICIO 2025]],$J$2:$V$15,3,0)*Tabla44[[#This Row],[TOTAL COBERTURA]])+VLOOKUP(Tabla44[[#This Row],[SERVICIO 2025]],$J$2:$V$15,10,0)*Tabla44[[#This Row],[TOTAL COBERTURA]]</f>
        <v>4379690</v>
      </c>
      <c r="AY155" s="35">
        <f>(VLOOKUP(Tabla44[[#This Row],[SERVICIO 2025]],$J$2:$V$15,3,0)*Tabla44[[#This Row],[TOTAL COBERTURA]])+VLOOKUP(Tabla44[[#This Row],[SERVICIO 2025]],$J$2:$V$15,10,0)*Tabla44[[#This Row],[TOTAL COBERTURA]]</f>
        <v>4379690</v>
      </c>
      <c r="AZ155" s="35">
        <f>(VLOOKUP(Tabla44[[#This Row],[SERVICIO 2025]],$J$2:$V$15,3,0)*Tabla44[[#This Row],[TOTAL COBERTURA]])+VLOOKUP(Tabla44[[#This Row],[SERVICIO 2025]],$J$2:$V$15,10,0)*Tabla44[[#This Row],[TOTAL COBERTURA]]</f>
        <v>4379690</v>
      </c>
      <c r="BA155" s="35">
        <f>(VLOOKUP(Tabla44[[#This Row],[SERVICIO 2025]],$J$2:$V$15,3,0)*Tabla44[[#This Row],[TOTAL COBERTURA]])+VLOOKUP(Tabla44[[#This Row],[SERVICIO 2025]],$J$2:$V$15,10,0)*Tabla44[[#This Row],[TOTAL COBERTURA]]</f>
        <v>4379690</v>
      </c>
      <c r="BB155" s="35">
        <f>(VLOOKUP(Tabla44[[#This Row],[SERVICIO 2025]],$J$2:$V$15,3,0)*Tabla44[[#This Row],[TOTAL COBERTURA]])+VLOOKUP(Tabla44[[#This Row],[SERVICIO 2025]],$J$2:$V$15,10,0)*Tabla44[[#This Row],[TOTAL COBERTURA]]</f>
        <v>4379690</v>
      </c>
      <c r="BC15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155" s="35">
        <f>SUM(Tabla44[[#This Row],[DESEMBOLSO 1]:[DESEMBOLSO 8]])</f>
        <v>36232570</v>
      </c>
      <c r="BE155" s="12" t="b">
        <f>EXACT(Tabla44[[#This Row],[VALOR ATENCIÓN (8 MESES)]],Tabla44[[#This Row],[VALOR TOTAL]])</f>
        <v>1</v>
      </c>
      <c r="BF155" s="23">
        <f>Tabla44[[#This Row],[VALOR ATENCIÓN (8 MESES)]]-Tabla44[[#This Row],[VALOR TOTAL]]</f>
        <v>0</v>
      </c>
      <c r="BG155" s="12" t="b">
        <f>EXACT(Tabla44[[#This Row],[TOTAL DESEMBOLSOS]],Tabla44[[#This Row],[VALOR TOTAL DEL CONTRATO INCLUIDO EL COMPONENTE DE ALIMENTACIÓN]])</f>
        <v>1</v>
      </c>
      <c r="BH155" s="29">
        <f>Tabla44[[#This Row],[TOTAL DESEMBOLSOS]]-Tabla44[[#This Row],[VALOR TOTAL DEL CONTRATO INCLUIDO EL COMPONENTE DE ALIMENTACIÓN]]</f>
        <v>0</v>
      </c>
      <c r="BI155" t="s">
        <v>98</v>
      </c>
    </row>
    <row r="156" spans="1:61">
      <c r="A156" s="13">
        <v>1963</v>
      </c>
      <c r="B156" s="13"/>
      <c r="C156" s="12" t="s">
        <v>87</v>
      </c>
      <c r="D156" s="12" t="s">
        <v>651</v>
      </c>
      <c r="E156" s="12" t="s">
        <v>3109</v>
      </c>
      <c r="F156" s="12" t="s">
        <v>18</v>
      </c>
      <c r="G156" s="12" t="s">
        <v>90</v>
      </c>
      <c r="H156" s="12" t="s">
        <v>3115</v>
      </c>
      <c r="I156" s="36">
        <v>50361136607</v>
      </c>
      <c r="J156" s="12" t="s">
        <v>3116</v>
      </c>
      <c r="K156" s="12">
        <v>1</v>
      </c>
      <c r="L156" s="12">
        <v>9</v>
      </c>
      <c r="M156" s="12"/>
      <c r="N156" s="13">
        <v>1963</v>
      </c>
      <c r="O156" s="12" t="s">
        <v>2850</v>
      </c>
      <c r="P156" s="12"/>
      <c r="Q156" s="12"/>
      <c r="R156" s="12" t="s">
        <v>94</v>
      </c>
      <c r="S156" s="12">
        <v>10</v>
      </c>
      <c r="T156" s="12">
        <v>811008215</v>
      </c>
      <c r="U156" s="12" t="s">
        <v>3112</v>
      </c>
      <c r="V156" s="12">
        <f>VLOOKUP(Tabla44[[#This Row],[ZONA DEFINITIVO]],[1]Hoja1!$A$1:$D$125,3,0)</f>
        <v>229937</v>
      </c>
      <c r="W156" s="12">
        <f>VLOOKUP(Tabla44[[#This Row],[ZONA DEFINITIVO]],[1]Hoja1!$A$1:$D$125,2,0)</f>
        <v>17256</v>
      </c>
      <c r="X156" s="12">
        <f>VLOOKUP(Tabla44[[#This Row],[ZONA DEFINITIVO]],[1]Hoja1!$A$1:$D$125,4,0)</f>
        <v>104525</v>
      </c>
      <c r="Y156" s="12" t="str">
        <f>+IF(Tabla44[[#This Row],[AGRUPACIONES]]=1,SUMIFS(Tabla44[UDS],Tabla44[ZONA DEFINITIVO],Tabla44[[#This Row],[ZONA DEFINITIVO]])," ")</f>
        <v xml:space="preserve"> </v>
      </c>
      <c r="Z156" s="12" t="str">
        <f>+IF(Tabla44[[#This Row],[AGRUPACIONES]]=1,SUMIFS(Tabla44[TOTAL COBERTURA],Tabla44[ZONA DEFINITIVO],Tabla44[[#This Row],[ZONA DEFINITIVO]])," ")</f>
        <v xml:space="preserve"> </v>
      </c>
      <c r="AA156" s="12"/>
      <c r="AB156" s="35">
        <v>19621737</v>
      </c>
      <c r="AC156" s="37">
        <v>0</v>
      </c>
      <c r="AD156" s="35">
        <f t="shared" si="3"/>
        <v>0</v>
      </c>
      <c r="AE156" s="12"/>
      <c r="AF156" s="12">
        <f>COUNTIF($A$20:A156,A156)</f>
        <v>4</v>
      </c>
      <c r="AG156" s="38">
        <v>19621737</v>
      </c>
      <c r="AH156" s="38">
        <f>Tabla44[[#This Row],[VALOR CONTRAPARTIDA]]+Tabla44[[#This Row],[TOTAL APORTES ICBF]]</f>
        <v>19621737</v>
      </c>
      <c r="AI156" s="35" t="str">
        <f>+IF(Tabla44[[#This Row],[AGRUPACIONES]]=1,SUMIFS(Tabla44[TOTAL APORTES ICBF],Tabla44[ZONA DEFINITIVO],Tabla44[[#This Row],[ZONA DEFINITIVO]])," ")</f>
        <v xml:space="preserve"> </v>
      </c>
      <c r="AJ156" s="38"/>
      <c r="AK156" s="38"/>
      <c r="AL156" s="35"/>
      <c r="AM156" s="35">
        <f>VLOOKUP(Tabla44[[#This Row],[SERVICIO 2025]],$J$2:$V$15,5,0)*Tabla44[[#This Row],[TOTAL COBERTURA]]</f>
        <v>444384</v>
      </c>
      <c r="AN156" s="35">
        <f>VLOOKUP(Tabla44[[#This Row],[SERVICIO 2025]],$J$2:$V$15,6,0)*Tabla44[[#This Row],[TOTAL COBERTURA]]</f>
        <v>369261</v>
      </c>
      <c r="AO156" s="35">
        <f>VLOOKUP(Tabla44[[#This Row],[SERVICIO 2025]],$J$2:$V$15,8,0)*Tabla44[[#This Row],[TOTAL COBERTURA]]</f>
        <v>261900</v>
      </c>
      <c r="AP156" s="35">
        <f>VLOOKUP(Tabla44[[#This Row],[SERVICIO 2025]],$J$2:$V$15,3,0)*Tabla44[[#This Row],[TOTAL COBERTURA]]*8</f>
        <v>18546192</v>
      </c>
      <c r="AQ156" s="35"/>
      <c r="AR156" s="35">
        <f>SUM(Tabla44[[#This Row],[VALOR FASE PREPARATORIA DE ALISTAMIENTO]:[VALOR RACION PREPARADA]])</f>
        <v>19621737</v>
      </c>
      <c r="AS156" s="35" t="str">
        <f>+IF(Tabla44[[#This Row],[AGRUPACIONES]]=1,SUMIFS(Tabla44[VALOR TOTAL],Tabla44[ZONA DEFINITIVO],Tabla44[[#This Row],[ZONA DEFINITIVO]])," ")</f>
        <v xml:space="preserve"> </v>
      </c>
      <c r="AT156" s="35">
        <f>VLOOKUP(Tabla44[[#This Row],[SERVICIO 2025]],$J$2:$V$15,10,0)*Tabla44[[#This Row],[TOTAL COBERTURA]]*$X$7</f>
        <v>12987576</v>
      </c>
      <c r="AU156" s="39">
        <f>Tabla44[[#This Row],[TOTAL CONTRATO (ICBF+EAS)]]+Tabla44[[#This Row],[VALOR COMPONENTE ALIMENTACION NO ASIGNADO]]</f>
        <v>32609313</v>
      </c>
      <c r="AV15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4648005</v>
      </c>
      <c r="AW156" s="35">
        <f>(VLOOKUP(Tabla44[[#This Row],[SERVICIO 2025]],$J$2:$V$15,3,0)*Tabla44[[#This Row],[TOTAL COBERTURA]])+VLOOKUP(Tabla44[[#This Row],[SERVICIO 2025]],$J$2:$V$15,10,0)*Tabla44[[#This Row],[TOTAL COBERTURA]]</f>
        <v>3941721</v>
      </c>
      <c r="AX156" s="35">
        <f>(VLOOKUP(Tabla44[[#This Row],[SERVICIO 2025]],$J$2:$V$15,3,0)*Tabla44[[#This Row],[TOTAL COBERTURA]])+VLOOKUP(Tabla44[[#This Row],[SERVICIO 2025]],$J$2:$V$15,10,0)*Tabla44[[#This Row],[TOTAL COBERTURA]]</f>
        <v>3941721</v>
      </c>
      <c r="AY156" s="35">
        <f>(VLOOKUP(Tabla44[[#This Row],[SERVICIO 2025]],$J$2:$V$15,3,0)*Tabla44[[#This Row],[TOTAL COBERTURA]])+VLOOKUP(Tabla44[[#This Row],[SERVICIO 2025]],$J$2:$V$15,10,0)*Tabla44[[#This Row],[TOTAL COBERTURA]]</f>
        <v>3941721</v>
      </c>
      <c r="AZ156" s="35">
        <f>(VLOOKUP(Tabla44[[#This Row],[SERVICIO 2025]],$J$2:$V$15,3,0)*Tabla44[[#This Row],[TOTAL COBERTURA]])+VLOOKUP(Tabla44[[#This Row],[SERVICIO 2025]],$J$2:$V$15,10,0)*Tabla44[[#This Row],[TOTAL COBERTURA]]</f>
        <v>3941721</v>
      </c>
      <c r="BA156" s="35">
        <f>(VLOOKUP(Tabla44[[#This Row],[SERVICIO 2025]],$J$2:$V$15,3,0)*Tabla44[[#This Row],[TOTAL COBERTURA]])+VLOOKUP(Tabla44[[#This Row],[SERVICIO 2025]],$J$2:$V$15,10,0)*Tabla44[[#This Row],[TOTAL COBERTURA]]</f>
        <v>3941721</v>
      </c>
      <c r="BB156" s="35">
        <f>(VLOOKUP(Tabla44[[#This Row],[SERVICIO 2025]],$J$2:$V$15,3,0)*Tabla44[[#This Row],[TOTAL COBERTURA]])+VLOOKUP(Tabla44[[#This Row],[SERVICIO 2025]],$J$2:$V$15,10,0)*Tabla44[[#This Row],[TOTAL COBERTURA]]</f>
        <v>3941721</v>
      </c>
      <c r="BC15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4310982</v>
      </c>
      <c r="BD156" s="35">
        <f>SUM(Tabla44[[#This Row],[DESEMBOLSO 1]:[DESEMBOLSO 8]])</f>
        <v>32609313</v>
      </c>
      <c r="BE156" s="12" t="b">
        <f>EXACT(Tabla44[[#This Row],[VALOR ATENCIÓN (8 MESES)]],Tabla44[[#This Row],[VALOR TOTAL]])</f>
        <v>1</v>
      </c>
      <c r="BF156" s="23">
        <f>Tabla44[[#This Row],[VALOR ATENCIÓN (8 MESES)]]-Tabla44[[#This Row],[VALOR TOTAL]]</f>
        <v>0</v>
      </c>
      <c r="BG156" s="12" t="b">
        <f>EXACT(Tabla44[[#This Row],[TOTAL DESEMBOLSOS]],Tabla44[[#This Row],[VALOR TOTAL DEL CONTRATO INCLUIDO EL COMPONENTE DE ALIMENTACIÓN]])</f>
        <v>1</v>
      </c>
      <c r="BH156" s="29">
        <f>Tabla44[[#This Row],[TOTAL DESEMBOLSOS]]-Tabla44[[#This Row],[VALOR TOTAL DEL CONTRATO INCLUIDO EL COMPONENTE DE ALIMENTACIÓN]]</f>
        <v>0</v>
      </c>
      <c r="BI156" t="s">
        <v>98</v>
      </c>
    </row>
    <row r="157" spans="1:61">
      <c r="A157" s="13">
        <v>1963</v>
      </c>
      <c r="B157" s="13"/>
      <c r="C157" s="12" t="s">
        <v>87</v>
      </c>
      <c r="D157" s="12" t="s">
        <v>651</v>
      </c>
      <c r="E157" s="12" t="s">
        <v>3109</v>
      </c>
      <c r="F157" s="12" t="s">
        <v>19</v>
      </c>
      <c r="G157" s="12" t="s">
        <v>90</v>
      </c>
      <c r="H157" s="12" t="s">
        <v>3117</v>
      </c>
      <c r="I157" s="36">
        <v>50361146654</v>
      </c>
      <c r="J157" s="12" t="s">
        <v>3118</v>
      </c>
      <c r="K157" s="12">
        <v>1</v>
      </c>
      <c r="L157" s="12">
        <v>8</v>
      </c>
      <c r="M157" s="12"/>
      <c r="N157" s="13">
        <v>1963</v>
      </c>
      <c r="O157" s="12" t="s">
        <v>2850</v>
      </c>
      <c r="P157" s="12"/>
      <c r="Q157" s="12"/>
      <c r="R157" s="12" t="s">
        <v>94</v>
      </c>
      <c r="S157" s="12">
        <v>10</v>
      </c>
      <c r="T157" s="12">
        <v>811008215</v>
      </c>
      <c r="U157" s="12" t="s">
        <v>3112</v>
      </c>
      <c r="V157" s="12">
        <f>VLOOKUP(Tabla44[[#This Row],[ZONA DEFINITIVO]],[1]Hoja1!$A$1:$D$125,3,0)</f>
        <v>229937</v>
      </c>
      <c r="W157" s="12">
        <f>VLOOKUP(Tabla44[[#This Row],[ZONA DEFINITIVO]],[1]Hoja1!$A$1:$D$125,2,0)</f>
        <v>17256</v>
      </c>
      <c r="X157" s="12">
        <f>VLOOKUP(Tabla44[[#This Row],[ZONA DEFINITIVO]],[1]Hoja1!$A$1:$D$125,4,0)</f>
        <v>104525</v>
      </c>
      <c r="Y157" s="12" t="str">
        <f>+IF(Tabla44[[#This Row],[AGRUPACIONES]]=1,SUMIFS(Tabla44[UDS],Tabla44[ZONA DEFINITIVO],Tabla44[[#This Row],[ZONA DEFINITIVO]])," ")</f>
        <v xml:space="preserve"> </v>
      </c>
      <c r="Z157" s="12" t="str">
        <f>+IF(Tabla44[[#This Row],[AGRUPACIONES]]=1,SUMIFS(Tabla44[TOTAL COBERTURA],Tabla44[ZONA DEFINITIVO],Tabla44[[#This Row],[ZONA DEFINITIVO]])," ")</f>
        <v xml:space="preserve"> </v>
      </c>
      <c r="AA157" s="12"/>
      <c r="AB157" s="35">
        <v>18009208</v>
      </c>
      <c r="AC157" s="37">
        <v>0</v>
      </c>
      <c r="AD157" s="35">
        <f t="shared" si="3"/>
        <v>0</v>
      </c>
      <c r="AE157" s="12"/>
      <c r="AF157" s="12">
        <f>COUNTIF($A$20:A157,A157)</f>
        <v>5</v>
      </c>
      <c r="AG157" s="38">
        <v>18009208</v>
      </c>
      <c r="AH157" s="38">
        <f>Tabla44[[#This Row],[VALOR CONTRAPARTIDA]]+Tabla44[[#This Row],[TOTAL APORTES ICBF]]</f>
        <v>18009208</v>
      </c>
      <c r="AI157" s="35" t="str">
        <f>+IF(Tabla44[[#This Row],[AGRUPACIONES]]=1,SUMIFS(Tabla44[TOTAL APORTES ICBF],Tabla44[ZONA DEFINITIVO],Tabla44[[#This Row],[ZONA DEFINITIVO]])," ")</f>
        <v xml:space="preserve"> </v>
      </c>
      <c r="AJ157" s="38"/>
      <c r="AK157" s="38"/>
      <c r="AL157" s="35"/>
      <c r="AM157" s="35">
        <f>VLOOKUP(Tabla44[[#This Row],[SERVICIO 2025]],$J$2:$V$15,5,0)*Tabla44[[#This Row],[TOTAL COBERTURA]]</f>
        <v>411704</v>
      </c>
      <c r="AN157" s="35">
        <f>VLOOKUP(Tabla44[[#This Row],[SERVICIO 2025]],$J$2:$V$15,6,0)*Tabla44[[#This Row],[TOTAL COBERTURA]]</f>
        <v>344928</v>
      </c>
      <c r="AO157" s="35">
        <f>VLOOKUP(Tabla44[[#This Row],[SERVICIO 2025]],$J$2:$V$15,8,0)*Tabla44[[#This Row],[TOTAL COBERTURA]]</f>
        <v>232800</v>
      </c>
      <c r="AP157" s="35">
        <f>VLOOKUP(Tabla44[[#This Row],[SERVICIO 2025]],$J$2:$V$15,3,0)*Tabla44[[#This Row],[TOTAL COBERTURA]]*8</f>
        <v>17019776</v>
      </c>
      <c r="AQ157" s="35"/>
      <c r="AR157" s="35">
        <f>SUM(Tabla44[[#This Row],[VALOR FASE PREPARATORIA DE ALISTAMIENTO]:[VALOR RACION PREPARADA]])</f>
        <v>18009208</v>
      </c>
      <c r="AS157" s="35" t="str">
        <f>+IF(Tabla44[[#This Row],[AGRUPACIONES]]=1,SUMIFS(Tabla44[VALOR TOTAL],Tabla44[ZONA DEFINITIVO],Tabla44[[#This Row],[ZONA DEFINITIVO]])," ")</f>
        <v xml:space="preserve"> </v>
      </c>
      <c r="AT157" s="35">
        <f>VLOOKUP(Tabla44[[#This Row],[SERVICIO 2025]],$J$2:$V$15,10,0)*Tabla44[[#This Row],[TOTAL COBERTURA]]*$X$7</f>
        <v>11544512</v>
      </c>
      <c r="AU157" s="39">
        <f>Tabla44[[#This Row],[TOTAL CONTRATO (ICBF+EAS)]]+Tabla44[[#This Row],[VALOR COMPONENTE ALIMENTACION NO ASIGNADO]]</f>
        <v>29553720</v>
      </c>
      <c r="AV15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4215040</v>
      </c>
      <c r="AW157" s="35">
        <f>(VLOOKUP(Tabla44[[#This Row],[SERVICIO 2025]],$J$2:$V$15,3,0)*Tabla44[[#This Row],[TOTAL COBERTURA]])+VLOOKUP(Tabla44[[#This Row],[SERVICIO 2025]],$J$2:$V$15,10,0)*Tabla44[[#This Row],[TOTAL COBERTURA]]</f>
        <v>3570536</v>
      </c>
      <c r="AX157" s="35">
        <f>(VLOOKUP(Tabla44[[#This Row],[SERVICIO 2025]],$J$2:$V$15,3,0)*Tabla44[[#This Row],[TOTAL COBERTURA]])+VLOOKUP(Tabla44[[#This Row],[SERVICIO 2025]],$J$2:$V$15,10,0)*Tabla44[[#This Row],[TOTAL COBERTURA]]</f>
        <v>3570536</v>
      </c>
      <c r="AY157" s="35">
        <f>(VLOOKUP(Tabla44[[#This Row],[SERVICIO 2025]],$J$2:$V$15,3,0)*Tabla44[[#This Row],[TOTAL COBERTURA]])+VLOOKUP(Tabla44[[#This Row],[SERVICIO 2025]],$J$2:$V$15,10,0)*Tabla44[[#This Row],[TOTAL COBERTURA]]</f>
        <v>3570536</v>
      </c>
      <c r="AZ157" s="35">
        <f>(VLOOKUP(Tabla44[[#This Row],[SERVICIO 2025]],$J$2:$V$15,3,0)*Tabla44[[#This Row],[TOTAL COBERTURA]])+VLOOKUP(Tabla44[[#This Row],[SERVICIO 2025]],$J$2:$V$15,10,0)*Tabla44[[#This Row],[TOTAL COBERTURA]]</f>
        <v>3570536</v>
      </c>
      <c r="BA157" s="35">
        <f>(VLOOKUP(Tabla44[[#This Row],[SERVICIO 2025]],$J$2:$V$15,3,0)*Tabla44[[#This Row],[TOTAL COBERTURA]])+VLOOKUP(Tabla44[[#This Row],[SERVICIO 2025]],$J$2:$V$15,10,0)*Tabla44[[#This Row],[TOTAL COBERTURA]]</f>
        <v>3570536</v>
      </c>
      <c r="BB157" s="35">
        <f>(VLOOKUP(Tabla44[[#This Row],[SERVICIO 2025]],$J$2:$V$15,3,0)*Tabla44[[#This Row],[TOTAL COBERTURA]])+VLOOKUP(Tabla44[[#This Row],[SERVICIO 2025]],$J$2:$V$15,10,0)*Tabla44[[#This Row],[TOTAL COBERTURA]]</f>
        <v>3570536</v>
      </c>
      <c r="BC15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3915464</v>
      </c>
      <c r="BD157" s="35">
        <f>SUM(Tabla44[[#This Row],[DESEMBOLSO 1]:[DESEMBOLSO 8]])</f>
        <v>29553720</v>
      </c>
      <c r="BE157" s="12" t="b">
        <f>EXACT(Tabla44[[#This Row],[VALOR ATENCIÓN (8 MESES)]],Tabla44[[#This Row],[VALOR TOTAL]])</f>
        <v>1</v>
      </c>
      <c r="BF157" s="23">
        <f>Tabla44[[#This Row],[VALOR ATENCIÓN (8 MESES)]]-Tabla44[[#This Row],[VALOR TOTAL]]</f>
        <v>0</v>
      </c>
      <c r="BG157" s="12" t="b">
        <f>EXACT(Tabla44[[#This Row],[TOTAL DESEMBOLSOS]],Tabla44[[#This Row],[VALOR TOTAL DEL CONTRATO INCLUIDO EL COMPONENTE DE ALIMENTACIÓN]])</f>
        <v>1</v>
      </c>
      <c r="BH157" s="29">
        <f>Tabla44[[#This Row],[TOTAL DESEMBOLSOS]]-Tabla44[[#This Row],[VALOR TOTAL DEL CONTRATO INCLUIDO EL COMPONENTE DE ALIMENTACIÓN]]</f>
        <v>0</v>
      </c>
      <c r="BI157" t="s">
        <v>98</v>
      </c>
    </row>
    <row r="158" spans="1:61">
      <c r="A158" s="13">
        <v>1963</v>
      </c>
      <c r="B158" s="13"/>
      <c r="C158" s="12" t="s">
        <v>87</v>
      </c>
      <c r="D158" s="12" t="s">
        <v>651</v>
      </c>
      <c r="E158" s="12" t="s">
        <v>3109</v>
      </c>
      <c r="F158" s="12" t="s">
        <v>19</v>
      </c>
      <c r="G158" s="12" t="s">
        <v>90</v>
      </c>
      <c r="H158" s="12" t="s">
        <v>3119</v>
      </c>
      <c r="I158" s="36">
        <v>503600022602</v>
      </c>
      <c r="J158" s="12" t="s">
        <v>3120</v>
      </c>
      <c r="K158" s="12">
        <v>1</v>
      </c>
      <c r="L158" s="12">
        <v>71</v>
      </c>
      <c r="M158" s="12"/>
      <c r="N158" s="13">
        <v>1963</v>
      </c>
      <c r="O158" s="12" t="s">
        <v>2850</v>
      </c>
      <c r="P158" s="12"/>
      <c r="Q158" s="12"/>
      <c r="R158" s="12" t="s">
        <v>94</v>
      </c>
      <c r="S158" s="12">
        <v>10</v>
      </c>
      <c r="T158" s="12">
        <v>811008215</v>
      </c>
      <c r="U158" s="12" t="s">
        <v>3112</v>
      </c>
      <c r="V158" s="12">
        <f>VLOOKUP(Tabla44[[#This Row],[ZONA DEFINITIVO]],[1]Hoja1!$A$1:$D$125,3,0)</f>
        <v>229937</v>
      </c>
      <c r="W158" s="12">
        <f>VLOOKUP(Tabla44[[#This Row],[ZONA DEFINITIVO]],[1]Hoja1!$A$1:$D$125,2,0)</f>
        <v>17256</v>
      </c>
      <c r="X158" s="12">
        <f>VLOOKUP(Tabla44[[#This Row],[ZONA DEFINITIVO]],[1]Hoja1!$A$1:$D$125,4,0)</f>
        <v>104525</v>
      </c>
      <c r="Y158" s="12" t="str">
        <f>+IF(Tabla44[[#This Row],[AGRUPACIONES]]=1,SUMIFS(Tabla44[UDS],Tabla44[ZONA DEFINITIVO],Tabla44[[#This Row],[ZONA DEFINITIVO]])," ")</f>
        <v xml:space="preserve"> </v>
      </c>
      <c r="Z158" s="12" t="str">
        <f>+IF(Tabla44[[#This Row],[AGRUPACIONES]]=1,SUMIFS(Tabla44[TOTAL COBERTURA],Tabla44[ZONA DEFINITIVO],Tabla44[[#This Row],[ZONA DEFINITIVO]])," ")</f>
        <v xml:space="preserve"> </v>
      </c>
      <c r="AA158" s="12"/>
      <c r="AB158" s="35">
        <v>159831721</v>
      </c>
      <c r="AC158" s="37">
        <v>0</v>
      </c>
      <c r="AD158" s="35">
        <f t="shared" si="3"/>
        <v>0</v>
      </c>
      <c r="AE158" s="12"/>
      <c r="AF158" s="12">
        <f>COUNTIF($A$20:A158,A158)</f>
        <v>6</v>
      </c>
      <c r="AG158" s="38">
        <v>159831721</v>
      </c>
      <c r="AH158" s="38">
        <f>Tabla44[[#This Row],[VALOR CONTRAPARTIDA]]+Tabla44[[#This Row],[TOTAL APORTES ICBF]]</f>
        <v>159831721</v>
      </c>
      <c r="AI158" s="35" t="str">
        <f>+IF(Tabla44[[#This Row],[AGRUPACIONES]]=1,SUMIFS(Tabla44[TOTAL APORTES ICBF],Tabla44[ZONA DEFINITIVO],Tabla44[[#This Row],[ZONA DEFINITIVO]])," ")</f>
        <v xml:space="preserve"> </v>
      </c>
      <c r="AJ158" s="38"/>
      <c r="AK158" s="38"/>
      <c r="AL158" s="35"/>
      <c r="AM158" s="35">
        <f>VLOOKUP(Tabla44[[#This Row],[SERVICIO 2025]],$J$2:$V$15,5,0)*Tabla44[[#This Row],[TOTAL COBERTURA]]</f>
        <v>3653873</v>
      </c>
      <c r="AN158" s="35">
        <f>VLOOKUP(Tabla44[[#This Row],[SERVICIO 2025]],$J$2:$V$15,6,0)*Tabla44[[#This Row],[TOTAL COBERTURA]]</f>
        <v>3061236</v>
      </c>
      <c r="AO158" s="35">
        <f>VLOOKUP(Tabla44[[#This Row],[SERVICIO 2025]],$J$2:$V$15,8,0)*Tabla44[[#This Row],[TOTAL COBERTURA]]</f>
        <v>2066100</v>
      </c>
      <c r="AP158" s="35">
        <f>VLOOKUP(Tabla44[[#This Row],[SERVICIO 2025]],$J$2:$V$15,3,0)*Tabla44[[#This Row],[TOTAL COBERTURA]]*8</f>
        <v>151050512</v>
      </c>
      <c r="AQ158" s="35"/>
      <c r="AR158" s="35">
        <f>SUM(Tabla44[[#This Row],[VALOR FASE PREPARATORIA DE ALISTAMIENTO]:[VALOR RACION PREPARADA]])</f>
        <v>159831721</v>
      </c>
      <c r="AS158" s="35" t="str">
        <f>+IF(Tabla44[[#This Row],[AGRUPACIONES]]=1,SUMIFS(Tabla44[VALOR TOTAL],Tabla44[ZONA DEFINITIVO],Tabla44[[#This Row],[ZONA DEFINITIVO]])," ")</f>
        <v xml:space="preserve"> </v>
      </c>
      <c r="AT158" s="35">
        <f>VLOOKUP(Tabla44[[#This Row],[SERVICIO 2025]],$J$2:$V$15,10,0)*Tabla44[[#This Row],[TOTAL COBERTURA]]*$X$7</f>
        <v>102457544</v>
      </c>
      <c r="AU158" s="39">
        <f>Tabla44[[#This Row],[TOTAL CONTRATO (ICBF+EAS)]]+Tabla44[[#This Row],[VALOR COMPONENTE ALIMENTACION NO ASIGNADO]]</f>
        <v>262289265</v>
      </c>
      <c r="AV15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37408480</v>
      </c>
      <c r="AW158" s="35">
        <f>(VLOOKUP(Tabla44[[#This Row],[SERVICIO 2025]],$J$2:$V$15,3,0)*Tabla44[[#This Row],[TOTAL COBERTURA]])+VLOOKUP(Tabla44[[#This Row],[SERVICIO 2025]],$J$2:$V$15,10,0)*Tabla44[[#This Row],[TOTAL COBERTURA]]</f>
        <v>31688507</v>
      </c>
      <c r="AX158" s="35">
        <f>(VLOOKUP(Tabla44[[#This Row],[SERVICIO 2025]],$J$2:$V$15,3,0)*Tabla44[[#This Row],[TOTAL COBERTURA]])+VLOOKUP(Tabla44[[#This Row],[SERVICIO 2025]],$J$2:$V$15,10,0)*Tabla44[[#This Row],[TOTAL COBERTURA]]</f>
        <v>31688507</v>
      </c>
      <c r="AY158" s="35">
        <f>(VLOOKUP(Tabla44[[#This Row],[SERVICIO 2025]],$J$2:$V$15,3,0)*Tabla44[[#This Row],[TOTAL COBERTURA]])+VLOOKUP(Tabla44[[#This Row],[SERVICIO 2025]],$J$2:$V$15,10,0)*Tabla44[[#This Row],[TOTAL COBERTURA]]</f>
        <v>31688507</v>
      </c>
      <c r="AZ158" s="35">
        <f>(VLOOKUP(Tabla44[[#This Row],[SERVICIO 2025]],$J$2:$V$15,3,0)*Tabla44[[#This Row],[TOTAL COBERTURA]])+VLOOKUP(Tabla44[[#This Row],[SERVICIO 2025]],$J$2:$V$15,10,0)*Tabla44[[#This Row],[TOTAL COBERTURA]]</f>
        <v>31688507</v>
      </c>
      <c r="BA158" s="35">
        <f>(VLOOKUP(Tabla44[[#This Row],[SERVICIO 2025]],$J$2:$V$15,3,0)*Tabla44[[#This Row],[TOTAL COBERTURA]])+VLOOKUP(Tabla44[[#This Row],[SERVICIO 2025]],$J$2:$V$15,10,0)*Tabla44[[#This Row],[TOTAL COBERTURA]]</f>
        <v>31688507</v>
      </c>
      <c r="BB158" s="35">
        <f>(VLOOKUP(Tabla44[[#This Row],[SERVICIO 2025]],$J$2:$V$15,3,0)*Tabla44[[#This Row],[TOTAL COBERTURA]])+VLOOKUP(Tabla44[[#This Row],[SERVICIO 2025]],$J$2:$V$15,10,0)*Tabla44[[#This Row],[TOTAL COBERTURA]]</f>
        <v>31688507</v>
      </c>
      <c r="BC15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34749743</v>
      </c>
      <c r="BD158" s="35">
        <f>SUM(Tabla44[[#This Row],[DESEMBOLSO 1]:[DESEMBOLSO 8]])</f>
        <v>262289265</v>
      </c>
      <c r="BE158" s="12" t="b">
        <f>EXACT(Tabla44[[#This Row],[VALOR ATENCIÓN (8 MESES)]],Tabla44[[#This Row],[VALOR TOTAL]])</f>
        <v>1</v>
      </c>
      <c r="BF158" s="23">
        <f>Tabla44[[#This Row],[VALOR ATENCIÓN (8 MESES)]]-Tabla44[[#This Row],[VALOR TOTAL]]</f>
        <v>0</v>
      </c>
      <c r="BG158" s="12" t="b">
        <f>EXACT(Tabla44[[#This Row],[TOTAL DESEMBOLSOS]],Tabla44[[#This Row],[VALOR TOTAL DEL CONTRATO INCLUIDO EL COMPONENTE DE ALIMENTACIÓN]])</f>
        <v>1</v>
      </c>
      <c r="BH158" s="29">
        <f>Tabla44[[#This Row],[TOTAL DESEMBOLSOS]]-Tabla44[[#This Row],[VALOR TOTAL DEL CONTRATO INCLUIDO EL COMPONENTE DE ALIMENTACIÓN]]</f>
        <v>0</v>
      </c>
      <c r="BI158" t="s">
        <v>98</v>
      </c>
    </row>
    <row r="159" spans="1:61">
      <c r="A159" s="13">
        <v>1963</v>
      </c>
      <c r="B159" s="13"/>
      <c r="C159" s="12" t="s">
        <v>87</v>
      </c>
      <c r="D159" s="12" t="s">
        <v>651</v>
      </c>
      <c r="E159" s="12" t="s">
        <v>3109</v>
      </c>
      <c r="F159" s="12" t="s">
        <v>14</v>
      </c>
      <c r="G159" s="12" t="s">
        <v>90</v>
      </c>
      <c r="H159" s="12" t="s">
        <v>3121</v>
      </c>
      <c r="I159" s="36">
        <v>503600080782</v>
      </c>
      <c r="J159" s="12" t="s">
        <v>3122</v>
      </c>
      <c r="K159" s="12">
        <v>1</v>
      </c>
      <c r="L159" s="12">
        <v>45</v>
      </c>
      <c r="M159" s="12"/>
      <c r="N159" s="13">
        <v>1963</v>
      </c>
      <c r="O159" s="12" t="s">
        <v>2850</v>
      </c>
      <c r="P159" s="12"/>
      <c r="Q159" s="12"/>
      <c r="R159" s="12" t="s">
        <v>94</v>
      </c>
      <c r="S159" s="12">
        <v>10</v>
      </c>
      <c r="T159" s="12">
        <v>811008215</v>
      </c>
      <c r="U159" s="12" t="s">
        <v>3112</v>
      </c>
      <c r="V159" s="12">
        <f>VLOOKUP(Tabla44[[#This Row],[ZONA DEFINITIVO]],[1]Hoja1!$A$1:$D$125,3,0)</f>
        <v>229937</v>
      </c>
      <c r="W159" s="12">
        <f>VLOOKUP(Tabla44[[#This Row],[ZONA DEFINITIVO]],[1]Hoja1!$A$1:$D$125,2,0)</f>
        <v>17256</v>
      </c>
      <c r="X159" s="12">
        <f>VLOOKUP(Tabla44[[#This Row],[ZONA DEFINITIVO]],[1]Hoja1!$A$1:$D$125,4,0)</f>
        <v>104525</v>
      </c>
      <c r="Y159" s="12" t="str">
        <f>+IF(Tabla44[[#This Row],[AGRUPACIONES]]=1,SUMIFS(Tabla44[UDS],Tabla44[ZONA DEFINITIVO],Tabla44[[#This Row],[ZONA DEFINITIVO]])," ")</f>
        <v xml:space="preserve"> </v>
      </c>
      <c r="Z159" s="12" t="str">
        <f>+IF(Tabla44[[#This Row],[AGRUPACIONES]]=1,SUMIFS(Tabla44[TOTAL COBERTURA],Tabla44[ZONA DEFINITIVO],Tabla44[[#This Row],[ZONA DEFINITIVO]])," ")</f>
        <v xml:space="preserve"> </v>
      </c>
      <c r="AA159" s="12"/>
      <c r="AB159" s="35">
        <v>188498250</v>
      </c>
      <c r="AC159" s="37">
        <v>0</v>
      </c>
      <c r="AD159" s="35">
        <f t="shared" si="3"/>
        <v>0</v>
      </c>
      <c r="AE159" s="12"/>
      <c r="AF159" s="12">
        <f>COUNTIF($A$20:A159,A159)</f>
        <v>7</v>
      </c>
      <c r="AG159" s="38">
        <v>188498250</v>
      </c>
      <c r="AH159" s="38">
        <f>Tabla44[[#This Row],[VALOR CONTRAPARTIDA]]+Tabla44[[#This Row],[TOTAL APORTES ICBF]]</f>
        <v>188498250</v>
      </c>
      <c r="AI159" s="35" t="str">
        <f>+IF(Tabla44[[#This Row],[AGRUPACIONES]]=1,SUMIFS(Tabla44[TOTAL APORTES ICBF],Tabla44[ZONA DEFINITIVO],Tabla44[[#This Row],[ZONA DEFINITIVO]])," ")</f>
        <v xml:space="preserve"> </v>
      </c>
      <c r="AJ159" s="38"/>
      <c r="AK159" s="38"/>
      <c r="AL159" s="35"/>
      <c r="AM159" s="35">
        <f>VLOOKUP(Tabla44[[#This Row],[SERVICIO 2025]],$J$2:$V$15,5,0)*Tabla44[[#This Row],[TOTAL COBERTURA]]</f>
        <v>3966435</v>
      </c>
      <c r="AN159" s="35">
        <f>VLOOKUP(Tabla44[[#This Row],[SERVICIO 2025]],$J$2:$V$15,6,0)*Tabla44[[#This Row],[TOTAL COBERTURA]]</f>
        <v>3376935</v>
      </c>
      <c r="AO159" s="35">
        <f>VLOOKUP(Tabla44[[#This Row],[SERVICIO 2025]],$J$2:$V$15,8,0)*Tabla44[[#This Row],[TOTAL COBERTURA]]</f>
        <v>0</v>
      </c>
      <c r="AP159" s="35">
        <f>VLOOKUP(Tabla44[[#This Row],[SERVICIO 2025]],$J$2:$V$15,3,0)*Tabla44[[#This Row],[TOTAL COBERTURA]]*8</f>
        <v>181154880</v>
      </c>
      <c r="AQ159" s="35"/>
      <c r="AR159" s="35">
        <f>SUM(Tabla44[[#This Row],[VALOR FASE PREPARATORIA DE ALISTAMIENTO]:[VALOR RACION PREPARADA]])</f>
        <v>188498250</v>
      </c>
      <c r="AS159" s="35" t="str">
        <f>+IF(Tabla44[[#This Row],[AGRUPACIONES]]=1,SUMIFS(Tabla44[VALOR TOTAL],Tabla44[ZONA DEFINITIVO],Tabla44[[#This Row],[ZONA DEFINITIVO]])," ")</f>
        <v xml:space="preserve"> </v>
      </c>
      <c r="AT159" s="35">
        <f>VLOOKUP(Tabla44[[#This Row],[SERVICIO 2025]],$J$2:$V$15,10,0)*Tabla44[[#This Row],[TOTAL COBERTURA]]*$X$7</f>
        <v>0</v>
      </c>
      <c r="AU159" s="39">
        <f>Tabla44[[#This Row],[TOTAL CONTRATO (ICBF+EAS)]]+Tabla44[[#This Row],[VALOR COMPONENTE ALIMENTACION NO ASIGNADO]]</f>
        <v>188498250</v>
      </c>
      <c r="AV15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26610795</v>
      </c>
      <c r="AW159" s="35">
        <f>(VLOOKUP(Tabla44[[#This Row],[SERVICIO 2025]],$J$2:$V$15,3,0)*Tabla44[[#This Row],[TOTAL COBERTURA]])+VLOOKUP(Tabla44[[#This Row],[SERVICIO 2025]],$J$2:$V$15,10,0)*Tabla44[[#This Row],[TOTAL COBERTURA]]</f>
        <v>22644360</v>
      </c>
      <c r="AX159" s="35">
        <f>(VLOOKUP(Tabla44[[#This Row],[SERVICIO 2025]],$J$2:$V$15,3,0)*Tabla44[[#This Row],[TOTAL COBERTURA]])+VLOOKUP(Tabla44[[#This Row],[SERVICIO 2025]],$J$2:$V$15,10,0)*Tabla44[[#This Row],[TOTAL COBERTURA]]</f>
        <v>22644360</v>
      </c>
      <c r="AY159" s="35">
        <f>(VLOOKUP(Tabla44[[#This Row],[SERVICIO 2025]],$J$2:$V$15,3,0)*Tabla44[[#This Row],[TOTAL COBERTURA]])+VLOOKUP(Tabla44[[#This Row],[SERVICIO 2025]],$J$2:$V$15,10,0)*Tabla44[[#This Row],[TOTAL COBERTURA]]</f>
        <v>22644360</v>
      </c>
      <c r="AZ159" s="35">
        <f>(VLOOKUP(Tabla44[[#This Row],[SERVICIO 2025]],$J$2:$V$15,3,0)*Tabla44[[#This Row],[TOTAL COBERTURA]])+VLOOKUP(Tabla44[[#This Row],[SERVICIO 2025]],$J$2:$V$15,10,0)*Tabla44[[#This Row],[TOTAL COBERTURA]]</f>
        <v>22644360</v>
      </c>
      <c r="BA159" s="35">
        <f>(VLOOKUP(Tabla44[[#This Row],[SERVICIO 2025]],$J$2:$V$15,3,0)*Tabla44[[#This Row],[TOTAL COBERTURA]])+VLOOKUP(Tabla44[[#This Row],[SERVICIO 2025]],$J$2:$V$15,10,0)*Tabla44[[#This Row],[TOTAL COBERTURA]]</f>
        <v>22644360</v>
      </c>
      <c r="BB159" s="35">
        <f>(VLOOKUP(Tabla44[[#This Row],[SERVICIO 2025]],$J$2:$V$15,3,0)*Tabla44[[#This Row],[TOTAL COBERTURA]])+VLOOKUP(Tabla44[[#This Row],[SERVICIO 2025]],$J$2:$V$15,10,0)*Tabla44[[#This Row],[TOTAL COBERTURA]]</f>
        <v>22644360</v>
      </c>
      <c r="BC15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26021295</v>
      </c>
      <c r="BD159" s="35">
        <f>SUM(Tabla44[[#This Row],[DESEMBOLSO 1]:[DESEMBOLSO 8]])</f>
        <v>188498250</v>
      </c>
      <c r="BE159" s="12" t="b">
        <f>EXACT(Tabla44[[#This Row],[VALOR ATENCIÓN (8 MESES)]],Tabla44[[#This Row],[VALOR TOTAL]])</f>
        <v>1</v>
      </c>
      <c r="BF159" s="23">
        <f>Tabla44[[#This Row],[VALOR ATENCIÓN (8 MESES)]]-Tabla44[[#This Row],[VALOR TOTAL]]</f>
        <v>0</v>
      </c>
      <c r="BG159" s="12" t="b">
        <f>EXACT(Tabla44[[#This Row],[TOTAL DESEMBOLSOS]],Tabla44[[#This Row],[VALOR TOTAL DEL CONTRATO INCLUIDO EL COMPONENTE DE ALIMENTACIÓN]])</f>
        <v>1</v>
      </c>
      <c r="BH159" s="29">
        <f>Tabla44[[#This Row],[TOTAL DESEMBOLSOS]]-Tabla44[[#This Row],[VALOR TOTAL DEL CONTRATO INCLUIDO EL COMPONENTE DE ALIMENTACIÓN]]</f>
        <v>0</v>
      </c>
      <c r="BI159" t="s">
        <v>98</v>
      </c>
    </row>
    <row r="160" spans="1:61">
      <c r="A160" s="13">
        <v>1963</v>
      </c>
      <c r="B160" s="13"/>
      <c r="C160" s="12" t="s">
        <v>87</v>
      </c>
      <c r="D160" s="12" t="s">
        <v>651</v>
      </c>
      <c r="E160" s="12" t="s">
        <v>3123</v>
      </c>
      <c r="F160" s="12" t="s">
        <v>14</v>
      </c>
      <c r="G160" s="12" t="s">
        <v>90</v>
      </c>
      <c r="H160" s="12" t="s">
        <v>3124</v>
      </c>
      <c r="I160" s="36">
        <v>53471111807</v>
      </c>
      <c r="J160" s="12" t="s">
        <v>2310</v>
      </c>
      <c r="K160" s="12">
        <v>1</v>
      </c>
      <c r="L160" s="12">
        <v>31</v>
      </c>
      <c r="M160" s="12"/>
      <c r="N160" s="13">
        <v>1963</v>
      </c>
      <c r="O160" s="12" t="s">
        <v>2850</v>
      </c>
      <c r="P160" s="12"/>
      <c r="Q160" s="12"/>
      <c r="R160" s="12" t="s">
        <v>94</v>
      </c>
      <c r="S160" s="12">
        <v>10</v>
      </c>
      <c r="T160" s="12">
        <v>811008215</v>
      </c>
      <c r="U160" s="12" t="s">
        <v>3112</v>
      </c>
      <c r="V160" s="12">
        <f>VLOOKUP(Tabla44[[#This Row],[ZONA DEFINITIVO]],[1]Hoja1!$A$1:$D$125,3,0)</f>
        <v>229937</v>
      </c>
      <c r="W160" s="12">
        <f>VLOOKUP(Tabla44[[#This Row],[ZONA DEFINITIVO]],[1]Hoja1!$A$1:$D$125,2,0)</f>
        <v>17256</v>
      </c>
      <c r="X160" s="12">
        <f>VLOOKUP(Tabla44[[#This Row],[ZONA DEFINITIVO]],[1]Hoja1!$A$1:$D$125,4,0)</f>
        <v>104525</v>
      </c>
      <c r="Y160" s="12" t="str">
        <f>+IF(Tabla44[[#This Row],[AGRUPACIONES]]=1,SUMIFS(Tabla44[UDS],Tabla44[ZONA DEFINITIVO],Tabla44[[#This Row],[ZONA DEFINITIVO]])," ")</f>
        <v xml:space="preserve"> </v>
      </c>
      <c r="Z160" s="12" t="str">
        <f>+IF(Tabla44[[#This Row],[AGRUPACIONES]]=1,SUMIFS(Tabla44[TOTAL COBERTURA],Tabla44[ZONA DEFINITIVO],Tabla44[[#This Row],[ZONA DEFINITIVO]])," ")</f>
        <v xml:space="preserve"> </v>
      </c>
      <c r="AA160" s="12"/>
      <c r="AB160" s="35">
        <v>129854350</v>
      </c>
      <c r="AC160" s="37">
        <v>0</v>
      </c>
      <c r="AD160" s="35">
        <f t="shared" si="3"/>
        <v>0</v>
      </c>
      <c r="AE160" s="12"/>
      <c r="AF160" s="12">
        <f>COUNTIF($A$20:A160,A160)</f>
        <v>8</v>
      </c>
      <c r="AG160" s="38">
        <v>129854350</v>
      </c>
      <c r="AH160" s="38">
        <f>Tabla44[[#This Row],[VALOR CONTRAPARTIDA]]+Tabla44[[#This Row],[TOTAL APORTES ICBF]]</f>
        <v>129854350</v>
      </c>
      <c r="AI160" s="35" t="str">
        <f>+IF(Tabla44[[#This Row],[AGRUPACIONES]]=1,SUMIFS(Tabla44[TOTAL APORTES ICBF],Tabla44[ZONA DEFINITIVO],Tabla44[[#This Row],[ZONA DEFINITIVO]])," ")</f>
        <v xml:space="preserve"> </v>
      </c>
      <c r="AJ160" s="38"/>
      <c r="AK160" s="38"/>
      <c r="AL160" s="35"/>
      <c r="AM160" s="35">
        <f>VLOOKUP(Tabla44[[#This Row],[SERVICIO 2025]],$J$2:$V$15,5,0)*Tabla44[[#This Row],[TOTAL COBERTURA]]</f>
        <v>2732433</v>
      </c>
      <c r="AN160" s="35">
        <f>VLOOKUP(Tabla44[[#This Row],[SERVICIO 2025]],$J$2:$V$15,6,0)*Tabla44[[#This Row],[TOTAL COBERTURA]]</f>
        <v>2326333</v>
      </c>
      <c r="AO160" s="35">
        <f>VLOOKUP(Tabla44[[#This Row],[SERVICIO 2025]],$J$2:$V$15,8,0)*Tabla44[[#This Row],[TOTAL COBERTURA]]</f>
        <v>0</v>
      </c>
      <c r="AP160" s="35">
        <f>VLOOKUP(Tabla44[[#This Row],[SERVICIO 2025]],$J$2:$V$15,3,0)*Tabla44[[#This Row],[TOTAL COBERTURA]]*8</f>
        <v>124795584</v>
      </c>
      <c r="AQ160" s="35"/>
      <c r="AR160" s="35">
        <f>SUM(Tabla44[[#This Row],[VALOR FASE PREPARATORIA DE ALISTAMIENTO]:[VALOR RACION PREPARADA]])</f>
        <v>129854350</v>
      </c>
      <c r="AS160" s="35" t="str">
        <f>+IF(Tabla44[[#This Row],[AGRUPACIONES]]=1,SUMIFS(Tabla44[VALOR TOTAL],Tabla44[ZONA DEFINITIVO],Tabla44[[#This Row],[ZONA DEFINITIVO]])," ")</f>
        <v xml:space="preserve"> </v>
      </c>
      <c r="AT160" s="35">
        <f>VLOOKUP(Tabla44[[#This Row],[SERVICIO 2025]],$J$2:$V$15,10,0)*Tabla44[[#This Row],[TOTAL COBERTURA]]*$X$7</f>
        <v>0</v>
      </c>
      <c r="AU160" s="39">
        <f>Tabla44[[#This Row],[TOTAL CONTRATO (ICBF+EAS)]]+Tabla44[[#This Row],[VALOR COMPONENTE ALIMENTACION NO ASIGNADO]]</f>
        <v>129854350</v>
      </c>
      <c r="AV16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18331881</v>
      </c>
      <c r="AW160" s="35">
        <f>(VLOOKUP(Tabla44[[#This Row],[SERVICIO 2025]],$J$2:$V$15,3,0)*Tabla44[[#This Row],[TOTAL COBERTURA]])+VLOOKUP(Tabla44[[#This Row],[SERVICIO 2025]],$J$2:$V$15,10,0)*Tabla44[[#This Row],[TOTAL COBERTURA]]</f>
        <v>15599448</v>
      </c>
      <c r="AX160" s="35">
        <f>(VLOOKUP(Tabla44[[#This Row],[SERVICIO 2025]],$J$2:$V$15,3,0)*Tabla44[[#This Row],[TOTAL COBERTURA]])+VLOOKUP(Tabla44[[#This Row],[SERVICIO 2025]],$J$2:$V$15,10,0)*Tabla44[[#This Row],[TOTAL COBERTURA]]</f>
        <v>15599448</v>
      </c>
      <c r="AY160" s="35">
        <f>(VLOOKUP(Tabla44[[#This Row],[SERVICIO 2025]],$J$2:$V$15,3,0)*Tabla44[[#This Row],[TOTAL COBERTURA]])+VLOOKUP(Tabla44[[#This Row],[SERVICIO 2025]],$J$2:$V$15,10,0)*Tabla44[[#This Row],[TOTAL COBERTURA]]</f>
        <v>15599448</v>
      </c>
      <c r="AZ160" s="35">
        <f>(VLOOKUP(Tabla44[[#This Row],[SERVICIO 2025]],$J$2:$V$15,3,0)*Tabla44[[#This Row],[TOTAL COBERTURA]])+VLOOKUP(Tabla44[[#This Row],[SERVICIO 2025]],$J$2:$V$15,10,0)*Tabla44[[#This Row],[TOTAL COBERTURA]]</f>
        <v>15599448</v>
      </c>
      <c r="BA160" s="35">
        <f>(VLOOKUP(Tabla44[[#This Row],[SERVICIO 2025]],$J$2:$V$15,3,0)*Tabla44[[#This Row],[TOTAL COBERTURA]])+VLOOKUP(Tabla44[[#This Row],[SERVICIO 2025]],$J$2:$V$15,10,0)*Tabla44[[#This Row],[TOTAL COBERTURA]]</f>
        <v>15599448</v>
      </c>
      <c r="BB160" s="35">
        <f>(VLOOKUP(Tabla44[[#This Row],[SERVICIO 2025]],$J$2:$V$15,3,0)*Tabla44[[#This Row],[TOTAL COBERTURA]])+VLOOKUP(Tabla44[[#This Row],[SERVICIO 2025]],$J$2:$V$15,10,0)*Tabla44[[#This Row],[TOTAL COBERTURA]]</f>
        <v>15599448</v>
      </c>
      <c r="BC16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17925781</v>
      </c>
      <c r="BD160" s="35">
        <f>SUM(Tabla44[[#This Row],[DESEMBOLSO 1]:[DESEMBOLSO 8]])</f>
        <v>129854350</v>
      </c>
      <c r="BE160" s="12" t="b">
        <f>EXACT(Tabla44[[#This Row],[VALOR ATENCIÓN (8 MESES)]],Tabla44[[#This Row],[VALOR TOTAL]])</f>
        <v>1</v>
      </c>
      <c r="BF160" s="23">
        <f>Tabla44[[#This Row],[VALOR ATENCIÓN (8 MESES)]]-Tabla44[[#This Row],[VALOR TOTAL]]</f>
        <v>0</v>
      </c>
      <c r="BG160" s="12" t="b">
        <f>EXACT(Tabla44[[#This Row],[TOTAL DESEMBOLSOS]],Tabla44[[#This Row],[VALOR TOTAL DEL CONTRATO INCLUIDO EL COMPONENTE DE ALIMENTACIÓN]])</f>
        <v>1</v>
      </c>
      <c r="BH160" s="29">
        <f>Tabla44[[#This Row],[TOTAL DESEMBOLSOS]]-Tabla44[[#This Row],[VALOR TOTAL DEL CONTRATO INCLUIDO EL COMPONENTE DE ALIMENTACIÓN]]</f>
        <v>0</v>
      </c>
      <c r="BI160" t="s">
        <v>98</v>
      </c>
    </row>
    <row r="161" spans="1:61">
      <c r="A161" s="13">
        <v>1963</v>
      </c>
      <c r="B161" s="13"/>
      <c r="C161" s="12" t="s">
        <v>87</v>
      </c>
      <c r="D161" s="12" t="s">
        <v>651</v>
      </c>
      <c r="E161" s="12" t="s">
        <v>3123</v>
      </c>
      <c r="F161" s="12" t="s">
        <v>21</v>
      </c>
      <c r="G161" s="12" t="s">
        <v>90</v>
      </c>
      <c r="H161" s="12" t="s">
        <v>3125</v>
      </c>
      <c r="I161" s="36">
        <v>53471119626</v>
      </c>
      <c r="J161" s="12" t="s">
        <v>3126</v>
      </c>
      <c r="K161" s="12">
        <v>1</v>
      </c>
      <c r="L161" s="12">
        <v>48</v>
      </c>
      <c r="M161" s="12"/>
      <c r="N161" s="13">
        <v>1963</v>
      </c>
      <c r="O161" s="12" t="s">
        <v>2850</v>
      </c>
      <c r="P161" s="12"/>
      <c r="Q161" s="12"/>
      <c r="R161" s="12" t="s">
        <v>94</v>
      </c>
      <c r="S161" s="12">
        <v>10</v>
      </c>
      <c r="T161" s="12">
        <v>811008215</v>
      </c>
      <c r="U161" s="12" t="s">
        <v>3112</v>
      </c>
      <c r="V161" s="12">
        <f>VLOOKUP(Tabla44[[#This Row],[ZONA DEFINITIVO]],[1]Hoja1!$A$1:$D$125,3,0)</f>
        <v>229937</v>
      </c>
      <c r="W161" s="12">
        <f>VLOOKUP(Tabla44[[#This Row],[ZONA DEFINITIVO]],[1]Hoja1!$A$1:$D$125,2,0)</f>
        <v>17256</v>
      </c>
      <c r="X161" s="12">
        <f>VLOOKUP(Tabla44[[#This Row],[ZONA DEFINITIVO]],[1]Hoja1!$A$1:$D$125,4,0)</f>
        <v>104525</v>
      </c>
      <c r="Y161" s="12" t="str">
        <f>+IF(Tabla44[[#This Row],[AGRUPACIONES]]=1,SUMIFS(Tabla44[UDS],Tabla44[ZONA DEFINITIVO],Tabla44[[#This Row],[ZONA DEFINITIVO]])," ")</f>
        <v xml:space="preserve"> </v>
      </c>
      <c r="Z161" s="12" t="str">
        <f>+IF(Tabla44[[#This Row],[AGRUPACIONES]]=1,SUMIFS(Tabla44[TOTAL COBERTURA],Tabla44[ZONA DEFINITIVO],Tabla44[[#This Row],[ZONA DEFINITIVO]])," ")</f>
        <v xml:space="preserve"> </v>
      </c>
      <c r="AA161" s="12"/>
      <c r="AB161" s="35">
        <v>72926640</v>
      </c>
      <c r="AC161" s="37">
        <v>0</v>
      </c>
      <c r="AD161" s="35">
        <f t="shared" si="3"/>
        <v>0</v>
      </c>
      <c r="AE161" s="12"/>
      <c r="AF161" s="12">
        <f>COUNTIF($A$20:A161,A161)</f>
        <v>9</v>
      </c>
      <c r="AG161" s="38">
        <v>72926640</v>
      </c>
      <c r="AH161" s="38">
        <f>Tabla44[[#This Row],[VALOR CONTRAPARTIDA]]+Tabla44[[#This Row],[TOTAL APORTES ICBF]]</f>
        <v>72926640</v>
      </c>
      <c r="AI161" s="35" t="str">
        <f>+IF(Tabla44[[#This Row],[AGRUPACIONES]]=1,SUMIFS(Tabla44[TOTAL APORTES ICBF],Tabla44[ZONA DEFINITIVO],Tabla44[[#This Row],[ZONA DEFINITIVO]])," ")</f>
        <v xml:space="preserve"> </v>
      </c>
      <c r="AJ161" s="38"/>
      <c r="AK161" s="38"/>
      <c r="AL161" s="35"/>
      <c r="AM161" s="35">
        <f>VLOOKUP(Tabla44[[#This Row],[SERVICIO 2025]],$J$2:$V$15,5,0)*Tabla44[[#This Row],[TOTAL COBERTURA]]</f>
        <v>2243712</v>
      </c>
      <c r="AN161" s="35">
        <f>VLOOKUP(Tabla44[[#This Row],[SERVICIO 2025]],$J$2:$V$15,6,0)*Tabla44[[#This Row],[TOTAL COBERTURA]]</f>
        <v>1816368</v>
      </c>
      <c r="AO161" s="35">
        <f>VLOOKUP(Tabla44[[#This Row],[SERVICIO 2025]],$J$2:$V$15,8,0)*Tabla44[[#This Row],[TOTAL COBERTURA]]</f>
        <v>0</v>
      </c>
      <c r="AP161" s="35">
        <f>VLOOKUP(Tabla44[[#This Row],[SERVICIO 2025]],$J$2:$V$15,3,0)*Tabla44[[#This Row],[TOTAL COBERTURA]]*8</f>
        <v>68866560</v>
      </c>
      <c r="AQ161" s="35"/>
      <c r="AR161" s="35">
        <f>SUM(Tabla44[[#This Row],[VALOR FASE PREPARATORIA DE ALISTAMIENTO]:[VALOR RACION PREPARADA]])</f>
        <v>72926640</v>
      </c>
      <c r="AS161" s="35" t="str">
        <f>+IF(Tabla44[[#This Row],[AGRUPACIONES]]=1,SUMIFS(Tabla44[VALOR TOTAL],Tabla44[ZONA DEFINITIVO],Tabla44[[#This Row],[ZONA DEFINITIVO]])," ")</f>
        <v xml:space="preserve"> </v>
      </c>
      <c r="AT161" s="35">
        <f>VLOOKUP(Tabla44[[#This Row],[SERVICIO 2025]],$J$2:$V$15,10,0)*Tabla44[[#This Row],[TOTAL COBERTURA]]*$X$7</f>
        <v>72315264</v>
      </c>
      <c r="AU161" s="39">
        <f>Tabla44[[#This Row],[TOTAL CONTRATO (ICBF+EAS)]]+Tabla44[[#This Row],[VALOR COMPONENTE ALIMENTACION NO ASIGNADO]]</f>
        <v>145241904</v>
      </c>
      <c r="AV16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19891440</v>
      </c>
      <c r="AW161" s="35">
        <f>(VLOOKUP(Tabla44[[#This Row],[SERVICIO 2025]],$J$2:$V$15,3,0)*Tabla44[[#This Row],[TOTAL COBERTURA]])+VLOOKUP(Tabla44[[#This Row],[SERVICIO 2025]],$J$2:$V$15,10,0)*Tabla44[[#This Row],[TOTAL COBERTURA]]</f>
        <v>17647728</v>
      </c>
      <c r="AX161" s="35">
        <f>(VLOOKUP(Tabla44[[#This Row],[SERVICIO 2025]],$J$2:$V$15,3,0)*Tabla44[[#This Row],[TOTAL COBERTURA]])+VLOOKUP(Tabla44[[#This Row],[SERVICIO 2025]],$J$2:$V$15,10,0)*Tabla44[[#This Row],[TOTAL COBERTURA]]</f>
        <v>17647728</v>
      </c>
      <c r="AY161" s="35">
        <f>(VLOOKUP(Tabla44[[#This Row],[SERVICIO 2025]],$J$2:$V$15,3,0)*Tabla44[[#This Row],[TOTAL COBERTURA]])+VLOOKUP(Tabla44[[#This Row],[SERVICIO 2025]],$J$2:$V$15,10,0)*Tabla44[[#This Row],[TOTAL COBERTURA]]</f>
        <v>17647728</v>
      </c>
      <c r="AZ161" s="35">
        <f>(VLOOKUP(Tabla44[[#This Row],[SERVICIO 2025]],$J$2:$V$15,3,0)*Tabla44[[#This Row],[TOTAL COBERTURA]])+VLOOKUP(Tabla44[[#This Row],[SERVICIO 2025]],$J$2:$V$15,10,0)*Tabla44[[#This Row],[TOTAL COBERTURA]]</f>
        <v>17647728</v>
      </c>
      <c r="BA161" s="35">
        <f>(VLOOKUP(Tabla44[[#This Row],[SERVICIO 2025]],$J$2:$V$15,3,0)*Tabla44[[#This Row],[TOTAL COBERTURA]])+VLOOKUP(Tabla44[[#This Row],[SERVICIO 2025]],$J$2:$V$15,10,0)*Tabla44[[#This Row],[TOTAL COBERTURA]]</f>
        <v>17647728</v>
      </c>
      <c r="BB161" s="35">
        <f>(VLOOKUP(Tabla44[[#This Row],[SERVICIO 2025]],$J$2:$V$15,3,0)*Tabla44[[#This Row],[TOTAL COBERTURA]])+VLOOKUP(Tabla44[[#This Row],[SERVICIO 2025]],$J$2:$V$15,10,0)*Tabla44[[#This Row],[TOTAL COBERTURA]]</f>
        <v>17647728</v>
      </c>
      <c r="BC16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19464096</v>
      </c>
      <c r="BD161" s="35">
        <f>SUM(Tabla44[[#This Row],[DESEMBOLSO 1]:[DESEMBOLSO 8]])</f>
        <v>145241904</v>
      </c>
      <c r="BE161" s="12" t="b">
        <f>EXACT(Tabla44[[#This Row],[VALOR ATENCIÓN (8 MESES)]],Tabla44[[#This Row],[VALOR TOTAL]])</f>
        <v>1</v>
      </c>
      <c r="BF161" s="23">
        <f>Tabla44[[#This Row],[VALOR ATENCIÓN (8 MESES)]]-Tabla44[[#This Row],[VALOR TOTAL]]</f>
        <v>0</v>
      </c>
      <c r="BG161" s="12" t="b">
        <f>EXACT(Tabla44[[#This Row],[TOTAL DESEMBOLSOS]],Tabla44[[#This Row],[VALOR TOTAL DEL CONTRATO INCLUIDO EL COMPONENTE DE ALIMENTACIÓN]])</f>
        <v>1</v>
      </c>
      <c r="BH161" s="29">
        <f>Tabla44[[#This Row],[TOTAL DESEMBOLSOS]]-Tabla44[[#This Row],[VALOR TOTAL DEL CONTRATO INCLUIDO EL COMPONENTE DE ALIMENTACIÓN]]</f>
        <v>0</v>
      </c>
      <c r="BI161" t="s">
        <v>98</v>
      </c>
    </row>
    <row r="162" spans="1:61">
      <c r="A162" s="13">
        <v>1963</v>
      </c>
      <c r="B162" s="21"/>
      <c r="C162" s="22" t="s">
        <v>87</v>
      </c>
      <c r="D162" s="22" t="s">
        <v>651</v>
      </c>
      <c r="E162" s="22" t="s">
        <v>3123</v>
      </c>
      <c r="F162" s="22" t="s">
        <v>21</v>
      </c>
      <c r="G162" s="12" t="s">
        <v>90</v>
      </c>
      <c r="H162" s="22" t="s">
        <v>3127</v>
      </c>
      <c r="I162" s="36">
        <v>53471119628</v>
      </c>
      <c r="J162" s="22" t="s">
        <v>3128</v>
      </c>
      <c r="K162" s="12">
        <v>1</v>
      </c>
      <c r="L162" s="22">
        <v>15</v>
      </c>
      <c r="M162" s="22"/>
      <c r="N162" s="13">
        <v>1963</v>
      </c>
      <c r="O162" s="22" t="s">
        <v>2850</v>
      </c>
      <c r="P162" s="22"/>
      <c r="Q162" s="22"/>
      <c r="R162" s="12" t="s">
        <v>94</v>
      </c>
      <c r="S162" s="12">
        <v>10</v>
      </c>
      <c r="T162" s="12">
        <v>811008215</v>
      </c>
      <c r="U162" s="12" t="s">
        <v>3112</v>
      </c>
      <c r="V162" s="22">
        <f>VLOOKUP(Tabla44[[#This Row],[ZONA DEFINITIVO]],[1]Hoja1!$A$1:$D$125,3,0)</f>
        <v>229937</v>
      </c>
      <c r="W162" s="22">
        <f>VLOOKUP(Tabla44[[#This Row],[ZONA DEFINITIVO]],[1]Hoja1!$A$1:$D$125,2,0)</f>
        <v>17256</v>
      </c>
      <c r="X162" s="22">
        <f>VLOOKUP(Tabla44[[#This Row],[ZONA DEFINITIVO]],[1]Hoja1!$A$1:$D$125,4,0)</f>
        <v>104525</v>
      </c>
      <c r="Y162" s="22" t="str">
        <f>+IF(Tabla44[[#This Row],[AGRUPACIONES]]=1,SUMIFS(Tabla44[UDS],Tabla44[ZONA DEFINITIVO],Tabla44[[#This Row],[ZONA DEFINITIVO]])," ")</f>
        <v xml:space="preserve"> </v>
      </c>
      <c r="Z162" s="22" t="str">
        <f>+IF(Tabla44[[#This Row],[AGRUPACIONES]]=1,SUMIFS(Tabla44[TOTAL COBERTURA],Tabla44[ZONA DEFINITIVO],Tabla44[[#This Row],[ZONA DEFINITIVO]])," ")</f>
        <v xml:space="preserve"> </v>
      </c>
      <c r="AA162" s="22"/>
      <c r="AB162" s="40">
        <v>22789575</v>
      </c>
      <c r="AC162" s="37">
        <v>0</v>
      </c>
      <c r="AD162" s="40">
        <f t="shared" si="3"/>
        <v>0</v>
      </c>
      <c r="AE162" s="22"/>
      <c r="AF162" s="12">
        <f>COUNTIF($A$20:A162,A162)</f>
        <v>10</v>
      </c>
      <c r="AG162" s="41">
        <v>22789575</v>
      </c>
      <c r="AH162" s="41">
        <f>Tabla44[[#This Row],[VALOR CONTRAPARTIDA]]+Tabla44[[#This Row],[TOTAL APORTES ICBF]]</f>
        <v>22789575</v>
      </c>
      <c r="AI162" s="40" t="str">
        <f>+IF(Tabla44[[#This Row],[AGRUPACIONES]]=1,SUMIFS(Tabla44[TOTAL APORTES ICBF],Tabla44[ZONA DEFINITIVO],Tabla44[[#This Row],[ZONA DEFINITIVO]])," ")</f>
        <v xml:space="preserve"> </v>
      </c>
      <c r="AJ162" s="41"/>
      <c r="AK162" s="41"/>
      <c r="AL162" s="40"/>
      <c r="AM162" s="40">
        <f>VLOOKUP(Tabla44[[#This Row],[SERVICIO 2025]],$J$2:$V$15,5,0)*Tabla44[[#This Row],[TOTAL COBERTURA]]</f>
        <v>701160</v>
      </c>
      <c r="AN162" s="40">
        <f>VLOOKUP(Tabla44[[#This Row],[SERVICIO 2025]],$J$2:$V$15,6,0)*Tabla44[[#This Row],[TOTAL COBERTURA]]</f>
        <v>567615</v>
      </c>
      <c r="AO162" s="40">
        <f>VLOOKUP(Tabla44[[#This Row],[SERVICIO 2025]],$J$2:$V$15,8,0)*Tabla44[[#This Row],[TOTAL COBERTURA]]</f>
        <v>0</v>
      </c>
      <c r="AP162" s="40">
        <f>VLOOKUP(Tabla44[[#This Row],[SERVICIO 2025]],$J$2:$V$15,3,0)*Tabla44[[#This Row],[TOTAL COBERTURA]]*8</f>
        <v>21520800</v>
      </c>
      <c r="AQ162" s="40"/>
      <c r="AR162" s="40">
        <f>SUM(Tabla44[[#This Row],[VALOR FASE PREPARATORIA DE ALISTAMIENTO]:[VALOR RACION PREPARADA]])</f>
        <v>22789575</v>
      </c>
      <c r="AS162" s="40" t="str">
        <f>+IF(Tabla44[[#This Row],[AGRUPACIONES]]=1,SUMIFS(Tabla44[VALOR TOTAL],Tabla44[ZONA DEFINITIVO],Tabla44[[#This Row],[ZONA DEFINITIVO]])," ")</f>
        <v xml:space="preserve"> </v>
      </c>
      <c r="AT162" s="35">
        <f>VLOOKUP(Tabla44[[#This Row],[SERVICIO 2025]],$J$2:$V$15,10,0)*Tabla44[[#This Row],[TOTAL COBERTURA]]*$X$7</f>
        <v>22598520</v>
      </c>
      <c r="AU162" s="42">
        <f>Tabla44[[#This Row],[TOTAL CONTRATO (ICBF+EAS)]]+Tabla44[[#This Row],[VALOR COMPONENTE ALIMENTACION NO ASIGNADO]]</f>
        <v>45388095</v>
      </c>
      <c r="AV16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6216075</v>
      </c>
      <c r="AW162" s="35">
        <f>(VLOOKUP(Tabla44[[#This Row],[SERVICIO 2025]],$J$2:$V$15,3,0)*Tabla44[[#This Row],[TOTAL COBERTURA]])+VLOOKUP(Tabla44[[#This Row],[SERVICIO 2025]],$J$2:$V$15,10,0)*Tabla44[[#This Row],[TOTAL COBERTURA]]</f>
        <v>5514915</v>
      </c>
      <c r="AX162" s="40">
        <f>(VLOOKUP(Tabla44[[#This Row],[SERVICIO 2025]],$J$2:$V$15,3,0)*Tabla44[[#This Row],[TOTAL COBERTURA]])+VLOOKUP(Tabla44[[#This Row],[SERVICIO 2025]],$J$2:$V$15,10,0)*Tabla44[[#This Row],[TOTAL COBERTURA]]</f>
        <v>5514915</v>
      </c>
      <c r="AY162" s="40">
        <f>(VLOOKUP(Tabla44[[#This Row],[SERVICIO 2025]],$J$2:$V$15,3,0)*Tabla44[[#This Row],[TOTAL COBERTURA]])+VLOOKUP(Tabla44[[#This Row],[SERVICIO 2025]],$J$2:$V$15,10,0)*Tabla44[[#This Row],[TOTAL COBERTURA]]</f>
        <v>5514915</v>
      </c>
      <c r="AZ162" s="40">
        <f>(VLOOKUP(Tabla44[[#This Row],[SERVICIO 2025]],$J$2:$V$15,3,0)*Tabla44[[#This Row],[TOTAL COBERTURA]])+VLOOKUP(Tabla44[[#This Row],[SERVICIO 2025]],$J$2:$V$15,10,0)*Tabla44[[#This Row],[TOTAL COBERTURA]]</f>
        <v>5514915</v>
      </c>
      <c r="BA162" s="40">
        <f>(VLOOKUP(Tabla44[[#This Row],[SERVICIO 2025]],$J$2:$V$15,3,0)*Tabla44[[#This Row],[TOTAL COBERTURA]])+VLOOKUP(Tabla44[[#This Row],[SERVICIO 2025]],$J$2:$V$15,10,0)*Tabla44[[#This Row],[TOTAL COBERTURA]]</f>
        <v>5514915</v>
      </c>
      <c r="BB162" s="40">
        <f>(VLOOKUP(Tabla44[[#This Row],[SERVICIO 2025]],$J$2:$V$15,3,0)*Tabla44[[#This Row],[TOTAL COBERTURA]])+VLOOKUP(Tabla44[[#This Row],[SERVICIO 2025]],$J$2:$V$15,10,0)*Tabla44[[#This Row],[TOTAL COBERTURA]]</f>
        <v>5514915</v>
      </c>
      <c r="BC162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6082530</v>
      </c>
      <c r="BD162" s="40">
        <f>SUM(Tabla44[[#This Row],[DESEMBOLSO 1]:[DESEMBOLSO 8]])</f>
        <v>45388095</v>
      </c>
      <c r="BE162" s="22" t="b">
        <f>EXACT(Tabla44[[#This Row],[VALOR ATENCIÓN (8 MESES)]],Tabla44[[#This Row],[VALOR TOTAL]])</f>
        <v>1</v>
      </c>
      <c r="BF162" s="28">
        <f>Tabla44[[#This Row],[VALOR ATENCIÓN (8 MESES)]]-Tabla44[[#This Row],[VALOR TOTAL]]</f>
        <v>0</v>
      </c>
      <c r="BG162" s="22" t="b">
        <f>EXACT(Tabla44[[#This Row],[TOTAL DESEMBOLSOS]],Tabla44[[#This Row],[VALOR TOTAL DEL CONTRATO INCLUIDO EL COMPONENTE DE ALIMENTACIÓN]])</f>
        <v>1</v>
      </c>
      <c r="BH162" s="29">
        <f>Tabla44[[#This Row],[TOTAL DESEMBOLSOS]]-Tabla44[[#This Row],[VALOR TOTAL DEL CONTRATO INCLUIDO EL COMPONENTE DE ALIMENTACIÓN]]</f>
        <v>0</v>
      </c>
      <c r="BI162" t="s">
        <v>98</v>
      </c>
    </row>
    <row r="163" spans="1:61">
      <c r="A163" s="13">
        <v>1963</v>
      </c>
      <c r="B163" s="13"/>
      <c r="C163" s="12" t="s">
        <v>87</v>
      </c>
      <c r="D163" s="12" t="s">
        <v>651</v>
      </c>
      <c r="E163" s="12" t="s">
        <v>3123</v>
      </c>
      <c r="F163" s="12" t="s">
        <v>21</v>
      </c>
      <c r="G163" s="12" t="s">
        <v>90</v>
      </c>
      <c r="H163" s="12" t="s">
        <v>3129</v>
      </c>
      <c r="I163" s="36">
        <v>53471136190</v>
      </c>
      <c r="J163" s="12" t="s">
        <v>3130</v>
      </c>
      <c r="K163" s="12">
        <v>1</v>
      </c>
      <c r="L163" s="12">
        <v>22</v>
      </c>
      <c r="M163" s="12"/>
      <c r="N163" s="13">
        <v>1963</v>
      </c>
      <c r="O163" s="12" t="s">
        <v>2850</v>
      </c>
      <c r="P163" s="12"/>
      <c r="Q163" s="12"/>
      <c r="R163" s="12" t="s">
        <v>94</v>
      </c>
      <c r="S163" s="12">
        <v>10</v>
      </c>
      <c r="T163" s="12">
        <v>811008215</v>
      </c>
      <c r="U163" s="12" t="s">
        <v>3112</v>
      </c>
      <c r="V163" s="12">
        <f>VLOOKUP(Tabla44[[#This Row],[ZONA DEFINITIVO]],[1]Hoja1!$A$1:$D$125,3,0)</f>
        <v>229937</v>
      </c>
      <c r="W163" s="12">
        <f>VLOOKUP(Tabla44[[#This Row],[ZONA DEFINITIVO]],[1]Hoja1!$A$1:$D$125,2,0)</f>
        <v>17256</v>
      </c>
      <c r="X163" s="12">
        <f>VLOOKUP(Tabla44[[#This Row],[ZONA DEFINITIVO]],[1]Hoja1!$A$1:$D$125,4,0)</f>
        <v>104525</v>
      </c>
      <c r="Y163" s="12" t="str">
        <f>+IF(Tabla44[[#This Row],[AGRUPACIONES]]=1,SUMIFS(Tabla44[UDS],Tabla44[ZONA DEFINITIVO],Tabla44[[#This Row],[ZONA DEFINITIVO]])," ")</f>
        <v xml:space="preserve"> </v>
      </c>
      <c r="Z163" s="12" t="str">
        <f>+IF(Tabla44[[#This Row],[AGRUPACIONES]]=1,SUMIFS(Tabla44[TOTAL COBERTURA],Tabla44[ZONA DEFINITIVO],Tabla44[[#This Row],[ZONA DEFINITIVO]])," ")</f>
        <v xml:space="preserve"> </v>
      </c>
      <c r="AA163" s="12"/>
      <c r="AB163" s="35">
        <v>33424710</v>
      </c>
      <c r="AC163" s="37">
        <v>0</v>
      </c>
      <c r="AD163" s="35">
        <f t="shared" si="3"/>
        <v>0</v>
      </c>
      <c r="AE163" s="12"/>
      <c r="AF163" s="12">
        <f>COUNTIF($A$20:A163,A163)</f>
        <v>11</v>
      </c>
      <c r="AG163" s="38">
        <v>33424710</v>
      </c>
      <c r="AH163" s="38">
        <f>Tabla44[[#This Row],[VALOR CONTRAPARTIDA]]+Tabla44[[#This Row],[TOTAL APORTES ICBF]]</f>
        <v>33424710</v>
      </c>
      <c r="AI163" s="35" t="str">
        <f>+IF(Tabla44[[#This Row],[AGRUPACIONES]]=1,SUMIFS(Tabla44[TOTAL APORTES ICBF],Tabla44[ZONA DEFINITIVO],Tabla44[[#This Row],[ZONA DEFINITIVO]])," ")</f>
        <v xml:space="preserve"> </v>
      </c>
      <c r="AJ163" s="38"/>
      <c r="AK163" s="38"/>
      <c r="AL163" s="35"/>
      <c r="AM163" s="35">
        <f>VLOOKUP(Tabla44[[#This Row],[SERVICIO 2025]],$J$2:$V$15,5,0)*Tabla44[[#This Row],[TOTAL COBERTURA]]</f>
        <v>1028368</v>
      </c>
      <c r="AN163" s="35">
        <f>VLOOKUP(Tabla44[[#This Row],[SERVICIO 2025]],$J$2:$V$15,6,0)*Tabla44[[#This Row],[TOTAL COBERTURA]]</f>
        <v>832502</v>
      </c>
      <c r="AO163" s="35">
        <f>VLOOKUP(Tabla44[[#This Row],[SERVICIO 2025]],$J$2:$V$15,8,0)*Tabla44[[#This Row],[TOTAL COBERTURA]]</f>
        <v>0</v>
      </c>
      <c r="AP163" s="35">
        <f>VLOOKUP(Tabla44[[#This Row],[SERVICIO 2025]],$J$2:$V$15,3,0)*Tabla44[[#This Row],[TOTAL COBERTURA]]*8</f>
        <v>31563840</v>
      </c>
      <c r="AQ163" s="35"/>
      <c r="AR163" s="35">
        <f>SUM(Tabla44[[#This Row],[VALOR FASE PREPARATORIA DE ALISTAMIENTO]:[VALOR RACION PREPARADA]])</f>
        <v>33424710</v>
      </c>
      <c r="AS163" s="35" t="str">
        <f>+IF(Tabla44[[#This Row],[AGRUPACIONES]]=1,SUMIFS(Tabla44[VALOR TOTAL],Tabla44[ZONA DEFINITIVO],Tabla44[[#This Row],[ZONA DEFINITIVO]])," ")</f>
        <v xml:space="preserve"> </v>
      </c>
      <c r="AT163" s="35">
        <f>VLOOKUP(Tabla44[[#This Row],[SERVICIO 2025]],$J$2:$V$15,10,0)*Tabla44[[#This Row],[TOTAL COBERTURA]]*$X$7</f>
        <v>33144496</v>
      </c>
      <c r="AU163" s="39">
        <f>Tabla44[[#This Row],[TOTAL CONTRATO (ICBF+EAS)]]+Tabla44[[#This Row],[VALOR COMPONENTE ALIMENTACION NO ASIGNADO]]</f>
        <v>66569206</v>
      </c>
      <c r="AV16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9116910</v>
      </c>
      <c r="AW163" s="35">
        <f>(VLOOKUP(Tabla44[[#This Row],[SERVICIO 2025]],$J$2:$V$15,3,0)*Tabla44[[#This Row],[TOTAL COBERTURA]])+VLOOKUP(Tabla44[[#This Row],[SERVICIO 2025]],$J$2:$V$15,10,0)*Tabla44[[#This Row],[TOTAL COBERTURA]]</f>
        <v>8088542</v>
      </c>
      <c r="AX163" s="35">
        <f>(VLOOKUP(Tabla44[[#This Row],[SERVICIO 2025]],$J$2:$V$15,3,0)*Tabla44[[#This Row],[TOTAL COBERTURA]])+VLOOKUP(Tabla44[[#This Row],[SERVICIO 2025]],$J$2:$V$15,10,0)*Tabla44[[#This Row],[TOTAL COBERTURA]]</f>
        <v>8088542</v>
      </c>
      <c r="AY163" s="35">
        <f>(VLOOKUP(Tabla44[[#This Row],[SERVICIO 2025]],$J$2:$V$15,3,0)*Tabla44[[#This Row],[TOTAL COBERTURA]])+VLOOKUP(Tabla44[[#This Row],[SERVICIO 2025]],$J$2:$V$15,10,0)*Tabla44[[#This Row],[TOTAL COBERTURA]]</f>
        <v>8088542</v>
      </c>
      <c r="AZ163" s="35">
        <f>(VLOOKUP(Tabla44[[#This Row],[SERVICIO 2025]],$J$2:$V$15,3,0)*Tabla44[[#This Row],[TOTAL COBERTURA]])+VLOOKUP(Tabla44[[#This Row],[SERVICIO 2025]],$J$2:$V$15,10,0)*Tabla44[[#This Row],[TOTAL COBERTURA]]</f>
        <v>8088542</v>
      </c>
      <c r="BA163" s="35">
        <f>(VLOOKUP(Tabla44[[#This Row],[SERVICIO 2025]],$J$2:$V$15,3,0)*Tabla44[[#This Row],[TOTAL COBERTURA]])+VLOOKUP(Tabla44[[#This Row],[SERVICIO 2025]],$J$2:$V$15,10,0)*Tabla44[[#This Row],[TOTAL COBERTURA]]</f>
        <v>8088542</v>
      </c>
      <c r="BB163" s="35">
        <f>(VLOOKUP(Tabla44[[#This Row],[SERVICIO 2025]],$J$2:$V$15,3,0)*Tabla44[[#This Row],[TOTAL COBERTURA]])+VLOOKUP(Tabla44[[#This Row],[SERVICIO 2025]],$J$2:$V$15,10,0)*Tabla44[[#This Row],[TOTAL COBERTURA]]</f>
        <v>8088542</v>
      </c>
      <c r="BC16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8921044</v>
      </c>
      <c r="BD163" s="35">
        <f>SUM(Tabla44[[#This Row],[DESEMBOLSO 1]:[DESEMBOLSO 8]])</f>
        <v>66569206</v>
      </c>
      <c r="BE163" s="12" t="b">
        <f>EXACT(Tabla44[[#This Row],[VALOR ATENCIÓN (8 MESES)]],Tabla44[[#This Row],[VALOR TOTAL]])</f>
        <v>1</v>
      </c>
      <c r="BF163" s="23">
        <f>Tabla44[[#This Row],[VALOR ATENCIÓN (8 MESES)]]-Tabla44[[#This Row],[VALOR TOTAL]]</f>
        <v>0</v>
      </c>
      <c r="BG163" s="12" t="b">
        <f>EXACT(Tabla44[[#This Row],[TOTAL DESEMBOLSOS]],Tabla44[[#This Row],[VALOR TOTAL DEL CONTRATO INCLUIDO EL COMPONENTE DE ALIMENTACIÓN]])</f>
        <v>1</v>
      </c>
      <c r="BH163" s="29">
        <f>Tabla44[[#This Row],[TOTAL DESEMBOLSOS]]-Tabla44[[#This Row],[VALOR TOTAL DEL CONTRATO INCLUIDO EL COMPONENTE DE ALIMENTACIÓN]]</f>
        <v>0</v>
      </c>
      <c r="BI163" t="s">
        <v>98</v>
      </c>
    </row>
    <row r="164" spans="1:61">
      <c r="A164" s="13">
        <v>1963</v>
      </c>
      <c r="B164" s="13"/>
      <c r="C164" s="12" t="s">
        <v>87</v>
      </c>
      <c r="D164" s="12" t="s">
        <v>651</v>
      </c>
      <c r="E164" s="12" t="s">
        <v>3123</v>
      </c>
      <c r="F164" s="12" t="s">
        <v>21</v>
      </c>
      <c r="G164" s="12" t="s">
        <v>90</v>
      </c>
      <c r="H164" s="12" t="s">
        <v>3131</v>
      </c>
      <c r="I164" s="36">
        <v>53471136195</v>
      </c>
      <c r="J164" s="12" t="s">
        <v>3132</v>
      </c>
      <c r="K164" s="12">
        <v>1</v>
      </c>
      <c r="L164" s="12">
        <v>10</v>
      </c>
      <c r="M164" s="12"/>
      <c r="N164" s="13">
        <v>1963</v>
      </c>
      <c r="O164" s="12" t="s">
        <v>2850</v>
      </c>
      <c r="P164" s="12"/>
      <c r="Q164" s="12"/>
      <c r="R164" s="12" t="s">
        <v>94</v>
      </c>
      <c r="S164" s="12">
        <v>10</v>
      </c>
      <c r="T164" s="12">
        <v>811008215</v>
      </c>
      <c r="U164" s="12" t="s">
        <v>3112</v>
      </c>
      <c r="V164" s="12">
        <f>VLOOKUP(Tabla44[[#This Row],[ZONA DEFINITIVO]],[1]Hoja1!$A$1:$D$125,3,0)</f>
        <v>229937</v>
      </c>
      <c r="W164" s="12">
        <f>VLOOKUP(Tabla44[[#This Row],[ZONA DEFINITIVO]],[1]Hoja1!$A$1:$D$125,2,0)</f>
        <v>17256</v>
      </c>
      <c r="X164" s="12">
        <f>VLOOKUP(Tabla44[[#This Row],[ZONA DEFINITIVO]],[1]Hoja1!$A$1:$D$125,4,0)</f>
        <v>104525</v>
      </c>
      <c r="Y164" s="12" t="str">
        <f>+IF(Tabla44[[#This Row],[AGRUPACIONES]]=1,SUMIFS(Tabla44[UDS],Tabla44[ZONA DEFINITIVO],Tabla44[[#This Row],[ZONA DEFINITIVO]])," ")</f>
        <v xml:space="preserve"> </v>
      </c>
      <c r="Z164" s="12" t="str">
        <f>+IF(Tabla44[[#This Row],[AGRUPACIONES]]=1,SUMIFS(Tabla44[TOTAL COBERTURA],Tabla44[ZONA DEFINITIVO],Tabla44[[#This Row],[ZONA DEFINITIVO]])," ")</f>
        <v xml:space="preserve"> </v>
      </c>
      <c r="AA164" s="12"/>
      <c r="AB164" s="35">
        <v>15193050</v>
      </c>
      <c r="AC164" s="37">
        <v>0</v>
      </c>
      <c r="AD164" s="35">
        <f t="shared" si="3"/>
        <v>0</v>
      </c>
      <c r="AE164" s="12"/>
      <c r="AF164" s="12">
        <f>COUNTIF($A$20:A164,A164)</f>
        <v>12</v>
      </c>
      <c r="AG164" s="38">
        <v>15193050</v>
      </c>
      <c r="AH164" s="38">
        <f>Tabla44[[#This Row],[VALOR CONTRAPARTIDA]]+Tabla44[[#This Row],[TOTAL APORTES ICBF]]</f>
        <v>15193050</v>
      </c>
      <c r="AI164" s="35" t="str">
        <f>+IF(Tabla44[[#This Row],[AGRUPACIONES]]=1,SUMIFS(Tabla44[TOTAL APORTES ICBF],Tabla44[ZONA DEFINITIVO],Tabla44[[#This Row],[ZONA DEFINITIVO]])," ")</f>
        <v xml:space="preserve"> </v>
      </c>
      <c r="AJ164" s="38"/>
      <c r="AK164" s="38"/>
      <c r="AL164" s="35"/>
      <c r="AM164" s="35">
        <f>VLOOKUP(Tabla44[[#This Row],[SERVICIO 2025]],$J$2:$V$15,5,0)*Tabla44[[#This Row],[TOTAL COBERTURA]]</f>
        <v>467440</v>
      </c>
      <c r="AN164" s="35">
        <f>VLOOKUP(Tabla44[[#This Row],[SERVICIO 2025]],$J$2:$V$15,6,0)*Tabla44[[#This Row],[TOTAL COBERTURA]]</f>
        <v>378410</v>
      </c>
      <c r="AO164" s="35">
        <f>VLOOKUP(Tabla44[[#This Row],[SERVICIO 2025]],$J$2:$V$15,8,0)*Tabla44[[#This Row],[TOTAL COBERTURA]]</f>
        <v>0</v>
      </c>
      <c r="AP164" s="35">
        <f>VLOOKUP(Tabla44[[#This Row],[SERVICIO 2025]],$J$2:$V$15,3,0)*Tabla44[[#This Row],[TOTAL COBERTURA]]*8</f>
        <v>14347200</v>
      </c>
      <c r="AQ164" s="35"/>
      <c r="AR164" s="35">
        <f>SUM(Tabla44[[#This Row],[VALOR FASE PREPARATORIA DE ALISTAMIENTO]:[VALOR RACION PREPARADA]])</f>
        <v>15193050</v>
      </c>
      <c r="AS164" s="35" t="str">
        <f>+IF(Tabla44[[#This Row],[AGRUPACIONES]]=1,SUMIFS(Tabla44[VALOR TOTAL],Tabla44[ZONA DEFINITIVO],Tabla44[[#This Row],[ZONA DEFINITIVO]])," ")</f>
        <v xml:space="preserve"> </v>
      </c>
      <c r="AT164" s="35">
        <f>VLOOKUP(Tabla44[[#This Row],[SERVICIO 2025]],$J$2:$V$15,10,0)*Tabla44[[#This Row],[TOTAL COBERTURA]]*$X$7</f>
        <v>15065680</v>
      </c>
      <c r="AU164" s="39">
        <f>Tabla44[[#This Row],[TOTAL CONTRATO (ICBF+EAS)]]+Tabla44[[#This Row],[VALOR COMPONENTE ALIMENTACION NO ASIGNADO]]</f>
        <v>30258730</v>
      </c>
      <c r="AV16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4144050</v>
      </c>
      <c r="AW164" s="35">
        <f>(VLOOKUP(Tabla44[[#This Row],[SERVICIO 2025]],$J$2:$V$15,3,0)*Tabla44[[#This Row],[TOTAL COBERTURA]])+VLOOKUP(Tabla44[[#This Row],[SERVICIO 2025]],$J$2:$V$15,10,0)*Tabla44[[#This Row],[TOTAL COBERTURA]]</f>
        <v>3676610</v>
      </c>
      <c r="AX164" s="35">
        <f>(VLOOKUP(Tabla44[[#This Row],[SERVICIO 2025]],$J$2:$V$15,3,0)*Tabla44[[#This Row],[TOTAL COBERTURA]])+VLOOKUP(Tabla44[[#This Row],[SERVICIO 2025]],$J$2:$V$15,10,0)*Tabla44[[#This Row],[TOTAL COBERTURA]]</f>
        <v>3676610</v>
      </c>
      <c r="AY164" s="35">
        <f>(VLOOKUP(Tabla44[[#This Row],[SERVICIO 2025]],$J$2:$V$15,3,0)*Tabla44[[#This Row],[TOTAL COBERTURA]])+VLOOKUP(Tabla44[[#This Row],[SERVICIO 2025]],$J$2:$V$15,10,0)*Tabla44[[#This Row],[TOTAL COBERTURA]]</f>
        <v>3676610</v>
      </c>
      <c r="AZ164" s="35">
        <f>(VLOOKUP(Tabla44[[#This Row],[SERVICIO 2025]],$J$2:$V$15,3,0)*Tabla44[[#This Row],[TOTAL COBERTURA]])+VLOOKUP(Tabla44[[#This Row],[SERVICIO 2025]],$J$2:$V$15,10,0)*Tabla44[[#This Row],[TOTAL COBERTURA]]</f>
        <v>3676610</v>
      </c>
      <c r="BA164" s="35">
        <f>(VLOOKUP(Tabla44[[#This Row],[SERVICIO 2025]],$J$2:$V$15,3,0)*Tabla44[[#This Row],[TOTAL COBERTURA]])+VLOOKUP(Tabla44[[#This Row],[SERVICIO 2025]],$J$2:$V$15,10,0)*Tabla44[[#This Row],[TOTAL COBERTURA]]</f>
        <v>3676610</v>
      </c>
      <c r="BB164" s="35">
        <f>(VLOOKUP(Tabla44[[#This Row],[SERVICIO 2025]],$J$2:$V$15,3,0)*Tabla44[[#This Row],[TOTAL COBERTURA]])+VLOOKUP(Tabla44[[#This Row],[SERVICIO 2025]],$J$2:$V$15,10,0)*Tabla44[[#This Row],[TOTAL COBERTURA]]</f>
        <v>3676610</v>
      </c>
      <c r="BC16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4055020</v>
      </c>
      <c r="BD164" s="35">
        <f>SUM(Tabla44[[#This Row],[DESEMBOLSO 1]:[DESEMBOLSO 8]])</f>
        <v>30258730</v>
      </c>
      <c r="BE164" s="12" t="b">
        <f>EXACT(Tabla44[[#This Row],[VALOR ATENCIÓN (8 MESES)]],Tabla44[[#This Row],[VALOR TOTAL]])</f>
        <v>1</v>
      </c>
      <c r="BF164" s="23">
        <f>Tabla44[[#This Row],[VALOR ATENCIÓN (8 MESES)]]-Tabla44[[#This Row],[VALOR TOTAL]]</f>
        <v>0</v>
      </c>
      <c r="BG164" s="12" t="b">
        <f>EXACT(Tabla44[[#This Row],[TOTAL DESEMBOLSOS]],Tabla44[[#This Row],[VALOR TOTAL DEL CONTRATO INCLUIDO EL COMPONENTE DE ALIMENTACIÓN]])</f>
        <v>1</v>
      </c>
      <c r="BH164" s="29">
        <f>Tabla44[[#This Row],[TOTAL DESEMBOLSOS]]-Tabla44[[#This Row],[VALOR TOTAL DEL CONTRATO INCLUIDO EL COMPONENTE DE ALIMENTACIÓN]]</f>
        <v>0</v>
      </c>
      <c r="BI164" t="s">
        <v>98</v>
      </c>
    </row>
    <row r="165" spans="1:61">
      <c r="A165" s="13">
        <v>1963</v>
      </c>
      <c r="B165" s="13"/>
      <c r="C165" s="12" t="s">
        <v>87</v>
      </c>
      <c r="D165" s="12" t="s">
        <v>651</v>
      </c>
      <c r="E165" s="12" t="s">
        <v>3123</v>
      </c>
      <c r="F165" s="12" t="s">
        <v>21</v>
      </c>
      <c r="G165" s="12" t="s">
        <v>90</v>
      </c>
      <c r="H165" s="12" t="s">
        <v>2266</v>
      </c>
      <c r="I165" s="36">
        <v>53471143993</v>
      </c>
      <c r="J165" s="12" t="s">
        <v>3133</v>
      </c>
      <c r="K165" s="12">
        <v>1</v>
      </c>
      <c r="L165" s="12">
        <v>14</v>
      </c>
      <c r="M165" s="12"/>
      <c r="N165" s="13">
        <v>1963</v>
      </c>
      <c r="O165" s="12" t="s">
        <v>2850</v>
      </c>
      <c r="P165" s="12"/>
      <c r="Q165" s="12"/>
      <c r="R165" s="12" t="s">
        <v>94</v>
      </c>
      <c r="S165" s="12">
        <v>10</v>
      </c>
      <c r="T165" s="12">
        <v>811008215</v>
      </c>
      <c r="U165" s="12" t="s">
        <v>3112</v>
      </c>
      <c r="V165" s="12">
        <f>VLOOKUP(Tabla44[[#This Row],[ZONA DEFINITIVO]],[1]Hoja1!$A$1:$D$125,3,0)</f>
        <v>229937</v>
      </c>
      <c r="W165" s="12">
        <f>VLOOKUP(Tabla44[[#This Row],[ZONA DEFINITIVO]],[1]Hoja1!$A$1:$D$125,2,0)</f>
        <v>17256</v>
      </c>
      <c r="X165" s="12">
        <f>VLOOKUP(Tabla44[[#This Row],[ZONA DEFINITIVO]],[1]Hoja1!$A$1:$D$125,4,0)</f>
        <v>104525</v>
      </c>
      <c r="Y165" s="12" t="str">
        <f>+IF(Tabla44[[#This Row],[AGRUPACIONES]]=1,SUMIFS(Tabla44[UDS],Tabla44[ZONA DEFINITIVO],Tabla44[[#This Row],[ZONA DEFINITIVO]])," ")</f>
        <v xml:space="preserve"> </v>
      </c>
      <c r="Z165" s="12" t="str">
        <f>+IF(Tabla44[[#This Row],[AGRUPACIONES]]=1,SUMIFS(Tabla44[TOTAL COBERTURA],Tabla44[ZONA DEFINITIVO],Tabla44[[#This Row],[ZONA DEFINITIVO]])," ")</f>
        <v xml:space="preserve"> </v>
      </c>
      <c r="AA165" s="12"/>
      <c r="AB165" s="35">
        <v>21270270</v>
      </c>
      <c r="AC165" s="37">
        <v>0</v>
      </c>
      <c r="AD165" s="35">
        <f t="shared" si="3"/>
        <v>0</v>
      </c>
      <c r="AE165" s="12"/>
      <c r="AF165" s="12">
        <f>COUNTIF($A$20:A165,A165)</f>
        <v>13</v>
      </c>
      <c r="AG165" s="38">
        <v>21270270</v>
      </c>
      <c r="AH165" s="38">
        <f>Tabla44[[#This Row],[VALOR CONTRAPARTIDA]]+Tabla44[[#This Row],[TOTAL APORTES ICBF]]</f>
        <v>21270270</v>
      </c>
      <c r="AI165" s="35" t="str">
        <f>+IF(Tabla44[[#This Row],[AGRUPACIONES]]=1,SUMIFS(Tabla44[TOTAL APORTES ICBF],Tabla44[ZONA DEFINITIVO],Tabla44[[#This Row],[ZONA DEFINITIVO]])," ")</f>
        <v xml:space="preserve"> </v>
      </c>
      <c r="AJ165" s="38"/>
      <c r="AK165" s="38"/>
      <c r="AL165" s="35"/>
      <c r="AM165" s="35">
        <f>VLOOKUP(Tabla44[[#This Row],[SERVICIO 2025]],$J$2:$V$15,5,0)*Tabla44[[#This Row],[TOTAL COBERTURA]]</f>
        <v>654416</v>
      </c>
      <c r="AN165" s="35">
        <f>VLOOKUP(Tabla44[[#This Row],[SERVICIO 2025]],$J$2:$V$15,6,0)*Tabla44[[#This Row],[TOTAL COBERTURA]]</f>
        <v>529774</v>
      </c>
      <c r="AO165" s="35">
        <f>VLOOKUP(Tabla44[[#This Row],[SERVICIO 2025]],$J$2:$V$15,8,0)*Tabla44[[#This Row],[TOTAL COBERTURA]]</f>
        <v>0</v>
      </c>
      <c r="AP165" s="35">
        <f>VLOOKUP(Tabla44[[#This Row],[SERVICIO 2025]],$J$2:$V$15,3,0)*Tabla44[[#This Row],[TOTAL COBERTURA]]*8</f>
        <v>20086080</v>
      </c>
      <c r="AQ165" s="35"/>
      <c r="AR165" s="35">
        <f>SUM(Tabla44[[#This Row],[VALOR FASE PREPARATORIA DE ALISTAMIENTO]:[VALOR RACION PREPARADA]])</f>
        <v>21270270</v>
      </c>
      <c r="AS165" s="35" t="str">
        <f>+IF(Tabla44[[#This Row],[AGRUPACIONES]]=1,SUMIFS(Tabla44[VALOR TOTAL],Tabla44[ZONA DEFINITIVO],Tabla44[[#This Row],[ZONA DEFINITIVO]])," ")</f>
        <v xml:space="preserve"> </v>
      </c>
      <c r="AT165" s="35">
        <f>VLOOKUP(Tabla44[[#This Row],[SERVICIO 2025]],$J$2:$V$15,10,0)*Tabla44[[#This Row],[TOTAL COBERTURA]]*$X$7</f>
        <v>21091952</v>
      </c>
      <c r="AU165" s="39">
        <f>Tabla44[[#This Row],[TOTAL CONTRATO (ICBF+EAS)]]+Tabla44[[#This Row],[VALOR COMPONENTE ALIMENTACION NO ASIGNADO]]</f>
        <v>42362222</v>
      </c>
      <c r="AV16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5801670</v>
      </c>
      <c r="AW165" s="35">
        <f>(VLOOKUP(Tabla44[[#This Row],[SERVICIO 2025]],$J$2:$V$15,3,0)*Tabla44[[#This Row],[TOTAL COBERTURA]])+VLOOKUP(Tabla44[[#This Row],[SERVICIO 2025]],$J$2:$V$15,10,0)*Tabla44[[#This Row],[TOTAL COBERTURA]]</f>
        <v>5147254</v>
      </c>
      <c r="AX165" s="35">
        <f>(VLOOKUP(Tabla44[[#This Row],[SERVICIO 2025]],$J$2:$V$15,3,0)*Tabla44[[#This Row],[TOTAL COBERTURA]])+VLOOKUP(Tabla44[[#This Row],[SERVICIO 2025]],$J$2:$V$15,10,0)*Tabla44[[#This Row],[TOTAL COBERTURA]]</f>
        <v>5147254</v>
      </c>
      <c r="AY165" s="35">
        <f>(VLOOKUP(Tabla44[[#This Row],[SERVICIO 2025]],$J$2:$V$15,3,0)*Tabla44[[#This Row],[TOTAL COBERTURA]])+VLOOKUP(Tabla44[[#This Row],[SERVICIO 2025]],$J$2:$V$15,10,0)*Tabla44[[#This Row],[TOTAL COBERTURA]]</f>
        <v>5147254</v>
      </c>
      <c r="AZ165" s="35">
        <f>(VLOOKUP(Tabla44[[#This Row],[SERVICIO 2025]],$J$2:$V$15,3,0)*Tabla44[[#This Row],[TOTAL COBERTURA]])+VLOOKUP(Tabla44[[#This Row],[SERVICIO 2025]],$J$2:$V$15,10,0)*Tabla44[[#This Row],[TOTAL COBERTURA]]</f>
        <v>5147254</v>
      </c>
      <c r="BA165" s="35">
        <f>(VLOOKUP(Tabla44[[#This Row],[SERVICIO 2025]],$J$2:$V$15,3,0)*Tabla44[[#This Row],[TOTAL COBERTURA]])+VLOOKUP(Tabla44[[#This Row],[SERVICIO 2025]],$J$2:$V$15,10,0)*Tabla44[[#This Row],[TOTAL COBERTURA]]</f>
        <v>5147254</v>
      </c>
      <c r="BB165" s="35">
        <f>(VLOOKUP(Tabla44[[#This Row],[SERVICIO 2025]],$J$2:$V$15,3,0)*Tabla44[[#This Row],[TOTAL COBERTURA]])+VLOOKUP(Tabla44[[#This Row],[SERVICIO 2025]],$J$2:$V$15,10,0)*Tabla44[[#This Row],[TOTAL COBERTURA]]</f>
        <v>5147254</v>
      </c>
      <c r="BC16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5677028</v>
      </c>
      <c r="BD165" s="35">
        <f>SUM(Tabla44[[#This Row],[DESEMBOLSO 1]:[DESEMBOLSO 8]])</f>
        <v>42362222</v>
      </c>
      <c r="BE165" s="12" t="b">
        <f>EXACT(Tabla44[[#This Row],[VALOR ATENCIÓN (8 MESES)]],Tabla44[[#This Row],[VALOR TOTAL]])</f>
        <v>1</v>
      </c>
      <c r="BF165" s="23">
        <f>Tabla44[[#This Row],[VALOR ATENCIÓN (8 MESES)]]-Tabla44[[#This Row],[VALOR TOTAL]]</f>
        <v>0</v>
      </c>
      <c r="BG165" s="12" t="b">
        <f>EXACT(Tabla44[[#This Row],[TOTAL DESEMBOLSOS]],Tabla44[[#This Row],[VALOR TOTAL DEL CONTRATO INCLUIDO EL COMPONENTE DE ALIMENTACIÓN]])</f>
        <v>1</v>
      </c>
      <c r="BH165" s="29">
        <f>Tabla44[[#This Row],[TOTAL DESEMBOLSOS]]-Tabla44[[#This Row],[VALOR TOTAL DEL CONTRATO INCLUIDO EL COMPONENTE DE ALIMENTACIÓN]]</f>
        <v>0</v>
      </c>
      <c r="BI165" t="s">
        <v>98</v>
      </c>
    </row>
    <row r="166" spans="1:61">
      <c r="A166" s="13">
        <v>1963</v>
      </c>
      <c r="B166" s="21"/>
      <c r="C166" s="22" t="s">
        <v>87</v>
      </c>
      <c r="D166" s="22" t="s">
        <v>651</v>
      </c>
      <c r="E166" s="22" t="s">
        <v>3123</v>
      </c>
      <c r="F166" s="22" t="s">
        <v>21</v>
      </c>
      <c r="G166" s="12" t="s">
        <v>90</v>
      </c>
      <c r="H166" s="22" t="s">
        <v>3134</v>
      </c>
      <c r="I166" s="36">
        <v>53471148677</v>
      </c>
      <c r="J166" s="22" t="s">
        <v>3135</v>
      </c>
      <c r="K166" s="12">
        <v>1</v>
      </c>
      <c r="L166" s="22">
        <v>7</v>
      </c>
      <c r="M166" s="22"/>
      <c r="N166" s="13">
        <v>1963</v>
      </c>
      <c r="O166" s="22" t="s">
        <v>2850</v>
      </c>
      <c r="P166" s="22"/>
      <c r="Q166" s="22"/>
      <c r="R166" s="12" t="s">
        <v>94</v>
      </c>
      <c r="S166" s="12">
        <v>10</v>
      </c>
      <c r="T166" s="12">
        <v>811008215</v>
      </c>
      <c r="U166" s="12" t="s">
        <v>3112</v>
      </c>
      <c r="V166" s="22">
        <f>VLOOKUP(Tabla44[[#This Row],[ZONA DEFINITIVO]],[1]Hoja1!$A$1:$D$125,3,0)</f>
        <v>229937</v>
      </c>
      <c r="W166" s="22">
        <f>VLOOKUP(Tabla44[[#This Row],[ZONA DEFINITIVO]],[1]Hoja1!$A$1:$D$125,2,0)</f>
        <v>17256</v>
      </c>
      <c r="X166" s="22">
        <f>VLOOKUP(Tabla44[[#This Row],[ZONA DEFINITIVO]],[1]Hoja1!$A$1:$D$125,4,0)</f>
        <v>104525</v>
      </c>
      <c r="Y166" s="22" t="str">
        <f>+IF(Tabla44[[#This Row],[AGRUPACIONES]]=1,SUMIFS(Tabla44[UDS],Tabla44[ZONA DEFINITIVO],Tabla44[[#This Row],[ZONA DEFINITIVO]])," ")</f>
        <v xml:space="preserve"> </v>
      </c>
      <c r="Z166" s="22" t="str">
        <f>+IF(Tabla44[[#This Row],[AGRUPACIONES]]=1,SUMIFS(Tabla44[TOTAL COBERTURA],Tabla44[ZONA DEFINITIVO],Tabla44[[#This Row],[ZONA DEFINITIVO]])," ")</f>
        <v xml:space="preserve"> </v>
      </c>
      <c r="AA166" s="22"/>
      <c r="AB166" s="40">
        <v>10635135</v>
      </c>
      <c r="AC166" s="37">
        <v>0</v>
      </c>
      <c r="AD166" s="40">
        <f t="shared" si="3"/>
        <v>0</v>
      </c>
      <c r="AE166" s="22"/>
      <c r="AF166" s="12">
        <f>COUNTIF($A$20:A166,A166)</f>
        <v>14</v>
      </c>
      <c r="AG166" s="41">
        <v>10635135</v>
      </c>
      <c r="AH166" s="41">
        <f>Tabla44[[#This Row],[VALOR CONTRAPARTIDA]]+Tabla44[[#This Row],[TOTAL APORTES ICBF]]</f>
        <v>10635135</v>
      </c>
      <c r="AI166" s="40" t="str">
        <f>+IF(Tabla44[[#This Row],[AGRUPACIONES]]=1,SUMIFS(Tabla44[TOTAL APORTES ICBF],Tabla44[ZONA DEFINITIVO],Tabla44[[#This Row],[ZONA DEFINITIVO]])," ")</f>
        <v xml:space="preserve"> </v>
      </c>
      <c r="AJ166" s="41"/>
      <c r="AK166" s="41"/>
      <c r="AL166" s="40"/>
      <c r="AM166" s="40">
        <f>VLOOKUP(Tabla44[[#This Row],[SERVICIO 2025]],$J$2:$V$15,5,0)*Tabla44[[#This Row],[TOTAL COBERTURA]]</f>
        <v>327208</v>
      </c>
      <c r="AN166" s="40">
        <f>VLOOKUP(Tabla44[[#This Row],[SERVICIO 2025]],$J$2:$V$15,6,0)*Tabla44[[#This Row],[TOTAL COBERTURA]]</f>
        <v>264887</v>
      </c>
      <c r="AO166" s="40">
        <f>VLOOKUP(Tabla44[[#This Row],[SERVICIO 2025]],$J$2:$V$15,8,0)*Tabla44[[#This Row],[TOTAL COBERTURA]]</f>
        <v>0</v>
      </c>
      <c r="AP166" s="40">
        <f>VLOOKUP(Tabla44[[#This Row],[SERVICIO 2025]],$J$2:$V$15,3,0)*Tabla44[[#This Row],[TOTAL COBERTURA]]*8</f>
        <v>10043040</v>
      </c>
      <c r="AQ166" s="40"/>
      <c r="AR166" s="40">
        <f>SUM(Tabla44[[#This Row],[VALOR FASE PREPARATORIA DE ALISTAMIENTO]:[VALOR RACION PREPARADA]])</f>
        <v>10635135</v>
      </c>
      <c r="AS166" s="40" t="str">
        <f>+IF(Tabla44[[#This Row],[AGRUPACIONES]]=1,SUMIFS(Tabla44[VALOR TOTAL],Tabla44[ZONA DEFINITIVO],Tabla44[[#This Row],[ZONA DEFINITIVO]])," ")</f>
        <v xml:space="preserve"> </v>
      </c>
      <c r="AT166" s="35">
        <f>VLOOKUP(Tabla44[[#This Row],[SERVICIO 2025]],$J$2:$V$15,10,0)*Tabla44[[#This Row],[TOTAL COBERTURA]]*$X$7</f>
        <v>10545976</v>
      </c>
      <c r="AU166" s="42">
        <f>Tabla44[[#This Row],[TOTAL CONTRATO (ICBF+EAS)]]+Tabla44[[#This Row],[VALOR COMPONENTE ALIMENTACION NO ASIGNADO]]</f>
        <v>21181111</v>
      </c>
      <c r="AV16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2900835</v>
      </c>
      <c r="AW166" s="35">
        <f>(VLOOKUP(Tabla44[[#This Row],[SERVICIO 2025]],$J$2:$V$15,3,0)*Tabla44[[#This Row],[TOTAL COBERTURA]])+VLOOKUP(Tabla44[[#This Row],[SERVICIO 2025]],$J$2:$V$15,10,0)*Tabla44[[#This Row],[TOTAL COBERTURA]]</f>
        <v>2573627</v>
      </c>
      <c r="AX166" s="40">
        <f>(VLOOKUP(Tabla44[[#This Row],[SERVICIO 2025]],$J$2:$V$15,3,0)*Tabla44[[#This Row],[TOTAL COBERTURA]])+VLOOKUP(Tabla44[[#This Row],[SERVICIO 2025]],$J$2:$V$15,10,0)*Tabla44[[#This Row],[TOTAL COBERTURA]]</f>
        <v>2573627</v>
      </c>
      <c r="AY166" s="40">
        <f>(VLOOKUP(Tabla44[[#This Row],[SERVICIO 2025]],$J$2:$V$15,3,0)*Tabla44[[#This Row],[TOTAL COBERTURA]])+VLOOKUP(Tabla44[[#This Row],[SERVICIO 2025]],$J$2:$V$15,10,0)*Tabla44[[#This Row],[TOTAL COBERTURA]]</f>
        <v>2573627</v>
      </c>
      <c r="AZ166" s="40">
        <f>(VLOOKUP(Tabla44[[#This Row],[SERVICIO 2025]],$J$2:$V$15,3,0)*Tabla44[[#This Row],[TOTAL COBERTURA]])+VLOOKUP(Tabla44[[#This Row],[SERVICIO 2025]],$J$2:$V$15,10,0)*Tabla44[[#This Row],[TOTAL COBERTURA]]</f>
        <v>2573627</v>
      </c>
      <c r="BA166" s="40">
        <f>(VLOOKUP(Tabla44[[#This Row],[SERVICIO 2025]],$J$2:$V$15,3,0)*Tabla44[[#This Row],[TOTAL COBERTURA]])+VLOOKUP(Tabla44[[#This Row],[SERVICIO 2025]],$J$2:$V$15,10,0)*Tabla44[[#This Row],[TOTAL COBERTURA]]</f>
        <v>2573627</v>
      </c>
      <c r="BB166" s="40">
        <f>(VLOOKUP(Tabla44[[#This Row],[SERVICIO 2025]],$J$2:$V$15,3,0)*Tabla44[[#This Row],[TOTAL COBERTURA]])+VLOOKUP(Tabla44[[#This Row],[SERVICIO 2025]],$J$2:$V$15,10,0)*Tabla44[[#This Row],[TOTAL COBERTURA]]</f>
        <v>2573627</v>
      </c>
      <c r="BC166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2838514</v>
      </c>
      <c r="BD166" s="40">
        <f>SUM(Tabla44[[#This Row],[DESEMBOLSO 1]:[DESEMBOLSO 8]])</f>
        <v>21181111</v>
      </c>
      <c r="BE166" s="22" t="b">
        <f>EXACT(Tabla44[[#This Row],[VALOR ATENCIÓN (8 MESES)]],Tabla44[[#This Row],[VALOR TOTAL]])</f>
        <v>1</v>
      </c>
      <c r="BF166" s="28">
        <f>Tabla44[[#This Row],[VALOR ATENCIÓN (8 MESES)]]-Tabla44[[#This Row],[VALOR TOTAL]]</f>
        <v>0</v>
      </c>
      <c r="BG166" s="22" t="b">
        <f>EXACT(Tabla44[[#This Row],[TOTAL DESEMBOLSOS]],Tabla44[[#This Row],[VALOR TOTAL DEL CONTRATO INCLUIDO EL COMPONENTE DE ALIMENTACIÓN]])</f>
        <v>1</v>
      </c>
      <c r="BH166" s="29">
        <f>Tabla44[[#This Row],[TOTAL DESEMBOLSOS]]-Tabla44[[#This Row],[VALOR TOTAL DEL CONTRATO INCLUIDO EL COMPONENTE DE ALIMENTACIÓN]]</f>
        <v>0</v>
      </c>
      <c r="BI166" t="s">
        <v>98</v>
      </c>
    </row>
    <row r="167" spans="1:61">
      <c r="A167" s="13">
        <v>1963</v>
      </c>
      <c r="B167" s="13"/>
      <c r="C167" s="12" t="s">
        <v>87</v>
      </c>
      <c r="D167" s="12" t="s">
        <v>651</v>
      </c>
      <c r="E167" s="12" t="s">
        <v>3123</v>
      </c>
      <c r="F167" s="12" t="s">
        <v>21</v>
      </c>
      <c r="G167" s="12" t="s">
        <v>90</v>
      </c>
      <c r="H167" s="12" t="s">
        <v>3136</v>
      </c>
      <c r="I167" s="36">
        <v>53471150345</v>
      </c>
      <c r="J167" s="12" t="s">
        <v>3137</v>
      </c>
      <c r="K167" s="12">
        <v>1</v>
      </c>
      <c r="L167" s="12">
        <v>12</v>
      </c>
      <c r="M167" s="12"/>
      <c r="N167" s="13">
        <v>1963</v>
      </c>
      <c r="O167" s="12" t="s">
        <v>2850</v>
      </c>
      <c r="P167" s="12"/>
      <c r="Q167" s="12"/>
      <c r="R167" s="12" t="s">
        <v>94</v>
      </c>
      <c r="S167" s="12">
        <v>10</v>
      </c>
      <c r="T167" s="12">
        <v>811008215</v>
      </c>
      <c r="U167" s="12" t="s">
        <v>3112</v>
      </c>
      <c r="V167" s="12">
        <f>VLOOKUP(Tabla44[[#This Row],[ZONA DEFINITIVO]],[1]Hoja1!$A$1:$D$125,3,0)</f>
        <v>229937</v>
      </c>
      <c r="W167" s="12">
        <f>VLOOKUP(Tabla44[[#This Row],[ZONA DEFINITIVO]],[1]Hoja1!$A$1:$D$125,2,0)</f>
        <v>17256</v>
      </c>
      <c r="X167" s="12">
        <f>VLOOKUP(Tabla44[[#This Row],[ZONA DEFINITIVO]],[1]Hoja1!$A$1:$D$125,4,0)</f>
        <v>104525</v>
      </c>
      <c r="Y167" s="12" t="str">
        <f>+IF(Tabla44[[#This Row],[AGRUPACIONES]]=1,SUMIFS(Tabla44[UDS],Tabla44[ZONA DEFINITIVO],Tabla44[[#This Row],[ZONA DEFINITIVO]])," ")</f>
        <v xml:space="preserve"> </v>
      </c>
      <c r="Z167" s="12" t="str">
        <f>+IF(Tabla44[[#This Row],[AGRUPACIONES]]=1,SUMIFS(Tabla44[TOTAL COBERTURA],Tabla44[ZONA DEFINITIVO],Tabla44[[#This Row],[ZONA DEFINITIVO]])," ")</f>
        <v xml:space="preserve"> </v>
      </c>
      <c r="AA167" s="12"/>
      <c r="AB167" s="35">
        <v>18231660</v>
      </c>
      <c r="AC167" s="37">
        <v>0</v>
      </c>
      <c r="AD167" s="35">
        <f t="shared" si="3"/>
        <v>0</v>
      </c>
      <c r="AE167" s="12"/>
      <c r="AF167" s="12">
        <f>COUNTIF($A$20:A167,A167)</f>
        <v>15</v>
      </c>
      <c r="AG167" s="38">
        <v>18231660</v>
      </c>
      <c r="AH167" s="38">
        <f>Tabla44[[#This Row],[VALOR CONTRAPARTIDA]]+Tabla44[[#This Row],[TOTAL APORTES ICBF]]</f>
        <v>18231660</v>
      </c>
      <c r="AI167" s="35" t="str">
        <f>+IF(Tabla44[[#This Row],[AGRUPACIONES]]=1,SUMIFS(Tabla44[TOTAL APORTES ICBF],Tabla44[ZONA DEFINITIVO],Tabla44[[#This Row],[ZONA DEFINITIVO]])," ")</f>
        <v xml:space="preserve"> </v>
      </c>
      <c r="AJ167" s="38"/>
      <c r="AK167" s="38"/>
      <c r="AL167" s="35"/>
      <c r="AM167" s="35">
        <f>VLOOKUP(Tabla44[[#This Row],[SERVICIO 2025]],$J$2:$V$15,5,0)*Tabla44[[#This Row],[TOTAL COBERTURA]]</f>
        <v>560928</v>
      </c>
      <c r="AN167" s="35">
        <f>VLOOKUP(Tabla44[[#This Row],[SERVICIO 2025]],$J$2:$V$15,6,0)*Tabla44[[#This Row],[TOTAL COBERTURA]]</f>
        <v>454092</v>
      </c>
      <c r="AO167" s="35">
        <f>VLOOKUP(Tabla44[[#This Row],[SERVICIO 2025]],$J$2:$V$15,8,0)*Tabla44[[#This Row],[TOTAL COBERTURA]]</f>
        <v>0</v>
      </c>
      <c r="AP167" s="35">
        <f>VLOOKUP(Tabla44[[#This Row],[SERVICIO 2025]],$J$2:$V$15,3,0)*Tabla44[[#This Row],[TOTAL COBERTURA]]*8</f>
        <v>17216640</v>
      </c>
      <c r="AQ167" s="35"/>
      <c r="AR167" s="35">
        <f>SUM(Tabla44[[#This Row],[VALOR FASE PREPARATORIA DE ALISTAMIENTO]:[VALOR RACION PREPARADA]])</f>
        <v>18231660</v>
      </c>
      <c r="AS167" s="35" t="str">
        <f>+IF(Tabla44[[#This Row],[AGRUPACIONES]]=1,SUMIFS(Tabla44[VALOR TOTAL],Tabla44[ZONA DEFINITIVO],Tabla44[[#This Row],[ZONA DEFINITIVO]])," ")</f>
        <v xml:space="preserve"> </v>
      </c>
      <c r="AT167" s="35">
        <f>VLOOKUP(Tabla44[[#This Row],[SERVICIO 2025]],$J$2:$V$15,10,0)*Tabla44[[#This Row],[TOTAL COBERTURA]]*$X$7</f>
        <v>18078816</v>
      </c>
      <c r="AU167" s="39">
        <f>Tabla44[[#This Row],[TOTAL CONTRATO (ICBF+EAS)]]+Tabla44[[#This Row],[VALOR COMPONENTE ALIMENTACION NO ASIGNADO]]</f>
        <v>36310476</v>
      </c>
      <c r="AV16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4972860</v>
      </c>
      <c r="AW167" s="35">
        <f>(VLOOKUP(Tabla44[[#This Row],[SERVICIO 2025]],$J$2:$V$15,3,0)*Tabla44[[#This Row],[TOTAL COBERTURA]])+VLOOKUP(Tabla44[[#This Row],[SERVICIO 2025]],$J$2:$V$15,10,0)*Tabla44[[#This Row],[TOTAL COBERTURA]]</f>
        <v>4411932</v>
      </c>
      <c r="AX167" s="35">
        <f>(VLOOKUP(Tabla44[[#This Row],[SERVICIO 2025]],$J$2:$V$15,3,0)*Tabla44[[#This Row],[TOTAL COBERTURA]])+VLOOKUP(Tabla44[[#This Row],[SERVICIO 2025]],$J$2:$V$15,10,0)*Tabla44[[#This Row],[TOTAL COBERTURA]]</f>
        <v>4411932</v>
      </c>
      <c r="AY167" s="35">
        <f>(VLOOKUP(Tabla44[[#This Row],[SERVICIO 2025]],$J$2:$V$15,3,0)*Tabla44[[#This Row],[TOTAL COBERTURA]])+VLOOKUP(Tabla44[[#This Row],[SERVICIO 2025]],$J$2:$V$15,10,0)*Tabla44[[#This Row],[TOTAL COBERTURA]]</f>
        <v>4411932</v>
      </c>
      <c r="AZ167" s="35">
        <f>(VLOOKUP(Tabla44[[#This Row],[SERVICIO 2025]],$J$2:$V$15,3,0)*Tabla44[[#This Row],[TOTAL COBERTURA]])+VLOOKUP(Tabla44[[#This Row],[SERVICIO 2025]],$J$2:$V$15,10,0)*Tabla44[[#This Row],[TOTAL COBERTURA]]</f>
        <v>4411932</v>
      </c>
      <c r="BA167" s="35">
        <f>(VLOOKUP(Tabla44[[#This Row],[SERVICIO 2025]],$J$2:$V$15,3,0)*Tabla44[[#This Row],[TOTAL COBERTURA]])+VLOOKUP(Tabla44[[#This Row],[SERVICIO 2025]],$J$2:$V$15,10,0)*Tabla44[[#This Row],[TOTAL COBERTURA]]</f>
        <v>4411932</v>
      </c>
      <c r="BB167" s="35">
        <f>(VLOOKUP(Tabla44[[#This Row],[SERVICIO 2025]],$J$2:$V$15,3,0)*Tabla44[[#This Row],[TOTAL COBERTURA]])+VLOOKUP(Tabla44[[#This Row],[SERVICIO 2025]],$J$2:$V$15,10,0)*Tabla44[[#This Row],[TOTAL COBERTURA]]</f>
        <v>4411932</v>
      </c>
      <c r="BC16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4866024</v>
      </c>
      <c r="BD167" s="35">
        <f>SUM(Tabla44[[#This Row],[DESEMBOLSO 1]:[DESEMBOLSO 8]])</f>
        <v>36310476</v>
      </c>
      <c r="BE167" s="12" t="b">
        <f>EXACT(Tabla44[[#This Row],[VALOR ATENCIÓN (8 MESES)]],Tabla44[[#This Row],[VALOR TOTAL]])</f>
        <v>1</v>
      </c>
      <c r="BF167" s="23">
        <f>Tabla44[[#This Row],[VALOR ATENCIÓN (8 MESES)]]-Tabla44[[#This Row],[VALOR TOTAL]]</f>
        <v>0</v>
      </c>
      <c r="BG167" s="12" t="b">
        <f>EXACT(Tabla44[[#This Row],[TOTAL DESEMBOLSOS]],Tabla44[[#This Row],[VALOR TOTAL DEL CONTRATO INCLUIDO EL COMPONENTE DE ALIMENTACIÓN]])</f>
        <v>1</v>
      </c>
      <c r="BH167" s="29">
        <f>Tabla44[[#This Row],[TOTAL DESEMBOLSOS]]-Tabla44[[#This Row],[VALOR TOTAL DEL CONTRATO INCLUIDO EL COMPONENTE DE ALIMENTACIÓN]]</f>
        <v>0</v>
      </c>
      <c r="BI167" t="s">
        <v>98</v>
      </c>
    </row>
    <row r="168" spans="1:61">
      <c r="A168" s="13">
        <v>1963</v>
      </c>
      <c r="B168" s="13"/>
      <c r="C168" s="12" t="s">
        <v>87</v>
      </c>
      <c r="D168" s="12" t="s">
        <v>651</v>
      </c>
      <c r="E168" s="12" t="s">
        <v>3138</v>
      </c>
      <c r="F168" s="12" t="s">
        <v>21</v>
      </c>
      <c r="G168" s="12" t="s">
        <v>90</v>
      </c>
      <c r="H168" s="12" t="s">
        <v>3139</v>
      </c>
      <c r="I168" s="36">
        <v>53901152147</v>
      </c>
      <c r="J168" s="12" t="s">
        <v>3140</v>
      </c>
      <c r="K168" s="12">
        <v>1</v>
      </c>
      <c r="L168" s="12">
        <v>158</v>
      </c>
      <c r="M168" s="12"/>
      <c r="N168" s="13">
        <v>1963</v>
      </c>
      <c r="O168" s="12" t="s">
        <v>2850</v>
      </c>
      <c r="P168" s="12"/>
      <c r="Q168" s="12"/>
      <c r="R168" s="12" t="s">
        <v>94</v>
      </c>
      <c r="S168" s="12">
        <v>10</v>
      </c>
      <c r="T168" s="12">
        <v>811008215</v>
      </c>
      <c r="U168" s="12" t="s">
        <v>3112</v>
      </c>
      <c r="V168" s="12">
        <f>VLOOKUP(Tabla44[[#This Row],[ZONA DEFINITIVO]],[1]Hoja1!$A$1:$D$125,3,0)</f>
        <v>229937</v>
      </c>
      <c r="W168" s="12">
        <f>VLOOKUP(Tabla44[[#This Row],[ZONA DEFINITIVO]],[1]Hoja1!$A$1:$D$125,2,0)</f>
        <v>17256</v>
      </c>
      <c r="X168" s="12">
        <f>VLOOKUP(Tabla44[[#This Row],[ZONA DEFINITIVO]],[1]Hoja1!$A$1:$D$125,4,0)</f>
        <v>104525</v>
      </c>
      <c r="Y168" s="12" t="str">
        <f>+IF(Tabla44[[#This Row],[AGRUPACIONES]]=1,SUMIFS(Tabla44[UDS],Tabla44[ZONA DEFINITIVO],Tabla44[[#This Row],[ZONA DEFINITIVO]])," ")</f>
        <v xml:space="preserve"> </v>
      </c>
      <c r="Z168" s="12" t="str">
        <f>+IF(Tabla44[[#This Row],[AGRUPACIONES]]=1,SUMIFS(Tabla44[TOTAL COBERTURA],Tabla44[ZONA DEFINITIVO],Tabla44[[#This Row],[ZONA DEFINITIVO]])," ")</f>
        <v xml:space="preserve"> </v>
      </c>
      <c r="AA168" s="12"/>
      <c r="AB168" s="35">
        <v>240050190</v>
      </c>
      <c r="AC168" s="37">
        <v>0</v>
      </c>
      <c r="AD168" s="35">
        <f t="shared" si="3"/>
        <v>0</v>
      </c>
      <c r="AE168" s="12"/>
      <c r="AF168" s="12">
        <f>COUNTIF($A$20:A168,A168)</f>
        <v>16</v>
      </c>
      <c r="AG168" s="38">
        <v>240050190</v>
      </c>
      <c r="AH168" s="38">
        <f>Tabla44[[#This Row],[VALOR CONTRAPARTIDA]]+Tabla44[[#This Row],[TOTAL APORTES ICBF]]</f>
        <v>240050190</v>
      </c>
      <c r="AI168" s="35" t="str">
        <f>+IF(Tabla44[[#This Row],[AGRUPACIONES]]=1,SUMIFS(Tabla44[TOTAL APORTES ICBF],Tabla44[ZONA DEFINITIVO],Tabla44[[#This Row],[ZONA DEFINITIVO]])," ")</f>
        <v xml:space="preserve"> </v>
      </c>
      <c r="AJ168" s="38"/>
      <c r="AK168" s="38"/>
      <c r="AL168" s="35"/>
      <c r="AM168" s="35">
        <f>VLOOKUP(Tabla44[[#This Row],[SERVICIO 2025]],$J$2:$V$15,5,0)*Tabla44[[#This Row],[TOTAL COBERTURA]]</f>
        <v>7385552</v>
      </c>
      <c r="AN168" s="35">
        <f>VLOOKUP(Tabla44[[#This Row],[SERVICIO 2025]],$J$2:$V$15,6,0)*Tabla44[[#This Row],[TOTAL COBERTURA]]</f>
        <v>5978878</v>
      </c>
      <c r="AO168" s="35">
        <f>VLOOKUP(Tabla44[[#This Row],[SERVICIO 2025]],$J$2:$V$15,8,0)*Tabla44[[#This Row],[TOTAL COBERTURA]]</f>
        <v>0</v>
      </c>
      <c r="AP168" s="35">
        <f>VLOOKUP(Tabla44[[#This Row],[SERVICIO 2025]],$J$2:$V$15,3,0)*Tabla44[[#This Row],[TOTAL COBERTURA]]*8</f>
        <v>226685760</v>
      </c>
      <c r="AQ168" s="35"/>
      <c r="AR168" s="35">
        <f>SUM(Tabla44[[#This Row],[VALOR FASE PREPARATORIA DE ALISTAMIENTO]:[VALOR RACION PREPARADA]])</f>
        <v>240050190</v>
      </c>
      <c r="AS168" s="35" t="str">
        <f>+IF(Tabla44[[#This Row],[AGRUPACIONES]]=1,SUMIFS(Tabla44[VALOR TOTAL],Tabla44[ZONA DEFINITIVO],Tabla44[[#This Row],[ZONA DEFINITIVO]])," ")</f>
        <v xml:space="preserve"> </v>
      </c>
      <c r="AT168" s="35">
        <f>VLOOKUP(Tabla44[[#This Row],[SERVICIO 2025]],$J$2:$V$15,10,0)*Tabla44[[#This Row],[TOTAL COBERTURA]]*$X$7</f>
        <v>238037744</v>
      </c>
      <c r="AU168" s="39">
        <f>Tabla44[[#This Row],[TOTAL CONTRATO (ICBF+EAS)]]+Tabla44[[#This Row],[VALOR COMPONENTE ALIMENTACION NO ASIGNADO]]</f>
        <v>478087934</v>
      </c>
      <c r="AV16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65475990</v>
      </c>
      <c r="AW168" s="35">
        <f>(VLOOKUP(Tabla44[[#This Row],[SERVICIO 2025]],$J$2:$V$15,3,0)*Tabla44[[#This Row],[TOTAL COBERTURA]])+VLOOKUP(Tabla44[[#This Row],[SERVICIO 2025]],$J$2:$V$15,10,0)*Tabla44[[#This Row],[TOTAL COBERTURA]]</f>
        <v>58090438</v>
      </c>
      <c r="AX168" s="35">
        <f>(VLOOKUP(Tabla44[[#This Row],[SERVICIO 2025]],$J$2:$V$15,3,0)*Tabla44[[#This Row],[TOTAL COBERTURA]])+VLOOKUP(Tabla44[[#This Row],[SERVICIO 2025]],$J$2:$V$15,10,0)*Tabla44[[#This Row],[TOTAL COBERTURA]]</f>
        <v>58090438</v>
      </c>
      <c r="AY168" s="35">
        <f>(VLOOKUP(Tabla44[[#This Row],[SERVICIO 2025]],$J$2:$V$15,3,0)*Tabla44[[#This Row],[TOTAL COBERTURA]])+VLOOKUP(Tabla44[[#This Row],[SERVICIO 2025]],$J$2:$V$15,10,0)*Tabla44[[#This Row],[TOTAL COBERTURA]]</f>
        <v>58090438</v>
      </c>
      <c r="AZ168" s="35">
        <f>(VLOOKUP(Tabla44[[#This Row],[SERVICIO 2025]],$J$2:$V$15,3,0)*Tabla44[[#This Row],[TOTAL COBERTURA]])+VLOOKUP(Tabla44[[#This Row],[SERVICIO 2025]],$J$2:$V$15,10,0)*Tabla44[[#This Row],[TOTAL COBERTURA]]</f>
        <v>58090438</v>
      </c>
      <c r="BA168" s="35">
        <f>(VLOOKUP(Tabla44[[#This Row],[SERVICIO 2025]],$J$2:$V$15,3,0)*Tabla44[[#This Row],[TOTAL COBERTURA]])+VLOOKUP(Tabla44[[#This Row],[SERVICIO 2025]],$J$2:$V$15,10,0)*Tabla44[[#This Row],[TOTAL COBERTURA]]</f>
        <v>58090438</v>
      </c>
      <c r="BB168" s="35">
        <f>(VLOOKUP(Tabla44[[#This Row],[SERVICIO 2025]],$J$2:$V$15,3,0)*Tabla44[[#This Row],[TOTAL COBERTURA]])+VLOOKUP(Tabla44[[#This Row],[SERVICIO 2025]],$J$2:$V$15,10,0)*Tabla44[[#This Row],[TOTAL COBERTURA]]</f>
        <v>58090438</v>
      </c>
      <c r="BC16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64069316</v>
      </c>
      <c r="BD168" s="35">
        <f>SUM(Tabla44[[#This Row],[DESEMBOLSO 1]:[DESEMBOLSO 8]])</f>
        <v>478087934</v>
      </c>
      <c r="BE168" s="12" t="b">
        <f>EXACT(Tabla44[[#This Row],[VALOR ATENCIÓN (8 MESES)]],Tabla44[[#This Row],[VALOR TOTAL]])</f>
        <v>1</v>
      </c>
      <c r="BF168" s="23">
        <f>Tabla44[[#This Row],[VALOR ATENCIÓN (8 MESES)]]-Tabla44[[#This Row],[VALOR TOTAL]]</f>
        <v>0</v>
      </c>
      <c r="BG168" s="12" t="b">
        <f>EXACT(Tabla44[[#This Row],[TOTAL DESEMBOLSOS]],Tabla44[[#This Row],[VALOR TOTAL DEL CONTRATO INCLUIDO EL COMPONENTE DE ALIMENTACIÓN]])</f>
        <v>1</v>
      </c>
      <c r="BH168" s="29">
        <f>Tabla44[[#This Row],[TOTAL DESEMBOLSOS]]-Tabla44[[#This Row],[VALOR TOTAL DEL CONTRATO INCLUIDO EL COMPONENTE DE ALIMENTACIÓN]]</f>
        <v>0</v>
      </c>
      <c r="BI168" t="s">
        <v>98</v>
      </c>
    </row>
    <row r="169" spans="1:61">
      <c r="A169" s="13">
        <v>1963</v>
      </c>
      <c r="B169" s="13"/>
      <c r="C169" s="12" t="s">
        <v>87</v>
      </c>
      <c r="D169" s="12" t="s">
        <v>651</v>
      </c>
      <c r="E169" s="12" t="s">
        <v>3138</v>
      </c>
      <c r="F169" s="12" t="s">
        <v>14</v>
      </c>
      <c r="G169" s="12" t="s">
        <v>90</v>
      </c>
      <c r="H169" s="12" t="s">
        <v>3141</v>
      </c>
      <c r="I169" s="36">
        <v>539000059181</v>
      </c>
      <c r="J169" s="12" t="s">
        <v>3142</v>
      </c>
      <c r="K169" s="12">
        <v>1</v>
      </c>
      <c r="L169" s="12">
        <v>64</v>
      </c>
      <c r="M169" s="12"/>
      <c r="N169" s="13">
        <v>1963</v>
      </c>
      <c r="O169" s="12" t="s">
        <v>2850</v>
      </c>
      <c r="P169" s="12"/>
      <c r="Q169" s="12"/>
      <c r="R169" s="12" t="s">
        <v>94</v>
      </c>
      <c r="S169" s="12">
        <v>10</v>
      </c>
      <c r="T169" s="12">
        <v>811008215</v>
      </c>
      <c r="U169" s="12" t="s">
        <v>3112</v>
      </c>
      <c r="V169" s="12">
        <f>VLOOKUP(Tabla44[[#This Row],[ZONA DEFINITIVO]],[1]Hoja1!$A$1:$D$125,3,0)</f>
        <v>229937</v>
      </c>
      <c r="W169" s="12">
        <f>VLOOKUP(Tabla44[[#This Row],[ZONA DEFINITIVO]],[1]Hoja1!$A$1:$D$125,2,0)</f>
        <v>17256</v>
      </c>
      <c r="X169" s="12">
        <f>VLOOKUP(Tabla44[[#This Row],[ZONA DEFINITIVO]],[1]Hoja1!$A$1:$D$125,4,0)</f>
        <v>104525</v>
      </c>
      <c r="Y169" s="12" t="str">
        <f>+IF(Tabla44[[#This Row],[AGRUPACIONES]]=1,SUMIFS(Tabla44[UDS],Tabla44[ZONA DEFINITIVO],Tabla44[[#This Row],[ZONA DEFINITIVO]])," ")</f>
        <v xml:space="preserve"> </v>
      </c>
      <c r="Z169" s="12" t="str">
        <f>+IF(Tabla44[[#This Row],[AGRUPACIONES]]=1,SUMIFS(Tabla44[TOTAL COBERTURA],Tabla44[ZONA DEFINITIVO],Tabla44[[#This Row],[ZONA DEFINITIVO]])," ")</f>
        <v xml:space="preserve"> </v>
      </c>
      <c r="AA169" s="12"/>
      <c r="AB169" s="35">
        <v>268086400</v>
      </c>
      <c r="AC169" s="37">
        <v>0</v>
      </c>
      <c r="AD169" s="35">
        <f t="shared" si="3"/>
        <v>0</v>
      </c>
      <c r="AE169" s="12"/>
      <c r="AF169" s="12">
        <f>COUNTIF($A$20:A169,A169)</f>
        <v>17</v>
      </c>
      <c r="AG169" s="38">
        <v>268086400</v>
      </c>
      <c r="AH169" s="38">
        <f>Tabla44[[#This Row],[VALOR CONTRAPARTIDA]]+Tabla44[[#This Row],[TOTAL APORTES ICBF]]</f>
        <v>268086400</v>
      </c>
      <c r="AI169" s="35" t="str">
        <f>+IF(Tabla44[[#This Row],[AGRUPACIONES]]=1,SUMIFS(Tabla44[TOTAL APORTES ICBF],Tabla44[ZONA DEFINITIVO],Tabla44[[#This Row],[ZONA DEFINITIVO]])," ")</f>
        <v xml:space="preserve"> </v>
      </c>
      <c r="AJ169" s="38"/>
      <c r="AK169" s="38"/>
      <c r="AL169" s="35"/>
      <c r="AM169" s="35">
        <f>VLOOKUP(Tabla44[[#This Row],[SERVICIO 2025]],$J$2:$V$15,5,0)*Tabla44[[#This Row],[TOTAL COBERTURA]]</f>
        <v>5641152</v>
      </c>
      <c r="AN169" s="35">
        <f>VLOOKUP(Tabla44[[#This Row],[SERVICIO 2025]],$J$2:$V$15,6,0)*Tabla44[[#This Row],[TOTAL COBERTURA]]</f>
        <v>4802752</v>
      </c>
      <c r="AO169" s="35">
        <f>VLOOKUP(Tabla44[[#This Row],[SERVICIO 2025]],$J$2:$V$15,8,0)*Tabla44[[#This Row],[TOTAL COBERTURA]]</f>
        <v>0</v>
      </c>
      <c r="AP169" s="35">
        <f>VLOOKUP(Tabla44[[#This Row],[SERVICIO 2025]],$J$2:$V$15,3,0)*Tabla44[[#This Row],[TOTAL COBERTURA]]*8</f>
        <v>257642496</v>
      </c>
      <c r="AQ169" s="35"/>
      <c r="AR169" s="35">
        <f>SUM(Tabla44[[#This Row],[VALOR FASE PREPARATORIA DE ALISTAMIENTO]:[VALOR RACION PREPARADA]])</f>
        <v>268086400</v>
      </c>
      <c r="AS169" s="35" t="str">
        <f>+IF(Tabla44[[#This Row],[AGRUPACIONES]]=1,SUMIFS(Tabla44[VALOR TOTAL],Tabla44[ZONA DEFINITIVO],Tabla44[[#This Row],[ZONA DEFINITIVO]])," ")</f>
        <v xml:space="preserve"> </v>
      </c>
      <c r="AT169" s="35">
        <f>VLOOKUP(Tabla44[[#This Row],[SERVICIO 2025]],$J$2:$V$15,10,0)*Tabla44[[#This Row],[TOTAL COBERTURA]]*$X$7</f>
        <v>0</v>
      </c>
      <c r="AU169" s="39">
        <f>Tabla44[[#This Row],[TOTAL CONTRATO (ICBF+EAS)]]+Tabla44[[#This Row],[VALOR COMPONENTE ALIMENTACION NO ASIGNADO]]</f>
        <v>268086400</v>
      </c>
      <c r="AV16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37846464</v>
      </c>
      <c r="AW169" s="35">
        <f>(VLOOKUP(Tabla44[[#This Row],[SERVICIO 2025]],$J$2:$V$15,3,0)*Tabla44[[#This Row],[TOTAL COBERTURA]])+VLOOKUP(Tabla44[[#This Row],[SERVICIO 2025]],$J$2:$V$15,10,0)*Tabla44[[#This Row],[TOTAL COBERTURA]]</f>
        <v>32205312</v>
      </c>
      <c r="AX169" s="35">
        <f>(VLOOKUP(Tabla44[[#This Row],[SERVICIO 2025]],$J$2:$V$15,3,0)*Tabla44[[#This Row],[TOTAL COBERTURA]])+VLOOKUP(Tabla44[[#This Row],[SERVICIO 2025]],$J$2:$V$15,10,0)*Tabla44[[#This Row],[TOTAL COBERTURA]]</f>
        <v>32205312</v>
      </c>
      <c r="AY169" s="35">
        <f>(VLOOKUP(Tabla44[[#This Row],[SERVICIO 2025]],$J$2:$V$15,3,0)*Tabla44[[#This Row],[TOTAL COBERTURA]])+VLOOKUP(Tabla44[[#This Row],[SERVICIO 2025]],$J$2:$V$15,10,0)*Tabla44[[#This Row],[TOTAL COBERTURA]]</f>
        <v>32205312</v>
      </c>
      <c r="AZ169" s="35">
        <f>(VLOOKUP(Tabla44[[#This Row],[SERVICIO 2025]],$J$2:$V$15,3,0)*Tabla44[[#This Row],[TOTAL COBERTURA]])+VLOOKUP(Tabla44[[#This Row],[SERVICIO 2025]],$J$2:$V$15,10,0)*Tabla44[[#This Row],[TOTAL COBERTURA]]</f>
        <v>32205312</v>
      </c>
      <c r="BA169" s="35">
        <f>(VLOOKUP(Tabla44[[#This Row],[SERVICIO 2025]],$J$2:$V$15,3,0)*Tabla44[[#This Row],[TOTAL COBERTURA]])+VLOOKUP(Tabla44[[#This Row],[SERVICIO 2025]],$J$2:$V$15,10,0)*Tabla44[[#This Row],[TOTAL COBERTURA]]</f>
        <v>32205312</v>
      </c>
      <c r="BB169" s="35">
        <f>(VLOOKUP(Tabla44[[#This Row],[SERVICIO 2025]],$J$2:$V$15,3,0)*Tabla44[[#This Row],[TOTAL COBERTURA]])+VLOOKUP(Tabla44[[#This Row],[SERVICIO 2025]],$J$2:$V$15,10,0)*Tabla44[[#This Row],[TOTAL COBERTURA]]</f>
        <v>32205312</v>
      </c>
      <c r="BC16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37008064</v>
      </c>
      <c r="BD169" s="35">
        <f>SUM(Tabla44[[#This Row],[DESEMBOLSO 1]:[DESEMBOLSO 8]])</f>
        <v>268086400</v>
      </c>
      <c r="BE169" s="12" t="b">
        <f>EXACT(Tabla44[[#This Row],[VALOR ATENCIÓN (8 MESES)]],Tabla44[[#This Row],[VALOR TOTAL]])</f>
        <v>1</v>
      </c>
      <c r="BF169" s="23">
        <f>Tabla44[[#This Row],[VALOR ATENCIÓN (8 MESES)]]-Tabla44[[#This Row],[VALOR TOTAL]]</f>
        <v>0</v>
      </c>
      <c r="BG169" s="12" t="b">
        <f>EXACT(Tabla44[[#This Row],[TOTAL DESEMBOLSOS]],Tabla44[[#This Row],[VALOR TOTAL DEL CONTRATO INCLUIDO EL COMPONENTE DE ALIMENTACIÓN]])</f>
        <v>1</v>
      </c>
      <c r="BH169" s="29">
        <f>Tabla44[[#This Row],[TOTAL DESEMBOLSOS]]-Tabla44[[#This Row],[VALOR TOTAL DEL CONTRATO INCLUIDO EL COMPONENTE DE ALIMENTACIÓN]]</f>
        <v>0</v>
      </c>
      <c r="BI169" t="s">
        <v>98</v>
      </c>
    </row>
    <row r="170" spans="1:61">
      <c r="A170" s="13">
        <v>1963</v>
      </c>
      <c r="B170" s="13"/>
      <c r="C170" s="12" t="s">
        <v>87</v>
      </c>
      <c r="D170" s="12" t="s">
        <v>651</v>
      </c>
      <c r="E170" s="12" t="s">
        <v>3138</v>
      </c>
      <c r="F170" s="12" t="s">
        <v>15</v>
      </c>
      <c r="G170" s="12" t="s">
        <v>90</v>
      </c>
      <c r="H170" s="12" t="s">
        <v>3143</v>
      </c>
      <c r="I170" s="36">
        <v>539000114984</v>
      </c>
      <c r="J170" s="12" t="s">
        <v>3144</v>
      </c>
      <c r="K170" s="12">
        <v>1</v>
      </c>
      <c r="L170" s="12">
        <v>50</v>
      </c>
      <c r="M170" s="12"/>
      <c r="N170" s="13">
        <v>1963</v>
      </c>
      <c r="O170" s="12" t="s">
        <v>2850</v>
      </c>
      <c r="P170" s="12"/>
      <c r="Q170" s="12"/>
      <c r="R170" s="12" t="s">
        <v>94</v>
      </c>
      <c r="S170" s="12">
        <v>10</v>
      </c>
      <c r="T170" s="12">
        <v>811008215</v>
      </c>
      <c r="U170" s="12" t="s">
        <v>3112</v>
      </c>
      <c r="V170" s="12">
        <f>VLOOKUP(Tabla44[[#This Row],[ZONA DEFINITIVO]],[1]Hoja1!$A$1:$D$125,3,0)</f>
        <v>229937</v>
      </c>
      <c r="W170" s="12">
        <f>VLOOKUP(Tabla44[[#This Row],[ZONA DEFINITIVO]],[1]Hoja1!$A$1:$D$125,2,0)</f>
        <v>17256</v>
      </c>
      <c r="X170" s="12">
        <f>VLOOKUP(Tabla44[[#This Row],[ZONA DEFINITIVO]],[1]Hoja1!$A$1:$D$125,4,0)</f>
        <v>104525</v>
      </c>
      <c r="Y170" s="12" t="str">
        <f>+IF(Tabla44[[#This Row],[AGRUPACIONES]]=1,SUMIFS(Tabla44[UDS],Tabla44[ZONA DEFINITIVO],Tabla44[[#This Row],[ZONA DEFINITIVO]])," ")</f>
        <v xml:space="preserve"> </v>
      </c>
      <c r="Z170" s="12" t="str">
        <f>+IF(Tabla44[[#This Row],[AGRUPACIONES]]=1,SUMIFS(Tabla44[TOTAL COBERTURA],Tabla44[ZONA DEFINITIVO],Tabla44[[#This Row],[ZONA DEFINITIVO]])," ")</f>
        <v xml:space="preserve"> </v>
      </c>
      <c r="AA170" s="12"/>
      <c r="AB170" s="35">
        <v>216470100</v>
      </c>
      <c r="AC170" s="37">
        <v>0</v>
      </c>
      <c r="AD170" s="35">
        <f t="shared" si="3"/>
        <v>0</v>
      </c>
      <c r="AE170" s="12"/>
      <c r="AF170" s="12">
        <f>COUNTIF($A$20:A170,A170)</f>
        <v>18</v>
      </c>
      <c r="AG170" s="38">
        <v>216470100</v>
      </c>
      <c r="AH170" s="38">
        <f>Tabla44[[#This Row],[VALOR CONTRAPARTIDA]]+Tabla44[[#This Row],[TOTAL APORTES ICBF]]</f>
        <v>216470100</v>
      </c>
      <c r="AI170" s="35" t="str">
        <f>+IF(Tabla44[[#This Row],[AGRUPACIONES]]=1,SUMIFS(Tabla44[TOTAL APORTES ICBF],Tabla44[ZONA DEFINITIVO],Tabla44[[#This Row],[ZONA DEFINITIVO]])," ")</f>
        <v xml:space="preserve"> </v>
      </c>
      <c r="AJ170" s="38"/>
      <c r="AK170" s="38"/>
      <c r="AL170" s="35"/>
      <c r="AM170" s="35">
        <f>VLOOKUP(Tabla44[[#This Row],[SERVICIO 2025]],$J$2:$V$15,5,0)*Tabla44[[#This Row],[TOTAL COBERTURA]]</f>
        <v>4407150</v>
      </c>
      <c r="AN170" s="35">
        <f>VLOOKUP(Tabla44[[#This Row],[SERVICIO 2025]],$J$2:$V$15,6,0)*Tabla44[[#This Row],[TOTAL COBERTURA]]</f>
        <v>3752150</v>
      </c>
      <c r="AO170" s="35">
        <f>VLOOKUP(Tabla44[[#This Row],[SERVICIO 2025]],$J$2:$V$15,8,0)*Tabla44[[#This Row],[TOTAL COBERTURA]]</f>
        <v>0</v>
      </c>
      <c r="AP170" s="35">
        <f>VLOOKUP(Tabla44[[#This Row],[SERVICIO 2025]],$J$2:$V$15,3,0)*Tabla44[[#This Row],[TOTAL COBERTURA]]*8</f>
        <v>208310800</v>
      </c>
      <c r="AQ170" s="35"/>
      <c r="AR170" s="35">
        <f>SUM(Tabla44[[#This Row],[VALOR FASE PREPARATORIA DE ALISTAMIENTO]:[VALOR RACION PREPARADA]])</f>
        <v>216470100</v>
      </c>
      <c r="AS170" s="35" t="str">
        <f>+IF(Tabla44[[#This Row],[AGRUPACIONES]]=1,SUMIFS(Tabla44[VALOR TOTAL],Tabla44[ZONA DEFINITIVO],Tabla44[[#This Row],[ZONA DEFINITIVO]])," ")</f>
        <v xml:space="preserve"> </v>
      </c>
      <c r="AT170" s="35">
        <f>VLOOKUP(Tabla44[[#This Row],[SERVICIO 2025]],$J$2:$V$15,10,0)*Tabla44[[#This Row],[TOTAL COBERTURA]]*$X$7</f>
        <v>0</v>
      </c>
      <c r="AU170" s="39">
        <f>Tabla44[[#This Row],[TOTAL CONTRATO (ICBF+EAS)]]+Tabla44[[#This Row],[VALOR COMPONENTE ALIMENTACION NO ASIGNADO]]</f>
        <v>216470100</v>
      </c>
      <c r="AV17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30446000</v>
      </c>
      <c r="AW170" s="35">
        <f>(VLOOKUP(Tabla44[[#This Row],[SERVICIO 2025]],$J$2:$V$15,3,0)*Tabla44[[#This Row],[TOTAL COBERTURA]])+VLOOKUP(Tabla44[[#This Row],[SERVICIO 2025]],$J$2:$V$15,10,0)*Tabla44[[#This Row],[TOTAL COBERTURA]]</f>
        <v>26038850</v>
      </c>
      <c r="AX170" s="35">
        <f>(VLOOKUP(Tabla44[[#This Row],[SERVICIO 2025]],$J$2:$V$15,3,0)*Tabla44[[#This Row],[TOTAL COBERTURA]])+VLOOKUP(Tabla44[[#This Row],[SERVICIO 2025]],$J$2:$V$15,10,0)*Tabla44[[#This Row],[TOTAL COBERTURA]]</f>
        <v>26038850</v>
      </c>
      <c r="AY170" s="35">
        <f>(VLOOKUP(Tabla44[[#This Row],[SERVICIO 2025]],$J$2:$V$15,3,0)*Tabla44[[#This Row],[TOTAL COBERTURA]])+VLOOKUP(Tabla44[[#This Row],[SERVICIO 2025]],$J$2:$V$15,10,0)*Tabla44[[#This Row],[TOTAL COBERTURA]]</f>
        <v>26038850</v>
      </c>
      <c r="AZ170" s="35">
        <f>(VLOOKUP(Tabla44[[#This Row],[SERVICIO 2025]],$J$2:$V$15,3,0)*Tabla44[[#This Row],[TOTAL COBERTURA]])+VLOOKUP(Tabla44[[#This Row],[SERVICIO 2025]],$J$2:$V$15,10,0)*Tabla44[[#This Row],[TOTAL COBERTURA]]</f>
        <v>26038850</v>
      </c>
      <c r="BA170" s="35">
        <f>(VLOOKUP(Tabla44[[#This Row],[SERVICIO 2025]],$J$2:$V$15,3,0)*Tabla44[[#This Row],[TOTAL COBERTURA]])+VLOOKUP(Tabla44[[#This Row],[SERVICIO 2025]],$J$2:$V$15,10,0)*Tabla44[[#This Row],[TOTAL COBERTURA]]</f>
        <v>26038850</v>
      </c>
      <c r="BB170" s="35">
        <f>(VLOOKUP(Tabla44[[#This Row],[SERVICIO 2025]],$J$2:$V$15,3,0)*Tabla44[[#This Row],[TOTAL COBERTURA]])+VLOOKUP(Tabla44[[#This Row],[SERVICIO 2025]],$J$2:$V$15,10,0)*Tabla44[[#This Row],[TOTAL COBERTURA]]</f>
        <v>26038850</v>
      </c>
      <c r="BC17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29791000</v>
      </c>
      <c r="BD170" s="35">
        <f>SUM(Tabla44[[#This Row],[DESEMBOLSO 1]:[DESEMBOLSO 8]])</f>
        <v>216470100</v>
      </c>
      <c r="BE170" s="12" t="b">
        <f>EXACT(Tabla44[[#This Row],[VALOR ATENCIÓN (8 MESES)]],Tabla44[[#This Row],[VALOR TOTAL]])</f>
        <v>1</v>
      </c>
      <c r="BF170" s="23">
        <f>Tabla44[[#This Row],[VALOR ATENCIÓN (8 MESES)]]-Tabla44[[#This Row],[VALOR TOTAL]]</f>
        <v>0</v>
      </c>
      <c r="BG170" s="12" t="b">
        <f>EXACT(Tabla44[[#This Row],[TOTAL DESEMBOLSOS]],Tabla44[[#This Row],[VALOR TOTAL DEL CONTRATO INCLUIDO EL COMPONENTE DE ALIMENTACIÓN]])</f>
        <v>1</v>
      </c>
      <c r="BH170" s="29">
        <f>Tabla44[[#This Row],[TOTAL DESEMBOLSOS]]-Tabla44[[#This Row],[VALOR TOTAL DEL CONTRATO INCLUIDO EL COMPONENTE DE ALIMENTACIÓN]]</f>
        <v>0</v>
      </c>
      <c r="BI170" t="s">
        <v>98</v>
      </c>
    </row>
    <row r="171" spans="1:61">
      <c r="A171" s="13">
        <v>1963</v>
      </c>
      <c r="B171" s="13"/>
      <c r="C171" s="12" t="s">
        <v>87</v>
      </c>
      <c r="D171" s="12" t="s">
        <v>651</v>
      </c>
      <c r="E171" s="12" t="s">
        <v>3145</v>
      </c>
      <c r="F171" s="12" t="s">
        <v>21</v>
      </c>
      <c r="G171" s="12" t="s">
        <v>90</v>
      </c>
      <c r="H171" s="12" t="s">
        <v>3146</v>
      </c>
      <c r="I171" s="36">
        <v>54671119917</v>
      </c>
      <c r="J171" s="12" t="s">
        <v>3147</v>
      </c>
      <c r="K171" s="12">
        <v>1</v>
      </c>
      <c r="L171" s="12">
        <v>37</v>
      </c>
      <c r="M171" s="12"/>
      <c r="N171" s="13">
        <v>1963</v>
      </c>
      <c r="O171" s="12" t="s">
        <v>2850</v>
      </c>
      <c r="P171" s="12"/>
      <c r="Q171" s="12"/>
      <c r="R171" s="12" t="s">
        <v>94</v>
      </c>
      <c r="S171" s="12">
        <v>10</v>
      </c>
      <c r="T171" s="12">
        <v>811008215</v>
      </c>
      <c r="U171" s="12" t="s">
        <v>3112</v>
      </c>
      <c r="V171" s="12">
        <f>VLOOKUP(Tabla44[[#This Row],[ZONA DEFINITIVO]],[1]Hoja1!$A$1:$D$125,3,0)</f>
        <v>229937</v>
      </c>
      <c r="W171" s="12">
        <f>VLOOKUP(Tabla44[[#This Row],[ZONA DEFINITIVO]],[1]Hoja1!$A$1:$D$125,2,0)</f>
        <v>17256</v>
      </c>
      <c r="X171" s="12">
        <f>VLOOKUP(Tabla44[[#This Row],[ZONA DEFINITIVO]],[1]Hoja1!$A$1:$D$125,4,0)</f>
        <v>104525</v>
      </c>
      <c r="Y171" s="12" t="str">
        <f>+IF(Tabla44[[#This Row],[AGRUPACIONES]]=1,SUMIFS(Tabla44[UDS],Tabla44[ZONA DEFINITIVO],Tabla44[[#This Row],[ZONA DEFINITIVO]])," ")</f>
        <v xml:space="preserve"> </v>
      </c>
      <c r="Z171" s="12" t="str">
        <f>+IF(Tabla44[[#This Row],[AGRUPACIONES]]=1,SUMIFS(Tabla44[TOTAL COBERTURA],Tabla44[ZONA DEFINITIVO],Tabla44[[#This Row],[ZONA DEFINITIVO]])," ")</f>
        <v xml:space="preserve"> </v>
      </c>
      <c r="AA171" s="12"/>
      <c r="AB171" s="35">
        <v>56214285</v>
      </c>
      <c r="AC171" s="37">
        <v>0</v>
      </c>
      <c r="AD171" s="35">
        <f t="shared" si="3"/>
        <v>0</v>
      </c>
      <c r="AE171" s="12"/>
      <c r="AF171" s="12">
        <f>COUNTIF($A$20:A171,A171)</f>
        <v>19</v>
      </c>
      <c r="AG171" s="38">
        <v>56214285</v>
      </c>
      <c r="AH171" s="38">
        <f>Tabla44[[#This Row],[VALOR CONTRAPARTIDA]]+Tabla44[[#This Row],[TOTAL APORTES ICBF]]</f>
        <v>56214285</v>
      </c>
      <c r="AI171" s="35" t="str">
        <f>+IF(Tabla44[[#This Row],[AGRUPACIONES]]=1,SUMIFS(Tabla44[TOTAL APORTES ICBF],Tabla44[ZONA DEFINITIVO],Tabla44[[#This Row],[ZONA DEFINITIVO]])," ")</f>
        <v xml:space="preserve"> </v>
      </c>
      <c r="AJ171" s="38"/>
      <c r="AK171" s="38"/>
      <c r="AL171" s="35"/>
      <c r="AM171" s="35">
        <f>VLOOKUP(Tabla44[[#This Row],[SERVICIO 2025]],$J$2:$V$15,5,0)*Tabla44[[#This Row],[TOTAL COBERTURA]]</f>
        <v>1729528</v>
      </c>
      <c r="AN171" s="35">
        <f>VLOOKUP(Tabla44[[#This Row],[SERVICIO 2025]],$J$2:$V$15,6,0)*Tabla44[[#This Row],[TOTAL COBERTURA]]</f>
        <v>1400117</v>
      </c>
      <c r="AO171" s="35">
        <f>VLOOKUP(Tabla44[[#This Row],[SERVICIO 2025]],$J$2:$V$15,8,0)*Tabla44[[#This Row],[TOTAL COBERTURA]]</f>
        <v>0</v>
      </c>
      <c r="AP171" s="35">
        <f>VLOOKUP(Tabla44[[#This Row],[SERVICIO 2025]],$J$2:$V$15,3,0)*Tabla44[[#This Row],[TOTAL COBERTURA]]*8</f>
        <v>53084640</v>
      </c>
      <c r="AQ171" s="35"/>
      <c r="AR171" s="35">
        <f>SUM(Tabla44[[#This Row],[VALOR FASE PREPARATORIA DE ALISTAMIENTO]:[VALOR RACION PREPARADA]])</f>
        <v>56214285</v>
      </c>
      <c r="AS171" s="35" t="str">
        <f>+IF(Tabla44[[#This Row],[AGRUPACIONES]]=1,SUMIFS(Tabla44[VALOR TOTAL],Tabla44[ZONA DEFINITIVO],Tabla44[[#This Row],[ZONA DEFINITIVO]])," ")</f>
        <v xml:space="preserve"> </v>
      </c>
      <c r="AT171" s="35">
        <f>VLOOKUP(Tabla44[[#This Row],[SERVICIO 2025]],$J$2:$V$15,10,0)*Tabla44[[#This Row],[TOTAL COBERTURA]]*$X$7</f>
        <v>55743016</v>
      </c>
      <c r="AU171" s="39">
        <f>Tabla44[[#This Row],[TOTAL CONTRATO (ICBF+EAS)]]+Tabla44[[#This Row],[VALOR COMPONENTE ALIMENTACION NO ASIGNADO]]</f>
        <v>111957301</v>
      </c>
      <c r="AV17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15332985</v>
      </c>
      <c r="AW171" s="35">
        <f>(VLOOKUP(Tabla44[[#This Row],[SERVICIO 2025]],$J$2:$V$15,3,0)*Tabla44[[#This Row],[TOTAL COBERTURA]])+VLOOKUP(Tabla44[[#This Row],[SERVICIO 2025]],$J$2:$V$15,10,0)*Tabla44[[#This Row],[TOTAL COBERTURA]]</f>
        <v>13603457</v>
      </c>
      <c r="AX171" s="35">
        <f>(VLOOKUP(Tabla44[[#This Row],[SERVICIO 2025]],$J$2:$V$15,3,0)*Tabla44[[#This Row],[TOTAL COBERTURA]])+VLOOKUP(Tabla44[[#This Row],[SERVICIO 2025]],$J$2:$V$15,10,0)*Tabla44[[#This Row],[TOTAL COBERTURA]]</f>
        <v>13603457</v>
      </c>
      <c r="AY171" s="35">
        <f>(VLOOKUP(Tabla44[[#This Row],[SERVICIO 2025]],$J$2:$V$15,3,0)*Tabla44[[#This Row],[TOTAL COBERTURA]])+VLOOKUP(Tabla44[[#This Row],[SERVICIO 2025]],$J$2:$V$15,10,0)*Tabla44[[#This Row],[TOTAL COBERTURA]]</f>
        <v>13603457</v>
      </c>
      <c r="AZ171" s="35">
        <f>(VLOOKUP(Tabla44[[#This Row],[SERVICIO 2025]],$J$2:$V$15,3,0)*Tabla44[[#This Row],[TOTAL COBERTURA]])+VLOOKUP(Tabla44[[#This Row],[SERVICIO 2025]],$J$2:$V$15,10,0)*Tabla44[[#This Row],[TOTAL COBERTURA]]</f>
        <v>13603457</v>
      </c>
      <c r="BA171" s="35">
        <f>(VLOOKUP(Tabla44[[#This Row],[SERVICIO 2025]],$J$2:$V$15,3,0)*Tabla44[[#This Row],[TOTAL COBERTURA]])+VLOOKUP(Tabla44[[#This Row],[SERVICIO 2025]],$J$2:$V$15,10,0)*Tabla44[[#This Row],[TOTAL COBERTURA]]</f>
        <v>13603457</v>
      </c>
      <c r="BB171" s="35">
        <f>(VLOOKUP(Tabla44[[#This Row],[SERVICIO 2025]],$J$2:$V$15,3,0)*Tabla44[[#This Row],[TOTAL COBERTURA]])+VLOOKUP(Tabla44[[#This Row],[SERVICIO 2025]],$J$2:$V$15,10,0)*Tabla44[[#This Row],[TOTAL COBERTURA]]</f>
        <v>13603457</v>
      </c>
      <c r="BC17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15003574</v>
      </c>
      <c r="BD171" s="35">
        <f>SUM(Tabla44[[#This Row],[DESEMBOLSO 1]:[DESEMBOLSO 8]])</f>
        <v>111957301</v>
      </c>
      <c r="BE171" s="12" t="b">
        <f>EXACT(Tabla44[[#This Row],[VALOR ATENCIÓN (8 MESES)]],Tabla44[[#This Row],[VALOR TOTAL]])</f>
        <v>1</v>
      </c>
      <c r="BF171" s="23">
        <f>Tabla44[[#This Row],[VALOR ATENCIÓN (8 MESES)]]-Tabla44[[#This Row],[VALOR TOTAL]]</f>
        <v>0</v>
      </c>
      <c r="BG171" s="12" t="b">
        <f>EXACT(Tabla44[[#This Row],[TOTAL DESEMBOLSOS]],Tabla44[[#This Row],[VALOR TOTAL DEL CONTRATO INCLUIDO EL COMPONENTE DE ALIMENTACIÓN]])</f>
        <v>1</v>
      </c>
      <c r="BH171" s="29">
        <f>Tabla44[[#This Row],[TOTAL DESEMBOLSOS]]-Tabla44[[#This Row],[VALOR TOTAL DEL CONTRATO INCLUIDO EL COMPONENTE DE ALIMENTACIÓN]]</f>
        <v>0</v>
      </c>
      <c r="BI171" t="s">
        <v>98</v>
      </c>
    </row>
    <row r="172" spans="1:61">
      <c r="A172" s="13">
        <v>1963</v>
      </c>
      <c r="B172" s="13"/>
      <c r="C172" s="12" t="s">
        <v>87</v>
      </c>
      <c r="D172" s="12" t="s">
        <v>651</v>
      </c>
      <c r="E172" s="12" t="s">
        <v>3145</v>
      </c>
      <c r="F172" s="12" t="s">
        <v>21</v>
      </c>
      <c r="G172" s="12" t="s">
        <v>90</v>
      </c>
      <c r="H172" s="12" t="s">
        <v>3148</v>
      </c>
      <c r="I172" s="36">
        <v>54671119920</v>
      </c>
      <c r="J172" s="12" t="s">
        <v>3149</v>
      </c>
      <c r="K172" s="12">
        <v>1</v>
      </c>
      <c r="L172" s="12">
        <v>15</v>
      </c>
      <c r="M172" s="12"/>
      <c r="N172" s="13">
        <v>1963</v>
      </c>
      <c r="O172" s="12" t="s">
        <v>2850</v>
      </c>
      <c r="P172" s="12"/>
      <c r="Q172" s="12"/>
      <c r="R172" s="12" t="s">
        <v>94</v>
      </c>
      <c r="S172" s="12">
        <v>10</v>
      </c>
      <c r="T172" s="12">
        <v>811008215</v>
      </c>
      <c r="U172" s="12" t="s">
        <v>3112</v>
      </c>
      <c r="V172" s="12">
        <f>VLOOKUP(Tabla44[[#This Row],[ZONA DEFINITIVO]],[1]Hoja1!$A$1:$D$125,3,0)</f>
        <v>229937</v>
      </c>
      <c r="W172" s="12">
        <f>VLOOKUP(Tabla44[[#This Row],[ZONA DEFINITIVO]],[1]Hoja1!$A$1:$D$125,2,0)</f>
        <v>17256</v>
      </c>
      <c r="X172" s="12">
        <f>VLOOKUP(Tabla44[[#This Row],[ZONA DEFINITIVO]],[1]Hoja1!$A$1:$D$125,4,0)</f>
        <v>104525</v>
      </c>
      <c r="Y172" s="12" t="str">
        <f>+IF(Tabla44[[#This Row],[AGRUPACIONES]]=1,SUMIFS(Tabla44[UDS],Tabla44[ZONA DEFINITIVO],Tabla44[[#This Row],[ZONA DEFINITIVO]])," ")</f>
        <v xml:space="preserve"> </v>
      </c>
      <c r="Z172" s="12" t="str">
        <f>+IF(Tabla44[[#This Row],[AGRUPACIONES]]=1,SUMIFS(Tabla44[TOTAL COBERTURA],Tabla44[ZONA DEFINITIVO],Tabla44[[#This Row],[ZONA DEFINITIVO]])," ")</f>
        <v xml:space="preserve"> </v>
      </c>
      <c r="AA172" s="12"/>
      <c r="AB172" s="35">
        <v>22789575</v>
      </c>
      <c r="AC172" s="37">
        <v>0</v>
      </c>
      <c r="AD172" s="35">
        <f t="shared" si="3"/>
        <v>0</v>
      </c>
      <c r="AE172" s="12"/>
      <c r="AF172" s="12">
        <f>COUNTIF($A$20:A172,A172)</f>
        <v>20</v>
      </c>
      <c r="AG172" s="38">
        <v>22789575</v>
      </c>
      <c r="AH172" s="38">
        <f>Tabla44[[#This Row],[VALOR CONTRAPARTIDA]]+Tabla44[[#This Row],[TOTAL APORTES ICBF]]</f>
        <v>22789575</v>
      </c>
      <c r="AI172" s="35" t="str">
        <f>+IF(Tabla44[[#This Row],[AGRUPACIONES]]=1,SUMIFS(Tabla44[TOTAL APORTES ICBF],Tabla44[ZONA DEFINITIVO],Tabla44[[#This Row],[ZONA DEFINITIVO]])," ")</f>
        <v xml:space="preserve"> </v>
      </c>
      <c r="AJ172" s="38"/>
      <c r="AK172" s="38"/>
      <c r="AL172" s="35"/>
      <c r="AM172" s="35">
        <f>VLOOKUP(Tabla44[[#This Row],[SERVICIO 2025]],$J$2:$V$15,5,0)*Tabla44[[#This Row],[TOTAL COBERTURA]]</f>
        <v>701160</v>
      </c>
      <c r="AN172" s="35">
        <f>VLOOKUP(Tabla44[[#This Row],[SERVICIO 2025]],$J$2:$V$15,6,0)*Tabla44[[#This Row],[TOTAL COBERTURA]]</f>
        <v>567615</v>
      </c>
      <c r="AO172" s="35">
        <f>VLOOKUP(Tabla44[[#This Row],[SERVICIO 2025]],$J$2:$V$15,8,0)*Tabla44[[#This Row],[TOTAL COBERTURA]]</f>
        <v>0</v>
      </c>
      <c r="AP172" s="35">
        <f>VLOOKUP(Tabla44[[#This Row],[SERVICIO 2025]],$J$2:$V$15,3,0)*Tabla44[[#This Row],[TOTAL COBERTURA]]*8</f>
        <v>21520800</v>
      </c>
      <c r="AQ172" s="35"/>
      <c r="AR172" s="35">
        <f>SUM(Tabla44[[#This Row],[VALOR FASE PREPARATORIA DE ALISTAMIENTO]:[VALOR RACION PREPARADA]])</f>
        <v>22789575</v>
      </c>
      <c r="AS172" s="35" t="str">
        <f>+IF(Tabla44[[#This Row],[AGRUPACIONES]]=1,SUMIFS(Tabla44[VALOR TOTAL],Tabla44[ZONA DEFINITIVO],Tabla44[[#This Row],[ZONA DEFINITIVO]])," ")</f>
        <v xml:space="preserve"> </v>
      </c>
      <c r="AT172" s="35">
        <f>VLOOKUP(Tabla44[[#This Row],[SERVICIO 2025]],$J$2:$V$15,10,0)*Tabla44[[#This Row],[TOTAL COBERTURA]]*$X$7</f>
        <v>22598520</v>
      </c>
      <c r="AU172" s="39">
        <f>Tabla44[[#This Row],[TOTAL CONTRATO (ICBF+EAS)]]+Tabla44[[#This Row],[VALOR COMPONENTE ALIMENTACION NO ASIGNADO]]</f>
        <v>45388095</v>
      </c>
      <c r="AV17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6216075</v>
      </c>
      <c r="AW172" s="35">
        <f>(VLOOKUP(Tabla44[[#This Row],[SERVICIO 2025]],$J$2:$V$15,3,0)*Tabla44[[#This Row],[TOTAL COBERTURA]])+VLOOKUP(Tabla44[[#This Row],[SERVICIO 2025]],$J$2:$V$15,10,0)*Tabla44[[#This Row],[TOTAL COBERTURA]]</f>
        <v>5514915</v>
      </c>
      <c r="AX172" s="35">
        <f>(VLOOKUP(Tabla44[[#This Row],[SERVICIO 2025]],$J$2:$V$15,3,0)*Tabla44[[#This Row],[TOTAL COBERTURA]])+VLOOKUP(Tabla44[[#This Row],[SERVICIO 2025]],$J$2:$V$15,10,0)*Tabla44[[#This Row],[TOTAL COBERTURA]]</f>
        <v>5514915</v>
      </c>
      <c r="AY172" s="35">
        <f>(VLOOKUP(Tabla44[[#This Row],[SERVICIO 2025]],$J$2:$V$15,3,0)*Tabla44[[#This Row],[TOTAL COBERTURA]])+VLOOKUP(Tabla44[[#This Row],[SERVICIO 2025]],$J$2:$V$15,10,0)*Tabla44[[#This Row],[TOTAL COBERTURA]]</f>
        <v>5514915</v>
      </c>
      <c r="AZ172" s="35">
        <f>(VLOOKUP(Tabla44[[#This Row],[SERVICIO 2025]],$J$2:$V$15,3,0)*Tabla44[[#This Row],[TOTAL COBERTURA]])+VLOOKUP(Tabla44[[#This Row],[SERVICIO 2025]],$J$2:$V$15,10,0)*Tabla44[[#This Row],[TOTAL COBERTURA]]</f>
        <v>5514915</v>
      </c>
      <c r="BA172" s="35">
        <f>(VLOOKUP(Tabla44[[#This Row],[SERVICIO 2025]],$J$2:$V$15,3,0)*Tabla44[[#This Row],[TOTAL COBERTURA]])+VLOOKUP(Tabla44[[#This Row],[SERVICIO 2025]],$J$2:$V$15,10,0)*Tabla44[[#This Row],[TOTAL COBERTURA]]</f>
        <v>5514915</v>
      </c>
      <c r="BB172" s="35">
        <f>(VLOOKUP(Tabla44[[#This Row],[SERVICIO 2025]],$J$2:$V$15,3,0)*Tabla44[[#This Row],[TOTAL COBERTURA]])+VLOOKUP(Tabla44[[#This Row],[SERVICIO 2025]],$J$2:$V$15,10,0)*Tabla44[[#This Row],[TOTAL COBERTURA]]</f>
        <v>5514915</v>
      </c>
      <c r="BC17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6082530</v>
      </c>
      <c r="BD172" s="35">
        <f>SUM(Tabla44[[#This Row],[DESEMBOLSO 1]:[DESEMBOLSO 8]])</f>
        <v>45388095</v>
      </c>
      <c r="BE172" s="12" t="b">
        <f>EXACT(Tabla44[[#This Row],[VALOR ATENCIÓN (8 MESES)]],Tabla44[[#This Row],[VALOR TOTAL]])</f>
        <v>1</v>
      </c>
      <c r="BF172" s="23">
        <f>Tabla44[[#This Row],[VALOR ATENCIÓN (8 MESES)]]-Tabla44[[#This Row],[VALOR TOTAL]]</f>
        <v>0</v>
      </c>
      <c r="BG172" s="12" t="b">
        <f>EXACT(Tabla44[[#This Row],[TOTAL DESEMBOLSOS]],Tabla44[[#This Row],[VALOR TOTAL DEL CONTRATO INCLUIDO EL COMPONENTE DE ALIMENTACIÓN]])</f>
        <v>1</v>
      </c>
      <c r="BH172" s="29">
        <f>Tabla44[[#This Row],[TOTAL DESEMBOLSOS]]-Tabla44[[#This Row],[VALOR TOTAL DEL CONTRATO INCLUIDO EL COMPONENTE DE ALIMENTACIÓN]]</f>
        <v>0</v>
      </c>
      <c r="BI172" t="s">
        <v>98</v>
      </c>
    </row>
    <row r="173" spans="1:61">
      <c r="A173" s="13">
        <v>1963</v>
      </c>
      <c r="B173" s="13"/>
      <c r="C173" s="12" t="s">
        <v>87</v>
      </c>
      <c r="D173" s="12" t="s">
        <v>651</v>
      </c>
      <c r="E173" s="12" t="s">
        <v>3145</v>
      </c>
      <c r="F173" s="12" t="s">
        <v>21</v>
      </c>
      <c r="G173" s="12" t="s">
        <v>90</v>
      </c>
      <c r="H173" s="12" t="s">
        <v>3150</v>
      </c>
      <c r="I173" s="36">
        <v>54671137044</v>
      </c>
      <c r="J173" s="12" t="s">
        <v>3151</v>
      </c>
      <c r="K173" s="12">
        <v>1</v>
      </c>
      <c r="L173" s="12">
        <v>20</v>
      </c>
      <c r="M173" s="12"/>
      <c r="N173" s="13">
        <v>1963</v>
      </c>
      <c r="O173" s="12" t="s">
        <v>2850</v>
      </c>
      <c r="P173" s="12"/>
      <c r="Q173" s="12"/>
      <c r="R173" s="12" t="s">
        <v>94</v>
      </c>
      <c r="S173" s="12">
        <v>10</v>
      </c>
      <c r="T173" s="12">
        <v>811008215</v>
      </c>
      <c r="U173" s="12" t="s">
        <v>3112</v>
      </c>
      <c r="V173" s="12">
        <f>VLOOKUP(Tabla44[[#This Row],[ZONA DEFINITIVO]],[1]Hoja1!$A$1:$D$125,3,0)</f>
        <v>229937</v>
      </c>
      <c r="W173" s="12">
        <f>VLOOKUP(Tabla44[[#This Row],[ZONA DEFINITIVO]],[1]Hoja1!$A$1:$D$125,2,0)</f>
        <v>17256</v>
      </c>
      <c r="X173" s="12">
        <f>VLOOKUP(Tabla44[[#This Row],[ZONA DEFINITIVO]],[1]Hoja1!$A$1:$D$125,4,0)</f>
        <v>104525</v>
      </c>
      <c r="Y173" s="12" t="str">
        <f>+IF(Tabla44[[#This Row],[AGRUPACIONES]]=1,SUMIFS(Tabla44[UDS],Tabla44[ZONA DEFINITIVO],Tabla44[[#This Row],[ZONA DEFINITIVO]])," ")</f>
        <v xml:space="preserve"> </v>
      </c>
      <c r="Z173" s="12" t="str">
        <f>+IF(Tabla44[[#This Row],[AGRUPACIONES]]=1,SUMIFS(Tabla44[TOTAL COBERTURA],Tabla44[ZONA DEFINITIVO],Tabla44[[#This Row],[ZONA DEFINITIVO]])," ")</f>
        <v xml:space="preserve"> </v>
      </c>
      <c r="AA173" s="12"/>
      <c r="AB173" s="35">
        <v>30386100</v>
      </c>
      <c r="AC173" s="37">
        <v>0</v>
      </c>
      <c r="AD173" s="35">
        <f t="shared" si="3"/>
        <v>0</v>
      </c>
      <c r="AE173" s="12"/>
      <c r="AF173" s="12">
        <f>COUNTIF($A$20:A173,A173)</f>
        <v>21</v>
      </c>
      <c r="AG173" s="38">
        <v>30386100</v>
      </c>
      <c r="AH173" s="38">
        <f>Tabla44[[#This Row],[VALOR CONTRAPARTIDA]]+Tabla44[[#This Row],[TOTAL APORTES ICBF]]</f>
        <v>30386100</v>
      </c>
      <c r="AI173" s="35" t="str">
        <f>+IF(Tabla44[[#This Row],[AGRUPACIONES]]=1,SUMIFS(Tabla44[TOTAL APORTES ICBF],Tabla44[ZONA DEFINITIVO],Tabla44[[#This Row],[ZONA DEFINITIVO]])," ")</f>
        <v xml:space="preserve"> </v>
      </c>
      <c r="AJ173" s="38"/>
      <c r="AK173" s="38"/>
      <c r="AL173" s="35"/>
      <c r="AM173" s="35">
        <f>VLOOKUP(Tabla44[[#This Row],[SERVICIO 2025]],$J$2:$V$15,5,0)*Tabla44[[#This Row],[TOTAL COBERTURA]]</f>
        <v>934880</v>
      </c>
      <c r="AN173" s="35">
        <f>VLOOKUP(Tabla44[[#This Row],[SERVICIO 2025]],$J$2:$V$15,6,0)*Tabla44[[#This Row],[TOTAL COBERTURA]]</f>
        <v>756820</v>
      </c>
      <c r="AO173" s="35">
        <f>VLOOKUP(Tabla44[[#This Row],[SERVICIO 2025]],$J$2:$V$15,8,0)*Tabla44[[#This Row],[TOTAL COBERTURA]]</f>
        <v>0</v>
      </c>
      <c r="AP173" s="35">
        <f>VLOOKUP(Tabla44[[#This Row],[SERVICIO 2025]],$J$2:$V$15,3,0)*Tabla44[[#This Row],[TOTAL COBERTURA]]*8</f>
        <v>28694400</v>
      </c>
      <c r="AQ173" s="35"/>
      <c r="AR173" s="35">
        <f>SUM(Tabla44[[#This Row],[VALOR FASE PREPARATORIA DE ALISTAMIENTO]:[VALOR RACION PREPARADA]])</f>
        <v>30386100</v>
      </c>
      <c r="AS173" s="35" t="str">
        <f>+IF(Tabla44[[#This Row],[AGRUPACIONES]]=1,SUMIFS(Tabla44[VALOR TOTAL],Tabla44[ZONA DEFINITIVO],Tabla44[[#This Row],[ZONA DEFINITIVO]])," ")</f>
        <v xml:space="preserve"> </v>
      </c>
      <c r="AT173" s="35">
        <f>VLOOKUP(Tabla44[[#This Row],[SERVICIO 2025]],$J$2:$V$15,10,0)*Tabla44[[#This Row],[TOTAL COBERTURA]]*$X$7</f>
        <v>30131360</v>
      </c>
      <c r="AU173" s="39">
        <f>Tabla44[[#This Row],[TOTAL CONTRATO (ICBF+EAS)]]+Tabla44[[#This Row],[VALOR COMPONENTE ALIMENTACION NO ASIGNADO]]</f>
        <v>60517460</v>
      </c>
      <c r="AV17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8288100</v>
      </c>
      <c r="AW173" s="35">
        <f>(VLOOKUP(Tabla44[[#This Row],[SERVICIO 2025]],$J$2:$V$15,3,0)*Tabla44[[#This Row],[TOTAL COBERTURA]])+VLOOKUP(Tabla44[[#This Row],[SERVICIO 2025]],$J$2:$V$15,10,0)*Tabla44[[#This Row],[TOTAL COBERTURA]]</f>
        <v>7353220</v>
      </c>
      <c r="AX173" s="35">
        <f>(VLOOKUP(Tabla44[[#This Row],[SERVICIO 2025]],$J$2:$V$15,3,0)*Tabla44[[#This Row],[TOTAL COBERTURA]])+VLOOKUP(Tabla44[[#This Row],[SERVICIO 2025]],$J$2:$V$15,10,0)*Tabla44[[#This Row],[TOTAL COBERTURA]]</f>
        <v>7353220</v>
      </c>
      <c r="AY173" s="35">
        <f>(VLOOKUP(Tabla44[[#This Row],[SERVICIO 2025]],$J$2:$V$15,3,0)*Tabla44[[#This Row],[TOTAL COBERTURA]])+VLOOKUP(Tabla44[[#This Row],[SERVICIO 2025]],$J$2:$V$15,10,0)*Tabla44[[#This Row],[TOTAL COBERTURA]]</f>
        <v>7353220</v>
      </c>
      <c r="AZ173" s="35">
        <f>(VLOOKUP(Tabla44[[#This Row],[SERVICIO 2025]],$J$2:$V$15,3,0)*Tabla44[[#This Row],[TOTAL COBERTURA]])+VLOOKUP(Tabla44[[#This Row],[SERVICIO 2025]],$J$2:$V$15,10,0)*Tabla44[[#This Row],[TOTAL COBERTURA]]</f>
        <v>7353220</v>
      </c>
      <c r="BA173" s="35">
        <f>(VLOOKUP(Tabla44[[#This Row],[SERVICIO 2025]],$J$2:$V$15,3,0)*Tabla44[[#This Row],[TOTAL COBERTURA]])+VLOOKUP(Tabla44[[#This Row],[SERVICIO 2025]],$J$2:$V$15,10,0)*Tabla44[[#This Row],[TOTAL COBERTURA]]</f>
        <v>7353220</v>
      </c>
      <c r="BB173" s="35">
        <f>(VLOOKUP(Tabla44[[#This Row],[SERVICIO 2025]],$J$2:$V$15,3,0)*Tabla44[[#This Row],[TOTAL COBERTURA]])+VLOOKUP(Tabla44[[#This Row],[SERVICIO 2025]],$J$2:$V$15,10,0)*Tabla44[[#This Row],[TOTAL COBERTURA]]</f>
        <v>7353220</v>
      </c>
      <c r="BC17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8110040</v>
      </c>
      <c r="BD173" s="35">
        <f>SUM(Tabla44[[#This Row],[DESEMBOLSO 1]:[DESEMBOLSO 8]])</f>
        <v>60517460</v>
      </c>
      <c r="BE173" s="12" t="b">
        <f>EXACT(Tabla44[[#This Row],[VALOR ATENCIÓN (8 MESES)]],Tabla44[[#This Row],[VALOR TOTAL]])</f>
        <v>1</v>
      </c>
      <c r="BF173" s="23">
        <f>Tabla44[[#This Row],[VALOR ATENCIÓN (8 MESES)]]-Tabla44[[#This Row],[VALOR TOTAL]]</f>
        <v>0</v>
      </c>
      <c r="BG173" s="12" t="b">
        <f>EXACT(Tabla44[[#This Row],[TOTAL DESEMBOLSOS]],Tabla44[[#This Row],[VALOR TOTAL DEL CONTRATO INCLUIDO EL COMPONENTE DE ALIMENTACIÓN]])</f>
        <v>1</v>
      </c>
      <c r="BH173" s="29">
        <f>Tabla44[[#This Row],[TOTAL DESEMBOLSOS]]-Tabla44[[#This Row],[VALOR TOTAL DEL CONTRATO INCLUIDO EL COMPONENTE DE ALIMENTACIÓN]]</f>
        <v>0</v>
      </c>
      <c r="BI173" t="s">
        <v>98</v>
      </c>
    </row>
    <row r="174" spans="1:61">
      <c r="A174" s="13">
        <v>1963</v>
      </c>
      <c r="B174" s="21"/>
      <c r="C174" s="22" t="s">
        <v>87</v>
      </c>
      <c r="D174" s="22" t="s">
        <v>651</v>
      </c>
      <c r="E174" s="22" t="s">
        <v>3145</v>
      </c>
      <c r="F174" s="22" t="s">
        <v>21</v>
      </c>
      <c r="G174" s="12" t="s">
        <v>90</v>
      </c>
      <c r="H174" s="22" t="s">
        <v>3152</v>
      </c>
      <c r="I174" s="36">
        <v>54671137051</v>
      </c>
      <c r="J174" s="22" t="s">
        <v>3153</v>
      </c>
      <c r="K174" s="12">
        <v>1</v>
      </c>
      <c r="L174" s="22">
        <v>14</v>
      </c>
      <c r="M174" s="22"/>
      <c r="N174" s="13">
        <v>1963</v>
      </c>
      <c r="O174" s="22" t="s">
        <v>2850</v>
      </c>
      <c r="P174" s="22"/>
      <c r="Q174" s="22"/>
      <c r="R174" s="12" t="s">
        <v>94</v>
      </c>
      <c r="S174" s="12">
        <v>10</v>
      </c>
      <c r="T174" s="12">
        <v>811008215</v>
      </c>
      <c r="U174" s="12" t="s">
        <v>3112</v>
      </c>
      <c r="V174" s="22">
        <f>VLOOKUP(Tabla44[[#This Row],[ZONA DEFINITIVO]],[1]Hoja1!$A$1:$D$125,3,0)</f>
        <v>229937</v>
      </c>
      <c r="W174" s="22">
        <f>VLOOKUP(Tabla44[[#This Row],[ZONA DEFINITIVO]],[1]Hoja1!$A$1:$D$125,2,0)</f>
        <v>17256</v>
      </c>
      <c r="X174" s="22">
        <f>VLOOKUP(Tabla44[[#This Row],[ZONA DEFINITIVO]],[1]Hoja1!$A$1:$D$125,4,0)</f>
        <v>104525</v>
      </c>
      <c r="Y174" s="22" t="str">
        <f>+IF(Tabla44[[#This Row],[AGRUPACIONES]]=1,SUMIFS(Tabla44[UDS],Tabla44[ZONA DEFINITIVO],Tabla44[[#This Row],[ZONA DEFINITIVO]])," ")</f>
        <v xml:space="preserve"> </v>
      </c>
      <c r="Z174" s="22" t="str">
        <f>+IF(Tabla44[[#This Row],[AGRUPACIONES]]=1,SUMIFS(Tabla44[TOTAL COBERTURA],Tabla44[ZONA DEFINITIVO],Tabla44[[#This Row],[ZONA DEFINITIVO]])," ")</f>
        <v xml:space="preserve"> </v>
      </c>
      <c r="AA174" s="22"/>
      <c r="AB174" s="40">
        <v>21270270</v>
      </c>
      <c r="AC174" s="37">
        <v>0</v>
      </c>
      <c r="AD174" s="40">
        <f t="shared" si="3"/>
        <v>0</v>
      </c>
      <c r="AE174" s="22"/>
      <c r="AF174" s="12">
        <f>COUNTIF($A$20:A174,A174)</f>
        <v>22</v>
      </c>
      <c r="AG174" s="41">
        <v>21270270</v>
      </c>
      <c r="AH174" s="41">
        <f>Tabla44[[#This Row],[VALOR CONTRAPARTIDA]]+Tabla44[[#This Row],[TOTAL APORTES ICBF]]</f>
        <v>21270270</v>
      </c>
      <c r="AI174" s="40" t="str">
        <f>+IF(Tabla44[[#This Row],[AGRUPACIONES]]=1,SUMIFS(Tabla44[TOTAL APORTES ICBF],Tabla44[ZONA DEFINITIVO],Tabla44[[#This Row],[ZONA DEFINITIVO]])," ")</f>
        <v xml:space="preserve"> </v>
      </c>
      <c r="AJ174" s="41"/>
      <c r="AK174" s="41"/>
      <c r="AL174" s="40"/>
      <c r="AM174" s="40">
        <f>VLOOKUP(Tabla44[[#This Row],[SERVICIO 2025]],$J$2:$V$15,5,0)*Tabla44[[#This Row],[TOTAL COBERTURA]]</f>
        <v>654416</v>
      </c>
      <c r="AN174" s="40">
        <f>VLOOKUP(Tabla44[[#This Row],[SERVICIO 2025]],$J$2:$V$15,6,0)*Tabla44[[#This Row],[TOTAL COBERTURA]]</f>
        <v>529774</v>
      </c>
      <c r="AO174" s="40">
        <f>VLOOKUP(Tabla44[[#This Row],[SERVICIO 2025]],$J$2:$V$15,8,0)*Tabla44[[#This Row],[TOTAL COBERTURA]]</f>
        <v>0</v>
      </c>
      <c r="AP174" s="40">
        <f>VLOOKUP(Tabla44[[#This Row],[SERVICIO 2025]],$J$2:$V$15,3,0)*Tabla44[[#This Row],[TOTAL COBERTURA]]*8</f>
        <v>20086080</v>
      </c>
      <c r="AQ174" s="40"/>
      <c r="AR174" s="40">
        <f>SUM(Tabla44[[#This Row],[VALOR FASE PREPARATORIA DE ALISTAMIENTO]:[VALOR RACION PREPARADA]])</f>
        <v>21270270</v>
      </c>
      <c r="AS174" s="40" t="str">
        <f>+IF(Tabla44[[#This Row],[AGRUPACIONES]]=1,SUMIFS(Tabla44[VALOR TOTAL],Tabla44[ZONA DEFINITIVO],Tabla44[[#This Row],[ZONA DEFINITIVO]])," ")</f>
        <v xml:space="preserve"> </v>
      </c>
      <c r="AT174" s="35">
        <f>VLOOKUP(Tabla44[[#This Row],[SERVICIO 2025]],$J$2:$V$15,10,0)*Tabla44[[#This Row],[TOTAL COBERTURA]]*$X$7</f>
        <v>21091952</v>
      </c>
      <c r="AU174" s="42">
        <f>Tabla44[[#This Row],[TOTAL CONTRATO (ICBF+EAS)]]+Tabla44[[#This Row],[VALOR COMPONENTE ALIMENTACION NO ASIGNADO]]</f>
        <v>42362222</v>
      </c>
      <c r="AV17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5801670</v>
      </c>
      <c r="AW174" s="35">
        <f>(VLOOKUP(Tabla44[[#This Row],[SERVICIO 2025]],$J$2:$V$15,3,0)*Tabla44[[#This Row],[TOTAL COBERTURA]])+VLOOKUP(Tabla44[[#This Row],[SERVICIO 2025]],$J$2:$V$15,10,0)*Tabla44[[#This Row],[TOTAL COBERTURA]]</f>
        <v>5147254</v>
      </c>
      <c r="AX174" s="40">
        <f>(VLOOKUP(Tabla44[[#This Row],[SERVICIO 2025]],$J$2:$V$15,3,0)*Tabla44[[#This Row],[TOTAL COBERTURA]])+VLOOKUP(Tabla44[[#This Row],[SERVICIO 2025]],$J$2:$V$15,10,0)*Tabla44[[#This Row],[TOTAL COBERTURA]]</f>
        <v>5147254</v>
      </c>
      <c r="AY174" s="40">
        <f>(VLOOKUP(Tabla44[[#This Row],[SERVICIO 2025]],$J$2:$V$15,3,0)*Tabla44[[#This Row],[TOTAL COBERTURA]])+VLOOKUP(Tabla44[[#This Row],[SERVICIO 2025]],$J$2:$V$15,10,0)*Tabla44[[#This Row],[TOTAL COBERTURA]]</f>
        <v>5147254</v>
      </c>
      <c r="AZ174" s="40">
        <f>(VLOOKUP(Tabla44[[#This Row],[SERVICIO 2025]],$J$2:$V$15,3,0)*Tabla44[[#This Row],[TOTAL COBERTURA]])+VLOOKUP(Tabla44[[#This Row],[SERVICIO 2025]],$J$2:$V$15,10,0)*Tabla44[[#This Row],[TOTAL COBERTURA]]</f>
        <v>5147254</v>
      </c>
      <c r="BA174" s="40">
        <f>(VLOOKUP(Tabla44[[#This Row],[SERVICIO 2025]],$J$2:$V$15,3,0)*Tabla44[[#This Row],[TOTAL COBERTURA]])+VLOOKUP(Tabla44[[#This Row],[SERVICIO 2025]],$J$2:$V$15,10,0)*Tabla44[[#This Row],[TOTAL COBERTURA]]</f>
        <v>5147254</v>
      </c>
      <c r="BB174" s="40">
        <f>(VLOOKUP(Tabla44[[#This Row],[SERVICIO 2025]],$J$2:$V$15,3,0)*Tabla44[[#This Row],[TOTAL COBERTURA]])+VLOOKUP(Tabla44[[#This Row],[SERVICIO 2025]],$J$2:$V$15,10,0)*Tabla44[[#This Row],[TOTAL COBERTURA]]</f>
        <v>5147254</v>
      </c>
      <c r="BC174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5677028</v>
      </c>
      <c r="BD174" s="40">
        <f>SUM(Tabla44[[#This Row],[DESEMBOLSO 1]:[DESEMBOLSO 8]])</f>
        <v>42362222</v>
      </c>
      <c r="BE174" s="22" t="b">
        <f>EXACT(Tabla44[[#This Row],[VALOR ATENCIÓN (8 MESES)]],Tabla44[[#This Row],[VALOR TOTAL]])</f>
        <v>1</v>
      </c>
      <c r="BF174" s="28">
        <f>Tabla44[[#This Row],[VALOR ATENCIÓN (8 MESES)]]-Tabla44[[#This Row],[VALOR TOTAL]]</f>
        <v>0</v>
      </c>
      <c r="BG174" s="22" t="b">
        <f>EXACT(Tabla44[[#This Row],[TOTAL DESEMBOLSOS]],Tabla44[[#This Row],[VALOR TOTAL DEL CONTRATO INCLUIDO EL COMPONENTE DE ALIMENTACIÓN]])</f>
        <v>1</v>
      </c>
      <c r="BH174" s="29">
        <f>Tabla44[[#This Row],[TOTAL DESEMBOLSOS]]-Tabla44[[#This Row],[VALOR TOTAL DEL CONTRATO INCLUIDO EL COMPONENTE DE ALIMENTACIÓN]]</f>
        <v>0</v>
      </c>
      <c r="BI174" t="s">
        <v>98</v>
      </c>
    </row>
    <row r="175" spans="1:61">
      <c r="A175" s="13">
        <v>1963</v>
      </c>
      <c r="B175" s="13"/>
      <c r="C175" s="12" t="s">
        <v>87</v>
      </c>
      <c r="D175" s="12" t="s">
        <v>651</v>
      </c>
      <c r="E175" s="12" t="s">
        <v>3145</v>
      </c>
      <c r="F175" s="12" t="s">
        <v>21</v>
      </c>
      <c r="G175" s="12" t="s">
        <v>90</v>
      </c>
      <c r="H175" s="12" t="s">
        <v>3154</v>
      </c>
      <c r="I175" s="36">
        <v>54671137053</v>
      </c>
      <c r="J175" s="12" t="s">
        <v>3155</v>
      </c>
      <c r="K175" s="12">
        <v>1</v>
      </c>
      <c r="L175" s="12">
        <v>19</v>
      </c>
      <c r="M175" s="12"/>
      <c r="N175" s="13">
        <v>1963</v>
      </c>
      <c r="O175" s="12" t="s">
        <v>2850</v>
      </c>
      <c r="P175" s="12"/>
      <c r="Q175" s="12"/>
      <c r="R175" s="12" t="s">
        <v>94</v>
      </c>
      <c r="S175" s="12">
        <v>10</v>
      </c>
      <c r="T175" s="12">
        <v>811008215</v>
      </c>
      <c r="U175" s="12" t="s">
        <v>3112</v>
      </c>
      <c r="V175" s="12">
        <f>VLOOKUP(Tabla44[[#This Row],[ZONA DEFINITIVO]],[1]Hoja1!$A$1:$D$125,3,0)</f>
        <v>229937</v>
      </c>
      <c r="W175" s="12">
        <f>VLOOKUP(Tabla44[[#This Row],[ZONA DEFINITIVO]],[1]Hoja1!$A$1:$D$125,2,0)</f>
        <v>17256</v>
      </c>
      <c r="X175" s="12">
        <f>VLOOKUP(Tabla44[[#This Row],[ZONA DEFINITIVO]],[1]Hoja1!$A$1:$D$125,4,0)</f>
        <v>104525</v>
      </c>
      <c r="Y175" s="12" t="str">
        <f>+IF(Tabla44[[#This Row],[AGRUPACIONES]]=1,SUMIFS(Tabla44[UDS],Tabla44[ZONA DEFINITIVO],Tabla44[[#This Row],[ZONA DEFINITIVO]])," ")</f>
        <v xml:space="preserve"> </v>
      </c>
      <c r="Z175" s="12" t="str">
        <f>+IF(Tabla44[[#This Row],[AGRUPACIONES]]=1,SUMIFS(Tabla44[TOTAL COBERTURA],Tabla44[ZONA DEFINITIVO],Tabla44[[#This Row],[ZONA DEFINITIVO]])," ")</f>
        <v xml:space="preserve"> </v>
      </c>
      <c r="AA175" s="12"/>
      <c r="AB175" s="35">
        <v>28866795</v>
      </c>
      <c r="AC175" s="37">
        <v>0</v>
      </c>
      <c r="AD175" s="35">
        <f t="shared" si="3"/>
        <v>0</v>
      </c>
      <c r="AE175" s="12"/>
      <c r="AF175" s="12">
        <f>COUNTIF($A$20:A175,A175)</f>
        <v>23</v>
      </c>
      <c r="AG175" s="38">
        <v>28866795</v>
      </c>
      <c r="AH175" s="38">
        <f>Tabla44[[#This Row],[VALOR CONTRAPARTIDA]]+Tabla44[[#This Row],[TOTAL APORTES ICBF]]</f>
        <v>28866795</v>
      </c>
      <c r="AI175" s="35" t="str">
        <f>+IF(Tabla44[[#This Row],[AGRUPACIONES]]=1,SUMIFS(Tabla44[TOTAL APORTES ICBF],Tabla44[ZONA DEFINITIVO],Tabla44[[#This Row],[ZONA DEFINITIVO]])," ")</f>
        <v xml:space="preserve"> </v>
      </c>
      <c r="AJ175" s="38"/>
      <c r="AK175" s="38"/>
      <c r="AL175" s="35"/>
      <c r="AM175" s="35">
        <f>VLOOKUP(Tabla44[[#This Row],[SERVICIO 2025]],$J$2:$V$15,5,0)*Tabla44[[#This Row],[TOTAL COBERTURA]]</f>
        <v>888136</v>
      </c>
      <c r="AN175" s="35">
        <f>VLOOKUP(Tabla44[[#This Row],[SERVICIO 2025]],$J$2:$V$15,6,0)*Tabla44[[#This Row],[TOTAL COBERTURA]]</f>
        <v>718979</v>
      </c>
      <c r="AO175" s="35">
        <f>VLOOKUP(Tabla44[[#This Row],[SERVICIO 2025]],$J$2:$V$15,8,0)*Tabla44[[#This Row],[TOTAL COBERTURA]]</f>
        <v>0</v>
      </c>
      <c r="AP175" s="35">
        <f>VLOOKUP(Tabla44[[#This Row],[SERVICIO 2025]],$J$2:$V$15,3,0)*Tabla44[[#This Row],[TOTAL COBERTURA]]*8</f>
        <v>27259680</v>
      </c>
      <c r="AQ175" s="35"/>
      <c r="AR175" s="35">
        <f>SUM(Tabla44[[#This Row],[VALOR FASE PREPARATORIA DE ALISTAMIENTO]:[VALOR RACION PREPARADA]])</f>
        <v>28866795</v>
      </c>
      <c r="AS175" s="35" t="str">
        <f>+IF(Tabla44[[#This Row],[AGRUPACIONES]]=1,SUMIFS(Tabla44[VALOR TOTAL],Tabla44[ZONA DEFINITIVO],Tabla44[[#This Row],[ZONA DEFINITIVO]])," ")</f>
        <v xml:space="preserve"> </v>
      </c>
      <c r="AT175" s="35">
        <f>VLOOKUP(Tabla44[[#This Row],[SERVICIO 2025]],$J$2:$V$15,10,0)*Tabla44[[#This Row],[TOTAL COBERTURA]]*$X$7</f>
        <v>28624792</v>
      </c>
      <c r="AU175" s="39">
        <f>Tabla44[[#This Row],[TOTAL CONTRATO (ICBF+EAS)]]+Tabla44[[#This Row],[VALOR COMPONENTE ALIMENTACION NO ASIGNADO]]</f>
        <v>57491587</v>
      </c>
      <c r="AV17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7873695</v>
      </c>
      <c r="AW175" s="35">
        <f>(VLOOKUP(Tabla44[[#This Row],[SERVICIO 2025]],$J$2:$V$15,3,0)*Tabla44[[#This Row],[TOTAL COBERTURA]])+VLOOKUP(Tabla44[[#This Row],[SERVICIO 2025]],$J$2:$V$15,10,0)*Tabla44[[#This Row],[TOTAL COBERTURA]]</f>
        <v>6985559</v>
      </c>
      <c r="AX175" s="35">
        <f>(VLOOKUP(Tabla44[[#This Row],[SERVICIO 2025]],$J$2:$V$15,3,0)*Tabla44[[#This Row],[TOTAL COBERTURA]])+VLOOKUP(Tabla44[[#This Row],[SERVICIO 2025]],$J$2:$V$15,10,0)*Tabla44[[#This Row],[TOTAL COBERTURA]]</f>
        <v>6985559</v>
      </c>
      <c r="AY175" s="35">
        <f>(VLOOKUP(Tabla44[[#This Row],[SERVICIO 2025]],$J$2:$V$15,3,0)*Tabla44[[#This Row],[TOTAL COBERTURA]])+VLOOKUP(Tabla44[[#This Row],[SERVICIO 2025]],$J$2:$V$15,10,0)*Tabla44[[#This Row],[TOTAL COBERTURA]]</f>
        <v>6985559</v>
      </c>
      <c r="AZ175" s="35">
        <f>(VLOOKUP(Tabla44[[#This Row],[SERVICIO 2025]],$J$2:$V$15,3,0)*Tabla44[[#This Row],[TOTAL COBERTURA]])+VLOOKUP(Tabla44[[#This Row],[SERVICIO 2025]],$J$2:$V$15,10,0)*Tabla44[[#This Row],[TOTAL COBERTURA]]</f>
        <v>6985559</v>
      </c>
      <c r="BA175" s="35">
        <f>(VLOOKUP(Tabla44[[#This Row],[SERVICIO 2025]],$J$2:$V$15,3,0)*Tabla44[[#This Row],[TOTAL COBERTURA]])+VLOOKUP(Tabla44[[#This Row],[SERVICIO 2025]],$J$2:$V$15,10,0)*Tabla44[[#This Row],[TOTAL COBERTURA]]</f>
        <v>6985559</v>
      </c>
      <c r="BB175" s="35">
        <f>(VLOOKUP(Tabla44[[#This Row],[SERVICIO 2025]],$J$2:$V$15,3,0)*Tabla44[[#This Row],[TOTAL COBERTURA]])+VLOOKUP(Tabla44[[#This Row],[SERVICIO 2025]],$J$2:$V$15,10,0)*Tabla44[[#This Row],[TOTAL COBERTURA]]</f>
        <v>6985559</v>
      </c>
      <c r="BC17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7704538</v>
      </c>
      <c r="BD175" s="35">
        <f>SUM(Tabla44[[#This Row],[DESEMBOLSO 1]:[DESEMBOLSO 8]])</f>
        <v>57491587</v>
      </c>
      <c r="BE175" s="12" t="b">
        <f>EXACT(Tabla44[[#This Row],[VALOR ATENCIÓN (8 MESES)]],Tabla44[[#This Row],[VALOR TOTAL]])</f>
        <v>1</v>
      </c>
      <c r="BF175" s="23">
        <f>Tabla44[[#This Row],[VALOR ATENCIÓN (8 MESES)]]-Tabla44[[#This Row],[VALOR TOTAL]]</f>
        <v>0</v>
      </c>
      <c r="BG175" s="12" t="b">
        <f>EXACT(Tabla44[[#This Row],[TOTAL DESEMBOLSOS]],Tabla44[[#This Row],[VALOR TOTAL DEL CONTRATO INCLUIDO EL COMPONENTE DE ALIMENTACIÓN]])</f>
        <v>1</v>
      </c>
      <c r="BH175" s="29">
        <f>Tabla44[[#This Row],[TOTAL DESEMBOLSOS]]-Tabla44[[#This Row],[VALOR TOTAL DEL CONTRATO INCLUIDO EL COMPONENTE DE ALIMENTACIÓN]]</f>
        <v>0</v>
      </c>
      <c r="BI175" t="s">
        <v>98</v>
      </c>
    </row>
    <row r="176" spans="1:61">
      <c r="A176" s="13">
        <v>1963</v>
      </c>
      <c r="B176" s="13"/>
      <c r="C176" s="12" t="s">
        <v>87</v>
      </c>
      <c r="D176" s="12" t="s">
        <v>651</v>
      </c>
      <c r="E176" s="12" t="s">
        <v>3145</v>
      </c>
      <c r="F176" s="12" t="s">
        <v>21</v>
      </c>
      <c r="G176" s="12" t="s">
        <v>90</v>
      </c>
      <c r="H176" s="12" t="s">
        <v>3156</v>
      </c>
      <c r="I176" s="36">
        <v>54671137058</v>
      </c>
      <c r="J176" s="12" t="s">
        <v>3157</v>
      </c>
      <c r="K176" s="12">
        <v>1</v>
      </c>
      <c r="L176" s="12">
        <v>11</v>
      </c>
      <c r="M176" s="12"/>
      <c r="N176" s="13">
        <v>1963</v>
      </c>
      <c r="O176" s="12" t="s">
        <v>2850</v>
      </c>
      <c r="P176" s="12"/>
      <c r="Q176" s="12"/>
      <c r="R176" s="12" t="s">
        <v>94</v>
      </c>
      <c r="S176" s="12">
        <v>10</v>
      </c>
      <c r="T176" s="12">
        <v>811008215</v>
      </c>
      <c r="U176" s="12" t="s">
        <v>3112</v>
      </c>
      <c r="V176" s="12">
        <f>VLOOKUP(Tabla44[[#This Row],[ZONA DEFINITIVO]],[1]Hoja1!$A$1:$D$125,3,0)</f>
        <v>229937</v>
      </c>
      <c r="W176" s="12">
        <f>VLOOKUP(Tabla44[[#This Row],[ZONA DEFINITIVO]],[1]Hoja1!$A$1:$D$125,2,0)</f>
        <v>17256</v>
      </c>
      <c r="X176" s="12">
        <f>VLOOKUP(Tabla44[[#This Row],[ZONA DEFINITIVO]],[1]Hoja1!$A$1:$D$125,4,0)</f>
        <v>104525</v>
      </c>
      <c r="Y176" s="12" t="str">
        <f>+IF(Tabla44[[#This Row],[AGRUPACIONES]]=1,SUMIFS(Tabla44[UDS],Tabla44[ZONA DEFINITIVO],Tabla44[[#This Row],[ZONA DEFINITIVO]])," ")</f>
        <v xml:space="preserve"> </v>
      </c>
      <c r="Z176" s="12" t="str">
        <f>+IF(Tabla44[[#This Row],[AGRUPACIONES]]=1,SUMIFS(Tabla44[TOTAL COBERTURA],Tabla44[ZONA DEFINITIVO],Tabla44[[#This Row],[ZONA DEFINITIVO]])," ")</f>
        <v xml:space="preserve"> </v>
      </c>
      <c r="AA176" s="12"/>
      <c r="AB176" s="35">
        <v>16712355</v>
      </c>
      <c r="AC176" s="37">
        <v>0</v>
      </c>
      <c r="AD176" s="35">
        <f t="shared" si="3"/>
        <v>0</v>
      </c>
      <c r="AE176" s="12"/>
      <c r="AF176" s="12">
        <f>COUNTIF($A$20:A176,A176)</f>
        <v>24</v>
      </c>
      <c r="AG176" s="38">
        <v>16712355</v>
      </c>
      <c r="AH176" s="38">
        <f>Tabla44[[#This Row],[VALOR CONTRAPARTIDA]]+Tabla44[[#This Row],[TOTAL APORTES ICBF]]</f>
        <v>16712355</v>
      </c>
      <c r="AI176" s="35" t="str">
        <f>+IF(Tabla44[[#This Row],[AGRUPACIONES]]=1,SUMIFS(Tabla44[TOTAL APORTES ICBF],Tabla44[ZONA DEFINITIVO],Tabla44[[#This Row],[ZONA DEFINITIVO]])," ")</f>
        <v xml:space="preserve"> </v>
      </c>
      <c r="AJ176" s="38"/>
      <c r="AK176" s="38"/>
      <c r="AL176" s="35"/>
      <c r="AM176" s="35">
        <f>VLOOKUP(Tabla44[[#This Row],[SERVICIO 2025]],$J$2:$V$15,5,0)*Tabla44[[#This Row],[TOTAL COBERTURA]]</f>
        <v>514184</v>
      </c>
      <c r="AN176" s="35">
        <f>VLOOKUP(Tabla44[[#This Row],[SERVICIO 2025]],$J$2:$V$15,6,0)*Tabla44[[#This Row],[TOTAL COBERTURA]]</f>
        <v>416251</v>
      </c>
      <c r="AO176" s="35">
        <f>VLOOKUP(Tabla44[[#This Row],[SERVICIO 2025]],$J$2:$V$15,8,0)*Tabla44[[#This Row],[TOTAL COBERTURA]]</f>
        <v>0</v>
      </c>
      <c r="AP176" s="35">
        <f>VLOOKUP(Tabla44[[#This Row],[SERVICIO 2025]],$J$2:$V$15,3,0)*Tabla44[[#This Row],[TOTAL COBERTURA]]*8</f>
        <v>15781920</v>
      </c>
      <c r="AQ176" s="35"/>
      <c r="AR176" s="35">
        <f>SUM(Tabla44[[#This Row],[VALOR FASE PREPARATORIA DE ALISTAMIENTO]:[VALOR RACION PREPARADA]])</f>
        <v>16712355</v>
      </c>
      <c r="AS176" s="35" t="str">
        <f>+IF(Tabla44[[#This Row],[AGRUPACIONES]]=1,SUMIFS(Tabla44[VALOR TOTAL],Tabla44[ZONA DEFINITIVO],Tabla44[[#This Row],[ZONA DEFINITIVO]])," ")</f>
        <v xml:space="preserve"> </v>
      </c>
      <c r="AT176" s="35">
        <f>VLOOKUP(Tabla44[[#This Row],[SERVICIO 2025]],$J$2:$V$15,10,0)*Tabla44[[#This Row],[TOTAL COBERTURA]]*$X$7</f>
        <v>16572248</v>
      </c>
      <c r="AU176" s="39">
        <f>Tabla44[[#This Row],[TOTAL CONTRATO (ICBF+EAS)]]+Tabla44[[#This Row],[VALOR COMPONENTE ALIMENTACION NO ASIGNADO]]</f>
        <v>33284603</v>
      </c>
      <c r="AV17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176" s="35">
        <f>(VLOOKUP(Tabla44[[#This Row],[SERVICIO 2025]],$J$2:$V$15,3,0)*Tabla44[[#This Row],[TOTAL COBERTURA]])+VLOOKUP(Tabla44[[#This Row],[SERVICIO 2025]],$J$2:$V$15,10,0)*Tabla44[[#This Row],[TOTAL COBERTURA]]</f>
        <v>4044271</v>
      </c>
      <c r="AX176" s="35">
        <f>(VLOOKUP(Tabla44[[#This Row],[SERVICIO 2025]],$J$2:$V$15,3,0)*Tabla44[[#This Row],[TOTAL COBERTURA]])+VLOOKUP(Tabla44[[#This Row],[SERVICIO 2025]],$J$2:$V$15,10,0)*Tabla44[[#This Row],[TOTAL COBERTURA]]</f>
        <v>4044271</v>
      </c>
      <c r="AY176" s="35">
        <f>(VLOOKUP(Tabla44[[#This Row],[SERVICIO 2025]],$J$2:$V$15,3,0)*Tabla44[[#This Row],[TOTAL COBERTURA]])+VLOOKUP(Tabla44[[#This Row],[SERVICIO 2025]],$J$2:$V$15,10,0)*Tabla44[[#This Row],[TOTAL COBERTURA]]</f>
        <v>4044271</v>
      </c>
      <c r="AZ176" s="35">
        <f>(VLOOKUP(Tabla44[[#This Row],[SERVICIO 2025]],$J$2:$V$15,3,0)*Tabla44[[#This Row],[TOTAL COBERTURA]])+VLOOKUP(Tabla44[[#This Row],[SERVICIO 2025]],$J$2:$V$15,10,0)*Tabla44[[#This Row],[TOTAL COBERTURA]]</f>
        <v>4044271</v>
      </c>
      <c r="BA176" s="35">
        <f>(VLOOKUP(Tabla44[[#This Row],[SERVICIO 2025]],$J$2:$V$15,3,0)*Tabla44[[#This Row],[TOTAL COBERTURA]])+VLOOKUP(Tabla44[[#This Row],[SERVICIO 2025]],$J$2:$V$15,10,0)*Tabla44[[#This Row],[TOTAL COBERTURA]]</f>
        <v>4044271</v>
      </c>
      <c r="BB176" s="35">
        <f>(VLOOKUP(Tabla44[[#This Row],[SERVICIO 2025]],$J$2:$V$15,3,0)*Tabla44[[#This Row],[TOTAL COBERTURA]])+VLOOKUP(Tabla44[[#This Row],[SERVICIO 2025]],$J$2:$V$15,10,0)*Tabla44[[#This Row],[TOTAL COBERTURA]]</f>
        <v>4044271</v>
      </c>
      <c r="BC17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176" s="35">
        <f>SUM(Tabla44[[#This Row],[DESEMBOLSO 1]:[DESEMBOLSO 8]])</f>
        <v>33284603</v>
      </c>
      <c r="BE176" s="12" t="b">
        <f>EXACT(Tabla44[[#This Row],[VALOR ATENCIÓN (8 MESES)]],Tabla44[[#This Row],[VALOR TOTAL]])</f>
        <v>1</v>
      </c>
      <c r="BF176" s="23">
        <f>Tabla44[[#This Row],[VALOR ATENCIÓN (8 MESES)]]-Tabla44[[#This Row],[VALOR TOTAL]]</f>
        <v>0</v>
      </c>
      <c r="BG176" s="12" t="b">
        <f>EXACT(Tabla44[[#This Row],[TOTAL DESEMBOLSOS]],Tabla44[[#This Row],[VALOR TOTAL DEL CONTRATO INCLUIDO EL COMPONENTE DE ALIMENTACIÓN]])</f>
        <v>1</v>
      </c>
      <c r="BH176" s="29">
        <f>Tabla44[[#This Row],[TOTAL DESEMBOLSOS]]-Tabla44[[#This Row],[VALOR TOTAL DEL CONTRATO INCLUIDO EL COMPONENTE DE ALIMENTACIÓN]]</f>
        <v>0</v>
      </c>
      <c r="BI176" t="s">
        <v>98</v>
      </c>
    </row>
    <row r="177" spans="1:61">
      <c r="A177" s="13">
        <v>1963</v>
      </c>
      <c r="B177" s="13"/>
      <c r="C177" s="12" t="s">
        <v>87</v>
      </c>
      <c r="D177" s="12" t="s">
        <v>651</v>
      </c>
      <c r="E177" s="12" t="s">
        <v>3145</v>
      </c>
      <c r="F177" s="12" t="s">
        <v>21</v>
      </c>
      <c r="G177" s="12" t="s">
        <v>90</v>
      </c>
      <c r="H177" s="12" t="s">
        <v>3158</v>
      </c>
      <c r="I177" s="36">
        <v>54671148718</v>
      </c>
      <c r="J177" s="12" t="s">
        <v>3159</v>
      </c>
      <c r="K177" s="12">
        <v>1</v>
      </c>
      <c r="L177" s="12">
        <v>8</v>
      </c>
      <c r="M177" s="12"/>
      <c r="N177" s="13">
        <v>1963</v>
      </c>
      <c r="O177" s="12" t="s">
        <v>2850</v>
      </c>
      <c r="P177" s="12"/>
      <c r="Q177" s="12"/>
      <c r="R177" s="12" t="s">
        <v>94</v>
      </c>
      <c r="S177" s="12">
        <v>10</v>
      </c>
      <c r="T177" s="12">
        <v>811008215</v>
      </c>
      <c r="U177" s="12" t="s">
        <v>3112</v>
      </c>
      <c r="V177" s="12">
        <f>VLOOKUP(Tabla44[[#This Row],[ZONA DEFINITIVO]],[1]Hoja1!$A$1:$D$125,3,0)</f>
        <v>229937</v>
      </c>
      <c r="W177" s="12">
        <f>VLOOKUP(Tabla44[[#This Row],[ZONA DEFINITIVO]],[1]Hoja1!$A$1:$D$125,2,0)</f>
        <v>17256</v>
      </c>
      <c r="X177" s="12">
        <f>VLOOKUP(Tabla44[[#This Row],[ZONA DEFINITIVO]],[1]Hoja1!$A$1:$D$125,4,0)</f>
        <v>104525</v>
      </c>
      <c r="Y177" s="12" t="str">
        <f>+IF(Tabla44[[#This Row],[AGRUPACIONES]]=1,SUMIFS(Tabla44[UDS],Tabla44[ZONA DEFINITIVO],Tabla44[[#This Row],[ZONA DEFINITIVO]])," ")</f>
        <v xml:space="preserve"> </v>
      </c>
      <c r="Z177" s="12" t="str">
        <f>+IF(Tabla44[[#This Row],[AGRUPACIONES]]=1,SUMIFS(Tabla44[TOTAL COBERTURA],Tabla44[ZONA DEFINITIVO],Tabla44[[#This Row],[ZONA DEFINITIVO]])," ")</f>
        <v xml:space="preserve"> </v>
      </c>
      <c r="AA177" s="12"/>
      <c r="AB177" s="35">
        <v>12154440</v>
      </c>
      <c r="AC177" s="37">
        <v>0</v>
      </c>
      <c r="AD177" s="35">
        <f t="shared" si="3"/>
        <v>0</v>
      </c>
      <c r="AE177" s="12"/>
      <c r="AF177" s="12">
        <f>COUNTIF($A$20:A177,A177)</f>
        <v>25</v>
      </c>
      <c r="AG177" s="38">
        <v>12154440</v>
      </c>
      <c r="AH177" s="38">
        <f>Tabla44[[#This Row],[VALOR CONTRAPARTIDA]]+Tabla44[[#This Row],[TOTAL APORTES ICBF]]</f>
        <v>12154440</v>
      </c>
      <c r="AI177" s="35" t="str">
        <f>+IF(Tabla44[[#This Row],[AGRUPACIONES]]=1,SUMIFS(Tabla44[TOTAL APORTES ICBF],Tabla44[ZONA DEFINITIVO],Tabla44[[#This Row],[ZONA DEFINITIVO]])," ")</f>
        <v xml:space="preserve"> </v>
      </c>
      <c r="AJ177" s="38"/>
      <c r="AK177" s="38"/>
      <c r="AL177" s="35"/>
      <c r="AM177" s="35">
        <f>VLOOKUP(Tabla44[[#This Row],[SERVICIO 2025]],$J$2:$V$15,5,0)*Tabla44[[#This Row],[TOTAL COBERTURA]]</f>
        <v>373952</v>
      </c>
      <c r="AN177" s="35">
        <f>VLOOKUP(Tabla44[[#This Row],[SERVICIO 2025]],$J$2:$V$15,6,0)*Tabla44[[#This Row],[TOTAL COBERTURA]]</f>
        <v>302728</v>
      </c>
      <c r="AO177" s="35">
        <f>VLOOKUP(Tabla44[[#This Row],[SERVICIO 2025]],$J$2:$V$15,8,0)*Tabla44[[#This Row],[TOTAL COBERTURA]]</f>
        <v>0</v>
      </c>
      <c r="AP177" s="35">
        <f>VLOOKUP(Tabla44[[#This Row],[SERVICIO 2025]],$J$2:$V$15,3,0)*Tabla44[[#This Row],[TOTAL COBERTURA]]*8</f>
        <v>11477760</v>
      </c>
      <c r="AQ177" s="35"/>
      <c r="AR177" s="35">
        <f>SUM(Tabla44[[#This Row],[VALOR FASE PREPARATORIA DE ALISTAMIENTO]:[VALOR RACION PREPARADA]])</f>
        <v>12154440</v>
      </c>
      <c r="AS177" s="35" t="str">
        <f>+IF(Tabla44[[#This Row],[AGRUPACIONES]]=1,SUMIFS(Tabla44[VALOR TOTAL],Tabla44[ZONA DEFINITIVO],Tabla44[[#This Row],[ZONA DEFINITIVO]])," ")</f>
        <v xml:space="preserve"> </v>
      </c>
      <c r="AT177" s="35">
        <f>VLOOKUP(Tabla44[[#This Row],[SERVICIO 2025]],$J$2:$V$15,10,0)*Tabla44[[#This Row],[TOTAL COBERTURA]]*$X$7</f>
        <v>12052544</v>
      </c>
      <c r="AU177" s="39">
        <f>Tabla44[[#This Row],[TOTAL CONTRATO (ICBF+EAS)]]+Tabla44[[#This Row],[VALOR COMPONENTE ALIMENTACION NO ASIGNADO]]</f>
        <v>24206984</v>
      </c>
      <c r="AV17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3315240</v>
      </c>
      <c r="AW177" s="35">
        <f>(VLOOKUP(Tabla44[[#This Row],[SERVICIO 2025]],$J$2:$V$15,3,0)*Tabla44[[#This Row],[TOTAL COBERTURA]])+VLOOKUP(Tabla44[[#This Row],[SERVICIO 2025]],$J$2:$V$15,10,0)*Tabla44[[#This Row],[TOTAL COBERTURA]]</f>
        <v>2941288</v>
      </c>
      <c r="AX177" s="35">
        <f>(VLOOKUP(Tabla44[[#This Row],[SERVICIO 2025]],$J$2:$V$15,3,0)*Tabla44[[#This Row],[TOTAL COBERTURA]])+VLOOKUP(Tabla44[[#This Row],[SERVICIO 2025]],$J$2:$V$15,10,0)*Tabla44[[#This Row],[TOTAL COBERTURA]]</f>
        <v>2941288</v>
      </c>
      <c r="AY177" s="35">
        <f>(VLOOKUP(Tabla44[[#This Row],[SERVICIO 2025]],$J$2:$V$15,3,0)*Tabla44[[#This Row],[TOTAL COBERTURA]])+VLOOKUP(Tabla44[[#This Row],[SERVICIO 2025]],$J$2:$V$15,10,0)*Tabla44[[#This Row],[TOTAL COBERTURA]]</f>
        <v>2941288</v>
      </c>
      <c r="AZ177" s="35">
        <f>(VLOOKUP(Tabla44[[#This Row],[SERVICIO 2025]],$J$2:$V$15,3,0)*Tabla44[[#This Row],[TOTAL COBERTURA]])+VLOOKUP(Tabla44[[#This Row],[SERVICIO 2025]],$J$2:$V$15,10,0)*Tabla44[[#This Row],[TOTAL COBERTURA]]</f>
        <v>2941288</v>
      </c>
      <c r="BA177" s="35">
        <f>(VLOOKUP(Tabla44[[#This Row],[SERVICIO 2025]],$J$2:$V$15,3,0)*Tabla44[[#This Row],[TOTAL COBERTURA]])+VLOOKUP(Tabla44[[#This Row],[SERVICIO 2025]],$J$2:$V$15,10,0)*Tabla44[[#This Row],[TOTAL COBERTURA]]</f>
        <v>2941288</v>
      </c>
      <c r="BB177" s="35">
        <f>(VLOOKUP(Tabla44[[#This Row],[SERVICIO 2025]],$J$2:$V$15,3,0)*Tabla44[[#This Row],[TOTAL COBERTURA]])+VLOOKUP(Tabla44[[#This Row],[SERVICIO 2025]],$J$2:$V$15,10,0)*Tabla44[[#This Row],[TOTAL COBERTURA]]</f>
        <v>2941288</v>
      </c>
      <c r="BC17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3244016</v>
      </c>
      <c r="BD177" s="35">
        <f>SUM(Tabla44[[#This Row],[DESEMBOLSO 1]:[DESEMBOLSO 8]])</f>
        <v>24206984</v>
      </c>
      <c r="BE177" s="12" t="b">
        <f>EXACT(Tabla44[[#This Row],[VALOR ATENCIÓN (8 MESES)]],Tabla44[[#This Row],[VALOR TOTAL]])</f>
        <v>1</v>
      </c>
      <c r="BF177" s="23">
        <f>Tabla44[[#This Row],[VALOR ATENCIÓN (8 MESES)]]-Tabla44[[#This Row],[VALOR TOTAL]]</f>
        <v>0</v>
      </c>
      <c r="BG177" s="12" t="b">
        <f>EXACT(Tabla44[[#This Row],[TOTAL DESEMBOLSOS]],Tabla44[[#This Row],[VALOR TOTAL DEL CONTRATO INCLUIDO EL COMPONENTE DE ALIMENTACIÓN]])</f>
        <v>1</v>
      </c>
      <c r="BH177" s="29">
        <f>Tabla44[[#This Row],[TOTAL DESEMBOLSOS]]-Tabla44[[#This Row],[VALOR TOTAL DEL CONTRATO INCLUIDO EL COMPONENTE DE ALIMENTACIÓN]]</f>
        <v>0</v>
      </c>
      <c r="BI177" t="s">
        <v>98</v>
      </c>
    </row>
    <row r="178" spans="1:61">
      <c r="A178" s="13">
        <v>1963</v>
      </c>
      <c r="B178" s="13"/>
      <c r="C178" s="12" t="s">
        <v>87</v>
      </c>
      <c r="D178" s="12" t="s">
        <v>651</v>
      </c>
      <c r="E178" s="12" t="s">
        <v>3145</v>
      </c>
      <c r="F178" s="12" t="s">
        <v>21</v>
      </c>
      <c r="G178" s="12" t="s">
        <v>90</v>
      </c>
      <c r="H178" s="12" t="s">
        <v>1279</v>
      </c>
      <c r="I178" s="36">
        <v>54671152192</v>
      </c>
      <c r="J178" s="12" t="s">
        <v>3160</v>
      </c>
      <c r="K178" s="12">
        <v>1</v>
      </c>
      <c r="L178" s="12">
        <v>16</v>
      </c>
      <c r="M178" s="12"/>
      <c r="N178" s="13">
        <v>1963</v>
      </c>
      <c r="O178" s="12" t="s">
        <v>2850</v>
      </c>
      <c r="P178" s="12"/>
      <c r="Q178" s="12"/>
      <c r="R178" s="12" t="s">
        <v>94</v>
      </c>
      <c r="S178" s="12">
        <v>10</v>
      </c>
      <c r="T178" s="12">
        <v>811008215</v>
      </c>
      <c r="U178" s="12" t="s">
        <v>3112</v>
      </c>
      <c r="V178" s="12">
        <f>VLOOKUP(Tabla44[[#This Row],[ZONA DEFINITIVO]],[1]Hoja1!$A$1:$D$125,3,0)</f>
        <v>229937</v>
      </c>
      <c r="W178" s="12">
        <f>VLOOKUP(Tabla44[[#This Row],[ZONA DEFINITIVO]],[1]Hoja1!$A$1:$D$125,2,0)</f>
        <v>17256</v>
      </c>
      <c r="X178" s="12">
        <f>VLOOKUP(Tabla44[[#This Row],[ZONA DEFINITIVO]],[1]Hoja1!$A$1:$D$125,4,0)</f>
        <v>104525</v>
      </c>
      <c r="Y178" s="12" t="str">
        <f>+IF(Tabla44[[#This Row],[AGRUPACIONES]]=1,SUMIFS(Tabla44[UDS],Tabla44[ZONA DEFINITIVO],Tabla44[[#This Row],[ZONA DEFINITIVO]])," ")</f>
        <v xml:space="preserve"> </v>
      </c>
      <c r="Z178" s="12" t="str">
        <f>+IF(Tabla44[[#This Row],[AGRUPACIONES]]=1,SUMIFS(Tabla44[TOTAL COBERTURA],Tabla44[ZONA DEFINITIVO],Tabla44[[#This Row],[ZONA DEFINITIVO]])," ")</f>
        <v xml:space="preserve"> </v>
      </c>
      <c r="AA178" s="12"/>
      <c r="AB178" s="35">
        <v>24308880</v>
      </c>
      <c r="AC178" s="37">
        <v>0</v>
      </c>
      <c r="AD178" s="35">
        <f t="shared" si="3"/>
        <v>0</v>
      </c>
      <c r="AE178" s="12"/>
      <c r="AF178" s="12">
        <f>COUNTIF($A$20:A178,A178)</f>
        <v>26</v>
      </c>
      <c r="AG178" s="38">
        <v>24308880</v>
      </c>
      <c r="AH178" s="38">
        <f>Tabla44[[#This Row],[VALOR CONTRAPARTIDA]]+Tabla44[[#This Row],[TOTAL APORTES ICBF]]</f>
        <v>24308880</v>
      </c>
      <c r="AI178" s="35" t="str">
        <f>+IF(Tabla44[[#This Row],[AGRUPACIONES]]=1,SUMIFS(Tabla44[TOTAL APORTES ICBF],Tabla44[ZONA DEFINITIVO],Tabla44[[#This Row],[ZONA DEFINITIVO]])," ")</f>
        <v xml:space="preserve"> </v>
      </c>
      <c r="AJ178" s="38"/>
      <c r="AK178" s="38"/>
      <c r="AL178" s="35"/>
      <c r="AM178" s="35">
        <f>VLOOKUP(Tabla44[[#This Row],[SERVICIO 2025]],$J$2:$V$15,5,0)*Tabla44[[#This Row],[TOTAL COBERTURA]]</f>
        <v>747904</v>
      </c>
      <c r="AN178" s="35">
        <f>VLOOKUP(Tabla44[[#This Row],[SERVICIO 2025]],$J$2:$V$15,6,0)*Tabla44[[#This Row],[TOTAL COBERTURA]]</f>
        <v>605456</v>
      </c>
      <c r="AO178" s="35">
        <f>VLOOKUP(Tabla44[[#This Row],[SERVICIO 2025]],$J$2:$V$15,8,0)*Tabla44[[#This Row],[TOTAL COBERTURA]]</f>
        <v>0</v>
      </c>
      <c r="AP178" s="35">
        <f>VLOOKUP(Tabla44[[#This Row],[SERVICIO 2025]],$J$2:$V$15,3,0)*Tabla44[[#This Row],[TOTAL COBERTURA]]*8</f>
        <v>22955520</v>
      </c>
      <c r="AQ178" s="35"/>
      <c r="AR178" s="35">
        <f>SUM(Tabla44[[#This Row],[VALOR FASE PREPARATORIA DE ALISTAMIENTO]:[VALOR RACION PREPARADA]])</f>
        <v>24308880</v>
      </c>
      <c r="AS178" s="35" t="str">
        <f>+IF(Tabla44[[#This Row],[AGRUPACIONES]]=1,SUMIFS(Tabla44[VALOR TOTAL],Tabla44[ZONA DEFINITIVO],Tabla44[[#This Row],[ZONA DEFINITIVO]])," ")</f>
        <v xml:space="preserve"> </v>
      </c>
      <c r="AT178" s="35">
        <f>VLOOKUP(Tabla44[[#This Row],[SERVICIO 2025]],$J$2:$V$15,10,0)*Tabla44[[#This Row],[TOTAL COBERTURA]]*$X$7</f>
        <v>24105088</v>
      </c>
      <c r="AU178" s="39">
        <f>Tabla44[[#This Row],[TOTAL CONTRATO (ICBF+EAS)]]+Tabla44[[#This Row],[VALOR COMPONENTE ALIMENTACION NO ASIGNADO]]</f>
        <v>48413968</v>
      </c>
      <c r="AV17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6630480</v>
      </c>
      <c r="AW178" s="35">
        <f>(VLOOKUP(Tabla44[[#This Row],[SERVICIO 2025]],$J$2:$V$15,3,0)*Tabla44[[#This Row],[TOTAL COBERTURA]])+VLOOKUP(Tabla44[[#This Row],[SERVICIO 2025]],$J$2:$V$15,10,0)*Tabla44[[#This Row],[TOTAL COBERTURA]]</f>
        <v>5882576</v>
      </c>
      <c r="AX178" s="35">
        <f>(VLOOKUP(Tabla44[[#This Row],[SERVICIO 2025]],$J$2:$V$15,3,0)*Tabla44[[#This Row],[TOTAL COBERTURA]])+VLOOKUP(Tabla44[[#This Row],[SERVICIO 2025]],$J$2:$V$15,10,0)*Tabla44[[#This Row],[TOTAL COBERTURA]]</f>
        <v>5882576</v>
      </c>
      <c r="AY178" s="35">
        <f>(VLOOKUP(Tabla44[[#This Row],[SERVICIO 2025]],$J$2:$V$15,3,0)*Tabla44[[#This Row],[TOTAL COBERTURA]])+VLOOKUP(Tabla44[[#This Row],[SERVICIO 2025]],$J$2:$V$15,10,0)*Tabla44[[#This Row],[TOTAL COBERTURA]]</f>
        <v>5882576</v>
      </c>
      <c r="AZ178" s="35">
        <f>(VLOOKUP(Tabla44[[#This Row],[SERVICIO 2025]],$J$2:$V$15,3,0)*Tabla44[[#This Row],[TOTAL COBERTURA]])+VLOOKUP(Tabla44[[#This Row],[SERVICIO 2025]],$J$2:$V$15,10,0)*Tabla44[[#This Row],[TOTAL COBERTURA]]</f>
        <v>5882576</v>
      </c>
      <c r="BA178" s="35">
        <f>(VLOOKUP(Tabla44[[#This Row],[SERVICIO 2025]],$J$2:$V$15,3,0)*Tabla44[[#This Row],[TOTAL COBERTURA]])+VLOOKUP(Tabla44[[#This Row],[SERVICIO 2025]],$J$2:$V$15,10,0)*Tabla44[[#This Row],[TOTAL COBERTURA]]</f>
        <v>5882576</v>
      </c>
      <c r="BB178" s="35">
        <f>(VLOOKUP(Tabla44[[#This Row],[SERVICIO 2025]],$J$2:$V$15,3,0)*Tabla44[[#This Row],[TOTAL COBERTURA]])+VLOOKUP(Tabla44[[#This Row],[SERVICIO 2025]],$J$2:$V$15,10,0)*Tabla44[[#This Row],[TOTAL COBERTURA]]</f>
        <v>5882576</v>
      </c>
      <c r="BC17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6488032</v>
      </c>
      <c r="BD178" s="35">
        <f>SUM(Tabla44[[#This Row],[DESEMBOLSO 1]:[DESEMBOLSO 8]])</f>
        <v>48413968</v>
      </c>
      <c r="BE178" s="12" t="b">
        <f>EXACT(Tabla44[[#This Row],[VALOR ATENCIÓN (8 MESES)]],Tabla44[[#This Row],[VALOR TOTAL]])</f>
        <v>1</v>
      </c>
      <c r="BF178" s="23">
        <f>Tabla44[[#This Row],[VALOR ATENCIÓN (8 MESES)]]-Tabla44[[#This Row],[VALOR TOTAL]]</f>
        <v>0</v>
      </c>
      <c r="BG178" s="12" t="b">
        <f>EXACT(Tabla44[[#This Row],[TOTAL DESEMBOLSOS]],Tabla44[[#This Row],[VALOR TOTAL DEL CONTRATO INCLUIDO EL COMPONENTE DE ALIMENTACIÓN]])</f>
        <v>1</v>
      </c>
      <c r="BH178" s="29">
        <f>Tabla44[[#This Row],[TOTAL DESEMBOLSOS]]-Tabla44[[#This Row],[VALOR TOTAL DEL CONTRATO INCLUIDO EL COMPONENTE DE ALIMENTACIÓN]]</f>
        <v>0</v>
      </c>
      <c r="BI178" t="s">
        <v>98</v>
      </c>
    </row>
    <row r="179" spans="1:61">
      <c r="A179" s="13">
        <v>1963</v>
      </c>
      <c r="B179" s="13"/>
      <c r="C179" s="12" t="s">
        <v>87</v>
      </c>
      <c r="D179" s="12" t="s">
        <v>651</v>
      </c>
      <c r="E179" s="12" t="s">
        <v>3145</v>
      </c>
      <c r="F179" s="12" t="s">
        <v>21</v>
      </c>
      <c r="G179" s="12" t="s">
        <v>90</v>
      </c>
      <c r="H179" s="12" t="s">
        <v>3161</v>
      </c>
      <c r="I179" s="36">
        <v>546700080336</v>
      </c>
      <c r="J179" s="12" t="s">
        <v>3162</v>
      </c>
      <c r="K179" s="12">
        <v>1</v>
      </c>
      <c r="L179" s="12">
        <v>31</v>
      </c>
      <c r="M179" s="12"/>
      <c r="N179" s="13">
        <v>1963</v>
      </c>
      <c r="O179" s="12" t="s">
        <v>2850</v>
      </c>
      <c r="P179" s="12"/>
      <c r="Q179" s="12"/>
      <c r="R179" s="12" t="s">
        <v>94</v>
      </c>
      <c r="S179" s="12">
        <v>10</v>
      </c>
      <c r="T179" s="12">
        <v>811008215</v>
      </c>
      <c r="U179" s="12" t="s">
        <v>3112</v>
      </c>
      <c r="V179" s="12">
        <f>VLOOKUP(Tabla44[[#This Row],[ZONA DEFINITIVO]],[1]Hoja1!$A$1:$D$125,3,0)</f>
        <v>229937</v>
      </c>
      <c r="W179" s="12">
        <f>VLOOKUP(Tabla44[[#This Row],[ZONA DEFINITIVO]],[1]Hoja1!$A$1:$D$125,2,0)</f>
        <v>17256</v>
      </c>
      <c r="X179" s="12">
        <f>VLOOKUP(Tabla44[[#This Row],[ZONA DEFINITIVO]],[1]Hoja1!$A$1:$D$125,4,0)</f>
        <v>104525</v>
      </c>
      <c r="Y179" s="12" t="str">
        <f>+IF(Tabla44[[#This Row],[AGRUPACIONES]]=1,SUMIFS(Tabla44[UDS],Tabla44[ZONA DEFINITIVO],Tabla44[[#This Row],[ZONA DEFINITIVO]])," ")</f>
        <v xml:space="preserve"> </v>
      </c>
      <c r="Z179" s="12" t="str">
        <f>+IF(Tabla44[[#This Row],[AGRUPACIONES]]=1,SUMIFS(Tabla44[TOTAL COBERTURA],Tabla44[ZONA DEFINITIVO],Tabla44[[#This Row],[ZONA DEFINITIVO]])," ")</f>
        <v xml:space="preserve"> </v>
      </c>
      <c r="AA179" s="12"/>
      <c r="AB179" s="35">
        <v>47098455</v>
      </c>
      <c r="AC179" s="37">
        <v>0</v>
      </c>
      <c r="AD179" s="35">
        <f t="shared" si="3"/>
        <v>0</v>
      </c>
      <c r="AE179" s="12"/>
      <c r="AF179" s="12">
        <f>COUNTIF($A$20:A179,A179)</f>
        <v>27</v>
      </c>
      <c r="AG179" s="38">
        <v>47098455</v>
      </c>
      <c r="AH179" s="38">
        <f>Tabla44[[#This Row],[VALOR CONTRAPARTIDA]]+Tabla44[[#This Row],[TOTAL APORTES ICBF]]</f>
        <v>47098455</v>
      </c>
      <c r="AI179" s="35" t="str">
        <f>+IF(Tabla44[[#This Row],[AGRUPACIONES]]=1,SUMIFS(Tabla44[TOTAL APORTES ICBF],Tabla44[ZONA DEFINITIVO],Tabla44[[#This Row],[ZONA DEFINITIVO]])," ")</f>
        <v xml:space="preserve"> </v>
      </c>
      <c r="AJ179" s="38"/>
      <c r="AK179" s="38"/>
      <c r="AL179" s="35"/>
      <c r="AM179" s="35">
        <f>VLOOKUP(Tabla44[[#This Row],[SERVICIO 2025]],$J$2:$V$15,5,0)*Tabla44[[#This Row],[TOTAL COBERTURA]]</f>
        <v>1449064</v>
      </c>
      <c r="AN179" s="35">
        <f>VLOOKUP(Tabla44[[#This Row],[SERVICIO 2025]],$J$2:$V$15,6,0)*Tabla44[[#This Row],[TOTAL COBERTURA]]</f>
        <v>1173071</v>
      </c>
      <c r="AO179" s="35">
        <f>VLOOKUP(Tabla44[[#This Row],[SERVICIO 2025]],$J$2:$V$15,8,0)*Tabla44[[#This Row],[TOTAL COBERTURA]]</f>
        <v>0</v>
      </c>
      <c r="AP179" s="35">
        <f>VLOOKUP(Tabla44[[#This Row],[SERVICIO 2025]],$J$2:$V$15,3,0)*Tabla44[[#This Row],[TOTAL COBERTURA]]*8</f>
        <v>44476320</v>
      </c>
      <c r="AQ179" s="35"/>
      <c r="AR179" s="35">
        <f>SUM(Tabla44[[#This Row],[VALOR FASE PREPARATORIA DE ALISTAMIENTO]:[VALOR RACION PREPARADA]])</f>
        <v>47098455</v>
      </c>
      <c r="AS179" s="35" t="str">
        <f>+IF(Tabla44[[#This Row],[AGRUPACIONES]]=1,SUMIFS(Tabla44[VALOR TOTAL],Tabla44[ZONA DEFINITIVO],Tabla44[[#This Row],[ZONA DEFINITIVO]])," ")</f>
        <v xml:space="preserve"> </v>
      </c>
      <c r="AT179" s="35">
        <f>VLOOKUP(Tabla44[[#This Row],[SERVICIO 2025]],$J$2:$V$15,10,0)*Tabla44[[#This Row],[TOTAL COBERTURA]]*$X$7</f>
        <v>46703608</v>
      </c>
      <c r="AU179" s="39">
        <f>Tabla44[[#This Row],[TOTAL CONTRATO (ICBF+EAS)]]+Tabla44[[#This Row],[VALOR COMPONENTE ALIMENTACION NO ASIGNADO]]</f>
        <v>93802063</v>
      </c>
      <c r="AV17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12846555</v>
      </c>
      <c r="AW179" s="35">
        <f>(VLOOKUP(Tabla44[[#This Row],[SERVICIO 2025]],$J$2:$V$15,3,0)*Tabla44[[#This Row],[TOTAL COBERTURA]])+VLOOKUP(Tabla44[[#This Row],[SERVICIO 2025]],$J$2:$V$15,10,0)*Tabla44[[#This Row],[TOTAL COBERTURA]]</f>
        <v>11397491</v>
      </c>
      <c r="AX179" s="35">
        <f>(VLOOKUP(Tabla44[[#This Row],[SERVICIO 2025]],$J$2:$V$15,3,0)*Tabla44[[#This Row],[TOTAL COBERTURA]])+VLOOKUP(Tabla44[[#This Row],[SERVICIO 2025]],$J$2:$V$15,10,0)*Tabla44[[#This Row],[TOTAL COBERTURA]]</f>
        <v>11397491</v>
      </c>
      <c r="AY179" s="35">
        <f>(VLOOKUP(Tabla44[[#This Row],[SERVICIO 2025]],$J$2:$V$15,3,0)*Tabla44[[#This Row],[TOTAL COBERTURA]])+VLOOKUP(Tabla44[[#This Row],[SERVICIO 2025]],$J$2:$V$15,10,0)*Tabla44[[#This Row],[TOTAL COBERTURA]]</f>
        <v>11397491</v>
      </c>
      <c r="AZ179" s="35">
        <f>(VLOOKUP(Tabla44[[#This Row],[SERVICIO 2025]],$J$2:$V$15,3,0)*Tabla44[[#This Row],[TOTAL COBERTURA]])+VLOOKUP(Tabla44[[#This Row],[SERVICIO 2025]],$J$2:$V$15,10,0)*Tabla44[[#This Row],[TOTAL COBERTURA]]</f>
        <v>11397491</v>
      </c>
      <c r="BA179" s="35">
        <f>(VLOOKUP(Tabla44[[#This Row],[SERVICIO 2025]],$J$2:$V$15,3,0)*Tabla44[[#This Row],[TOTAL COBERTURA]])+VLOOKUP(Tabla44[[#This Row],[SERVICIO 2025]],$J$2:$V$15,10,0)*Tabla44[[#This Row],[TOTAL COBERTURA]]</f>
        <v>11397491</v>
      </c>
      <c r="BB179" s="35">
        <f>(VLOOKUP(Tabla44[[#This Row],[SERVICIO 2025]],$J$2:$V$15,3,0)*Tabla44[[#This Row],[TOTAL COBERTURA]])+VLOOKUP(Tabla44[[#This Row],[SERVICIO 2025]],$J$2:$V$15,10,0)*Tabla44[[#This Row],[TOTAL COBERTURA]]</f>
        <v>11397491</v>
      </c>
      <c r="BC17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12570562</v>
      </c>
      <c r="BD179" s="35">
        <f>SUM(Tabla44[[#This Row],[DESEMBOLSO 1]:[DESEMBOLSO 8]])</f>
        <v>93802063</v>
      </c>
      <c r="BE179" s="12" t="b">
        <f>EXACT(Tabla44[[#This Row],[VALOR ATENCIÓN (8 MESES)]],Tabla44[[#This Row],[VALOR TOTAL]])</f>
        <v>1</v>
      </c>
      <c r="BF179" s="23">
        <f>Tabla44[[#This Row],[VALOR ATENCIÓN (8 MESES)]]-Tabla44[[#This Row],[VALOR TOTAL]]</f>
        <v>0</v>
      </c>
      <c r="BG179" s="12" t="b">
        <f>EXACT(Tabla44[[#This Row],[TOTAL DESEMBOLSOS]],Tabla44[[#This Row],[VALOR TOTAL DEL CONTRATO INCLUIDO EL COMPONENTE DE ALIMENTACIÓN]])</f>
        <v>1</v>
      </c>
      <c r="BH179" s="29">
        <f>Tabla44[[#This Row],[TOTAL DESEMBOLSOS]]-Tabla44[[#This Row],[VALOR TOTAL DEL CONTRATO INCLUIDO EL COMPONENTE DE ALIMENTACIÓN]]</f>
        <v>0</v>
      </c>
      <c r="BI179" t="s">
        <v>98</v>
      </c>
    </row>
    <row r="180" spans="1:61">
      <c r="A180" s="13">
        <v>1963</v>
      </c>
      <c r="B180" s="13"/>
      <c r="C180" s="12" t="s">
        <v>87</v>
      </c>
      <c r="D180" s="12" t="s">
        <v>651</v>
      </c>
      <c r="E180" s="12" t="s">
        <v>3145</v>
      </c>
      <c r="F180" s="12" t="s">
        <v>14</v>
      </c>
      <c r="G180" s="12" t="s">
        <v>90</v>
      </c>
      <c r="H180" s="12" t="s">
        <v>3163</v>
      </c>
      <c r="I180" s="36">
        <v>546700104882</v>
      </c>
      <c r="J180" s="12" t="s">
        <v>3164</v>
      </c>
      <c r="K180" s="12">
        <v>1</v>
      </c>
      <c r="L180" s="12">
        <v>44</v>
      </c>
      <c r="M180" s="12"/>
      <c r="N180" s="13">
        <v>1963</v>
      </c>
      <c r="O180" s="12" t="s">
        <v>2850</v>
      </c>
      <c r="P180" s="12"/>
      <c r="Q180" s="12"/>
      <c r="R180" s="12" t="s">
        <v>94</v>
      </c>
      <c r="S180" s="12">
        <v>10</v>
      </c>
      <c r="T180" s="12">
        <v>811008215</v>
      </c>
      <c r="U180" s="12" t="s">
        <v>3112</v>
      </c>
      <c r="V180" s="12">
        <f>VLOOKUP(Tabla44[[#This Row],[ZONA DEFINITIVO]],[1]Hoja1!$A$1:$D$125,3,0)</f>
        <v>229937</v>
      </c>
      <c r="W180" s="12">
        <f>VLOOKUP(Tabla44[[#This Row],[ZONA DEFINITIVO]],[1]Hoja1!$A$1:$D$125,2,0)</f>
        <v>17256</v>
      </c>
      <c r="X180" s="12">
        <f>VLOOKUP(Tabla44[[#This Row],[ZONA DEFINITIVO]],[1]Hoja1!$A$1:$D$125,4,0)</f>
        <v>104525</v>
      </c>
      <c r="Y180" s="12" t="str">
        <f>+IF(Tabla44[[#This Row],[AGRUPACIONES]]=1,SUMIFS(Tabla44[UDS],Tabla44[ZONA DEFINITIVO],Tabla44[[#This Row],[ZONA DEFINITIVO]])," ")</f>
        <v xml:space="preserve"> </v>
      </c>
      <c r="Z180" s="12" t="str">
        <f>+IF(Tabla44[[#This Row],[AGRUPACIONES]]=1,SUMIFS(Tabla44[TOTAL COBERTURA],Tabla44[ZONA DEFINITIVO],Tabla44[[#This Row],[ZONA DEFINITIVO]])," ")</f>
        <v xml:space="preserve"> </v>
      </c>
      <c r="AA180" s="12"/>
      <c r="AB180" s="35">
        <v>184309400</v>
      </c>
      <c r="AC180" s="37">
        <v>0</v>
      </c>
      <c r="AD180" s="35">
        <f t="shared" si="3"/>
        <v>0</v>
      </c>
      <c r="AE180" s="12"/>
      <c r="AF180" s="12">
        <f>COUNTIF($A$20:A180,A180)</f>
        <v>28</v>
      </c>
      <c r="AG180" s="38">
        <v>184309400</v>
      </c>
      <c r="AH180" s="38">
        <f>Tabla44[[#This Row],[VALOR CONTRAPARTIDA]]+Tabla44[[#This Row],[TOTAL APORTES ICBF]]</f>
        <v>184309400</v>
      </c>
      <c r="AI180" s="35" t="str">
        <f>+IF(Tabla44[[#This Row],[AGRUPACIONES]]=1,SUMIFS(Tabla44[TOTAL APORTES ICBF],Tabla44[ZONA DEFINITIVO],Tabla44[[#This Row],[ZONA DEFINITIVO]])," ")</f>
        <v xml:space="preserve"> </v>
      </c>
      <c r="AJ180" s="38"/>
      <c r="AK180" s="38"/>
      <c r="AL180" s="35"/>
      <c r="AM180" s="35">
        <f>VLOOKUP(Tabla44[[#This Row],[SERVICIO 2025]],$J$2:$V$15,5,0)*Tabla44[[#This Row],[TOTAL COBERTURA]]</f>
        <v>3878292</v>
      </c>
      <c r="AN180" s="35">
        <f>VLOOKUP(Tabla44[[#This Row],[SERVICIO 2025]],$J$2:$V$15,6,0)*Tabla44[[#This Row],[TOTAL COBERTURA]]</f>
        <v>3301892</v>
      </c>
      <c r="AO180" s="35">
        <f>VLOOKUP(Tabla44[[#This Row],[SERVICIO 2025]],$J$2:$V$15,8,0)*Tabla44[[#This Row],[TOTAL COBERTURA]]</f>
        <v>0</v>
      </c>
      <c r="AP180" s="35">
        <f>VLOOKUP(Tabla44[[#This Row],[SERVICIO 2025]],$J$2:$V$15,3,0)*Tabla44[[#This Row],[TOTAL COBERTURA]]*8</f>
        <v>177129216</v>
      </c>
      <c r="AQ180" s="35"/>
      <c r="AR180" s="35">
        <f>SUM(Tabla44[[#This Row],[VALOR FASE PREPARATORIA DE ALISTAMIENTO]:[VALOR RACION PREPARADA]])</f>
        <v>184309400</v>
      </c>
      <c r="AS180" s="35" t="str">
        <f>+IF(Tabla44[[#This Row],[AGRUPACIONES]]=1,SUMIFS(Tabla44[VALOR TOTAL],Tabla44[ZONA DEFINITIVO],Tabla44[[#This Row],[ZONA DEFINITIVO]])," ")</f>
        <v xml:space="preserve"> </v>
      </c>
      <c r="AT180" s="35">
        <f>VLOOKUP(Tabla44[[#This Row],[SERVICIO 2025]],$J$2:$V$15,10,0)*Tabla44[[#This Row],[TOTAL COBERTURA]]*$X$7</f>
        <v>0</v>
      </c>
      <c r="AU180" s="39">
        <f>Tabla44[[#This Row],[TOTAL CONTRATO (ICBF+EAS)]]+Tabla44[[#This Row],[VALOR COMPONENTE ALIMENTACION NO ASIGNADO]]</f>
        <v>184309400</v>
      </c>
      <c r="AV18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26019444</v>
      </c>
      <c r="AW180" s="35">
        <f>(VLOOKUP(Tabla44[[#This Row],[SERVICIO 2025]],$J$2:$V$15,3,0)*Tabla44[[#This Row],[TOTAL COBERTURA]])+VLOOKUP(Tabla44[[#This Row],[SERVICIO 2025]],$J$2:$V$15,10,0)*Tabla44[[#This Row],[TOTAL COBERTURA]]</f>
        <v>22141152</v>
      </c>
      <c r="AX180" s="35">
        <f>(VLOOKUP(Tabla44[[#This Row],[SERVICIO 2025]],$J$2:$V$15,3,0)*Tabla44[[#This Row],[TOTAL COBERTURA]])+VLOOKUP(Tabla44[[#This Row],[SERVICIO 2025]],$J$2:$V$15,10,0)*Tabla44[[#This Row],[TOTAL COBERTURA]]</f>
        <v>22141152</v>
      </c>
      <c r="AY180" s="35">
        <f>(VLOOKUP(Tabla44[[#This Row],[SERVICIO 2025]],$J$2:$V$15,3,0)*Tabla44[[#This Row],[TOTAL COBERTURA]])+VLOOKUP(Tabla44[[#This Row],[SERVICIO 2025]],$J$2:$V$15,10,0)*Tabla44[[#This Row],[TOTAL COBERTURA]]</f>
        <v>22141152</v>
      </c>
      <c r="AZ180" s="35">
        <f>(VLOOKUP(Tabla44[[#This Row],[SERVICIO 2025]],$J$2:$V$15,3,0)*Tabla44[[#This Row],[TOTAL COBERTURA]])+VLOOKUP(Tabla44[[#This Row],[SERVICIO 2025]],$J$2:$V$15,10,0)*Tabla44[[#This Row],[TOTAL COBERTURA]]</f>
        <v>22141152</v>
      </c>
      <c r="BA180" s="35">
        <f>(VLOOKUP(Tabla44[[#This Row],[SERVICIO 2025]],$J$2:$V$15,3,0)*Tabla44[[#This Row],[TOTAL COBERTURA]])+VLOOKUP(Tabla44[[#This Row],[SERVICIO 2025]],$J$2:$V$15,10,0)*Tabla44[[#This Row],[TOTAL COBERTURA]]</f>
        <v>22141152</v>
      </c>
      <c r="BB180" s="35">
        <f>(VLOOKUP(Tabla44[[#This Row],[SERVICIO 2025]],$J$2:$V$15,3,0)*Tabla44[[#This Row],[TOTAL COBERTURA]])+VLOOKUP(Tabla44[[#This Row],[SERVICIO 2025]],$J$2:$V$15,10,0)*Tabla44[[#This Row],[TOTAL COBERTURA]]</f>
        <v>22141152</v>
      </c>
      <c r="BC18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25443044</v>
      </c>
      <c r="BD180" s="35">
        <f>SUM(Tabla44[[#This Row],[DESEMBOLSO 1]:[DESEMBOLSO 8]])</f>
        <v>184309400</v>
      </c>
      <c r="BE180" s="12" t="b">
        <f>EXACT(Tabla44[[#This Row],[VALOR ATENCIÓN (8 MESES)]],Tabla44[[#This Row],[VALOR TOTAL]])</f>
        <v>1</v>
      </c>
      <c r="BF180" s="23">
        <f>Tabla44[[#This Row],[VALOR ATENCIÓN (8 MESES)]]-Tabla44[[#This Row],[VALOR TOTAL]]</f>
        <v>0</v>
      </c>
      <c r="BG180" s="12" t="b">
        <f>EXACT(Tabla44[[#This Row],[TOTAL DESEMBOLSOS]],Tabla44[[#This Row],[VALOR TOTAL DEL CONTRATO INCLUIDO EL COMPONENTE DE ALIMENTACIÓN]])</f>
        <v>1</v>
      </c>
      <c r="BH180" s="29">
        <f>Tabla44[[#This Row],[TOTAL DESEMBOLSOS]]-Tabla44[[#This Row],[VALOR TOTAL DEL CONTRATO INCLUIDO EL COMPONENTE DE ALIMENTACIÓN]]</f>
        <v>0</v>
      </c>
      <c r="BI180" t="s">
        <v>98</v>
      </c>
    </row>
    <row r="181" spans="1:61">
      <c r="A181" s="13">
        <v>1963</v>
      </c>
      <c r="B181" s="13"/>
      <c r="C181" s="12" t="s">
        <v>87</v>
      </c>
      <c r="D181" s="12" t="s">
        <v>651</v>
      </c>
      <c r="E181" s="12" t="s">
        <v>3165</v>
      </c>
      <c r="F181" s="12" t="s">
        <v>21</v>
      </c>
      <c r="G181" s="12" t="s">
        <v>90</v>
      </c>
      <c r="H181" s="12" t="s">
        <v>3166</v>
      </c>
      <c r="I181" s="36">
        <v>58611119925</v>
      </c>
      <c r="J181" s="12" t="s">
        <v>3167</v>
      </c>
      <c r="K181" s="12">
        <v>1</v>
      </c>
      <c r="L181" s="12">
        <v>41</v>
      </c>
      <c r="M181" s="12"/>
      <c r="N181" s="13">
        <v>1963</v>
      </c>
      <c r="O181" s="12" t="s">
        <v>2850</v>
      </c>
      <c r="P181" s="12"/>
      <c r="Q181" s="12"/>
      <c r="R181" s="12" t="s">
        <v>94</v>
      </c>
      <c r="S181" s="12">
        <v>10</v>
      </c>
      <c r="T181" s="12">
        <v>811008215</v>
      </c>
      <c r="U181" s="12" t="s">
        <v>3112</v>
      </c>
      <c r="V181" s="12">
        <f>VLOOKUP(Tabla44[[#This Row],[ZONA DEFINITIVO]],[1]Hoja1!$A$1:$D$125,3,0)</f>
        <v>229937</v>
      </c>
      <c r="W181" s="12">
        <f>VLOOKUP(Tabla44[[#This Row],[ZONA DEFINITIVO]],[1]Hoja1!$A$1:$D$125,2,0)</f>
        <v>17256</v>
      </c>
      <c r="X181" s="12">
        <f>VLOOKUP(Tabla44[[#This Row],[ZONA DEFINITIVO]],[1]Hoja1!$A$1:$D$125,4,0)</f>
        <v>104525</v>
      </c>
      <c r="Y181" s="12" t="str">
        <f>+IF(Tabla44[[#This Row],[AGRUPACIONES]]=1,SUMIFS(Tabla44[UDS],Tabla44[ZONA DEFINITIVO],Tabla44[[#This Row],[ZONA DEFINITIVO]])," ")</f>
        <v xml:space="preserve"> </v>
      </c>
      <c r="Z181" s="12" t="str">
        <f>+IF(Tabla44[[#This Row],[AGRUPACIONES]]=1,SUMIFS(Tabla44[TOTAL COBERTURA],Tabla44[ZONA DEFINITIVO],Tabla44[[#This Row],[ZONA DEFINITIVO]])," ")</f>
        <v xml:space="preserve"> </v>
      </c>
      <c r="AA181" s="12"/>
      <c r="AB181" s="35">
        <v>62291505</v>
      </c>
      <c r="AC181" s="37">
        <v>0</v>
      </c>
      <c r="AD181" s="35">
        <f t="shared" si="3"/>
        <v>0</v>
      </c>
      <c r="AE181" s="12"/>
      <c r="AF181" s="12">
        <f>COUNTIF($A$20:A181,A181)</f>
        <v>29</v>
      </c>
      <c r="AG181" s="38">
        <v>62291505</v>
      </c>
      <c r="AH181" s="38">
        <f>Tabla44[[#This Row],[VALOR CONTRAPARTIDA]]+Tabla44[[#This Row],[TOTAL APORTES ICBF]]</f>
        <v>62291505</v>
      </c>
      <c r="AI181" s="35" t="str">
        <f>+IF(Tabla44[[#This Row],[AGRUPACIONES]]=1,SUMIFS(Tabla44[TOTAL APORTES ICBF],Tabla44[ZONA DEFINITIVO],Tabla44[[#This Row],[ZONA DEFINITIVO]])," ")</f>
        <v xml:space="preserve"> </v>
      </c>
      <c r="AJ181" s="38"/>
      <c r="AK181" s="38"/>
      <c r="AL181" s="35"/>
      <c r="AM181" s="35">
        <f>VLOOKUP(Tabla44[[#This Row],[SERVICIO 2025]],$J$2:$V$15,5,0)*Tabla44[[#This Row],[TOTAL COBERTURA]]</f>
        <v>1916504</v>
      </c>
      <c r="AN181" s="35">
        <f>VLOOKUP(Tabla44[[#This Row],[SERVICIO 2025]],$J$2:$V$15,6,0)*Tabla44[[#This Row],[TOTAL COBERTURA]]</f>
        <v>1551481</v>
      </c>
      <c r="AO181" s="35">
        <f>VLOOKUP(Tabla44[[#This Row],[SERVICIO 2025]],$J$2:$V$15,8,0)*Tabla44[[#This Row],[TOTAL COBERTURA]]</f>
        <v>0</v>
      </c>
      <c r="AP181" s="35">
        <f>VLOOKUP(Tabla44[[#This Row],[SERVICIO 2025]],$J$2:$V$15,3,0)*Tabla44[[#This Row],[TOTAL COBERTURA]]*8</f>
        <v>58823520</v>
      </c>
      <c r="AQ181" s="35"/>
      <c r="AR181" s="35">
        <f>SUM(Tabla44[[#This Row],[VALOR FASE PREPARATORIA DE ALISTAMIENTO]:[VALOR RACION PREPARADA]])</f>
        <v>62291505</v>
      </c>
      <c r="AS181" s="35" t="str">
        <f>+IF(Tabla44[[#This Row],[AGRUPACIONES]]=1,SUMIFS(Tabla44[VALOR TOTAL],Tabla44[ZONA DEFINITIVO],Tabla44[[#This Row],[ZONA DEFINITIVO]])," ")</f>
        <v xml:space="preserve"> </v>
      </c>
      <c r="AT181" s="35">
        <f>VLOOKUP(Tabla44[[#This Row],[SERVICIO 2025]],$J$2:$V$15,10,0)*Tabla44[[#This Row],[TOTAL COBERTURA]]*$X$7</f>
        <v>61769288</v>
      </c>
      <c r="AU181" s="39">
        <f>Tabla44[[#This Row],[TOTAL CONTRATO (ICBF+EAS)]]+Tabla44[[#This Row],[VALOR COMPONENTE ALIMENTACION NO ASIGNADO]]</f>
        <v>124060793</v>
      </c>
      <c r="AV18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16990605</v>
      </c>
      <c r="AW181" s="35">
        <f>(VLOOKUP(Tabla44[[#This Row],[SERVICIO 2025]],$J$2:$V$15,3,0)*Tabla44[[#This Row],[TOTAL COBERTURA]])+VLOOKUP(Tabla44[[#This Row],[SERVICIO 2025]],$J$2:$V$15,10,0)*Tabla44[[#This Row],[TOTAL COBERTURA]]</f>
        <v>15074101</v>
      </c>
      <c r="AX181" s="35">
        <f>(VLOOKUP(Tabla44[[#This Row],[SERVICIO 2025]],$J$2:$V$15,3,0)*Tabla44[[#This Row],[TOTAL COBERTURA]])+VLOOKUP(Tabla44[[#This Row],[SERVICIO 2025]],$J$2:$V$15,10,0)*Tabla44[[#This Row],[TOTAL COBERTURA]]</f>
        <v>15074101</v>
      </c>
      <c r="AY181" s="35">
        <f>(VLOOKUP(Tabla44[[#This Row],[SERVICIO 2025]],$J$2:$V$15,3,0)*Tabla44[[#This Row],[TOTAL COBERTURA]])+VLOOKUP(Tabla44[[#This Row],[SERVICIO 2025]],$J$2:$V$15,10,0)*Tabla44[[#This Row],[TOTAL COBERTURA]]</f>
        <v>15074101</v>
      </c>
      <c r="AZ181" s="35">
        <f>(VLOOKUP(Tabla44[[#This Row],[SERVICIO 2025]],$J$2:$V$15,3,0)*Tabla44[[#This Row],[TOTAL COBERTURA]])+VLOOKUP(Tabla44[[#This Row],[SERVICIO 2025]],$J$2:$V$15,10,0)*Tabla44[[#This Row],[TOTAL COBERTURA]]</f>
        <v>15074101</v>
      </c>
      <c r="BA181" s="35">
        <f>(VLOOKUP(Tabla44[[#This Row],[SERVICIO 2025]],$J$2:$V$15,3,0)*Tabla44[[#This Row],[TOTAL COBERTURA]])+VLOOKUP(Tabla44[[#This Row],[SERVICIO 2025]],$J$2:$V$15,10,0)*Tabla44[[#This Row],[TOTAL COBERTURA]]</f>
        <v>15074101</v>
      </c>
      <c r="BB181" s="35">
        <f>(VLOOKUP(Tabla44[[#This Row],[SERVICIO 2025]],$J$2:$V$15,3,0)*Tabla44[[#This Row],[TOTAL COBERTURA]])+VLOOKUP(Tabla44[[#This Row],[SERVICIO 2025]],$J$2:$V$15,10,0)*Tabla44[[#This Row],[TOTAL COBERTURA]]</f>
        <v>15074101</v>
      </c>
      <c r="BC18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16625582</v>
      </c>
      <c r="BD181" s="35">
        <f>SUM(Tabla44[[#This Row],[DESEMBOLSO 1]:[DESEMBOLSO 8]])</f>
        <v>124060793</v>
      </c>
      <c r="BE181" s="12" t="b">
        <f>EXACT(Tabla44[[#This Row],[VALOR ATENCIÓN (8 MESES)]],Tabla44[[#This Row],[VALOR TOTAL]])</f>
        <v>1</v>
      </c>
      <c r="BF181" s="23">
        <f>Tabla44[[#This Row],[VALOR ATENCIÓN (8 MESES)]]-Tabla44[[#This Row],[VALOR TOTAL]]</f>
        <v>0</v>
      </c>
      <c r="BG181" s="12" t="b">
        <f>EXACT(Tabla44[[#This Row],[TOTAL DESEMBOLSOS]],Tabla44[[#This Row],[VALOR TOTAL DEL CONTRATO INCLUIDO EL COMPONENTE DE ALIMENTACIÓN]])</f>
        <v>1</v>
      </c>
      <c r="BH181" s="29">
        <f>Tabla44[[#This Row],[TOTAL DESEMBOLSOS]]-Tabla44[[#This Row],[VALOR TOTAL DEL CONTRATO INCLUIDO EL COMPONENTE DE ALIMENTACIÓN]]</f>
        <v>0</v>
      </c>
      <c r="BI181" t="s">
        <v>98</v>
      </c>
    </row>
    <row r="182" spans="1:61">
      <c r="A182" s="13">
        <v>1963</v>
      </c>
      <c r="B182" s="13"/>
      <c r="C182" s="12" t="s">
        <v>87</v>
      </c>
      <c r="D182" s="12" t="s">
        <v>651</v>
      </c>
      <c r="E182" s="12" t="s">
        <v>3165</v>
      </c>
      <c r="F182" s="12" t="s">
        <v>21</v>
      </c>
      <c r="G182" s="12" t="s">
        <v>90</v>
      </c>
      <c r="H182" s="12" t="s">
        <v>3168</v>
      </c>
      <c r="I182" s="36">
        <v>58611119926</v>
      </c>
      <c r="J182" s="12" t="s">
        <v>3169</v>
      </c>
      <c r="K182" s="12">
        <v>1</v>
      </c>
      <c r="L182" s="12">
        <v>64</v>
      </c>
      <c r="M182" s="12"/>
      <c r="N182" s="13">
        <v>1963</v>
      </c>
      <c r="O182" s="12" t="s">
        <v>2850</v>
      </c>
      <c r="P182" s="12"/>
      <c r="Q182" s="12"/>
      <c r="R182" s="12" t="s">
        <v>94</v>
      </c>
      <c r="S182" s="12">
        <v>10</v>
      </c>
      <c r="T182" s="12">
        <v>811008215</v>
      </c>
      <c r="U182" s="12" t="s">
        <v>3112</v>
      </c>
      <c r="V182" s="12">
        <f>VLOOKUP(Tabla44[[#This Row],[ZONA DEFINITIVO]],[1]Hoja1!$A$1:$D$125,3,0)</f>
        <v>229937</v>
      </c>
      <c r="W182" s="12">
        <f>VLOOKUP(Tabla44[[#This Row],[ZONA DEFINITIVO]],[1]Hoja1!$A$1:$D$125,2,0)</f>
        <v>17256</v>
      </c>
      <c r="X182" s="12">
        <f>VLOOKUP(Tabla44[[#This Row],[ZONA DEFINITIVO]],[1]Hoja1!$A$1:$D$125,4,0)</f>
        <v>104525</v>
      </c>
      <c r="Y182" s="12" t="str">
        <f>+IF(Tabla44[[#This Row],[AGRUPACIONES]]=1,SUMIFS(Tabla44[UDS],Tabla44[ZONA DEFINITIVO],Tabla44[[#This Row],[ZONA DEFINITIVO]])," ")</f>
        <v xml:space="preserve"> </v>
      </c>
      <c r="Z182" s="12" t="str">
        <f>+IF(Tabla44[[#This Row],[AGRUPACIONES]]=1,SUMIFS(Tabla44[TOTAL COBERTURA],Tabla44[ZONA DEFINITIVO],Tabla44[[#This Row],[ZONA DEFINITIVO]])," ")</f>
        <v xml:space="preserve"> </v>
      </c>
      <c r="AA182" s="12"/>
      <c r="AB182" s="35">
        <v>97235520</v>
      </c>
      <c r="AC182" s="37">
        <v>0</v>
      </c>
      <c r="AD182" s="35">
        <f t="shared" si="3"/>
        <v>0</v>
      </c>
      <c r="AE182" s="12"/>
      <c r="AF182" s="12">
        <f>COUNTIF($A$20:A182,A182)</f>
        <v>30</v>
      </c>
      <c r="AG182" s="38">
        <v>97235520</v>
      </c>
      <c r="AH182" s="38">
        <f>Tabla44[[#This Row],[VALOR CONTRAPARTIDA]]+Tabla44[[#This Row],[TOTAL APORTES ICBF]]</f>
        <v>97235520</v>
      </c>
      <c r="AI182" s="35" t="str">
        <f>+IF(Tabla44[[#This Row],[AGRUPACIONES]]=1,SUMIFS(Tabla44[TOTAL APORTES ICBF],Tabla44[ZONA DEFINITIVO],Tabla44[[#This Row],[ZONA DEFINITIVO]])," ")</f>
        <v xml:space="preserve"> </v>
      </c>
      <c r="AJ182" s="38"/>
      <c r="AK182" s="38"/>
      <c r="AL182" s="35"/>
      <c r="AM182" s="35">
        <f>VLOOKUP(Tabla44[[#This Row],[SERVICIO 2025]],$J$2:$V$15,5,0)*Tabla44[[#This Row],[TOTAL COBERTURA]]</f>
        <v>2991616</v>
      </c>
      <c r="AN182" s="35">
        <f>VLOOKUP(Tabla44[[#This Row],[SERVICIO 2025]],$J$2:$V$15,6,0)*Tabla44[[#This Row],[TOTAL COBERTURA]]</f>
        <v>2421824</v>
      </c>
      <c r="AO182" s="35">
        <f>VLOOKUP(Tabla44[[#This Row],[SERVICIO 2025]],$J$2:$V$15,8,0)*Tabla44[[#This Row],[TOTAL COBERTURA]]</f>
        <v>0</v>
      </c>
      <c r="AP182" s="35">
        <f>VLOOKUP(Tabla44[[#This Row],[SERVICIO 2025]],$J$2:$V$15,3,0)*Tabla44[[#This Row],[TOTAL COBERTURA]]*8</f>
        <v>91822080</v>
      </c>
      <c r="AQ182" s="35"/>
      <c r="AR182" s="35">
        <f>SUM(Tabla44[[#This Row],[VALOR FASE PREPARATORIA DE ALISTAMIENTO]:[VALOR RACION PREPARADA]])</f>
        <v>97235520</v>
      </c>
      <c r="AS182" s="35" t="str">
        <f>+IF(Tabla44[[#This Row],[AGRUPACIONES]]=1,SUMIFS(Tabla44[VALOR TOTAL],Tabla44[ZONA DEFINITIVO],Tabla44[[#This Row],[ZONA DEFINITIVO]])," ")</f>
        <v xml:space="preserve"> </v>
      </c>
      <c r="AT182" s="35">
        <f>VLOOKUP(Tabla44[[#This Row],[SERVICIO 2025]],$J$2:$V$15,10,0)*Tabla44[[#This Row],[TOTAL COBERTURA]]*$X$7</f>
        <v>96420352</v>
      </c>
      <c r="AU182" s="39">
        <f>Tabla44[[#This Row],[TOTAL CONTRATO (ICBF+EAS)]]+Tabla44[[#This Row],[VALOR COMPONENTE ALIMENTACION NO ASIGNADO]]</f>
        <v>193655872</v>
      </c>
      <c r="AV18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26521920</v>
      </c>
      <c r="AW182" s="35">
        <f>(VLOOKUP(Tabla44[[#This Row],[SERVICIO 2025]],$J$2:$V$15,3,0)*Tabla44[[#This Row],[TOTAL COBERTURA]])+VLOOKUP(Tabla44[[#This Row],[SERVICIO 2025]],$J$2:$V$15,10,0)*Tabla44[[#This Row],[TOTAL COBERTURA]]</f>
        <v>23530304</v>
      </c>
      <c r="AX182" s="35">
        <f>(VLOOKUP(Tabla44[[#This Row],[SERVICIO 2025]],$J$2:$V$15,3,0)*Tabla44[[#This Row],[TOTAL COBERTURA]])+VLOOKUP(Tabla44[[#This Row],[SERVICIO 2025]],$J$2:$V$15,10,0)*Tabla44[[#This Row],[TOTAL COBERTURA]]</f>
        <v>23530304</v>
      </c>
      <c r="AY182" s="35">
        <f>(VLOOKUP(Tabla44[[#This Row],[SERVICIO 2025]],$J$2:$V$15,3,0)*Tabla44[[#This Row],[TOTAL COBERTURA]])+VLOOKUP(Tabla44[[#This Row],[SERVICIO 2025]],$J$2:$V$15,10,0)*Tabla44[[#This Row],[TOTAL COBERTURA]]</f>
        <v>23530304</v>
      </c>
      <c r="AZ182" s="35">
        <f>(VLOOKUP(Tabla44[[#This Row],[SERVICIO 2025]],$J$2:$V$15,3,0)*Tabla44[[#This Row],[TOTAL COBERTURA]])+VLOOKUP(Tabla44[[#This Row],[SERVICIO 2025]],$J$2:$V$15,10,0)*Tabla44[[#This Row],[TOTAL COBERTURA]]</f>
        <v>23530304</v>
      </c>
      <c r="BA182" s="35">
        <f>(VLOOKUP(Tabla44[[#This Row],[SERVICIO 2025]],$J$2:$V$15,3,0)*Tabla44[[#This Row],[TOTAL COBERTURA]])+VLOOKUP(Tabla44[[#This Row],[SERVICIO 2025]],$J$2:$V$15,10,0)*Tabla44[[#This Row],[TOTAL COBERTURA]]</f>
        <v>23530304</v>
      </c>
      <c r="BB182" s="35">
        <f>(VLOOKUP(Tabla44[[#This Row],[SERVICIO 2025]],$J$2:$V$15,3,0)*Tabla44[[#This Row],[TOTAL COBERTURA]])+VLOOKUP(Tabla44[[#This Row],[SERVICIO 2025]],$J$2:$V$15,10,0)*Tabla44[[#This Row],[TOTAL COBERTURA]]</f>
        <v>23530304</v>
      </c>
      <c r="BC18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25952128</v>
      </c>
      <c r="BD182" s="35">
        <f>SUM(Tabla44[[#This Row],[DESEMBOLSO 1]:[DESEMBOLSO 8]])</f>
        <v>193655872</v>
      </c>
      <c r="BE182" s="12" t="b">
        <f>EXACT(Tabla44[[#This Row],[VALOR ATENCIÓN (8 MESES)]],Tabla44[[#This Row],[VALOR TOTAL]])</f>
        <v>1</v>
      </c>
      <c r="BF182" s="23">
        <f>Tabla44[[#This Row],[VALOR ATENCIÓN (8 MESES)]]-Tabla44[[#This Row],[VALOR TOTAL]]</f>
        <v>0</v>
      </c>
      <c r="BG182" s="12" t="b">
        <f>EXACT(Tabla44[[#This Row],[TOTAL DESEMBOLSOS]],Tabla44[[#This Row],[VALOR TOTAL DEL CONTRATO INCLUIDO EL COMPONENTE DE ALIMENTACIÓN]])</f>
        <v>1</v>
      </c>
      <c r="BH182" s="29">
        <f>Tabla44[[#This Row],[TOTAL DESEMBOLSOS]]-Tabla44[[#This Row],[VALOR TOTAL DEL CONTRATO INCLUIDO EL COMPONENTE DE ALIMENTACIÓN]]</f>
        <v>0</v>
      </c>
      <c r="BI182" t="s">
        <v>98</v>
      </c>
    </row>
    <row r="183" spans="1:61">
      <c r="A183" s="13">
        <v>1963</v>
      </c>
      <c r="B183" s="13"/>
      <c r="C183" s="12" t="s">
        <v>87</v>
      </c>
      <c r="D183" s="12" t="s">
        <v>651</v>
      </c>
      <c r="E183" s="12" t="s">
        <v>3165</v>
      </c>
      <c r="F183" s="12" t="s">
        <v>21</v>
      </c>
      <c r="G183" s="12" t="s">
        <v>90</v>
      </c>
      <c r="H183" s="12" t="s">
        <v>2889</v>
      </c>
      <c r="I183" s="36">
        <v>58611153474</v>
      </c>
      <c r="J183" s="12" t="s">
        <v>3170</v>
      </c>
      <c r="K183" s="12">
        <v>1</v>
      </c>
      <c r="L183" s="12">
        <v>9</v>
      </c>
      <c r="M183" s="12"/>
      <c r="N183" s="13">
        <v>1963</v>
      </c>
      <c r="O183" s="12" t="s">
        <v>2850</v>
      </c>
      <c r="P183" s="12"/>
      <c r="Q183" s="12"/>
      <c r="R183" s="12" t="s">
        <v>94</v>
      </c>
      <c r="S183" s="12">
        <v>10</v>
      </c>
      <c r="T183" s="12">
        <v>811008215</v>
      </c>
      <c r="U183" s="12" t="s">
        <v>3112</v>
      </c>
      <c r="V183" s="12">
        <f>VLOOKUP(Tabla44[[#This Row],[ZONA DEFINITIVO]],[1]Hoja1!$A$1:$D$125,3,0)</f>
        <v>229937</v>
      </c>
      <c r="W183" s="12">
        <f>VLOOKUP(Tabla44[[#This Row],[ZONA DEFINITIVO]],[1]Hoja1!$A$1:$D$125,2,0)</f>
        <v>17256</v>
      </c>
      <c r="X183" s="12">
        <f>VLOOKUP(Tabla44[[#This Row],[ZONA DEFINITIVO]],[1]Hoja1!$A$1:$D$125,4,0)</f>
        <v>104525</v>
      </c>
      <c r="Y183" s="12" t="str">
        <f>+IF(Tabla44[[#This Row],[AGRUPACIONES]]=1,SUMIFS(Tabla44[UDS],Tabla44[ZONA DEFINITIVO],Tabla44[[#This Row],[ZONA DEFINITIVO]])," ")</f>
        <v xml:space="preserve"> </v>
      </c>
      <c r="Z183" s="12" t="str">
        <f>+IF(Tabla44[[#This Row],[AGRUPACIONES]]=1,SUMIFS(Tabla44[TOTAL COBERTURA],Tabla44[ZONA DEFINITIVO],Tabla44[[#This Row],[ZONA DEFINITIVO]])," ")</f>
        <v xml:space="preserve"> </v>
      </c>
      <c r="AA183" s="12"/>
      <c r="AB183" s="35">
        <v>13673745</v>
      </c>
      <c r="AC183" s="37">
        <v>0</v>
      </c>
      <c r="AD183" s="35">
        <f t="shared" si="3"/>
        <v>0</v>
      </c>
      <c r="AE183" s="12"/>
      <c r="AF183" s="12">
        <f>COUNTIF($A$20:A183,A183)</f>
        <v>31</v>
      </c>
      <c r="AG183" s="38">
        <v>13673745</v>
      </c>
      <c r="AH183" s="38">
        <f>Tabla44[[#This Row],[VALOR CONTRAPARTIDA]]+Tabla44[[#This Row],[TOTAL APORTES ICBF]]</f>
        <v>13673745</v>
      </c>
      <c r="AI183" s="35" t="str">
        <f>+IF(Tabla44[[#This Row],[AGRUPACIONES]]=1,SUMIFS(Tabla44[TOTAL APORTES ICBF],Tabla44[ZONA DEFINITIVO],Tabla44[[#This Row],[ZONA DEFINITIVO]])," ")</f>
        <v xml:space="preserve"> </v>
      </c>
      <c r="AJ183" s="38"/>
      <c r="AK183" s="38"/>
      <c r="AL183" s="35"/>
      <c r="AM183" s="35">
        <f>VLOOKUP(Tabla44[[#This Row],[SERVICIO 2025]],$J$2:$V$15,5,0)*Tabla44[[#This Row],[TOTAL COBERTURA]]</f>
        <v>420696</v>
      </c>
      <c r="AN183" s="35">
        <f>VLOOKUP(Tabla44[[#This Row],[SERVICIO 2025]],$J$2:$V$15,6,0)*Tabla44[[#This Row],[TOTAL COBERTURA]]</f>
        <v>340569</v>
      </c>
      <c r="AO183" s="35">
        <f>VLOOKUP(Tabla44[[#This Row],[SERVICIO 2025]],$J$2:$V$15,8,0)*Tabla44[[#This Row],[TOTAL COBERTURA]]</f>
        <v>0</v>
      </c>
      <c r="AP183" s="35">
        <f>VLOOKUP(Tabla44[[#This Row],[SERVICIO 2025]],$J$2:$V$15,3,0)*Tabla44[[#This Row],[TOTAL COBERTURA]]*8</f>
        <v>12912480</v>
      </c>
      <c r="AQ183" s="35"/>
      <c r="AR183" s="35">
        <f>SUM(Tabla44[[#This Row],[VALOR FASE PREPARATORIA DE ALISTAMIENTO]:[VALOR RACION PREPARADA]])</f>
        <v>13673745</v>
      </c>
      <c r="AS183" s="35" t="str">
        <f>+IF(Tabla44[[#This Row],[AGRUPACIONES]]=1,SUMIFS(Tabla44[VALOR TOTAL],Tabla44[ZONA DEFINITIVO],Tabla44[[#This Row],[ZONA DEFINITIVO]])," ")</f>
        <v xml:space="preserve"> </v>
      </c>
      <c r="AT183" s="35">
        <f>VLOOKUP(Tabla44[[#This Row],[SERVICIO 2025]],$J$2:$V$15,10,0)*Tabla44[[#This Row],[TOTAL COBERTURA]]*$X$7</f>
        <v>13559112</v>
      </c>
      <c r="AU183" s="39">
        <f>Tabla44[[#This Row],[TOTAL CONTRATO (ICBF+EAS)]]+Tabla44[[#This Row],[VALOR COMPONENTE ALIMENTACION NO ASIGNADO]]</f>
        <v>27232857</v>
      </c>
      <c r="AV18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3729645</v>
      </c>
      <c r="AW183" s="35">
        <f>(VLOOKUP(Tabla44[[#This Row],[SERVICIO 2025]],$J$2:$V$15,3,0)*Tabla44[[#This Row],[TOTAL COBERTURA]])+VLOOKUP(Tabla44[[#This Row],[SERVICIO 2025]],$J$2:$V$15,10,0)*Tabla44[[#This Row],[TOTAL COBERTURA]]</f>
        <v>3308949</v>
      </c>
      <c r="AX183" s="35">
        <f>(VLOOKUP(Tabla44[[#This Row],[SERVICIO 2025]],$J$2:$V$15,3,0)*Tabla44[[#This Row],[TOTAL COBERTURA]])+VLOOKUP(Tabla44[[#This Row],[SERVICIO 2025]],$J$2:$V$15,10,0)*Tabla44[[#This Row],[TOTAL COBERTURA]]</f>
        <v>3308949</v>
      </c>
      <c r="AY183" s="35">
        <f>(VLOOKUP(Tabla44[[#This Row],[SERVICIO 2025]],$J$2:$V$15,3,0)*Tabla44[[#This Row],[TOTAL COBERTURA]])+VLOOKUP(Tabla44[[#This Row],[SERVICIO 2025]],$J$2:$V$15,10,0)*Tabla44[[#This Row],[TOTAL COBERTURA]]</f>
        <v>3308949</v>
      </c>
      <c r="AZ183" s="35">
        <f>(VLOOKUP(Tabla44[[#This Row],[SERVICIO 2025]],$J$2:$V$15,3,0)*Tabla44[[#This Row],[TOTAL COBERTURA]])+VLOOKUP(Tabla44[[#This Row],[SERVICIO 2025]],$J$2:$V$15,10,0)*Tabla44[[#This Row],[TOTAL COBERTURA]]</f>
        <v>3308949</v>
      </c>
      <c r="BA183" s="35">
        <f>(VLOOKUP(Tabla44[[#This Row],[SERVICIO 2025]],$J$2:$V$15,3,0)*Tabla44[[#This Row],[TOTAL COBERTURA]])+VLOOKUP(Tabla44[[#This Row],[SERVICIO 2025]],$J$2:$V$15,10,0)*Tabla44[[#This Row],[TOTAL COBERTURA]]</f>
        <v>3308949</v>
      </c>
      <c r="BB183" s="35">
        <f>(VLOOKUP(Tabla44[[#This Row],[SERVICIO 2025]],$J$2:$V$15,3,0)*Tabla44[[#This Row],[TOTAL COBERTURA]])+VLOOKUP(Tabla44[[#This Row],[SERVICIO 2025]],$J$2:$V$15,10,0)*Tabla44[[#This Row],[TOTAL COBERTURA]]</f>
        <v>3308949</v>
      </c>
      <c r="BC18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3649518</v>
      </c>
      <c r="BD183" s="35">
        <f>SUM(Tabla44[[#This Row],[DESEMBOLSO 1]:[DESEMBOLSO 8]])</f>
        <v>27232857</v>
      </c>
      <c r="BE183" s="12" t="b">
        <f>EXACT(Tabla44[[#This Row],[VALOR ATENCIÓN (8 MESES)]],Tabla44[[#This Row],[VALOR TOTAL]])</f>
        <v>1</v>
      </c>
      <c r="BF183" s="23">
        <f>Tabla44[[#This Row],[VALOR ATENCIÓN (8 MESES)]]-Tabla44[[#This Row],[VALOR TOTAL]]</f>
        <v>0</v>
      </c>
      <c r="BG183" s="12" t="b">
        <f>EXACT(Tabla44[[#This Row],[TOTAL DESEMBOLSOS]],Tabla44[[#This Row],[VALOR TOTAL DEL CONTRATO INCLUIDO EL COMPONENTE DE ALIMENTACIÓN]])</f>
        <v>1</v>
      </c>
      <c r="BH183" s="29">
        <f>Tabla44[[#This Row],[TOTAL DESEMBOLSOS]]-Tabla44[[#This Row],[VALOR TOTAL DEL CONTRATO INCLUIDO EL COMPONENTE DE ALIMENTACIÓN]]</f>
        <v>0</v>
      </c>
      <c r="BI183" t="s">
        <v>98</v>
      </c>
    </row>
    <row r="184" spans="1:61">
      <c r="A184" s="21">
        <v>1963</v>
      </c>
      <c r="B184" s="21"/>
      <c r="C184" s="22" t="s">
        <v>87</v>
      </c>
      <c r="D184" s="22" t="s">
        <v>651</v>
      </c>
      <c r="E184" s="22" t="s">
        <v>3165</v>
      </c>
      <c r="F184" s="22" t="s">
        <v>21</v>
      </c>
      <c r="G184" s="12" t="s">
        <v>90</v>
      </c>
      <c r="H184" s="22" t="s">
        <v>3171</v>
      </c>
      <c r="I184" s="36">
        <v>586100022762</v>
      </c>
      <c r="J184" s="22" t="s">
        <v>3172</v>
      </c>
      <c r="K184" s="12">
        <v>1</v>
      </c>
      <c r="L184" s="22">
        <v>19</v>
      </c>
      <c r="M184" s="22"/>
      <c r="N184" s="21">
        <v>1963</v>
      </c>
      <c r="O184" s="22" t="s">
        <v>2850</v>
      </c>
      <c r="P184" s="22"/>
      <c r="Q184" s="22"/>
      <c r="R184" s="12" t="s">
        <v>94</v>
      </c>
      <c r="S184" s="12">
        <v>10</v>
      </c>
      <c r="T184" s="12">
        <v>811008215</v>
      </c>
      <c r="U184" s="12" t="s">
        <v>3112</v>
      </c>
      <c r="V184" s="22">
        <f>VLOOKUP(Tabla44[[#This Row],[ZONA DEFINITIVO]],[1]Hoja1!$A$1:$D$125,3,0)</f>
        <v>229937</v>
      </c>
      <c r="W184" s="22">
        <f>VLOOKUP(Tabla44[[#This Row],[ZONA DEFINITIVO]],[1]Hoja1!$A$1:$D$125,2,0)</f>
        <v>17256</v>
      </c>
      <c r="X184" s="22">
        <f>VLOOKUP(Tabla44[[#This Row],[ZONA DEFINITIVO]],[1]Hoja1!$A$1:$D$125,4,0)</f>
        <v>104525</v>
      </c>
      <c r="Y184" s="22" t="str">
        <f>+IF(Tabla44[[#This Row],[AGRUPACIONES]]=1,SUMIFS(Tabla44[UDS],Tabla44[ZONA DEFINITIVO],Tabla44[[#This Row],[ZONA DEFINITIVO]])," ")</f>
        <v xml:space="preserve"> </v>
      </c>
      <c r="Z184" s="22" t="str">
        <f>+IF(Tabla44[[#This Row],[AGRUPACIONES]]=1,SUMIFS(Tabla44[TOTAL COBERTURA],Tabla44[ZONA DEFINITIVO],Tabla44[[#This Row],[ZONA DEFINITIVO]])," ")</f>
        <v xml:space="preserve"> </v>
      </c>
      <c r="AA184" s="22"/>
      <c r="AB184" s="40">
        <v>28866795</v>
      </c>
      <c r="AC184" s="37">
        <v>0</v>
      </c>
      <c r="AD184" s="40">
        <f t="shared" si="3"/>
        <v>0</v>
      </c>
      <c r="AE184" s="22"/>
      <c r="AF184" s="12">
        <f>COUNTIF($A$20:A184,A184)</f>
        <v>32</v>
      </c>
      <c r="AG184" s="41">
        <v>28866795</v>
      </c>
      <c r="AH184" s="41">
        <f>Tabla44[[#This Row],[VALOR CONTRAPARTIDA]]+Tabla44[[#This Row],[TOTAL APORTES ICBF]]</f>
        <v>28866795</v>
      </c>
      <c r="AI184" s="40" t="str">
        <f>+IF(Tabla44[[#This Row],[AGRUPACIONES]]=1,SUMIFS(Tabla44[TOTAL APORTES ICBF],Tabla44[ZONA DEFINITIVO],Tabla44[[#This Row],[ZONA DEFINITIVO]])," ")</f>
        <v xml:space="preserve"> </v>
      </c>
      <c r="AJ184" s="41"/>
      <c r="AK184" s="41"/>
      <c r="AL184" s="40"/>
      <c r="AM184" s="40">
        <f>VLOOKUP(Tabla44[[#This Row],[SERVICIO 2025]],$J$2:$V$15,5,0)*Tabla44[[#This Row],[TOTAL COBERTURA]]</f>
        <v>888136</v>
      </c>
      <c r="AN184" s="40">
        <f>VLOOKUP(Tabla44[[#This Row],[SERVICIO 2025]],$J$2:$V$15,6,0)*Tabla44[[#This Row],[TOTAL COBERTURA]]</f>
        <v>718979</v>
      </c>
      <c r="AO184" s="40">
        <f>VLOOKUP(Tabla44[[#This Row],[SERVICIO 2025]],$J$2:$V$15,8,0)*Tabla44[[#This Row],[TOTAL COBERTURA]]</f>
        <v>0</v>
      </c>
      <c r="AP184" s="40">
        <f>VLOOKUP(Tabla44[[#This Row],[SERVICIO 2025]],$J$2:$V$15,3,0)*Tabla44[[#This Row],[TOTAL COBERTURA]]*8</f>
        <v>27259680</v>
      </c>
      <c r="AQ184" s="40"/>
      <c r="AR184" s="40">
        <f>SUM(Tabla44[[#This Row],[VALOR FASE PREPARATORIA DE ALISTAMIENTO]:[VALOR RACION PREPARADA]])</f>
        <v>28866795</v>
      </c>
      <c r="AS184" s="40" t="str">
        <f>+IF(Tabla44[[#This Row],[AGRUPACIONES]]=1,SUMIFS(Tabla44[VALOR TOTAL],Tabla44[ZONA DEFINITIVO],Tabla44[[#This Row],[ZONA DEFINITIVO]])," ")</f>
        <v xml:space="preserve"> </v>
      </c>
      <c r="AT184" s="35">
        <f>VLOOKUP(Tabla44[[#This Row],[SERVICIO 2025]],$J$2:$V$15,10,0)*Tabla44[[#This Row],[TOTAL COBERTURA]]*$X$7</f>
        <v>28624792</v>
      </c>
      <c r="AU184" s="42">
        <f>Tabla44[[#This Row],[TOTAL CONTRATO (ICBF+EAS)]]+Tabla44[[#This Row],[VALOR COMPONENTE ALIMENTACION NO ASIGNADO]]</f>
        <v>57491587</v>
      </c>
      <c r="AV18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7873695</v>
      </c>
      <c r="AW184" s="35">
        <f>(VLOOKUP(Tabla44[[#This Row],[SERVICIO 2025]],$J$2:$V$15,3,0)*Tabla44[[#This Row],[TOTAL COBERTURA]])+VLOOKUP(Tabla44[[#This Row],[SERVICIO 2025]],$J$2:$V$15,10,0)*Tabla44[[#This Row],[TOTAL COBERTURA]]</f>
        <v>6985559</v>
      </c>
      <c r="AX184" s="40">
        <f>(VLOOKUP(Tabla44[[#This Row],[SERVICIO 2025]],$J$2:$V$15,3,0)*Tabla44[[#This Row],[TOTAL COBERTURA]])+VLOOKUP(Tabla44[[#This Row],[SERVICIO 2025]],$J$2:$V$15,10,0)*Tabla44[[#This Row],[TOTAL COBERTURA]]</f>
        <v>6985559</v>
      </c>
      <c r="AY184" s="40">
        <f>(VLOOKUP(Tabla44[[#This Row],[SERVICIO 2025]],$J$2:$V$15,3,0)*Tabla44[[#This Row],[TOTAL COBERTURA]])+VLOOKUP(Tabla44[[#This Row],[SERVICIO 2025]],$J$2:$V$15,10,0)*Tabla44[[#This Row],[TOTAL COBERTURA]]</f>
        <v>6985559</v>
      </c>
      <c r="AZ184" s="40">
        <f>(VLOOKUP(Tabla44[[#This Row],[SERVICIO 2025]],$J$2:$V$15,3,0)*Tabla44[[#This Row],[TOTAL COBERTURA]])+VLOOKUP(Tabla44[[#This Row],[SERVICIO 2025]],$J$2:$V$15,10,0)*Tabla44[[#This Row],[TOTAL COBERTURA]]</f>
        <v>6985559</v>
      </c>
      <c r="BA184" s="40">
        <f>(VLOOKUP(Tabla44[[#This Row],[SERVICIO 2025]],$J$2:$V$15,3,0)*Tabla44[[#This Row],[TOTAL COBERTURA]])+VLOOKUP(Tabla44[[#This Row],[SERVICIO 2025]],$J$2:$V$15,10,0)*Tabla44[[#This Row],[TOTAL COBERTURA]]</f>
        <v>6985559</v>
      </c>
      <c r="BB184" s="40">
        <f>(VLOOKUP(Tabla44[[#This Row],[SERVICIO 2025]],$J$2:$V$15,3,0)*Tabla44[[#This Row],[TOTAL COBERTURA]])+VLOOKUP(Tabla44[[#This Row],[SERVICIO 2025]],$J$2:$V$15,10,0)*Tabla44[[#This Row],[TOTAL COBERTURA]]</f>
        <v>6985559</v>
      </c>
      <c r="BC184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7704538</v>
      </c>
      <c r="BD184" s="40">
        <f>SUM(Tabla44[[#This Row],[DESEMBOLSO 1]:[DESEMBOLSO 8]])</f>
        <v>57491587</v>
      </c>
      <c r="BE184" s="22" t="b">
        <f>EXACT(Tabla44[[#This Row],[VALOR ATENCIÓN (8 MESES)]],Tabla44[[#This Row],[VALOR TOTAL]])</f>
        <v>1</v>
      </c>
      <c r="BF184" s="28">
        <f>Tabla44[[#This Row],[VALOR ATENCIÓN (8 MESES)]]-Tabla44[[#This Row],[VALOR TOTAL]]</f>
        <v>0</v>
      </c>
      <c r="BG184" s="22" t="b">
        <f>EXACT(Tabla44[[#This Row],[TOTAL DESEMBOLSOS]],Tabla44[[#This Row],[VALOR TOTAL DEL CONTRATO INCLUIDO EL COMPONENTE DE ALIMENTACIÓN]])</f>
        <v>1</v>
      </c>
      <c r="BH184" s="29">
        <f>Tabla44[[#This Row],[TOTAL DESEMBOLSOS]]-Tabla44[[#This Row],[VALOR TOTAL DEL CONTRATO INCLUIDO EL COMPONENTE DE ALIMENTACIÓN]]</f>
        <v>0</v>
      </c>
      <c r="BI184" t="s">
        <v>98</v>
      </c>
    </row>
    <row r="185" spans="1:61">
      <c r="A185" s="13">
        <v>1963</v>
      </c>
      <c r="B185" s="13"/>
      <c r="C185" s="12" t="s">
        <v>87</v>
      </c>
      <c r="D185" s="12" t="s">
        <v>651</v>
      </c>
      <c r="E185" s="12" t="s">
        <v>3165</v>
      </c>
      <c r="F185" s="12" t="s">
        <v>15</v>
      </c>
      <c r="G185" s="12" t="s">
        <v>90</v>
      </c>
      <c r="H185" s="12" t="s">
        <v>3173</v>
      </c>
      <c r="I185" s="36">
        <v>586100049425</v>
      </c>
      <c r="J185" s="12" t="s">
        <v>3174</v>
      </c>
      <c r="K185" s="12">
        <v>1</v>
      </c>
      <c r="L185" s="12">
        <v>45</v>
      </c>
      <c r="M185" s="12"/>
      <c r="N185" s="13">
        <v>1963</v>
      </c>
      <c r="O185" s="12" t="s">
        <v>2850</v>
      </c>
      <c r="P185" s="12"/>
      <c r="Q185" s="12"/>
      <c r="R185" s="12" t="s">
        <v>94</v>
      </c>
      <c r="S185" s="12">
        <v>10</v>
      </c>
      <c r="T185" s="12">
        <v>811008215</v>
      </c>
      <c r="U185" s="12" t="s">
        <v>3112</v>
      </c>
      <c r="V185" s="12">
        <f>VLOOKUP(Tabla44[[#This Row],[ZONA DEFINITIVO]],[1]Hoja1!$A$1:$D$125,3,0)</f>
        <v>229937</v>
      </c>
      <c r="W185" s="12">
        <f>VLOOKUP(Tabla44[[#This Row],[ZONA DEFINITIVO]],[1]Hoja1!$A$1:$D$125,2,0)</f>
        <v>17256</v>
      </c>
      <c r="X185" s="12">
        <f>VLOOKUP(Tabla44[[#This Row],[ZONA DEFINITIVO]],[1]Hoja1!$A$1:$D$125,4,0)</f>
        <v>104525</v>
      </c>
      <c r="Y185" s="12" t="str">
        <f>+IF(Tabla44[[#This Row],[AGRUPACIONES]]=1,SUMIFS(Tabla44[UDS],Tabla44[ZONA DEFINITIVO],Tabla44[[#This Row],[ZONA DEFINITIVO]])," ")</f>
        <v xml:space="preserve"> </v>
      </c>
      <c r="Z185" s="12" t="str">
        <f>+IF(Tabla44[[#This Row],[AGRUPACIONES]]=1,SUMIFS(Tabla44[TOTAL COBERTURA],Tabla44[ZONA DEFINITIVO],Tabla44[[#This Row],[ZONA DEFINITIVO]])," ")</f>
        <v xml:space="preserve"> </v>
      </c>
      <c r="AA185" s="12"/>
      <c r="AB185" s="35">
        <v>194823090</v>
      </c>
      <c r="AC185" s="37">
        <v>0</v>
      </c>
      <c r="AD185" s="35">
        <f t="shared" si="3"/>
        <v>0</v>
      </c>
      <c r="AE185" s="12"/>
      <c r="AF185" s="12">
        <f>COUNTIF($A$20:A185,A185)</f>
        <v>33</v>
      </c>
      <c r="AG185" s="38">
        <v>194823090</v>
      </c>
      <c r="AH185" s="38">
        <f>Tabla44[[#This Row],[VALOR CONTRAPARTIDA]]+Tabla44[[#This Row],[TOTAL APORTES ICBF]]</f>
        <v>194823090</v>
      </c>
      <c r="AI185" s="35" t="str">
        <f>+IF(Tabla44[[#This Row],[AGRUPACIONES]]=1,SUMIFS(Tabla44[TOTAL APORTES ICBF],Tabla44[ZONA DEFINITIVO],Tabla44[[#This Row],[ZONA DEFINITIVO]])," ")</f>
        <v xml:space="preserve"> </v>
      </c>
      <c r="AJ185" s="38"/>
      <c r="AK185" s="38"/>
      <c r="AL185" s="35"/>
      <c r="AM185" s="35">
        <f>VLOOKUP(Tabla44[[#This Row],[SERVICIO 2025]],$J$2:$V$15,5,0)*Tabla44[[#This Row],[TOTAL COBERTURA]]</f>
        <v>3966435</v>
      </c>
      <c r="AN185" s="35">
        <f>VLOOKUP(Tabla44[[#This Row],[SERVICIO 2025]],$J$2:$V$15,6,0)*Tabla44[[#This Row],[TOTAL COBERTURA]]</f>
        <v>3376935</v>
      </c>
      <c r="AO185" s="35">
        <f>VLOOKUP(Tabla44[[#This Row],[SERVICIO 2025]],$J$2:$V$15,8,0)*Tabla44[[#This Row],[TOTAL COBERTURA]]</f>
        <v>0</v>
      </c>
      <c r="AP185" s="35">
        <f>VLOOKUP(Tabla44[[#This Row],[SERVICIO 2025]],$J$2:$V$15,3,0)*Tabla44[[#This Row],[TOTAL COBERTURA]]*8</f>
        <v>187479720</v>
      </c>
      <c r="AQ185" s="35"/>
      <c r="AR185" s="35">
        <f>SUM(Tabla44[[#This Row],[VALOR FASE PREPARATORIA DE ALISTAMIENTO]:[VALOR RACION PREPARADA]])</f>
        <v>194823090</v>
      </c>
      <c r="AS185" s="35" t="str">
        <f>+IF(Tabla44[[#This Row],[AGRUPACIONES]]=1,SUMIFS(Tabla44[VALOR TOTAL],Tabla44[ZONA DEFINITIVO],Tabla44[[#This Row],[ZONA DEFINITIVO]])," ")</f>
        <v xml:space="preserve"> </v>
      </c>
      <c r="AT185" s="35">
        <f>VLOOKUP(Tabla44[[#This Row],[SERVICIO 2025]],$J$2:$V$15,10,0)*Tabla44[[#This Row],[TOTAL COBERTURA]]*$X$7</f>
        <v>0</v>
      </c>
      <c r="AU185" s="39">
        <f>Tabla44[[#This Row],[TOTAL CONTRATO (ICBF+EAS)]]+Tabla44[[#This Row],[VALOR COMPONENTE ALIMENTACION NO ASIGNADO]]</f>
        <v>194823090</v>
      </c>
      <c r="AV18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27401400</v>
      </c>
      <c r="AW185" s="35">
        <f>(VLOOKUP(Tabla44[[#This Row],[SERVICIO 2025]],$J$2:$V$15,3,0)*Tabla44[[#This Row],[TOTAL COBERTURA]])+VLOOKUP(Tabla44[[#This Row],[SERVICIO 2025]],$J$2:$V$15,10,0)*Tabla44[[#This Row],[TOTAL COBERTURA]]</f>
        <v>23434965</v>
      </c>
      <c r="AX185" s="35">
        <f>(VLOOKUP(Tabla44[[#This Row],[SERVICIO 2025]],$J$2:$V$15,3,0)*Tabla44[[#This Row],[TOTAL COBERTURA]])+VLOOKUP(Tabla44[[#This Row],[SERVICIO 2025]],$J$2:$V$15,10,0)*Tabla44[[#This Row],[TOTAL COBERTURA]]</f>
        <v>23434965</v>
      </c>
      <c r="AY185" s="35">
        <f>(VLOOKUP(Tabla44[[#This Row],[SERVICIO 2025]],$J$2:$V$15,3,0)*Tabla44[[#This Row],[TOTAL COBERTURA]])+VLOOKUP(Tabla44[[#This Row],[SERVICIO 2025]],$J$2:$V$15,10,0)*Tabla44[[#This Row],[TOTAL COBERTURA]]</f>
        <v>23434965</v>
      </c>
      <c r="AZ185" s="35">
        <f>(VLOOKUP(Tabla44[[#This Row],[SERVICIO 2025]],$J$2:$V$15,3,0)*Tabla44[[#This Row],[TOTAL COBERTURA]])+VLOOKUP(Tabla44[[#This Row],[SERVICIO 2025]],$J$2:$V$15,10,0)*Tabla44[[#This Row],[TOTAL COBERTURA]]</f>
        <v>23434965</v>
      </c>
      <c r="BA185" s="35">
        <f>(VLOOKUP(Tabla44[[#This Row],[SERVICIO 2025]],$J$2:$V$15,3,0)*Tabla44[[#This Row],[TOTAL COBERTURA]])+VLOOKUP(Tabla44[[#This Row],[SERVICIO 2025]],$J$2:$V$15,10,0)*Tabla44[[#This Row],[TOTAL COBERTURA]]</f>
        <v>23434965</v>
      </c>
      <c r="BB185" s="35">
        <f>(VLOOKUP(Tabla44[[#This Row],[SERVICIO 2025]],$J$2:$V$15,3,0)*Tabla44[[#This Row],[TOTAL COBERTURA]])+VLOOKUP(Tabla44[[#This Row],[SERVICIO 2025]],$J$2:$V$15,10,0)*Tabla44[[#This Row],[TOTAL COBERTURA]]</f>
        <v>23434965</v>
      </c>
      <c r="BC18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26811900</v>
      </c>
      <c r="BD185" s="35">
        <f>SUM(Tabla44[[#This Row],[DESEMBOLSO 1]:[DESEMBOLSO 8]])</f>
        <v>194823090</v>
      </c>
      <c r="BE185" s="12" t="b">
        <f>EXACT(Tabla44[[#This Row],[VALOR ATENCIÓN (8 MESES)]],Tabla44[[#This Row],[VALOR TOTAL]])</f>
        <v>1</v>
      </c>
      <c r="BF185" s="23">
        <f>Tabla44[[#This Row],[VALOR ATENCIÓN (8 MESES)]]-Tabla44[[#This Row],[VALOR TOTAL]]</f>
        <v>0</v>
      </c>
      <c r="BG185" s="12" t="b">
        <f>EXACT(Tabla44[[#This Row],[TOTAL DESEMBOLSOS]],Tabla44[[#This Row],[VALOR TOTAL DEL CONTRATO INCLUIDO EL COMPONENTE DE ALIMENTACIÓN]])</f>
        <v>1</v>
      </c>
      <c r="BH185" s="29">
        <f>Tabla44[[#This Row],[TOTAL DESEMBOLSOS]]-Tabla44[[#This Row],[VALOR TOTAL DEL CONTRATO INCLUIDO EL COMPONENTE DE ALIMENTACIÓN]]</f>
        <v>0</v>
      </c>
      <c r="BI185" t="s">
        <v>98</v>
      </c>
    </row>
    <row r="186" spans="1:61">
      <c r="A186" s="13">
        <v>1963</v>
      </c>
      <c r="B186" s="13"/>
      <c r="C186" s="12" t="s">
        <v>87</v>
      </c>
      <c r="D186" s="12" t="s">
        <v>651</v>
      </c>
      <c r="E186" s="12" t="s">
        <v>3175</v>
      </c>
      <c r="F186" s="12" t="s">
        <v>13</v>
      </c>
      <c r="G186" s="12" t="s">
        <v>90</v>
      </c>
      <c r="H186" s="12"/>
      <c r="I186" s="36">
        <v>580900049106</v>
      </c>
      <c r="J186" s="12" t="s">
        <v>3176</v>
      </c>
      <c r="K186" s="12">
        <v>1</v>
      </c>
      <c r="L186" s="12">
        <v>69</v>
      </c>
      <c r="M186" s="12"/>
      <c r="N186" s="13">
        <v>1963</v>
      </c>
      <c r="O186" s="12" t="s">
        <v>2850</v>
      </c>
      <c r="P186" s="12"/>
      <c r="Q186" s="12"/>
      <c r="R186" s="12" t="s">
        <v>94</v>
      </c>
      <c r="S186" s="12">
        <v>10</v>
      </c>
      <c r="T186" s="12">
        <v>811008215</v>
      </c>
      <c r="U186" s="12" t="s">
        <v>3112</v>
      </c>
      <c r="V186" s="12">
        <f>VLOOKUP(Tabla44[[#This Row],[ZONA DEFINITIVO]],[1]Hoja1!$A$1:$D$125,3,0)</f>
        <v>229937</v>
      </c>
      <c r="W186" s="12">
        <f>VLOOKUP(Tabla44[[#This Row],[ZONA DEFINITIVO]],[1]Hoja1!$A$1:$D$125,2,0)</f>
        <v>17256</v>
      </c>
      <c r="X186" s="12">
        <f>VLOOKUP(Tabla44[[#This Row],[ZONA DEFINITIVO]],[1]Hoja1!$A$1:$D$125,4,0)</f>
        <v>104525</v>
      </c>
      <c r="Y186" s="12" t="str">
        <f>+IF(Tabla44[[#This Row],[AGRUPACIONES]]=1,SUMIFS(Tabla44[UDS],Tabla44[ZONA DEFINITIVO],Tabla44[[#This Row],[ZONA DEFINITIVO]])," ")</f>
        <v xml:space="preserve"> </v>
      </c>
      <c r="Z186" s="12" t="str">
        <f>+IF(Tabla44[[#This Row],[AGRUPACIONES]]=1,SUMIFS(Tabla44[TOTAL COBERTURA],Tabla44[ZONA DEFINITIVO],Tabla44[[#This Row],[ZONA DEFINITIVO]])," ")</f>
        <v xml:space="preserve"> </v>
      </c>
      <c r="AA186" s="12"/>
      <c r="AB186" s="35">
        <v>204012714</v>
      </c>
      <c r="AC186" s="37">
        <v>0</v>
      </c>
      <c r="AD186" s="35">
        <f t="shared" si="3"/>
        <v>0</v>
      </c>
      <c r="AE186" s="12"/>
      <c r="AF186" s="12">
        <f>COUNTIF($A$20:A191,A186)</f>
        <v>35</v>
      </c>
      <c r="AG186" s="38">
        <v>204012714</v>
      </c>
      <c r="AH186" s="38">
        <f>Tabla44[[#This Row],[VALOR CONTRAPARTIDA]]+Tabla44[[#This Row],[TOTAL APORTES ICBF]]</f>
        <v>204012714</v>
      </c>
      <c r="AI186" s="35" t="str">
        <f>+IF(Tabla44[[#This Row],[AGRUPACIONES]]=1,SUMIFS(Tabla44[TOTAL APORTES ICBF],Tabla44[ZONA DEFINITIVO],Tabla44[[#This Row],[ZONA DEFINITIVO]])," ")</f>
        <v xml:space="preserve"> </v>
      </c>
      <c r="AJ186" s="38"/>
      <c r="AK186" s="38"/>
      <c r="AL186" s="35"/>
      <c r="AM186" s="35">
        <f>VLOOKUP(Tabla44[[#This Row],[SERVICIO 2025]],$J$2:$V$15,5,0)*Tabla44[[#This Row],[TOTAL COBERTURA]]</f>
        <v>6081867</v>
      </c>
      <c r="AN186" s="35">
        <f>VLOOKUP(Tabla44[[#This Row],[SERVICIO 2025]],$J$2:$V$15,6,0)*Tabla44[[#This Row],[TOTAL COBERTURA]]</f>
        <v>5177967</v>
      </c>
      <c r="AO186" s="35">
        <f>VLOOKUP(Tabla44[[#This Row],[SERVICIO 2025]],$J$2:$V$15,8,0)*Tabla44[[#This Row],[TOTAL COBERTURA]]</f>
        <v>0</v>
      </c>
      <c r="AP186" s="35">
        <f>VLOOKUP(Tabla44[[#This Row],[SERVICIO 2025]],$J$2:$V$15,3,0)*Tabla44[[#This Row],[TOTAL COBERTURA]]*8</f>
        <v>192752880</v>
      </c>
      <c r="AQ186" s="35"/>
      <c r="AR186" s="35">
        <f>SUM(Tabla44[[#This Row],[VALOR FASE PREPARATORIA DE ALISTAMIENTO]:[VALOR RACION PREPARADA]])</f>
        <v>204012714</v>
      </c>
      <c r="AS186" s="35" t="str">
        <f>+IF(Tabla44[[#This Row],[AGRUPACIONES]]=1,SUMIFS(Tabla44[VALOR TOTAL],Tabla44[ZONA DEFINITIVO],Tabla44[[#This Row],[ZONA DEFINITIVO]])," ")</f>
        <v xml:space="preserve"> </v>
      </c>
      <c r="AT186" s="35">
        <f>VLOOKUP(Tabla44[[#This Row],[SERVICIO 2025]],$J$2:$V$15,10,0)*Tabla44[[#This Row],[TOTAL COBERTURA]]*$X$7</f>
        <v>85017936</v>
      </c>
      <c r="AU186" s="39">
        <f>Tabla44[[#This Row],[TOTAL CONTRATO (ICBF+EAS)]]+Tabla44[[#This Row],[VALOR COMPONENTE ALIMENTACION NO ASIGNADO]]</f>
        <v>289030650</v>
      </c>
      <c r="AV18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40803219</v>
      </c>
      <c r="AW186" s="35">
        <f>(VLOOKUP(Tabla44[[#This Row],[SERVICIO 2025]],$J$2:$V$15,3,0)*Tabla44[[#This Row],[TOTAL COBERTURA]])+VLOOKUP(Tabla44[[#This Row],[SERVICIO 2025]],$J$2:$V$15,10,0)*Tabla44[[#This Row],[TOTAL COBERTURA]]</f>
        <v>34721352</v>
      </c>
      <c r="AX186" s="35">
        <f>(VLOOKUP(Tabla44[[#This Row],[SERVICIO 2025]],$J$2:$V$15,3,0)*Tabla44[[#This Row],[TOTAL COBERTURA]])+VLOOKUP(Tabla44[[#This Row],[SERVICIO 2025]],$J$2:$V$15,10,0)*Tabla44[[#This Row],[TOTAL COBERTURA]]</f>
        <v>34721352</v>
      </c>
      <c r="AY186" s="35">
        <f>(VLOOKUP(Tabla44[[#This Row],[SERVICIO 2025]],$J$2:$V$15,3,0)*Tabla44[[#This Row],[TOTAL COBERTURA]])+VLOOKUP(Tabla44[[#This Row],[SERVICIO 2025]],$J$2:$V$15,10,0)*Tabla44[[#This Row],[TOTAL COBERTURA]]</f>
        <v>34721352</v>
      </c>
      <c r="AZ186" s="35">
        <f>(VLOOKUP(Tabla44[[#This Row],[SERVICIO 2025]],$J$2:$V$15,3,0)*Tabla44[[#This Row],[TOTAL COBERTURA]])+VLOOKUP(Tabla44[[#This Row],[SERVICIO 2025]],$J$2:$V$15,10,0)*Tabla44[[#This Row],[TOTAL COBERTURA]]</f>
        <v>34721352</v>
      </c>
      <c r="BA186" s="35">
        <f>(VLOOKUP(Tabla44[[#This Row],[SERVICIO 2025]],$J$2:$V$15,3,0)*Tabla44[[#This Row],[TOTAL COBERTURA]])+VLOOKUP(Tabla44[[#This Row],[SERVICIO 2025]],$J$2:$V$15,10,0)*Tabla44[[#This Row],[TOTAL COBERTURA]]</f>
        <v>34721352</v>
      </c>
      <c r="BB186" s="35">
        <f>(VLOOKUP(Tabla44[[#This Row],[SERVICIO 2025]],$J$2:$V$15,3,0)*Tabla44[[#This Row],[TOTAL COBERTURA]])+VLOOKUP(Tabla44[[#This Row],[SERVICIO 2025]],$J$2:$V$15,10,0)*Tabla44[[#This Row],[TOTAL COBERTURA]]</f>
        <v>34721352</v>
      </c>
      <c r="BC18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39899319</v>
      </c>
      <c r="BD186" s="35">
        <f>SUM(Tabla44[[#This Row],[DESEMBOLSO 1]:[DESEMBOLSO 8]])</f>
        <v>289030650</v>
      </c>
      <c r="BE186" s="12" t="b">
        <f>EXACT(Tabla44[[#This Row],[VALOR ATENCIÓN (8 MESES)]],Tabla44[[#This Row],[VALOR TOTAL]])</f>
        <v>1</v>
      </c>
      <c r="BF186" s="23">
        <f>Tabla44[[#This Row],[VALOR ATENCIÓN (8 MESES)]]-Tabla44[[#This Row],[VALOR TOTAL]]</f>
        <v>0</v>
      </c>
      <c r="BG186" s="12" t="b">
        <f>EXACT(Tabla44[[#This Row],[TOTAL DESEMBOLSOS]],Tabla44[[#This Row],[VALOR TOTAL DEL CONTRATO INCLUIDO EL COMPONENTE DE ALIMENTACIÓN]])</f>
        <v>1</v>
      </c>
      <c r="BH186" s="29">
        <f>Tabla44[[#This Row],[TOTAL DESEMBOLSOS]]-Tabla44[[#This Row],[VALOR TOTAL DEL CONTRATO INCLUIDO EL COMPONENTE DE ALIMENTACIÓN]]</f>
        <v>0</v>
      </c>
      <c r="BI186" t="s">
        <v>98</v>
      </c>
    </row>
    <row r="187" spans="1:61">
      <c r="A187" s="13">
        <v>1963</v>
      </c>
      <c r="B187" s="13"/>
      <c r="C187" s="12" t="s">
        <v>87</v>
      </c>
      <c r="D187" s="12" t="s">
        <v>651</v>
      </c>
      <c r="E187" s="12" t="s">
        <v>3165</v>
      </c>
      <c r="F187" s="12" t="s">
        <v>13</v>
      </c>
      <c r="G187" s="12" t="s">
        <v>90</v>
      </c>
      <c r="H187" s="12"/>
      <c r="I187" s="36">
        <v>586100049454</v>
      </c>
      <c r="J187" s="12" t="s">
        <v>3177</v>
      </c>
      <c r="K187" s="12">
        <v>1</v>
      </c>
      <c r="L187" s="12">
        <v>76</v>
      </c>
      <c r="M187" s="12"/>
      <c r="N187" s="13">
        <v>1963</v>
      </c>
      <c r="O187" s="12" t="s">
        <v>2850</v>
      </c>
      <c r="P187" s="12"/>
      <c r="Q187" s="12"/>
      <c r="R187" s="12" t="s">
        <v>94</v>
      </c>
      <c r="S187" s="12">
        <v>10</v>
      </c>
      <c r="T187" s="12">
        <v>811008215</v>
      </c>
      <c r="U187" s="12" t="s">
        <v>3112</v>
      </c>
      <c r="V187" s="12">
        <f>VLOOKUP(Tabla44[[#This Row],[ZONA DEFINITIVO]],[1]Hoja1!$A$1:$D$125,3,0)</f>
        <v>229937</v>
      </c>
      <c r="W187" s="12">
        <f>VLOOKUP(Tabla44[[#This Row],[ZONA DEFINITIVO]],[1]Hoja1!$A$1:$D$125,2,0)</f>
        <v>17256</v>
      </c>
      <c r="X187" s="12">
        <f>VLOOKUP(Tabla44[[#This Row],[ZONA DEFINITIVO]],[1]Hoja1!$A$1:$D$125,4,0)</f>
        <v>104525</v>
      </c>
      <c r="Y187" s="12" t="str">
        <f>+IF(Tabla44[[#This Row],[AGRUPACIONES]]=1,SUMIFS(Tabla44[UDS],Tabla44[ZONA DEFINITIVO],Tabla44[[#This Row],[ZONA DEFINITIVO]])," ")</f>
        <v xml:space="preserve"> </v>
      </c>
      <c r="Z187" s="12" t="str">
        <f>+IF(Tabla44[[#This Row],[AGRUPACIONES]]=1,SUMIFS(Tabla44[TOTAL COBERTURA],Tabla44[ZONA DEFINITIVO],Tabla44[[#This Row],[ZONA DEFINITIVO]])," ")</f>
        <v xml:space="preserve"> </v>
      </c>
      <c r="AA187" s="12"/>
      <c r="AB187" s="35">
        <v>224709656</v>
      </c>
      <c r="AC187" s="37">
        <v>0</v>
      </c>
      <c r="AD187" s="35">
        <f t="shared" si="3"/>
        <v>0</v>
      </c>
      <c r="AE187" s="12"/>
      <c r="AF187" s="12">
        <f>COUNTIF($A$20:A188,A187)</f>
        <v>35</v>
      </c>
      <c r="AG187" s="38">
        <v>224709656</v>
      </c>
      <c r="AH187" s="38">
        <f>Tabla44[[#This Row],[VALOR CONTRAPARTIDA]]+Tabla44[[#This Row],[TOTAL APORTES ICBF]]</f>
        <v>224709656</v>
      </c>
      <c r="AI187" s="35" t="str">
        <f>+IF(Tabla44[[#This Row],[AGRUPACIONES]]=1,SUMIFS(Tabla44[TOTAL APORTES ICBF],Tabla44[ZONA DEFINITIVO],Tabla44[[#This Row],[ZONA DEFINITIVO]])," ")</f>
        <v xml:space="preserve"> </v>
      </c>
      <c r="AJ187" s="38"/>
      <c r="AK187" s="38"/>
      <c r="AL187" s="35"/>
      <c r="AM187" s="35">
        <f>VLOOKUP(Tabla44[[#This Row],[SERVICIO 2025]],$J$2:$V$15,5,0)*Tabla44[[#This Row],[TOTAL COBERTURA]]</f>
        <v>6698868</v>
      </c>
      <c r="AN187" s="35">
        <f>VLOOKUP(Tabla44[[#This Row],[SERVICIO 2025]],$J$2:$V$15,6,0)*Tabla44[[#This Row],[TOTAL COBERTURA]]</f>
        <v>5703268</v>
      </c>
      <c r="AO187" s="35">
        <f>VLOOKUP(Tabla44[[#This Row],[SERVICIO 2025]],$J$2:$V$15,8,0)*Tabla44[[#This Row],[TOTAL COBERTURA]]</f>
        <v>0</v>
      </c>
      <c r="AP187" s="35">
        <f>VLOOKUP(Tabla44[[#This Row],[SERVICIO 2025]],$J$2:$V$15,3,0)*Tabla44[[#This Row],[TOTAL COBERTURA]]*8</f>
        <v>212307520</v>
      </c>
      <c r="AQ187" s="35"/>
      <c r="AR187" s="35">
        <f>SUM(Tabla44[[#This Row],[VALOR FASE PREPARATORIA DE ALISTAMIENTO]:[VALOR RACION PREPARADA]])</f>
        <v>224709656</v>
      </c>
      <c r="AS187" s="35" t="str">
        <f>+IF(Tabla44[[#This Row],[AGRUPACIONES]]=1,SUMIFS(Tabla44[VALOR TOTAL],Tabla44[ZONA DEFINITIVO],Tabla44[[#This Row],[ZONA DEFINITIVO]])," ")</f>
        <v xml:space="preserve"> </v>
      </c>
      <c r="AT187" s="35">
        <f>VLOOKUP(Tabla44[[#This Row],[SERVICIO 2025]],$J$2:$V$15,10,0)*Tabla44[[#This Row],[TOTAL COBERTURA]]*$X$7</f>
        <v>93642944</v>
      </c>
      <c r="AU187" s="39">
        <f>Tabla44[[#This Row],[TOTAL CONTRATO (ICBF+EAS)]]+Tabla44[[#This Row],[VALOR COMPONENTE ALIMENTACION NO ASIGNADO]]</f>
        <v>318352600</v>
      </c>
      <c r="AV18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44942676</v>
      </c>
      <c r="AW187" s="35">
        <f>(VLOOKUP(Tabla44[[#This Row],[SERVICIO 2025]],$J$2:$V$15,3,0)*Tabla44[[#This Row],[TOTAL COBERTURA]])+VLOOKUP(Tabla44[[#This Row],[SERVICIO 2025]],$J$2:$V$15,10,0)*Tabla44[[#This Row],[TOTAL COBERTURA]]</f>
        <v>38243808</v>
      </c>
      <c r="AX187" s="35">
        <f>(VLOOKUP(Tabla44[[#This Row],[SERVICIO 2025]],$J$2:$V$15,3,0)*Tabla44[[#This Row],[TOTAL COBERTURA]])+VLOOKUP(Tabla44[[#This Row],[SERVICIO 2025]],$J$2:$V$15,10,0)*Tabla44[[#This Row],[TOTAL COBERTURA]]</f>
        <v>38243808</v>
      </c>
      <c r="AY187" s="35">
        <f>(VLOOKUP(Tabla44[[#This Row],[SERVICIO 2025]],$J$2:$V$15,3,0)*Tabla44[[#This Row],[TOTAL COBERTURA]])+VLOOKUP(Tabla44[[#This Row],[SERVICIO 2025]],$J$2:$V$15,10,0)*Tabla44[[#This Row],[TOTAL COBERTURA]]</f>
        <v>38243808</v>
      </c>
      <c r="AZ187" s="35">
        <f>(VLOOKUP(Tabla44[[#This Row],[SERVICIO 2025]],$J$2:$V$15,3,0)*Tabla44[[#This Row],[TOTAL COBERTURA]])+VLOOKUP(Tabla44[[#This Row],[SERVICIO 2025]],$J$2:$V$15,10,0)*Tabla44[[#This Row],[TOTAL COBERTURA]]</f>
        <v>38243808</v>
      </c>
      <c r="BA187" s="35">
        <f>(VLOOKUP(Tabla44[[#This Row],[SERVICIO 2025]],$J$2:$V$15,3,0)*Tabla44[[#This Row],[TOTAL COBERTURA]])+VLOOKUP(Tabla44[[#This Row],[SERVICIO 2025]],$J$2:$V$15,10,0)*Tabla44[[#This Row],[TOTAL COBERTURA]]</f>
        <v>38243808</v>
      </c>
      <c r="BB187" s="35">
        <f>(VLOOKUP(Tabla44[[#This Row],[SERVICIO 2025]],$J$2:$V$15,3,0)*Tabla44[[#This Row],[TOTAL COBERTURA]])+VLOOKUP(Tabla44[[#This Row],[SERVICIO 2025]],$J$2:$V$15,10,0)*Tabla44[[#This Row],[TOTAL COBERTURA]]</f>
        <v>38243808</v>
      </c>
      <c r="BC18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43947076</v>
      </c>
      <c r="BD187" s="35">
        <f>SUM(Tabla44[[#This Row],[DESEMBOLSO 1]:[DESEMBOLSO 8]])</f>
        <v>318352600</v>
      </c>
      <c r="BE187" s="12" t="b">
        <f>EXACT(Tabla44[[#This Row],[VALOR ATENCIÓN (8 MESES)]],Tabla44[[#This Row],[VALOR TOTAL]])</f>
        <v>1</v>
      </c>
      <c r="BF187" s="23">
        <f>Tabla44[[#This Row],[VALOR ATENCIÓN (8 MESES)]]-Tabla44[[#This Row],[VALOR TOTAL]]</f>
        <v>0</v>
      </c>
      <c r="BG187" s="12" t="b">
        <f>EXACT(Tabla44[[#This Row],[TOTAL DESEMBOLSOS]],Tabla44[[#This Row],[VALOR TOTAL DEL CONTRATO INCLUIDO EL COMPONENTE DE ALIMENTACIÓN]])</f>
        <v>1</v>
      </c>
      <c r="BH187" s="29">
        <f>Tabla44[[#This Row],[TOTAL DESEMBOLSOS]]-Tabla44[[#This Row],[VALOR TOTAL DEL CONTRATO INCLUIDO EL COMPONENTE DE ALIMENTACIÓN]]</f>
        <v>0</v>
      </c>
      <c r="BI187" t="s">
        <v>98</v>
      </c>
    </row>
    <row r="188" spans="1:61">
      <c r="A188" s="13">
        <v>1978</v>
      </c>
      <c r="B188" s="13"/>
      <c r="C188" s="12" t="s">
        <v>87</v>
      </c>
      <c r="D188" s="12" t="s">
        <v>482</v>
      </c>
      <c r="E188" s="12" t="s">
        <v>3178</v>
      </c>
      <c r="F188" s="12" t="s">
        <v>23</v>
      </c>
      <c r="G188" s="12" t="s">
        <v>90</v>
      </c>
      <c r="H188" s="12" t="s">
        <v>3179</v>
      </c>
      <c r="I188" s="36">
        <v>557900053859</v>
      </c>
      <c r="J188" s="12" t="s">
        <v>3180</v>
      </c>
      <c r="K188" s="12">
        <v>1</v>
      </c>
      <c r="L188" s="12">
        <v>299</v>
      </c>
      <c r="M188" s="12"/>
      <c r="N188" s="13">
        <v>1978</v>
      </c>
      <c r="O188" s="12" t="s">
        <v>2850</v>
      </c>
      <c r="P188" s="12"/>
      <c r="Q188" s="12"/>
      <c r="R188" s="12" t="s">
        <v>94</v>
      </c>
      <c r="S188" s="12">
        <v>10</v>
      </c>
      <c r="T188" s="12">
        <v>900361649</v>
      </c>
      <c r="U188" s="12" t="s">
        <v>1962</v>
      </c>
      <c r="V188" s="12">
        <f>VLOOKUP(Tabla44[[#This Row],[ZONA DEFINITIVO]],[1]Hoja1!$A$1:$D$125,3,0)</f>
        <v>229938</v>
      </c>
      <c r="W188" s="12">
        <f>VLOOKUP(Tabla44[[#This Row],[ZONA DEFINITIVO]],[1]Hoja1!$A$1:$D$125,2,0)</f>
        <v>17253</v>
      </c>
      <c r="X188" s="12">
        <f>VLOOKUP(Tabla44[[#This Row],[ZONA DEFINITIVO]],[1]Hoja1!$A$1:$D$125,4,0)</f>
        <v>104225</v>
      </c>
      <c r="Y188" s="12">
        <f>+IF(Tabla44[[#This Row],[AGRUPACIONES]]=1,SUMIFS(Tabla44[UDS],Tabla44[ZONA DEFINITIVO],Tabla44[[#This Row],[ZONA DEFINITIVO]])," ")</f>
        <v>1</v>
      </c>
      <c r="Z188" s="12">
        <f>+IF(Tabla44[[#This Row],[AGRUPACIONES]]=1,SUMIFS(Tabla44[TOTAL COBERTURA],Tabla44[ZONA DEFINITIVO],Tabla44[[#This Row],[ZONA DEFINITIVO]])," ")</f>
        <v>299</v>
      </c>
      <c r="AA188" s="12"/>
      <c r="AB188" s="35">
        <v>884055094</v>
      </c>
      <c r="AC188" s="37">
        <v>0</v>
      </c>
      <c r="AD188" s="35">
        <f t="shared" si="3"/>
        <v>0</v>
      </c>
      <c r="AE188" s="12"/>
      <c r="AF188" s="12">
        <f>COUNTIF($A$20:A188,A188)</f>
        <v>1</v>
      </c>
      <c r="AG188" s="38">
        <v>884055094</v>
      </c>
      <c r="AH188" s="38">
        <f>Tabla44[[#This Row],[VALOR CONTRAPARTIDA]]+Tabla44[[#This Row],[TOTAL APORTES ICBF]]</f>
        <v>884055094</v>
      </c>
      <c r="AI188" s="35">
        <f>+IF(Tabla44[[#This Row],[AGRUPACIONES]]=1,SUMIFS(Tabla44[TOTAL APORTES ICBF],Tabla44[ZONA DEFINITIVO],Tabla44[[#This Row],[ZONA DEFINITIVO]])," ")</f>
        <v>884055094</v>
      </c>
      <c r="AJ188" s="38">
        <f>ROUND(+IF(Tabla44[[#This Row],[AGRUPACIONES]]=1,SUMIFS(Tabla44[VALOR CONTRAPARTIDA],Tabla44[ZONA DEFINITIVO],Tabla44[[#This Row],[ZONA DEFINITIVO]])," "),0)</f>
        <v>0</v>
      </c>
      <c r="AK188" s="38">
        <f>Tabla44[[#This Row],[TOTAL APORTES ICBF AGRUPADO]]+Tabla44[[#This Row],[TOTAL CONTRAPARTIDA AGRUPADO]]</f>
        <v>884055094</v>
      </c>
      <c r="AL188" s="35">
        <f>Tabla44[[#This Row],[TOTAL APORTES ICBF AGRUPADO]]/$AL$18</f>
        <v>621.04326940639271</v>
      </c>
      <c r="AM188" s="35">
        <f>VLOOKUP(Tabla44[[#This Row],[SERVICIO 2025]],$J$2:$V$15,5,0)*Tabla44[[#This Row],[TOTAL COBERTURA]]</f>
        <v>26354757</v>
      </c>
      <c r="AN188" s="35">
        <f>VLOOKUP(Tabla44[[#This Row],[SERVICIO 2025]],$J$2:$V$15,6,0)*Tabla44[[#This Row],[TOTAL COBERTURA]]</f>
        <v>22437857</v>
      </c>
      <c r="AO188" s="35">
        <f>VLOOKUP(Tabla44[[#This Row],[SERVICIO 2025]],$J$2:$V$15,8,0)*Tabla44[[#This Row],[TOTAL COBERTURA]]</f>
        <v>0</v>
      </c>
      <c r="AP188" s="35">
        <f>VLOOKUP(Tabla44[[#This Row],[SERVICIO 2025]],$J$2:$V$15,3,0)*Tabla44[[#This Row],[TOTAL COBERTURA]]*8</f>
        <v>835262480</v>
      </c>
      <c r="AQ188" s="35"/>
      <c r="AR188" s="35">
        <f>SUM(Tabla44[[#This Row],[VALOR FASE PREPARATORIA DE ALISTAMIENTO]:[VALOR RACION PREPARADA]])</f>
        <v>884055094</v>
      </c>
      <c r="AS188" s="35">
        <f>+IF(Tabla44[[#This Row],[AGRUPACIONES]]=1,SUMIFS(Tabla44[VALOR TOTAL],Tabla44[ZONA DEFINITIVO],Tabla44[[#This Row],[ZONA DEFINITIVO]])," ")</f>
        <v>884055094</v>
      </c>
      <c r="AT188" s="35">
        <f>VLOOKUP(Tabla44[[#This Row],[SERVICIO 2025]],$J$2:$V$15,10,0)*Tabla44[[#This Row],[TOTAL COBERTURA]]*$X$7</f>
        <v>368411056</v>
      </c>
      <c r="AU188" s="39">
        <f>Tabla44[[#This Row],[TOTAL CONTRATO (ICBF+EAS)]]+Tabla44[[#This Row],[VALOR COMPONENTE ALIMENTACION NO ASIGNADO]]</f>
        <v>1252466150</v>
      </c>
      <c r="AV18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176813949</v>
      </c>
      <c r="AW188" s="35">
        <f>(VLOOKUP(Tabla44[[#This Row],[SERVICIO 2025]],$J$2:$V$15,3,0)*Tabla44[[#This Row],[TOTAL COBERTURA]])+VLOOKUP(Tabla44[[#This Row],[SERVICIO 2025]],$J$2:$V$15,10,0)*Tabla44[[#This Row],[TOTAL COBERTURA]]</f>
        <v>150459192</v>
      </c>
      <c r="AX188" s="35">
        <f>(VLOOKUP(Tabla44[[#This Row],[SERVICIO 2025]],$J$2:$V$15,3,0)*Tabla44[[#This Row],[TOTAL COBERTURA]])+VLOOKUP(Tabla44[[#This Row],[SERVICIO 2025]],$J$2:$V$15,10,0)*Tabla44[[#This Row],[TOTAL COBERTURA]]</f>
        <v>150459192</v>
      </c>
      <c r="AY188" s="35">
        <f>(VLOOKUP(Tabla44[[#This Row],[SERVICIO 2025]],$J$2:$V$15,3,0)*Tabla44[[#This Row],[TOTAL COBERTURA]])+VLOOKUP(Tabla44[[#This Row],[SERVICIO 2025]],$J$2:$V$15,10,0)*Tabla44[[#This Row],[TOTAL COBERTURA]]</f>
        <v>150459192</v>
      </c>
      <c r="AZ188" s="35">
        <f>(VLOOKUP(Tabla44[[#This Row],[SERVICIO 2025]],$J$2:$V$15,3,0)*Tabla44[[#This Row],[TOTAL COBERTURA]])+VLOOKUP(Tabla44[[#This Row],[SERVICIO 2025]],$J$2:$V$15,10,0)*Tabla44[[#This Row],[TOTAL COBERTURA]]</f>
        <v>150459192</v>
      </c>
      <c r="BA188" s="35">
        <f>(VLOOKUP(Tabla44[[#This Row],[SERVICIO 2025]],$J$2:$V$15,3,0)*Tabla44[[#This Row],[TOTAL COBERTURA]])+VLOOKUP(Tabla44[[#This Row],[SERVICIO 2025]],$J$2:$V$15,10,0)*Tabla44[[#This Row],[TOTAL COBERTURA]]</f>
        <v>150459192</v>
      </c>
      <c r="BB188" s="35">
        <f>(VLOOKUP(Tabla44[[#This Row],[SERVICIO 2025]],$J$2:$V$15,3,0)*Tabla44[[#This Row],[TOTAL COBERTURA]])+VLOOKUP(Tabla44[[#This Row],[SERVICIO 2025]],$J$2:$V$15,10,0)*Tabla44[[#This Row],[TOTAL COBERTURA]]</f>
        <v>150459192</v>
      </c>
      <c r="BC18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172897049</v>
      </c>
      <c r="BD188" s="35">
        <f>SUM(Tabla44[[#This Row],[DESEMBOLSO 1]:[DESEMBOLSO 8]])</f>
        <v>1252466150</v>
      </c>
      <c r="BE188" s="12" t="b">
        <f>EXACT(Tabla44[[#This Row],[VALOR ATENCIÓN (8 MESES)]],Tabla44[[#This Row],[VALOR TOTAL]])</f>
        <v>1</v>
      </c>
      <c r="BF188" s="23">
        <f>Tabla44[[#This Row],[VALOR ATENCIÓN (8 MESES)]]-Tabla44[[#This Row],[VALOR TOTAL]]</f>
        <v>0</v>
      </c>
      <c r="BG188" s="12" t="b">
        <f>EXACT(Tabla44[[#This Row],[TOTAL DESEMBOLSOS]],Tabla44[[#This Row],[VALOR TOTAL DEL CONTRATO INCLUIDO EL COMPONENTE DE ALIMENTACIÓN]])</f>
        <v>1</v>
      </c>
      <c r="BH188" s="29">
        <f>Tabla44[[#This Row],[TOTAL DESEMBOLSOS]]-Tabla44[[#This Row],[VALOR TOTAL DEL CONTRATO INCLUIDO EL COMPONENTE DE ALIMENTACIÓN]]</f>
        <v>0</v>
      </c>
      <c r="BI188" t="s">
        <v>98</v>
      </c>
    </row>
    <row r="189" spans="1:61">
      <c r="A189" s="13">
        <v>1992</v>
      </c>
      <c r="B189" s="13"/>
      <c r="C189" s="12" t="s">
        <v>87</v>
      </c>
      <c r="D189" s="12" t="s">
        <v>1534</v>
      </c>
      <c r="E189" s="12" t="s">
        <v>3181</v>
      </c>
      <c r="F189" s="12" t="s">
        <v>18</v>
      </c>
      <c r="G189" s="12" t="s">
        <v>90</v>
      </c>
      <c r="H189" s="12" t="s">
        <v>3182</v>
      </c>
      <c r="I189" s="36">
        <v>50441153015</v>
      </c>
      <c r="J189" s="12" t="s">
        <v>3183</v>
      </c>
      <c r="K189" s="12">
        <v>1</v>
      </c>
      <c r="L189" s="12">
        <v>23</v>
      </c>
      <c r="M189" s="12"/>
      <c r="N189" s="13">
        <v>1992</v>
      </c>
      <c r="O189" s="12" t="s">
        <v>2850</v>
      </c>
      <c r="P189" s="12"/>
      <c r="Q189" s="12"/>
      <c r="R189" s="12" t="s">
        <v>94</v>
      </c>
      <c r="S189" s="12">
        <v>10</v>
      </c>
      <c r="T189" s="12">
        <v>900325081</v>
      </c>
      <c r="U189" s="12" t="s">
        <v>167</v>
      </c>
      <c r="V189" s="12">
        <f>VLOOKUP(Tabla44[[#This Row],[ZONA DEFINITIVO]],[1]Hoja1!$A$1:$D$125,3,0)</f>
        <v>229939</v>
      </c>
      <c r="W189" s="12">
        <f>VLOOKUP(Tabla44[[#This Row],[ZONA DEFINITIVO]],[1]Hoja1!$A$1:$D$125,2,0)</f>
        <v>17257</v>
      </c>
      <c r="X189" s="12">
        <f>VLOOKUP(Tabla44[[#This Row],[ZONA DEFINITIVO]],[1]Hoja1!$A$1:$D$125,4,0)</f>
        <v>104325</v>
      </c>
      <c r="Y189" s="12">
        <f>+IF(Tabla44[[#This Row],[AGRUPACIONES]]=1,SUMIFS(Tabla44[UDS],Tabla44[ZONA DEFINITIVO],Tabla44[[#This Row],[ZONA DEFINITIVO]])," ")</f>
        <v>33</v>
      </c>
      <c r="Z189" s="12">
        <f>+IF(Tabla44[[#This Row],[AGRUPACIONES]]=1,SUMIFS(Tabla44[TOTAL COBERTURA],Tabla44[ZONA DEFINITIVO],Tabla44[[#This Row],[ZONA DEFINITIVO]])," ")</f>
        <v>907</v>
      </c>
      <c r="AA189" s="12"/>
      <c r="AB189" s="35">
        <v>50144439</v>
      </c>
      <c r="AC189" s="37">
        <v>0</v>
      </c>
      <c r="AD189" s="35">
        <f t="shared" si="3"/>
        <v>0</v>
      </c>
      <c r="AE189" s="12"/>
      <c r="AF189" s="12">
        <f>COUNTIF($A$20:A189,A189)</f>
        <v>1</v>
      </c>
      <c r="AG189" s="38">
        <v>50144439</v>
      </c>
      <c r="AH189" s="38">
        <f>Tabla44[[#This Row],[VALOR CONTRAPARTIDA]]+Tabla44[[#This Row],[TOTAL APORTES ICBF]]</f>
        <v>50144439</v>
      </c>
      <c r="AI189" s="35">
        <f>+IF(Tabla44[[#This Row],[AGRUPACIONES]]=1,SUMIFS(Tabla44[TOTAL APORTES ICBF],Tabla44[ZONA DEFINITIVO],Tabla44[[#This Row],[ZONA DEFINITIVO]])," ")</f>
        <v>2758446629</v>
      </c>
      <c r="AJ189" s="38">
        <f>ROUND(+IF(Tabla44[[#This Row],[AGRUPACIONES]]=1,SUMIFS(Tabla44[VALOR CONTRAPARTIDA],Tabla44[ZONA DEFINITIVO],Tabla44[[#This Row],[ZONA DEFINITIVO]])," "),0)</f>
        <v>0</v>
      </c>
      <c r="AK189" s="38">
        <f>Tabla44[[#This Row],[TOTAL APORTES ICBF AGRUPADO]]+Tabla44[[#This Row],[TOTAL CONTRAPARTIDA AGRUPADO]]</f>
        <v>2758446629</v>
      </c>
      <c r="AL189" s="35">
        <f>Tabla44[[#This Row],[TOTAL APORTES ICBF AGRUPADO]]/$AL$18</f>
        <v>1937.7918011942395</v>
      </c>
      <c r="AM189" s="35">
        <f>VLOOKUP(Tabla44[[#This Row],[SERVICIO 2025]],$J$2:$V$15,5,0)*Tabla44[[#This Row],[TOTAL COBERTURA]]</f>
        <v>1135648</v>
      </c>
      <c r="AN189" s="35">
        <f>VLOOKUP(Tabla44[[#This Row],[SERVICIO 2025]],$J$2:$V$15,6,0)*Tabla44[[#This Row],[TOTAL COBERTURA]]</f>
        <v>943667</v>
      </c>
      <c r="AO189" s="35">
        <f>VLOOKUP(Tabla44[[#This Row],[SERVICIO 2025]],$J$2:$V$15,8,0)*Tabla44[[#This Row],[TOTAL COBERTURA]]</f>
        <v>669300</v>
      </c>
      <c r="AP189" s="35">
        <f>VLOOKUP(Tabla44[[#This Row],[SERVICIO 2025]],$J$2:$V$15,3,0)*Tabla44[[#This Row],[TOTAL COBERTURA]]*8</f>
        <v>47395824</v>
      </c>
      <c r="AQ189" s="35"/>
      <c r="AR189" s="35">
        <f>SUM(Tabla44[[#This Row],[VALOR FASE PREPARATORIA DE ALISTAMIENTO]:[VALOR RACION PREPARADA]])</f>
        <v>50144439</v>
      </c>
      <c r="AS189" s="35">
        <f>+IF(Tabla44[[#This Row],[AGRUPACIONES]]=1,SUMIFS(Tabla44[VALOR TOTAL],Tabla44[ZONA DEFINITIVO],Tabla44[[#This Row],[ZONA DEFINITIVO]])," ")</f>
        <v>2758446629</v>
      </c>
      <c r="AT189" s="35">
        <f>VLOOKUP(Tabla44[[#This Row],[SERVICIO 2025]],$J$2:$V$15,10,0)*Tabla44[[#This Row],[TOTAL COBERTURA]]*$X$7</f>
        <v>33190472</v>
      </c>
      <c r="AU189" s="39">
        <f>Tabla44[[#This Row],[TOTAL CONTRATO (ICBF+EAS)]]+Tabla44[[#This Row],[VALOR COMPONENTE ALIMENTACION NO ASIGNADO]]</f>
        <v>83334911</v>
      </c>
      <c r="AV18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11878235</v>
      </c>
      <c r="AW189" s="35">
        <f>(VLOOKUP(Tabla44[[#This Row],[SERVICIO 2025]],$J$2:$V$15,3,0)*Tabla44[[#This Row],[TOTAL COBERTURA]])+VLOOKUP(Tabla44[[#This Row],[SERVICIO 2025]],$J$2:$V$15,10,0)*Tabla44[[#This Row],[TOTAL COBERTURA]]</f>
        <v>10073287</v>
      </c>
      <c r="AX189" s="35">
        <f>(VLOOKUP(Tabla44[[#This Row],[SERVICIO 2025]],$J$2:$V$15,3,0)*Tabla44[[#This Row],[TOTAL COBERTURA]])+VLOOKUP(Tabla44[[#This Row],[SERVICIO 2025]],$J$2:$V$15,10,0)*Tabla44[[#This Row],[TOTAL COBERTURA]]</f>
        <v>10073287</v>
      </c>
      <c r="AY189" s="35">
        <f>(VLOOKUP(Tabla44[[#This Row],[SERVICIO 2025]],$J$2:$V$15,3,0)*Tabla44[[#This Row],[TOTAL COBERTURA]])+VLOOKUP(Tabla44[[#This Row],[SERVICIO 2025]],$J$2:$V$15,10,0)*Tabla44[[#This Row],[TOTAL COBERTURA]]</f>
        <v>10073287</v>
      </c>
      <c r="AZ189" s="35">
        <f>(VLOOKUP(Tabla44[[#This Row],[SERVICIO 2025]],$J$2:$V$15,3,0)*Tabla44[[#This Row],[TOTAL COBERTURA]])+VLOOKUP(Tabla44[[#This Row],[SERVICIO 2025]],$J$2:$V$15,10,0)*Tabla44[[#This Row],[TOTAL COBERTURA]]</f>
        <v>10073287</v>
      </c>
      <c r="BA189" s="35">
        <f>(VLOOKUP(Tabla44[[#This Row],[SERVICIO 2025]],$J$2:$V$15,3,0)*Tabla44[[#This Row],[TOTAL COBERTURA]])+VLOOKUP(Tabla44[[#This Row],[SERVICIO 2025]],$J$2:$V$15,10,0)*Tabla44[[#This Row],[TOTAL COBERTURA]]</f>
        <v>10073287</v>
      </c>
      <c r="BB189" s="35">
        <f>(VLOOKUP(Tabla44[[#This Row],[SERVICIO 2025]],$J$2:$V$15,3,0)*Tabla44[[#This Row],[TOTAL COBERTURA]])+VLOOKUP(Tabla44[[#This Row],[SERVICIO 2025]],$J$2:$V$15,10,0)*Tabla44[[#This Row],[TOTAL COBERTURA]]</f>
        <v>10073287</v>
      </c>
      <c r="BC18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11016954</v>
      </c>
      <c r="BD189" s="35">
        <f>SUM(Tabla44[[#This Row],[DESEMBOLSO 1]:[DESEMBOLSO 8]])</f>
        <v>83334911</v>
      </c>
      <c r="BE189" s="12" t="b">
        <f>EXACT(Tabla44[[#This Row],[VALOR ATENCIÓN (8 MESES)]],Tabla44[[#This Row],[VALOR TOTAL]])</f>
        <v>1</v>
      </c>
      <c r="BF189" s="23">
        <f>Tabla44[[#This Row],[VALOR ATENCIÓN (8 MESES)]]-Tabla44[[#This Row],[VALOR TOTAL]]</f>
        <v>0</v>
      </c>
      <c r="BG189" s="12" t="b">
        <f>EXACT(Tabla44[[#This Row],[TOTAL DESEMBOLSOS]],Tabla44[[#This Row],[VALOR TOTAL DEL CONTRATO INCLUIDO EL COMPONENTE DE ALIMENTACIÓN]])</f>
        <v>1</v>
      </c>
      <c r="BH189" s="29">
        <f>Tabla44[[#This Row],[TOTAL DESEMBOLSOS]]-Tabla44[[#This Row],[VALOR TOTAL DEL CONTRATO INCLUIDO EL COMPONENTE DE ALIMENTACIÓN]]</f>
        <v>0</v>
      </c>
      <c r="BI189" t="s">
        <v>98</v>
      </c>
    </row>
    <row r="190" spans="1:61">
      <c r="A190" s="13">
        <v>1992</v>
      </c>
      <c r="B190" s="13"/>
      <c r="C190" s="12" t="s">
        <v>87</v>
      </c>
      <c r="D190" s="12" t="s">
        <v>1534</v>
      </c>
      <c r="E190" s="12" t="s">
        <v>3181</v>
      </c>
      <c r="F190" s="12" t="s">
        <v>18</v>
      </c>
      <c r="G190" s="12" t="s">
        <v>90</v>
      </c>
      <c r="H190" s="12" t="s">
        <v>3184</v>
      </c>
      <c r="I190" s="36">
        <v>52401136212</v>
      </c>
      <c r="J190" s="12" t="s">
        <v>3185</v>
      </c>
      <c r="K190" s="12">
        <v>1</v>
      </c>
      <c r="L190" s="12">
        <v>9</v>
      </c>
      <c r="M190" s="12"/>
      <c r="N190" s="13">
        <v>1992</v>
      </c>
      <c r="O190" s="12" t="s">
        <v>2850</v>
      </c>
      <c r="P190" s="12"/>
      <c r="Q190" s="12"/>
      <c r="R190" s="12" t="s">
        <v>94</v>
      </c>
      <c r="S190" s="12">
        <v>10</v>
      </c>
      <c r="T190" s="12">
        <v>900325081</v>
      </c>
      <c r="U190" s="12" t="s">
        <v>167</v>
      </c>
      <c r="V190" s="12">
        <f>VLOOKUP(Tabla44[[#This Row],[ZONA DEFINITIVO]],[1]Hoja1!$A$1:$D$125,3,0)</f>
        <v>229939</v>
      </c>
      <c r="W190" s="12">
        <f>VLOOKUP(Tabla44[[#This Row],[ZONA DEFINITIVO]],[1]Hoja1!$A$1:$D$125,2,0)</f>
        <v>17257</v>
      </c>
      <c r="X190" s="12">
        <f>VLOOKUP(Tabla44[[#This Row],[ZONA DEFINITIVO]],[1]Hoja1!$A$1:$D$125,4,0)</f>
        <v>104325</v>
      </c>
      <c r="Y190" s="12" t="str">
        <f>+IF(Tabla44[[#This Row],[AGRUPACIONES]]=1,SUMIFS(Tabla44[UDS],Tabla44[ZONA DEFINITIVO],Tabla44[[#This Row],[ZONA DEFINITIVO]])," ")</f>
        <v xml:space="preserve"> </v>
      </c>
      <c r="Z190" s="12" t="str">
        <f>+IF(Tabla44[[#This Row],[AGRUPACIONES]]=1,SUMIFS(Tabla44[TOTAL COBERTURA],Tabla44[ZONA DEFINITIVO],Tabla44[[#This Row],[ZONA DEFINITIVO]])," ")</f>
        <v xml:space="preserve"> </v>
      </c>
      <c r="AA190" s="12"/>
      <c r="AB190" s="35">
        <v>19621737</v>
      </c>
      <c r="AC190" s="37">
        <v>0</v>
      </c>
      <c r="AD190" s="35">
        <f t="shared" si="3"/>
        <v>0</v>
      </c>
      <c r="AE190" s="12"/>
      <c r="AF190" s="12">
        <f>COUNTIF($A$20:A190,A190)</f>
        <v>2</v>
      </c>
      <c r="AG190" s="38">
        <v>19621737</v>
      </c>
      <c r="AH190" s="38">
        <f>Tabla44[[#This Row],[VALOR CONTRAPARTIDA]]+Tabla44[[#This Row],[TOTAL APORTES ICBF]]</f>
        <v>19621737</v>
      </c>
      <c r="AI190" s="35" t="str">
        <f>+IF(Tabla44[[#This Row],[AGRUPACIONES]]=1,SUMIFS(Tabla44[TOTAL APORTES ICBF],Tabla44[ZONA DEFINITIVO],Tabla44[[#This Row],[ZONA DEFINITIVO]])," ")</f>
        <v xml:space="preserve"> </v>
      </c>
      <c r="AJ190" s="38"/>
      <c r="AK190" s="38"/>
      <c r="AL190" s="35"/>
      <c r="AM190" s="35">
        <f>VLOOKUP(Tabla44[[#This Row],[SERVICIO 2025]],$J$2:$V$15,5,0)*Tabla44[[#This Row],[TOTAL COBERTURA]]</f>
        <v>444384</v>
      </c>
      <c r="AN190" s="35">
        <f>VLOOKUP(Tabla44[[#This Row],[SERVICIO 2025]],$J$2:$V$15,6,0)*Tabla44[[#This Row],[TOTAL COBERTURA]]</f>
        <v>369261</v>
      </c>
      <c r="AO190" s="35">
        <f>VLOOKUP(Tabla44[[#This Row],[SERVICIO 2025]],$J$2:$V$15,8,0)*Tabla44[[#This Row],[TOTAL COBERTURA]]</f>
        <v>261900</v>
      </c>
      <c r="AP190" s="35">
        <f>VLOOKUP(Tabla44[[#This Row],[SERVICIO 2025]],$J$2:$V$15,3,0)*Tabla44[[#This Row],[TOTAL COBERTURA]]*8</f>
        <v>18546192</v>
      </c>
      <c r="AQ190" s="35"/>
      <c r="AR190" s="35">
        <f>SUM(Tabla44[[#This Row],[VALOR FASE PREPARATORIA DE ALISTAMIENTO]:[VALOR RACION PREPARADA]])</f>
        <v>19621737</v>
      </c>
      <c r="AS190" s="35" t="str">
        <f>+IF(Tabla44[[#This Row],[AGRUPACIONES]]=1,SUMIFS(Tabla44[VALOR TOTAL],Tabla44[ZONA DEFINITIVO],Tabla44[[#This Row],[ZONA DEFINITIVO]])," ")</f>
        <v xml:space="preserve"> </v>
      </c>
      <c r="AT190" s="35">
        <f>VLOOKUP(Tabla44[[#This Row],[SERVICIO 2025]],$J$2:$V$15,10,0)*Tabla44[[#This Row],[TOTAL COBERTURA]]*$X$7</f>
        <v>12987576</v>
      </c>
      <c r="AU190" s="39">
        <f>Tabla44[[#This Row],[TOTAL CONTRATO (ICBF+EAS)]]+Tabla44[[#This Row],[VALOR COMPONENTE ALIMENTACION NO ASIGNADO]]</f>
        <v>32609313</v>
      </c>
      <c r="AV19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4648005</v>
      </c>
      <c r="AW190" s="35">
        <f>(VLOOKUP(Tabla44[[#This Row],[SERVICIO 2025]],$J$2:$V$15,3,0)*Tabla44[[#This Row],[TOTAL COBERTURA]])+VLOOKUP(Tabla44[[#This Row],[SERVICIO 2025]],$J$2:$V$15,10,0)*Tabla44[[#This Row],[TOTAL COBERTURA]]</f>
        <v>3941721</v>
      </c>
      <c r="AX190" s="35">
        <f>(VLOOKUP(Tabla44[[#This Row],[SERVICIO 2025]],$J$2:$V$15,3,0)*Tabla44[[#This Row],[TOTAL COBERTURA]])+VLOOKUP(Tabla44[[#This Row],[SERVICIO 2025]],$J$2:$V$15,10,0)*Tabla44[[#This Row],[TOTAL COBERTURA]]</f>
        <v>3941721</v>
      </c>
      <c r="AY190" s="35">
        <f>(VLOOKUP(Tabla44[[#This Row],[SERVICIO 2025]],$J$2:$V$15,3,0)*Tabla44[[#This Row],[TOTAL COBERTURA]])+VLOOKUP(Tabla44[[#This Row],[SERVICIO 2025]],$J$2:$V$15,10,0)*Tabla44[[#This Row],[TOTAL COBERTURA]]</f>
        <v>3941721</v>
      </c>
      <c r="AZ190" s="35">
        <f>(VLOOKUP(Tabla44[[#This Row],[SERVICIO 2025]],$J$2:$V$15,3,0)*Tabla44[[#This Row],[TOTAL COBERTURA]])+VLOOKUP(Tabla44[[#This Row],[SERVICIO 2025]],$J$2:$V$15,10,0)*Tabla44[[#This Row],[TOTAL COBERTURA]]</f>
        <v>3941721</v>
      </c>
      <c r="BA190" s="35">
        <f>(VLOOKUP(Tabla44[[#This Row],[SERVICIO 2025]],$J$2:$V$15,3,0)*Tabla44[[#This Row],[TOTAL COBERTURA]])+VLOOKUP(Tabla44[[#This Row],[SERVICIO 2025]],$J$2:$V$15,10,0)*Tabla44[[#This Row],[TOTAL COBERTURA]]</f>
        <v>3941721</v>
      </c>
      <c r="BB190" s="35">
        <f>(VLOOKUP(Tabla44[[#This Row],[SERVICIO 2025]],$J$2:$V$15,3,0)*Tabla44[[#This Row],[TOTAL COBERTURA]])+VLOOKUP(Tabla44[[#This Row],[SERVICIO 2025]],$J$2:$V$15,10,0)*Tabla44[[#This Row],[TOTAL COBERTURA]]</f>
        <v>3941721</v>
      </c>
      <c r="BC19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4310982</v>
      </c>
      <c r="BD190" s="35">
        <f>SUM(Tabla44[[#This Row],[DESEMBOLSO 1]:[DESEMBOLSO 8]])</f>
        <v>32609313</v>
      </c>
      <c r="BE190" s="12" t="b">
        <f>EXACT(Tabla44[[#This Row],[VALOR ATENCIÓN (8 MESES)]],Tabla44[[#This Row],[VALOR TOTAL]])</f>
        <v>1</v>
      </c>
      <c r="BF190" s="23">
        <f>Tabla44[[#This Row],[VALOR ATENCIÓN (8 MESES)]]-Tabla44[[#This Row],[VALOR TOTAL]]</f>
        <v>0</v>
      </c>
      <c r="BG190" s="12" t="b">
        <f>EXACT(Tabla44[[#This Row],[TOTAL DESEMBOLSOS]],Tabla44[[#This Row],[VALOR TOTAL DEL CONTRATO INCLUIDO EL COMPONENTE DE ALIMENTACIÓN]])</f>
        <v>1</v>
      </c>
      <c r="BH190" s="29">
        <f>Tabla44[[#This Row],[TOTAL DESEMBOLSOS]]-Tabla44[[#This Row],[VALOR TOTAL DEL CONTRATO INCLUIDO EL COMPONENTE DE ALIMENTACIÓN]]</f>
        <v>0</v>
      </c>
      <c r="BI190" t="s">
        <v>98</v>
      </c>
    </row>
    <row r="191" spans="1:61">
      <c r="A191" s="13">
        <v>1992</v>
      </c>
      <c r="B191" s="13"/>
      <c r="C191" s="12" t="s">
        <v>87</v>
      </c>
      <c r="D191" s="12" t="s">
        <v>1534</v>
      </c>
      <c r="E191" s="12" t="s">
        <v>3181</v>
      </c>
      <c r="F191" s="12" t="s">
        <v>18</v>
      </c>
      <c r="G191" s="12" t="s">
        <v>90</v>
      </c>
      <c r="H191" s="12" t="s">
        <v>3186</v>
      </c>
      <c r="I191" s="36">
        <v>52401148884</v>
      </c>
      <c r="J191" s="12" t="s">
        <v>3187</v>
      </c>
      <c r="K191" s="12">
        <v>1</v>
      </c>
      <c r="L191" s="12">
        <v>30</v>
      </c>
      <c r="M191" s="12"/>
      <c r="N191" s="13">
        <v>1992</v>
      </c>
      <c r="O191" s="12" t="s">
        <v>2850</v>
      </c>
      <c r="P191" s="12"/>
      <c r="Q191" s="12"/>
      <c r="R191" s="12" t="s">
        <v>94</v>
      </c>
      <c r="S191" s="12">
        <v>10</v>
      </c>
      <c r="T191" s="12">
        <v>900325081</v>
      </c>
      <c r="U191" s="12" t="s">
        <v>167</v>
      </c>
      <c r="V191" s="12">
        <f>VLOOKUP(Tabla44[[#This Row],[ZONA DEFINITIVO]],[1]Hoja1!$A$1:$D$125,3,0)</f>
        <v>229939</v>
      </c>
      <c r="W191" s="12">
        <f>VLOOKUP(Tabla44[[#This Row],[ZONA DEFINITIVO]],[1]Hoja1!$A$1:$D$125,2,0)</f>
        <v>17257</v>
      </c>
      <c r="X191" s="12">
        <f>VLOOKUP(Tabla44[[#This Row],[ZONA DEFINITIVO]],[1]Hoja1!$A$1:$D$125,4,0)</f>
        <v>104325</v>
      </c>
      <c r="Y191" s="12" t="str">
        <f>+IF(Tabla44[[#This Row],[AGRUPACIONES]]=1,SUMIFS(Tabla44[UDS],Tabla44[ZONA DEFINITIVO],Tabla44[[#This Row],[ZONA DEFINITIVO]])," ")</f>
        <v xml:space="preserve"> </v>
      </c>
      <c r="Z191" s="12" t="str">
        <f>+IF(Tabla44[[#This Row],[AGRUPACIONES]]=1,SUMIFS(Tabla44[TOTAL COBERTURA],Tabla44[ZONA DEFINITIVO],Tabla44[[#This Row],[ZONA DEFINITIVO]])," ")</f>
        <v xml:space="preserve"> </v>
      </c>
      <c r="AA191" s="12"/>
      <c r="AB191" s="35">
        <v>65405790</v>
      </c>
      <c r="AC191" s="37">
        <v>0</v>
      </c>
      <c r="AD191" s="35">
        <f t="shared" si="3"/>
        <v>0</v>
      </c>
      <c r="AE191" s="12"/>
      <c r="AF191" s="12">
        <f>COUNTIF($A$20:A191,A191)</f>
        <v>3</v>
      </c>
      <c r="AG191" s="38">
        <v>65405790</v>
      </c>
      <c r="AH191" s="38">
        <f>Tabla44[[#This Row],[VALOR CONTRAPARTIDA]]+Tabla44[[#This Row],[TOTAL APORTES ICBF]]</f>
        <v>65405790</v>
      </c>
      <c r="AI191" s="35" t="str">
        <f>+IF(Tabla44[[#This Row],[AGRUPACIONES]]=1,SUMIFS(Tabla44[TOTAL APORTES ICBF],Tabla44[ZONA DEFINITIVO],Tabla44[[#This Row],[ZONA DEFINITIVO]])," ")</f>
        <v xml:space="preserve"> </v>
      </c>
      <c r="AJ191" s="38"/>
      <c r="AK191" s="38"/>
      <c r="AL191" s="35"/>
      <c r="AM191" s="35">
        <f>VLOOKUP(Tabla44[[#This Row],[SERVICIO 2025]],$J$2:$V$15,5,0)*Tabla44[[#This Row],[TOTAL COBERTURA]]</f>
        <v>1481280</v>
      </c>
      <c r="AN191" s="35">
        <f>VLOOKUP(Tabla44[[#This Row],[SERVICIO 2025]],$J$2:$V$15,6,0)*Tabla44[[#This Row],[TOTAL COBERTURA]]</f>
        <v>1230870</v>
      </c>
      <c r="AO191" s="35">
        <f>VLOOKUP(Tabla44[[#This Row],[SERVICIO 2025]],$J$2:$V$15,8,0)*Tabla44[[#This Row],[TOTAL COBERTURA]]</f>
        <v>873000</v>
      </c>
      <c r="AP191" s="35">
        <f>VLOOKUP(Tabla44[[#This Row],[SERVICIO 2025]],$J$2:$V$15,3,0)*Tabla44[[#This Row],[TOTAL COBERTURA]]*8</f>
        <v>61820640</v>
      </c>
      <c r="AQ191" s="35"/>
      <c r="AR191" s="35">
        <f>SUM(Tabla44[[#This Row],[VALOR FASE PREPARATORIA DE ALISTAMIENTO]:[VALOR RACION PREPARADA]])</f>
        <v>65405790</v>
      </c>
      <c r="AS191" s="35" t="str">
        <f>+IF(Tabla44[[#This Row],[AGRUPACIONES]]=1,SUMIFS(Tabla44[VALOR TOTAL],Tabla44[ZONA DEFINITIVO],Tabla44[[#This Row],[ZONA DEFINITIVO]])," ")</f>
        <v xml:space="preserve"> </v>
      </c>
      <c r="AT191" s="35">
        <f>VLOOKUP(Tabla44[[#This Row],[SERVICIO 2025]],$J$2:$V$15,10,0)*Tabla44[[#This Row],[TOTAL COBERTURA]]*$X$7</f>
        <v>43291920</v>
      </c>
      <c r="AU191" s="39">
        <f>Tabla44[[#This Row],[TOTAL CONTRATO (ICBF+EAS)]]+Tabla44[[#This Row],[VALOR COMPONENTE ALIMENTACION NO ASIGNADO]]</f>
        <v>108697710</v>
      </c>
      <c r="AV19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15493350</v>
      </c>
      <c r="AW191" s="35">
        <f>(VLOOKUP(Tabla44[[#This Row],[SERVICIO 2025]],$J$2:$V$15,3,0)*Tabla44[[#This Row],[TOTAL COBERTURA]])+VLOOKUP(Tabla44[[#This Row],[SERVICIO 2025]],$J$2:$V$15,10,0)*Tabla44[[#This Row],[TOTAL COBERTURA]]</f>
        <v>13139070</v>
      </c>
      <c r="AX191" s="35">
        <f>(VLOOKUP(Tabla44[[#This Row],[SERVICIO 2025]],$J$2:$V$15,3,0)*Tabla44[[#This Row],[TOTAL COBERTURA]])+VLOOKUP(Tabla44[[#This Row],[SERVICIO 2025]],$J$2:$V$15,10,0)*Tabla44[[#This Row],[TOTAL COBERTURA]]</f>
        <v>13139070</v>
      </c>
      <c r="AY191" s="35">
        <f>(VLOOKUP(Tabla44[[#This Row],[SERVICIO 2025]],$J$2:$V$15,3,0)*Tabla44[[#This Row],[TOTAL COBERTURA]])+VLOOKUP(Tabla44[[#This Row],[SERVICIO 2025]],$J$2:$V$15,10,0)*Tabla44[[#This Row],[TOTAL COBERTURA]]</f>
        <v>13139070</v>
      </c>
      <c r="AZ191" s="35">
        <f>(VLOOKUP(Tabla44[[#This Row],[SERVICIO 2025]],$J$2:$V$15,3,0)*Tabla44[[#This Row],[TOTAL COBERTURA]])+VLOOKUP(Tabla44[[#This Row],[SERVICIO 2025]],$J$2:$V$15,10,0)*Tabla44[[#This Row],[TOTAL COBERTURA]]</f>
        <v>13139070</v>
      </c>
      <c r="BA191" s="35">
        <f>(VLOOKUP(Tabla44[[#This Row],[SERVICIO 2025]],$J$2:$V$15,3,0)*Tabla44[[#This Row],[TOTAL COBERTURA]])+VLOOKUP(Tabla44[[#This Row],[SERVICIO 2025]],$J$2:$V$15,10,0)*Tabla44[[#This Row],[TOTAL COBERTURA]]</f>
        <v>13139070</v>
      </c>
      <c r="BB191" s="35">
        <f>(VLOOKUP(Tabla44[[#This Row],[SERVICIO 2025]],$J$2:$V$15,3,0)*Tabla44[[#This Row],[TOTAL COBERTURA]])+VLOOKUP(Tabla44[[#This Row],[SERVICIO 2025]],$J$2:$V$15,10,0)*Tabla44[[#This Row],[TOTAL COBERTURA]]</f>
        <v>13139070</v>
      </c>
      <c r="BC19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14369940</v>
      </c>
      <c r="BD191" s="35">
        <f>SUM(Tabla44[[#This Row],[DESEMBOLSO 1]:[DESEMBOLSO 8]])</f>
        <v>108697710</v>
      </c>
      <c r="BE191" s="12" t="b">
        <f>EXACT(Tabla44[[#This Row],[VALOR ATENCIÓN (8 MESES)]],Tabla44[[#This Row],[VALOR TOTAL]])</f>
        <v>1</v>
      </c>
      <c r="BF191" s="23">
        <f>Tabla44[[#This Row],[VALOR ATENCIÓN (8 MESES)]]-Tabla44[[#This Row],[VALOR TOTAL]]</f>
        <v>0</v>
      </c>
      <c r="BG191" s="12" t="b">
        <f>EXACT(Tabla44[[#This Row],[TOTAL DESEMBOLSOS]],Tabla44[[#This Row],[VALOR TOTAL DEL CONTRATO INCLUIDO EL COMPONENTE DE ALIMENTACIÓN]])</f>
        <v>1</v>
      </c>
      <c r="BH191" s="29">
        <f>Tabla44[[#This Row],[TOTAL DESEMBOLSOS]]-Tabla44[[#This Row],[VALOR TOTAL DEL CONTRATO INCLUIDO EL COMPONENTE DE ALIMENTACIÓN]]</f>
        <v>0</v>
      </c>
      <c r="BI191" t="s">
        <v>98</v>
      </c>
    </row>
    <row r="192" spans="1:61">
      <c r="A192" s="13">
        <v>1992</v>
      </c>
      <c r="B192" s="21"/>
      <c r="C192" s="22" t="s">
        <v>87</v>
      </c>
      <c r="D192" s="22" t="s">
        <v>1534</v>
      </c>
      <c r="E192" s="22" t="s">
        <v>3181</v>
      </c>
      <c r="F192" s="22" t="s">
        <v>18</v>
      </c>
      <c r="G192" s="12" t="s">
        <v>90</v>
      </c>
      <c r="H192" s="22" t="s">
        <v>3188</v>
      </c>
      <c r="I192" s="36">
        <v>52401153016</v>
      </c>
      <c r="J192" s="22" t="s">
        <v>3189</v>
      </c>
      <c r="K192" s="12">
        <v>1</v>
      </c>
      <c r="L192" s="22">
        <v>21</v>
      </c>
      <c r="M192" s="22"/>
      <c r="N192" s="13">
        <v>1992</v>
      </c>
      <c r="O192" s="22" t="s">
        <v>2850</v>
      </c>
      <c r="P192" s="22"/>
      <c r="Q192" s="22"/>
      <c r="R192" s="12" t="s">
        <v>94</v>
      </c>
      <c r="S192" s="12">
        <v>10</v>
      </c>
      <c r="T192" s="12">
        <v>900325081</v>
      </c>
      <c r="U192" s="12" t="s">
        <v>167</v>
      </c>
      <c r="V192" s="22">
        <f>VLOOKUP(Tabla44[[#This Row],[ZONA DEFINITIVO]],[1]Hoja1!$A$1:$D$125,3,0)</f>
        <v>229939</v>
      </c>
      <c r="W192" s="22">
        <f>VLOOKUP(Tabla44[[#This Row],[ZONA DEFINITIVO]],[1]Hoja1!$A$1:$D$125,2,0)</f>
        <v>17257</v>
      </c>
      <c r="X192" s="22">
        <f>VLOOKUP(Tabla44[[#This Row],[ZONA DEFINITIVO]],[1]Hoja1!$A$1:$D$125,4,0)</f>
        <v>104325</v>
      </c>
      <c r="Y192" s="22" t="str">
        <f>+IF(Tabla44[[#This Row],[AGRUPACIONES]]=1,SUMIFS(Tabla44[UDS],Tabla44[ZONA DEFINITIVO],Tabla44[[#This Row],[ZONA DEFINITIVO]])," ")</f>
        <v xml:space="preserve"> </v>
      </c>
      <c r="Z192" s="22" t="str">
        <f>+IF(Tabla44[[#This Row],[AGRUPACIONES]]=1,SUMIFS(Tabla44[TOTAL COBERTURA],Tabla44[ZONA DEFINITIVO],Tabla44[[#This Row],[ZONA DEFINITIVO]])," ")</f>
        <v xml:space="preserve"> </v>
      </c>
      <c r="AA192" s="22"/>
      <c r="AB192" s="40">
        <v>45784053</v>
      </c>
      <c r="AC192" s="37">
        <v>0</v>
      </c>
      <c r="AD192" s="40">
        <f t="shared" si="3"/>
        <v>0</v>
      </c>
      <c r="AE192" s="22"/>
      <c r="AF192" s="12">
        <f>COUNTIF($A$20:A192,A192)</f>
        <v>4</v>
      </c>
      <c r="AG192" s="41">
        <v>45784053</v>
      </c>
      <c r="AH192" s="41">
        <f>Tabla44[[#This Row],[VALOR CONTRAPARTIDA]]+Tabla44[[#This Row],[TOTAL APORTES ICBF]]</f>
        <v>45784053</v>
      </c>
      <c r="AI192" s="40" t="str">
        <f>+IF(Tabla44[[#This Row],[AGRUPACIONES]]=1,SUMIFS(Tabla44[TOTAL APORTES ICBF],Tabla44[ZONA DEFINITIVO],Tabla44[[#This Row],[ZONA DEFINITIVO]])," ")</f>
        <v xml:space="preserve"> </v>
      </c>
      <c r="AJ192" s="41"/>
      <c r="AK192" s="41"/>
      <c r="AL192" s="40"/>
      <c r="AM192" s="40">
        <f>VLOOKUP(Tabla44[[#This Row],[SERVICIO 2025]],$J$2:$V$15,5,0)*Tabla44[[#This Row],[TOTAL COBERTURA]]</f>
        <v>1036896</v>
      </c>
      <c r="AN192" s="40">
        <f>VLOOKUP(Tabla44[[#This Row],[SERVICIO 2025]],$J$2:$V$15,6,0)*Tabla44[[#This Row],[TOTAL COBERTURA]]</f>
        <v>861609</v>
      </c>
      <c r="AO192" s="40">
        <f>VLOOKUP(Tabla44[[#This Row],[SERVICIO 2025]],$J$2:$V$15,8,0)*Tabla44[[#This Row],[TOTAL COBERTURA]]</f>
        <v>611100</v>
      </c>
      <c r="AP192" s="40">
        <f>VLOOKUP(Tabla44[[#This Row],[SERVICIO 2025]],$J$2:$V$15,3,0)*Tabla44[[#This Row],[TOTAL COBERTURA]]*8</f>
        <v>43274448</v>
      </c>
      <c r="AQ192" s="40"/>
      <c r="AR192" s="40">
        <f>SUM(Tabla44[[#This Row],[VALOR FASE PREPARATORIA DE ALISTAMIENTO]:[VALOR RACION PREPARADA]])</f>
        <v>45784053</v>
      </c>
      <c r="AS192" s="40" t="str">
        <f>+IF(Tabla44[[#This Row],[AGRUPACIONES]]=1,SUMIFS(Tabla44[VALOR TOTAL],Tabla44[ZONA DEFINITIVO],Tabla44[[#This Row],[ZONA DEFINITIVO]])," ")</f>
        <v xml:space="preserve"> </v>
      </c>
      <c r="AT192" s="35">
        <f>VLOOKUP(Tabla44[[#This Row],[SERVICIO 2025]],$J$2:$V$15,10,0)*Tabla44[[#This Row],[TOTAL COBERTURA]]*$X$7</f>
        <v>30304344</v>
      </c>
      <c r="AU192" s="42">
        <f>Tabla44[[#This Row],[TOTAL CONTRATO (ICBF+EAS)]]+Tabla44[[#This Row],[VALOR COMPONENTE ALIMENTACION NO ASIGNADO]]</f>
        <v>76088397</v>
      </c>
      <c r="AV19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10845345</v>
      </c>
      <c r="AW192" s="35">
        <f>(VLOOKUP(Tabla44[[#This Row],[SERVICIO 2025]],$J$2:$V$15,3,0)*Tabla44[[#This Row],[TOTAL COBERTURA]])+VLOOKUP(Tabla44[[#This Row],[SERVICIO 2025]],$J$2:$V$15,10,0)*Tabla44[[#This Row],[TOTAL COBERTURA]]</f>
        <v>9197349</v>
      </c>
      <c r="AX192" s="40">
        <f>(VLOOKUP(Tabla44[[#This Row],[SERVICIO 2025]],$J$2:$V$15,3,0)*Tabla44[[#This Row],[TOTAL COBERTURA]])+VLOOKUP(Tabla44[[#This Row],[SERVICIO 2025]],$J$2:$V$15,10,0)*Tabla44[[#This Row],[TOTAL COBERTURA]]</f>
        <v>9197349</v>
      </c>
      <c r="AY192" s="40">
        <f>(VLOOKUP(Tabla44[[#This Row],[SERVICIO 2025]],$J$2:$V$15,3,0)*Tabla44[[#This Row],[TOTAL COBERTURA]])+VLOOKUP(Tabla44[[#This Row],[SERVICIO 2025]],$J$2:$V$15,10,0)*Tabla44[[#This Row],[TOTAL COBERTURA]]</f>
        <v>9197349</v>
      </c>
      <c r="AZ192" s="40">
        <f>(VLOOKUP(Tabla44[[#This Row],[SERVICIO 2025]],$J$2:$V$15,3,0)*Tabla44[[#This Row],[TOTAL COBERTURA]])+VLOOKUP(Tabla44[[#This Row],[SERVICIO 2025]],$J$2:$V$15,10,0)*Tabla44[[#This Row],[TOTAL COBERTURA]]</f>
        <v>9197349</v>
      </c>
      <c r="BA192" s="40">
        <f>(VLOOKUP(Tabla44[[#This Row],[SERVICIO 2025]],$J$2:$V$15,3,0)*Tabla44[[#This Row],[TOTAL COBERTURA]])+VLOOKUP(Tabla44[[#This Row],[SERVICIO 2025]],$J$2:$V$15,10,0)*Tabla44[[#This Row],[TOTAL COBERTURA]]</f>
        <v>9197349</v>
      </c>
      <c r="BB192" s="40">
        <f>(VLOOKUP(Tabla44[[#This Row],[SERVICIO 2025]],$J$2:$V$15,3,0)*Tabla44[[#This Row],[TOTAL COBERTURA]])+VLOOKUP(Tabla44[[#This Row],[SERVICIO 2025]],$J$2:$V$15,10,0)*Tabla44[[#This Row],[TOTAL COBERTURA]]</f>
        <v>9197349</v>
      </c>
      <c r="BC192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10058958</v>
      </c>
      <c r="BD192" s="40">
        <f>SUM(Tabla44[[#This Row],[DESEMBOLSO 1]:[DESEMBOLSO 8]])</f>
        <v>76088397</v>
      </c>
      <c r="BE192" s="22" t="b">
        <f>EXACT(Tabla44[[#This Row],[VALOR ATENCIÓN (8 MESES)]],Tabla44[[#This Row],[VALOR TOTAL]])</f>
        <v>1</v>
      </c>
      <c r="BF192" s="28">
        <f>Tabla44[[#This Row],[VALOR ATENCIÓN (8 MESES)]]-Tabla44[[#This Row],[VALOR TOTAL]]</f>
        <v>0</v>
      </c>
      <c r="BG192" s="22" t="b">
        <f>EXACT(Tabla44[[#This Row],[TOTAL DESEMBOLSOS]],Tabla44[[#This Row],[VALOR TOTAL DEL CONTRATO INCLUIDO EL COMPONENTE DE ALIMENTACIÓN]])</f>
        <v>1</v>
      </c>
      <c r="BH192" s="29">
        <f>Tabla44[[#This Row],[TOTAL DESEMBOLSOS]]-Tabla44[[#This Row],[VALOR TOTAL DEL CONTRATO INCLUIDO EL COMPONENTE DE ALIMENTACIÓN]]</f>
        <v>0</v>
      </c>
      <c r="BI192" t="s">
        <v>98</v>
      </c>
    </row>
    <row r="193" spans="1:61">
      <c r="A193" s="13">
        <v>1992</v>
      </c>
      <c r="B193" s="13"/>
      <c r="C193" s="12" t="s">
        <v>87</v>
      </c>
      <c r="D193" s="12" t="s">
        <v>1534</v>
      </c>
      <c r="E193" s="12" t="s">
        <v>3181</v>
      </c>
      <c r="F193" s="12" t="s">
        <v>18</v>
      </c>
      <c r="G193" s="12" t="s">
        <v>90</v>
      </c>
      <c r="H193" s="12" t="s">
        <v>3190</v>
      </c>
      <c r="I193" s="36">
        <v>52401155989</v>
      </c>
      <c r="J193" s="12" t="s">
        <v>3191</v>
      </c>
      <c r="K193" s="12">
        <v>1</v>
      </c>
      <c r="L193" s="12">
        <v>17</v>
      </c>
      <c r="M193" s="12"/>
      <c r="N193" s="13">
        <v>1992</v>
      </c>
      <c r="O193" s="12" t="s">
        <v>2850</v>
      </c>
      <c r="P193" s="12"/>
      <c r="Q193" s="12"/>
      <c r="R193" s="12" t="s">
        <v>94</v>
      </c>
      <c r="S193" s="12">
        <v>10</v>
      </c>
      <c r="T193" s="12">
        <v>900325081</v>
      </c>
      <c r="U193" s="12" t="s">
        <v>167</v>
      </c>
      <c r="V193" s="12">
        <f>VLOOKUP(Tabla44[[#This Row],[ZONA DEFINITIVO]],[1]Hoja1!$A$1:$D$125,3,0)</f>
        <v>229939</v>
      </c>
      <c r="W193" s="12">
        <f>VLOOKUP(Tabla44[[#This Row],[ZONA DEFINITIVO]],[1]Hoja1!$A$1:$D$125,2,0)</f>
        <v>17257</v>
      </c>
      <c r="X193" s="12">
        <f>VLOOKUP(Tabla44[[#This Row],[ZONA DEFINITIVO]],[1]Hoja1!$A$1:$D$125,4,0)</f>
        <v>104325</v>
      </c>
      <c r="Y193" s="12" t="str">
        <f>+IF(Tabla44[[#This Row],[AGRUPACIONES]]=1,SUMIFS(Tabla44[UDS],Tabla44[ZONA DEFINITIVO],Tabla44[[#This Row],[ZONA DEFINITIVO]])," ")</f>
        <v xml:space="preserve"> </v>
      </c>
      <c r="Z193" s="12" t="str">
        <f>+IF(Tabla44[[#This Row],[AGRUPACIONES]]=1,SUMIFS(Tabla44[TOTAL COBERTURA],Tabla44[ZONA DEFINITIVO],Tabla44[[#This Row],[ZONA DEFINITIVO]])," ")</f>
        <v xml:space="preserve"> </v>
      </c>
      <c r="AA193" s="12"/>
      <c r="AB193" s="35">
        <v>37063281</v>
      </c>
      <c r="AC193" s="37">
        <v>0</v>
      </c>
      <c r="AD193" s="35">
        <f t="shared" si="3"/>
        <v>0</v>
      </c>
      <c r="AE193" s="12"/>
      <c r="AF193" s="12">
        <f>COUNTIF($A$20:A193,A193)</f>
        <v>5</v>
      </c>
      <c r="AG193" s="38">
        <v>37063281</v>
      </c>
      <c r="AH193" s="38">
        <f>Tabla44[[#This Row],[VALOR CONTRAPARTIDA]]+Tabla44[[#This Row],[TOTAL APORTES ICBF]]</f>
        <v>37063281</v>
      </c>
      <c r="AI193" s="35" t="str">
        <f>+IF(Tabla44[[#This Row],[AGRUPACIONES]]=1,SUMIFS(Tabla44[TOTAL APORTES ICBF],Tabla44[ZONA DEFINITIVO],Tabla44[[#This Row],[ZONA DEFINITIVO]])," ")</f>
        <v xml:space="preserve"> </v>
      </c>
      <c r="AJ193" s="38"/>
      <c r="AK193" s="38"/>
      <c r="AL193" s="35"/>
      <c r="AM193" s="35">
        <f>VLOOKUP(Tabla44[[#This Row],[SERVICIO 2025]],$J$2:$V$15,5,0)*Tabla44[[#This Row],[TOTAL COBERTURA]]</f>
        <v>839392</v>
      </c>
      <c r="AN193" s="35">
        <f>VLOOKUP(Tabla44[[#This Row],[SERVICIO 2025]],$J$2:$V$15,6,0)*Tabla44[[#This Row],[TOTAL COBERTURA]]</f>
        <v>697493</v>
      </c>
      <c r="AO193" s="35">
        <f>VLOOKUP(Tabla44[[#This Row],[SERVICIO 2025]],$J$2:$V$15,8,0)*Tabla44[[#This Row],[TOTAL COBERTURA]]</f>
        <v>494700</v>
      </c>
      <c r="AP193" s="35">
        <f>VLOOKUP(Tabla44[[#This Row],[SERVICIO 2025]],$J$2:$V$15,3,0)*Tabla44[[#This Row],[TOTAL COBERTURA]]*8</f>
        <v>35031696</v>
      </c>
      <c r="AQ193" s="35"/>
      <c r="AR193" s="35">
        <f>SUM(Tabla44[[#This Row],[VALOR FASE PREPARATORIA DE ALISTAMIENTO]:[VALOR RACION PREPARADA]])</f>
        <v>37063281</v>
      </c>
      <c r="AS193" s="35" t="str">
        <f>+IF(Tabla44[[#This Row],[AGRUPACIONES]]=1,SUMIFS(Tabla44[VALOR TOTAL],Tabla44[ZONA DEFINITIVO],Tabla44[[#This Row],[ZONA DEFINITIVO]])," ")</f>
        <v xml:space="preserve"> </v>
      </c>
      <c r="AT193" s="35">
        <f>VLOOKUP(Tabla44[[#This Row],[SERVICIO 2025]],$J$2:$V$15,10,0)*Tabla44[[#This Row],[TOTAL COBERTURA]]*$X$7</f>
        <v>24532088</v>
      </c>
      <c r="AU193" s="39">
        <f>Tabla44[[#This Row],[TOTAL CONTRATO (ICBF+EAS)]]+Tabla44[[#This Row],[VALOR COMPONENTE ALIMENTACION NO ASIGNADO]]</f>
        <v>61595369</v>
      </c>
      <c r="AV19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193" s="35">
        <f>(VLOOKUP(Tabla44[[#This Row],[SERVICIO 2025]],$J$2:$V$15,3,0)*Tabla44[[#This Row],[TOTAL COBERTURA]])+VLOOKUP(Tabla44[[#This Row],[SERVICIO 2025]],$J$2:$V$15,10,0)*Tabla44[[#This Row],[TOTAL COBERTURA]]</f>
        <v>7445473</v>
      </c>
      <c r="AX193" s="35">
        <f>(VLOOKUP(Tabla44[[#This Row],[SERVICIO 2025]],$J$2:$V$15,3,0)*Tabla44[[#This Row],[TOTAL COBERTURA]])+VLOOKUP(Tabla44[[#This Row],[SERVICIO 2025]],$J$2:$V$15,10,0)*Tabla44[[#This Row],[TOTAL COBERTURA]]</f>
        <v>7445473</v>
      </c>
      <c r="AY193" s="35">
        <f>(VLOOKUP(Tabla44[[#This Row],[SERVICIO 2025]],$J$2:$V$15,3,0)*Tabla44[[#This Row],[TOTAL COBERTURA]])+VLOOKUP(Tabla44[[#This Row],[SERVICIO 2025]],$J$2:$V$15,10,0)*Tabla44[[#This Row],[TOTAL COBERTURA]]</f>
        <v>7445473</v>
      </c>
      <c r="AZ193" s="35">
        <f>(VLOOKUP(Tabla44[[#This Row],[SERVICIO 2025]],$J$2:$V$15,3,0)*Tabla44[[#This Row],[TOTAL COBERTURA]])+VLOOKUP(Tabla44[[#This Row],[SERVICIO 2025]],$J$2:$V$15,10,0)*Tabla44[[#This Row],[TOTAL COBERTURA]]</f>
        <v>7445473</v>
      </c>
      <c r="BA193" s="35">
        <f>(VLOOKUP(Tabla44[[#This Row],[SERVICIO 2025]],$J$2:$V$15,3,0)*Tabla44[[#This Row],[TOTAL COBERTURA]])+VLOOKUP(Tabla44[[#This Row],[SERVICIO 2025]],$J$2:$V$15,10,0)*Tabla44[[#This Row],[TOTAL COBERTURA]]</f>
        <v>7445473</v>
      </c>
      <c r="BB193" s="35">
        <f>(VLOOKUP(Tabla44[[#This Row],[SERVICIO 2025]],$J$2:$V$15,3,0)*Tabla44[[#This Row],[TOTAL COBERTURA]])+VLOOKUP(Tabla44[[#This Row],[SERVICIO 2025]],$J$2:$V$15,10,0)*Tabla44[[#This Row],[TOTAL COBERTURA]]</f>
        <v>7445473</v>
      </c>
      <c r="BC19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193" s="35">
        <f>SUM(Tabla44[[#This Row],[DESEMBOLSO 1]:[DESEMBOLSO 8]])</f>
        <v>61595369</v>
      </c>
      <c r="BE193" s="12" t="b">
        <f>EXACT(Tabla44[[#This Row],[VALOR ATENCIÓN (8 MESES)]],Tabla44[[#This Row],[VALOR TOTAL]])</f>
        <v>1</v>
      </c>
      <c r="BF193" s="23">
        <f>Tabla44[[#This Row],[VALOR ATENCIÓN (8 MESES)]]-Tabla44[[#This Row],[VALOR TOTAL]]</f>
        <v>0</v>
      </c>
      <c r="BG193" s="12" t="b">
        <f>EXACT(Tabla44[[#This Row],[TOTAL DESEMBOLSOS]],Tabla44[[#This Row],[VALOR TOTAL DEL CONTRATO INCLUIDO EL COMPONENTE DE ALIMENTACIÓN]])</f>
        <v>1</v>
      </c>
      <c r="BH193" s="29">
        <f>Tabla44[[#This Row],[TOTAL DESEMBOLSOS]]-Tabla44[[#This Row],[VALOR TOTAL DEL CONTRATO INCLUIDO EL COMPONENTE DE ALIMENTACIÓN]]</f>
        <v>0</v>
      </c>
      <c r="BI193" t="s">
        <v>98</v>
      </c>
    </row>
    <row r="194" spans="1:61">
      <c r="A194" s="13">
        <v>1992</v>
      </c>
      <c r="B194" s="13"/>
      <c r="C194" s="12" t="s">
        <v>87</v>
      </c>
      <c r="D194" s="12" t="s">
        <v>1534</v>
      </c>
      <c r="E194" s="12" t="s">
        <v>3181</v>
      </c>
      <c r="F194" s="12" t="s">
        <v>14</v>
      </c>
      <c r="G194" s="12" t="s">
        <v>90</v>
      </c>
      <c r="H194" s="12" t="s">
        <v>3192</v>
      </c>
      <c r="I194" s="36">
        <v>524000080690</v>
      </c>
      <c r="J194" s="12" t="s">
        <v>3193</v>
      </c>
      <c r="K194" s="12">
        <v>1</v>
      </c>
      <c r="L194" s="12">
        <v>31</v>
      </c>
      <c r="M194" s="12"/>
      <c r="N194" s="13">
        <v>1992</v>
      </c>
      <c r="O194" s="12" t="s">
        <v>2850</v>
      </c>
      <c r="P194" s="12"/>
      <c r="Q194" s="12"/>
      <c r="R194" s="12" t="s">
        <v>94</v>
      </c>
      <c r="S194" s="12">
        <v>10</v>
      </c>
      <c r="T194" s="12">
        <v>900325081</v>
      </c>
      <c r="U194" s="12" t="s">
        <v>167</v>
      </c>
      <c r="V194" s="12">
        <f>VLOOKUP(Tabla44[[#This Row],[ZONA DEFINITIVO]],[1]Hoja1!$A$1:$D$125,3,0)</f>
        <v>229939</v>
      </c>
      <c r="W194" s="12">
        <f>VLOOKUP(Tabla44[[#This Row],[ZONA DEFINITIVO]],[1]Hoja1!$A$1:$D$125,2,0)</f>
        <v>17257</v>
      </c>
      <c r="X194" s="12">
        <f>VLOOKUP(Tabla44[[#This Row],[ZONA DEFINITIVO]],[1]Hoja1!$A$1:$D$125,4,0)</f>
        <v>104325</v>
      </c>
      <c r="Y194" s="12" t="str">
        <f>+IF(Tabla44[[#This Row],[AGRUPACIONES]]=1,SUMIFS(Tabla44[UDS],Tabla44[ZONA DEFINITIVO],Tabla44[[#This Row],[ZONA DEFINITIVO]])," ")</f>
        <v xml:space="preserve"> </v>
      </c>
      <c r="Z194" s="12" t="str">
        <f>+IF(Tabla44[[#This Row],[AGRUPACIONES]]=1,SUMIFS(Tabla44[TOTAL COBERTURA],Tabla44[ZONA DEFINITIVO],Tabla44[[#This Row],[ZONA DEFINITIVO]])," ")</f>
        <v xml:space="preserve"> </v>
      </c>
      <c r="AA194" s="12"/>
      <c r="AB194" s="35">
        <v>129854350</v>
      </c>
      <c r="AC194" s="37">
        <v>0</v>
      </c>
      <c r="AD194" s="35">
        <f t="shared" si="3"/>
        <v>0</v>
      </c>
      <c r="AE194" s="12"/>
      <c r="AF194" s="12">
        <f>COUNTIF($A$20:A194,A194)</f>
        <v>6</v>
      </c>
      <c r="AG194" s="38">
        <v>129854350</v>
      </c>
      <c r="AH194" s="38">
        <f>Tabla44[[#This Row],[VALOR CONTRAPARTIDA]]+Tabla44[[#This Row],[TOTAL APORTES ICBF]]</f>
        <v>129854350</v>
      </c>
      <c r="AI194" s="35" t="str">
        <f>+IF(Tabla44[[#This Row],[AGRUPACIONES]]=1,SUMIFS(Tabla44[TOTAL APORTES ICBF],Tabla44[ZONA DEFINITIVO],Tabla44[[#This Row],[ZONA DEFINITIVO]])," ")</f>
        <v xml:space="preserve"> </v>
      </c>
      <c r="AJ194" s="38"/>
      <c r="AK194" s="38"/>
      <c r="AL194" s="35"/>
      <c r="AM194" s="35">
        <f>VLOOKUP(Tabla44[[#This Row],[SERVICIO 2025]],$J$2:$V$15,5,0)*Tabla44[[#This Row],[TOTAL COBERTURA]]</f>
        <v>2732433</v>
      </c>
      <c r="AN194" s="35">
        <f>VLOOKUP(Tabla44[[#This Row],[SERVICIO 2025]],$J$2:$V$15,6,0)*Tabla44[[#This Row],[TOTAL COBERTURA]]</f>
        <v>2326333</v>
      </c>
      <c r="AO194" s="35">
        <f>VLOOKUP(Tabla44[[#This Row],[SERVICIO 2025]],$J$2:$V$15,8,0)*Tabla44[[#This Row],[TOTAL COBERTURA]]</f>
        <v>0</v>
      </c>
      <c r="AP194" s="35">
        <f>VLOOKUP(Tabla44[[#This Row],[SERVICIO 2025]],$J$2:$V$15,3,0)*Tabla44[[#This Row],[TOTAL COBERTURA]]*8</f>
        <v>124795584</v>
      </c>
      <c r="AQ194" s="35"/>
      <c r="AR194" s="35">
        <f>SUM(Tabla44[[#This Row],[VALOR FASE PREPARATORIA DE ALISTAMIENTO]:[VALOR RACION PREPARADA]])</f>
        <v>129854350</v>
      </c>
      <c r="AS194" s="35" t="str">
        <f>+IF(Tabla44[[#This Row],[AGRUPACIONES]]=1,SUMIFS(Tabla44[VALOR TOTAL],Tabla44[ZONA DEFINITIVO],Tabla44[[#This Row],[ZONA DEFINITIVO]])," ")</f>
        <v xml:space="preserve"> </v>
      </c>
      <c r="AT194" s="35">
        <f>VLOOKUP(Tabla44[[#This Row],[SERVICIO 2025]],$J$2:$V$15,10,0)*Tabla44[[#This Row],[TOTAL COBERTURA]]*$X$7</f>
        <v>0</v>
      </c>
      <c r="AU194" s="39">
        <f>Tabla44[[#This Row],[TOTAL CONTRATO (ICBF+EAS)]]+Tabla44[[#This Row],[VALOR COMPONENTE ALIMENTACION NO ASIGNADO]]</f>
        <v>129854350</v>
      </c>
      <c r="AV19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18331881</v>
      </c>
      <c r="AW194" s="35">
        <f>(VLOOKUP(Tabla44[[#This Row],[SERVICIO 2025]],$J$2:$V$15,3,0)*Tabla44[[#This Row],[TOTAL COBERTURA]])+VLOOKUP(Tabla44[[#This Row],[SERVICIO 2025]],$J$2:$V$15,10,0)*Tabla44[[#This Row],[TOTAL COBERTURA]]</f>
        <v>15599448</v>
      </c>
      <c r="AX194" s="35">
        <f>(VLOOKUP(Tabla44[[#This Row],[SERVICIO 2025]],$J$2:$V$15,3,0)*Tabla44[[#This Row],[TOTAL COBERTURA]])+VLOOKUP(Tabla44[[#This Row],[SERVICIO 2025]],$J$2:$V$15,10,0)*Tabla44[[#This Row],[TOTAL COBERTURA]]</f>
        <v>15599448</v>
      </c>
      <c r="AY194" s="35">
        <f>(VLOOKUP(Tabla44[[#This Row],[SERVICIO 2025]],$J$2:$V$15,3,0)*Tabla44[[#This Row],[TOTAL COBERTURA]])+VLOOKUP(Tabla44[[#This Row],[SERVICIO 2025]],$J$2:$V$15,10,0)*Tabla44[[#This Row],[TOTAL COBERTURA]]</f>
        <v>15599448</v>
      </c>
      <c r="AZ194" s="35">
        <f>(VLOOKUP(Tabla44[[#This Row],[SERVICIO 2025]],$J$2:$V$15,3,0)*Tabla44[[#This Row],[TOTAL COBERTURA]])+VLOOKUP(Tabla44[[#This Row],[SERVICIO 2025]],$J$2:$V$15,10,0)*Tabla44[[#This Row],[TOTAL COBERTURA]]</f>
        <v>15599448</v>
      </c>
      <c r="BA194" s="35">
        <f>(VLOOKUP(Tabla44[[#This Row],[SERVICIO 2025]],$J$2:$V$15,3,0)*Tabla44[[#This Row],[TOTAL COBERTURA]])+VLOOKUP(Tabla44[[#This Row],[SERVICIO 2025]],$J$2:$V$15,10,0)*Tabla44[[#This Row],[TOTAL COBERTURA]]</f>
        <v>15599448</v>
      </c>
      <c r="BB194" s="35">
        <f>(VLOOKUP(Tabla44[[#This Row],[SERVICIO 2025]],$J$2:$V$15,3,0)*Tabla44[[#This Row],[TOTAL COBERTURA]])+VLOOKUP(Tabla44[[#This Row],[SERVICIO 2025]],$J$2:$V$15,10,0)*Tabla44[[#This Row],[TOTAL COBERTURA]]</f>
        <v>15599448</v>
      </c>
      <c r="BC19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17925781</v>
      </c>
      <c r="BD194" s="35">
        <f>SUM(Tabla44[[#This Row],[DESEMBOLSO 1]:[DESEMBOLSO 8]])</f>
        <v>129854350</v>
      </c>
      <c r="BE194" s="12" t="b">
        <f>EXACT(Tabla44[[#This Row],[VALOR ATENCIÓN (8 MESES)]],Tabla44[[#This Row],[VALOR TOTAL]])</f>
        <v>1</v>
      </c>
      <c r="BF194" s="23">
        <f>Tabla44[[#This Row],[VALOR ATENCIÓN (8 MESES)]]-Tabla44[[#This Row],[VALOR TOTAL]]</f>
        <v>0</v>
      </c>
      <c r="BG194" s="12" t="b">
        <f>EXACT(Tabla44[[#This Row],[TOTAL DESEMBOLSOS]],Tabla44[[#This Row],[VALOR TOTAL DEL CONTRATO INCLUIDO EL COMPONENTE DE ALIMENTACIÓN]])</f>
        <v>1</v>
      </c>
      <c r="BH194" s="29">
        <f>Tabla44[[#This Row],[TOTAL DESEMBOLSOS]]-Tabla44[[#This Row],[VALOR TOTAL DEL CONTRATO INCLUIDO EL COMPONENTE DE ALIMENTACIÓN]]</f>
        <v>0</v>
      </c>
      <c r="BI194" t="s">
        <v>98</v>
      </c>
    </row>
    <row r="195" spans="1:61">
      <c r="A195" s="13">
        <v>1992</v>
      </c>
      <c r="B195" s="13"/>
      <c r="C195" s="12" t="s">
        <v>87</v>
      </c>
      <c r="D195" s="12" t="s">
        <v>1534</v>
      </c>
      <c r="E195" s="12" t="s">
        <v>3181</v>
      </c>
      <c r="F195" s="12" t="s">
        <v>18</v>
      </c>
      <c r="G195" s="12" t="s">
        <v>90</v>
      </c>
      <c r="H195" s="12" t="s">
        <v>3194</v>
      </c>
      <c r="I195" s="36">
        <v>524000102016</v>
      </c>
      <c r="J195" s="12" t="s">
        <v>3195</v>
      </c>
      <c r="K195" s="12">
        <v>1</v>
      </c>
      <c r="L195" s="12">
        <v>17</v>
      </c>
      <c r="M195" s="12"/>
      <c r="N195" s="13">
        <v>1992</v>
      </c>
      <c r="O195" s="12" t="s">
        <v>2850</v>
      </c>
      <c r="P195" s="12"/>
      <c r="Q195" s="12"/>
      <c r="R195" s="12" t="s">
        <v>94</v>
      </c>
      <c r="S195" s="12">
        <v>10</v>
      </c>
      <c r="T195" s="12">
        <v>900325081</v>
      </c>
      <c r="U195" s="12" t="s">
        <v>167</v>
      </c>
      <c r="V195" s="12">
        <f>VLOOKUP(Tabla44[[#This Row],[ZONA DEFINITIVO]],[1]Hoja1!$A$1:$D$125,3,0)</f>
        <v>229939</v>
      </c>
      <c r="W195" s="12">
        <f>VLOOKUP(Tabla44[[#This Row],[ZONA DEFINITIVO]],[1]Hoja1!$A$1:$D$125,2,0)</f>
        <v>17257</v>
      </c>
      <c r="X195" s="12">
        <f>VLOOKUP(Tabla44[[#This Row],[ZONA DEFINITIVO]],[1]Hoja1!$A$1:$D$125,4,0)</f>
        <v>104325</v>
      </c>
      <c r="Y195" s="12" t="str">
        <f>+IF(Tabla44[[#This Row],[AGRUPACIONES]]=1,SUMIFS(Tabla44[UDS],Tabla44[ZONA DEFINITIVO],Tabla44[[#This Row],[ZONA DEFINITIVO]])," ")</f>
        <v xml:space="preserve"> </v>
      </c>
      <c r="Z195" s="12" t="str">
        <f>+IF(Tabla44[[#This Row],[AGRUPACIONES]]=1,SUMIFS(Tabla44[TOTAL COBERTURA],Tabla44[ZONA DEFINITIVO],Tabla44[[#This Row],[ZONA DEFINITIVO]])," ")</f>
        <v xml:space="preserve"> </v>
      </c>
      <c r="AA195" s="12"/>
      <c r="AB195" s="35">
        <v>37063281</v>
      </c>
      <c r="AC195" s="37">
        <v>0</v>
      </c>
      <c r="AD195" s="35">
        <f t="shared" si="3"/>
        <v>0</v>
      </c>
      <c r="AE195" s="12"/>
      <c r="AF195" s="12">
        <f>COUNTIF($A$20:A195,A195)</f>
        <v>7</v>
      </c>
      <c r="AG195" s="38">
        <v>37063281</v>
      </c>
      <c r="AH195" s="38">
        <f>Tabla44[[#This Row],[VALOR CONTRAPARTIDA]]+Tabla44[[#This Row],[TOTAL APORTES ICBF]]</f>
        <v>37063281</v>
      </c>
      <c r="AI195" s="35" t="str">
        <f>+IF(Tabla44[[#This Row],[AGRUPACIONES]]=1,SUMIFS(Tabla44[TOTAL APORTES ICBF],Tabla44[ZONA DEFINITIVO],Tabla44[[#This Row],[ZONA DEFINITIVO]])," ")</f>
        <v xml:space="preserve"> </v>
      </c>
      <c r="AJ195" s="38"/>
      <c r="AK195" s="38"/>
      <c r="AL195" s="35"/>
      <c r="AM195" s="35">
        <f>VLOOKUP(Tabla44[[#This Row],[SERVICIO 2025]],$J$2:$V$15,5,0)*Tabla44[[#This Row],[TOTAL COBERTURA]]</f>
        <v>839392</v>
      </c>
      <c r="AN195" s="35">
        <f>VLOOKUP(Tabla44[[#This Row],[SERVICIO 2025]],$J$2:$V$15,6,0)*Tabla44[[#This Row],[TOTAL COBERTURA]]</f>
        <v>697493</v>
      </c>
      <c r="AO195" s="35">
        <f>VLOOKUP(Tabla44[[#This Row],[SERVICIO 2025]],$J$2:$V$15,8,0)*Tabla44[[#This Row],[TOTAL COBERTURA]]</f>
        <v>494700</v>
      </c>
      <c r="AP195" s="35">
        <f>VLOOKUP(Tabla44[[#This Row],[SERVICIO 2025]],$J$2:$V$15,3,0)*Tabla44[[#This Row],[TOTAL COBERTURA]]*8</f>
        <v>35031696</v>
      </c>
      <c r="AQ195" s="35"/>
      <c r="AR195" s="35">
        <f>SUM(Tabla44[[#This Row],[VALOR FASE PREPARATORIA DE ALISTAMIENTO]:[VALOR RACION PREPARADA]])</f>
        <v>37063281</v>
      </c>
      <c r="AS195" s="35" t="str">
        <f>+IF(Tabla44[[#This Row],[AGRUPACIONES]]=1,SUMIFS(Tabla44[VALOR TOTAL],Tabla44[ZONA DEFINITIVO],Tabla44[[#This Row],[ZONA DEFINITIVO]])," ")</f>
        <v xml:space="preserve"> </v>
      </c>
      <c r="AT195" s="35">
        <f>VLOOKUP(Tabla44[[#This Row],[SERVICIO 2025]],$J$2:$V$15,10,0)*Tabla44[[#This Row],[TOTAL COBERTURA]]*$X$7</f>
        <v>24532088</v>
      </c>
      <c r="AU195" s="39">
        <f>Tabla44[[#This Row],[TOTAL CONTRATO (ICBF+EAS)]]+Tabla44[[#This Row],[VALOR COMPONENTE ALIMENTACION NO ASIGNADO]]</f>
        <v>61595369</v>
      </c>
      <c r="AV19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195" s="35">
        <f>(VLOOKUP(Tabla44[[#This Row],[SERVICIO 2025]],$J$2:$V$15,3,0)*Tabla44[[#This Row],[TOTAL COBERTURA]])+VLOOKUP(Tabla44[[#This Row],[SERVICIO 2025]],$J$2:$V$15,10,0)*Tabla44[[#This Row],[TOTAL COBERTURA]]</f>
        <v>7445473</v>
      </c>
      <c r="AX195" s="35">
        <f>(VLOOKUP(Tabla44[[#This Row],[SERVICIO 2025]],$J$2:$V$15,3,0)*Tabla44[[#This Row],[TOTAL COBERTURA]])+VLOOKUP(Tabla44[[#This Row],[SERVICIO 2025]],$J$2:$V$15,10,0)*Tabla44[[#This Row],[TOTAL COBERTURA]]</f>
        <v>7445473</v>
      </c>
      <c r="AY195" s="35">
        <f>(VLOOKUP(Tabla44[[#This Row],[SERVICIO 2025]],$J$2:$V$15,3,0)*Tabla44[[#This Row],[TOTAL COBERTURA]])+VLOOKUP(Tabla44[[#This Row],[SERVICIO 2025]],$J$2:$V$15,10,0)*Tabla44[[#This Row],[TOTAL COBERTURA]]</f>
        <v>7445473</v>
      </c>
      <c r="AZ195" s="35">
        <f>(VLOOKUP(Tabla44[[#This Row],[SERVICIO 2025]],$J$2:$V$15,3,0)*Tabla44[[#This Row],[TOTAL COBERTURA]])+VLOOKUP(Tabla44[[#This Row],[SERVICIO 2025]],$J$2:$V$15,10,0)*Tabla44[[#This Row],[TOTAL COBERTURA]]</f>
        <v>7445473</v>
      </c>
      <c r="BA195" s="35">
        <f>(VLOOKUP(Tabla44[[#This Row],[SERVICIO 2025]],$J$2:$V$15,3,0)*Tabla44[[#This Row],[TOTAL COBERTURA]])+VLOOKUP(Tabla44[[#This Row],[SERVICIO 2025]],$J$2:$V$15,10,0)*Tabla44[[#This Row],[TOTAL COBERTURA]]</f>
        <v>7445473</v>
      </c>
      <c r="BB195" s="35">
        <f>(VLOOKUP(Tabla44[[#This Row],[SERVICIO 2025]],$J$2:$V$15,3,0)*Tabla44[[#This Row],[TOTAL COBERTURA]])+VLOOKUP(Tabla44[[#This Row],[SERVICIO 2025]],$J$2:$V$15,10,0)*Tabla44[[#This Row],[TOTAL COBERTURA]]</f>
        <v>7445473</v>
      </c>
      <c r="BC19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195" s="35">
        <f>SUM(Tabla44[[#This Row],[DESEMBOLSO 1]:[DESEMBOLSO 8]])</f>
        <v>61595369</v>
      </c>
      <c r="BE195" s="12" t="b">
        <f>EXACT(Tabla44[[#This Row],[VALOR ATENCIÓN (8 MESES)]],Tabla44[[#This Row],[VALOR TOTAL]])</f>
        <v>1</v>
      </c>
      <c r="BF195" s="23">
        <f>Tabla44[[#This Row],[VALOR ATENCIÓN (8 MESES)]]-Tabla44[[#This Row],[VALOR TOTAL]]</f>
        <v>0</v>
      </c>
      <c r="BG195" s="12" t="b">
        <f>EXACT(Tabla44[[#This Row],[TOTAL DESEMBOLSOS]],Tabla44[[#This Row],[VALOR TOTAL DEL CONTRATO INCLUIDO EL COMPONENTE DE ALIMENTACIÓN]])</f>
        <v>1</v>
      </c>
      <c r="BH195" s="29">
        <f>Tabla44[[#This Row],[TOTAL DESEMBOLSOS]]-Tabla44[[#This Row],[VALOR TOTAL DEL CONTRATO INCLUIDO EL COMPONENTE DE ALIMENTACIÓN]]</f>
        <v>0</v>
      </c>
      <c r="BI195" t="s">
        <v>98</v>
      </c>
    </row>
    <row r="196" spans="1:61">
      <c r="A196" s="13">
        <v>1992</v>
      </c>
      <c r="B196" s="13"/>
      <c r="C196" s="12" t="s">
        <v>87</v>
      </c>
      <c r="D196" s="12" t="s">
        <v>1534</v>
      </c>
      <c r="E196" s="12" t="s">
        <v>3181</v>
      </c>
      <c r="F196" s="12" t="s">
        <v>15</v>
      </c>
      <c r="G196" s="12" t="s">
        <v>90</v>
      </c>
      <c r="H196" s="12" t="s">
        <v>3196</v>
      </c>
      <c r="I196" s="36">
        <v>524000113328</v>
      </c>
      <c r="J196" s="12" t="s">
        <v>3197</v>
      </c>
      <c r="K196" s="12">
        <v>1</v>
      </c>
      <c r="L196" s="12">
        <v>30</v>
      </c>
      <c r="M196" s="12"/>
      <c r="N196" s="13">
        <v>1992</v>
      </c>
      <c r="O196" s="12" t="s">
        <v>2850</v>
      </c>
      <c r="P196" s="12"/>
      <c r="Q196" s="12"/>
      <c r="R196" s="12" t="s">
        <v>94</v>
      </c>
      <c r="S196" s="12">
        <v>10</v>
      </c>
      <c r="T196" s="12">
        <v>900325081</v>
      </c>
      <c r="U196" s="12" t="s">
        <v>167</v>
      </c>
      <c r="V196" s="12">
        <f>VLOOKUP(Tabla44[[#This Row],[ZONA DEFINITIVO]],[1]Hoja1!$A$1:$D$125,3,0)</f>
        <v>229939</v>
      </c>
      <c r="W196" s="12">
        <f>VLOOKUP(Tabla44[[#This Row],[ZONA DEFINITIVO]],[1]Hoja1!$A$1:$D$125,2,0)</f>
        <v>17257</v>
      </c>
      <c r="X196" s="12">
        <f>VLOOKUP(Tabla44[[#This Row],[ZONA DEFINITIVO]],[1]Hoja1!$A$1:$D$125,4,0)</f>
        <v>104325</v>
      </c>
      <c r="Y196" s="12" t="str">
        <f>+IF(Tabla44[[#This Row],[AGRUPACIONES]]=1,SUMIFS(Tabla44[UDS],Tabla44[ZONA DEFINITIVO],Tabla44[[#This Row],[ZONA DEFINITIVO]])," ")</f>
        <v xml:space="preserve"> </v>
      </c>
      <c r="Z196" s="12" t="str">
        <f>+IF(Tabla44[[#This Row],[AGRUPACIONES]]=1,SUMIFS(Tabla44[TOTAL COBERTURA],Tabla44[ZONA DEFINITIVO],Tabla44[[#This Row],[ZONA DEFINITIVO]])," ")</f>
        <v xml:space="preserve"> </v>
      </c>
      <c r="AA196" s="12"/>
      <c r="AB196" s="35">
        <v>129882060</v>
      </c>
      <c r="AC196" s="37">
        <v>0</v>
      </c>
      <c r="AD196" s="35">
        <f t="shared" si="3"/>
        <v>0</v>
      </c>
      <c r="AE196" s="12"/>
      <c r="AF196" s="12">
        <f>COUNTIF($A$20:A196,A196)</f>
        <v>8</v>
      </c>
      <c r="AG196" s="38">
        <v>129882060</v>
      </c>
      <c r="AH196" s="38">
        <f>Tabla44[[#This Row],[VALOR CONTRAPARTIDA]]+Tabla44[[#This Row],[TOTAL APORTES ICBF]]</f>
        <v>129882060</v>
      </c>
      <c r="AI196" s="35" t="str">
        <f>+IF(Tabla44[[#This Row],[AGRUPACIONES]]=1,SUMIFS(Tabla44[TOTAL APORTES ICBF],Tabla44[ZONA DEFINITIVO],Tabla44[[#This Row],[ZONA DEFINITIVO]])," ")</f>
        <v xml:space="preserve"> </v>
      </c>
      <c r="AJ196" s="38"/>
      <c r="AK196" s="38"/>
      <c r="AL196" s="35"/>
      <c r="AM196" s="35">
        <f>VLOOKUP(Tabla44[[#This Row],[SERVICIO 2025]],$J$2:$V$15,5,0)*Tabla44[[#This Row],[TOTAL COBERTURA]]</f>
        <v>2644290</v>
      </c>
      <c r="AN196" s="35">
        <f>VLOOKUP(Tabla44[[#This Row],[SERVICIO 2025]],$J$2:$V$15,6,0)*Tabla44[[#This Row],[TOTAL COBERTURA]]</f>
        <v>2251290</v>
      </c>
      <c r="AO196" s="35">
        <f>VLOOKUP(Tabla44[[#This Row],[SERVICIO 2025]],$J$2:$V$15,8,0)*Tabla44[[#This Row],[TOTAL COBERTURA]]</f>
        <v>0</v>
      </c>
      <c r="AP196" s="35">
        <f>VLOOKUP(Tabla44[[#This Row],[SERVICIO 2025]],$J$2:$V$15,3,0)*Tabla44[[#This Row],[TOTAL COBERTURA]]*8</f>
        <v>124986480</v>
      </c>
      <c r="AQ196" s="35"/>
      <c r="AR196" s="35">
        <f>SUM(Tabla44[[#This Row],[VALOR FASE PREPARATORIA DE ALISTAMIENTO]:[VALOR RACION PREPARADA]])</f>
        <v>129882060</v>
      </c>
      <c r="AS196" s="35" t="str">
        <f>+IF(Tabla44[[#This Row],[AGRUPACIONES]]=1,SUMIFS(Tabla44[VALOR TOTAL],Tabla44[ZONA DEFINITIVO],Tabla44[[#This Row],[ZONA DEFINITIVO]])," ")</f>
        <v xml:space="preserve"> </v>
      </c>
      <c r="AT196" s="35">
        <f>VLOOKUP(Tabla44[[#This Row],[SERVICIO 2025]],$J$2:$V$15,10,0)*Tabla44[[#This Row],[TOTAL COBERTURA]]*$X$7</f>
        <v>0</v>
      </c>
      <c r="AU196" s="39">
        <f>Tabla44[[#This Row],[TOTAL CONTRATO (ICBF+EAS)]]+Tabla44[[#This Row],[VALOR COMPONENTE ALIMENTACION NO ASIGNADO]]</f>
        <v>129882060</v>
      </c>
      <c r="AV19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18267600</v>
      </c>
      <c r="AW196" s="35">
        <f>(VLOOKUP(Tabla44[[#This Row],[SERVICIO 2025]],$J$2:$V$15,3,0)*Tabla44[[#This Row],[TOTAL COBERTURA]])+VLOOKUP(Tabla44[[#This Row],[SERVICIO 2025]],$J$2:$V$15,10,0)*Tabla44[[#This Row],[TOTAL COBERTURA]]</f>
        <v>15623310</v>
      </c>
      <c r="AX196" s="35">
        <f>(VLOOKUP(Tabla44[[#This Row],[SERVICIO 2025]],$J$2:$V$15,3,0)*Tabla44[[#This Row],[TOTAL COBERTURA]])+VLOOKUP(Tabla44[[#This Row],[SERVICIO 2025]],$J$2:$V$15,10,0)*Tabla44[[#This Row],[TOTAL COBERTURA]]</f>
        <v>15623310</v>
      </c>
      <c r="AY196" s="35">
        <f>(VLOOKUP(Tabla44[[#This Row],[SERVICIO 2025]],$J$2:$V$15,3,0)*Tabla44[[#This Row],[TOTAL COBERTURA]])+VLOOKUP(Tabla44[[#This Row],[SERVICIO 2025]],$J$2:$V$15,10,0)*Tabla44[[#This Row],[TOTAL COBERTURA]]</f>
        <v>15623310</v>
      </c>
      <c r="AZ196" s="35">
        <f>(VLOOKUP(Tabla44[[#This Row],[SERVICIO 2025]],$J$2:$V$15,3,0)*Tabla44[[#This Row],[TOTAL COBERTURA]])+VLOOKUP(Tabla44[[#This Row],[SERVICIO 2025]],$J$2:$V$15,10,0)*Tabla44[[#This Row],[TOTAL COBERTURA]]</f>
        <v>15623310</v>
      </c>
      <c r="BA196" s="35">
        <f>(VLOOKUP(Tabla44[[#This Row],[SERVICIO 2025]],$J$2:$V$15,3,0)*Tabla44[[#This Row],[TOTAL COBERTURA]])+VLOOKUP(Tabla44[[#This Row],[SERVICIO 2025]],$J$2:$V$15,10,0)*Tabla44[[#This Row],[TOTAL COBERTURA]]</f>
        <v>15623310</v>
      </c>
      <c r="BB196" s="35">
        <f>(VLOOKUP(Tabla44[[#This Row],[SERVICIO 2025]],$J$2:$V$15,3,0)*Tabla44[[#This Row],[TOTAL COBERTURA]])+VLOOKUP(Tabla44[[#This Row],[SERVICIO 2025]],$J$2:$V$15,10,0)*Tabla44[[#This Row],[TOTAL COBERTURA]]</f>
        <v>15623310</v>
      </c>
      <c r="BC19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17874600</v>
      </c>
      <c r="BD196" s="35">
        <f>SUM(Tabla44[[#This Row],[DESEMBOLSO 1]:[DESEMBOLSO 8]])</f>
        <v>129882060</v>
      </c>
      <c r="BE196" s="12" t="b">
        <f>EXACT(Tabla44[[#This Row],[VALOR ATENCIÓN (8 MESES)]],Tabla44[[#This Row],[VALOR TOTAL]])</f>
        <v>1</v>
      </c>
      <c r="BF196" s="23">
        <f>Tabla44[[#This Row],[VALOR ATENCIÓN (8 MESES)]]-Tabla44[[#This Row],[VALOR TOTAL]]</f>
        <v>0</v>
      </c>
      <c r="BG196" s="12" t="b">
        <f>EXACT(Tabla44[[#This Row],[TOTAL DESEMBOLSOS]],Tabla44[[#This Row],[VALOR TOTAL DEL CONTRATO INCLUIDO EL COMPONENTE DE ALIMENTACIÓN]])</f>
        <v>1</v>
      </c>
      <c r="BH196" s="29">
        <f>Tabla44[[#This Row],[TOTAL DESEMBOLSOS]]-Tabla44[[#This Row],[VALOR TOTAL DEL CONTRATO INCLUIDO EL COMPONENTE DE ALIMENTACIÓN]]</f>
        <v>0</v>
      </c>
      <c r="BI196" t="s">
        <v>98</v>
      </c>
    </row>
    <row r="197" spans="1:61">
      <c r="A197" s="13">
        <v>1992</v>
      </c>
      <c r="B197" s="13"/>
      <c r="C197" s="12" t="s">
        <v>87</v>
      </c>
      <c r="D197" s="12" t="s">
        <v>1534</v>
      </c>
      <c r="E197" s="12" t="s">
        <v>3198</v>
      </c>
      <c r="F197" s="12" t="s">
        <v>18</v>
      </c>
      <c r="G197" s="12" t="s">
        <v>90</v>
      </c>
      <c r="H197" s="12" t="s">
        <v>3199</v>
      </c>
      <c r="I197" s="36">
        <v>55011137029</v>
      </c>
      <c r="J197" s="12" t="s">
        <v>3200</v>
      </c>
      <c r="K197" s="12">
        <v>1</v>
      </c>
      <c r="L197" s="12">
        <v>15</v>
      </c>
      <c r="M197" s="12"/>
      <c r="N197" s="13">
        <v>1992</v>
      </c>
      <c r="O197" s="12" t="s">
        <v>2850</v>
      </c>
      <c r="P197" s="12"/>
      <c r="Q197" s="12"/>
      <c r="R197" s="12" t="s">
        <v>94</v>
      </c>
      <c r="S197" s="12">
        <v>10</v>
      </c>
      <c r="T197" s="12">
        <v>900325081</v>
      </c>
      <c r="U197" s="12" t="s">
        <v>167</v>
      </c>
      <c r="V197" s="12">
        <f>VLOOKUP(Tabla44[[#This Row],[ZONA DEFINITIVO]],[1]Hoja1!$A$1:$D$125,3,0)</f>
        <v>229939</v>
      </c>
      <c r="W197" s="12">
        <f>VLOOKUP(Tabla44[[#This Row],[ZONA DEFINITIVO]],[1]Hoja1!$A$1:$D$125,2,0)</f>
        <v>17257</v>
      </c>
      <c r="X197" s="12">
        <f>VLOOKUP(Tabla44[[#This Row],[ZONA DEFINITIVO]],[1]Hoja1!$A$1:$D$125,4,0)</f>
        <v>104325</v>
      </c>
      <c r="Y197" s="12" t="str">
        <f>+IF(Tabla44[[#This Row],[AGRUPACIONES]]=1,SUMIFS(Tabla44[UDS],Tabla44[ZONA DEFINITIVO],Tabla44[[#This Row],[ZONA DEFINITIVO]])," ")</f>
        <v xml:space="preserve"> </v>
      </c>
      <c r="Z197" s="12" t="str">
        <f>+IF(Tabla44[[#This Row],[AGRUPACIONES]]=1,SUMIFS(Tabla44[TOTAL COBERTURA],Tabla44[ZONA DEFINITIVO],Tabla44[[#This Row],[ZONA DEFINITIVO]])," ")</f>
        <v xml:space="preserve"> </v>
      </c>
      <c r="AA197" s="12"/>
      <c r="AB197" s="35">
        <v>32702895</v>
      </c>
      <c r="AC197" s="37">
        <v>0</v>
      </c>
      <c r="AD197" s="35">
        <f t="shared" si="3"/>
        <v>0</v>
      </c>
      <c r="AE197" s="12"/>
      <c r="AF197" s="12">
        <f>COUNTIF($A$20:A197,A197)</f>
        <v>9</v>
      </c>
      <c r="AG197" s="38">
        <v>32702895</v>
      </c>
      <c r="AH197" s="38">
        <f>Tabla44[[#This Row],[VALOR CONTRAPARTIDA]]+Tabla44[[#This Row],[TOTAL APORTES ICBF]]</f>
        <v>32702895</v>
      </c>
      <c r="AI197" s="35" t="str">
        <f>+IF(Tabla44[[#This Row],[AGRUPACIONES]]=1,SUMIFS(Tabla44[TOTAL APORTES ICBF],Tabla44[ZONA DEFINITIVO],Tabla44[[#This Row],[ZONA DEFINITIVO]])," ")</f>
        <v xml:space="preserve"> </v>
      </c>
      <c r="AJ197" s="38"/>
      <c r="AK197" s="38"/>
      <c r="AL197" s="35"/>
      <c r="AM197" s="35">
        <f>VLOOKUP(Tabla44[[#This Row],[SERVICIO 2025]],$J$2:$V$15,5,0)*Tabla44[[#This Row],[TOTAL COBERTURA]]</f>
        <v>740640</v>
      </c>
      <c r="AN197" s="35">
        <f>VLOOKUP(Tabla44[[#This Row],[SERVICIO 2025]],$J$2:$V$15,6,0)*Tabla44[[#This Row],[TOTAL COBERTURA]]</f>
        <v>615435</v>
      </c>
      <c r="AO197" s="35">
        <f>VLOOKUP(Tabla44[[#This Row],[SERVICIO 2025]],$J$2:$V$15,8,0)*Tabla44[[#This Row],[TOTAL COBERTURA]]</f>
        <v>436500</v>
      </c>
      <c r="AP197" s="35">
        <f>VLOOKUP(Tabla44[[#This Row],[SERVICIO 2025]],$J$2:$V$15,3,0)*Tabla44[[#This Row],[TOTAL COBERTURA]]*8</f>
        <v>30910320</v>
      </c>
      <c r="AQ197" s="35"/>
      <c r="AR197" s="35">
        <f>SUM(Tabla44[[#This Row],[VALOR FASE PREPARATORIA DE ALISTAMIENTO]:[VALOR RACION PREPARADA]])</f>
        <v>32702895</v>
      </c>
      <c r="AS197" s="35" t="str">
        <f>+IF(Tabla44[[#This Row],[AGRUPACIONES]]=1,SUMIFS(Tabla44[VALOR TOTAL],Tabla44[ZONA DEFINITIVO],Tabla44[[#This Row],[ZONA DEFINITIVO]])," ")</f>
        <v xml:space="preserve"> </v>
      </c>
      <c r="AT197" s="35">
        <f>VLOOKUP(Tabla44[[#This Row],[SERVICIO 2025]],$J$2:$V$15,10,0)*Tabla44[[#This Row],[TOTAL COBERTURA]]*$X$7</f>
        <v>21645960</v>
      </c>
      <c r="AU197" s="39">
        <f>Tabla44[[#This Row],[TOTAL CONTRATO (ICBF+EAS)]]+Tabla44[[#This Row],[VALOR COMPONENTE ALIMENTACION NO ASIGNADO]]</f>
        <v>54348855</v>
      </c>
      <c r="AV19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197" s="35">
        <f>(VLOOKUP(Tabla44[[#This Row],[SERVICIO 2025]],$J$2:$V$15,3,0)*Tabla44[[#This Row],[TOTAL COBERTURA]])+VLOOKUP(Tabla44[[#This Row],[SERVICIO 2025]],$J$2:$V$15,10,0)*Tabla44[[#This Row],[TOTAL COBERTURA]]</f>
        <v>6569535</v>
      </c>
      <c r="AX197" s="35">
        <f>(VLOOKUP(Tabla44[[#This Row],[SERVICIO 2025]],$J$2:$V$15,3,0)*Tabla44[[#This Row],[TOTAL COBERTURA]])+VLOOKUP(Tabla44[[#This Row],[SERVICIO 2025]],$J$2:$V$15,10,0)*Tabla44[[#This Row],[TOTAL COBERTURA]]</f>
        <v>6569535</v>
      </c>
      <c r="AY197" s="35">
        <f>(VLOOKUP(Tabla44[[#This Row],[SERVICIO 2025]],$J$2:$V$15,3,0)*Tabla44[[#This Row],[TOTAL COBERTURA]])+VLOOKUP(Tabla44[[#This Row],[SERVICIO 2025]],$J$2:$V$15,10,0)*Tabla44[[#This Row],[TOTAL COBERTURA]]</f>
        <v>6569535</v>
      </c>
      <c r="AZ197" s="35">
        <f>(VLOOKUP(Tabla44[[#This Row],[SERVICIO 2025]],$J$2:$V$15,3,0)*Tabla44[[#This Row],[TOTAL COBERTURA]])+VLOOKUP(Tabla44[[#This Row],[SERVICIO 2025]],$J$2:$V$15,10,0)*Tabla44[[#This Row],[TOTAL COBERTURA]]</f>
        <v>6569535</v>
      </c>
      <c r="BA197" s="35">
        <f>(VLOOKUP(Tabla44[[#This Row],[SERVICIO 2025]],$J$2:$V$15,3,0)*Tabla44[[#This Row],[TOTAL COBERTURA]])+VLOOKUP(Tabla44[[#This Row],[SERVICIO 2025]],$J$2:$V$15,10,0)*Tabla44[[#This Row],[TOTAL COBERTURA]]</f>
        <v>6569535</v>
      </c>
      <c r="BB197" s="35">
        <f>(VLOOKUP(Tabla44[[#This Row],[SERVICIO 2025]],$J$2:$V$15,3,0)*Tabla44[[#This Row],[TOTAL COBERTURA]])+VLOOKUP(Tabla44[[#This Row],[SERVICIO 2025]],$J$2:$V$15,10,0)*Tabla44[[#This Row],[TOTAL COBERTURA]]</f>
        <v>6569535</v>
      </c>
      <c r="BC19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197" s="35">
        <f>SUM(Tabla44[[#This Row],[DESEMBOLSO 1]:[DESEMBOLSO 8]])</f>
        <v>54348855</v>
      </c>
      <c r="BE197" s="12" t="b">
        <f>EXACT(Tabla44[[#This Row],[VALOR ATENCIÓN (8 MESES)]],Tabla44[[#This Row],[VALOR TOTAL]])</f>
        <v>1</v>
      </c>
      <c r="BF197" s="23">
        <f>Tabla44[[#This Row],[VALOR ATENCIÓN (8 MESES)]]-Tabla44[[#This Row],[VALOR TOTAL]]</f>
        <v>0</v>
      </c>
      <c r="BG197" s="12" t="b">
        <f>EXACT(Tabla44[[#This Row],[TOTAL DESEMBOLSOS]],Tabla44[[#This Row],[VALOR TOTAL DEL CONTRATO INCLUIDO EL COMPONENTE DE ALIMENTACIÓN]])</f>
        <v>1</v>
      </c>
      <c r="BH197" s="29">
        <f>Tabla44[[#This Row],[TOTAL DESEMBOLSOS]]-Tabla44[[#This Row],[VALOR TOTAL DEL CONTRATO INCLUIDO EL COMPONENTE DE ALIMENTACIÓN]]</f>
        <v>0</v>
      </c>
      <c r="BI197" t="s">
        <v>98</v>
      </c>
    </row>
    <row r="198" spans="1:61">
      <c r="A198" s="13">
        <v>1992</v>
      </c>
      <c r="B198" s="13"/>
      <c r="C198" s="12" t="s">
        <v>87</v>
      </c>
      <c r="D198" s="12" t="s">
        <v>1534</v>
      </c>
      <c r="E198" s="12" t="s">
        <v>3198</v>
      </c>
      <c r="F198" s="12" t="s">
        <v>18</v>
      </c>
      <c r="G198" s="12" t="s">
        <v>90</v>
      </c>
      <c r="H198" s="12" t="s">
        <v>3201</v>
      </c>
      <c r="I198" s="36">
        <v>55011150178</v>
      </c>
      <c r="J198" s="12" t="s">
        <v>3202</v>
      </c>
      <c r="K198" s="12">
        <v>1</v>
      </c>
      <c r="L198" s="12">
        <v>28</v>
      </c>
      <c r="M198" s="12"/>
      <c r="N198" s="13">
        <v>1992</v>
      </c>
      <c r="O198" s="12" t="s">
        <v>2850</v>
      </c>
      <c r="P198" s="12"/>
      <c r="Q198" s="12"/>
      <c r="R198" s="12" t="s">
        <v>94</v>
      </c>
      <c r="S198" s="12">
        <v>10</v>
      </c>
      <c r="T198" s="12">
        <v>900325081</v>
      </c>
      <c r="U198" s="12" t="s">
        <v>167</v>
      </c>
      <c r="V198" s="12">
        <f>VLOOKUP(Tabla44[[#This Row],[ZONA DEFINITIVO]],[1]Hoja1!$A$1:$D$125,3,0)</f>
        <v>229939</v>
      </c>
      <c r="W198" s="12">
        <f>VLOOKUP(Tabla44[[#This Row],[ZONA DEFINITIVO]],[1]Hoja1!$A$1:$D$125,2,0)</f>
        <v>17257</v>
      </c>
      <c r="X198" s="12">
        <f>VLOOKUP(Tabla44[[#This Row],[ZONA DEFINITIVO]],[1]Hoja1!$A$1:$D$125,4,0)</f>
        <v>104325</v>
      </c>
      <c r="Y198" s="12" t="str">
        <f>+IF(Tabla44[[#This Row],[AGRUPACIONES]]=1,SUMIFS(Tabla44[UDS],Tabla44[ZONA DEFINITIVO],Tabla44[[#This Row],[ZONA DEFINITIVO]])," ")</f>
        <v xml:space="preserve"> </v>
      </c>
      <c r="Z198" s="12" t="str">
        <f>+IF(Tabla44[[#This Row],[AGRUPACIONES]]=1,SUMIFS(Tabla44[TOTAL COBERTURA],Tabla44[ZONA DEFINITIVO],Tabla44[[#This Row],[ZONA DEFINITIVO]])," ")</f>
        <v xml:space="preserve"> </v>
      </c>
      <c r="AA198" s="12"/>
      <c r="AB198" s="35">
        <v>61045404</v>
      </c>
      <c r="AC198" s="37">
        <v>0</v>
      </c>
      <c r="AD198" s="35">
        <f t="shared" si="3"/>
        <v>0</v>
      </c>
      <c r="AE198" s="12"/>
      <c r="AF198" s="12">
        <f>COUNTIF($A$20:A198,A198)</f>
        <v>10</v>
      </c>
      <c r="AG198" s="38">
        <v>61045404</v>
      </c>
      <c r="AH198" s="38">
        <f>Tabla44[[#This Row],[VALOR CONTRAPARTIDA]]+Tabla44[[#This Row],[TOTAL APORTES ICBF]]</f>
        <v>61045404</v>
      </c>
      <c r="AI198" s="35" t="str">
        <f>+IF(Tabla44[[#This Row],[AGRUPACIONES]]=1,SUMIFS(Tabla44[TOTAL APORTES ICBF],Tabla44[ZONA DEFINITIVO],Tabla44[[#This Row],[ZONA DEFINITIVO]])," ")</f>
        <v xml:space="preserve"> </v>
      </c>
      <c r="AJ198" s="38"/>
      <c r="AK198" s="38"/>
      <c r="AL198" s="35"/>
      <c r="AM198" s="35">
        <f>VLOOKUP(Tabla44[[#This Row],[SERVICIO 2025]],$J$2:$V$15,5,0)*Tabla44[[#This Row],[TOTAL COBERTURA]]</f>
        <v>1382528</v>
      </c>
      <c r="AN198" s="35">
        <f>VLOOKUP(Tabla44[[#This Row],[SERVICIO 2025]],$J$2:$V$15,6,0)*Tabla44[[#This Row],[TOTAL COBERTURA]]</f>
        <v>1148812</v>
      </c>
      <c r="AO198" s="35">
        <f>VLOOKUP(Tabla44[[#This Row],[SERVICIO 2025]],$J$2:$V$15,8,0)*Tabla44[[#This Row],[TOTAL COBERTURA]]</f>
        <v>814800</v>
      </c>
      <c r="AP198" s="35">
        <f>VLOOKUP(Tabla44[[#This Row],[SERVICIO 2025]],$J$2:$V$15,3,0)*Tabla44[[#This Row],[TOTAL COBERTURA]]*8</f>
        <v>57699264</v>
      </c>
      <c r="AQ198" s="35"/>
      <c r="AR198" s="35">
        <f>SUM(Tabla44[[#This Row],[VALOR FASE PREPARATORIA DE ALISTAMIENTO]:[VALOR RACION PREPARADA]])</f>
        <v>61045404</v>
      </c>
      <c r="AS198" s="35" t="str">
        <f>+IF(Tabla44[[#This Row],[AGRUPACIONES]]=1,SUMIFS(Tabla44[VALOR TOTAL],Tabla44[ZONA DEFINITIVO],Tabla44[[#This Row],[ZONA DEFINITIVO]])," ")</f>
        <v xml:space="preserve"> </v>
      </c>
      <c r="AT198" s="35">
        <f>VLOOKUP(Tabla44[[#This Row],[SERVICIO 2025]],$J$2:$V$15,10,0)*Tabla44[[#This Row],[TOTAL COBERTURA]]*$X$7</f>
        <v>40405792</v>
      </c>
      <c r="AU198" s="39">
        <f>Tabla44[[#This Row],[TOTAL CONTRATO (ICBF+EAS)]]+Tabla44[[#This Row],[VALOR COMPONENTE ALIMENTACION NO ASIGNADO]]</f>
        <v>101451196</v>
      </c>
      <c r="AV19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14460460</v>
      </c>
      <c r="AW198" s="35">
        <f>(VLOOKUP(Tabla44[[#This Row],[SERVICIO 2025]],$J$2:$V$15,3,0)*Tabla44[[#This Row],[TOTAL COBERTURA]])+VLOOKUP(Tabla44[[#This Row],[SERVICIO 2025]],$J$2:$V$15,10,0)*Tabla44[[#This Row],[TOTAL COBERTURA]]</f>
        <v>12263132</v>
      </c>
      <c r="AX198" s="35">
        <f>(VLOOKUP(Tabla44[[#This Row],[SERVICIO 2025]],$J$2:$V$15,3,0)*Tabla44[[#This Row],[TOTAL COBERTURA]])+VLOOKUP(Tabla44[[#This Row],[SERVICIO 2025]],$J$2:$V$15,10,0)*Tabla44[[#This Row],[TOTAL COBERTURA]]</f>
        <v>12263132</v>
      </c>
      <c r="AY198" s="35">
        <f>(VLOOKUP(Tabla44[[#This Row],[SERVICIO 2025]],$J$2:$V$15,3,0)*Tabla44[[#This Row],[TOTAL COBERTURA]])+VLOOKUP(Tabla44[[#This Row],[SERVICIO 2025]],$J$2:$V$15,10,0)*Tabla44[[#This Row],[TOTAL COBERTURA]]</f>
        <v>12263132</v>
      </c>
      <c r="AZ198" s="35">
        <f>(VLOOKUP(Tabla44[[#This Row],[SERVICIO 2025]],$J$2:$V$15,3,0)*Tabla44[[#This Row],[TOTAL COBERTURA]])+VLOOKUP(Tabla44[[#This Row],[SERVICIO 2025]],$J$2:$V$15,10,0)*Tabla44[[#This Row],[TOTAL COBERTURA]]</f>
        <v>12263132</v>
      </c>
      <c r="BA198" s="35">
        <f>(VLOOKUP(Tabla44[[#This Row],[SERVICIO 2025]],$J$2:$V$15,3,0)*Tabla44[[#This Row],[TOTAL COBERTURA]])+VLOOKUP(Tabla44[[#This Row],[SERVICIO 2025]],$J$2:$V$15,10,0)*Tabla44[[#This Row],[TOTAL COBERTURA]]</f>
        <v>12263132</v>
      </c>
      <c r="BB198" s="35">
        <f>(VLOOKUP(Tabla44[[#This Row],[SERVICIO 2025]],$J$2:$V$15,3,0)*Tabla44[[#This Row],[TOTAL COBERTURA]])+VLOOKUP(Tabla44[[#This Row],[SERVICIO 2025]],$J$2:$V$15,10,0)*Tabla44[[#This Row],[TOTAL COBERTURA]]</f>
        <v>12263132</v>
      </c>
      <c r="BC19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13411944</v>
      </c>
      <c r="BD198" s="35">
        <f>SUM(Tabla44[[#This Row],[DESEMBOLSO 1]:[DESEMBOLSO 8]])</f>
        <v>101451196</v>
      </c>
      <c r="BE198" s="12" t="b">
        <f>EXACT(Tabla44[[#This Row],[VALOR ATENCIÓN (8 MESES)]],Tabla44[[#This Row],[VALOR TOTAL]])</f>
        <v>1</v>
      </c>
      <c r="BF198" s="23">
        <f>Tabla44[[#This Row],[VALOR ATENCIÓN (8 MESES)]]-Tabla44[[#This Row],[VALOR TOTAL]]</f>
        <v>0</v>
      </c>
      <c r="BG198" s="12" t="b">
        <f>EXACT(Tabla44[[#This Row],[TOTAL DESEMBOLSOS]],Tabla44[[#This Row],[VALOR TOTAL DEL CONTRATO INCLUIDO EL COMPONENTE DE ALIMENTACIÓN]])</f>
        <v>1</v>
      </c>
      <c r="BH198" s="29">
        <f>Tabla44[[#This Row],[TOTAL DESEMBOLSOS]]-Tabla44[[#This Row],[VALOR TOTAL DEL CONTRATO INCLUIDO EL COMPONENTE DE ALIMENTACIÓN]]</f>
        <v>0</v>
      </c>
      <c r="BI198" t="s">
        <v>98</v>
      </c>
    </row>
    <row r="199" spans="1:61">
      <c r="A199" s="13">
        <v>1992</v>
      </c>
      <c r="B199" s="13"/>
      <c r="C199" s="12" t="s">
        <v>87</v>
      </c>
      <c r="D199" s="12" t="s">
        <v>1534</v>
      </c>
      <c r="E199" s="12" t="s">
        <v>3198</v>
      </c>
      <c r="F199" s="12" t="s">
        <v>18</v>
      </c>
      <c r="G199" s="12" t="s">
        <v>90</v>
      </c>
      <c r="H199" s="12" t="s">
        <v>3203</v>
      </c>
      <c r="I199" s="36">
        <v>55011150179</v>
      </c>
      <c r="J199" s="12" t="s">
        <v>3204</v>
      </c>
      <c r="K199" s="12">
        <v>1</v>
      </c>
      <c r="L199" s="12">
        <v>10</v>
      </c>
      <c r="M199" s="12"/>
      <c r="N199" s="13">
        <v>1992</v>
      </c>
      <c r="O199" s="12" t="s">
        <v>2850</v>
      </c>
      <c r="P199" s="12"/>
      <c r="Q199" s="12"/>
      <c r="R199" s="12" t="s">
        <v>94</v>
      </c>
      <c r="S199" s="12">
        <v>10</v>
      </c>
      <c r="T199" s="12">
        <v>900325081</v>
      </c>
      <c r="U199" s="12" t="s">
        <v>167</v>
      </c>
      <c r="V199" s="12">
        <f>VLOOKUP(Tabla44[[#This Row],[ZONA DEFINITIVO]],[1]Hoja1!$A$1:$D$125,3,0)</f>
        <v>229939</v>
      </c>
      <c r="W199" s="12">
        <f>VLOOKUP(Tabla44[[#This Row],[ZONA DEFINITIVO]],[1]Hoja1!$A$1:$D$125,2,0)</f>
        <v>17257</v>
      </c>
      <c r="X199" s="12">
        <f>VLOOKUP(Tabla44[[#This Row],[ZONA DEFINITIVO]],[1]Hoja1!$A$1:$D$125,4,0)</f>
        <v>104325</v>
      </c>
      <c r="Y199" s="12" t="str">
        <f>+IF(Tabla44[[#This Row],[AGRUPACIONES]]=1,SUMIFS(Tabla44[UDS],Tabla44[ZONA DEFINITIVO],Tabla44[[#This Row],[ZONA DEFINITIVO]])," ")</f>
        <v xml:space="preserve"> </v>
      </c>
      <c r="Z199" s="12" t="str">
        <f>+IF(Tabla44[[#This Row],[AGRUPACIONES]]=1,SUMIFS(Tabla44[TOTAL COBERTURA],Tabla44[ZONA DEFINITIVO],Tabla44[[#This Row],[ZONA DEFINITIVO]])," ")</f>
        <v xml:space="preserve"> </v>
      </c>
      <c r="AA199" s="12"/>
      <c r="AB199" s="35">
        <v>21801930</v>
      </c>
      <c r="AC199" s="37">
        <v>0</v>
      </c>
      <c r="AD199" s="35">
        <f t="shared" si="3"/>
        <v>0</v>
      </c>
      <c r="AE199" s="12"/>
      <c r="AF199" s="12">
        <f>COUNTIF($A$20:A199,A199)</f>
        <v>11</v>
      </c>
      <c r="AG199" s="38">
        <v>21801930</v>
      </c>
      <c r="AH199" s="38">
        <f>Tabla44[[#This Row],[VALOR CONTRAPARTIDA]]+Tabla44[[#This Row],[TOTAL APORTES ICBF]]</f>
        <v>21801930</v>
      </c>
      <c r="AI199" s="35" t="str">
        <f>+IF(Tabla44[[#This Row],[AGRUPACIONES]]=1,SUMIFS(Tabla44[TOTAL APORTES ICBF],Tabla44[ZONA DEFINITIVO],Tabla44[[#This Row],[ZONA DEFINITIVO]])," ")</f>
        <v xml:space="preserve"> </v>
      </c>
      <c r="AJ199" s="38"/>
      <c r="AK199" s="38"/>
      <c r="AL199" s="35"/>
      <c r="AM199" s="35">
        <f>VLOOKUP(Tabla44[[#This Row],[SERVICIO 2025]],$J$2:$V$15,5,0)*Tabla44[[#This Row],[TOTAL COBERTURA]]</f>
        <v>493760</v>
      </c>
      <c r="AN199" s="35">
        <f>VLOOKUP(Tabla44[[#This Row],[SERVICIO 2025]],$J$2:$V$15,6,0)*Tabla44[[#This Row],[TOTAL COBERTURA]]</f>
        <v>410290</v>
      </c>
      <c r="AO199" s="35">
        <f>VLOOKUP(Tabla44[[#This Row],[SERVICIO 2025]],$J$2:$V$15,8,0)*Tabla44[[#This Row],[TOTAL COBERTURA]]</f>
        <v>291000</v>
      </c>
      <c r="AP199" s="35">
        <f>VLOOKUP(Tabla44[[#This Row],[SERVICIO 2025]],$J$2:$V$15,3,0)*Tabla44[[#This Row],[TOTAL COBERTURA]]*8</f>
        <v>20606880</v>
      </c>
      <c r="AQ199" s="35"/>
      <c r="AR199" s="35">
        <f>SUM(Tabla44[[#This Row],[VALOR FASE PREPARATORIA DE ALISTAMIENTO]:[VALOR RACION PREPARADA]])</f>
        <v>21801930</v>
      </c>
      <c r="AS199" s="35" t="str">
        <f>+IF(Tabla44[[#This Row],[AGRUPACIONES]]=1,SUMIFS(Tabla44[VALOR TOTAL],Tabla44[ZONA DEFINITIVO],Tabla44[[#This Row],[ZONA DEFINITIVO]])," ")</f>
        <v xml:space="preserve"> </v>
      </c>
      <c r="AT199" s="35">
        <f>VLOOKUP(Tabla44[[#This Row],[SERVICIO 2025]],$J$2:$V$15,10,0)*Tabla44[[#This Row],[TOTAL COBERTURA]]*$X$7</f>
        <v>14430640</v>
      </c>
      <c r="AU199" s="39">
        <f>Tabla44[[#This Row],[TOTAL CONTRATO (ICBF+EAS)]]+Tabla44[[#This Row],[VALOR COMPONENTE ALIMENTACION NO ASIGNADO]]</f>
        <v>36232570</v>
      </c>
      <c r="AV19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199" s="35">
        <f>(VLOOKUP(Tabla44[[#This Row],[SERVICIO 2025]],$J$2:$V$15,3,0)*Tabla44[[#This Row],[TOTAL COBERTURA]])+VLOOKUP(Tabla44[[#This Row],[SERVICIO 2025]],$J$2:$V$15,10,0)*Tabla44[[#This Row],[TOTAL COBERTURA]]</f>
        <v>4379690</v>
      </c>
      <c r="AX199" s="35">
        <f>(VLOOKUP(Tabla44[[#This Row],[SERVICIO 2025]],$J$2:$V$15,3,0)*Tabla44[[#This Row],[TOTAL COBERTURA]])+VLOOKUP(Tabla44[[#This Row],[SERVICIO 2025]],$J$2:$V$15,10,0)*Tabla44[[#This Row],[TOTAL COBERTURA]]</f>
        <v>4379690</v>
      </c>
      <c r="AY199" s="35">
        <f>(VLOOKUP(Tabla44[[#This Row],[SERVICIO 2025]],$J$2:$V$15,3,0)*Tabla44[[#This Row],[TOTAL COBERTURA]])+VLOOKUP(Tabla44[[#This Row],[SERVICIO 2025]],$J$2:$V$15,10,0)*Tabla44[[#This Row],[TOTAL COBERTURA]]</f>
        <v>4379690</v>
      </c>
      <c r="AZ199" s="35">
        <f>(VLOOKUP(Tabla44[[#This Row],[SERVICIO 2025]],$J$2:$V$15,3,0)*Tabla44[[#This Row],[TOTAL COBERTURA]])+VLOOKUP(Tabla44[[#This Row],[SERVICIO 2025]],$J$2:$V$15,10,0)*Tabla44[[#This Row],[TOTAL COBERTURA]]</f>
        <v>4379690</v>
      </c>
      <c r="BA199" s="35">
        <f>(VLOOKUP(Tabla44[[#This Row],[SERVICIO 2025]],$J$2:$V$15,3,0)*Tabla44[[#This Row],[TOTAL COBERTURA]])+VLOOKUP(Tabla44[[#This Row],[SERVICIO 2025]],$J$2:$V$15,10,0)*Tabla44[[#This Row],[TOTAL COBERTURA]]</f>
        <v>4379690</v>
      </c>
      <c r="BB199" s="35">
        <f>(VLOOKUP(Tabla44[[#This Row],[SERVICIO 2025]],$J$2:$V$15,3,0)*Tabla44[[#This Row],[TOTAL COBERTURA]])+VLOOKUP(Tabla44[[#This Row],[SERVICIO 2025]],$J$2:$V$15,10,0)*Tabla44[[#This Row],[TOTAL COBERTURA]]</f>
        <v>4379690</v>
      </c>
      <c r="BC19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199" s="35">
        <f>SUM(Tabla44[[#This Row],[DESEMBOLSO 1]:[DESEMBOLSO 8]])</f>
        <v>36232570</v>
      </c>
      <c r="BE199" s="12" t="b">
        <f>EXACT(Tabla44[[#This Row],[VALOR ATENCIÓN (8 MESES)]],Tabla44[[#This Row],[VALOR TOTAL]])</f>
        <v>1</v>
      </c>
      <c r="BF199" s="23">
        <f>Tabla44[[#This Row],[VALOR ATENCIÓN (8 MESES)]]-Tabla44[[#This Row],[VALOR TOTAL]]</f>
        <v>0</v>
      </c>
      <c r="BG199" s="12" t="b">
        <f>EXACT(Tabla44[[#This Row],[TOTAL DESEMBOLSOS]],Tabla44[[#This Row],[VALOR TOTAL DEL CONTRATO INCLUIDO EL COMPONENTE DE ALIMENTACIÓN]])</f>
        <v>1</v>
      </c>
      <c r="BH199" s="29">
        <f>Tabla44[[#This Row],[TOTAL DESEMBOLSOS]]-Tabla44[[#This Row],[VALOR TOTAL DEL CONTRATO INCLUIDO EL COMPONENTE DE ALIMENTACIÓN]]</f>
        <v>0</v>
      </c>
      <c r="BI199" t="s">
        <v>98</v>
      </c>
    </row>
    <row r="200" spans="1:61">
      <c r="A200" s="13">
        <v>1992</v>
      </c>
      <c r="B200" s="13"/>
      <c r="C200" s="12" t="s">
        <v>87</v>
      </c>
      <c r="D200" s="12" t="s">
        <v>1534</v>
      </c>
      <c r="E200" s="12" t="s">
        <v>3198</v>
      </c>
      <c r="F200" s="12" t="s">
        <v>18</v>
      </c>
      <c r="G200" s="12" t="s">
        <v>90</v>
      </c>
      <c r="H200" s="12" t="s">
        <v>3205</v>
      </c>
      <c r="I200" s="36">
        <v>55011150185</v>
      </c>
      <c r="J200" s="12" t="s">
        <v>3206</v>
      </c>
      <c r="K200" s="12">
        <v>1</v>
      </c>
      <c r="L200" s="12">
        <v>11</v>
      </c>
      <c r="M200" s="12"/>
      <c r="N200" s="13">
        <v>1992</v>
      </c>
      <c r="O200" s="12" t="s">
        <v>2850</v>
      </c>
      <c r="P200" s="12"/>
      <c r="Q200" s="12"/>
      <c r="R200" s="12" t="s">
        <v>94</v>
      </c>
      <c r="S200" s="12">
        <v>10</v>
      </c>
      <c r="T200" s="12">
        <v>900325081</v>
      </c>
      <c r="U200" s="12" t="s">
        <v>167</v>
      </c>
      <c r="V200" s="12">
        <f>VLOOKUP(Tabla44[[#This Row],[ZONA DEFINITIVO]],[1]Hoja1!$A$1:$D$125,3,0)</f>
        <v>229939</v>
      </c>
      <c r="W200" s="12">
        <f>VLOOKUP(Tabla44[[#This Row],[ZONA DEFINITIVO]],[1]Hoja1!$A$1:$D$125,2,0)</f>
        <v>17257</v>
      </c>
      <c r="X200" s="12">
        <f>VLOOKUP(Tabla44[[#This Row],[ZONA DEFINITIVO]],[1]Hoja1!$A$1:$D$125,4,0)</f>
        <v>104325</v>
      </c>
      <c r="Y200" s="12" t="str">
        <f>+IF(Tabla44[[#This Row],[AGRUPACIONES]]=1,SUMIFS(Tabla44[UDS],Tabla44[ZONA DEFINITIVO],Tabla44[[#This Row],[ZONA DEFINITIVO]])," ")</f>
        <v xml:space="preserve"> </v>
      </c>
      <c r="Z200" s="12" t="str">
        <f>+IF(Tabla44[[#This Row],[AGRUPACIONES]]=1,SUMIFS(Tabla44[TOTAL COBERTURA],Tabla44[ZONA DEFINITIVO],Tabla44[[#This Row],[ZONA DEFINITIVO]])," ")</f>
        <v xml:space="preserve"> </v>
      </c>
      <c r="AA200" s="12"/>
      <c r="AB200" s="35">
        <v>23982123</v>
      </c>
      <c r="AC200" s="37">
        <v>0</v>
      </c>
      <c r="AD200" s="35">
        <f t="shared" si="3"/>
        <v>0</v>
      </c>
      <c r="AE200" s="12"/>
      <c r="AF200" s="12">
        <f>COUNTIF($A$20:A200,A200)</f>
        <v>12</v>
      </c>
      <c r="AG200" s="38">
        <v>23982123</v>
      </c>
      <c r="AH200" s="38">
        <f>Tabla44[[#This Row],[VALOR CONTRAPARTIDA]]+Tabla44[[#This Row],[TOTAL APORTES ICBF]]</f>
        <v>23982123</v>
      </c>
      <c r="AI200" s="35" t="str">
        <f>+IF(Tabla44[[#This Row],[AGRUPACIONES]]=1,SUMIFS(Tabla44[TOTAL APORTES ICBF],Tabla44[ZONA DEFINITIVO],Tabla44[[#This Row],[ZONA DEFINITIVO]])," ")</f>
        <v xml:space="preserve"> </v>
      </c>
      <c r="AJ200" s="38"/>
      <c r="AK200" s="38"/>
      <c r="AL200" s="35"/>
      <c r="AM200" s="35">
        <f>VLOOKUP(Tabla44[[#This Row],[SERVICIO 2025]],$J$2:$V$15,5,0)*Tabla44[[#This Row],[TOTAL COBERTURA]]</f>
        <v>543136</v>
      </c>
      <c r="AN200" s="35">
        <f>VLOOKUP(Tabla44[[#This Row],[SERVICIO 2025]],$J$2:$V$15,6,0)*Tabla44[[#This Row],[TOTAL COBERTURA]]</f>
        <v>451319</v>
      </c>
      <c r="AO200" s="35">
        <f>VLOOKUP(Tabla44[[#This Row],[SERVICIO 2025]],$J$2:$V$15,8,0)*Tabla44[[#This Row],[TOTAL COBERTURA]]</f>
        <v>320100</v>
      </c>
      <c r="AP200" s="35">
        <f>VLOOKUP(Tabla44[[#This Row],[SERVICIO 2025]],$J$2:$V$15,3,0)*Tabla44[[#This Row],[TOTAL COBERTURA]]*8</f>
        <v>22667568</v>
      </c>
      <c r="AQ200" s="35"/>
      <c r="AR200" s="35">
        <f>SUM(Tabla44[[#This Row],[VALOR FASE PREPARATORIA DE ALISTAMIENTO]:[VALOR RACION PREPARADA]])</f>
        <v>23982123</v>
      </c>
      <c r="AS200" s="35" t="str">
        <f>+IF(Tabla44[[#This Row],[AGRUPACIONES]]=1,SUMIFS(Tabla44[VALOR TOTAL],Tabla44[ZONA DEFINITIVO],Tabla44[[#This Row],[ZONA DEFINITIVO]])," ")</f>
        <v xml:space="preserve"> </v>
      </c>
      <c r="AT200" s="35">
        <f>VLOOKUP(Tabla44[[#This Row],[SERVICIO 2025]],$J$2:$V$15,10,0)*Tabla44[[#This Row],[TOTAL COBERTURA]]*$X$7</f>
        <v>15873704</v>
      </c>
      <c r="AU200" s="39">
        <f>Tabla44[[#This Row],[TOTAL CONTRATO (ICBF+EAS)]]+Tabla44[[#This Row],[VALOR COMPONENTE ALIMENTACION NO ASIGNADO]]</f>
        <v>39855827</v>
      </c>
      <c r="AV20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200" s="35">
        <f>(VLOOKUP(Tabla44[[#This Row],[SERVICIO 2025]],$J$2:$V$15,3,0)*Tabla44[[#This Row],[TOTAL COBERTURA]])+VLOOKUP(Tabla44[[#This Row],[SERVICIO 2025]],$J$2:$V$15,10,0)*Tabla44[[#This Row],[TOTAL COBERTURA]]</f>
        <v>4817659</v>
      </c>
      <c r="AX200" s="35">
        <f>(VLOOKUP(Tabla44[[#This Row],[SERVICIO 2025]],$J$2:$V$15,3,0)*Tabla44[[#This Row],[TOTAL COBERTURA]])+VLOOKUP(Tabla44[[#This Row],[SERVICIO 2025]],$J$2:$V$15,10,0)*Tabla44[[#This Row],[TOTAL COBERTURA]]</f>
        <v>4817659</v>
      </c>
      <c r="AY200" s="35">
        <f>(VLOOKUP(Tabla44[[#This Row],[SERVICIO 2025]],$J$2:$V$15,3,0)*Tabla44[[#This Row],[TOTAL COBERTURA]])+VLOOKUP(Tabla44[[#This Row],[SERVICIO 2025]],$J$2:$V$15,10,0)*Tabla44[[#This Row],[TOTAL COBERTURA]]</f>
        <v>4817659</v>
      </c>
      <c r="AZ200" s="35">
        <f>(VLOOKUP(Tabla44[[#This Row],[SERVICIO 2025]],$J$2:$V$15,3,0)*Tabla44[[#This Row],[TOTAL COBERTURA]])+VLOOKUP(Tabla44[[#This Row],[SERVICIO 2025]],$J$2:$V$15,10,0)*Tabla44[[#This Row],[TOTAL COBERTURA]]</f>
        <v>4817659</v>
      </c>
      <c r="BA200" s="35">
        <f>(VLOOKUP(Tabla44[[#This Row],[SERVICIO 2025]],$J$2:$V$15,3,0)*Tabla44[[#This Row],[TOTAL COBERTURA]])+VLOOKUP(Tabla44[[#This Row],[SERVICIO 2025]],$J$2:$V$15,10,0)*Tabla44[[#This Row],[TOTAL COBERTURA]]</f>
        <v>4817659</v>
      </c>
      <c r="BB200" s="35">
        <f>(VLOOKUP(Tabla44[[#This Row],[SERVICIO 2025]],$J$2:$V$15,3,0)*Tabla44[[#This Row],[TOTAL COBERTURA]])+VLOOKUP(Tabla44[[#This Row],[SERVICIO 2025]],$J$2:$V$15,10,0)*Tabla44[[#This Row],[TOTAL COBERTURA]]</f>
        <v>4817659</v>
      </c>
      <c r="BC20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200" s="35">
        <f>SUM(Tabla44[[#This Row],[DESEMBOLSO 1]:[DESEMBOLSO 8]])</f>
        <v>39855827</v>
      </c>
      <c r="BE200" s="12" t="b">
        <f>EXACT(Tabla44[[#This Row],[VALOR ATENCIÓN (8 MESES)]],Tabla44[[#This Row],[VALOR TOTAL]])</f>
        <v>1</v>
      </c>
      <c r="BF200" s="23">
        <f>Tabla44[[#This Row],[VALOR ATENCIÓN (8 MESES)]]-Tabla44[[#This Row],[VALOR TOTAL]]</f>
        <v>0</v>
      </c>
      <c r="BG200" s="12" t="b">
        <f>EXACT(Tabla44[[#This Row],[TOTAL DESEMBOLSOS]],Tabla44[[#This Row],[VALOR TOTAL DEL CONTRATO INCLUIDO EL COMPONENTE DE ALIMENTACIÓN]])</f>
        <v>1</v>
      </c>
      <c r="BH200" s="29">
        <f>Tabla44[[#This Row],[TOTAL DESEMBOLSOS]]-Tabla44[[#This Row],[VALOR TOTAL DEL CONTRATO INCLUIDO EL COMPONENTE DE ALIMENTACIÓN]]</f>
        <v>0</v>
      </c>
      <c r="BI200" t="s">
        <v>98</v>
      </c>
    </row>
    <row r="201" spans="1:61">
      <c r="A201" s="13">
        <v>1992</v>
      </c>
      <c r="B201" s="13"/>
      <c r="C201" s="12" t="s">
        <v>87</v>
      </c>
      <c r="D201" s="12" t="s">
        <v>1534</v>
      </c>
      <c r="E201" s="12" t="s">
        <v>3198</v>
      </c>
      <c r="F201" s="12" t="s">
        <v>18</v>
      </c>
      <c r="G201" s="12" t="s">
        <v>90</v>
      </c>
      <c r="H201" s="12" t="s">
        <v>3207</v>
      </c>
      <c r="I201" s="36">
        <v>55011153404</v>
      </c>
      <c r="J201" s="12" t="s">
        <v>3208</v>
      </c>
      <c r="K201" s="12">
        <v>1</v>
      </c>
      <c r="L201" s="12">
        <v>12</v>
      </c>
      <c r="M201" s="12"/>
      <c r="N201" s="13">
        <v>1992</v>
      </c>
      <c r="O201" s="12" t="s">
        <v>2850</v>
      </c>
      <c r="P201" s="12"/>
      <c r="Q201" s="12"/>
      <c r="R201" s="12" t="s">
        <v>94</v>
      </c>
      <c r="S201" s="12">
        <v>10</v>
      </c>
      <c r="T201" s="12">
        <v>900325081</v>
      </c>
      <c r="U201" s="12" t="s">
        <v>167</v>
      </c>
      <c r="V201" s="12">
        <f>VLOOKUP(Tabla44[[#This Row],[ZONA DEFINITIVO]],[1]Hoja1!$A$1:$D$125,3,0)</f>
        <v>229939</v>
      </c>
      <c r="W201" s="12">
        <f>VLOOKUP(Tabla44[[#This Row],[ZONA DEFINITIVO]],[1]Hoja1!$A$1:$D$125,2,0)</f>
        <v>17257</v>
      </c>
      <c r="X201" s="12">
        <f>VLOOKUP(Tabla44[[#This Row],[ZONA DEFINITIVO]],[1]Hoja1!$A$1:$D$125,4,0)</f>
        <v>104325</v>
      </c>
      <c r="Y201" s="12" t="str">
        <f>+IF(Tabla44[[#This Row],[AGRUPACIONES]]=1,SUMIFS(Tabla44[UDS],Tabla44[ZONA DEFINITIVO],Tabla44[[#This Row],[ZONA DEFINITIVO]])," ")</f>
        <v xml:space="preserve"> </v>
      </c>
      <c r="Z201" s="12" t="str">
        <f>+IF(Tabla44[[#This Row],[AGRUPACIONES]]=1,SUMIFS(Tabla44[TOTAL COBERTURA],Tabla44[ZONA DEFINITIVO],Tabla44[[#This Row],[ZONA DEFINITIVO]])," ")</f>
        <v xml:space="preserve"> </v>
      </c>
      <c r="AA201" s="12"/>
      <c r="AB201" s="35">
        <v>26162316</v>
      </c>
      <c r="AC201" s="37">
        <v>0</v>
      </c>
      <c r="AD201" s="35">
        <f t="shared" si="3"/>
        <v>0</v>
      </c>
      <c r="AE201" s="12"/>
      <c r="AF201" s="12">
        <f>COUNTIF($A$20:A201,A201)</f>
        <v>13</v>
      </c>
      <c r="AG201" s="38">
        <v>26162316</v>
      </c>
      <c r="AH201" s="38">
        <f>Tabla44[[#This Row],[VALOR CONTRAPARTIDA]]+Tabla44[[#This Row],[TOTAL APORTES ICBF]]</f>
        <v>26162316</v>
      </c>
      <c r="AI201" s="35" t="str">
        <f>+IF(Tabla44[[#This Row],[AGRUPACIONES]]=1,SUMIFS(Tabla44[TOTAL APORTES ICBF],Tabla44[ZONA DEFINITIVO],Tabla44[[#This Row],[ZONA DEFINITIVO]])," ")</f>
        <v xml:space="preserve"> </v>
      </c>
      <c r="AJ201" s="38"/>
      <c r="AK201" s="38"/>
      <c r="AL201" s="35"/>
      <c r="AM201" s="35">
        <f>VLOOKUP(Tabla44[[#This Row],[SERVICIO 2025]],$J$2:$V$15,5,0)*Tabla44[[#This Row],[TOTAL COBERTURA]]</f>
        <v>592512</v>
      </c>
      <c r="AN201" s="35">
        <f>VLOOKUP(Tabla44[[#This Row],[SERVICIO 2025]],$J$2:$V$15,6,0)*Tabla44[[#This Row],[TOTAL COBERTURA]]</f>
        <v>492348</v>
      </c>
      <c r="AO201" s="35">
        <f>VLOOKUP(Tabla44[[#This Row],[SERVICIO 2025]],$J$2:$V$15,8,0)*Tabla44[[#This Row],[TOTAL COBERTURA]]</f>
        <v>349200</v>
      </c>
      <c r="AP201" s="35">
        <f>VLOOKUP(Tabla44[[#This Row],[SERVICIO 2025]],$J$2:$V$15,3,0)*Tabla44[[#This Row],[TOTAL COBERTURA]]*8</f>
        <v>24728256</v>
      </c>
      <c r="AQ201" s="35"/>
      <c r="AR201" s="35">
        <f>SUM(Tabla44[[#This Row],[VALOR FASE PREPARATORIA DE ALISTAMIENTO]:[VALOR RACION PREPARADA]])</f>
        <v>26162316</v>
      </c>
      <c r="AS201" s="35" t="str">
        <f>+IF(Tabla44[[#This Row],[AGRUPACIONES]]=1,SUMIFS(Tabla44[VALOR TOTAL],Tabla44[ZONA DEFINITIVO],Tabla44[[#This Row],[ZONA DEFINITIVO]])," ")</f>
        <v xml:space="preserve"> </v>
      </c>
      <c r="AT201" s="35">
        <f>VLOOKUP(Tabla44[[#This Row],[SERVICIO 2025]],$J$2:$V$15,10,0)*Tabla44[[#This Row],[TOTAL COBERTURA]]*$X$7</f>
        <v>17316768</v>
      </c>
      <c r="AU201" s="39">
        <f>Tabla44[[#This Row],[TOTAL CONTRATO (ICBF+EAS)]]+Tabla44[[#This Row],[VALOR COMPONENTE ALIMENTACION NO ASIGNADO]]</f>
        <v>43479084</v>
      </c>
      <c r="AV20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201" s="35">
        <f>(VLOOKUP(Tabla44[[#This Row],[SERVICIO 2025]],$J$2:$V$15,3,0)*Tabla44[[#This Row],[TOTAL COBERTURA]])+VLOOKUP(Tabla44[[#This Row],[SERVICIO 2025]],$J$2:$V$15,10,0)*Tabla44[[#This Row],[TOTAL COBERTURA]]</f>
        <v>5255628</v>
      </c>
      <c r="AX201" s="35">
        <f>(VLOOKUP(Tabla44[[#This Row],[SERVICIO 2025]],$J$2:$V$15,3,0)*Tabla44[[#This Row],[TOTAL COBERTURA]])+VLOOKUP(Tabla44[[#This Row],[SERVICIO 2025]],$J$2:$V$15,10,0)*Tabla44[[#This Row],[TOTAL COBERTURA]]</f>
        <v>5255628</v>
      </c>
      <c r="AY201" s="35">
        <f>(VLOOKUP(Tabla44[[#This Row],[SERVICIO 2025]],$J$2:$V$15,3,0)*Tabla44[[#This Row],[TOTAL COBERTURA]])+VLOOKUP(Tabla44[[#This Row],[SERVICIO 2025]],$J$2:$V$15,10,0)*Tabla44[[#This Row],[TOTAL COBERTURA]]</f>
        <v>5255628</v>
      </c>
      <c r="AZ201" s="35">
        <f>(VLOOKUP(Tabla44[[#This Row],[SERVICIO 2025]],$J$2:$V$15,3,0)*Tabla44[[#This Row],[TOTAL COBERTURA]])+VLOOKUP(Tabla44[[#This Row],[SERVICIO 2025]],$J$2:$V$15,10,0)*Tabla44[[#This Row],[TOTAL COBERTURA]]</f>
        <v>5255628</v>
      </c>
      <c r="BA201" s="35">
        <f>(VLOOKUP(Tabla44[[#This Row],[SERVICIO 2025]],$J$2:$V$15,3,0)*Tabla44[[#This Row],[TOTAL COBERTURA]])+VLOOKUP(Tabla44[[#This Row],[SERVICIO 2025]],$J$2:$V$15,10,0)*Tabla44[[#This Row],[TOTAL COBERTURA]]</f>
        <v>5255628</v>
      </c>
      <c r="BB201" s="35">
        <f>(VLOOKUP(Tabla44[[#This Row],[SERVICIO 2025]],$J$2:$V$15,3,0)*Tabla44[[#This Row],[TOTAL COBERTURA]])+VLOOKUP(Tabla44[[#This Row],[SERVICIO 2025]],$J$2:$V$15,10,0)*Tabla44[[#This Row],[TOTAL COBERTURA]]</f>
        <v>5255628</v>
      </c>
      <c r="BC20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201" s="35">
        <f>SUM(Tabla44[[#This Row],[DESEMBOLSO 1]:[DESEMBOLSO 8]])</f>
        <v>43479084</v>
      </c>
      <c r="BE201" s="12" t="b">
        <f>EXACT(Tabla44[[#This Row],[VALOR ATENCIÓN (8 MESES)]],Tabla44[[#This Row],[VALOR TOTAL]])</f>
        <v>1</v>
      </c>
      <c r="BF201" s="23">
        <f>Tabla44[[#This Row],[VALOR ATENCIÓN (8 MESES)]]-Tabla44[[#This Row],[VALOR TOTAL]]</f>
        <v>0</v>
      </c>
      <c r="BG201" s="12" t="b">
        <f>EXACT(Tabla44[[#This Row],[TOTAL DESEMBOLSOS]],Tabla44[[#This Row],[VALOR TOTAL DEL CONTRATO INCLUIDO EL COMPONENTE DE ALIMENTACIÓN]])</f>
        <v>1</v>
      </c>
      <c r="BH201" s="29">
        <f>Tabla44[[#This Row],[TOTAL DESEMBOLSOS]]-Tabla44[[#This Row],[VALOR TOTAL DEL CONTRATO INCLUIDO EL COMPONENTE DE ALIMENTACIÓN]]</f>
        <v>0</v>
      </c>
      <c r="BI201" t="s">
        <v>98</v>
      </c>
    </row>
    <row r="202" spans="1:61">
      <c r="A202" s="13">
        <v>1992</v>
      </c>
      <c r="B202" s="13"/>
      <c r="C202" s="12" t="s">
        <v>87</v>
      </c>
      <c r="D202" s="12" t="s">
        <v>1534</v>
      </c>
      <c r="E202" s="12" t="s">
        <v>3198</v>
      </c>
      <c r="F202" s="12" t="s">
        <v>15</v>
      </c>
      <c r="G202" s="12" t="s">
        <v>90</v>
      </c>
      <c r="H202" s="12" t="s">
        <v>3201</v>
      </c>
      <c r="I202" s="36">
        <v>550100102504</v>
      </c>
      <c r="J202" s="12" t="s">
        <v>3209</v>
      </c>
      <c r="K202" s="12">
        <v>1</v>
      </c>
      <c r="L202" s="12">
        <v>23</v>
      </c>
      <c r="M202" s="12"/>
      <c r="N202" s="13">
        <v>1992</v>
      </c>
      <c r="O202" s="12" t="s">
        <v>2850</v>
      </c>
      <c r="P202" s="12"/>
      <c r="Q202" s="12"/>
      <c r="R202" s="12" t="s">
        <v>94</v>
      </c>
      <c r="S202" s="12">
        <v>10</v>
      </c>
      <c r="T202" s="12">
        <v>900325081</v>
      </c>
      <c r="U202" s="12" t="s">
        <v>167</v>
      </c>
      <c r="V202" s="12">
        <f>VLOOKUP(Tabla44[[#This Row],[ZONA DEFINITIVO]],[1]Hoja1!$A$1:$D$125,3,0)</f>
        <v>229939</v>
      </c>
      <c r="W202" s="12">
        <f>VLOOKUP(Tabla44[[#This Row],[ZONA DEFINITIVO]],[1]Hoja1!$A$1:$D$125,2,0)</f>
        <v>17257</v>
      </c>
      <c r="X202" s="12">
        <f>VLOOKUP(Tabla44[[#This Row],[ZONA DEFINITIVO]],[1]Hoja1!$A$1:$D$125,4,0)</f>
        <v>104325</v>
      </c>
      <c r="Y202" s="12" t="str">
        <f>+IF(Tabla44[[#This Row],[AGRUPACIONES]]=1,SUMIFS(Tabla44[UDS],Tabla44[ZONA DEFINITIVO],Tabla44[[#This Row],[ZONA DEFINITIVO]])," ")</f>
        <v xml:space="preserve"> </v>
      </c>
      <c r="Z202" s="12" t="str">
        <f>+IF(Tabla44[[#This Row],[AGRUPACIONES]]=1,SUMIFS(Tabla44[TOTAL COBERTURA],Tabla44[ZONA DEFINITIVO],Tabla44[[#This Row],[ZONA DEFINITIVO]])," ")</f>
        <v xml:space="preserve"> </v>
      </c>
      <c r="AA202" s="12"/>
      <c r="AB202" s="35">
        <v>99576246</v>
      </c>
      <c r="AC202" s="37">
        <v>0</v>
      </c>
      <c r="AD202" s="35">
        <f t="shared" si="3"/>
        <v>0</v>
      </c>
      <c r="AE202" s="12"/>
      <c r="AF202" s="12">
        <f>COUNTIF($A$20:A202,A202)</f>
        <v>14</v>
      </c>
      <c r="AG202" s="38">
        <v>99576246</v>
      </c>
      <c r="AH202" s="38">
        <f>Tabla44[[#This Row],[VALOR CONTRAPARTIDA]]+Tabla44[[#This Row],[TOTAL APORTES ICBF]]</f>
        <v>99576246</v>
      </c>
      <c r="AI202" s="35" t="str">
        <f>+IF(Tabla44[[#This Row],[AGRUPACIONES]]=1,SUMIFS(Tabla44[TOTAL APORTES ICBF],Tabla44[ZONA DEFINITIVO],Tabla44[[#This Row],[ZONA DEFINITIVO]])," ")</f>
        <v xml:space="preserve"> </v>
      </c>
      <c r="AJ202" s="38"/>
      <c r="AK202" s="38"/>
      <c r="AL202" s="35"/>
      <c r="AM202" s="35">
        <f>VLOOKUP(Tabla44[[#This Row],[SERVICIO 2025]],$J$2:$V$15,5,0)*Tabla44[[#This Row],[TOTAL COBERTURA]]</f>
        <v>2027289</v>
      </c>
      <c r="AN202" s="35">
        <f>VLOOKUP(Tabla44[[#This Row],[SERVICIO 2025]],$J$2:$V$15,6,0)*Tabla44[[#This Row],[TOTAL COBERTURA]]</f>
        <v>1725989</v>
      </c>
      <c r="AO202" s="35">
        <f>VLOOKUP(Tabla44[[#This Row],[SERVICIO 2025]],$J$2:$V$15,8,0)*Tabla44[[#This Row],[TOTAL COBERTURA]]</f>
        <v>0</v>
      </c>
      <c r="AP202" s="35">
        <f>VLOOKUP(Tabla44[[#This Row],[SERVICIO 2025]],$J$2:$V$15,3,0)*Tabla44[[#This Row],[TOTAL COBERTURA]]*8</f>
        <v>95822968</v>
      </c>
      <c r="AQ202" s="35"/>
      <c r="AR202" s="35">
        <f>SUM(Tabla44[[#This Row],[VALOR FASE PREPARATORIA DE ALISTAMIENTO]:[VALOR RACION PREPARADA]])</f>
        <v>99576246</v>
      </c>
      <c r="AS202" s="35" t="str">
        <f>+IF(Tabla44[[#This Row],[AGRUPACIONES]]=1,SUMIFS(Tabla44[VALOR TOTAL],Tabla44[ZONA DEFINITIVO],Tabla44[[#This Row],[ZONA DEFINITIVO]])," ")</f>
        <v xml:space="preserve"> </v>
      </c>
      <c r="AT202" s="35">
        <f>VLOOKUP(Tabla44[[#This Row],[SERVICIO 2025]],$J$2:$V$15,10,0)*Tabla44[[#This Row],[TOTAL COBERTURA]]*$X$7</f>
        <v>0</v>
      </c>
      <c r="AU202" s="39">
        <f>Tabla44[[#This Row],[TOTAL CONTRATO (ICBF+EAS)]]+Tabla44[[#This Row],[VALOR COMPONENTE ALIMENTACION NO ASIGNADO]]</f>
        <v>99576246</v>
      </c>
      <c r="AV20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14005160</v>
      </c>
      <c r="AW202" s="35">
        <f>(VLOOKUP(Tabla44[[#This Row],[SERVICIO 2025]],$J$2:$V$15,3,0)*Tabla44[[#This Row],[TOTAL COBERTURA]])+VLOOKUP(Tabla44[[#This Row],[SERVICIO 2025]],$J$2:$V$15,10,0)*Tabla44[[#This Row],[TOTAL COBERTURA]]</f>
        <v>11977871</v>
      </c>
      <c r="AX202" s="35">
        <f>(VLOOKUP(Tabla44[[#This Row],[SERVICIO 2025]],$J$2:$V$15,3,0)*Tabla44[[#This Row],[TOTAL COBERTURA]])+VLOOKUP(Tabla44[[#This Row],[SERVICIO 2025]],$J$2:$V$15,10,0)*Tabla44[[#This Row],[TOTAL COBERTURA]]</f>
        <v>11977871</v>
      </c>
      <c r="AY202" s="35">
        <f>(VLOOKUP(Tabla44[[#This Row],[SERVICIO 2025]],$J$2:$V$15,3,0)*Tabla44[[#This Row],[TOTAL COBERTURA]])+VLOOKUP(Tabla44[[#This Row],[SERVICIO 2025]],$J$2:$V$15,10,0)*Tabla44[[#This Row],[TOTAL COBERTURA]]</f>
        <v>11977871</v>
      </c>
      <c r="AZ202" s="35">
        <f>(VLOOKUP(Tabla44[[#This Row],[SERVICIO 2025]],$J$2:$V$15,3,0)*Tabla44[[#This Row],[TOTAL COBERTURA]])+VLOOKUP(Tabla44[[#This Row],[SERVICIO 2025]],$J$2:$V$15,10,0)*Tabla44[[#This Row],[TOTAL COBERTURA]]</f>
        <v>11977871</v>
      </c>
      <c r="BA202" s="35">
        <f>(VLOOKUP(Tabla44[[#This Row],[SERVICIO 2025]],$J$2:$V$15,3,0)*Tabla44[[#This Row],[TOTAL COBERTURA]])+VLOOKUP(Tabla44[[#This Row],[SERVICIO 2025]],$J$2:$V$15,10,0)*Tabla44[[#This Row],[TOTAL COBERTURA]]</f>
        <v>11977871</v>
      </c>
      <c r="BB202" s="35">
        <f>(VLOOKUP(Tabla44[[#This Row],[SERVICIO 2025]],$J$2:$V$15,3,0)*Tabla44[[#This Row],[TOTAL COBERTURA]])+VLOOKUP(Tabla44[[#This Row],[SERVICIO 2025]],$J$2:$V$15,10,0)*Tabla44[[#This Row],[TOTAL COBERTURA]]</f>
        <v>11977871</v>
      </c>
      <c r="BC20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13703860</v>
      </c>
      <c r="BD202" s="35">
        <f>SUM(Tabla44[[#This Row],[DESEMBOLSO 1]:[DESEMBOLSO 8]])</f>
        <v>99576246</v>
      </c>
      <c r="BE202" s="12" t="b">
        <f>EXACT(Tabla44[[#This Row],[VALOR ATENCIÓN (8 MESES)]],Tabla44[[#This Row],[VALOR TOTAL]])</f>
        <v>1</v>
      </c>
      <c r="BF202" s="23">
        <f>Tabla44[[#This Row],[VALOR ATENCIÓN (8 MESES)]]-Tabla44[[#This Row],[VALOR TOTAL]]</f>
        <v>0</v>
      </c>
      <c r="BG202" s="12" t="b">
        <f>EXACT(Tabla44[[#This Row],[TOTAL DESEMBOLSOS]],Tabla44[[#This Row],[VALOR TOTAL DEL CONTRATO INCLUIDO EL COMPONENTE DE ALIMENTACIÓN]])</f>
        <v>1</v>
      </c>
      <c r="BH202" s="29">
        <f>Tabla44[[#This Row],[TOTAL DESEMBOLSOS]]-Tabla44[[#This Row],[VALOR TOTAL DEL CONTRATO INCLUIDO EL COMPONENTE DE ALIMENTACIÓN]]</f>
        <v>0</v>
      </c>
      <c r="BI202" t="s">
        <v>98</v>
      </c>
    </row>
    <row r="203" spans="1:61">
      <c r="A203" s="13">
        <v>1992</v>
      </c>
      <c r="B203" s="13"/>
      <c r="C203" s="12" t="s">
        <v>87</v>
      </c>
      <c r="D203" s="12" t="s">
        <v>1534</v>
      </c>
      <c r="E203" s="12" t="s">
        <v>3210</v>
      </c>
      <c r="F203" s="12" t="s">
        <v>18</v>
      </c>
      <c r="G203" s="12" t="s">
        <v>90</v>
      </c>
      <c r="H203" s="12" t="s">
        <v>3211</v>
      </c>
      <c r="I203" s="36">
        <v>57611136569</v>
      </c>
      <c r="J203" s="12" t="s">
        <v>3212</v>
      </c>
      <c r="K203" s="12">
        <v>1</v>
      </c>
      <c r="L203" s="12">
        <v>20</v>
      </c>
      <c r="M203" s="12"/>
      <c r="N203" s="13">
        <v>1992</v>
      </c>
      <c r="O203" s="12" t="s">
        <v>2850</v>
      </c>
      <c r="P203" s="12"/>
      <c r="Q203" s="12"/>
      <c r="R203" s="12" t="s">
        <v>94</v>
      </c>
      <c r="S203" s="12">
        <v>10</v>
      </c>
      <c r="T203" s="12">
        <v>900325081</v>
      </c>
      <c r="U203" s="12" t="s">
        <v>167</v>
      </c>
      <c r="V203" s="12">
        <f>VLOOKUP(Tabla44[[#This Row],[ZONA DEFINITIVO]],[1]Hoja1!$A$1:$D$125,3,0)</f>
        <v>229939</v>
      </c>
      <c r="W203" s="12">
        <f>VLOOKUP(Tabla44[[#This Row],[ZONA DEFINITIVO]],[1]Hoja1!$A$1:$D$125,2,0)</f>
        <v>17257</v>
      </c>
      <c r="X203" s="12">
        <f>VLOOKUP(Tabla44[[#This Row],[ZONA DEFINITIVO]],[1]Hoja1!$A$1:$D$125,4,0)</f>
        <v>104325</v>
      </c>
      <c r="Y203" s="12" t="str">
        <f>+IF(Tabla44[[#This Row],[AGRUPACIONES]]=1,SUMIFS(Tabla44[UDS],Tabla44[ZONA DEFINITIVO],Tabla44[[#This Row],[ZONA DEFINITIVO]])," ")</f>
        <v xml:space="preserve"> </v>
      </c>
      <c r="Z203" s="12" t="str">
        <f>+IF(Tabla44[[#This Row],[AGRUPACIONES]]=1,SUMIFS(Tabla44[TOTAL COBERTURA],Tabla44[ZONA DEFINITIVO],Tabla44[[#This Row],[ZONA DEFINITIVO]])," ")</f>
        <v xml:space="preserve"> </v>
      </c>
      <c r="AA203" s="12"/>
      <c r="AB203" s="35">
        <v>43603860</v>
      </c>
      <c r="AC203" s="37">
        <v>0</v>
      </c>
      <c r="AD203" s="35">
        <f t="shared" si="3"/>
        <v>0</v>
      </c>
      <c r="AE203" s="12"/>
      <c r="AF203" s="12">
        <f>COUNTIF($A$20:A203,A203)</f>
        <v>15</v>
      </c>
      <c r="AG203" s="38">
        <v>43603860</v>
      </c>
      <c r="AH203" s="38">
        <f>Tabla44[[#This Row],[VALOR CONTRAPARTIDA]]+Tabla44[[#This Row],[TOTAL APORTES ICBF]]</f>
        <v>43603860</v>
      </c>
      <c r="AI203" s="35" t="str">
        <f>+IF(Tabla44[[#This Row],[AGRUPACIONES]]=1,SUMIFS(Tabla44[TOTAL APORTES ICBF],Tabla44[ZONA DEFINITIVO],Tabla44[[#This Row],[ZONA DEFINITIVO]])," ")</f>
        <v xml:space="preserve"> </v>
      </c>
      <c r="AJ203" s="38"/>
      <c r="AK203" s="38"/>
      <c r="AL203" s="35"/>
      <c r="AM203" s="35">
        <f>VLOOKUP(Tabla44[[#This Row],[SERVICIO 2025]],$J$2:$V$15,5,0)*Tabla44[[#This Row],[TOTAL COBERTURA]]</f>
        <v>987520</v>
      </c>
      <c r="AN203" s="35">
        <f>VLOOKUP(Tabla44[[#This Row],[SERVICIO 2025]],$J$2:$V$15,6,0)*Tabla44[[#This Row],[TOTAL COBERTURA]]</f>
        <v>820580</v>
      </c>
      <c r="AO203" s="35">
        <f>VLOOKUP(Tabla44[[#This Row],[SERVICIO 2025]],$J$2:$V$15,8,0)*Tabla44[[#This Row],[TOTAL COBERTURA]]</f>
        <v>582000</v>
      </c>
      <c r="AP203" s="35">
        <f>VLOOKUP(Tabla44[[#This Row],[SERVICIO 2025]],$J$2:$V$15,3,0)*Tabla44[[#This Row],[TOTAL COBERTURA]]*8</f>
        <v>41213760</v>
      </c>
      <c r="AQ203" s="35"/>
      <c r="AR203" s="35">
        <f>SUM(Tabla44[[#This Row],[VALOR FASE PREPARATORIA DE ALISTAMIENTO]:[VALOR RACION PREPARADA]])</f>
        <v>43603860</v>
      </c>
      <c r="AS203" s="35" t="str">
        <f>+IF(Tabla44[[#This Row],[AGRUPACIONES]]=1,SUMIFS(Tabla44[VALOR TOTAL],Tabla44[ZONA DEFINITIVO],Tabla44[[#This Row],[ZONA DEFINITIVO]])," ")</f>
        <v xml:space="preserve"> </v>
      </c>
      <c r="AT203" s="35">
        <f>VLOOKUP(Tabla44[[#This Row],[SERVICIO 2025]],$J$2:$V$15,10,0)*Tabla44[[#This Row],[TOTAL COBERTURA]]*$X$7</f>
        <v>28861280</v>
      </c>
      <c r="AU203" s="39">
        <f>Tabla44[[#This Row],[TOTAL CONTRATO (ICBF+EAS)]]+Tabla44[[#This Row],[VALOR COMPONENTE ALIMENTACION NO ASIGNADO]]</f>
        <v>72465140</v>
      </c>
      <c r="AV20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203" s="35">
        <f>(VLOOKUP(Tabla44[[#This Row],[SERVICIO 2025]],$J$2:$V$15,3,0)*Tabla44[[#This Row],[TOTAL COBERTURA]])+VLOOKUP(Tabla44[[#This Row],[SERVICIO 2025]],$J$2:$V$15,10,0)*Tabla44[[#This Row],[TOTAL COBERTURA]]</f>
        <v>8759380</v>
      </c>
      <c r="AX203" s="35">
        <f>(VLOOKUP(Tabla44[[#This Row],[SERVICIO 2025]],$J$2:$V$15,3,0)*Tabla44[[#This Row],[TOTAL COBERTURA]])+VLOOKUP(Tabla44[[#This Row],[SERVICIO 2025]],$J$2:$V$15,10,0)*Tabla44[[#This Row],[TOTAL COBERTURA]]</f>
        <v>8759380</v>
      </c>
      <c r="AY203" s="35">
        <f>(VLOOKUP(Tabla44[[#This Row],[SERVICIO 2025]],$J$2:$V$15,3,0)*Tabla44[[#This Row],[TOTAL COBERTURA]])+VLOOKUP(Tabla44[[#This Row],[SERVICIO 2025]],$J$2:$V$15,10,0)*Tabla44[[#This Row],[TOTAL COBERTURA]]</f>
        <v>8759380</v>
      </c>
      <c r="AZ203" s="35">
        <f>(VLOOKUP(Tabla44[[#This Row],[SERVICIO 2025]],$J$2:$V$15,3,0)*Tabla44[[#This Row],[TOTAL COBERTURA]])+VLOOKUP(Tabla44[[#This Row],[SERVICIO 2025]],$J$2:$V$15,10,0)*Tabla44[[#This Row],[TOTAL COBERTURA]]</f>
        <v>8759380</v>
      </c>
      <c r="BA203" s="35">
        <f>(VLOOKUP(Tabla44[[#This Row],[SERVICIO 2025]],$J$2:$V$15,3,0)*Tabla44[[#This Row],[TOTAL COBERTURA]])+VLOOKUP(Tabla44[[#This Row],[SERVICIO 2025]],$J$2:$V$15,10,0)*Tabla44[[#This Row],[TOTAL COBERTURA]]</f>
        <v>8759380</v>
      </c>
      <c r="BB203" s="35">
        <f>(VLOOKUP(Tabla44[[#This Row],[SERVICIO 2025]],$J$2:$V$15,3,0)*Tabla44[[#This Row],[TOTAL COBERTURA]])+VLOOKUP(Tabla44[[#This Row],[SERVICIO 2025]],$J$2:$V$15,10,0)*Tabla44[[#This Row],[TOTAL COBERTURA]]</f>
        <v>8759380</v>
      </c>
      <c r="BC20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203" s="35">
        <f>SUM(Tabla44[[#This Row],[DESEMBOLSO 1]:[DESEMBOLSO 8]])</f>
        <v>72465140</v>
      </c>
      <c r="BE203" s="12" t="b">
        <f>EXACT(Tabla44[[#This Row],[VALOR ATENCIÓN (8 MESES)]],Tabla44[[#This Row],[VALOR TOTAL]])</f>
        <v>1</v>
      </c>
      <c r="BF203" s="23">
        <f>Tabla44[[#This Row],[VALOR ATENCIÓN (8 MESES)]]-Tabla44[[#This Row],[VALOR TOTAL]]</f>
        <v>0</v>
      </c>
      <c r="BG203" s="12" t="b">
        <f>EXACT(Tabla44[[#This Row],[TOTAL DESEMBOLSOS]],Tabla44[[#This Row],[VALOR TOTAL DEL CONTRATO INCLUIDO EL COMPONENTE DE ALIMENTACIÓN]])</f>
        <v>1</v>
      </c>
      <c r="BH203" s="29">
        <f>Tabla44[[#This Row],[TOTAL DESEMBOLSOS]]-Tabla44[[#This Row],[VALOR TOTAL DEL CONTRATO INCLUIDO EL COMPONENTE DE ALIMENTACIÓN]]</f>
        <v>0</v>
      </c>
      <c r="BI203" t="s">
        <v>98</v>
      </c>
    </row>
    <row r="204" spans="1:61">
      <c r="A204" s="13">
        <v>1992</v>
      </c>
      <c r="B204" s="13"/>
      <c r="C204" s="12" t="s">
        <v>87</v>
      </c>
      <c r="D204" s="12" t="s">
        <v>1534</v>
      </c>
      <c r="E204" s="12" t="s">
        <v>3210</v>
      </c>
      <c r="F204" s="12" t="s">
        <v>18</v>
      </c>
      <c r="G204" s="12" t="s">
        <v>90</v>
      </c>
      <c r="H204" s="12" t="s">
        <v>3213</v>
      </c>
      <c r="I204" s="36">
        <v>57611136573</v>
      </c>
      <c r="J204" s="12" t="s">
        <v>3214</v>
      </c>
      <c r="K204" s="12">
        <v>1</v>
      </c>
      <c r="L204" s="12">
        <v>9</v>
      </c>
      <c r="M204" s="12"/>
      <c r="N204" s="13">
        <v>1992</v>
      </c>
      <c r="O204" s="12" t="s">
        <v>2850</v>
      </c>
      <c r="P204" s="12"/>
      <c r="Q204" s="12"/>
      <c r="R204" s="12" t="s">
        <v>94</v>
      </c>
      <c r="S204" s="12">
        <v>10</v>
      </c>
      <c r="T204" s="12">
        <v>900325081</v>
      </c>
      <c r="U204" s="12" t="s">
        <v>167</v>
      </c>
      <c r="V204" s="12">
        <f>VLOOKUP(Tabla44[[#This Row],[ZONA DEFINITIVO]],[1]Hoja1!$A$1:$D$125,3,0)</f>
        <v>229939</v>
      </c>
      <c r="W204" s="12">
        <f>VLOOKUP(Tabla44[[#This Row],[ZONA DEFINITIVO]],[1]Hoja1!$A$1:$D$125,2,0)</f>
        <v>17257</v>
      </c>
      <c r="X204" s="12">
        <f>VLOOKUP(Tabla44[[#This Row],[ZONA DEFINITIVO]],[1]Hoja1!$A$1:$D$125,4,0)</f>
        <v>104325</v>
      </c>
      <c r="Y204" s="12" t="str">
        <f>+IF(Tabla44[[#This Row],[AGRUPACIONES]]=1,SUMIFS(Tabla44[UDS],Tabla44[ZONA DEFINITIVO],Tabla44[[#This Row],[ZONA DEFINITIVO]])," ")</f>
        <v xml:space="preserve"> </v>
      </c>
      <c r="Z204" s="12" t="str">
        <f>+IF(Tabla44[[#This Row],[AGRUPACIONES]]=1,SUMIFS(Tabla44[TOTAL COBERTURA],Tabla44[ZONA DEFINITIVO],Tabla44[[#This Row],[ZONA DEFINITIVO]])," ")</f>
        <v xml:space="preserve"> </v>
      </c>
      <c r="AA204" s="12"/>
      <c r="AB204" s="35">
        <v>19621737</v>
      </c>
      <c r="AC204" s="37">
        <v>0</v>
      </c>
      <c r="AD204" s="35">
        <f t="shared" si="3"/>
        <v>0</v>
      </c>
      <c r="AE204" s="12"/>
      <c r="AF204" s="12">
        <f>COUNTIF($A$20:A204,A204)</f>
        <v>16</v>
      </c>
      <c r="AG204" s="38">
        <v>19621737</v>
      </c>
      <c r="AH204" s="38">
        <f>Tabla44[[#This Row],[VALOR CONTRAPARTIDA]]+Tabla44[[#This Row],[TOTAL APORTES ICBF]]</f>
        <v>19621737</v>
      </c>
      <c r="AI204" s="35" t="str">
        <f>+IF(Tabla44[[#This Row],[AGRUPACIONES]]=1,SUMIFS(Tabla44[TOTAL APORTES ICBF],Tabla44[ZONA DEFINITIVO],Tabla44[[#This Row],[ZONA DEFINITIVO]])," ")</f>
        <v xml:space="preserve"> </v>
      </c>
      <c r="AJ204" s="38"/>
      <c r="AK204" s="38"/>
      <c r="AL204" s="35"/>
      <c r="AM204" s="35">
        <f>VLOOKUP(Tabla44[[#This Row],[SERVICIO 2025]],$J$2:$V$15,5,0)*Tabla44[[#This Row],[TOTAL COBERTURA]]</f>
        <v>444384</v>
      </c>
      <c r="AN204" s="35">
        <f>VLOOKUP(Tabla44[[#This Row],[SERVICIO 2025]],$J$2:$V$15,6,0)*Tabla44[[#This Row],[TOTAL COBERTURA]]</f>
        <v>369261</v>
      </c>
      <c r="AO204" s="35">
        <f>VLOOKUP(Tabla44[[#This Row],[SERVICIO 2025]],$J$2:$V$15,8,0)*Tabla44[[#This Row],[TOTAL COBERTURA]]</f>
        <v>261900</v>
      </c>
      <c r="AP204" s="35">
        <f>VLOOKUP(Tabla44[[#This Row],[SERVICIO 2025]],$J$2:$V$15,3,0)*Tabla44[[#This Row],[TOTAL COBERTURA]]*8</f>
        <v>18546192</v>
      </c>
      <c r="AQ204" s="35"/>
      <c r="AR204" s="35">
        <f>SUM(Tabla44[[#This Row],[VALOR FASE PREPARATORIA DE ALISTAMIENTO]:[VALOR RACION PREPARADA]])</f>
        <v>19621737</v>
      </c>
      <c r="AS204" s="35" t="str">
        <f>+IF(Tabla44[[#This Row],[AGRUPACIONES]]=1,SUMIFS(Tabla44[VALOR TOTAL],Tabla44[ZONA DEFINITIVO],Tabla44[[#This Row],[ZONA DEFINITIVO]])," ")</f>
        <v xml:space="preserve"> </v>
      </c>
      <c r="AT204" s="35">
        <f>VLOOKUP(Tabla44[[#This Row],[SERVICIO 2025]],$J$2:$V$15,10,0)*Tabla44[[#This Row],[TOTAL COBERTURA]]*$X$7</f>
        <v>12987576</v>
      </c>
      <c r="AU204" s="39">
        <f>Tabla44[[#This Row],[TOTAL CONTRATO (ICBF+EAS)]]+Tabla44[[#This Row],[VALOR COMPONENTE ALIMENTACION NO ASIGNADO]]</f>
        <v>32609313</v>
      </c>
      <c r="AV20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4648005</v>
      </c>
      <c r="AW204" s="35">
        <f>(VLOOKUP(Tabla44[[#This Row],[SERVICIO 2025]],$J$2:$V$15,3,0)*Tabla44[[#This Row],[TOTAL COBERTURA]])+VLOOKUP(Tabla44[[#This Row],[SERVICIO 2025]],$J$2:$V$15,10,0)*Tabla44[[#This Row],[TOTAL COBERTURA]]</f>
        <v>3941721</v>
      </c>
      <c r="AX204" s="35">
        <f>(VLOOKUP(Tabla44[[#This Row],[SERVICIO 2025]],$J$2:$V$15,3,0)*Tabla44[[#This Row],[TOTAL COBERTURA]])+VLOOKUP(Tabla44[[#This Row],[SERVICIO 2025]],$J$2:$V$15,10,0)*Tabla44[[#This Row],[TOTAL COBERTURA]]</f>
        <v>3941721</v>
      </c>
      <c r="AY204" s="35">
        <f>(VLOOKUP(Tabla44[[#This Row],[SERVICIO 2025]],$J$2:$V$15,3,0)*Tabla44[[#This Row],[TOTAL COBERTURA]])+VLOOKUP(Tabla44[[#This Row],[SERVICIO 2025]],$J$2:$V$15,10,0)*Tabla44[[#This Row],[TOTAL COBERTURA]]</f>
        <v>3941721</v>
      </c>
      <c r="AZ204" s="35">
        <f>(VLOOKUP(Tabla44[[#This Row],[SERVICIO 2025]],$J$2:$V$15,3,0)*Tabla44[[#This Row],[TOTAL COBERTURA]])+VLOOKUP(Tabla44[[#This Row],[SERVICIO 2025]],$J$2:$V$15,10,0)*Tabla44[[#This Row],[TOTAL COBERTURA]]</f>
        <v>3941721</v>
      </c>
      <c r="BA204" s="35">
        <f>(VLOOKUP(Tabla44[[#This Row],[SERVICIO 2025]],$J$2:$V$15,3,0)*Tabla44[[#This Row],[TOTAL COBERTURA]])+VLOOKUP(Tabla44[[#This Row],[SERVICIO 2025]],$J$2:$V$15,10,0)*Tabla44[[#This Row],[TOTAL COBERTURA]]</f>
        <v>3941721</v>
      </c>
      <c r="BB204" s="35">
        <f>(VLOOKUP(Tabla44[[#This Row],[SERVICIO 2025]],$J$2:$V$15,3,0)*Tabla44[[#This Row],[TOTAL COBERTURA]])+VLOOKUP(Tabla44[[#This Row],[SERVICIO 2025]],$J$2:$V$15,10,0)*Tabla44[[#This Row],[TOTAL COBERTURA]]</f>
        <v>3941721</v>
      </c>
      <c r="BC20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4310982</v>
      </c>
      <c r="BD204" s="35">
        <f>SUM(Tabla44[[#This Row],[DESEMBOLSO 1]:[DESEMBOLSO 8]])</f>
        <v>32609313</v>
      </c>
      <c r="BE204" s="12" t="b">
        <f>EXACT(Tabla44[[#This Row],[VALOR ATENCIÓN (8 MESES)]],Tabla44[[#This Row],[VALOR TOTAL]])</f>
        <v>1</v>
      </c>
      <c r="BF204" s="23">
        <f>Tabla44[[#This Row],[VALOR ATENCIÓN (8 MESES)]]-Tabla44[[#This Row],[VALOR TOTAL]]</f>
        <v>0</v>
      </c>
      <c r="BG204" s="12" t="b">
        <f>EXACT(Tabla44[[#This Row],[TOTAL DESEMBOLSOS]],Tabla44[[#This Row],[VALOR TOTAL DEL CONTRATO INCLUIDO EL COMPONENTE DE ALIMENTACIÓN]])</f>
        <v>1</v>
      </c>
      <c r="BH204" s="29">
        <f>Tabla44[[#This Row],[TOTAL DESEMBOLSOS]]-Tabla44[[#This Row],[VALOR TOTAL DEL CONTRATO INCLUIDO EL COMPONENTE DE ALIMENTACIÓN]]</f>
        <v>0</v>
      </c>
      <c r="BI204" t="s">
        <v>98</v>
      </c>
    </row>
    <row r="205" spans="1:61">
      <c r="A205" s="13">
        <v>1992</v>
      </c>
      <c r="B205" s="13"/>
      <c r="C205" s="12" t="s">
        <v>87</v>
      </c>
      <c r="D205" s="12" t="s">
        <v>1534</v>
      </c>
      <c r="E205" s="12" t="s">
        <v>3210</v>
      </c>
      <c r="F205" s="12" t="s">
        <v>18</v>
      </c>
      <c r="G205" s="12" t="s">
        <v>90</v>
      </c>
      <c r="H205" s="12" t="s">
        <v>953</v>
      </c>
      <c r="I205" s="36">
        <v>57611136577</v>
      </c>
      <c r="J205" s="12" t="s">
        <v>3215</v>
      </c>
      <c r="K205" s="12">
        <v>1</v>
      </c>
      <c r="L205" s="12">
        <v>21</v>
      </c>
      <c r="M205" s="12"/>
      <c r="N205" s="13">
        <v>1992</v>
      </c>
      <c r="O205" s="12" t="s">
        <v>2850</v>
      </c>
      <c r="P205" s="12"/>
      <c r="Q205" s="12"/>
      <c r="R205" s="12" t="s">
        <v>94</v>
      </c>
      <c r="S205" s="12">
        <v>10</v>
      </c>
      <c r="T205" s="12">
        <v>900325081</v>
      </c>
      <c r="U205" s="12" t="s">
        <v>167</v>
      </c>
      <c r="V205" s="12">
        <f>VLOOKUP(Tabla44[[#This Row],[ZONA DEFINITIVO]],[1]Hoja1!$A$1:$D$125,3,0)</f>
        <v>229939</v>
      </c>
      <c r="W205" s="12">
        <f>VLOOKUP(Tabla44[[#This Row],[ZONA DEFINITIVO]],[1]Hoja1!$A$1:$D$125,2,0)</f>
        <v>17257</v>
      </c>
      <c r="X205" s="12">
        <f>VLOOKUP(Tabla44[[#This Row],[ZONA DEFINITIVO]],[1]Hoja1!$A$1:$D$125,4,0)</f>
        <v>104325</v>
      </c>
      <c r="Y205" s="12" t="str">
        <f>+IF(Tabla44[[#This Row],[AGRUPACIONES]]=1,SUMIFS(Tabla44[UDS],Tabla44[ZONA DEFINITIVO],Tabla44[[#This Row],[ZONA DEFINITIVO]])," ")</f>
        <v xml:space="preserve"> </v>
      </c>
      <c r="Z205" s="12" t="str">
        <f>+IF(Tabla44[[#This Row],[AGRUPACIONES]]=1,SUMIFS(Tabla44[TOTAL COBERTURA],Tabla44[ZONA DEFINITIVO],Tabla44[[#This Row],[ZONA DEFINITIVO]])," ")</f>
        <v xml:space="preserve"> </v>
      </c>
      <c r="AA205" s="12"/>
      <c r="AB205" s="35">
        <v>45784053</v>
      </c>
      <c r="AC205" s="37">
        <v>0</v>
      </c>
      <c r="AD205" s="35">
        <f t="shared" si="3"/>
        <v>0</v>
      </c>
      <c r="AE205" s="12"/>
      <c r="AF205" s="12">
        <f>COUNTIF($A$20:A205,A205)</f>
        <v>17</v>
      </c>
      <c r="AG205" s="38">
        <v>45784053</v>
      </c>
      <c r="AH205" s="38">
        <f>Tabla44[[#This Row],[VALOR CONTRAPARTIDA]]+Tabla44[[#This Row],[TOTAL APORTES ICBF]]</f>
        <v>45784053</v>
      </c>
      <c r="AI205" s="35" t="str">
        <f>+IF(Tabla44[[#This Row],[AGRUPACIONES]]=1,SUMIFS(Tabla44[TOTAL APORTES ICBF],Tabla44[ZONA DEFINITIVO],Tabla44[[#This Row],[ZONA DEFINITIVO]])," ")</f>
        <v xml:space="preserve"> </v>
      </c>
      <c r="AJ205" s="38"/>
      <c r="AK205" s="38"/>
      <c r="AL205" s="35"/>
      <c r="AM205" s="35">
        <f>VLOOKUP(Tabla44[[#This Row],[SERVICIO 2025]],$J$2:$V$15,5,0)*Tabla44[[#This Row],[TOTAL COBERTURA]]</f>
        <v>1036896</v>
      </c>
      <c r="AN205" s="35">
        <f>VLOOKUP(Tabla44[[#This Row],[SERVICIO 2025]],$J$2:$V$15,6,0)*Tabla44[[#This Row],[TOTAL COBERTURA]]</f>
        <v>861609</v>
      </c>
      <c r="AO205" s="35">
        <f>VLOOKUP(Tabla44[[#This Row],[SERVICIO 2025]],$J$2:$V$15,8,0)*Tabla44[[#This Row],[TOTAL COBERTURA]]</f>
        <v>611100</v>
      </c>
      <c r="AP205" s="35">
        <f>VLOOKUP(Tabla44[[#This Row],[SERVICIO 2025]],$J$2:$V$15,3,0)*Tabla44[[#This Row],[TOTAL COBERTURA]]*8</f>
        <v>43274448</v>
      </c>
      <c r="AQ205" s="35"/>
      <c r="AR205" s="35">
        <f>SUM(Tabla44[[#This Row],[VALOR FASE PREPARATORIA DE ALISTAMIENTO]:[VALOR RACION PREPARADA]])</f>
        <v>45784053</v>
      </c>
      <c r="AS205" s="35" t="str">
        <f>+IF(Tabla44[[#This Row],[AGRUPACIONES]]=1,SUMIFS(Tabla44[VALOR TOTAL],Tabla44[ZONA DEFINITIVO],Tabla44[[#This Row],[ZONA DEFINITIVO]])," ")</f>
        <v xml:space="preserve"> </v>
      </c>
      <c r="AT205" s="35">
        <f>VLOOKUP(Tabla44[[#This Row],[SERVICIO 2025]],$J$2:$V$15,10,0)*Tabla44[[#This Row],[TOTAL COBERTURA]]*$X$7</f>
        <v>30304344</v>
      </c>
      <c r="AU205" s="39">
        <f>Tabla44[[#This Row],[TOTAL CONTRATO (ICBF+EAS)]]+Tabla44[[#This Row],[VALOR COMPONENTE ALIMENTACION NO ASIGNADO]]</f>
        <v>76088397</v>
      </c>
      <c r="AV20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10845345</v>
      </c>
      <c r="AW205" s="35">
        <f>(VLOOKUP(Tabla44[[#This Row],[SERVICIO 2025]],$J$2:$V$15,3,0)*Tabla44[[#This Row],[TOTAL COBERTURA]])+VLOOKUP(Tabla44[[#This Row],[SERVICIO 2025]],$J$2:$V$15,10,0)*Tabla44[[#This Row],[TOTAL COBERTURA]]</f>
        <v>9197349</v>
      </c>
      <c r="AX205" s="35">
        <f>(VLOOKUP(Tabla44[[#This Row],[SERVICIO 2025]],$J$2:$V$15,3,0)*Tabla44[[#This Row],[TOTAL COBERTURA]])+VLOOKUP(Tabla44[[#This Row],[SERVICIO 2025]],$J$2:$V$15,10,0)*Tabla44[[#This Row],[TOTAL COBERTURA]]</f>
        <v>9197349</v>
      </c>
      <c r="AY205" s="35">
        <f>(VLOOKUP(Tabla44[[#This Row],[SERVICIO 2025]],$J$2:$V$15,3,0)*Tabla44[[#This Row],[TOTAL COBERTURA]])+VLOOKUP(Tabla44[[#This Row],[SERVICIO 2025]],$J$2:$V$15,10,0)*Tabla44[[#This Row],[TOTAL COBERTURA]]</f>
        <v>9197349</v>
      </c>
      <c r="AZ205" s="35">
        <f>(VLOOKUP(Tabla44[[#This Row],[SERVICIO 2025]],$J$2:$V$15,3,0)*Tabla44[[#This Row],[TOTAL COBERTURA]])+VLOOKUP(Tabla44[[#This Row],[SERVICIO 2025]],$J$2:$V$15,10,0)*Tabla44[[#This Row],[TOTAL COBERTURA]]</f>
        <v>9197349</v>
      </c>
      <c r="BA205" s="35">
        <f>(VLOOKUP(Tabla44[[#This Row],[SERVICIO 2025]],$J$2:$V$15,3,0)*Tabla44[[#This Row],[TOTAL COBERTURA]])+VLOOKUP(Tabla44[[#This Row],[SERVICIO 2025]],$J$2:$V$15,10,0)*Tabla44[[#This Row],[TOTAL COBERTURA]]</f>
        <v>9197349</v>
      </c>
      <c r="BB205" s="35">
        <f>(VLOOKUP(Tabla44[[#This Row],[SERVICIO 2025]],$J$2:$V$15,3,0)*Tabla44[[#This Row],[TOTAL COBERTURA]])+VLOOKUP(Tabla44[[#This Row],[SERVICIO 2025]],$J$2:$V$15,10,0)*Tabla44[[#This Row],[TOTAL COBERTURA]]</f>
        <v>9197349</v>
      </c>
      <c r="BC20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10058958</v>
      </c>
      <c r="BD205" s="35">
        <f>SUM(Tabla44[[#This Row],[DESEMBOLSO 1]:[DESEMBOLSO 8]])</f>
        <v>76088397</v>
      </c>
      <c r="BE205" s="12" t="b">
        <f>EXACT(Tabla44[[#This Row],[VALOR ATENCIÓN (8 MESES)]],Tabla44[[#This Row],[VALOR TOTAL]])</f>
        <v>1</v>
      </c>
      <c r="BF205" s="23">
        <f>Tabla44[[#This Row],[VALOR ATENCIÓN (8 MESES)]]-Tabla44[[#This Row],[VALOR TOTAL]]</f>
        <v>0</v>
      </c>
      <c r="BG205" s="12" t="b">
        <f>EXACT(Tabla44[[#This Row],[TOTAL DESEMBOLSOS]],Tabla44[[#This Row],[VALOR TOTAL DEL CONTRATO INCLUIDO EL COMPONENTE DE ALIMENTACIÓN]])</f>
        <v>1</v>
      </c>
      <c r="BH205" s="29">
        <f>Tabla44[[#This Row],[TOTAL DESEMBOLSOS]]-Tabla44[[#This Row],[VALOR TOTAL DEL CONTRATO INCLUIDO EL COMPONENTE DE ALIMENTACIÓN]]</f>
        <v>0</v>
      </c>
      <c r="BI205" t="s">
        <v>98</v>
      </c>
    </row>
    <row r="206" spans="1:61">
      <c r="A206" s="13">
        <v>1992</v>
      </c>
      <c r="B206" s="13"/>
      <c r="C206" s="12" t="s">
        <v>87</v>
      </c>
      <c r="D206" s="12" t="s">
        <v>1534</v>
      </c>
      <c r="E206" s="12" t="s">
        <v>3210</v>
      </c>
      <c r="F206" s="12" t="s">
        <v>18</v>
      </c>
      <c r="G206" s="12" t="s">
        <v>90</v>
      </c>
      <c r="H206" s="12" t="s">
        <v>3216</v>
      </c>
      <c r="I206" s="36">
        <v>57611136580</v>
      </c>
      <c r="J206" s="12" t="s">
        <v>3217</v>
      </c>
      <c r="K206" s="12">
        <v>1</v>
      </c>
      <c r="L206" s="12">
        <v>18</v>
      </c>
      <c r="M206" s="12"/>
      <c r="N206" s="13">
        <v>1992</v>
      </c>
      <c r="O206" s="12" t="s">
        <v>2850</v>
      </c>
      <c r="P206" s="12"/>
      <c r="Q206" s="12"/>
      <c r="R206" s="12" t="s">
        <v>94</v>
      </c>
      <c r="S206" s="12">
        <v>10</v>
      </c>
      <c r="T206" s="12">
        <v>900325081</v>
      </c>
      <c r="U206" s="12" t="s">
        <v>167</v>
      </c>
      <c r="V206" s="12">
        <f>VLOOKUP(Tabla44[[#This Row],[ZONA DEFINITIVO]],[1]Hoja1!$A$1:$D$125,3,0)</f>
        <v>229939</v>
      </c>
      <c r="W206" s="12">
        <f>VLOOKUP(Tabla44[[#This Row],[ZONA DEFINITIVO]],[1]Hoja1!$A$1:$D$125,2,0)</f>
        <v>17257</v>
      </c>
      <c r="X206" s="12">
        <f>VLOOKUP(Tabla44[[#This Row],[ZONA DEFINITIVO]],[1]Hoja1!$A$1:$D$125,4,0)</f>
        <v>104325</v>
      </c>
      <c r="Y206" s="12" t="str">
        <f>+IF(Tabla44[[#This Row],[AGRUPACIONES]]=1,SUMIFS(Tabla44[UDS],Tabla44[ZONA DEFINITIVO],Tabla44[[#This Row],[ZONA DEFINITIVO]])," ")</f>
        <v xml:space="preserve"> </v>
      </c>
      <c r="Z206" s="12" t="str">
        <f>+IF(Tabla44[[#This Row],[AGRUPACIONES]]=1,SUMIFS(Tabla44[TOTAL COBERTURA],Tabla44[ZONA DEFINITIVO],Tabla44[[#This Row],[ZONA DEFINITIVO]])," ")</f>
        <v xml:space="preserve"> </v>
      </c>
      <c r="AA206" s="12"/>
      <c r="AB206" s="35">
        <v>39243474</v>
      </c>
      <c r="AC206" s="37">
        <v>0</v>
      </c>
      <c r="AD206" s="35">
        <f t="shared" si="3"/>
        <v>0</v>
      </c>
      <c r="AE206" s="12"/>
      <c r="AF206" s="12">
        <f>COUNTIF($A$20:A206,A206)</f>
        <v>18</v>
      </c>
      <c r="AG206" s="38">
        <v>39243474</v>
      </c>
      <c r="AH206" s="38">
        <f>Tabla44[[#This Row],[VALOR CONTRAPARTIDA]]+Tabla44[[#This Row],[TOTAL APORTES ICBF]]</f>
        <v>39243474</v>
      </c>
      <c r="AI206" s="35" t="str">
        <f>+IF(Tabla44[[#This Row],[AGRUPACIONES]]=1,SUMIFS(Tabla44[TOTAL APORTES ICBF],Tabla44[ZONA DEFINITIVO],Tabla44[[#This Row],[ZONA DEFINITIVO]])," ")</f>
        <v xml:space="preserve"> </v>
      </c>
      <c r="AJ206" s="38"/>
      <c r="AK206" s="38"/>
      <c r="AL206" s="35"/>
      <c r="AM206" s="35">
        <f>VLOOKUP(Tabla44[[#This Row],[SERVICIO 2025]],$J$2:$V$15,5,0)*Tabla44[[#This Row],[TOTAL COBERTURA]]</f>
        <v>888768</v>
      </c>
      <c r="AN206" s="35">
        <f>VLOOKUP(Tabla44[[#This Row],[SERVICIO 2025]],$J$2:$V$15,6,0)*Tabla44[[#This Row],[TOTAL COBERTURA]]</f>
        <v>738522</v>
      </c>
      <c r="AO206" s="35">
        <f>VLOOKUP(Tabla44[[#This Row],[SERVICIO 2025]],$J$2:$V$15,8,0)*Tabla44[[#This Row],[TOTAL COBERTURA]]</f>
        <v>523800</v>
      </c>
      <c r="AP206" s="35">
        <f>VLOOKUP(Tabla44[[#This Row],[SERVICIO 2025]],$J$2:$V$15,3,0)*Tabla44[[#This Row],[TOTAL COBERTURA]]*8</f>
        <v>37092384</v>
      </c>
      <c r="AQ206" s="35"/>
      <c r="AR206" s="35">
        <f>SUM(Tabla44[[#This Row],[VALOR FASE PREPARATORIA DE ALISTAMIENTO]:[VALOR RACION PREPARADA]])</f>
        <v>39243474</v>
      </c>
      <c r="AS206" s="35" t="str">
        <f>+IF(Tabla44[[#This Row],[AGRUPACIONES]]=1,SUMIFS(Tabla44[VALOR TOTAL],Tabla44[ZONA DEFINITIVO],Tabla44[[#This Row],[ZONA DEFINITIVO]])," ")</f>
        <v xml:space="preserve"> </v>
      </c>
      <c r="AT206" s="35">
        <f>VLOOKUP(Tabla44[[#This Row],[SERVICIO 2025]],$J$2:$V$15,10,0)*Tabla44[[#This Row],[TOTAL COBERTURA]]*$X$7</f>
        <v>25975152</v>
      </c>
      <c r="AU206" s="39">
        <f>Tabla44[[#This Row],[TOTAL CONTRATO (ICBF+EAS)]]+Tabla44[[#This Row],[VALOR COMPONENTE ALIMENTACION NO ASIGNADO]]</f>
        <v>65218626</v>
      </c>
      <c r="AV20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206" s="35">
        <f>(VLOOKUP(Tabla44[[#This Row],[SERVICIO 2025]],$J$2:$V$15,3,0)*Tabla44[[#This Row],[TOTAL COBERTURA]])+VLOOKUP(Tabla44[[#This Row],[SERVICIO 2025]],$J$2:$V$15,10,0)*Tabla44[[#This Row],[TOTAL COBERTURA]]</f>
        <v>7883442</v>
      </c>
      <c r="AX206" s="35">
        <f>(VLOOKUP(Tabla44[[#This Row],[SERVICIO 2025]],$J$2:$V$15,3,0)*Tabla44[[#This Row],[TOTAL COBERTURA]])+VLOOKUP(Tabla44[[#This Row],[SERVICIO 2025]],$J$2:$V$15,10,0)*Tabla44[[#This Row],[TOTAL COBERTURA]]</f>
        <v>7883442</v>
      </c>
      <c r="AY206" s="35">
        <f>(VLOOKUP(Tabla44[[#This Row],[SERVICIO 2025]],$J$2:$V$15,3,0)*Tabla44[[#This Row],[TOTAL COBERTURA]])+VLOOKUP(Tabla44[[#This Row],[SERVICIO 2025]],$J$2:$V$15,10,0)*Tabla44[[#This Row],[TOTAL COBERTURA]]</f>
        <v>7883442</v>
      </c>
      <c r="AZ206" s="35">
        <f>(VLOOKUP(Tabla44[[#This Row],[SERVICIO 2025]],$J$2:$V$15,3,0)*Tabla44[[#This Row],[TOTAL COBERTURA]])+VLOOKUP(Tabla44[[#This Row],[SERVICIO 2025]],$J$2:$V$15,10,0)*Tabla44[[#This Row],[TOTAL COBERTURA]]</f>
        <v>7883442</v>
      </c>
      <c r="BA206" s="35">
        <f>(VLOOKUP(Tabla44[[#This Row],[SERVICIO 2025]],$J$2:$V$15,3,0)*Tabla44[[#This Row],[TOTAL COBERTURA]])+VLOOKUP(Tabla44[[#This Row],[SERVICIO 2025]],$J$2:$V$15,10,0)*Tabla44[[#This Row],[TOTAL COBERTURA]]</f>
        <v>7883442</v>
      </c>
      <c r="BB206" s="35">
        <f>(VLOOKUP(Tabla44[[#This Row],[SERVICIO 2025]],$J$2:$V$15,3,0)*Tabla44[[#This Row],[TOTAL COBERTURA]])+VLOOKUP(Tabla44[[#This Row],[SERVICIO 2025]],$J$2:$V$15,10,0)*Tabla44[[#This Row],[TOTAL COBERTURA]]</f>
        <v>7883442</v>
      </c>
      <c r="BC20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206" s="35">
        <f>SUM(Tabla44[[#This Row],[DESEMBOLSO 1]:[DESEMBOLSO 8]])</f>
        <v>65218626</v>
      </c>
      <c r="BE206" s="12" t="b">
        <f>EXACT(Tabla44[[#This Row],[VALOR ATENCIÓN (8 MESES)]],Tabla44[[#This Row],[VALOR TOTAL]])</f>
        <v>1</v>
      </c>
      <c r="BF206" s="23">
        <f>Tabla44[[#This Row],[VALOR ATENCIÓN (8 MESES)]]-Tabla44[[#This Row],[VALOR TOTAL]]</f>
        <v>0</v>
      </c>
      <c r="BG206" s="12" t="b">
        <f>EXACT(Tabla44[[#This Row],[TOTAL DESEMBOLSOS]],Tabla44[[#This Row],[VALOR TOTAL DEL CONTRATO INCLUIDO EL COMPONENTE DE ALIMENTACIÓN]])</f>
        <v>1</v>
      </c>
      <c r="BH206" s="29">
        <f>Tabla44[[#This Row],[TOTAL DESEMBOLSOS]]-Tabla44[[#This Row],[VALOR TOTAL DEL CONTRATO INCLUIDO EL COMPONENTE DE ALIMENTACIÓN]]</f>
        <v>0</v>
      </c>
      <c r="BI206" t="s">
        <v>98</v>
      </c>
    </row>
    <row r="207" spans="1:61">
      <c r="A207" s="13">
        <v>1992</v>
      </c>
      <c r="B207" s="21"/>
      <c r="C207" s="22" t="s">
        <v>87</v>
      </c>
      <c r="D207" s="22" t="s">
        <v>1534</v>
      </c>
      <c r="E207" s="22" t="s">
        <v>3210</v>
      </c>
      <c r="F207" s="22" t="s">
        <v>18</v>
      </c>
      <c r="G207" s="12" t="s">
        <v>90</v>
      </c>
      <c r="H207" s="22" t="s">
        <v>3218</v>
      </c>
      <c r="I207" s="36">
        <v>57611150454</v>
      </c>
      <c r="J207" s="22" t="s">
        <v>3219</v>
      </c>
      <c r="K207" s="12">
        <v>1</v>
      </c>
      <c r="L207" s="22">
        <v>20</v>
      </c>
      <c r="M207" s="22"/>
      <c r="N207" s="13">
        <v>1992</v>
      </c>
      <c r="O207" s="22" t="s">
        <v>2850</v>
      </c>
      <c r="P207" s="22"/>
      <c r="Q207" s="22"/>
      <c r="R207" s="12" t="s">
        <v>94</v>
      </c>
      <c r="S207" s="12">
        <v>10</v>
      </c>
      <c r="T207" s="12">
        <v>900325081</v>
      </c>
      <c r="U207" s="12" t="s">
        <v>167</v>
      </c>
      <c r="V207" s="22">
        <f>VLOOKUP(Tabla44[[#This Row],[ZONA DEFINITIVO]],[1]Hoja1!$A$1:$D$125,3,0)</f>
        <v>229939</v>
      </c>
      <c r="W207" s="22">
        <f>VLOOKUP(Tabla44[[#This Row],[ZONA DEFINITIVO]],[1]Hoja1!$A$1:$D$125,2,0)</f>
        <v>17257</v>
      </c>
      <c r="X207" s="22">
        <f>VLOOKUP(Tabla44[[#This Row],[ZONA DEFINITIVO]],[1]Hoja1!$A$1:$D$125,4,0)</f>
        <v>104325</v>
      </c>
      <c r="Y207" s="22" t="str">
        <f>+IF(Tabla44[[#This Row],[AGRUPACIONES]]=1,SUMIFS(Tabla44[UDS],Tabla44[ZONA DEFINITIVO],Tabla44[[#This Row],[ZONA DEFINITIVO]])," ")</f>
        <v xml:space="preserve"> </v>
      </c>
      <c r="Z207" s="22" t="str">
        <f>+IF(Tabla44[[#This Row],[AGRUPACIONES]]=1,SUMIFS(Tabla44[TOTAL COBERTURA],Tabla44[ZONA DEFINITIVO],Tabla44[[#This Row],[ZONA DEFINITIVO]])," ")</f>
        <v xml:space="preserve"> </v>
      </c>
      <c r="AA207" s="22"/>
      <c r="AB207" s="40">
        <v>43603860</v>
      </c>
      <c r="AC207" s="37">
        <v>0</v>
      </c>
      <c r="AD207" s="40">
        <f t="shared" si="3"/>
        <v>0</v>
      </c>
      <c r="AE207" s="22"/>
      <c r="AF207" s="12">
        <f>COUNTIF($A$20:A207,A207)</f>
        <v>19</v>
      </c>
      <c r="AG207" s="41">
        <v>43603860</v>
      </c>
      <c r="AH207" s="41">
        <f>Tabla44[[#This Row],[VALOR CONTRAPARTIDA]]+Tabla44[[#This Row],[TOTAL APORTES ICBF]]</f>
        <v>43603860</v>
      </c>
      <c r="AI207" s="40" t="str">
        <f>+IF(Tabla44[[#This Row],[AGRUPACIONES]]=1,SUMIFS(Tabla44[TOTAL APORTES ICBF],Tabla44[ZONA DEFINITIVO],Tabla44[[#This Row],[ZONA DEFINITIVO]])," ")</f>
        <v xml:space="preserve"> </v>
      </c>
      <c r="AJ207" s="41"/>
      <c r="AK207" s="41"/>
      <c r="AL207" s="40"/>
      <c r="AM207" s="40">
        <f>VLOOKUP(Tabla44[[#This Row],[SERVICIO 2025]],$J$2:$V$15,5,0)*Tabla44[[#This Row],[TOTAL COBERTURA]]</f>
        <v>987520</v>
      </c>
      <c r="AN207" s="40">
        <f>VLOOKUP(Tabla44[[#This Row],[SERVICIO 2025]],$J$2:$V$15,6,0)*Tabla44[[#This Row],[TOTAL COBERTURA]]</f>
        <v>820580</v>
      </c>
      <c r="AO207" s="40">
        <f>VLOOKUP(Tabla44[[#This Row],[SERVICIO 2025]],$J$2:$V$15,8,0)*Tabla44[[#This Row],[TOTAL COBERTURA]]</f>
        <v>582000</v>
      </c>
      <c r="AP207" s="40">
        <f>VLOOKUP(Tabla44[[#This Row],[SERVICIO 2025]],$J$2:$V$15,3,0)*Tabla44[[#This Row],[TOTAL COBERTURA]]*8</f>
        <v>41213760</v>
      </c>
      <c r="AQ207" s="40"/>
      <c r="AR207" s="40">
        <f>SUM(Tabla44[[#This Row],[VALOR FASE PREPARATORIA DE ALISTAMIENTO]:[VALOR RACION PREPARADA]])</f>
        <v>43603860</v>
      </c>
      <c r="AS207" s="40" t="str">
        <f>+IF(Tabla44[[#This Row],[AGRUPACIONES]]=1,SUMIFS(Tabla44[VALOR TOTAL],Tabla44[ZONA DEFINITIVO],Tabla44[[#This Row],[ZONA DEFINITIVO]])," ")</f>
        <v xml:space="preserve"> </v>
      </c>
      <c r="AT207" s="35">
        <f>VLOOKUP(Tabla44[[#This Row],[SERVICIO 2025]],$J$2:$V$15,10,0)*Tabla44[[#This Row],[TOTAL COBERTURA]]*$X$7</f>
        <v>28861280</v>
      </c>
      <c r="AU207" s="42">
        <f>Tabla44[[#This Row],[TOTAL CONTRATO (ICBF+EAS)]]+Tabla44[[#This Row],[VALOR COMPONENTE ALIMENTACION NO ASIGNADO]]</f>
        <v>72465140</v>
      </c>
      <c r="AV20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207" s="35">
        <f>(VLOOKUP(Tabla44[[#This Row],[SERVICIO 2025]],$J$2:$V$15,3,0)*Tabla44[[#This Row],[TOTAL COBERTURA]])+VLOOKUP(Tabla44[[#This Row],[SERVICIO 2025]],$J$2:$V$15,10,0)*Tabla44[[#This Row],[TOTAL COBERTURA]]</f>
        <v>8759380</v>
      </c>
      <c r="AX207" s="40">
        <f>(VLOOKUP(Tabla44[[#This Row],[SERVICIO 2025]],$J$2:$V$15,3,0)*Tabla44[[#This Row],[TOTAL COBERTURA]])+VLOOKUP(Tabla44[[#This Row],[SERVICIO 2025]],$J$2:$V$15,10,0)*Tabla44[[#This Row],[TOTAL COBERTURA]]</f>
        <v>8759380</v>
      </c>
      <c r="AY207" s="40">
        <f>(VLOOKUP(Tabla44[[#This Row],[SERVICIO 2025]],$J$2:$V$15,3,0)*Tabla44[[#This Row],[TOTAL COBERTURA]])+VLOOKUP(Tabla44[[#This Row],[SERVICIO 2025]],$J$2:$V$15,10,0)*Tabla44[[#This Row],[TOTAL COBERTURA]]</f>
        <v>8759380</v>
      </c>
      <c r="AZ207" s="40">
        <f>(VLOOKUP(Tabla44[[#This Row],[SERVICIO 2025]],$J$2:$V$15,3,0)*Tabla44[[#This Row],[TOTAL COBERTURA]])+VLOOKUP(Tabla44[[#This Row],[SERVICIO 2025]],$J$2:$V$15,10,0)*Tabla44[[#This Row],[TOTAL COBERTURA]]</f>
        <v>8759380</v>
      </c>
      <c r="BA207" s="40">
        <f>(VLOOKUP(Tabla44[[#This Row],[SERVICIO 2025]],$J$2:$V$15,3,0)*Tabla44[[#This Row],[TOTAL COBERTURA]])+VLOOKUP(Tabla44[[#This Row],[SERVICIO 2025]],$J$2:$V$15,10,0)*Tabla44[[#This Row],[TOTAL COBERTURA]]</f>
        <v>8759380</v>
      </c>
      <c r="BB207" s="40">
        <f>(VLOOKUP(Tabla44[[#This Row],[SERVICIO 2025]],$J$2:$V$15,3,0)*Tabla44[[#This Row],[TOTAL COBERTURA]])+VLOOKUP(Tabla44[[#This Row],[SERVICIO 2025]],$J$2:$V$15,10,0)*Tabla44[[#This Row],[TOTAL COBERTURA]]</f>
        <v>8759380</v>
      </c>
      <c r="BC207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207" s="40">
        <f>SUM(Tabla44[[#This Row],[DESEMBOLSO 1]:[DESEMBOLSO 8]])</f>
        <v>72465140</v>
      </c>
      <c r="BE207" s="22" t="b">
        <f>EXACT(Tabla44[[#This Row],[VALOR ATENCIÓN (8 MESES)]],Tabla44[[#This Row],[VALOR TOTAL]])</f>
        <v>1</v>
      </c>
      <c r="BF207" s="28">
        <f>Tabla44[[#This Row],[VALOR ATENCIÓN (8 MESES)]]-Tabla44[[#This Row],[VALOR TOTAL]]</f>
        <v>0</v>
      </c>
      <c r="BG207" s="22" t="b">
        <f>EXACT(Tabla44[[#This Row],[TOTAL DESEMBOLSOS]],Tabla44[[#This Row],[VALOR TOTAL DEL CONTRATO INCLUIDO EL COMPONENTE DE ALIMENTACIÓN]])</f>
        <v>1</v>
      </c>
      <c r="BH207" s="29">
        <f>Tabla44[[#This Row],[TOTAL DESEMBOLSOS]]-Tabla44[[#This Row],[VALOR TOTAL DEL CONTRATO INCLUIDO EL COMPONENTE DE ALIMENTACIÓN]]</f>
        <v>0</v>
      </c>
      <c r="BI207" t="s">
        <v>98</v>
      </c>
    </row>
    <row r="208" spans="1:61">
      <c r="A208" s="13">
        <v>1992</v>
      </c>
      <c r="B208" s="13"/>
      <c r="C208" s="12" t="s">
        <v>87</v>
      </c>
      <c r="D208" s="12" t="s">
        <v>1534</v>
      </c>
      <c r="E208" s="12" t="s">
        <v>3210</v>
      </c>
      <c r="F208" s="12" t="s">
        <v>18</v>
      </c>
      <c r="G208" s="12" t="s">
        <v>90</v>
      </c>
      <c r="H208" s="12" t="s">
        <v>3220</v>
      </c>
      <c r="I208" s="36">
        <v>57611155946</v>
      </c>
      <c r="J208" s="12" t="s">
        <v>3221</v>
      </c>
      <c r="K208" s="12">
        <v>1</v>
      </c>
      <c r="L208" s="12">
        <v>11</v>
      </c>
      <c r="M208" s="12"/>
      <c r="N208" s="13">
        <v>1992</v>
      </c>
      <c r="O208" s="12" t="s">
        <v>2850</v>
      </c>
      <c r="P208" s="12"/>
      <c r="Q208" s="12"/>
      <c r="R208" s="12" t="s">
        <v>94</v>
      </c>
      <c r="S208" s="12">
        <v>10</v>
      </c>
      <c r="T208" s="12">
        <v>900325081</v>
      </c>
      <c r="U208" s="12" t="s">
        <v>167</v>
      </c>
      <c r="V208" s="12">
        <f>VLOOKUP(Tabla44[[#This Row],[ZONA DEFINITIVO]],[1]Hoja1!$A$1:$D$125,3,0)</f>
        <v>229939</v>
      </c>
      <c r="W208" s="12">
        <f>VLOOKUP(Tabla44[[#This Row],[ZONA DEFINITIVO]],[1]Hoja1!$A$1:$D$125,2,0)</f>
        <v>17257</v>
      </c>
      <c r="X208" s="12">
        <f>VLOOKUP(Tabla44[[#This Row],[ZONA DEFINITIVO]],[1]Hoja1!$A$1:$D$125,4,0)</f>
        <v>104325</v>
      </c>
      <c r="Y208" s="12" t="str">
        <f>+IF(Tabla44[[#This Row],[AGRUPACIONES]]=1,SUMIFS(Tabla44[UDS],Tabla44[ZONA DEFINITIVO],Tabla44[[#This Row],[ZONA DEFINITIVO]])," ")</f>
        <v xml:space="preserve"> </v>
      </c>
      <c r="Z208" s="12" t="str">
        <f>+IF(Tabla44[[#This Row],[AGRUPACIONES]]=1,SUMIFS(Tabla44[TOTAL COBERTURA],Tabla44[ZONA DEFINITIVO],Tabla44[[#This Row],[ZONA DEFINITIVO]])," ")</f>
        <v xml:space="preserve"> </v>
      </c>
      <c r="AA208" s="12"/>
      <c r="AB208" s="35">
        <v>23982123</v>
      </c>
      <c r="AC208" s="37">
        <v>0</v>
      </c>
      <c r="AD208" s="35">
        <f t="shared" si="3"/>
        <v>0</v>
      </c>
      <c r="AE208" s="12"/>
      <c r="AF208" s="12">
        <f>COUNTIF($A$20:A208,A208)</f>
        <v>20</v>
      </c>
      <c r="AG208" s="38">
        <v>23982123</v>
      </c>
      <c r="AH208" s="38">
        <f>Tabla44[[#This Row],[VALOR CONTRAPARTIDA]]+Tabla44[[#This Row],[TOTAL APORTES ICBF]]</f>
        <v>23982123</v>
      </c>
      <c r="AI208" s="35" t="str">
        <f>+IF(Tabla44[[#This Row],[AGRUPACIONES]]=1,SUMIFS(Tabla44[TOTAL APORTES ICBF],Tabla44[ZONA DEFINITIVO],Tabla44[[#This Row],[ZONA DEFINITIVO]])," ")</f>
        <v xml:space="preserve"> </v>
      </c>
      <c r="AJ208" s="38"/>
      <c r="AK208" s="38"/>
      <c r="AL208" s="35"/>
      <c r="AM208" s="35">
        <f>VLOOKUP(Tabla44[[#This Row],[SERVICIO 2025]],$J$2:$V$15,5,0)*Tabla44[[#This Row],[TOTAL COBERTURA]]</f>
        <v>543136</v>
      </c>
      <c r="AN208" s="35">
        <f>VLOOKUP(Tabla44[[#This Row],[SERVICIO 2025]],$J$2:$V$15,6,0)*Tabla44[[#This Row],[TOTAL COBERTURA]]</f>
        <v>451319</v>
      </c>
      <c r="AO208" s="35">
        <f>VLOOKUP(Tabla44[[#This Row],[SERVICIO 2025]],$J$2:$V$15,8,0)*Tabla44[[#This Row],[TOTAL COBERTURA]]</f>
        <v>320100</v>
      </c>
      <c r="AP208" s="35">
        <f>VLOOKUP(Tabla44[[#This Row],[SERVICIO 2025]],$J$2:$V$15,3,0)*Tabla44[[#This Row],[TOTAL COBERTURA]]*8</f>
        <v>22667568</v>
      </c>
      <c r="AQ208" s="35"/>
      <c r="AR208" s="35">
        <f>SUM(Tabla44[[#This Row],[VALOR FASE PREPARATORIA DE ALISTAMIENTO]:[VALOR RACION PREPARADA]])</f>
        <v>23982123</v>
      </c>
      <c r="AS208" s="35" t="str">
        <f>+IF(Tabla44[[#This Row],[AGRUPACIONES]]=1,SUMIFS(Tabla44[VALOR TOTAL],Tabla44[ZONA DEFINITIVO],Tabla44[[#This Row],[ZONA DEFINITIVO]])," ")</f>
        <v xml:space="preserve"> </v>
      </c>
      <c r="AT208" s="35">
        <f>VLOOKUP(Tabla44[[#This Row],[SERVICIO 2025]],$J$2:$V$15,10,0)*Tabla44[[#This Row],[TOTAL COBERTURA]]*$X$7</f>
        <v>15873704</v>
      </c>
      <c r="AU208" s="39">
        <f>Tabla44[[#This Row],[TOTAL CONTRATO (ICBF+EAS)]]+Tabla44[[#This Row],[VALOR COMPONENTE ALIMENTACION NO ASIGNADO]]</f>
        <v>39855827</v>
      </c>
      <c r="AV20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208" s="35">
        <f>(VLOOKUP(Tabla44[[#This Row],[SERVICIO 2025]],$J$2:$V$15,3,0)*Tabla44[[#This Row],[TOTAL COBERTURA]])+VLOOKUP(Tabla44[[#This Row],[SERVICIO 2025]],$J$2:$V$15,10,0)*Tabla44[[#This Row],[TOTAL COBERTURA]]</f>
        <v>4817659</v>
      </c>
      <c r="AX208" s="35">
        <f>(VLOOKUP(Tabla44[[#This Row],[SERVICIO 2025]],$J$2:$V$15,3,0)*Tabla44[[#This Row],[TOTAL COBERTURA]])+VLOOKUP(Tabla44[[#This Row],[SERVICIO 2025]],$J$2:$V$15,10,0)*Tabla44[[#This Row],[TOTAL COBERTURA]]</f>
        <v>4817659</v>
      </c>
      <c r="AY208" s="35">
        <f>(VLOOKUP(Tabla44[[#This Row],[SERVICIO 2025]],$J$2:$V$15,3,0)*Tabla44[[#This Row],[TOTAL COBERTURA]])+VLOOKUP(Tabla44[[#This Row],[SERVICIO 2025]],$J$2:$V$15,10,0)*Tabla44[[#This Row],[TOTAL COBERTURA]]</f>
        <v>4817659</v>
      </c>
      <c r="AZ208" s="35">
        <f>(VLOOKUP(Tabla44[[#This Row],[SERVICIO 2025]],$J$2:$V$15,3,0)*Tabla44[[#This Row],[TOTAL COBERTURA]])+VLOOKUP(Tabla44[[#This Row],[SERVICIO 2025]],$J$2:$V$15,10,0)*Tabla44[[#This Row],[TOTAL COBERTURA]]</f>
        <v>4817659</v>
      </c>
      <c r="BA208" s="35">
        <f>(VLOOKUP(Tabla44[[#This Row],[SERVICIO 2025]],$J$2:$V$15,3,0)*Tabla44[[#This Row],[TOTAL COBERTURA]])+VLOOKUP(Tabla44[[#This Row],[SERVICIO 2025]],$J$2:$V$15,10,0)*Tabla44[[#This Row],[TOTAL COBERTURA]]</f>
        <v>4817659</v>
      </c>
      <c r="BB208" s="35">
        <f>(VLOOKUP(Tabla44[[#This Row],[SERVICIO 2025]],$J$2:$V$15,3,0)*Tabla44[[#This Row],[TOTAL COBERTURA]])+VLOOKUP(Tabla44[[#This Row],[SERVICIO 2025]],$J$2:$V$15,10,0)*Tabla44[[#This Row],[TOTAL COBERTURA]]</f>
        <v>4817659</v>
      </c>
      <c r="BC20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208" s="35">
        <f>SUM(Tabla44[[#This Row],[DESEMBOLSO 1]:[DESEMBOLSO 8]])</f>
        <v>39855827</v>
      </c>
      <c r="BE208" s="12" t="b">
        <f>EXACT(Tabla44[[#This Row],[VALOR ATENCIÓN (8 MESES)]],Tabla44[[#This Row],[VALOR TOTAL]])</f>
        <v>1</v>
      </c>
      <c r="BF208" s="23">
        <f>Tabla44[[#This Row],[VALOR ATENCIÓN (8 MESES)]]-Tabla44[[#This Row],[VALOR TOTAL]]</f>
        <v>0</v>
      </c>
      <c r="BG208" s="12" t="b">
        <f>EXACT(Tabla44[[#This Row],[TOTAL DESEMBOLSOS]],Tabla44[[#This Row],[VALOR TOTAL DEL CONTRATO INCLUIDO EL COMPONENTE DE ALIMENTACIÓN]])</f>
        <v>1</v>
      </c>
      <c r="BH208" s="29">
        <f>Tabla44[[#This Row],[TOTAL DESEMBOLSOS]]-Tabla44[[#This Row],[VALOR TOTAL DEL CONTRATO INCLUIDO EL COMPONENTE DE ALIMENTACIÓN]]</f>
        <v>0</v>
      </c>
      <c r="BI208" t="s">
        <v>98</v>
      </c>
    </row>
    <row r="209" spans="1:61">
      <c r="A209" s="13">
        <v>1992</v>
      </c>
      <c r="B209" s="13"/>
      <c r="C209" s="12" t="s">
        <v>87</v>
      </c>
      <c r="D209" s="12" t="s">
        <v>1534</v>
      </c>
      <c r="E209" s="12" t="s">
        <v>3210</v>
      </c>
      <c r="F209" s="12" t="s">
        <v>15</v>
      </c>
      <c r="G209" s="12" t="s">
        <v>90</v>
      </c>
      <c r="H209" s="12" t="s">
        <v>2033</v>
      </c>
      <c r="I209" s="36">
        <v>576100040797</v>
      </c>
      <c r="J209" s="12" t="s">
        <v>3222</v>
      </c>
      <c r="K209" s="12">
        <v>1</v>
      </c>
      <c r="L209" s="12">
        <v>90</v>
      </c>
      <c r="M209" s="12"/>
      <c r="N209" s="13">
        <v>1992</v>
      </c>
      <c r="O209" s="12" t="s">
        <v>2850</v>
      </c>
      <c r="P209" s="12"/>
      <c r="Q209" s="12"/>
      <c r="R209" s="12" t="s">
        <v>94</v>
      </c>
      <c r="S209" s="12">
        <v>10</v>
      </c>
      <c r="T209" s="12">
        <v>900325081</v>
      </c>
      <c r="U209" s="12" t="s">
        <v>167</v>
      </c>
      <c r="V209" s="12">
        <f>VLOOKUP(Tabla44[[#This Row],[ZONA DEFINITIVO]],[1]Hoja1!$A$1:$D$125,3,0)</f>
        <v>229939</v>
      </c>
      <c r="W209" s="12">
        <f>VLOOKUP(Tabla44[[#This Row],[ZONA DEFINITIVO]],[1]Hoja1!$A$1:$D$125,2,0)</f>
        <v>17257</v>
      </c>
      <c r="X209" s="12">
        <f>VLOOKUP(Tabla44[[#This Row],[ZONA DEFINITIVO]],[1]Hoja1!$A$1:$D$125,4,0)</f>
        <v>104325</v>
      </c>
      <c r="Y209" s="12" t="str">
        <f>+IF(Tabla44[[#This Row],[AGRUPACIONES]]=1,SUMIFS(Tabla44[UDS],Tabla44[ZONA DEFINITIVO],Tabla44[[#This Row],[ZONA DEFINITIVO]])," ")</f>
        <v xml:space="preserve"> </v>
      </c>
      <c r="Z209" s="12" t="str">
        <f>+IF(Tabla44[[#This Row],[AGRUPACIONES]]=1,SUMIFS(Tabla44[TOTAL COBERTURA],Tabla44[ZONA DEFINITIVO],Tabla44[[#This Row],[ZONA DEFINITIVO]])," ")</f>
        <v xml:space="preserve"> </v>
      </c>
      <c r="AA209" s="12"/>
      <c r="AB209" s="35">
        <v>389646180</v>
      </c>
      <c r="AC209" s="37">
        <v>0</v>
      </c>
      <c r="AD209" s="35">
        <f t="shared" si="3"/>
        <v>0</v>
      </c>
      <c r="AE209" s="12"/>
      <c r="AF209" s="12">
        <f>COUNTIF($A$20:A209,A209)</f>
        <v>21</v>
      </c>
      <c r="AG209" s="38">
        <v>389646180</v>
      </c>
      <c r="AH209" s="38">
        <f>Tabla44[[#This Row],[VALOR CONTRAPARTIDA]]+Tabla44[[#This Row],[TOTAL APORTES ICBF]]</f>
        <v>389646180</v>
      </c>
      <c r="AI209" s="35" t="str">
        <f>+IF(Tabla44[[#This Row],[AGRUPACIONES]]=1,SUMIFS(Tabla44[TOTAL APORTES ICBF],Tabla44[ZONA DEFINITIVO],Tabla44[[#This Row],[ZONA DEFINITIVO]])," ")</f>
        <v xml:space="preserve"> </v>
      </c>
      <c r="AJ209" s="38"/>
      <c r="AK209" s="38"/>
      <c r="AL209" s="35"/>
      <c r="AM209" s="35">
        <f>VLOOKUP(Tabla44[[#This Row],[SERVICIO 2025]],$J$2:$V$15,5,0)*Tabla44[[#This Row],[TOTAL COBERTURA]]</f>
        <v>7932870</v>
      </c>
      <c r="AN209" s="35">
        <f>VLOOKUP(Tabla44[[#This Row],[SERVICIO 2025]],$J$2:$V$15,6,0)*Tabla44[[#This Row],[TOTAL COBERTURA]]</f>
        <v>6753870</v>
      </c>
      <c r="AO209" s="35">
        <f>VLOOKUP(Tabla44[[#This Row],[SERVICIO 2025]],$J$2:$V$15,8,0)*Tabla44[[#This Row],[TOTAL COBERTURA]]</f>
        <v>0</v>
      </c>
      <c r="AP209" s="35">
        <f>VLOOKUP(Tabla44[[#This Row],[SERVICIO 2025]],$J$2:$V$15,3,0)*Tabla44[[#This Row],[TOTAL COBERTURA]]*8</f>
        <v>374959440</v>
      </c>
      <c r="AQ209" s="35"/>
      <c r="AR209" s="35">
        <f>SUM(Tabla44[[#This Row],[VALOR FASE PREPARATORIA DE ALISTAMIENTO]:[VALOR RACION PREPARADA]])</f>
        <v>389646180</v>
      </c>
      <c r="AS209" s="35" t="str">
        <f>+IF(Tabla44[[#This Row],[AGRUPACIONES]]=1,SUMIFS(Tabla44[VALOR TOTAL],Tabla44[ZONA DEFINITIVO],Tabla44[[#This Row],[ZONA DEFINITIVO]])," ")</f>
        <v xml:space="preserve"> </v>
      </c>
      <c r="AT209" s="35">
        <f>VLOOKUP(Tabla44[[#This Row],[SERVICIO 2025]],$J$2:$V$15,10,0)*Tabla44[[#This Row],[TOTAL COBERTURA]]*$X$7</f>
        <v>0</v>
      </c>
      <c r="AU209" s="39">
        <f>Tabla44[[#This Row],[TOTAL CONTRATO (ICBF+EAS)]]+Tabla44[[#This Row],[VALOR COMPONENTE ALIMENTACION NO ASIGNADO]]</f>
        <v>389646180</v>
      </c>
      <c r="AV20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54802800</v>
      </c>
      <c r="AW209" s="35">
        <f>(VLOOKUP(Tabla44[[#This Row],[SERVICIO 2025]],$J$2:$V$15,3,0)*Tabla44[[#This Row],[TOTAL COBERTURA]])+VLOOKUP(Tabla44[[#This Row],[SERVICIO 2025]],$J$2:$V$15,10,0)*Tabla44[[#This Row],[TOTAL COBERTURA]]</f>
        <v>46869930</v>
      </c>
      <c r="AX209" s="35">
        <f>(VLOOKUP(Tabla44[[#This Row],[SERVICIO 2025]],$J$2:$V$15,3,0)*Tabla44[[#This Row],[TOTAL COBERTURA]])+VLOOKUP(Tabla44[[#This Row],[SERVICIO 2025]],$J$2:$V$15,10,0)*Tabla44[[#This Row],[TOTAL COBERTURA]]</f>
        <v>46869930</v>
      </c>
      <c r="AY209" s="35">
        <f>(VLOOKUP(Tabla44[[#This Row],[SERVICIO 2025]],$J$2:$V$15,3,0)*Tabla44[[#This Row],[TOTAL COBERTURA]])+VLOOKUP(Tabla44[[#This Row],[SERVICIO 2025]],$J$2:$V$15,10,0)*Tabla44[[#This Row],[TOTAL COBERTURA]]</f>
        <v>46869930</v>
      </c>
      <c r="AZ209" s="35">
        <f>(VLOOKUP(Tabla44[[#This Row],[SERVICIO 2025]],$J$2:$V$15,3,0)*Tabla44[[#This Row],[TOTAL COBERTURA]])+VLOOKUP(Tabla44[[#This Row],[SERVICIO 2025]],$J$2:$V$15,10,0)*Tabla44[[#This Row],[TOTAL COBERTURA]]</f>
        <v>46869930</v>
      </c>
      <c r="BA209" s="35">
        <f>(VLOOKUP(Tabla44[[#This Row],[SERVICIO 2025]],$J$2:$V$15,3,0)*Tabla44[[#This Row],[TOTAL COBERTURA]])+VLOOKUP(Tabla44[[#This Row],[SERVICIO 2025]],$J$2:$V$15,10,0)*Tabla44[[#This Row],[TOTAL COBERTURA]]</f>
        <v>46869930</v>
      </c>
      <c r="BB209" s="35">
        <f>(VLOOKUP(Tabla44[[#This Row],[SERVICIO 2025]],$J$2:$V$15,3,0)*Tabla44[[#This Row],[TOTAL COBERTURA]])+VLOOKUP(Tabla44[[#This Row],[SERVICIO 2025]],$J$2:$V$15,10,0)*Tabla44[[#This Row],[TOTAL COBERTURA]]</f>
        <v>46869930</v>
      </c>
      <c r="BC20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53623800</v>
      </c>
      <c r="BD209" s="35">
        <f>SUM(Tabla44[[#This Row],[DESEMBOLSO 1]:[DESEMBOLSO 8]])</f>
        <v>389646180</v>
      </c>
      <c r="BE209" s="12" t="b">
        <f>EXACT(Tabla44[[#This Row],[VALOR ATENCIÓN (8 MESES)]],Tabla44[[#This Row],[VALOR TOTAL]])</f>
        <v>1</v>
      </c>
      <c r="BF209" s="23">
        <f>Tabla44[[#This Row],[VALOR ATENCIÓN (8 MESES)]]-Tabla44[[#This Row],[VALOR TOTAL]]</f>
        <v>0</v>
      </c>
      <c r="BG209" s="12" t="b">
        <f>EXACT(Tabla44[[#This Row],[TOTAL DESEMBOLSOS]],Tabla44[[#This Row],[VALOR TOTAL DEL CONTRATO INCLUIDO EL COMPONENTE DE ALIMENTACIÓN]])</f>
        <v>1</v>
      </c>
      <c r="BH209" s="29">
        <f>Tabla44[[#This Row],[TOTAL DESEMBOLSOS]]-Tabla44[[#This Row],[VALOR TOTAL DEL CONTRATO INCLUIDO EL COMPONENTE DE ALIMENTACIÓN]]</f>
        <v>0</v>
      </c>
      <c r="BI209" t="s">
        <v>98</v>
      </c>
    </row>
    <row r="210" spans="1:61">
      <c r="A210" s="21">
        <v>1992</v>
      </c>
      <c r="B210" s="21"/>
      <c r="C210" s="22" t="s">
        <v>87</v>
      </c>
      <c r="D210" s="22" t="s">
        <v>1534</v>
      </c>
      <c r="E210" s="22" t="s">
        <v>3223</v>
      </c>
      <c r="F210" s="22" t="s">
        <v>18</v>
      </c>
      <c r="G210" s="12" t="s">
        <v>90</v>
      </c>
      <c r="H210" s="22" t="s">
        <v>3224</v>
      </c>
      <c r="I210" s="36">
        <v>56561119842</v>
      </c>
      <c r="J210" s="22" t="s">
        <v>3225</v>
      </c>
      <c r="K210" s="12">
        <v>1</v>
      </c>
      <c r="L210" s="22">
        <v>29</v>
      </c>
      <c r="M210" s="22"/>
      <c r="N210" s="21">
        <v>1992</v>
      </c>
      <c r="O210" s="22" t="s">
        <v>2850</v>
      </c>
      <c r="P210" s="22"/>
      <c r="Q210" s="22"/>
      <c r="R210" s="12" t="s">
        <v>94</v>
      </c>
      <c r="S210" s="12">
        <v>10</v>
      </c>
      <c r="T210" s="12">
        <v>900325081</v>
      </c>
      <c r="U210" s="12" t="s">
        <v>167</v>
      </c>
      <c r="V210" s="22">
        <f>VLOOKUP(Tabla44[[#This Row],[ZONA DEFINITIVO]],[1]Hoja1!$A$1:$D$125,3,0)</f>
        <v>229939</v>
      </c>
      <c r="W210" s="22">
        <f>VLOOKUP(Tabla44[[#This Row],[ZONA DEFINITIVO]],[1]Hoja1!$A$1:$D$125,2,0)</f>
        <v>17257</v>
      </c>
      <c r="X210" s="22">
        <f>VLOOKUP(Tabla44[[#This Row],[ZONA DEFINITIVO]],[1]Hoja1!$A$1:$D$125,4,0)</f>
        <v>104325</v>
      </c>
      <c r="Y210" s="22" t="str">
        <f>+IF(Tabla44[[#This Row],[AGRUPACIONES]]=1,SUMIFS(Tabla44[UDS],Tabla44[ZONA DEFINITIVO],Tabla44[[#This Row],[ZONA DEFINITIVO]])," ")</f>
        <v xml:space="preserve"> </v>
      </c>
      <c r="Z210" s="22" t="str">
        <f>+IF(Tabla44[[#This Row],[AGRUPACIONES]]=1,SUMIFS(Tabla44[TOTAL COBERTURA],Tabla44[ZONA DEFINITIVO],Tabla44[[#This Row],[ZONA DEFINITIVO]])," ")</f>
        <v xml:space="preserve"> </v>
      </c>
      <c r="AA210" s="22"/>
      <c r="AB210" s="40">
        <v>63225597</v>
      </c>
      <c r="AC210" s="37">
        <v>0</v>
      </c>
      <c r="AD210" s="40">
        <f t="shared" si="3"/>
        <v>0</v>
      </c>
      <c r="AE210" s="22"/>
      <c r="AF210" s="12">
        <f>COUNTIF($A$20:A210,A210)</f>
        <v>22</v>
      </c>
      <c r="AG210" s="41">
        <v>63225597</v>
      </c>
      <c r="AH210" s="41">
        <f>Tabla44[[#This Row],[VALOR CONTRAPARTIDA]]+Tabla44[[#This Row],[TOTAL APORTES ICBF]]</f>
        <v>63225597</v>
      </c>
      <c r="AI210" s="40" t="str">
        <f>+IF(Tabla44[[#This Row],[AGRUPACIONES]]=1,SUMIFS(Tabla44[TOTAL APORTES ICBF],Tabla44[ZONA DEFINITIVO],Tabla44[[#This Row],[ZONA DEFINITIVO]])," ")</f>
        <v xml:space="preserve"> </v>
      </c>
      <c r="AJ210" s="41"/>
      <c r="AK210" s="41"/>
      <c r="AL210" s="40"/>
      <c r="AM210" s="40">
        <f>VLOOKUP(Tabla44[[#This Row],[SERVICIO 2025]],$J$2:$V$15,5,0)*Tabla44[[#This Row],[TOTAL COBERTURA]]</f>
        <v>1431904</v>
      </c>
      <c r="AN210" s="40">
        <f>VLOOKUP(Tabla44[[#This Row],[SERVICIO 2025]],$J$2:$V$15,6,0)*Tabla44[[#This Row],[TOTAL COBERTURA]]</f>
        <v>1189841</v>
      </c>
      <c r="AO210" s="40">
        <f>VLOOKUP(Tabla44[[#This Row],[SERVICIO 2025]],$J$2:$V$15,8,0)*Tabla44[[#This Row],[TOTAL COBERTURA]]</f>
        <v>843900</v>
      </c>
      <c r="AP210" s="40">
        <f>VLOOKUP(Tabla44[[#This Row],[SERVICIO 2025]],$J$2:$V$15,3,0)*Tabla44[[#This Row],[TOTAL COBERTURA]]*8</f>
        <v>59759952</v>
      </c>
      <c r="AQ210" s="40"/>
      <c r="AR210" s="40">
        <f>SUM(Tabla44[[#This Row],[VALOR FASE PREPARATORIA DE ALISTAMIENTO]:[VALOR RACION PREPARADA]])</f>
        <v>63225597</v>
      </c>
      <c r="AS210" s="40" t="str">
        <f>+IF(Tabla44[[#This Row],[AGRUPACIONES]]=1,SUMIFS(Tabla44[VALOR TOTAL],Tabla44[ZONA DEFINITIVO],Tabla44[[#This Row],[ZONA DEFINITIVO]])," ")</f>
        <v xml:space="preserve"> </v>
      </c>
      <c r="AT210" s="35">
        <f>VLOOKUP(Tabla44[[#This Row],[SERVICIO 2025]],$J$2:$V$15,10,0)*Tabla44[[#This Row],[TOTAL COBERTURA]]*$X$7</f>
        <v>41848856</v>
      </c>
      <c r="AU210" s="42">
        <f>Tabla44[[#This Row],[TOTAL CONTRATO (ICBF+EAS)]]+Tabla44[[#This Row],[VALOR COMPONENTE ALIMENTACION NO ASIGNADO]]</f>
        <v>105074453</v>
      </c>
      <c r="AV21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14976905</v>
      </c>
      <c r="AW210" s="35">
        <f>(VLOOKUP(Tabla44[[#This Row],[SERVICIO 2025]],$J$2:$V$15,3,0)*Tabla44[[#This Row],[TOTAL COBERTURA]])+VLOOKUP(Tabla44[[#This Row],[SERVICIO 2025]],$J$2:$V$15,10,0)*Tabla44[[#This Row],[TOTAL COBERTURA]]</f>
        <v>12701101</v>
      </c>
      <c r="AX210" s="40">
        <f>(VLOOKUP(Tabla44[[#This Row],[SERVICIO 2025]],$J$2:$V$15,3,0)*Tabla44[[#This Row],[TOTAL COBERTURA]])+VLOOKUP(Tabla44[[#This Row],[SERVICIO 2025]],$J$2:$V$15,10,0)*Tabla44[[#This Row],[TOTAL COBERTURA]]</f>
        <v>12701101</v>
      </c>
      <c r="AY210" s="40">
        <f>(VLOOKUP(Tabla44[[#This Row],[SERVICIO 2025]],$J$2:$V$15,3,0)*Tabla44[[#This Row],[TOTAL COBERTURA]])+VLOOKUP(Tabla44[[#This Row],[SERVICIO 2025]],$J$2:$V$15,10,0)*Tabla44[[#This Row],[TOTAL COBERTURA]]</f>
        <v>12701101</v>
      </c>
      <c r="AZ210" s="40">
        <f>(VLOOKUP(Tabla44[[#This Row],[SERVICIO 2025]],$J$2:$V$15,3,0)*Tabla44[[#This Row],[TOTAL COBERTURA]])+VLOOKUP(Tabla44[[#This Row],[SERVICIO 2025]],$J$2:$V$15,10,0)*Tabla44[[#This Row],[TOTAL COBERTURA]]</f>
        <v>12701101</v>
      </c>
      <c r="BA210" s="40">
        <f>(VLOOKUP(Tabla44[[#This Row],[SERVICIO 2025]],$J$2:$V$15,3,0)*Tabla44[[#This Row],[TOTAL COBERTURA]])+VLOOKUP(Tabla44[[#This Row],[SERVICIO 2025]],$J$2:$V$15,10,0)*Tabla44[[#This Row],[TOTAL COBERTURA]]</f>
        <v>12701101</v>
      </c>
      <c r="BB210" s="40">
        <f>(VLOOKUP(Tabla44[[#This Row],[SERVICIO 2025]],$J$2:$V$15,3,0)*Tabla44[[#This Row],[TOTAL COBERTURA]])+VLOOKUP(Tabla44[[#This Row],[SERVICIO 2025]],$J$2:$V$15,10,0)*Tabla44[[#This Row],[TOTAL COBERTURA]]</f>
        <v>12701101</v>
      </c>
      <c r="BC210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13890942</v>
      </c>
      <c r="BD210" s="40">
        <f>SUM(Tabla44[[#This Row],[DESEMBOLSO 1]:[DESEMBOLSO 8]])</f>
        <v>105074453</v>
      </c>
      <c r="BE210" s="22" t="b">
        <f>EXACT(Tabla44[[#This Row],[VALOR ATENCIÓN (8 MESES)]],Tabla44[[#This Row],[VALOR TOTAL]])</f>
        <v>1</v>
      </c>
      <c r="BF210" s="28">
        <f>Tabla44[[#This Row],[VALOR ATENCIÓN (8 MESES)]]-Tabla44[[#This Row],[VALOR TOTAL]]</f>
        <v>0</v>
      </c>
      <c r="BG210" s="22" t="b">
        <f>EXACT(Tabla44[[#This Row],[TOTAL DESEMBOLSOS]],Tabla44[[#This Row],[VALOR TOTAL DEL CONTRATO INCLUIDO EL COMPONENTE DE ALIMENTACIÓN]])</f>
        <v>1</v>
      </c>
      <c r="BH210" s="29">
        <f>Tabla44[[#This Row],[TOTAL DESEMBOLSOS]]-Tabla44[[#This Row],[VALOR TOTAL DEL CONTRATO INCLUIDO EL COMPONENTE DE ALIMENTACIÓN]]</f>
        <v>0</v>
      </c>
      <c r="BI210" t="s">
        <v>98</v>
      </c>
    </row>
    <row r="211" spans="1:61">
      <c r="A211" s="13">
        <v>1992</v>
      </c>
      <c r="B211" s="13"/>
      <c r="C211" s="12" t="s">
        <v>87</v>
      </c>
      <c r="D211" s="12" t="s">
        <v>1534</v>
      </c>
      <c r="E211" s="12" t="s">
        <v>3223</v>
      </c>
      <c r="F211" s="12" t="s">
        <v>18</v>
      </c>
      <c r="G211" s="12" t="s">
        <v>90</v>
      </c>
      <c r="H211" s="12" t="s">
        <v>3226</v>
      </c>
      <c r="I211" s="36">
        <v>56561119843</v>
      </c>
      <c r="J211" s="12" t="s">
        <v>3227</v>
      </c>
      <c r="K211" s="12">
        <v>1</v>
      </c>
      <c r="L211" s="12">
        <v>52</v>
      </c>
      <c r="M211" s="12"/>
      <c r="N211" s="13">
        <v>1992</v>
      </c>
      <c r="O211" s="12" t="s">
        <v>2850</v>
      </c>
      <c r="P211" s="12"/>
      <c r="Q211" s="12"/>
      <c r="R211" s="12" t="s">
        <v>94</v>
      </c>
      <c r="S211" s="12">
        <v>10</v>
      </c>
      <c r="T211" s="12">
        <v>900325081</v>
      </c>
      <c r="U211" s="12" t="s">
        <v>167</v>
      </c>
      <c r="V211" s="12">
        <f>VLOOKUP(Tabla44[[#This Row],[ZONA DEFINITIVO]],[1]Hoja1!$A$1:$D$125,3,0)</f>
        <v>229939</v>
      </c>
      <c r="W211" s="12">
        <f>VLOOKUP(Tabla44[[#This Row],[ZONA DEFINITIVO]],[1]Hoja1!$A$1:$D$125,2,0)</f>
        <v>17257</v>
      </c>
      <c r="X211" s="12">
        <f>VLOOKUP(Tabla44[[#This Row],[ZONA DEFINITIVO]],[1]Hoja1!$A$1:$D$125,4,0)</f>
        <v>104325</v>
      </c>
      <c r="Y211" s="12" t="str">
        <f>+IF(Tabla44[[#This Row],[AGRUPACIONES]]=1,SUMIFS(Tabla44[UDS],Tabla44[ZONA DEFINITIVO],Tabla44[[#This Row],[ZONA DEFINITIVO]])," ")</f>
        <v xml:space="preserve"> </v>
      </c>
      <c r="Z211" s="12" t="str">
        <f>+IF(Tabla44[[#This Row],[AGRUPACIONES]]=1,SUMIFS(Tabla44[TOTAL COBERTURA],Tabla44[ZONA DEFINITIVO],Tabla44[[#This Row],[ZONA DEFINITIVO]])," ")</f>
        <v xml:space="preserve"> </v>
      </c>
      <c r="AA211" s="12"/>
      <c r="AB211" s="35">
        <v>113370036</v>
      </c>
      <c r="AC211" s="37">
        <v>0</v>
      </c>
      <c r="AD211" s="35">
        <f t="shared" si="3"/>
        <v>0</v>
      </c>
      <c r="AE211" s="12"/>
      <c r="AF211" s="12">
        <f>COUNTIF($A$20:A211,A211)</f>
        <v>23</v>
      </c>
      <c r="AG211" s="38">
        <v>113370036</v>
      </c>
      <c r="AH211" s="38">
        <f>Tabla44[[#This Row],[VALOR CONTRAPARTIDA]]+Tabla44[[#This Row],[TOTAL APORTES ICBF]]</f>
        <v>113370036</v>
      </c>
      <c r="AI211" s="35" t="str">
        <f>+IF(Tabla44[[#This Row],[AGRUPACIONES]]=1,SUMIFS(Tabla44[TOTAL APORTES ICBF],Tabla44[ZONA DEFINITIVO],Tabla44[[#This Row],[ZONA DEFINITIVO]])," ")</f>
        <v xml:space="preserve"> </v>
      </c>
      <c r="AJ211" s="38"/>
      <c r="AK211" s="38"/>
      <c r="AL211" s="35"/>
      <c r="AM211" s="35">
        <f>VLOOKUP(Tabla44[[#This Row],[SERVICIO 2025]],$J$2:$V$15,5,0)*Tabla44[[#This Row],[TOTAL COBERTURA]]</f>
        <v>2567552</v>
      </c>
      <c r="AN211" s="35">
        <f>VLOOKUP(Tabla44[[#This Row],[SERVICIO 2025]],$J$2:$V$15,6,0)*Tabla44[[#This Row],[TOTAL COBERTURA]]</f>
        <v>2133508</v>
      </c>
      <c r="AO211" s="35">
        <f>VLOOKUP(Tabla44[[#This Row],[SERVICIO 2025]],$J$2:$V$15,8,0)*Tabla44[[#This Row],[TOTAL COBERTURA]]</f>
        <v>1513200</v>
      </c>
      <c r="AP211" s="35">
        <f>VLOOKUP(Tabla44[[#This Row],[SERVICIO 2025]],$J$2:$V$15,3,0)*Tabla44[[#This Row],[TOTAL COBERTURA]]*8</f>
        <v>107155776</v>
      </c>
      <c r="AQ211" s="35"/>
      <c r="AR211" s="35">
        <f>SUM(Tabla44[[#This Row],[VALOR FASE PREPARATORIA DE ALISTAMIENTO]:[VALOR RACION PREPARADA]])</f>
        <v>113370036</v>
      </c>
      <c r="AS211" s="35" t="str">
        <f>+IF(Tabla44[[#This Row],[AGRUPACIONES]]=1,SUMIFS(Tabla44[VALOR TOTAL],Tabla44[ZONA DEFINITIVO],Tabla44[[#This Row],[ZONA DEFINITIVO]])," ")</f>
        <v xml:space="preserve"> </v>
      </c>
      <c r="AT211" s="35">
        <f>VLOOKUP(Tabla44[[#This Row],[SERVICIO 2025]],$J$2:$V$15,10,0)*Tabla44[[#This Row],[TOTAL COBERTURA]]*$X$7</f>
        <v>75039328</v>
      </c>
      <c r="AU211" s="39">
        <f>Tabla44[[#This Row],[TOTAL CONTRATO (ICBF+EAS)]]+Tabla44[[#This Row],[VALOR COMPONENTE ALIMENTACION NO ASIGNADO]]</f>
        <v>188409364</v>
      </c>
      <c r="AV21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26855140</v>
      </c>
      <c r="AW211" s="35">
        <f>(VLOOKUP(Tabla44[[#This Row],[SERVICIO 2025]],$J$2:$V$15,3,0)*Tabla44[[#This Row],[TOTAL COBERTURA]])+VLOOKUP(Tabla44[[#This Row],[SERVICIO 2025]],$J$2:$V$15,10,0)*Tabla44[[#This Row],[TOTAL COBERTURA]]</f>
        <v>22774388</v>
      </c>
      <c r="AX211" s="35">
        <f>(VLOOKUP(Tabla44[[#This Row],[SERVICIO 2025]],$J$2:$V$15,3,0)*Tabla44[[#This Row],[TOTAL COBERTURA]])+VLOOKUP(Tabla44[[#This Row],[SERVICIO 2025]],$J$2:$V$15,10,0)*Tabla44[[#This Row],[TOTAL COBERTURA]]</f>
        <v>22774388</v>
      </c>
      <c r="AY211" s="35">
        <f>(VLOOKUP(Tabla44[[#This Row],[SERVICIO 2025]],$J$2:$V$15,3,0)*Tabla44[[#This Row],[TOTAL COBERTURA]])+VLOOKUP(Tabla44[[#This Row],[SERVICIO 2025]],$J$2:$V$15,10,0)*Tabla44[[#This Row],[TOTAL COBERTURA]]</f>
        <v>22774388</v>
      </c>
      <c r="AZ211" s="35">
        <f>(VLOOKUP(Tabla44[[#This Row],[SERVICIO 2025]],$J$2:$V$15,3,0)*Tabla44[[#This Row],[TOTAL COBERTURA]])+VLOOKUP(Tabla44[[#This Row],[SERVICIO 2025]],$J$2:$V$15,10,0)*Tabla44[[#This Row],[TOTAL COBERTURA]]</f>
        <v>22774388</v>
      </c>
      <c r="BA211" s="35">
        <f>(VLOOKUP(Tabla44[[#This Row],[SERVICIO 2025]],$J$2:$V$15,3,0)*Tabla44[[#This Row],[TOTAL COBERTURA]])+VLOOKUP(Tabla44[[#This Row],[SERVICIO 2025]],$J$2:$V$15,10,0)*Tabla44[[#This Row],[TOTAL COBERTURA]]</f>
        <v>22774388</v>
      </c>
      <c r="BB211" s="35">
        <f>(VLOOKUP(Tabla44[[#This Row],[SERVICIO 2025]],$J$2:$V$15,3,0)*Tabla44[[#This Row],[TOTAL COBERTURA]])+VLOOKUP(Tabla44[[#This Row],[SERVICIO 2025]],$J$2:$V$15,10,0)*Tabla44[[#This Row],[TOTAL COBERTURA]]</f>
        <v>22774388</v>
      </c>
      <c r="BC21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24907896</v>
      </c>
      <c r="BD211" s="35">
        <f>SUM(Tabla44[[#This Row],[DESEMBOLSO 1]:[DESEMBOLSO 8]])</f>
        <v>188409364</v>
      </c>
      <c r="BE211" s="12" t="b">
        <f>EXACT(Tabla44[[#This Row],[VALOR ATENCIÓN (8 MESES)]],Tabla44[[#This Row],[VALOR TOTAL]])</f>
        <v>1</v>
      </c>
      <c r="BF211" s="23">
        <f>Tabla44[[#This Row],[VALOR ATENCIÓN (8 MESES)]]-Tabla44[[#This Row],[VALOR TOTAL]]</f>
        <v>0</v>
      </c>
      <c r="BG211" s="12" t="b">
        <f>EXACT(Tabla44[[#This Row],[TOTAL DESEMBOLSOS]],Tabla44[[#This Row],[VALOR TOTAL DEL CONTRATO INCLUIDO EL COMPONENTE DE ALIMENTACIÓN]])</f>
        <v>1</v>
      </c>
      <c r="BH211" s="29">
        <f>Tabla44[[#This Row],[TOTAL DESEMBOLSOS]]-Tabla44[[#This Row],[VALOR TOTAL DEL CONTRATO INCLUIDO EL COMPONENTE DE ALIMENTACIÓN]]</f>
        <v>0</v>
      </c>
      <c r="BI211" t="s">
        <v>98</v>
      </c>
    </row>
    <row r="212" spans="1:61">
      <c r="A212" s="13">
        <v>1992</v>
      </c>
      <c r="B212" s="13"/>
      <c r="C212" s="12" t="s">
        <v>87</v>
      </c>
      <c r="D212" s="12" t="s">
        <v>1534</v>
      </c>
      <c r="E212" s="12" t="s">
        <v>3223</v>
      </c>
      <c r="F212" s="12" t="s">
        <v>18</v>
      </c>
      <c r="G212" s="12" t="s">
        <v>90</v>
      </c>
      <c r="H212" s="12" t="s">
        <v>3228</v>
      </c>
      <c r="I212" s="36">
        <v>56561137401</v>
      </c>
      <c r="J212" s="12" t="s">
        <v>3228</v>
      </c>
      <c r="K212" s="12">
        <v>1</v>
      </c>
      <c r="L212" s="12">
        <v>21</v>
      </c>
      <c r="M212" s="12"/>
      <c r="N212" s="13">
        <v>1992</v>
      </c>
      <c r="O212" s="12" t="s">
        <v>2850</v>
      </c>
      <c r="P212" s="12"/>
      <c r="Q212" s="12"/>
      <c r="R212" s="12" t="s">
        <v>94</v>
      </c>
      <c r="S212" s="12">
        <v>10</v>
      </c>
      <c r="T212" s="12">
        <v>900325081</v>
      </c>
      <c r="U212" s="12" t="s">
        <v>167</v>
      </c>
      <c r="V212" s="12">
        <f>VLOOKUP(Tabla44[[#This Row],[ZONA DEFINITIVO]],[1]Hoja1!$A$1:$D$125,3,0)</f>
        <v>229939</v>
      </c>
      <c r="W212" s="12">
        <f>VLOOKUP(Tabla44[[#This Row],[ZONA DEFINITIVO]],[1]Hoja1!$A$1:$D$125,2,0)</f>
        <v>17257</v>
      </c>
      <c r="X212" s="12">
        <f>VLOOKUP(Tabla44[[#This Row],[ZONA DEFINITIVO]],[1]Hoja1!$A$1:$D$125,4,0)</f>
        <v>104325</v>
      </c>
      <c r="Y212" s="12" t="str">
        <f>+IF(Tabla44[[#This Row],[AGRUPACIONES]]=1,SUMIFS(Tabla44[UDS],Tabla44[ZONA DEFINITIVO],Tabla44[[#This Row],[ZONA DEFINITIVO]])," ")</f>
        <v xml:space="preserve"> </v>
      </c>
      <c r="Z212" s="12" t="str">
        <f>+IF(Tabla44[[#This Row],[AGRUPACIONES]]=1,SUMIFS(Tabla44[TOTAL COBERTURA],Tabla44[ZONA DEFINITIVO],Tabla44[[#This Row],[ZONA DEFINITIVO]])," ")</f>
        <v xml:space="preserve"> </v>
      </c>
      <c r="AA212" s="12"/>
      <c r="AB212" s="35">
        <v>45784053</v>
      </c>
      <c r="AC212" s="37">
        <v>0</v>
      </c>
      <c r="AD212" s="35">
        <f t="shared" ref="AD212:AD275" si="4">AB212*AC212</f>
        <v>0</v>
      </c>
      <c r="AE212" s="12"/>
      <c r="AF212" s="12">
        <f>COUNTIF($A$20:A212,A212)</f>
        <v>24</v>
      </c>
      <c r="AG212" s="38">
        <v>45784053</v>
      </c>
      <c r="AH212" s="38">
        <f>Tabla44[[#This Row],[VALOR CONTRAPARTIDA]]+Tabla44[[#This Row],[TOTAL APORTES ICBF]]</f>
        <v>45784053</v>
      </c>
      <c r="AI212" s="35" t="str">
        <f>+IF(Tabla44[[#This Row],[AGRUPACIONES]]=1,SUMIFS(Tabla44[TOTAL APORTES ICBF],Tabla44[ZONA DEFINITIVO],Tabla44[[#This Row],[ZONA DEFINITIVO]])," ")</f>
        <v xml:space="preserve"> </v>
      </c>
      <c r="AJ212" s="38"/>
      <c r="AK212" s="38"/>
      <c r="AL212" s="35"/>
      <c r="AM212" s="35">
        <f>VLOOKUP(Tabla44[[#This Row],[SERVICIO 2025]],$J$2:$V$15,5,0)*Tabla44[[#This Row],[TOTAL COBERTURA]]</f>
        <v>1036896</v>
      </c>
      <c r="AN212" s="35">
        <f>VLOOKUP(Tabla44[[#This Row],[SERVICIO 2025]],$J$2:$V$15,6,0)*Tabla44[[#This Row],[TOTAL COBERTURA]]</f>
        <v>861609</v>
      </c>
      <c r="AO212" s="35">
        <f>VLOOKUP(Tabla44[[#This Row],[SERVICIO 2025]],$J$2:$V$15,8,0)*Tabla44[[#This Row],[TOTAL COBERTURA]]</f>
        <v>611100</v>
      </c>
      <c r="AP212" s="35">
        <f>VLOOKUP(Tabla44[[#This Row],[SERVICIO 2025]],$J$2:$V$15,3,0)*Tabla44[[#This Row],[TOTAL COBERTURA]]*8</f>
        <v>43274448</v>
      </c>
      <c r="AQ212" s="35"/>
      <c r="AR212" s="35">
        <f>SUM(Tabla44[[#This Row],[VALOR FASE PREPARATORIA DE ALISTAMIENTO]:[VALOR RACION PREPARADA]])</f>
        <v>45784053</v>
      </c>
      <c r="AS212" s="35" t="str">
        <f>+IF(Tabla44[[#This Row],[AGRUPACIONES]]=1,SUMIFS(Tabla44[VALOR TOTAL],Tabla44[ZONA DEFINITIVO],Tabla44[[#This Row],[ZONA DEFINITIVO]])," ")</f>
        <v xml:space="preserve"> </v>
      </c>
      <c r="AT212" s="35">
        <f>VLOOKUP(Tabla44[[#This Row],[SERVICIO 2025]],$J$2:$V$15,10,0)*Tabla44[[#This Row],[TOTAL COBERTURA]]*$X$7</f>
        <v>30304344</v>
      </c>
      <c r="AU212" s="39">
        <f>Tabla44[[#This Row],[TOTAL CONTRATO (ICBF+EAS)]]+Tabla44[[#This Row],[VALOR COMPONENTE ALIMENTACION NO ASIGNADO]]</f>
        <v>76088397</v>
      </c>
      <c r="AV21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10845345</v>
      </c>
      <c r="AW212" s="35">
        <f>(VLOOKUP(Tabla44[[#This Row],[SERVICIO 2025]],$J$2:$V$15,3,0)*Tabla44[[#This Row],[TOTAL COBERTURA]])+VLOOKUP(Tabla44[[#This Row],[SERVICIO 2025]],$J$2:$V$15,10,0)*Tabla44[[#This Row],[TOTAL COBERTURA]]</f>
        <v>9197349</v>
      </c>
      <c r="AX212" s="35">
        <f>(VLOOKUP(Tabla44[[#This Row],[SERVICIO 2025]],$J$2:$V$15,3,0)*Tabla44[[#This Row],[TOTAL COBERTURA]])+VLOOKUP(Tabla44[[#This Row],[SERVICIO 2025]],$J$2:$V$15,10,0)*Tabla44[[#This Row],[TOTAL COBERTURA]]</f>
        <v>9197349</v>
      </c>
      <c r="AY212" s="35">
        <f>(VLOOKUP(Tabla44[[#This Row],[SERVICIO 2025]],$J$2:$V$15,3,0)*Tabla44[[#This Row],[TOTAL COBERTURA]])+VLOOKUP(Tabla44[[#This Row],[SERVICIO 2025]],$J$2:$V$15,10,0)*Tabla44[[#This Row],[TOTAL COBERTURA]]</f>
        <v>9197349</v>
      </c>
      <c r="AZ212" s="35">
        <f>(VLOOKUP(Tabla44[[#This Row],[SERVICIO 2025]],$J$2:$V$15,3,0)*Tabla44[[#This Row],[TOTAL COBERTURA]])+VLOOKUP(Tabla44[[#This Row],[SERVICIO 2025]],$J$2:$V$15,10,0)*Tabla44[[#This Row],[TOTAL COBERTURA]]</f>
        <v>9197349</v>
      </c>
      <c r="BA212" s="35">
        <f>(VLOOKUP(Tabla44[[#This Row],[SERVICIO 2025]],$J$2:$V$15,3,0)*Tabla44[[#This Row],[TOTAL COBERTURA]])+VLOOKUP(Tabla44[[#This Row],[SERVICIO 2025]],$J$2:$V$15,10,0)*Tabla44[[#This Row],[TOTAL COBERTURA]]</f>
        <v>9197349</v>
      </c>
      <c r="BB212" s="35">
        <f>(VLOOKUP(Tabla44[[#This Row],[SERVICIO 2025]],$J$2:$V$15,3,0)*Tabla44[[#This Row],[TOTAL COBERTURA]])+VLOOKUP(Tabla44[[#This Row],[SERVICIO 2025]],$J$2:$V$15,10,0)*Tabla44[[#This Row],[TOTAL COBERTURA]]</f>
        <v>9197349</v>
      </c>
      <c r="BC21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10058958</v>
      </c>
      <c r="BD212" s="35">
        <f>SUM(Tabla44[[#This Row],[DESEMBOLSO 1]:[DESEMBOLSO 8]])</f>
        <v>76088397</v>
      </c>
      <c r="BE212" s="12" t="b">
        <f>EXACT(Tabla44[[#This Row],[VALOR ATENCIÓN (8 MESES)]],Tabla44[[#This Row],[VALOR TOTAL]])</f>
        <v>1</v>
      </c>
      <c r="BF212" s="23">
        <f>Tabla44[[#This Row],[VALOR ATENCIÓN (8 MESES)]]-Tabla44[[#This Row],[VALOR TOTAL]]</f>
        <v>0</v>
      </c>
      <c r="BG212" s="12" t="b">
        <f>EXACT(Tabla44[[#This Row],[TOTAL DESEMBOLSOS]],Tabla44[[#This Row],[VALOR TOTAL DEL CONTRATO INCLUIDO EL COMPONENTE DE ALIMENTACIÓN]])</f>
        <v>1</v>
      </c>
      <c r="BH212" s="29">
        <f>Tabla44[[#This Row],[TOTAL DESEMBOLSOS]]-Tabla44[[#This Row],[VALOR TOTAL DEL CONTRATO INCLUIDO EL COMPONENTE DE ALIMENTACIÓN]]</f>
        <v>0</v>
      </c>
      <c r="BI212" t="s">
        <v>98</v>
      </c>
    </row>
    <row r="213" spans="1:61">
      <c r="A213" s="13">
        <v>1992</v>
      </c>
      <c r="B213" s="13"/>
      <c r="C213" s="12" t="s">
        <v>87</v>
      </c>
      <c r="D213" s="12" t="s">
        <v>1534</v>
      </c>
      <c r="E213" s="12" t="s">
        <v>3223</v>
      </c>
      <c r="F213" s="12" t="s">
        <v>18</v>
      </c>
      <c r="G213" s="12" t="s">
        <v>90</v>
      </c>
      <c r="H213" s="12" t="s">
        <v>3229</v>
      </c>
      <c r="I213" s="36">
        <v>56561137405</v>
      </c>
      <c r="J213" s="12" t="s">
        <v>3230</v>
      </c>
      <c r="K213" s="12">
        <v>1</v>
      </c>
      <c r="L213" s="12">
        <v>58</v>
      </c>
      <c r="M213" s="12"/>
      <c r="N213" s="13">
        <v>1992</v>
      </c>
      <c r="O213" s="12" t="s">
        <v>2850</v>
      </c>
      <c r="P213" s="12"/>
      <c r="Q213" s="12"/>
      <c r="R213" s="12" t="s">
        <v>94</v>
      </c>
      <c r="S213" s="12">
        <v>10</v>
      </c>
      <c r="T213" s="12">
        <v>900325081</v>
      </c>
      <c r="U213" s="12" t="s">
        <v>167</v>
      </c>
      <c r="V213" s="12">
        <f>VLOOKUP(Tabla44[[#This Row],[ZONA DEFINITIVO]],[1]Hoja1!$A$1:$D$125,3,0)</f>
        <v>229939</v>
      </c>
      <c r="W213" s="12">
        <f>VLOOKUP(Tabla44[[#This Row],[ZONA DEFINITIVO]],[1]Hoja1!$A$1:$D$125,2,0)</f>
        <v>17257</v>
      </c>
      <c r="X213" s="12">
        <f>VLOOKUP(Tabla44[[#This Row],[ZONA DEFINITIVO]],[1]Hoja1!$A$1:$D$125,4,0)</f>
        <v>104325</v>
      </c>
      <c r="Y213" s="12" t="str">
        <f>+IF(Tabla44[[#This Row],[AGRUPACIONES]]=1,SUMIFS(Tabla44[UDS],Tabla44[ZONA DEFINITIVO],Tabla44[[#This Row],[ZONA DEFINITIVO]])," ")</f>
        <v xml:space="preserve"> </v>
      </c>
      <c r="Z213" s="12" t="str">
        <f>+IF(Tabla44[[#This Row],[AGRUPACIONES]]=1,SUMIFS(Tabla44[TOTAL COBERTURA],Tabla44[ZONA DEFINITIVO],Tabla44[[#This Row],[ZONA DEFINITIVO]])," ")</f>
        <v xml:space="preserve"> </v>
      </c>
      <c r="AA213" s="12"/>
      <c r="AB213" s="35">
        <v>126451194</v>
      </c>
      <c r="AC213" s="37">
        <v>0</v>
      </c>
      <c r="AD213" s="35">
        <f t="shared" si="4"/>
        <v>0</v>
      </c>
      <c r="AE213" s="12"/>
      <c r="AF213" s="12">
        <f>COUNTIF($A$20:A213,A213)</f>
        <v>25</v>
      </c>
      <c r="AG213" s="38">
        <v>126451194</v>
      </c>
      <c r="AH213" s="38">
        <f>Tabla44[[#This Row],[VALOR CONTRAPARTIDA]]+Tabla44[[#This Row],[TOTAL APORTES ICBF]]</f>
        <v>126451194</v>
      </c>
      <c r="AI213" s="35" t="str">
        <f>+IF(Tabla44[[#This Row],[AGRUPACIONES]]=1,SUMIFS(Tabla44[TOTAL APORTES ICBF],Tabla44[ZONA DEFINITIVO],Tabla44[[#This Row],[ZONA DEFINITIVO]])," ")</f>
        <v xml:space="preserve"> </v>
      </c>
      <c r="AJ213" s="38"/>
      <c r="AK213" s="38"/>
      <c r="AL213" s="35"/>
      <c r="AM213" s="35">
        <f>VLOOKUP(Tabla44[[#This Row],[SERVICIO 2025]],$J$2:$V$15,5,0)*Tabla44[[#This Row],[TOTAL COBERTURA]]</f>
        <v>2863808</v>
      </c>
      <c r="AN213" s="35">
        <f>VLOOKUP(Tabla44[[#This Row],[SERVICIO 2025]],$J$2:$V$15,6,0)*Tabla44[[#This Row],[TOTAL COBERTURA]]</f>
        <v>2379682</v>
      </c>
      <c r="AO213" s="35">
        <f>VLOOKUP(Tabla44[[#This Row],[SERVICIO 2025]],$J$2:$V$15,8,0)*Tabla44[[#This Row],[TOTAL COBERTURA]]</f>
        <v>1687800</v>
      </c>
      <c r="AP213" s="35">
        <f>VLOOKUP(Tabla44[[#This Row],[SERVICIO 2025]],$J$2:$V$15,3,0)*Tabla44[[#This Row],[TOTAL COBERTURA]]*8</f>
        <v>119519904</v>
      </c>
      <c r="AQ213" s="35"/>
      <c r="AR213" s="35">
        <f>SUM(Tabla44[[#This Row],[VALOR FASE PREPARATORIA DE ALISTAMIENTO]:[VALOR RACION PREPARADA]])</f>
        <v>126451194</v>
      </c>
      <c r="AS213" s="35" t="str">
        <f>+IF(Tabla44[[#This Row],[AGRUPACIONES]]=1,SUMIFS(Tabla44[VALOR TOTAL],Tabla44[ZONA DEFINITIVO],Tabla44[[#This Row],[ZONA DEFINITIVO]])," ")</f>
        <v xml:space="preserve"> </v>
      </c>
      <c r="AT213" s="35">
        <f>VLOOKUP(Tabla44[[#This Row],[SERVICIO 2025]],$J$2:$V$15,10,0)*Tabla44[[#This Row],[TOTAL COBERTURA]]*$X$7</f>
        <v>83697712</v>
      </c>
      <c r="AU213" s="39">
        <f>Tabla44[[#This Row],[TOTAL CONTRATO (ICBF+EAS)]]+Tabla44[[#This Row],[VALOR COMPONENTE ALIMENTACION NO ASIGNADO]]</f>
        <v>210148906</v>
      </c>
      <c r="AV21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29953810</v>
      </c>
      <c r="AW213" s="35">
        <f>(VLOOKUP(Tabla44[[#This Row],[SERVICIO 2025]],$J$2:$V$15,3,0)*Tabla44[[#This Row],[TOTAL COBERTURA]])+VLOOKUP(Tabla44[[#This Row],[SERVICIO 2025]],$J$2:$V$15,10,0)*Tabla44[[#This Row],[TOTAL COBERTURA]]</f>
        <v>25402202</v>
      </c>
      <c r="AX213" s="35">
        <f>(VLOOKUP(Tabla44[[#This Row],[SERVICIO 2025]],$J$2:$V$15,3,0)*Tabla44[[#This Row],[TOTAL COBERTURA]])+VLOOKUP(Tabla44[[#This Row],[SERVICIO 2025]],$J$2:$V$15,10,0)*Tabla44[[#This Row],[TOTAL COBERTURA]]</f>
        <v>25402202</v>
      </c>
      <c r="AY213" s="35">
        <f>(VLOOKUP(Tabla44[[#This Row],[SERVICIO 2025]],$J$2:$V$15,3,0)*Tabla44[[#This Row],[TOTAL COBERTURA]])+VLOOKUP(Tabla44[[#This Row],[SERVICIO 2025]],$J$2:$V$15,10,0)*Tabla44[[#This Row],[TOTAL COBERTURA]]</f>
        <v>25402202</v>
      </c>
      <c r="AZ213" s="35">
        <f>(VLOOKUP(Tabla44[[#This Row],[SERVICIO 2025]],$J$2:$V$15,3,0)*Tabla44[[#This Row],[TOTAL COBERTURA]])+VLOOKUP(Tabla44[[#This Row],[SERVICIO 2025]],$J$2:$V$15,10,0)*Tabla44[[#This Row],[TOTAL COBERTURA]]</f>
        <v>25402202</v>
      </c>
      <c r="BA213" s="35">
        <f>(VLOOKUP(Tabla44[[#This Row],[SERVICIO 2025]],$J$2:$V$15,3,0)*Tabla44[[#This Row],[TOTAL COBERTURA]])+VLOOKUP(Tabla44[[#This Row],[SERVICIO 2025]],$J$2:$V$15,10,0)*Tabla44[[#This Row],[TOTAL COBERTURA]]</f>
        <v>25402202</v>
      </c>
      <c r="BB213" s="35">
        <f>(VLOOKUP(Tabla44[[#This Row],[SERVICIO 2025]],$J$2:$V$15,3,0)*Tabla44[[#This Row],[TOTAL COBERTURA]])+VLOOKUP(Tabla44[[#This Row],[SERVICIO 2025]],$J$2:$V$15,10,0)*Tabla44[[#This Row],[TOTAL COBERTURA]]</f>
        <v>25402202</v>
      </c>
      <c r="BC21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27781884</v>
      </c>
      <c r="BD213" s="35">
        <f>SUM(Tabla44[[#This Row],[DESEMBOLSO 1]:[DESEMBOLSO 8]])</f>
        <v>210148906</v>
      </c>
      <c r="BE213" s="12" t="b">
        <f>EXACT(Tabla44[[#This Row],[VALOR ATENCIÓN (8 MESES)]],Tabla44[[#This Row],[VALOR TOTAL]])</f>
        <v>1</v>
      </c>
      <c r="BF213" s="23">
        <f>Tabla44[[#This Row],[VALOR ATENCIÓN (8 MESES)]]-Tabla44[[#This Row],[VALOR TOTAL]]</f>
        <v>0</v>
      </c>
      <c r="BG213" s="12" t="b">
        <f>EXACT(Tabla44[[#This Row],[TOTAL DESEMBOLSOS]],Tabla44[[#This Row],[VALOR TOTAL DEL CONTRATO INCLUIDO EL COMPONENTE DE ALIMENTACIÓN]])</f>
        <v>1</v>
      </c>
      <c r="BH213" s="29">
        <f>Tabla44[[#This Row],[TOTAL DESEMBOLSOS]]-Tabla44[[#This Row],[VALOR TOTAL DEL CONTRATO INCLUIDO EL COMPONENTE DE ALIMENTACIÓN]]</f>
        <v>0</v>
      </c>
      <c r="BI213" t="s">
        <v>98</v>
      </c>
    </row>
    <row r="214" spans="1:61">
      <c r="A214" s="13">
        <v>1992</v>
      </c>
      <c r="B214" s="13"/>
      <c r="C214" s="12" t="s">
        <v>87</v>
      </c>
      <c r="D214" s="12" t="s">
        <v>1534</v>
      </c>
      <c r="E214" s="12" t="s">
        <v>3223</v>
      </c>
      <c r="F214" s="12" t="s">
        <v>18</v>
      </c>
      <c r="G214" s="12" t="s">
        <v>90</v>
      </c>
      <c r="H214" s="12" t="s">
        <v>3231</v>
      </c>
      <c r="I214" s="36">
        <v>56561137794</v>
      </c>
      <c r="J214" s="12" t="s">
        <v>3232</v>
      </c>
      <c r="K214" s="12">
        <v>1</v>
      </c>
      <c r="L214" s="12">
        <v>11</v>
      </c>
      <c r="M214" s="12"/>
      <c r="N214" s="13">
        <v>1992</v>
      </c>
      <c r="O214" s="12" t="s">
        <v>2850</v>
      </c>
      <c r="P214" s="12"/>
      <c r="Q214" s="12"/>
      <c r="R214" s="12" t="s">
        <v>94</v>
      </c>
      <c r="S214" s="12">
        <v>10</v>
      </c>
      <c r="T214" s="12">
        <v>900325081</v>
      </c>
      <c r="U214" s="12" t="s">
        <v>167</v>
      </c>
      <c r="V214" s="12">
        <f>VLOOKUP(Tabla44[[#This Row],[ZONA DEFINITIVO]],[1]Hoja1!$A$1:$D$125,3,0)</f>
        <v>229939</v>
      </c>
      <c r="W214" s="12">
        <f>VLOOKUP(Tabla44[[#This Row],[ZONA DEFINITIVO]],[1]Hoja1!$A$1:$D$125,2,0)</f>
        <v>17257</v>
      </c>
      <c r="X214" s="12">
        <f>VLOOKUP(Tabla44[[#This Row],[ZONA DEFINITIVO]],[1]Hoja1!$A$1:$D$125,4,0)</f>
        <v>104325</v>
      </c>
      <c r="Y214" s="12" t="str">
        <f>+IF(Tabla44[[#This Row],[AGRUPACIONES]]=1,SUMIFS(Tabla44[UDS],Tabla44[ZONA DEFINITIVO],Tabla44[[#This Row],[ZONA DEFINITIVO]])," ")</f>
        <v xml:space="preserve"> </v>
      </c>
      <c r="Z214" s="12" t="str">
        <f>+IF(Tabla44[[#This Row],[AGRUPACIONES]]=1,SUMIFS(Tabla44[TOTAL COBERTURA],Tabla44[ZONA DEFINITIVO],Tabla44[[#This Row],[ZONA DEFINITIVO]])," ")</f>
        <v xml:space="preserve"> </v>
      </c>
      <c r="AA214" s="12"/>
      <c r="AB214" s="35">
        <v>23982123</v>
      </c>
      <c r="AC214" s="37">
        <v>0</v>
      </c>
      <c r="AD214" s="35">
        <f t="shared" si="4"/>
        <v>0</v>
      </c>
      <c r="AE214" s="12"/>
      <c r="AF214" s="12">
        <f>COUNTIF($A$20:A214,A214)</f>
        <v>26</v>
      </c>
      <c r="AG214" s="38">
        <v>23982123</v>
      </c>
      <c r="AH214" s="38">
        <f>Tabla44[[#This Row],[VALOR CONTRAPARTIDA]]+Tabla44[[#This Row],[TOTAL APORTES ICBF]]</f>
        <v>23982123</v>
      </c>
      <c r="AI214" s="35" t="str">
        <f>+IF(Tabla44[[#This Row],[AGRUPACIONES]]=1,SUMIFS(Tabla44[TOTAL APORTES ICBF],Tabla44[ZONA DEFINITIVO],Tabla44[[#This Row],[ZONA DEFINITIVO]])," ")</f>
        <v xml:space="preserve"> </v>
      </c>
      <c r="AJ214" s="38"/>
      <c r="AK214" s="38"/>
      <c r="AL214" s="35"/>
      <c r="AM214" s="35">
        <f>VLOOKUP(Tabla44[[#This Row],[SERVICIO 2025]],$J$2:$V$15,5,0)*Tabla44[[#This Row],[TOTAL COBERTURA]]</f>
        <v>543136</v>
      </c>
      <c r="AN214" s="35">
        <f>VLOOKUP(Tabla44[[#This Row],[SERVICIO 2025]],$J$2:$V$15,6,0)*Tabla44[[#This Row],[TOTAL COBERTURA]]</f>
        <v>451319</v>
      </c>
      <c r="AO214" s="35">
        <f>VLOOKUP(Tabla44[[#This Row],[SERVICIO 2025]],$J$2:$V$15,8,0)*Tabla44[[#This Row],[TOTAL COBERTURA]]</f>
        <v>320100</v>
      </c>
      <c r="AP214" s="35">
        <f>VLOOKUP(Tabla44[[#This Row],[SERVICIO 2025]],$J$2:$V$15,3,0)*Tabla44[[#This Row],[TOTAL COBERTURA]]*8</f>
        <v>22667568</v>
      </c>
      <c r="AQ214" s="35"/>
      <c r="AR214" s="35">
        <f>SUM(Tabla44[[#This Row],[VALOR FASE PREPARATORIA DE ALISTAMIENTO]:[VALOR RACION PREPARADA]])</f>
        <v>23982123</v>
      </c>
      <c r="AS214" s="35" t="str">
        <f>+IF(Tabla44[[#This Row],[AGRUPACIONES]]=1,SUMIFS(Tabla44[VALOR TOTAL],Tabla44[ZONA DEFINITIVO],Tabla44[[#This Row],[ZONA DEFINITIVO]])," ")</f>
        <v xml:space="preserve"> </v>
      </c>
      <c r="AT214" s="35">
        <f>VLOOKUP(Tabla44[[#This Row],[SERVICIO 2025]],$J$2:$V$15,10,0)*Tabla44[[#This Row],[TOTAL COBERTURA]]*$X$7</f>
        <v>15873704</v>
      </c>
      <c r="AU214" s="39">
        <f>Tabla44[[#This Row],[TOTAL CONTRATO (ICBF+EAS)]]+Tabla44[[#This Row],[VALOR COMPONENTE ALIMENTACION NO ASIGNADO]]</f>
        <v>39855827</v>
      </c>
      <c r="AV21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214" s="35">
        <f>(VLOOKUP(Tabla44[[#This Row],[SERVICIO 2025]],$J$2:$V$15,3,0)*Tabla44[[#This Row],[TOTAL COBERTURA]])+VLOOKUP(Tabla44[[#This Row],[SERVICIO 2025]],$J$2:$V$15,10,0)*Tabla44[[#This Row],[TOTAL COBERTURA]]</f>
        <v>4817659</v>
      </c>
      <c r="AX214" s="35">
        <f>(VLOOKUP(Tabla44[[#This Row],[SERVICIO 2025]],$J$2:$V$15,3,0)*Tabla44[[#This Row],[TOTAL COBERTURA]])+VLOOKUP(Tabla44[[#This Row],[SERVICIO 2025]],$J$2:$V$15,10,0)*Tabla44[[#This Row],[TOTAL COBERTURA]]</f>
        <v>4817659</v>
      </c>
      <c r="AY214" s="35">
        <f>(VLOOKUP(Tabla44[[#This Row],[SERVICIO 2025]],$J$2:$V$15,3,0)*Tabla44[[#This Row],[TOTAL COBERTURA]])+VLOOKUP(Tabla44[[#This Row],[SERVICIO 2025]],$J$2:$V$15,10,0)*Tabla44[[#This Row],[TOTAL COBERTURA]]</f>
        <v>4817659</v>
      </c>
      <c r="AZ214" s="35">
        <f>(VLOOKUP(Tabla44[[#This Row],[SERVICIO 2025]],$J$2:$V$15,3,0)*Tabla44[[#This Row],[TOTAL COBERTURA]])+VLOOKUP(Tabla44[[#This Row],[SERVICIO 2025]],$J$2:$V$15,10,0)*Tabla44[[#This Row],[TOTAL COBERTURA]]</f>
        <v>4817659</v>
      </c>
      <c r="BA214" s="35">
        <f>(VLOOKUP(Tabla44[[#This Row],[SERVICIO 2025]],$J$2:$V$15,3,0)*Tabla44[[#This Row],[TOTAL COBERTURA]])+VLOOKUP(Tabla44[[#This Row],[SERVICIO 2025]],$J$2:$V$15,10,0)*Tabla44[[#This Row],[TOTAL COBERTURA]]</f>
        <v>4817659</v>
      </c>
      <c r="BB214" s="35">
        <f>(VLOOKUP(Tabla44[[#This Row],[SERVICIO 2025]],$J$2:$V$15,3,0)*Tabla44[[#This Row],[TOTAL COBERTURA]])+VLOOKUP(Tabla44[[#This Row],[SERVICIO 2025]],$J$2:$V$15,10,0)*Tabla44[[#This Row],[TOTAL COBERTURA]]</f>
        <v>4817659</v>
      </c>
      <c r="BC21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214" s="35">
        <f>SUM(Tabla44[[#This Row],[DESEMBOLSO 1]:[DESEMBOLSO 8]])</f>
        <v>39855827</v>
      </c>
      <c r="BE214" s="12" t="b">
        <f>EXACT(Tabla44[[#This Row],[VALOR ATENCIÓN (8 MESES)]],Tabla44[[#This Row],[VALOR TOTAL]])</f>
        <v>1</v>
      </c>
      <c r="BF214" s="23">
        <f>Tabla44[[#This Row],[VALOR ATENCIÓN (8 MESES)]]-Tabla44[[#This Row],[VALOR TOTAL]]</f>
        <v>0</v>
      </c>
      <c r="BG214" s="12" t="b">
        <f>EXACT(Tabla44[[#This Row],[TOTAL DESEMBOLSOS]],Tabla44[[#This Row],[VALOR TOTAL DEL CONTRATO INCLUIDO EL COMPONENTE DE ALIMENTACIÓN]])</f>
        <v>1</v>
      </c>
      <c r="BH214" s="29">
        <f>Tabla44[[#This Row],[TOTAL DESEMBOLSOS]]-Tabla44[[#This Row],[VALOR TOTAL DEL CONTRATO INCLUIDO EL COMPONENTE DE ALIMENTACIÓN]]</f>
        <v>0</v>
      </c>
      <c r="BI214" t="s">
        <v>98</v>
      </c>
    </row>
    <row r="215" spans="1:61">
      <c r="A215" s="13">
        <v>1992</v>
      </c>
      <c r="B215" s="13"/>
      <c r="C215" s="12" t="s">
        <v>87</v>
      </c>
      <c r="D215" s="12" t="s">
        <v>1534</v>
      </c>
      <c r="E215" s="12" t="s">
        <v>3223</v>
      </c>
      <c r="F215" s="12" t="s">
        <v>18</v>
      </c>
      <c r="G215" s="12" t="s">
        <v>90</v>
      </c>
      <c r="H215" s="12" t="s">
        <v>3233</v>
      </c>
      <c r="I215" s="36">
        <v>56561138000</v>
      </c>
      <c r="J215" s="12" t="s">
        <v>3234</v>
      </c>
      <c r="K215" s="12">
        <v>1</v>
      </c>
      <c r="L215" s="12">
        <v>21</v>
      </c>
      <c r="M215" s="12"/>
      <c r="N215" s="13">
        <v>1992</v>
      </c>
      <c r="O215" s="12" t="s">
        <v>2850</v>
      </c>
      <c r="P215" s="12"/>
      <c r="Q215" s="12"/>
      <c r="R215" s="12" t="s">
        <v>94</v>
      </c>
      <c r="S215" s="12">
        <v>10</v>
      </c>
      <c r="T215" s="12">
        <v>900325081</v>
      </c>
      <c r="U215" s="12" t="s">
        <v>167</v>
      </c>
      <c r="V215" s="12">
        <f>VLOOKUP(Tabla44[[#This Row],[ZONA DEFINITIVO]],[1]Hoja1!$A$1:$D$125,3,0)</f>
        <v>229939</v>
      </c>
      <c r="W215" s="12">
        <f>VLOOKUP(Tabla44[[#This Row],[ZONA DEFINITIVO]],[1]Hoja1!$A$1:$D$125,2,0)</f>
        <v>17257</v>
      </c>
      <c r="X215" s="12">
        <f>VLOOKUP(Tabla44[[#This Row],[ZONA DEFINITIVO]],[1]Hoja1!$A$1:$D$125,4,0)</f>
        <v>104325</v>
      </c>
      <c r="Y215" s="12" t="str">
        <f>+IF(Tabla44[[#This Row],[AGRUPACIONES]]=1,SUMIFS(Tabla44[UDS],Tabla44[ZONA DEFINITIVO],Tabla44[[#This Row],[ZONA DEFINITIVO]])," ")</f>
        <v xml:space="preserve"> </v>
      </c>
      <c r="Z215" s="12" t="str">
        <f>+IF(Tabla44[[#This Row],[AGRUPACIONES]]=1,SUMIFS(Tabla44[TOTAL COBERTURA],Tabla44[ZONA DEFINITIVO],Tabla44[[#This Row],[ZONA DEFINITIVO]])," ")</f>
        <v xml:space="preserve"> </v>
      </c>
      <c r="AA215" s="12"/>
      <c r="AB215" s="35">
        <v>45784053</v>
      </c>
      <c r="AC215" s="37">
        <v>0</v>
      </c>
      <c r="AD215" s="35">
        <f t="shared" si="4"/>
        <v>0</v>
      </c>
      <c r="AE215" s="12"/>
      <c r="AF215" s="12">
        <f>COUNTIF($A$20:A215,A215)</f>
        <v>27</v>
      </c>
      <c r="AG215" s="38">
        <v>45784053</v>
      </c>
      <c r="AH215" s="38">
        <f>Tabla44[[#This Row],[VALOR CONTRAPARTIDA]]+Tabla44[[#This Row],[TOTAL APORTES ICBF]]</f>
        <v>45784053</v>
      </c>
      <c r="AI215" s="35" t="str">
        <f>+IF(Tabla44[[#This Row],[AGRUPACIONES]]=1,SUMIFS(Tabla44[TOTAL APORTES ICBF],Tabla44[ZONA DEFINITIVO],Tabla44[[#This Row],[ZONA DEFINITIVO]])," ")</f>
        <v xml:space="preserve"> </v>
      </c>
      <c r="AJ215" s="38"/>
      <c r="AK215" s="38"/>
      <c r="AL215" s="35"/>
      <c r="AM215" s="35">
        <f>VLOOKUP(Tabla44[[#This Row],[SERVICIO 2025]],$J$2:$V$15,5,0)*Tabla44[[#This Row],[TOTAL COBERTURA]]</f>
        <v>1036896</v>
      </c>
      <c r="AN215" s="35">
        <f>VLOOKUP(Tabla44[[#This Row],[SERVICIO 2025]],$J$2:$V$15,6,0)*Tabla44[[#This Row],[TOTAL COBERTURA]]</f>
        <v>861609</v>
      </c>
      <c r="AO215" s="35">
        <f>VLOOKUP(Tabla44[[#This Row],[SERVICIO 2025]],$J$2:$V$15,8,0)*Tabla44[[#This Row],[TOTAL COBERTURA]]</f>
        <v>611100</v>
      </c>
      <c r="AP215" s="35">
        <f>VLOOKUP(Tabla44[[#This Row],[SERVICIO 2025]],$J$2:$V$15,3,0)*Tabla44[[#This Row],[TOTAL COBERTURA]]*8</f>
        <v>43274448</v>
      </c>
      <c r="AQ215" s="35"/>
      <c r="AR215" s="35">
        <f>SUM(Tabla44[[#This Row],[VALOR FASE PREPARATORIA DE ALISTAMIENTO]:[VALOR RACION PREPARADA]])</f>
        <v>45784053</v>
      </c>
      <c r="AS215" s="35" t="str">
        <f>+IF(Tabla44[[#This Row],[AGRUPACIONES]]=1,SUMIFS(Tabla44[VALOR TOTAL],Tabla44[ZONA DEFINITIVO],Tabla44[[#This Row],[ZONA DEFINITIVO]])," ")</f>
        <v xml:space="preserve"> </v>
      </c>
      <c r="AT215" s="35">
        <f>VLOOKUP(Tabla44[[#This Row],[SERVICIO 2025]],$J$2:$V$15,10,0)*Tabla44[[#This Row],[TOTAL COBERTURA]]*$X$7</f>
        <v>30304344</v>
      </c>
      <c r="AU215" s="39">
        <f>Tabla44[[#This Row],[TOTAL CONTRATO (ICBF+EAS)]]+Tabla44[[#This Row],[VALOR COMPONENTE ALIMENTACION NO ASIGNADO]]</f>
        <v>76088397</v>
      </c>
      <c r="AV21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10845345</v>
      </c>
      <c r="AW215" s="35">
        <f>(VLOOKUP(Tabla44[[#This Row],[SERVICIO 2025]],$J$2:$V$15,3,0)*Tabla44[[#This Row],[TOTAL COBERTURA]])+VLOOKUP(Tabla44[[#This Row],[SERVICIO 2025]],$J$2:$V$15,10,0)*Tabla44[[#This Row],[TOTAL COBERTURA]]</f>
        <v>9197349</v>
      </c>
      <c r="AX215" s="35">
        <f>(VLOOKUP(Tabla44[[#This Row],[SERVICIO 2025]],$J$2:$V$15,3,0)*Tabla44[[#This Row],[TOTAL COBERTURA]])+VLOOKUP(Tabla44[[#This Row],[SERVICIO 2025]],$J$2:$V$15,10,0)*Tabla44[[#This Row],[TOTAL COBERTURA]]</f>
        <v>9197349</v>
      </c>
      <c r="AY215" s="35">
        <f>(VLOOKUP(Tabla44[[#This Row],[SERVICIO 2025]],$J$2:$V$15,3,0)*Tabla44[[#This Row],[TOTAL COBERTURA]])+VLOOKUP(Tabla44[[#This Row],[SERVICIO 2025]],$J$2:$V$15,10,0)*Tabla44[[#This Row],[TOTAL COBERTURA]]</f>
        <v>9197349</v>
      </c>
      <c r="AZ215" s="35">
        <f>(VLOOKUP(Tabla44[[#This Row],[SERVICIO 2025]],$J$2:$V$15,3,0)*Tabla44[[#This Row],[TOTAL COBERTURA]])+VLOOKUP(Tabla44[[#This Row],[SERVICIO 2025]],$J$2:$V$15,10,0)*Tabla44[[#This Row],[TOTAL COBERTURA]]</f>
        <v>9197349</v>
      </c>
      <c r="BA215" s="35">
        <f>(VLOOKUP(Tabla44[[#This Row],[SERVICIO 2025]],$J$2:$V$15,3,0)*Tabla44[[#This Row],[TOTAL COBERTURA]])+VLOOKUP(Tabla44[[#This Row],[SERVICIO 2025]],$J$2:$V$15,10,0)*Tabla44[[#This Row],[TOTAL COBERTURA]]</f>
        <v>9197349</v>
      </c>
      <c r="BB215" s="35">
        <f>(VLOOKUP(Tabla44[[#This Row],[SERVICIO 2025]],$J$2:$V$15,3,0)*Tabla44[[#This Row],[TOTAL COBERTURA]])+VLOOKUP(Tabla44[[#This Row],[SERVICIO 2025]],$J$2:$V$15,10,0)*Tabla44[[#This Row],[TOTAL COBERTURA]]</f>
        <v>9197349</v>
      </c>
      <c r="BC21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10058958</v>
      </c>
      <c r="BD215" s="35">
        <f>SUM(Tabla44[[#This Row],[DESEMBOLSO 1]:[DESEMBOLSO 8]])</f>
        <v>76088397</v>
      </c>
      <c r="BE215" s="12" t="b">
        <f>EXACT(Tabla44[[#This Row],[VALOR ATENCIÓN (8 MESES)]],Tabla44[[#This Row],[VALOR TOTAL]])</f>
        <v>1</v>
      </c>
      <c r="BF215" s="23">
        <f>Tabla44[[#This Row],[VALOR ATENCIÓN (8 MESES)]]-Tabla44[[#This Row],[VALOR TOTAL]]</f>
        <v>0</v>
      </c>
      <c r="BG215" s="12" t="b">
        <f>EXACT(Tabla44[[#This Row],[TOTAL DESEMBOLSOS]],Tabla44[[#This Row],[VALOR TOTAL DEL CONTRATO INCLUIDO EL COMPONENTE DE ALIMENTACIÓN]])</f>
        <v>1</v>
      </c>
      <c r="BH215" s="29">
        <f>Tabla44[[#This Row],[TOTAL DESEMBOLSOS]]-Tabla44[[#This Row],[VALOR TOTAL DEL CONTRATO INCLUIDO EL COMPONENTE DE ALIMENTACIÓN]]</f>
        <v>0</v>
      </c>
      <c r="BI215" t="s">
        <v>98</v>
      </c>
    </row>
    <row r="216" spans="1:61">
      <c r="A216" s="13">
        <v>1992</v>
      </c>
      <c r="B216" s="13"/>
      <c r="C216" s="12" t="s">
        <v>87</v>
      </c>
      <c r="D216" s="12" t="s">
        <v>1534</v>
      </c>
      <c r="E216" s="12" t="s">
        <v>3223</v>
      </c>
      <c r="F216" s="12" t="s">
        <v>18</v>
      </c>
      <c r="G216" s="12" t="s">
        <v>90</v>
      </c>
      <c r="H216" s="12" t="s">
        <v>3235</v>
      </c>
      <c r="I216" s="36">
        <v>56561152019</v>
      </c>
      <c r="J216" s="12" t="s">
        <v>3236</v>
      </c>
      <c r="K216" s="12">
        <v>1</v>
      </c>
      <c r="L216" s="12">
        <v>22</v>
      </c>
      <c r="M216" s="12"/>
      <c r="N216" s="13">
        <v>1992</v>
      </c>
      <c r="O216" s="12" t="s">
        <v>2850</v>
      </c>
      <c r="P216" s="12"/>
      <c r="Q216" s="12"/>
      <c r="R216" s="12" t="s">
        <v>94</v>
      </c>
      <c r="S216" s="12">
        <v>10</v>
      </c>
      <c r="T216" s="12">
        <v>900325081</v>
      </c>
      <c r="U216" s="12" t="s">
        <v>167</v>
      </c>
      <c r="V216" s="12">
        <f>VLOOKUP(Tabla44[[#This Row],[ZONA DEFINITIVO]],[1]Hoja1!$A$1:$D$125,3,0)</f>
        <v>229939</v>
      </c>
      <c r="W216" s="12">
        <f>VLOOKUP(Tabla44[[#This Row],[ZONA DEFINITIVO]],[1]Hoja1!$A$1:$D$125,2,0)</f>
        <v>17257</v>
      </c>
      <c r="X216" s="12">
        <f>VLOOKUP(Tabla44[[#This Row],[ZONA DEFINITIVO]],[1]Hoja1!$A$1:$D$125,4,0)</f>
        <v>104325</v>
      </c>
      <c r="Y216" s="12" t="str">
        <f>+IF(Tabla44[[#This Row],[AGRUPACIONES]]=1,SUMIFS(Tabla44[UDS],Tabla44[ZONA DEFINITIVO],Tabla44[[#This Row],[ZONA DEFINITIVO]])," ")</f>
        <v xml:space="preserve"> </v>
      </c>
      <c r="Z216" s="12" t="str">
        <f>+IF(Tabla44[[#This Row],[AGRUPACIONES]]=1,SUMIFS(Tabla44[TOTAL COBERTURA],Tabla44[ZONA DEFINITIVO],Tabla44[[#This Row],[ZONA DEFINITIVO]])," ")</f>
        <v xml:space="preserve"> </v>
      </c>
      <c r="AA216" s="12"/>
      <c r="AB216" s="35">
        <v>47964246</v>
      </c>
      <c r="AC216" s="37">
        <v>0</v>
      </c>
      <c r="AD216" s="35">
        <f t="shared" si="4"/>
        <v>0</v>
      </c>
      <c r="AE216" s="12"/>
      <c r="AF216" s="12">
        <f>COUNTIF($A$20:A216,A216)</f>
        <v>28</v>
      </c>
      <c r="AG216" s="38">
        <v>47964246</v>
      </c>
      <c r="AH216" s="38">
        <f>Tabla44[[#This Row],[VALOR CONTRAPARTIDA]]+Tabla44[[#This Row],[TOTAL APORTES ICBF]]</f>
        <v>47964246</v>
      </c>
      <c r="AI216" s="35" t="str">
        <f>+IF(Tabla44[[#This Row],[AGRUPACIONES]]=1,SUMIFS(Tabla44[TOTAL APORTES ICBF],Tabla44[ZONA DEFINITIVO],Tabla44[[#This Row],[ZONA DEFINITIVO]])," ")</f>
        <v xml:space="preserve"> </v>
      </c>
      <c r="AJ216" s="38"/>
      <c r="AK216" s="38"/>
      <c r="AL216" s="35"/>
      <c r="AM216" s="35">
        <f>VLOOKUP(Tabla44[[#This Row],[SERVICIO 2025]],$J$2:$V$15,5,0)*Tabla44[[#This Row],[TOTAL COBERTURA]]</f>
        <v>1086272</v>
      </c>
      <c r="AN216" s="35">
        <f>VLOOKUP(Tabla44[[#This Row],[SERVICIO 2025]],$J$2:$V$15,6,0)*Tabla44[[#This Row],[TOTAL COBERTURA]]</f>
        <v>902638</v>
      </c>
      <c r="AO216" s="35">
        <f>VLOOKUP(Tabla44[[#This Row],[SERVICIO 2025]],$J$2:$V$15,8,0)*Tabla44[[#This Row],[TOTAL COBERTURA]]</f>
        <v>640200</v>
      </c>
      <c r="AP216" s="35">
        <f>VLOOKUP(Tabla44[[#This Row],[SERVICIO 2025]],$J$2:$V$15,3,0)*Tabla44[[#This Row],[TOTAL COBERTURA]]*8</f>
        <v>45335136</v>
      </c>
      <c r="AQ216" s="35"/>
      <c r="AR216" s="35">
        <f>SUM(Tabla44[[#This Row],[VALOR FASE PREPARATORIA DE ALISTAMIENTO]:[VALOR RACION PREPARADA]])</f>
        <v>47964246</v>
      </c>
      <c r="AS216" s="35" t="str">
        <f>+IF(Tabla44[[#This Row],[AGRUPACIONES]]=1,SUMIFS(Tabla44[VALOR TOTAL],Tabla44[ZONA DEFINITIVO],Tabla44[[#This Row],[ZONA DEFINITIVO]])," ")</f>
        <v xml:space="preserve"> </v>
      </c>
      <c r="AT216" s="35">
        <f>VLOOKUP(Tabla44[[#This Row],[SERVICIO 2025]],$J$2:$V$15,10,0)*Tabla44[[#This Row],[TOTAL COBERTURA]]*$X$7</f>
        <v>31747408</v>
      </c>
      <c r="AU216" s="39">
        <f>Tabla44[[#This Row],[TOTAL CONTRATO (ICBF+EAS)]]+Tabla44[[#This Row],[VALOR COMPONENTE ALIMENTACION NO ASIGNADO]]</f>
        <v>79711654</v>
      </c>
      <c r="AV21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11361790</v>
      </c>
      <c r="AW216" s="35">
        <f>(VLOOKUP(Tabla44[[#This Row],[SERVICIO 2025]],$J$2:$V$15,3,0)*Tabla44[[#This Row],[TOTAL COBERTURA]])+VLOOKUP(Tabla44[[#This Row],[SERVICIO 2025]],$J$2:$V$15,10,0)*Tabla44[[#This Row],[TOTAL COBERTURA]]</f>
        <v>9635318</v>
      </c>
      <c r="AX216" s="35">
        <f>(VLOOKUP(Tabla44[[#This Row],[SERVICIO 2025]],$J$2:$V$15,3,0)*Tabla44[[#This Row],[TOTAL COBERTURA]])+VLOOKUP(Tabla44[[#This Row],[SERVICIO 2025]],$J$2:$V$15,10,0)*Tabla44[[#This Row],[TOTAL COBERTURA]]</f>
        <v>9635318</v>
      </c>
      <c r="AY216" s="35">
        <f>(VLOOKUP(Tabla44[[#This Row],[SERVICIO 2025]],$J$2:$V$15,3,0)*Tabla44[[#This Row],[TOTAL COBERTURA]])+VLOOKUP(Tabla44[[#This Row],[SERVICIO 2025]],$J$2:$V$15,10,0)*Tabla44[[#This Row],[TOTAL COBERTURA]]</f>
        <v>9635318</v>
      </c>
      <c r="AZ216" s="35">
        <f>(VLOOKUP(Tabla44[[#This Row],[SERVICIO 2025]],$J$2:$V$15,3,0)*Tabla44[[#This Row],[TOTAL COBERTURA]])+VLOOKUP(Tabla44[[#This Row],[SERVICIO 2025]],$J$2:$V$15,10,0)*Tabla44[[#This Row],[TOTAL COBERTURA]]</f>
        <v>9635318</v>
      </c>
      <c r="BA216" s="35">
        <f>(VLOOKUP(Tabla44[[#This Row],[SERVICIO 2025]],$J$2:$V$15,3,0)*Tabla44[[#This Row],[TOTAL COBERTURA]])+VLOOKUP(Tabla44[[#This Row],[SERVICIO 2025]],$J$2:$V$15,10,0)*Tabla44[[#This Row],[TOTAL COBERTURA]]</f>
        <v>9635318</v>
      </c>
      <c r="BB216" s="35">
        <f>(VLOOKUP(Tabla44[[#This Row],[SERVICIO 2025]],$J$2:$V$15,3,0)*Tabla44[[#This Row],[TOTAL COBERTURA]])+VLOOKUP(Tabla44[[#This Row],[SERVICIO 2025]],$J$2:$V$15,10,0)*Tabla44[[#This Row],[TOTAL COBERTURA]]</f>
        <v>9635318</v>
      </c>
      <c r="BC21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10537956</v>
      </c>
      <c r="BD216" s="35">
        <f>SUM(Tabla44[[#This Row],[DESEMBOLSO 1]:[DESEMBOLSO 8]])</f>
        <v>79711654</v>
      </c>
      <c r="BE216" s="12" t="b">
        <f>EXACT(Tabla44[[#This Row],[VALOR ATENCIÓN (8 MESES)]],Tabla44[[#This Row],[VALOR TOTAL]])</f>
        <v>1</v>
      </c>
      <c r="BF216" s="23">
        <f>Tabla44[[#This Row],[VALOR ATENCIÓN (8 MESES)]]-Tabla44[[#This Row],[VALOR TOTAL]]</f>
        <v>0</v>
      </c>
      <c r="BG216" s="12" t="b">
        <f>EXACT(Tabla44[[#This Row],[TOTAL DESEMBOLSOS]],Tabla44[[#This Row],[VALOR TOTAL DEL CONTRATO INCLUIDO EL COMPONENTE DE ALIMENTACIÓN]])</f>
        <v>1</v>
      </c>
      <c r="BH216" s="29">
        <f>Tabla44[[#This Row],[TOTAL DESEMBOLSOS]]-Tabla44[[#This Row],[VALOR TOTAL DEL CONTRATO INCLUIDO EL COMPONENTE DE ALIMENTACIÓN]]</f>
        <v>0</v>
      </c>
      <c r="BI216" t="s">
        <v>98</v>
      </c>
    </row>
    <row r="217" spans="1:61">
      <c r="A217" s="13">
        <v>1992</v>
      </c>
      <c r="B217" s="13"/>
      <c r="C217" s="12" t="s">
        <v>87</v>
      </c>
      <c r="D217" s="12" t="s">
        <v>1534</v>
      </c>
      <c r="E217" s="12" t="s">
        <v>3223</v>
      </c>
      <c r="F217" s="12" t="s">
        <v>18</v>
      </c>
      <c r="G217" s="12" t="s">
        <v>90</v>
      </c>
      <c r="H217" s="12" t="s">
        <v>3237</v>
      </c>
      <c r="I217" s="36">
        <v>56561152428</v>
      </c>
      <c r="J217" s="12" t="s">
        <v>3238</v>
      </c>
      <c r="K217" s="12">
        <v>1</v>
      </c>
      <c r="L217" s="12">
        <v>9</v>
      </c>
      <c r="M217" s="12"/>
      <c r="N217" s="13">
        <v>1992</v>
      </c>
      <c r="O217" s="12" t="s">
        <v>2850</v>
      </c>
      <c r="P217" s="12"/>
      <c r="Q217" s="12"/>
      <c r="R217" s="12" t="s">
        <v>94</v>
      </c>
      <c r="S217" s="12">
        <v>10</v>
      </c>
      <c r="T217" s="12">
        <v>900325081</v>
      </c>
      <c r="U217" s="12" t="s">
        <v>167</v>
      </c>
      <c r="V217" s="12">
        <f>VLOOKUP(Tabla44[[#This Row],[ZONA DEFINITIVO]],[1]Hoja1!$A$1:$D$125,3,0)</f>
        <v>229939</v>
      </c>
      <c r="W217" s="12">
        <f>VLOOKUP(Tabla44[[#This Row],[ZONA DEFINITIVO]],[1]Hoja1!$A$1:$D$125,2,0)</f>
        <v>17257</v>
      </c>
      <c r="X217" s="12">
        <f>VLOOKUP(Tabla44[[#This Row],[ZONA DEFINITIVO]],[1]Hoja1!$A$1:$D$125,4,0)</f>
        <v>104325</v>
      </c>
      <c r="Y217" s="12" t="str">
        <f>+IF(Tabla44[[#This Row],[AGRUPACIONES]]=1,SUMIFS(Tabla44[UDS],Tabla44[ZONA DEFINITIVO],Tabla44[[#This Row],[ZONA DEFINITIVO]])," ")</f>
        <v xml:space="preserve"> </v>
      </c>
      <c r="Z217" s="12" t="str">
        <f>+IF(Tabla44[[#This Row],[AGRUPACIONES]]=1,SUMIFS(Tabla44[TOTAL COBERTURA],Tabla44[ZONA DEFINITIVO],Tabla44[[#This Row],[ZONA DEFINITIVO]])," ")</f>
        <v xml:space="preserve"> </v>
      </c>
      <c r="AA217" s="12"/>
      <c r="AB217" s="35">
        <v>19621737</v>
      </c>
      <c r="AC217" s="37">
        <v>0</v>
      </c>
      <c r="AD217" s="35">
        <f t="shared" si="4"/>
        <v>0</v>
      </c>
      <c r="AE217" s="12"/>
      <c r="AF217" s="12">
        <f>COUNTIF($A$20:A217,A217)</f>
        <v>29</v>
      </c>
      <c r="AG217" s="38">
        <v>19621737</v>
      </c>
      <c r="AH217" s="38">
        <f>Tabla44[[#This Row],[VALOR CONTRAPARTIDA]]+Tabla44[[#This Row],[TOTAL APORTES ICBF]]</f>
        <v>19621737</v>
      </c>
      <c r="AI217" s="35" t="str">
        <f>+IF(Tabla44[[#This Row],[AGRUPACIONES]]=1,SUMIFS(Tabla44[TOTAL APORTES ICBF],Tabla44[ZONA DEFINITIVO],Tabla44[[#This Row],[ZONA DEFINITIVO]])," ")</f>
        <v xml:space="preserve"> </v>
      </c>
      <c r="AJ217" s="38"/>
      <c r="AK217" s="38"/>
      <c r="AL217" s="35"/>
      <c r="AM217" s="35">
        <f>VLOOKUP(Tabla44[[#This Row],[SERVICIO 2025]],$J$2:$V$15,5,0)*Tabla44[[#This Row],[TOTAL COBERTURA]]</f>
        <v>444384</v>
      </c>
      <c r="AN217" s="35">
        <f>VLOOKUP(Tabla44[[#This Row],[SERVICIO 2025]],$J$2:$V$15,6,0)*Tabla44[[#This Row],[TOTAL COBERTURA]]</f>
        <v>369261</v>
      </c>
      <c r="AO217" s="35">
        <f>VLOOKUP(Tabla44[[#This Row],[SERVICIO 2025]],$J$2:$V$15,8,0)*Tabla44[[#This Row],[TOTAL COBERTURA]]</f>
        <v>261900</v>
      </c>
      <c r="AP217" s="35">
        <f>VLOOKUP(Tabla44[[#This Row],[SERVICIO 2025]],$J$2:$V$15,3,0)*Tabla44[[#This Row],[TOTAL COBERTURA]]*8</f>
        <v>18546192</v>
      </c>
      <c r="AQ217" s="35"/>
      <c r="AR217" s="35">
        <f>SUM(Tabla44[[#This Row],[VALOR FASE PREPARATORIA DE ALISTAMIENTO]:[VALOR RACION PREPARADA]])</f>
        <v>19621737</v>
      </c>
      <c r="AS217" s="35" t="str">
        <f>+IF(Tabla44[[#This Row],[AGRUPACIONES]]=1,SUMIFS(Tabla44[VALOR TOTAL],Tabla44[ZONA DEFINITIVO],Tabla44[[#This Row],[ZONA DEFINITIVO]])," ")</f>
        <v xml:space="preserve"> </v>
      </c>
      <c r="AT217" s="35">
        <f>VLOOKUP(Tabla44[[#This Row],[SERVICIO 2025]],$J$2:$V$15,10,0)*Tabla44[[#This Row],[TOTAL COBERTURA]]*$X$7</f>
        <v>12987576</v>
      </c>
      <c r="AU217" s="39">
        <f>Tabla44[[#This Row],[TOTAL CONTRATO (ICBF+EAS)]]+Tabla44[[#This Row],[VALOR COMPONENTE ALIMENTACION NO ASIGNADO]]</f>
        <v>32609313</v>
      </c>
      <c r="AV21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4648005</v>
      </c>
      <c r="AW217" s="35">
        <f>(VLOOKUP(Tabla44[[#This Row],[SERVICIO 2025]],$J$2:$V$15,3,0)*Tabla44[[#This Row],[TOTAL COBERTURA]])+VLOOKUP(Tabla44[[#This Row],[SERVICIO 2025]],$J$2:$V$15,10,0)*Tabla44[[#This Row],[TOTAL COBERTURA]]</f>
        <v>3941721</v>
      </c>
      <c r="AX217" s="35">
        <f>(VLOOKUP(Tabla44[[#This Row],[SERVICIO 2025]],$J$2:$V$15,3,0)*Tabla44[[#This Row],[TOTAL COBERTURA]])+VLOOKUP(Tabla44[[#This Row],[SERVICIO 2025]],$J$2:$V$15,10,0)*Tabla44[[#This Row],[TOTAL COBERTURA]]</f>
        <v>3941721</v>
      </c>
      <c r="AY217" s="35">
        <f>(VLOOKUP(Tabla44[[#This Row],[SERVICIO 2025]],$J$2:$V$15,3,0)*Tabla44[[#This Row],[TOTAL COBERTURA]])+VLOOKUP(Tabla44[[#This Row],[SERVICIO 2025]],$J$2:$V$15,10,0)*Tabla44[[#This Row],[TOTAL COBERTURA]]</f>
        <v>3941721</v>
      </c>
      <c r="AZ217" s="35">
        <f>(VLOOKUP(Tabla44[[#This Row],[SERVICIO 2025]],$J$2:$V$15,3,0)*Tabla44[[#This Row],[TOTAL COBERTURA]])+VLOOKUP(Tabla44[[#This Row],[SERVICIO 2025]],$J$2:$V$15,10,0)*Tabla44[[#This Row],[TOTAL COBERTURA]]</f>
        <v>3941721</v>
      </c>
      <c r="BA217" s="35">
        <f>(VLOOKUP(Tabla44[[#This Row],[SERVICIO 2025]],$J$2:$V$15,3,0)*Tabla44[[#This Row],[TOTAL COBERTURA]])+VLOOKUP(Tabla44[[#This Row],[SERVICIO 2025]],$J$2:$V$15,10,0)*Tabla44[[#This Row],[TOTAL COBERTURA]]</f>
        <v>3941721</v>
      </c>
      <c r="BB217" s="35">
        <f>(VLOOKUP(Tabla44[[#This Row],[SERVICIO 2025]],$J$2:$V$15,3,0)*Tabla44[[#This Row],[TOTAL COBERTURA]])+VLOOKUP(Tabla44[[#This Row],[SERVICIO 2025]],$J$2:$V$15,10,0)*Tabla44[[#This Row],[TOTAL COBERTURA]]</f>
        <v>3941721</v>
      </c>
      <c r="BC21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4310982</v>
      </c>
      <c r="BD217" s="35">
        <f>SUM(Tabla44[[#This Row],[DESEMBOLSO 1]:[DESEMBOLSO 8]])</f>
        <v>32609313</v>
      </c>
      <c r="BE217" s="12" t="b">
        <f>EXACT(Tabla44[[#This Row],[VALOR ATENCIÓN (8 MESES)]],Tabla44[[#This Row],[VALOR TOTAL]])</f>
        <v>1</v>
      </c>
      <c r="BF217" s="23">
        <f>Tabla44[[#This Row],[VALOR ATENCIÓN (8 MESES)]]-Tabla44[[#This Row],[VALOR TOTAL]]</f>
        <v>0</v>
      </c>
      <c r="BG217" s="12" t="b">
        <f>EXACT(Tabla44[[#This Row],[TOTAL DESEMBOLSOS]],Tabla44[[#This Row],[VALOR TOTAL DEL CONTRATO INCLUIDO EL COMPONENTE DE ALIMENTACIÓN]])</f>
        <v>1</v>
      </c>
      <c r="BH217" s="29">
        <f>Tabla44[[#This Row],[TOTAL DESEMBOLSOS]]-Tabla44[[#This Row],[VALOR TOTAL DEL CONTRATO INCLUIDO EL COMPONENTE DE ALIMENTACIÓN]]</f>
        <v>0</v>
      </c>
      <c r="BI217" t="s">
        <v>98</v>
      </c>
    </row>
    <row r="218" spans="1:61">
      <c r="A218" s="13">
        <v>1992</v>
      </c>
      <c r="B218" s="13"/>
      <c r="C218" s="12" t="s">
        <v>87</v>
      </c>
      <c r="D218" s="12" t="s">
        <v>1534</v>
      </c>
      <c r="E218" s="12" t="s">
        <v>3223</v>
      </c>
      <c r="F218" s="12" t="s">
        <v>18</v>
      </c>
      <c r="G218" s="12" t="s">
        <v>90</v>
      </c>
      <c r="H218" s="12" t="s">
        <v>2033</v>
      </c>
      <c r="I218" s="36">
        <v>56561155944</v>
      </c>
      <c r="J218" s="12" t="s">
        <v>3239</v>
      </c>
      <c r="K218" s="12">
        <v>1</v>
      </c>
      <c r="L218" s="12">
        <v>11</v>
      </c>
      <c r="M218" s="12"/>
      <c r="N218" s="13">
        <v>1992</v>
      </c>
      <c r="O218" s="12" t="s">
        <v>2850</v>
      </c>
      <c r="P218" s="12"/>
      <c r="Q218" s="12"/>
      <c r="R218" s="12" t="s">
        <v>94</v>
      </c>
      <c r="S218" s="12">
        <v>10</v>
      </c>
      <c r="T218" s="12">
        <v>900325081</v>
      </c>
      <c r="U218" s="12" t="s">
        <v>167</v>
      </c>
      <c r="V218" s="12">
        <f>VLOOKUP(Tabla44[[#This Row],[ZONA DEFINITIVO]],[1]Hoja1!$A$1:$D$125,3,0)</f>
        <v>229939</v>
      </c>
      <c r="W218" s="12">
        <f>VLOOKUP(Tabla44[[#This Row],[ZONA DEFINITIVO]],[1]Hoja1!$A$1:$D$125,2,0)</f>
        <v>17257</v>
      </c>
      <c r="X218" s="12">
        <f>VLOOKUP(Tabla44[[#This Row],[ZONA DEFINITIVO]],[1]Hoja1!$A$1:$D$125,4,0)</f>
        <v>104325</v>
      </c>
      <c r="Y218" s="12" t="str">
        <f>+IF(Tabla44[[#This Row],[AGRUPACIONES]]=1,SUMIFS(Tabla44[UDS],Tabla44[ZONA DEFINITIVO],Tabla44[[#This Row],[ZONA DEFINITIVO]])," ")</f>
        <v xml:space="preserve"> </v>
      </c>
      <c r="Z218" s="12" t="str">
        <f>+IF(Tabla44[[#This Row],[AGRUPACIONES]]=1,SUMIFS(Tabla44[TOTAL COBERTURA],Tabla44[ZONA DEFINITIVO],Tabla44[[#This Row],[ZONA DEFINITIVO]])," ")</f>
        <v xml:space="preserve"> </v>
      </c>
      <c r="AA218" s="12"/>
      <c r="AB218" s="35">
        <v>23982123</v>
      </c>
      <c r="AC218" s="37">
        <v>0</v>
      </c>
      <c r="AD218" s="35">
        <f t="shared" si="4"/>
        <v>0</v>
      </c>
      <c r="AE218" s="12"/>
      <c r="AF218" s="12">
        <f>COUNTIF($A$20:A218,A218)</f>
        <v>30</v>
      </c>
      <c r="AG218" s="38">
        <v>23982123</v>
      </c>
      <c r="AH218" s="38">
        <f>Tabla44[[#This Row],[VALOR CONTRAPARTIDA]]+Tabla44[[#This Row],[TOTAL APORTES ICBF]]</f>
        <v>23982123</v>
      </c>
      <c r="AI218" s="35" t="str">
        <f>+IF(Tabla44[[#This Row],[AGRUPACIONES]]=1,SUMIFS(Tabla44[TOTAL APORTES ICBF],Tabla44[ZONA DEFINITIVO],Tabla44[[#This Row],[ZONA DEFINITIVO]])," ")</f>
        <v xml:space="preserve"> </v>
      </c>
      <c r="AJ218" s="38"/>
      <c r="AK218" s="38"/>
      <c r="AL218" s="35"/>
      <c r="AM218" s="35">
        <f>VLOOKUP(Tabla44[[#This Row],[SERVICIO 2025]],$J$2:$V$15,5,0)*Tabla44[[#This Row],[TOTAL COBERTURA]]</f>
        <v>543136</v>
      </c>
      <c r="AN218" s="35">
        <f>VLOOKUP(Tabla44[[#This Row],[SERVICIO 2025]],$J$2:$V$15,6,0)*Tabla44[[#This Row],[TOTAL COBERTURA]]</f>
        <v>451319</v>
      </c>
      <c r="AO218" s="35">
        <f>VLOOKUP(Tabla44[[#This Row],[SERVICIO 2025]],$J$2:$V$15,8,0)*Tabla44[[#This Row],[TOTAL COBERTURA]]</f>
        <v>320100</v>
      </c>
      <c r="AP218" s="35">
        <f>VLOOKUP(Tabla44[[#This Row],[SERVICIO 2025]],$J$2:$V$15,3,0)*Tabla44[[#This Row],[TOTAL COBERTURA]]*8</f>
        <v>22667568</v>
      </c>
      <c r="AQ218" s="35"/>
      <c r="AR218" s="35">
        <f>SUM(Tabla44[[#This Row],[VALOR FASE PREPARATORIA DE ALISTAMIENTO]:[VALOR RACION PREPARADA]])</f>
        <v>23982123</v>
      </c>
      <c r="AS218" s="35" t="str">
        <f>+IF(Tabla44[[#This Row],[AGRUPACIONES]]=1,SUMIFS(Tabla44[VALOR TOTAL],Tabla44[ZONA DEFINITIVO],Tabla44[[#This Row],[ZONA DEFINITIVO]])," ")</f>
        <v xml:space="preserve"> </v>
      </c>
      <c r="AT218" s="35">
        <f>VLOOKUP(Tabla44[[#This Row],[SERVICIO 2025]],$J$2:$V$15,10,0)*Tabla44[[#This Row],[TOTAL COBERTURA]]*$X$7</f>
        <v>15873704</v>
      </c>
      <c r="AU218" s="39">
        <f>Tabla44[[#This Row],[TOTAL CONTRATO (ICBF+EAS)]]+Tabla44[[#This Row],[VALOR COMPONENTE ALIMENTACION NO ASIGNADO]]</f>
        <v>39855827</v>
      </c>
      <c r="AV21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218" s="35">
        <f>(VLOOKUP(Tabla44[[#This Row],[SERVICIO 2025]],$J$2:$V$15,3,0)*Tabla44[[#This Row],[TOTAL COBERTURA]])+VLOOKUP(Tabla44[[#This Row],[SERVICIO 2025]],$J$2:$V$15,10,0)*Tabla44[[#This Row],[TOTAL COBERTURA]]</f>
        <v>4817659</v>
      </c>
      <c r="AX218" s="35">
        <f>(VLOOKUP(Tabla44[[#This Row],[SERVICIO 2025]],$J$2:$V$15,3,0)*Tabla44[[#This Row],[TOTAL COBERTURA]])+VLOOKUP(Tabla44[[#This Row],[SERVICIO 2025]],$J$2:$V$15,10,0)*Tabla44[[#This Row],[TOTAL COBERTURA]]</f>
        <v>4817659</v>
      </c>
      <c r="AY218" s="35">
        <f>(VLOOKUP(Tabla44[[#This Row],[SERVICIO 2025]],$J$2:$V$15,3,0)*Tabla44[[#This Row],[TOTAL COBERTURA]])+VLOOKUP(Tabla44[[#This Row],[SERVICIO 2025]],$J$2:$V$15,10,0)*Tabla44[[#This Row],[TOTAL COBERTURA]]</f>
        <v>4817659</v>
      </c>
      <c r="AZ218" s="35">
        <f>(VLOOKUP(Tabla44[[#This Row],[SERVICIO 2025]],$J$2:$V$15,3,0)*Tabla44[[#This Row],[TOTAL COBERTURA]])+VLOOKUP(Tabla44[[#This Row],[SERVICIO 2025]],$J$2:$V$15,10,0)*Tabla44[[#This Row],[TOTAL COBERTURA]]</f>
        <v>4817659</v>
      </c>
      <c r="BA218" s="35">
        <f>(VLOOKUP(Tabla44[[#This Row],[SERVICIO 2025]],$J$2:$V$15,3,0)*Tabla44[[#This Row],[TOTAL COBERTURA]])+VLOOKUP(Tabla44[[#This Row],[SERVICIO 2025]],$J$2:$V$15,10,0)*Tabla44[[#This Row],[TOTAL COBERTURA]]</f>
        <v>4817659</v>
      </c>
      <c r="BB218" s="35">
        <f>(VLOOKUP(Tabla44[[#This Row],[SERVICIO 2025]],$J$2:$V$15,3,0)*Tabla44[[#This Row],[TOTAL COBERTURA]])+VLOOKUP(Tabla44[[#This Row],[SERVICIO 2025]],$J$2:$V$15,10,0)*Tabla44[[#This Row],[TOTAL COBERTURA]]</f>
        <v>4817659</v>
      </c>
      <c r="BC21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218" s="35">
        <f>SUM(Tabla44[[#This Row],[DESEMBOLSO 1]:[DESEMBOLSO 8]])</f>
        <v>39855827</v>
      </c>
      <c r="BE218" s="12" t="b">
        <f>EXACT(Tabla44[[#This Row],[VALOR ATENCIÓN (8 MESES)]],Tabla44[[#This Row],[VALOR TOTAL]])</f>
        <v>1</v>
      </c>
      <c r="BF218" s="23">
        <f>Tabla44[[#This Row],[VALOR ATENCIÓN (8 MESES)]]-Tabla44[[#This Row],[VALOR TOTAL]]</f>
        <v>0</v>
      </c>
      <c r="BG218" s="12" t="b">
        <f>EXACT(Tabla44[[#This Row],[TOTAL DESEMBOLSOS]],Tabla44[[#This Row],[VALOR TOTAL DEL CONTRATO INCLUIDO EL COMPONENTE DE ALIMENTACIÓN]])</f>
        <v>1</v>
      </c>
      <c r="BH218" s="29">
        <f>Tabla44[[#This Row],[TOTAL DESEMBOLSOS]]-Tabla44[[#This Row],[VALOR TOTAL DEL CONTRATO INCLUIDO EL COMPONENTE DE ALIMENTACIÓN]]</f>
        <v>0</v>
      </c>
      <c r="BI218" t="s">
        <v>98</v>
      </c>
    </row>
    <row r="219" spans="1:61">
      <c r="A219" s="13">
        <v>1992</v>
      </c>
      <c r="B219" s="13"/>
      <c r="C219" s="12" t="s">
        <v>87</v>
      </c>
      <c r="D219" s="12" t="s">
        <v>1534</v>
      </c>
      <c r="E219" s="12" t="s">
        <v>3223</v>
      </c>
      <c r="F219" s="12" t="s">
        <v>18</v>
      </c>
      <c r="G219" s="12" t="s">
        <v>90</v>
      </c>
      <c r="H219" s="12" t="s">
        <v>1578</v>
      </c>
      <c r="I219" s="36">
        <v>56561155945</v>
      </c>
      <c r="J219" s="12" t="s">
        <v>3240</v>
      </c>
      <c r="K219" s="12">
        <v>1</v>
      </c>
      <c r="L219" s="12">
        <v>11</v>
      </c>
      <c r="M219" s="12"/>
      <c r="N219" s="13">
        <v>1992</v>
      </c>
      <c r="O219" s="12" t="s">
        <v>2850</v>
      </c>
      <c r="P219" s="12"/>
      <c r="Q219" s="12"/>
      <c r="R219" s="12" t="s">
        <v>94</v>
      </c>
      <c r="S219" s="12">
        <v>10</v>
      </c>
      <c r="T219" s="12">
        <v>900325081</v>
      </c>
      <c r="U219" s="12" t="s">
        <v>167</v>
      </c>
      <c r="V219" s="12">
        <f>VLOOKUP(Tabla44[[#This Row],[ZONA DEFINITIVO]],[1]Hoja1!$A$1:$D$125,3,0)</f>
        <v>229939</v>
      </c>
      <c r="W219" s="12">
        <f>VLOOKUP(Tabla44[[#This Row],[ZONA DEFINITIVO]],[1]Hoja1!$A$1:$D$125,2,0)</f>
        <v>17257</v>
      </c>
      <c r="X219" s="12">
        <f>VLOOKUP(Tabla44[[#This Row],[ZONA DEFINITIVO]],[1]Hoja1!$A$1:$D$125,4,0)</f>
        <v>104325</v>
      </c>
      <c r="Y219" s="12" t="str">
        <f>+IF(Tabla44[[#This Row],[AGRUPACIONES]]=1,SUMIFS(Tabla44[UDS],Tabla44[ZONA DEFINITIVO],Tabla44[[#This Row],[ZONA DEFINITIVO]])," ")</f>
        <v xml:space="preserve"> </v>
      </c>
      <c r="Z219" s="12" t="str">
        <f>+IF(Tabla44[[#This Row],[AGRUPACIONES]]=1,SUMIFS(Tabla44[TOTAL COBERTURA],Tabla44[ZONA DEFINITIVO],Tabla44[[#This Row],[ZONA DEFINITIVO]])," ")</f>
        <v xml:space="preserve"> </v>
      </c>
      <c r="AA219" s="12"/>
      <c r="AB219" s="35">
        <v>23982123</v>
      </c>
      <c r="AC219" s="37">
        <v>0</v>
      </c>
      <c r="AD219" s="35">
        <f t="shared" si="4"/>
        <v>0</v>
      </c>
      <c r="AE219" s="12"/>
      <c r="AF219" s="12">
        <f>COUNTIF($A$20:A219,A219)</f>
        <v>31</v>
      </c>
      <c r="AG219" s="38">
        <v>23982123</v>
      </c>
      <c r="AH219" s="38">
        <f>Tabla44[[#This Row],[VALOR CONTRAPARTIDA]]+Tabla44[[#This Row],[TOTAL APORTES ICBF]]</f>
        <v>23982123</v>
      </c>
      <c r="AI219" s="35" t="str">
        <f>+IF(Tabla44[[#This Row],[AGRUPACIONES]]=1,SUMIFS(Tabla44[TOTAL APORTES ICBF],Tabla44[ZONA DEFINITIVO],Tabla44[[#This Row],[ZONA DEFINITIVO]])," ")</f>
        <v xml:space="preserve"> </v>
      </c>
      <c r="AJ219" s="38"/>
      <c r="AK219" s="38"/>
      <c r="AL219" s="35"/>
      <c r="AM219" s="35">
        <f>VLOOKUP(Tabla44[[#This Row],[SERVICIO 2025]],$J$2:$V$15,5,0)*Tabla44[[#This Row],[TOTAL COBERTURA]]</f>
        <v>543136</v>
      </c>
      <c r="AN219" s="35">
        <f>VLOOKUP(Tabla44[[#This Row],[SERVICIO 2025]],$J$2:$V$15,6,0)*Tabla44[[#This Row],[TOTAL COBERTURA]]</f>
        <v>451319</v>
      </c>
      <c r="AO219" s="35">
        <f>VLOOKUP(Tabla44[[#This Row],[SERVICIO 2025]],$J$2:$V$15,8,0)*Tabla44[[#This Row],[TOTAL COBERTURA]]</f>
        <v>320100</v>
      </c>
      <c r="AP219" s="35">
        <f>VLOOKUP(Tabla44[[#This Row],[SERVICIO 2025]],$J$2:$V$15,3,0)*Tabla44[[#This Row],[TOTAL COBERTURA]]*8</f>
        <v>22667568</v>
      </c>
      <c r="AQ219" s="35"/>
      <c r="AR219" s="35">
        <f>SUM(Tabla44[[#This Row],[VALOR FASE PREPARATORIA DE ALISTAMIENTO]:[VALOR RACION PREPARADA]])</f>
        <v>23982123</v>
      </c>
      <c r="AS219" s="35" t="str">
        <f>+IF(Tabla44[[#This Row],[AGRUPACIONES]]=1,SUMIFS(Tabla44[VALOR TOTAL],Tabla44[ZONA DEFINITIVO],Tabla44[[#This Row],[ZONA DEFINITIVO]])," ")</f>
        <v xml:space="preserve"> </v>
      </c>
      <c r="AT219" s="35">
        <f>VLOOKUP(Tabla44[[#This Row],[SERVICIO 2025]],$J$2:$V$15,10,0)*Tabla44[[#This Row],[TOTAL COBERTURA]]*$X$7</f>
        <v>15873704</v>
      </c>
      <c r="AU219" s="39">
        <f>Tabla44[[#This Row],[TOTAL CONTRATO (ICBF+EAS)]]+Tabla44[[#This Row],[VALOR COMPONENTE ALIMENTACION NO ASIGNADO]]</f>
        <v>39855827</v>
      </c>
      <c r="AV21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219" s="35">
        <f>(VLOOKUP(Tabla44[[#This Row],[SERVICIO 2025]],$J$2:$V$15,3,0)*Tabla44[[#This Row],[TOTAL COBERTURA]])+VLOOKUP(Tabla44[[#This Row],[SERVICIO 2025]],$J$2:$V$15,10,0)*Tabla44[[#This Row],[TOTAL COBERTURA]]</f>
        <v>4817659</v>
      </c>
      <c r="AX219" s="35">
        <f>(VLOOKUP(Tabla44[[#This Row],[SERVICIO 2025]],$J$2:$V$15,3,0)*Tabla44[[#This Row],[TOTAL COBERTURA]])+VLOOKUP(Tabla44[[#This Row],[SERVICIO 2025]],$J$2:$V$15,10,0)*Tabla44[[#This Row],[TOTAL COBERTURA]]</f>
        <v>4817659</v>
      </c>
      <c r="AY219" s="35">
        <f>(VLOOKUP(Tabla44[[#This Row],[SERVICIO 2025]],$J$2:$V$15,3,0)*Tabla44[[#This Row],[TOTAL COBERTURA]])+VLOOKUP(Tabla44[[#This Row],[SERVICIO 2025]],$J$2:$V$15,10,0)*Tabla44[[#This Row],[TOTAL COBERTURA]]</f>
        <v>4817659</v>
      </c>
      <c r="AZ219" s="35">
        <f>(VLOOKUP(Tabla44[[#This Row],[SERVICIO 2025]],$J$2:$V$15,3,0)*Tabla44[[#This Row],[TOTAL COBERTURA]])+VLOOKUP(Tabla44[[#This Row],[SERVICIO 2025]],$J$2:$V$15,10,0)*Tabla44[[#This Row],[TOTAL COBERTURA]]</f>
        <v>4817659</v>
      </c>
      <c r="BA219" s="35">
        <f>(VLOOKUP(Tabla44[[#This Row],[SERVICIO 2025]],$J$2:$V$15,3,0)*Tabla44[[#This Row],[TOTAL COBERTURA]])+VLOOKUP(Tabla44[[#This Row],[SERVICIO 2025]],$J$2:$V$15,10,0)*Tabla44[[#This Row],[TOTAL COBERTURA]]</f>
        <v>4817659</v>
      </c>
      <c r="BB219" s="35">
        <f>(VLOOKUP(Tabla44[[#This Row],[SERVICIO 2025]],$J$2:$V$15,3,0)*Tabla44[[#This Row],[TOTAL COBERTURA]])+VLOOKUP(Tabla44[[#This Row],[SERVICIO 2025]],$J$2:$V$15,10,0)*Tabla44[[#This Row],[TOTAL COBERTURA]]</f>
        <v>4817659</v>
      </c>
      <c r="BC21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219" s="35">
        <f>SUM(Tabla44[[#This Row],[DESEMBOLSO 1]:[DESEMBOLSO 8]])</f>
        <v>39855827</v>
      </c>
      <c r="BE219" s="12" t="b">
        <f>EXACT(Tabla44[[#This Row],[VALOR ATENCIÓN (8 MESES)]],Tabla44[[#This Row],[VALOR TOTAL]])</f>
        <v>1</v>
      </c>
      <c r="BF219" s="23">
        <f>Tabla44[[#This Row],[VALOR ATENCIÓN (8 MESES)]]-Tabla44[[#This Row],[VALOR TOTAL]]</f>
        <v>0</v>
      </c>
      <c r="BG219" s="12" t="b">
        <f>EXACT(Tabla44[[#This Row],[TOTAL DESEMBOLSOS]],Tabla44[[#This Row],[VALOR TOTAL DEL CONTRATO INCLUIDO EL COMPONENTE DE ALIMENTACIÓN]])</f>
        <v>1</v>
      </c>
      <c r="BH219" s="29">
        <f>Tabla44[[#This Row],[TOTAL DESEMBOLSOS]]-Tabla44[[#This Row],[VALOR TOTAL DEL CONTRATO INCLUIDO EL COMPONENTE DE ALIMENTACIÓN]]</f>
        <v>0</v>
      </c>
      <c r="BI219" t="s">
        <v>98</v>
      </c>
    </row>
    <row r="220" spans="1:61">
      <c r="A220" s="13">
        <v>1992</v>
      </c>
      <c r="B220" s="13"/>
      <c r="C220" s="12" t="s">
        <v>87</v>
      </c>
      <c r="D220" s="12" t="s">
        <v>1534</v>
      </c>
      <c r="E220" s="12" t="s">
        <v>3223</v>
      </c>
      <c r="F220" s="12" t="s">
        <v>22</v>
      </c>
      <c r="G220" s="12" t="s">
        <v>90</v>
      </c>
      <c r="H220" s="12" t="s">
        <v>3241</v>
      </c>
      <c r="I220" s="36">
        <v>565600025943</v>
      </c>
      <c r="J220" s="12" t="s">
        <v>3242</v>
      </c>
      <c r="K220" s="12">
        <v>1</v>
      </c>
      <c r="L220" s="12">
        <v>70</v>
      </c>
      <c r="M220" s="12"/>
      <c r="N220" s="13">
        <v>1992</v>
      </c>
      <c r="O220" s="12" t="s">
        <v>2850</v>
      </c>
      <c r="P220" s="12"/>
      <c r="Q220" s="12"/>
      <c r="R220" s="12" t="s">
        <v>94</v>
      </c>
      <c r="S220" s="12">
        <v>10</v>
      </c>
      <c r="T220" s="12">
        <v>900325081</v>
      </c>
      <c r="U220" s="12" t="s">
        <v>167</v>
      </c>
      <c r="V220" s="12">
        <f>VLOOKUP(Tabla44[[#This Row],[ZONA DEFINITIVO]],[1]Hoja1!$A$1:$D$125,3,0)</f>
        <v>229939</v>
      </c>
      <c r="W220" s="12">
        <f>VLOOKUP(Tabla44[[#This Row],[ZONA DEFINITIVO]],[1]Hoja1!$A$1:$D$125,2,0)</f>
        <v>17257</v>
      </c>
      <c r="X220" s="12">
        <f>VLOOKUP(Tabla44[[#This Row],[ZONA DEFINITIVO]],[1]Hoja1!$A$1:$D$125,4,0)</f>
        <v>104325</v>
      </c>
      <c r="Y220" s="12" t="str">
        <f>+IF(Tabla44[[#This Row],[AGRUPACIONES]]=1,SUMIFS(Tabla44[UDS],Tabla44[ZONA DEFINITIVO],Tabla44[[#This Row],[ZONA DEFINITIVO]])," ")</f>
        <v xml:space="preserve"> </v>
      </c>
      <c r="Z220" s="12" t="str">
        <f>+IF(Tabla44[[#This Row],[AGRUPACIONES]]=1,SUMIFS(Tabla44[TOTAL COBERTURA],Tabla44[ZONA DEFINITIVO],Tabla44[[#This Row],[ZONA DEFINITIVO]])," ")</f>
        <v xml:space="preserve"> </v>
      </c>
      <c r="AA220" s="12"/>
      <c r="AB220" s="35">
        <v>293219500</v>
      </c>
      <c r="AC220" s="37">
        <v>0</v>
      </c>
      <c r="AD220" s="35">
        <f t="shared" si="4"/>
        <v>0</v>
      </c>
      <c r="AE220" s="12"/>
      <c r="AF220" s="12">
        <f>COUNTIF($A$20:A220,A220)</f>
        <v>32</v>
      </c>
      <c r="AG220" s="38">
        <v>293219500</v>
      </c>
      <c r="AH220" s="38">
        <f>Tabla44[[#This Row],[VALOR CONTRAPARTIDA]]+Tabla44[[#This Row],[TOTAL APORTES ICBF]]</f>
        <v>293219500</v>
      </c>
      <c r="AI220" s="35" t="str">
        <f>+IF(Tabla44[[#This Row],[AGRUPACIONES]]=1,SUMIFS(Tabla44[TOTAL APORTES ICBF],Tabla44[ZONA DEFINITIVO],Tabla44[[#This Row],[ZONA DEFINITIVO]])," ")</f>
        <v xml:space="preserve"> </v>
      </c>
      <c r="AJ220" s="38"/>
      <c r="AK220" s="38"/>
      <c r="AL220" s="35"/>
      <c r="AM220" s="35">
        <f>VLOOKUP(Tabla44[[#This Row],[SERVICIO 2025]],$J$2:$V$15,5,0)*Tabla44[[#This Row],[TOTAL COBERTURA]]</f>
        <v>6170010</v>
      </c>
      <c r="AN220" s="35">
        <f>VLOOKUP(Tabla44[[#This Row],[SERVICIO 2025]],$J$2:$V$15,6,0)*Tabla44[[#This Row],[TOTAL COBERTURA]]</f>
        <v>5253010</v>
      </c>
      <c r="AO220" s="35">
        <f>VLOOKUP(Tabla44[[#This Row],[SERVICIO 2025]],$J$2:$V$15,8,0)*Tabla44[[#This Row],[TOTAL COBERTURA]]</f>
        <v>0</v>
      </c>
      <c r="AP220" s="35">
        <f>VLOOKUP(Tabla44[[#This Row],[SERVICIO 2025]],$J$2:$V$15,3,0)*Tabla44[[#This Row],[TOTAL COBERTURA]]*8</f>
        <v>281796480</v>
      </c>
      <c r="AQ220" s="35"/>
      <c r="AR220" s="35">
        <f>SUM(Tabla44[[#This Row],[VALOR FASE PREPARATORIA DE ALISTAMIENTO]:[VALOR RACION PREPARADA]])</f>
        <v>293219500</v>
      </c>
      <c r="AS220" s="35" t="str">
        <f>+IF(Tabla44[[#This Row],[AGRUPACIONES]]=1,SUMIFS(Tabla44[VALOR TOTAL],Tabla44[ZONA DEFINITIVO],Tabla44[[#This Row],[ZONA DEFINITIVO]])," ")</f>
        <v xml:space="preserve"> </v>
      </c>
      <c r="AT220" s="35">
        <f>VLOOKUP(Tabla44[[#This Row],[SERVICIO 2025]],$J$2:$V$15,10,0)*Tabla44[[#This Row],[TOTAL COBERTURA]]*$X$7</f>
        <v>0</v>
      </c>
      <c r="AU220" s="39">
        <f>Tabla44[[#This Row],[TOTAL CONTRATO (ICBF+EAS)]]+Tabla44[[#This Row],[VALOR COMPONENTE ALIMENTACION NO ASIGNADO]]</f>
        <v>293219500</v>
      </c>
      <c r="AV22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41394570</v>
      </c>
      <c r="AW220" s="35">
        <f>(VLOOKUP(Tabla44[[#This Row],[SERVICIO 2025]],$J$2:$V$15,3,0)*Tabla44[[#This Row],[TOTAL COBERTURA]])+VLOOKUP(Tabla44[[#This Row],[SERVICIO 2025]],$J$2:$V$15,10,0)*Tabla44[[#This Row],[TOTAL COBERTURA]]</f>
        <v>35224560</v>
      </c>
      <c r="AX220" s="35">
        <f>(VLOOKUP(Tabla44[[#This Row],[SERVICIO 2025]],$J$2:$V$15,3,0)*Tabla44[[#This Row],[TOTAL COBERTURA]])+VLOOKUP(Tabla44[[#This Row],[SERVICIO 2025]],$J$2:$V$15,10,0)*Tabla44[[#This Row],[TOTAL COBERTURA]]</f>
        <v>35224560</v>
      </c>
      <c r="AY220" s="35">
        <f>(VLOOKUP(Tabla44[[#This Row],[SERVICIO 2025]],$J$2:$V$15,3,0)*Tabla44[[#This Row],[TOTAL COBERTURA]])+VLOOKUP(Tabla44[[#This Row],[SERVICIO 2025]],$J$2:$V$15,10,0)*Tabla44[[#This Row],[TOTAL COBERTURA]]</f>
        <v>35224560</v>
      </c>
      <c r="AZ220" s="35">
        <f>(VLOOKUP(Tabla44[[#This Row],[SERVICIO 2025]],$J$2:$V$15,3,0)*Tabla44[[#This Row],[TOTAL COBERTURA]])+VLOOKUP(Tabla44[[#This Row],[SERVICIO 2025]],$J$2:$V$15,10,0)*Tabla44[[#This Row],[TOTAL COBERTURA]]</f>
        <v>35224560</v>
      </c>
      <c r="BA220" s="35">
        <f>(VLOOKUP(Tabla44[[#This Row],[SERVICIO 2025]],$J$2:$V$15,3,0)*Tabla44[[#This Row],[TOTAL COBERTURA]])+VLOOKUP(Tabla44[[#This Row],[SERVICIO 2025]],$J$2:$V$15,10,0)*Tabla44[[#This Row],[TOTAL COBERTURA]]</f>
        <v>35224560</v>
      </c>
      <c r="BB220" s="35">
        <f>(VLOOKUP(Tabla44[[#This Row],[SERVICIO 2025]],$J$2:$V$15,3,0)*Tabla44[[#This Row],[TOTAL COBERTURA]])+VLOOKUP(Tabla44[[#This Row],[SERVICIO 2025]],$J$2:$V$15,10,0)*Tabla44[[#This Row],[TOTAL COBERTURA]]</f>
        <v>35224560</v>
      </c>
      <c r="BC22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40477570</v>
      </c>
      <c r="BD220" s="35">
        <f>SUM(Tabla44[[#This Row],[DESEMBOLSO 1]:[DESEMBOLSO 8]])</f>
        <v>293219500</v>
      </c>
      <c r="BE220" s="12" t="b">
        <f>EXACT(Tabla44[[#This Row],[VALOR ATENCIÓN (8 MESES)]],Tabla44[[#This Row],[VALOR TOTAL]])</f>
        <v>1</v>
      </c>
      <c r="BF220" s="23">
        <f>Tabla44[[#This Row],[VALOR ATENCIÓN (8 MESES)]]-Tabla44[[#This Row],[VALOR TOTAL]]</f>
        <v>0</v>
      </c>
      <c r="BG220" s="12" t="b">
        <f>EXACT(Tabla44[[#This Row],[TOTAL DESEMBOLSOS]],Tabla44[[#This Row],[VALOR TOTAL DEL CONTRATO INCLUIDO EL COMPONENTE DE ALIMENTACIÓN]])</f>
        <v>1</v>
      </c>
      <c r="BH220" s="29">
        <f>Tabla44[[#This Row],[TOTAL DESEMBOLSOS]]-Tabla44[[#This Row],[VALOR TOTAL DEL CONTRATO INCLUIDO EL COMPONENTE DE ALIMENTACIÓN]]</f>
        <v>0</v>
      </c>
      <c r="BI220" t="s">
        <v>98</v>
      </c>
    </row>
    <row r="221" spans="1:61">
      <c r="A221" s="13">
        <v>1992</v>
      </c>
      <c r="B221" s="13"/>
      <c r="C221" s="12" t="s">
        <v>87</v>
      </c>
      <c r="D221" s="12" t="s">
        <v>1534</v>
      </c>
      <c r="E221" s="12" t="s">
        <v>3223</v>
      </c>
      <c r="F221" s="12" t="s">
        <v>15</v>
      </c>
      <c r="G221" s="12" t="s">
        <v>90</v>
      </c>
      <c r="H221" s="12" t="s">
        <v>3243</v>
      </c>
      <c r="I221" s="36">
        <v>565600077004</v>
      </c>
      <c r="J221" s="12" t="s">
        <v>3244</v>
      </c>
      <c r="K221" s="12">
        <v>1</v>
      </c>
      <c r="L221" s="12">
        <v>126</v>
      </c>
      <c r="M221" s="12"/>
      <c r="N221" s="13">
        <v>1992</v>
      </c>
      <c r="O221" s="12" t="s">
        <v>2850</v>
      </c>
      <c r="P221" s="12"/>
      <c r="Q221" s="12"/>
      <c r="R221" s="12" t="s">
        <v>94</v>
      </c>
      <c r="S221" s="12">
        <v>10</v>
      </c>
      <c r="T221" s="12">
        <v>900325081</v>
      </c>
      <c r="U221" s="12" t="s">
        <v>167</v>
      </c>
      <c r="V221" s="12">
        <f>VLOOKUP(Tabla44[[#This Row],[ZONA DEFINITIVO]],[1]Hoja1!$A$1:$D$125,3,0)</f>
        <v>229939</v>
      </c>
      <c r="W221" s="12">
        <f>VLOOKUP(Tabla44[[#This Row],[ZONA DEFINITIVO]],[1]Hoja1!$A$1:$D$125,2,0)</f>
        <v>17257</v>
      </c>
      <c r="X221" s="12">
        <f>VLOOKUP(Tabla44[[#This Row],[ZONA DEFINITIVO]],[1]Hoja1!$A$1:$D$125,4,0)</f>
        <v>104325</v>
      </c>
      <c r="Y221" s="12" t="str">
        <f>+IF(Tabla44[[#This Row],[AGRUPACIONES]]=1,SUMIFS(Tabla44[UDS],Tabla44[ZONA DEFINITIVO],Tabla44[[#This Row],[ZONA DEFINITIVO]])," ")</f>
        <v xml:space="preserve"> </v>
      </c>
      <c r="Z221" s="12" t="str">
        <f>+IF(Tabla44[[#This Row],[AGRUPACIONES]]=1,SUMIFS(Tabla44[TOTAL COBERTURA],Tabla44[ZONA DEFINITIVO],Tabla44[[#This Row],[ZONA DEFINITIVO]])," ")</f>
        <v xml:space="preserve"> </v>
      </c>
      <c r="AA221" s="12"/>
      <c r="AB221" s="35">
        <v>545504652</v>
      </c>
      <c r="AC221" s="37">
        <v>0</v>
      </c>
      <c r="AD221" s="35">
        <f t="shared" si="4"/>
        <v>0</v>
      </c>
      <c r="AE221" s="12"/>
      <c r="AF221" s="12">
        <f>COUNTIF($A$20:A221,A221)</f>
        <v>33</v>
      </c>
      <c r="AG221" s="38">
        <v>545504652</v>
      </c>
      <c r="AH221" s="38">
        <f>Tabla44[[#This Row],[VALOR CONTRAPARTIDA]]+Tabla44[[#This Row],[TOTAL APORTES ICBF]]</f>
        <v>545504652</v>
      </c>
      <c r="AI221" s="35" t="str">
        <f>+IF(Tabla44[[#This Row],[AGRUPACIONES]]=1,SUMIFS(Tabla44[TOTAL APORTES ICBF],Tabla44[ZONA DEFINITIVO],Tabla44[[#This Row],[ZONA DEFINITIVO]])," ")</f>
        <v xml:space="preserve"> </v>
      </c>
      <c r="AJ221" s="38"/>
      <c r="AK221" s="38"/>
      <c r="AL221" s="35"/>
      <c r="AM221" s="35">
        <f>VLOOKUP(Tabla44[[#This Row],[SERVICIO 2025]],$J$2:$V$15,5,0)*Tabla44[[#This Row],[TOTAL COBERTURA]]</f>
        <v>11106018</v>
      </c>
      <c r="AN221" s="35">
        <f>VLOOKUP(Tabla44[[#This Row],[SERVICIO 2025]],$J$2:$V$15,6,0)*Tabla44[[#This Row],[TOTAL COBERTURA]]</f>
        <v>9455418</v>
      </c>
      <c r="AO221" s="35">
        <f>VLOOKUP(Tabla44[[#This Row],[SERVICIO 2025]],$J$2:$V$15,8,0)*Tabla44[[#This Row],[TOTAL COBERTURA]]</f>
        <v>0</v>
      </c>
      <c r="AP221" s="35">
        <f>VLOOKUP(Tabla44[[#This Row],[SERVICIO 2025]],$J$2:$V$15,3,0)*Tabla44[[#This Row],[TOTAL COBERTURA]]*8</f>
        <v>524943216</v>
      </c>
      <c r="AQ221" s="35"/>
      <c r="AR221" s="35">
        <f>SUM(Tabla44[[#This Row],[VALOR FASE PREPARATORIA DE ALISTAMIENTO]:[VALOR RACION PREPARADA]])</f>
        <v>545504652</v>
      </c>
      <c r="AS221" s="35" t="str">
        <f>+IF(Tabla44[[#This Row],[AGRUPACIONES]]=1,SUMIFS(Tabla44[VALOR TOTAL],Tabla44[ZONA DEFINITIVO],Tabla44[[#This Row],[ZONA DEFINITIVO]])," ")</f>
        <v xml:space="preserve"> </v>
      </c>
      <c r="AT221" s="35">
        <f>VLOOKUP(Tabla44[[#This Row],[SERVICIO 2025]],$J$2:$V$15,10,0)*Tabla44[[#This Row],[TOTAL COBERTURA]]*$X$7</f>
        <v>0</v>
      </c>
      <c r="AU221" s="39">
        <f>Tabla44[[#This Row],[TOTAL CONTRATO (ICBF+EAS)]]+Tabla44[[#This Row],[VALOR COMPONENTE ALIMENTACION NO ASIGNADO]]</f>
        <v>545504652</v>
      </c>
      <c r="AV22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76723920</v>
      </c>
      <c r="AW221" s="35">
        <f>(VLOOKUP(Tabla44[[#This Row],[SERVICIO 2025]],$J$2:$V$15,3,0)*Tabla44[[#This Row],[TOTAL COBERTURA]])+VLOOKUP(Tabla44[[#This Row],[SERVICIO 2025]],$J$2:$V$15,10,0)*Tabla44[[#This Row],[TOTAL COBERTURA]]</f>
        <v>65617902</v>
      </c>
      <c r="AX221" s="35">
        <f>(VLOOKUP(Tabla44[[#This Row],[SERVICIO 2025]],$J$2:$V$15,3,0)*Tabla44[[#This Row],[TOTAL COBERTURA]])+VLOOKUP(Tabla44[[#This Row],[SERVICIO 2025]],$J$2:$V$15,10,0)*Tabla44[[#This Row],[TOTAL COBERTURA]]</f>
        <v>65617902</v>
      </c>
      <c r="AY221" s="35">
        <f>(VLOOKUP(Tabla44[[#This Row],[SERVICIO 2025]],$J$2:$V$15,3,0)*Tabla44[[#This Row],[TOTAL COBERTURA]])+VLOOKUP(Tabla44[[#This Row],[SERVICIO 2025]],$J$2:$V$15,10,0)*Tabla44[[#This Row],[TOTAL COBERTURA]]</f>
        <v>65617902</v>
      </c>
      <c r="AZ221" s="35">
        <f>(VLOOKUP(Tabla44[[#This Row],[SERVICIO 2025]],$J$2:$V$15,3,0)*Tabla44[[#This Row],[TOTAL COBERTURA]])+VLOOKUP(Tabla44[[#This Row],[SERVICIO 2025]],$J$2:$V$15,10,0)*Tabla44[[#This Row],[TOTAL COBERTURA]]</f>
        <v>65617902</v>
      </c>
      <c r="BA221" s="35">
        <f>(VLOOKUP(Tabla44[[#This Row],[SERVICIO 2025]],$J$2:$V$15,3,0)*Tabla44[[#This Row],[TOTAL COBERTURA]])+VLOOKUP(Tabla44[[#This Row],[SERVICIO 2025]],$J$2:$V$15,10,0)*Tabla44[[#This Row],[TOTAL COBERTURA]]</f>
        <v>65617902</v>
      </c>
      <c r="BB221" s="35">
        <f>(VLOOKUP(Tabla44[[#This Row],[SERVICIO 2025]],$J$2:$V$15,3,0)*Tabla44[[#This Row],[TOTAL COBERTURA]])+VLOOKUP(Tabla44[[#This Row],[SERVICIO 2025]],$J$2:$V$15,10,0)*Tabla44[[#This Row],[TOTAL COBERTURA]]</f>
        <v>65617902</v>
      </c>
      <c r="BC22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75073320</v>
      </c>
      <c r="BD221" s="35">
        <f>SUM(Tabla44[[#This Row],[DESEMBOLSO 1]:[DESEMBOLSO 8]])</f>
        <v>545504652</v>
      </c>
      <c r="BE221" s="12" t="b">
        <f>EXACT(Tabla44[[#This Row],[VALOR ATENCIÓN (8 MESES)]],Tabla44[[#This Row],[VALOR TOTAL]])</f>
        <v>1</v>
      </c>
      <c r="BF221" s="23">
        <f>Tabla44[[#This Row],[VALOR ATENCIÓN (8 MESES)]]-Tabla44[[#This Row],[VALOR TOTAL]]</f>
        <v>0</v>
      </c>
      <c r="BG221" s="12" t="b">
        <f>EXACT(Tabla44[[#This Row],[TOTAL DESEMBOLSOS]],Tabla44[[#This Row],[VALOR TOTAL DEL CONTRATO INCLUIDO EL COMPONENTE DE ALIMENTACIÓN]])</f>
        <v>1</v>
      </c>
      <c r="BH221" s="29">
        <f>Tabla44[[#This Row],[TOTAL DESEMBOLSOS]]-Tabla44[[#This Row],[VALOR TOTAL DEL CONTRATO INCLUIDO EL COMPONENTE DE ALIMENTACIÓN]]</f>
        <v>0</v>
      </c>
      <c r="BI221" t="s">
        <v>98</v>
      </c>
    </row>
    <row r="222" spans="1:61">
      <c r="A222" s="13">
        <v>1993</v>
      </c>
      <c r="B222" s="13"/>
      <c r="C222" s="12" t="s">
        <v>87</v>
      </c>
      <c r="D222" s="12" t="s">
        <v>1628</v>
      </c>
      <c r="E222" s="12" t="s">
        <v>3245</v>
      </c>
      <c r="F222" s="12" t="s">
        <v>14</v>
      </c>
      <c r="G222" s="12" t="s">
        <v>90</v>
      </c>
      <c r="H222" s="12" t="s">
        <v>3246</v>
      </c>
      <c r="I222" s="36">
        <v>515000102604</v>
      </c>
      <c r="J222" s="12" t="s">
        <v>537</v>
      </c>
      <c r="K222" s="12">
        <v>1</v>
      </c>
      <c r="L222" s="12">
        <v>30</v>
      </c>
      <c r="M222" s="12"/>
      <c r="N222" s="13">
        <v>1993</v>
      </c>
      <c r="O222" s="12" t="s">
        <v>2850</v>
      </c>
      <c r="P222" s="12"/>
      <c r="Q222" s="12"/>
      <c r="R222" s="12" t="s">
        <v>94</v>
      </c>
      <c r="S222" s="12">
        <v>10</v>
      </c>
      <c r="T222" s="12">
        <v>818001449</v>
      </c>
      <c r="U222" s="12" t="s">
        <v>3247</v>
      </c>
      <c r="V222" s="12">
        <f>VLOOKUP(Tabla44[[#This Row],[ZONA DEFINITIVO]],[1]Hoja1!$A$1:$D$125,3,0)</f>
        <v>229940</v>
      </c>
      <c r="W222" s="12">
        <f>VLOOKUP(Tabla44[[#This Row],[ZONA DEFINITIVO]],[1]Hoja1!$A$1:$D$125,2,0)</f>
        <v>17259</v>
      </c>
      <c r="X222" s="12">
        <f>VLOOKUP(Tabla44[[#This Row],[ZONA DEFINITIVO]],[1]Hoja1!$A$1:$D$125,4,0)</f>
        <v>104625</v>
      </c>
      <c r="Y222" s="12">
        <f>+IF(Tabla44[[#This Row],[AGRUPACIONES]]=1,SUMIFS(Tabla44[UDS],Tabla44[ZONA DEFINITIVO],Tabla44[[#This Row],[ZONA DEFINITIVO]])," ")</f>
        <v>80</v>
      </c>
      <c r="Z222" s="12">
        <f>+IF(Tabla44[[#This Row],[AGRUPACIONES]]=1,SUMIFS(Tabla44[TOTAL COBERTURA],Tabla44[ZONA DEFINITIVO],Tabla44[[#This Row],[ZONA DEFINITIVO]])," ")</f>
        <v>1575</v>
      </c>
      <c r="AA222" s="12"/>
      <c r="AB222" s="35">
        <v>125665500</v>
      </c>
      <c r="AC222" s="37">
        <v>0</v>
      </c>
      <c r="AD222" s="35">
        <f t="shared" si="4"/>
        <v>0</v>
      </c>
      <c r="AE222" s="12"/>
      <c r="AF222" s="12">
        <f>COUNTIF($A$20:A222,A222)</f>
        <v>1</v>
      </c>
      <c r="AG222" s="38">
        <v>125665500</v>
      </c>
      <c r="AH222" s="38">
        <f>Tabla44[[#This Row],[VALOR CONTRAPARTIDA]]+Tabla44[[#This Row],[TOTAL APORTES ICBF]]</f>
        <v>125665500</v>
      </c>
      <c r="AI222" s="35">
        <f>+IF(Tabla44[[#This Row],[AGRUPACIONES]]=1,SUMIFS(Tabla44[TOTAL APORTES ICBF],Tabla44[ZONA DEFINITIVO],Tabla44[[#This Row],[ZONA DEFINITIVO]])," ")</f>
        <v>3882693829</v>
      </c>
      <c r="AJ222" s="38">
        <f>ROUND(+IF(Tabla44[[#This Row],[AGRUPACIONES]]=1,SUMIFS(Tabla44[VALOR CONTRAPARTIDA],Tabla44[ZONA DEFINITIVO],Tabla44[[#This Row],[ZONA DEFINITIVO]])," "),0)</f>
        <v>0</v>
      </c>
      <c r="AK222" s="38">
        <f>Tabla44[[#This Row],[TOTAL APORTES ICBF AGRUPADO]]+Tabla44[[#This Row],[TOTAL CONTRAPARTIDA AGRUPADO]]</f>
        <v>3882693829</v>
      </c>
      <c r="AL222" s="35">
        <f>Tabla44[[#This Row],[TOTAL APORTES ICBF AGRUPADO]]/$AL$18</f>
        <v>2727.5685486476991</v>
      </c>
      <c r="AM222" s="35">
        <f>VLOOKUP(Tabla44[[#This Row],[SERVICIO 2025]],$J$2:$V$15,5,0)*Tabla44[[#This Row],[TOTAL COBERTURA]]</f>
        <v>2644290</v>
      </c>
      <c r="AN222" s="35">
        <f>VLOOKUP(Tabla44[[#This Row],[SERVICIO 2025]],$J$2:$V$15,6,0)*Tabla44[[#This Row],[TOTAL COBERTURA]]</f>
        <v>2251290</v>
      </c>
      <c r="AO222" s="35">
        <f>VLOOKUP(Tabla44[[#This Row],[SERVICIO 2025]],$J$2:$V$15,8,0)*Tabla44[[#This Row],[TOTAL COBERTURA]]</f>
        <v>0</v>
      </c>
      <c r="AP222" s="35">
        <f>VLOOKUP(Tabla44[[#This Row],[SERVICIO 2025]],$J$2:$V$15,3,0)*Tabla44[[#This Row],[TOTAL COBERTURA]]*8</f>
        <v>120769920</v>
      </c>
      <c r="AQ222" s="35"/>
      <c r="AR222" s="35">
        <f>SUM(Tabla44[[#This Row],[VALOR FASE PREPARATORIA DE ALISTAMIENTO]:[VALOR RACION PREPARADA]])</f>
        <v>125665500</v>
      </c>
      <c r="AS222" s="35">
        <f>+IF(Tabla44[[#This Row],[AGRUPACIONES]]=1,SUMIFS(Tabla44[VALOR TOTAL],Tabla44[ZONA DEFINITIVO],Tabla44[[#This Row],[ZONA DEFINITIVO]])," ")</f>
        <v>3882693829</v>
      </c>
      <c r="AT222" s="35">
        <f>VLOOKUP(Tabla44[[#This Row],[SERVICIO 2025]],$J$2:$V$15,10,0)*Tabla44[[#This Row],[TOTAL COBERTURA]]*$X$7</f>
        <v>0</v>
      </c>
      <c r="AU222" s="39">
        <f>Tabla44[[#This Row],[TOTAL CONTRATO (ICBF+EAS)]]+Tabla44[[#This Row],[VALOR COMPONENTE ALIMENTACION NO ASIGNADO]]</f>
        <v>125665500</v>
      </c>
      <c r="AV22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17740530</v>
      </c>
      <c r="AW222" s="35">
        <f>(VLOOKUP(Tabla44[[#This Row],[SERVICIO 2025]],$J$2:$V$15,3,0)*Tabla44[[#This Row],[TOTAL COBERTURA]])+VLOOKUP(Tabla44[[#This Row],[SERVICIO 2025]],$J$2:$V$15,10,0)*Tabla44[[#This Row],[TOTAL COBERTURA]]</f>
        <v>15096240</v>
      </c>
      <c r="AX222" s="35">
        <f>(VLOOKUP(Tabla44[[#This Row],[SERVICIO 2025]],$J$2:$V$15,3,0)*Tabla44[[#This Row],[TOTAL COBERTURA]])+VLOOKUP(Tabla44[[#This Row],[SERVICIO 2025]],$J$2:$V$15,10,0)*Tabla44[[#This Row],[TOTAL COBERTURA]]</f>
        <v>15096240</v>
      </c>
      <c r="AY222" s="35">
        <f>(VLOOKUP(Tabla44[[#This Row],[SERVICIO 2025]],$J$2:$V$15,3,0)*Tabla44[[#This Row],[TOTAL COBERTURA]])+VLOOKUP(Tabla44[[#This Row],[SERVICIO 2025]],$J$2:$V$15,10,0)*Tabla44[[#This Row],[TOTAL COBERTURA]]</f>
        <v>15096240</v>
      </c>
      <c r="AZ222" s="35">
        <f>(VLOOKUP(Tabla44[[#This Row],[SERVICIO 2025]],$J$2:$V$15,3,0)*Tabla44[[#This Row],[TOTAL COBERTURA]])+VLOOKUP(Tabla44[[#This Row],[SERVICIO 2025]],$J$2:$V$15,10,0)*Tabla44[[#This Row],[TOTAL COBERTURA]]</f>
        <v>15096240</v>
      </c>
      <c r="BA222" s="35">
        <f>(VLOOKUP(Tabla44[[#This Row],[SERVICIO 2025]],$J$2:$V$15,3,0)*Tabla44[[#This Row],[TOTAL COBERTURA]])+VLOOKUP(Tabla44[[#This Row],[SERVICIO 2025]],$J$2:$V$15,10,0)*Tabla44[[#This Row],[TOTAL COBERTURA]]</f>
        <v>15096240</v>
      </c>
      <c r="BB222" s="35">
        <f>(VLOOKUP(Tabla44[[#This Row],[SERVICIO 2025]],$J$2:$V$15,3,0)*Tabla44[[#This Row],[TOTAL COBERTURA]])+VLOOKUP(Tabla44[[#This Row],[SERVICIO 2025]],$J$2:$V$15,10,0)*Tabla44[[#This Row],[TOTAL COBERTURA]]</f>
        <v>15096240</v>
      </c>
      <c r="BC22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17347530</v>
      </c>
      <c r="BD222" s="35">
        <f>SUM(Tabla44[[#This Row],[DESEMBOLSO 1]:[DESEMBOLSO 8]])</f>
        <v>125665500</v>
      </c>
      <c r="BE222" s="12" t="b">
        <f>EXACT(Tabla44[[#This Row],[VALOR ATENCIÓN (8 MESES)]],Tabla44[[#This Row],[VALOR TOTAL]])</f>
        <v>1</v>
      </c>
      <c r="BF222" s="23">
        <f>Tabla44[[#This Row],[VALOR ATENCIÓN (8 MESES)]]-Tabla44[[#This Row],[VALOR TOTAL]]</f>
        <v>0</v>
      </c>
      <c r="BG222" s="12" t="b">
        <f>EXACT(Tabla44[[#This Row],[TOTAL DESEMBOLSOS]],Tabla44[[#This Row],[VALOR TOTAL DEL CONTRATO INCLUIDO EL COMPONENTE DE ALIMENTACIÓN]])</f>
        <v>1</v>
      </c>
      <c r="BH222" s="29">
        <f>Tabla44[[#This Row],[TOTAL DESEMBOLSOS]]-Tabla44[[#This Row],[VALOR TOTAL DEL CONTRATO INCLUIDO EL COMPONENTE DE ALIMENTACIÓN]]</f>
        <v>0</v>
      </c>
      <c r="BI222" t="s">
        <v>98</v>
      </c>
    </row>
    <row r="223" spans="1:61">
      <c r="A223" s="13">
        <v>1993</v>
      </c>
      <c r="B223" s="13"/>
      <c r="C223" s="12" t="s">
        <v>87</v>
      </c>
      <c r="D223" s="12" t="s">
        <v>1628</v>
      </c>
      <c r="E223" s="12" t="s">
        <v>3248</v>
      </c>
      <c r="F223" s="12" t="s">
        <v>21</v>
      </c>
      <c r="G223" s="12" t="s">
        <v>90</v>
      </c>
      <c r="H223" s="12" t="s">
        <v>3249</v>
      </c>
      <c r="I223" s="36">
        <v>53101119048</v>
      </c>
      <c r="J223" s="12" t="s">
        <v>3250</v>
      </c>
      <c r="K223" s="12">
        <v>1</v>
      </c>
      <c r="L223" s="12">
        <v>10</v>
      </c>
      <c r="M223" s="12"/>
      <c r="N223" s="13">
        <v>1993</v>
      </c>
      <c r="O223" s="12" t="s">
        <v>2850</v>
      </c>
      <c r="P223" s="12"/>
      <c r="Q223" s="12"/>
      <c r="R223" s="12" t="s">
        <v>94</v>
      </c>
      <c r="S223" s="12">
        <v>10</v>
      </c>
      <c r="T223" s="12">
        <v>818001449</v>
      </c>
      <c r="U223" s="12" t="s">
        <v>3247</v>
      </c>
      <c r="V223" s="12">
        <f>VLOOKUP(Tabla44[[#This Row],[ZONA DEFINITIVO]],[1]Hoja1!$A$1:$D$125,3,0)</f>
        <v>229940</v>
      </c>
      <c r="W223" s="12">
        <f>VLOOKUP(Tabla44[[#This Row],[ZONA DEFINITIVO]],[1]Hoja1!$A$1:$D$125,2,0)</f>
        <v>17259</v>
      </c>
      <c r="X223" s="12">
        <f>VLOOKUP(Tabla44[[#This Row],[ZONA DEFINITIVO]],[1]Hoja1!$A$1:$D$125,4,0)</f>
        <v>104625</v>
      </c>
      <c r="Y223" s="12" t="str">
        <f>+IF(Tabla44[[#This Row],[AGRUPACIONES]]=1,SUMIFS(Tabla44[UDS],Tabla44[ZONA DEFINITIVO],Tabla44[[#This Row],[ZONA DEFINITIVO]])," ")</f>
        <v xml:space="preserve"> </v>
      </c>
      <c r="Z223" s="12" t="str">
        <f>+IF(Tabla44[[#This Row],[AGRUPACIONES]]=1,SUMIFS(Tabla44[TOTAL COBERTURA],Tabla44[ZONA DEFINITIVO],Tabla44[[#This Row],[ZONA DEFINITIVO]])," ")</f>
        <v xml:space="preserve"> </v>
      </c>
      <c r="AA223" s="12"/>
      <c r="AB223" s="35">
        <v>15193050</v>
      </c>
      <c r="AC223" s="37">
        <v>0</v>
      </c>
      <c r="AD223" s="35">
        <f t="shared" si="4"/>
        <v>0</v>
      </c>
      <c r="AE223" s="12"/>
      <c r="AF223" s="12">
        <f>COUNTIF($A$20:A223,A223)</f>
        <v>2</v>
      </c>
      <c r="AG223" s="38">
        <v>15193050</v>
      </c>
      <c r="AH223" s="38">
        <f>Tabla44[[#This Row],[VALOR CONTRAPARTIDA]]+Tabla44[[#This Row],[TOTAL APORTES ICBF]]</f>
        <v>15193050</v>
      </c>
      <c r="AI223" s="35" t="str">
        <f>+IF(Tabla44[[#This Row],[AGRUPACIONES]]=1,SUMIFS(Tabla44[TOTAL APORTES ICBF],Tabla44[ZONA DEFINITIVO],Tabla44[[#This Row],[ZONA DEFINITIVO]])," ")</f>
        <v xml:space="preserve"> </v>
      </c>
      <c r="AJ223" s="38"/>
      <c r="AK223" s="38"/>
      <c r="AL223" s="35"/>
      <c r="AM223" s="35">
        <f>VLOOKUP(Tabla44[[#This Row],[SERVICIO 2025]],$J$2:$V$15,5,0)*Tabla44[[#This Row],[TOTAL COBERTURA]]</f>
        <v>467440</v>
      </c>
      <c r="AN223" s="35">
        <f>VLOOKUP(Tabla44[[#This Row],[SERVICIO 2025]],$J$2:$V$15,6,0)*Tabla44[[#This Row],[TOTAL COBERTURA]]</f>
        <v>378410</v>
      </c>
      <c r="AO223" s="35">
        <f>VLOOKUP(Tabla44[[#This Row],[SERVICIO 2025]],$J$2:$V$15,8,0)*Tabla44[[#This Row],[TOTAL COBERTURA]]</f>
        <v>0</v>
      </c>
      <c r="AP223" s="35">
        <f>VLOOKUP(Tabla44[[#This Row],[SERVICIO 2025]],$J$2:$V$15,3,0)*Tabla44[[#This Row],[TOTAL COBERTURA]]*8</f>
        <v>14347200</v>
      </c>
      <c r="AQ223" s="35"/>
      <c r="AR223" s="35">
        <f>SUM(Tabla44[[#This Row],[VALOR FASE PREPARATORIA DE ALISTAMIENTO]:[VALOR RACION PREPARADA]])</f>
        <v>15193050</v>
      </c>
      <c r="AS223" s="35" t="str">
        <f>+IF(Tabla44[[#This Row],[AGRUPACIONES]]=1,SUMIFS(Tabla44[VALOR TOTAL],Tabla44[ZONA DEFINITIVO],Tabla44[[#This Row],[ZONA DEFINITIVO]])," ")</f>
        <v xml:space="preserve"> </v>
      </c>
      <c r="AT223" s="35">
        <f>VLOOKUP(Tabla44[[#This Row],[SERVICIO 2025]],$J$2:$V$15,10,0)*Tabla44[[#This Row],[TOTAL COBERTURA]]*$X$7</f>
        <v>15065680</v>
      </c>
      <c r="AU223" s="39">
        <f>Tabla44[[#This Row],[TOTAL CONTRATO (ICBF+EAS)]]+Tabla44[[#This Row],[VALOR COMPONENTE ALIMENTACION NO ASIGNADO]]</f>
        <v>30258730</v>
      </c>
      <c r="AV22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4144050</v>
      </c>
      <c r="AW223" s="35">
        <f>(VLOOKUP(Tabla44[[#This Row],[SERVICIO 2025]],$J$2:$V$15,3,0)*Tabla44[[#This Row],[TOTAL COBERTURA]])+VLOOKUP(Tabla44[[#This Row],[SERVICIO 2025]],$J$2:$V$15,10,0)*Tabla44[[#This Row],[TOTAL COBERTURA]]</f>
        <v>3676610</v>
      </c>
      <c r="AX223" s="35">
        <f>(VLOOKUP(Tabla44[[#This Row],[SERVICIO 2025]],$J$2:$V$15,3,0)*Tabla44[[#This Row],[TOTAL COBERTURA]])+VLOOKUP(Tabla44[[#This Row],[SERVICIO 2025]],$J$2:$V$15,10,0)*Tabla44[[#This Row],[TOTAL COBERTURA]]</f>
        <v>3676610</v>
      </c>
      <c r="AY223" s="35">
        <f>(VLOOKUP(Tabla44[[#This Row],[SERVICIO 2025]],$J$2:$V$15,3,0)*Tabla44[[#This Row],[TOTAL COBERTURA]])+VLOOKUP(Tabla44[[#This Row],[SERVICIO 2025]],$J$2:$V$15,10,0)*Tabla44[[#This Row],[TOTAL COBERTURA]]</f>
        <v>3676610</v>
      </c>
      <c r="AZ223" s="35">
        <f>(VLOOKUP(Tabla44[[#This Row],[SERVICIO 2025]],$J$2:$V$15,3,0)*Tabla44[[#This Row],[TOTAL COBERTURA]])+VLOOKUP(Tabla44[[#This Row],[SERVICIO 2025]],$J$2:$V$15,10,0)*Tabla44[[#This Row],[TOTAL COBERTURA]]</f>
        <v>3676610</v>
      </c>
      <c r="BA223" s="35">
        <f>(VLOOKUP(Tabla44[[#This Row],[SERVICIO 2025]],$J$2:$V$15,3,0)*Tabla44[[#This Row],[TOTAL COBERTURA]])+VLOOKUP(Tabla44[[#This Row],[SERVICIO 2025]],$J$2:$V$15,10,0)*Tabla44[[#This Row],[TOTAL COBERTURA]]</f>
        <v>3676610</v>
      </c>
      <c r="BB223" s="35">
        <f>(VLOOKUP(Tabla44[[#This Row],[SERVICIO 2025]],$J$2:$V$15,3,0)*Tabla44[[#This Row],[TOTAL COBERTURA]])+VLOOKUP(Tabla44[[#This Row],[SERVICIO 2025]],$J$2:$V$15,10,0)*Tabla44[[#This Row],[TOTAL COBERTURA]]</f>
        <v>3676610</v>
      </c>
      <c r="BC22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4055020</v>
      </c>
      <c r="BD223" s="35">
        <f>SUM(Tabla44[[#This Row],[DESEMBOLSO 1]:[DESEMBOLSO 8]])</f>
        <v>30258730</v>
      </c>
      <c r="BE223" s="12" t="b">
        <f>EXACT(Tabla44[[#This Row],[VALOR ATENCIÓN (8 MESES)]],Tabla44[[#This Row],[VALOR TOTAL]])</f>
        <v>1</v>
      </c>
      <c r="BF223" s="23">
        <f>Tabla44[[#This Row],[VALOR ATENCIÓN (8 MESES)]]-Tabla44[[#This Row],[VALOR TOTAL]]</f>
        <v>0</v>
      </c>
      <c r="BG223" s="12" t="b">
        <f>EXACT(Tabla44[[#This Row],[TOTAL DESEMBOLSOS]],Tabla44[[#This Row],[VALOR TOTAL DEL CONTRATO INCLUIDO EL COMPONENTE DE ALIMENTACIÓN]])</f>
        <v>1</v>
      </c>
      <c r="BH223" s="29">
        <f>Tabla44[[#This Row],[TOTAL DESEMBOLSOS]]-Tabla44[[#This Row],[VALOR TOTAL DEL CONTRATO INCLUIDO EL COMPONENTE DE ALIMENTACIÓN]]</f>
        <v>0</v>
      </c>
      <c r="BI223" t="s">
        <v>98</v>
      </c>
    </row>
    <row r="224" spans="1:61">
      <c r="A224" s="13">
        <v>1993</v>
      </c>
      <c r="B224" s="13"/>
      <c r="C224" s="12" t="s">
        <v>87</v>
      </c>
      <c r="D224" s="12" t="s">
        <v>1628</v>
      </c>
      <c r="E224" s="12" t="s">
        <v>3248</v>
      </c>
      <c r="F224" s="12" t="s">
        <v>21</v>
      </c>
      <c r="G224" s="12" t="s">
        <v>90</v>
      </c>
      <c r="H224" s="12" t="s">
        <v>567</v>
      </c>
      <c r="I224" s="36">
        <v>53101136178</v>
      </c>
      <c r="J224" s="12" t="s">
        <v>3251</v>
      </c>
      <c r="K224" s="12">
        <v>1</v>
      </c>
      <c r="L224" s="12">
        <v>9</v>
      </c>
      <c r="M224" s="12"/>
      <c r="N224" s="13">
        <v>1993</v>
      </c>
      <c r="O224" s="12" t="s">
        <v>2850</v>
      </c>
      <c r="P224" s="12"/>
      <c r="Q224" s="12"/>
      <c r="R224" s="12" t="s">
        <v>94</v>
      </c>
      <c r="S224" s="12">
        <v>10</v>
      </c>
      <c r="T224" s="12">
        <v>818001449</v>
      </c>
      <c r="U224" s="12" t="s">
        <v>3247</v>
      </c>
      <c r="V224" s="12">
        <f>VLOOKUP(Tabla44[[#This Row],[ZONA DEFINITIVO]],[1]Hoja1!$A$1:$D$125,3,0)</f>
        <v>229940</v>
      </c>
      <c r="W224" s="12">
        <f>VLOOKUP(Tabla44[[#This Row],[ZONA DEFINITIVO]],[1]Hoja1!$A$1:$D$125,2,0)</f>
        <v>17259</v>
      </c>
      <c r="X224" s="12">
        <f>VLOOKUP(Tabla44[[#This Row],[ZONA DEFINITIVO]],[1]Hoja1!$A$1:$D$125,4,0)</f>
        <v>104625</v>
      </c>
      <c r="Y224" s="12" t="str">
        <f>+IF(Tabla44[[#This Row],[AGRUPACIONES]]=1,SUMIFS(Tabla44[UDS],Tabla44[ZONA DEFINITIVO],Tabla44[[#This Row],[ZONA DEFINITIVO]])," ")</f>
        <v xml:space="preserve"> </v>
      </c>
      <c r="Z224" s="12" t="str">
        <f>+IF(Tabla44[[#This Row],[AGRUPACIONES]]=1,SUMIFS(Tabla44[TOTAL COBERTURA],Tabla44[ZONA DEFINITIVO],Tabla44[[#This Row],[ZONA DEFINITIVO]])," ")</f>
        <v xml:space="preserve"> </v>
      </c>
      <c r="AA224" s="12"/>
      <c r="AB224" s="35">
        <v>13673745</v>
      </c>
      <c r="AC224" s="37">
        <v>0</v>
      </c>
      <c r="AD224" s="35">
        <f t="shared" si="4"/>
        <v>0</v>
      </c>
      <c r="AE224" s="12"/>
      <c r="AF224" s="12">
        <f>COUNTIF($A$20:A224,A224)</f>
        <v>3</v>
      </c>
      <c r="AG224" s="38">
        <v>13673745</v>
      </c>
      <c r="AH224" s="38">
        <f>Tabla44[[#This Row],[VALOR CONTRAPARTIDA]]+Tabla44[[#This Row],[TOTAL APORTES ICBF]]</f>
        <v>13673745</v>
      </c>
      <c r="AI224" s="35" t="str">
        <f>+IF(Tabla44[[#This Row],[AGRUPACIONES]]=1,SUMIFS(Tabla44[TOTAL APORTES ICBF],Tabla44[ZONA DEFINITIVO],Tabla44[[#This Row],[ZONA DEFINITIVO]])," ")</f>
        <v xml:space="preserve"> </v>
      </c>
      <c r="AJ224" s="38"/>
      <c r="AK224" s="38"/>
      <c r="AL224" s="35"/>
      <c r="AM224" s="35">
        <f>VLOOKUP(Tabla44[[#This Row],[SERVICIO 2025]],$J$2:$V$15,5,0)*Tabla44[[#This Row],[TOTAL COBERTURA]]</f>
        <v>420696</v>
      </c>
      <c r="AN224" s="35">
        <f>VLOOKUP(Tabla44[[#This Row],[SERVICIO 2025]],$J$2:$V$15,6,0)*Tabla44[[#This Row],[TOTAL COBERTURA]]</f>
        <v>340569</v>
      </c>
      <c r="AO224" s="35">
        <f>VLOOKUP(Tabla44[[#This Row],[SERVICIO 2025]],$J$2:$V$15,8,0)*Tabla44[[#This Row],[TOTAL COBERTURA]]</f>
        <v>0</v>
      </c>
      <c r="AP224" s="35">
        <f>VLOOKUP(Tabla44[[#This Row],[SERVICIO 2025]],$J$2:$V$15,3,0)*Tabla44[[#This Row],[TOTAL COBERTURA]]*8</f>
        <v>12912480</v>
      </c>
      <c r="AQ224" s="35"/>
      <c r="AR224" s="35">
        <f>SUM(Tabla44[[#This Row],[VALOR FASE PREPARATORIA DE ALISTAMIENTO]:[VALOR RACION PREPARADA]])</f>
        <v>13673745</v>
      </c>
      <c r="AS224" s="35" t="str">
        <f>+IF(Tabla44[[#This Row],[AGRUPACIONES]]=1,SUMIFS(Tabla44[VALOR TOTAL],Tabla44[ZONA DEFINITIVO],Tabla44[[#This Row],[ZONA DEFINITIVO]])," ")</f>
        <v xml:space="preserve"> </v>
      </c>
      <c r="AT224" s="35">
        <f>VLOOKUP(Tabla44[[#This Row],[SERVICIO 2025]],$J$2:$V$15,10,0)*Tabla44[[#This Row],[TOTAL COBERTURA]]*$X$7</f>
        <v>13559112</v>
      </c>
      <c r="AU224" s="39">
        <f>Tabla44[[#This Row],[TOTAL CONTRATO (ICBF+EAS)]]+Tabla44[[#This Row],[VALOR COMPONENTE ALIMENTACION NO ASIGNADO]]</f>
        <v>27232857</v>
      </c>
      <c r="AV22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3729645</v>
      </c>
      <c r="AW224" s="35">
        <f>(VLOOKUP(Tabla44[[#This Row],[SERVICIO 2025]],$J$2:$V$15,3,0)*Tabla44[[#This Row],[TOTAL COBERTURA]])+VLOOKUP(Tabla44[[#This Row],[SERVICIO 2025]],$J$2:$V$15,10,0)*Tabla44[[#This Row],[TOTAL COBERTURA]]</f>
        <v>3308949</v>
      </c>
      <c r="AX224" s="35">
        <f>(VLOOKUP(Tabla44[[#This Row],[SERVICIO 2025]],$J$2:$V$15,3,0)*Tabla44[[#This Row],[TOTAL COBERTURA]])+VLOOKUP(Tabla44[[#This Row],[SERVICIO 2025]],$J$2:$V$15,10,0)*Tabla44[[#This Row],[TOTAL COBERTURA]]</f>
        <v>3308949</v>
      </c>
      <c r="AY224" s="35">
        <f>(VLOOKUP(Tabla44[[#This Row],[SERVICIO 2025]],$J$2:$V$15,3,0)*Tabla44[[#This Row],[TOTAL COBERTURA]])+VLOOKUP(Tabla44[[#This Row],[SERVICIO 2025]],$J$2:$V$15,10,0)*Tabla44[[#This Row],[TOTAL COBERTURA]]</f>
        <v>3308949</v>
      </c>
      <c r="AZ224" s="35">
        <f>(VLOOKUP(Tabla44[[#This Row],[SERVICIO 2025]],$J$2:$V$15,3,0)*Tabla44[[#This Row],[TOTAL COBERTURA]])+VLOOKUP(Tabla44[[#This Row],[SERVICIO 2025]],$J$2:$V$15,10,0)*Tabla44[[#This Row],[TOTAL COBERTURA]]</f>
        <v>3308949</v>
      </c>
      <c r="BA224" s="35">
        <f>(VLOOKUP(Tabla44[[#This Row],[SERVICIO 2025]],$J$2:$V$15,3,0)*Tabla44[[#This Row],[TOTAL COBERTURA]])+VLOOKUP(Tabla44[[#This Row],[SERVICIO 2025]],$J$2:$V$15,10,0)*Tabla44[[#This Row],[TOTAL COBERTURA]]</f>
        <v>3308949</v>
      </c>
      <c r="BB224" s="35">
        <f>(VLOOKUP(Tabla44[[#This Row],[SERVICIO 2025]],$J$2:$V$15,3,0)*Tabla44[[#This Row],[TOTAL COBERTURA]])+VLOOKUP(Tabla44[[#This Row],[SERVICIO 2025]],$J$2:$V$15,10,0)*Tabla44[[#This Row],[TOTAL COBERTURA]]</f>
        <v>3308949</v>
      </c>
      <c r="BC22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3649518</v>
      </c>
      <c r="BD224" s="35">
        <f>SUM(Tabla44[[#This Row],[DESEMBOLSO 1]:[DESEMBOLSO 8]])</f>
        <v>27232857</v>
      </c>
      <c r="BE224" s="12" t="b">
        <f>EXACT(Tabla44[[#This Row],[VALOR ATENCIÓN (8 MESES)]],Tabla44[[#This Row],[VALOR TOTAL]])</f>
        <v>1</v>
      </c>
      <c r="BF224" s="23">
        <f>Tabla44[[#This Row],[VALOR ATENCIÓN (8 MESES)]]-Tabla44[[#This Row],[VALOR TOTAL]]</f>
        <v>0</v>
      </c>
      <c r="BG224" s="12" t="b">
        <f>EXACT(Tabla44[[#This Row],[TOTAL DESEMBOLSOS]],Tabla44[[#This Row],[VALOR TOTAL DEL CONTRATO INCLUIDO EL COMPONENTE DE ALIMENTACIÓN]])</f>
        <v>1</v>
      </c>
      <c r="BH224" s="29">
        <f>Tabla44[[#This Row],[TOTAL DESEMBOLSOS]]-Tabla44[[#This Row],[VALOR TOTAL DEL CONTRATO INCLUIDO EL COMPONENTE DE ALIMENTACIÓN]]</f>
        <v>0</v>
      </c>
      <c r="BI224" t="s">
        <v>98</v>
      </c>
    </row>
    <row r="225" spans="1:61">
      <c r="A225" s="13">
        <v>1993</v>
      </c>
      <c r="B225" s="13"/>
      <c r="C225" s="12" t="s">
        <v>87</v>
      </c>
      <c r="D225" s="12" t="s">
        <v>1628</v>
      </c>
      <c r="E225" s="12" t="s">
        <v>3248</v>
      </c>
      <c r="F225" s="12" t="s">
        <v>21</v>
      </c>
      <c r="G225" s="12" t="s">
        <v>90</v>
      </c>
      <c r="H225" s="12" t="s">
        <v>3252</v>
      </c>
      <c r="I225" s="36">
        <v>53101136183</v>
      </c>
      <c r="J225" s="12" t="s">
        <v>3253</v>
      </c>
      <c r="K225" s="12">
        <v>1</v>
      </c>
      <c r="L225" s="12">
        <v>11</v>
      </c>
      <c r="M225" s="12"/>
      <c r="N225" s="13">
        <v>1993</v>
      </c>
      <c r="O225" s="12" t="s">
        <v>2850</v>
      </c>
      <c r="P225" s="12"/>
      <c r="Q225" s="12"/>
      <c r="R225" s="12" t="s">
        <v>94</v>
      </c>
      <c r="S225" s="12">
        <v>10</v>
      </c>
      <c r="T225" s="12">
        <v>818001449</v>
      </c>
      <c r="U225" s="12" t="s">
        <v>3247</v>
      </c>
      <c r="V225" s="12">
        <f>VLOOKUP(Tabla44[[#This Row],[ZONA DEFINITIVO]],[1]Hoja1!$A$1:$D$125,3,0)</f>
        <v>229940</v>
      </c>
      <c r="W225" s="12">
        <f>VLOOKUP(Tabla44[[#This Row],[ZONA DEFINITIVO]],[1]Hoja1!$A$1:$D$125,2,0)</f>
        <v>17259</v>
      </c>
      <c r="X225" s="12">
        <f>VLOOKUP(Tabla44[[#This Row],[ZONA DEFINITIVO]],[1]Hoja1!$A$1:$D$125,4,0)</f>
        <v>104625</v>
      </c>
      <c r="Y225" s="12" t="str">
        <f>+IF(Tabla44[[#This Row],[AGRUPACIONES]]=1,SUMIFS(Tabla44[UDS],Tabla44[ZONA DEFINITIVO],Tabla44[[#This Row],[ZONA DEFINITIVO]])," ")</f>
        <v xml:space="preserve"> </v>
      </c>
      <c r="Z225" s="12" t="str">
        <f>+IF(Tabla44[[#This Row],[AGRUPACIONES]]=1,SUMIFS(Tabla44[TOTAL COBERTURA],Tabla44[ZONA DEFINITIVO],Tabla44[[#This Row],[ZONA DEFINITIVO]])," ")</f>
        <v xml:space="preserve"> </v>
      </c>
      <c r="AA225" s="12"/>
      <c r="AB225" s="35">
        <v>16712355</v>
      </c>
      <c r="AC225" s="37">
        <v>0</v>
      </c>
      <c r="AD225" s="35">
        <f t="shared" si="4"/>
        <v>0</v>
      </c>
      <c r="AE225" s="12"/>
      <c r="AF225" s="12">
        <f>COUNTIF($A$20:A225,A225)</f>
        <v>4</v>
      </c>
      <c r="AG225" s="38">
        <v>16712355</v>
      </c>
      <c r="AH225" s="38">
        <f>Tabla44[[#This Row],[VALOR CONTRAPARTIDA]]+Tabla44[[#This Row],[TOTAL APORTES ICBF]]</f>
        <v>16712355</v>
      </c>
      <c r="AI225" s="35" t="str">
        <f>+IF(Tabla44[[#This Row],[AGRUPACIONES]]=1,SUMIFS(Tabla44[TOTAL APORTES ICBF],Tabla44[ZONA DEFINITIVO],Tabla44[[#This Row],[ZONA DEFINITIVO]])," ")</f>
        <v xml:space="preserve"> </v>
      </c>
      <c r="AJ225" s="38"/>
      <c r="AK225" s="38"/>
      <c r="AL225" s="35"/>
      <c r="AM225" s="35">
        <f>VLOOKUP(Tabla44[[#This Row],[SERVICIO 2025]],$J$2:$V$15,5,0)*Tabla44[[#This Row],[TOTAL COBERTURA]]</f>
        <v>514184</v>
      </c>
      <c r="AN225" s="35">
        <f>VLOOKUP(Tabla44[[#This Row],[SERVICIO 2025]],$J$2:$V$15,6,0)*Tabla44[[#This Row],[TOTAL COBERTURA]]</f>
        <v>416251</v>
      </c>
      <c r="AO225" s="35">
        <f>VLOOKUP(Tabla44[[#This Row],[SERVICIO 2025]],$J$2:$V$15,8,0)*Tabla44[[#This Row],[TOTAL COBERTURA]]</f>
        <v>0</v>
      </c>
      <c r="AP225" s="35">
        <f>VLOOKUP(Tabla44[[#This Row],[SERVICIO 2025]],$J$2:$V$15,3,0)*Tabla44[[#This Row],[TOTAL COBERTURA]]*8</f>
        <v>15781920</v>
      </c>
      <c r="AQ225" s="35"/>
      <c r="AR225" s="35">
        <f>SUM(Tabla44[[#This Row],[VALOR FASE PREPARATORIA DE ALISTAMIENTO]:[VALOR RACION PREPARADA]])</f>
        <v>16712355</v>
      </c>
      <c r="AS225" s="35" t="str">
        <f>+IF(Tabla44[[#This Row],[AGRUPACIONES]]=1,SUMIFS(Tabla44[VALOR TOTAL],Tabla44[ZONA DEFINITIVO],Tabla44[[#This Row],[ZONA DEFINITIVO]])," ")</f>
        <v xml:space="preserve"> </v>
      </c>
      <c r="AT225" s="35">
        <f>VLOOKUP(Tabla44[[#This Row],[SERVICIO 2025]],$J$2:$V$15,10,0)*Tabla44[[#This Row],[TOTAL COBERTURA]]*$X$7</f>
        <v>16572248</v>
      </c>
      <c r="AU225" s="39">
        <f>Tabla44[[#This Row],[TOTAL CONTRATO (ICBF+EAS)]]+Tabla44[[#This Row],[VALOR COMPONENTE ALIMENTACION NO ASIGNADO]]</f>
        <v>33284603</v>
      </c>
      <c r="AV22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225" s="35">
        <f>(VLOOKUP(Tabla44[[#This Row],[SERVICIO 2025]],$J$2:$V$15,3,0)*Tabla44[[#This Row],[TOTAL COBERTURA]])+VLOOKUP(Tabla44[[#This Row],[SERVICIO 2025]],$J$2:$V$15,10,0)*Tabla44[[#This Row],[TOTAL COBERTURA]]</f>
        <v>4044271</v>
      </c>
      <c r="AX225" s="35">
        <f>(VLOOKUP(Tabla44[[#This Row],[SERVICIO 2025]],$J$2:$V$15,3,0)*Tabla44[[#This Row],[TOTAL COBERTURA]])+VLOOKUP(Tabla44[[#This Row],[SERVICIO 2025]],$J$2:$V$15,10,0)*Tabla44[[#This Row],[TOTAL COBERTURA]]</f>
        <v>4044271</v>
      </c>
      <c r="AY225" s="35">
        <f>(VLOOKUP(Tabla44[[#This Row],[SERVICIO 2025]],$J$2:$V$15,3,0)*Tabla44[[#This Row],[TOTAL COBERTURA]])+VLOOKUP(Tabla44[[#This Row],[SERVICIO 2025]],$J$2:$V$15,10,0)*Tabla44[[#This Row],[TOTAL COBERTURA]]</f>
        <v>4044271</v>
      </c>
      <c r="AZ225" s="35">
        <f>(VLOOKUP(Tabla44[[#This Row],[SERVICIO 2025]],$J$2:$V$15,3,0)*Tabla44[[#This Row],[TOTAL COBERTURA]])+VLOOKUP(Tabla44[[#This Row],[SERVICIO 2025]],$J$2:$V$15,10,0)*Tabla44[[#This Row],[TOTAL COBERTURA]]</f>
        <v>4044271</v>
      </c>
      <c r="BA225" s="35">
        <f>(VLOOKUP(Tabla44[[#This Row],[SERVICIO 2025]],$J$2:$V$15,3,0)*Tabla44[[#This Row],[TOTAL COBERTURA]])+VLOOKUP(Tabla44[[#This Row],[SERVICIO 2025]],$J$2:$V$15,10,0)*Tabla44[[#This Row],[TOTAL COBERTURA]]</f>
        <v>4044271</v>
      </c>
      <c r="BB225" s="35">
        <f>(VLOOKUP(Tabla44[[#This Row],[SERVICIO 2025]],$J$2:$V$15,3,0)*Tabla44[[#This Row],[TOTAL COBERTURA]])+VLOOKUP(Tabla44[[#This Row],[SERVICIO 2025]],$J$2:$V$15,10,0)*Tabla44[[#This Row],[TOTAL COBERTURA]]</f>
        <v>4044271</v>
      </c>
      <c r="BC22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225" s="35">
        <f>SUM(Tabla44[[#This Row],[DESEMBOLSO 1]:[DESEMBOLSO 8]])</f>
        <v>33284603</v>
      </c>
      <c r="BE225" s="12" t="b">
        <f>EXACT(Tabla44[[#This Row],[VALOR ATENCIÓN (8 MESES)]],Tabla44[[#This Row],[VALOR TOTAL]])</f>
        <v>1</v>
      </c>
      <c r="BF225" s="23">
        <f>Tabla44[[#This Row],[VALOR ATENCIÓN (8 MESES)]]-Tabla44[[#This Row],[VALOR TOTAL]]</f>
        <v>0</v>
      </c>
      <c r="BG225" s="12" t="b">
        <f>EXACT(Tabla44[[#This Row],[TOTAL DESEMBOLSOS]],Tabla44[[#This Row],[VALOR TOTAL DEL CONTRATO INCLUIDO EL COMPONENTE DE ALIMENTACIÓN]])</f>
        <v>1</v>
      </c>
      <c r="BH225" s="29">
        <f>Tabla44[[#This Row],[TOTAL DESEMBOLSOS]]-Tabla44[[#This Row],[VALOR TOTAL DEL CONTRATO INCLUIDO EL COMPONENTE DE ALIMENTACIÓN]]</f>
        <v>0</v>
      </c>
      <c r="BI225" t="s">
        <v>98</v>
      </c>
    </row>
    <row r="226" spans="1:61">
      <c r="A226" s="13">
        <v>1993</v>
      </c>
      <c r="B226" s="13"/>
      <c r="C226" s="12" t="s">
        <v>87</v>
      </c>
      <c r="D226" s="12" t="s">
        <v>1628</v>
      </c>
      <c r="E226" s="12" t="s">
        <v>3248</v>
      </c>
      <c r="F226" s="12" t="s">
        <v>21</v>
      </c>
      <c r="G226" s="12" t="s">
        <v>90</v>
      </c>
      <c r="H226" s="12" t="s">
        <v>3254</v>
      </c>
      <c r="I226" s="36">
        <v>53101136189</v>
      </c>
      <c r="J226" s="12" t="s">
        <v>3255</v>
      </c>
      <c r="K226" s="12">
        <v>1</v>
      </c>
      <c r="L226" s="12">
        <v>6</v>
      </c>
      <c r="M226" s="12"/>
      <c r="N226" s="13">
        <v>1993</v>
      </c>
      <c r="O226" s="12" t="s">
        <v>2850</v>
      </c>
      <c r="P226" s="12"/>
      <c r="Q226" s="12"/>
      <c r="R226" s="12" t="s">
        <v>94</v>
      </c>
      <c r="S226" s="12">
        <v>10</v>
      </c>
      <c r="T226" s="12">
        <v>818001449</v>
      </c>
      <c r="U226" s="12" t="s">
        <v>3247</v>
      </c>
      <c r="V226" s="12">
        <f>VLOOKUP(Tabla44[[#This Row],[ZONA DEFINITIVO]],[1]Hoja1!$A$1:$D$125,3,0)</f>
        <v>229940</v>
      </c>
      <c r="W226" s="12">
        <f>VLOOKUP(Tabla44[[#This Row],[ZONA DEFINITIVO]],[1]Hoja1!$A$1:$D$125,2,0)</f>
        <v>17259</v>
      </c>
      <c r="X226" s="12">
        <f>VLOOKUP(Tabla44[[#This Row],[ZONA DEFINITIVO]],[1]Hoja1!$A$1:$D$125,4,0)</f>
        <v>104625</v>
      </c>
      <c r="Y226" s="12" t="str">
        <f>+IF(Tabla44[[#This Row],[AGRUPACIONES]]=1,SUMIFS(Tabla44[UDS],Tabla44[ZONA DEFINITIVO],Tabla44[[#This Row],[ZONA DEFINITIVO]])," ")</f>
        <v xml:space="preserve"> </v>
      </c>
      <c r="Z226" s="12" t="str">
        <f>+IF(Tabla44[[#This Row],[AGRUPACIONES]]=1,SUMIFS(Tabla44[TOTAL COBERTURA],Tabla44[ZONA DEFINITIVO],Tabla44[[#This Row],[ZONA DEFINITIVO]])," ")</f>
        <v xml:space="preserve"> </v>
      </c>
      <c r="AA226" s="12"/>
      <c r="AB226" s="35">
        <v>9115830</v>
      </c>
      <c r="AC226" s="37">
        <v>0</v>
      </c>
      <c r="AD226" s="35">
        <f t="shared" si="4"/>
        <v>0</v>
      </c>
      <c r="AE226" s="12"/>
      <c r="AF226" s="12">
        <f>COUNTIF($A$20:A226,A226)</f>
        <v>5</v>
      </c>
      <c r="AG226" s="38">
        <v>9115830</v>
      </c>
      <c r="AH226" s="38">
        <f>Tabla44[[#This Row],[VALOR CONTRAPARTIDA]]+Tabla44[[#This Row],[TOTAL APORTES ICBF]]</f>
        <v>9115830</v>
      </c>
      <c r="AI226" s="35" t="str">
        <f>+IF(Tabla44[[#This Row],[AGRUPACIONES]]=1,SUMIFS(Tabla44[TOTAL APORTES ICBF],Tabla44[ZONA DEFINITIVO],Tabla44[[#This Row],[ZONA DEFINITIVO]])," ")</f>
        <v xml:space="preserve"> </v>
      </c>
      <c r="AJ226" s="38"/>
      <c r="AK226" s="38"/>
      <c r="AL226" s="35"/>
      <c r="AM226" s="35">
        <f>VLOOKUP(Tabla44[[#This Row],[SERVICIO 2025]],$J$2:$V$15,5,0)*Tabla44[[#This Row],[TOTAL COBERTURA]]</f>
        <v>280464</v>
      </c>
      <c r="AN226" s="35">
        <f>VLOOKUP(Tabla44[[#This Row],[SERVICIO 2025]],$J$2:$V$15,6,0)*Tabla44[[#This Row],[TOTAL COBERTURA]]</f>
        <v>227046</v>
      </c>
      <c r="AO226" s="35">
        <f>VLOOKUP(Tabla44[[#This Row],[SERVICIO 2025]],$J$2:$V$15,8,0)*Tabla44[[#This Row],[TOTAL COBERTURA]]</f>
        <v>0</v>
      </c>
      <c r="AP226" s="35">
        <f>VLOOKUP(Tabla44[[#This Row],[SERVICIO 2025]],$J$2:$V$15,3,0)*Tabla44[[#This Row],[TOTAL COBERTURA]]*8</f>
        <v>8608320</v>
      </c>
      <c r="AQ226" s="35"/>
      <c r="AR226" s="35">
        <f>SUM(Tabla44[[#This Row],[VALOR FASE PREPARATORIA DE ALISTAMIENTO]:[VALOR RACION PREPARADA]])</f>
        <v>9115830</v>
      </c>
      <c r="AS226" s="35" t="str">
        <f>+IF(Tabla44[[#This Row],[AGRUPACIONES]]=1,SUMIFS(Tabla44[VALOR TOTAL],Tabla44[ZONA DEFINITIVO],Tabla44[[#This Row],[ZONA DEFINITIVO]])," ")</f>
        <v xml:space="preserve"> </v>
      </c>
      <c r="AT226" s="35">
        <f>VLOOKUP(Tabla44[[#This Row],[SERVICIO 2025]],$J$2:$V$15,10,0)*Tabla44[[#This Row],[TOTAL COBERTURA]]*$X$7</f>
        <v>9039408</v>
      </c>
      <c r="AU226" s="39">
        <f>Tabla44[[#This Row],[TOTAL CONTRATO (ICBF+EAS)]]+Tabla44[[#This Row],[VALOR COMPONENTE ALIMENTACION NO ASIGNADO]]</f>
        <v>18155238</v>
      </c>
      <c r="AV22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2486430</v>
      </c>
      <c r="AW226" s="35">
        <f>(VLOOKUP(Tabla44[[#This Row],[SERVICIO 2025]],$J$2:$V$15,3,0)*Tabla44[[#This Row],[TOTAL COBERTURA]])+VLOOKUP(Tabla44[[#This Row],[SERVICIO 2025]],$J$2:$V$15,10,0)*Tabla44[[#This Row],[TOTAL COBERTURA]]</f>
        <v>2205966</v>
      </c>
      <c r="AX226" s="35">
        <f>(VLOOKUP(Tabla44[[#This Row],[SERVICIO 2025]],$J$2:$V$15,3,0)*Tabla44[[#This Row],[TOTAL COBERTURA]])+VLOOKUP(Tabla44[[#This Row],[SERVICIO 2025]],$J$2:$V$15,10,0)*Tabla44[[#This Row],[TOTAL COBERTURA]]</f>
        <v>2205966</v>
      </c>
      <c r="AY226" s="35">
        <f>(VLOOKUP(Tabla44[[#This Row],[SERVICIO 2025]],$J$2:$V$15,3,0)*Tabla44[[#This Row],[TOTAL COBERTURA]])+VLOOKUP(Tabla44[[#This Row],[SERVICIO 2025]],$J$2:$V$15,10,0)*Tabla44[[#This Row],[TOTAL COBERTURA]]</f>
        <v>2205966</v>
      </c>
      <c r="AZ226" s="35">
        <f>(VLOOKUP(Tabla44[[#This Row],[SERVICIO 2025]],$J$2:$V$15,3,0)*Tabla44[[#This Row],[TOTAL COBERTURA]])+VLOOKUP(Tabla44[[#This Row],[SERVICIO 2025]],$J$2:$V$15,10,0)*Tabla44[[#This Row],[TOTAL COBERTURA]]</f>
        <v>2205966</v>
      </c>
      <c r="BA226" s="35">
        <f>(VLOOKUP(Tabla44[[#This Row],[SERVICIO 2025]],$J$2:$V$15,3,0)*Tabla44[[#This Row],[TOTAL COBERTURA]])+VLOOKUP(Tabla44[[#This Row],[SERVICIO 2025]],$J$2:$V$15,10,0)*Tabla44[[#This Row],[TOTAL COBERTURA]]</f>
        <v>2205966</v>
      </c>
      <c r="BB226" s="35">
        <f>(VLOOKUP(Tabla44[[#This Row],[SERVICIO 2025]],$J$2:$V$15,3,0)*Tabla44[[#This Row],[TOTAL COBERTURA]])+VLOOKUP(Tabla44[[#This Row],[SERVICIO 2025]],$J$2:$V$15,10,0)*Tabla44[[#This Row],[TOTAL COBERTURA]]</f>
        <v>2205966</v>
      </c>
      <c r="BC22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2433012</v>
      </c>
      <c r="BD226" s="35">
        <f>SUM(Tabla44[[#This Row],[DESEMBOLSO 1]:[DESEMBOLSO 8]])</f>
        <v>18155238</v>
      </c>
      <c r="BE226" s="12" t="b">
        <f>EXACT(Tabla44[[#This Row],[VALOR ATENCIÓN (8 MESES)]],Tabla44[[#This Row],[VALOR TOTAL]])</f>
        <v>1</v>
      </c>
      <c r="BF226" s="23">
        <f>Tabla44[[#This Row],[VALOR ATENCIÓN (8 MESES)]]-Tabla44[[#This Row],[VALOR TOTAL]]</f>
        <v>0</v>
      </c>
      <c r="BG226" s="12" t="b">
        <f>EXACT(Tabla44[[#This Row],[TOTAL DESEMBOLSOS]],Tabla44[[#This Row],[VALOR TOTAL DEL CONTRATO INCLUIDO EL COMPONENTE DE ALIMENTACIÓN]])</f>
        <v>1</v>
      </c>
      <c r="BH226" s="29">
        <f>Tabla44[[#This Row],[TOTAL DESEMBOLSOS]]-Tabla44[[#This Row],[VALOR TOTAL DEL CONTRATO INCLUIDO EL COMPONENTE DE ALIMENTACIÓN]]</f>
        <v>0</v>
      </c>
      <c r="BI226" t="s">
        <v>98</v>
      </c>
    </row>
    <row r="227" spans="1:61">
      <c r="A227" s="13">
        <v>1993</v>
      </c>
      <c r="B227" s="13"/>
      <c r="C227" s="12" t="s">
        <v>87</v>
      </c>
      <c r="D227" s="12" t="s">
        <v>1628</v>
      </c>
      <c r="E227" s="12" t="s">
        <v>3248</v>
      </c>
      <c r="F227" s="12" t="s">
        <v>14</v>
      </c>
      <c r="G227" s="12" t="s">
        <v>90</v>
      </c>
      <c r="H227" s="12" t="s">
        <v>3256</v>
      </c>
      <c r="I227" s="36">
        <v>53101140316</v>
      </c>
      <c r="J227" s="12" t="s">
        <v>3257</v>
      </c>
      <c r="K227" s="12">
        <v>1</v>
      </c>
      <c r="L227" s="12">
        <v>17</v>
      </c>
      <c r="M227" s="12"/>
      <c r="N227" s="13">
        <v>1993</v>
      </c>
      <c r="O227" s="12" t="s">
        <v>2850</v>
      </c>
      <c r="P227" s="12"/>
      <c r="Q227" s="12"/>
      <c r="R227" s="12" t="s">
        <v>94</v>
      </c>
      <c r="S227" s="12">
        <v>10</v>
      </c>
      <c r="T227" s="12">
        <v>818001449</v>
      </c>
      <c r="U227" s="12" t="s">
        <v>3247</v>
      </c>
      <c r="V227" s="12">
        <f>VLOOKUP(Tabla44[[#This Row],[ZONA DEFINITIVO]],[1]Hoja1!$A$1:$D$125,3,0)</f>
        <v>229940</v>
      </c>
      <c r="W227" s="12">
        <f>VLOOKUP(Tabla44[[#This Row],[ZONA DEFINITIVO]],[1]Hoja1!$A$1:$D$125,2,0)</f>
        <v>17259</v>
      </c>
      <c r="X227" s="12">
        <f>VLOOKUP(Tabla44[[#This Row],[ZONA DEFINITIVO]],[1]Hoja1!$A$1:$D$125,4,0)</f>
        <v>104625</v>
      </c>
      <c r="Y227" s="12" t="str">
        <f>+IF(Tabla44[[#This Row],[AGRUPACIONES]]=1,SUMIFS(Tabla44[UDS],Tabla44[ZONA DEFINITIVO],Tabla44[[#This Row],[ZONA DEFINITIVO]])," ")</f>
        <v xml:space="preserve"> </v>
      </c>
      <c r="Z227" s="12" t="str">
        <f>+IF(Tabla44[[#This Row],[AGRUPACIONES]]=1,SUMIFS(Tabla44[TOTAL COBERTURA],Tabla44[ZONA DEFINITIVO],Tabla44[[#This Row],[ZONA DEFINITIVO]])," ")</f>
        <v xml:space="preserve"> </v>
      </c>
      <c r="AA227" s="12"/>
      <c r="AB227" s="35">
        <v>71210450</v>
      </c>
      <c r="AC227" s="37">
        <v>0</v>
      </c>
      <c r="AD227" s="35">
        <f t="shared" si="4"/>
        <v>0</v>
      </c>
      <c r="AE227" s="12"/>
      <c r="AF227" s="12">
        <f>COUNTIF($A$20:A227,A227)</f>
        <v>6</v>
      </c>
      <c r="AG227" s="38">
        <v>71210450</v>
      </c>
      <c r="AH227" s="38">
        <f>Tabla44[[#This Row],[VALOR CONTRAPARTIDA]]+Tabla44[[#This Row],[TOTAL APORTES ICBF]]</f>
        <v>71210450</v>
      </c>
      <c r="AI227" s="35" t="str">
        <f>+IF(Tabla44[[#This Row],[AGRUPACIONES]]=1,SUMIFS(Tabla44[TOTAL APORTES ICBF],Tabla44[ZONA DEFINITIVO],Tabla44[[#This Row],[ZONA DEFINITIVO]])," ")</f>
        <v xml:space="preserve"> </v>
      </c>
      <c r="AJ227" s="38"/>
      <c r="AK227" s="38"/>
      <c r="AL227" s="35"/>
      <c r="AM227" s="35">
        <f>VLOOKUP(Tabla44[[#This Row],[SERVICIO 2025]],$J$2:$V$15,5,0)*Tabla44[[#This Row],[TOTAL COBERTURA]]</f>
        <v>1498431</v>
      </c>
      <c r="AN227" s="35">
        <f>VLOOKUP(Tabla44[[#This Row],[SERVICIO 2025]],$J$2:$V$15,6,0)*Tabla44[[#This Row],[TOTAL COBERTURA]]</f>
        <v>1275731</v>
      </c>
      <c r="AO227" s="35">
        <f>VLOOKUP(Tabla44[[#This Row],[SERVICIO 2025]],$J$2:$V$15,8,0)*Tabla44[[#This Row],[TOTAL COBERTURA]]</f>
        <v>0</v>
      </c>
      <c r="AP227" s="35">
        <f>VLOOKUP(Tabla44[[#This Row],[SERVICIO 2025]],$J$2:$V$15,3,0)*Tabla44[[#This Row],[TOTAL COBERTURA]]*8</f>
        <v>68436288</v>
      </c>
      <c r="AQ227" s="35"/>
      <c r="AR227" s="35">
        <f>SUM(Tabla44[[#This Row],[VALOR FASE PREPARATORIA DE ALISTAMIENTO]:[VALOR RACION PREPARADA]])</f>
        <v>71210450</v>
      </c>
      <c r="AS227" s="35" t="str">
        <f>+IF(Tabla44[[#This Row],[AGRUPACIONES]]=1,SUMIFS(Tabla44[VALOR TOTAL],Tabla44[ZONA DEFINITIVO],Tabla44[[#This Row],[ZONA DEFINITIVO]])," ")</f>
        <v xml:space="preserve"> </v>
      </c>
      <c r="AT227" s="35">
        <f>VLOOKUP(Tabla44[[#This Row],[SERVICIO 2025]],$J$2:$V$15,10,0)*Tabla44[[#This Row],[TOTAL COBERTURA]]*$X$7</f>
        <v>0</v>
      </c>
      <c r="AU227" s="39">
        <f>Tabla44[[#This Row],[TOTAL CONTRATO (ICBF+EAS)]]+Tabla44[[#This Row],[VALOR COMPONENTE ALIMENTACION NO ASIGNADO]]</f>
        <v>71210450</v>
      </c>
      <c r="AV22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10052967</v>
      </c>
      <c r="AW227" s="35">
        <f>(VLOOKUP(Tabla44[[#This Row],[SERVICIO 2025]],$J$2:$V$15,3,0)*Tabla44[[#This Row],[TOTAL COBERTURA]])+VLOOKUP(Tabla44[[#This Row],[SERVICIO 2025]],$J$2:$V$15,10,0)*Tabla44[[#This Row],[TOTAL COBERTURA]]</f>
        <v>8554536</v>
      </c>
      <c r="AX227" s="35">
        <f>(VLOOKUP(Tabla44[[#This Row],[SERVICIO 2025]],$J$2:$V$15,3,0)*Tabla44[[#This Row],[TOTAL COBERTURA]])+VLOOKUP(Tabla44[[#This Row],[SERVICIO 2025]],$J$2:$V$15,10,0)*Tabla44[[#This Row],[TOTAL COBERTURA]]</f>
        <v>8554536</v>
      </c>
      <c r="AY227" s="35">
        <f>(VLOOKUP(Tabla44[[#This Row],[SERVICIO 2025]],$J$2:$V$15,3,0)*Tabla44[[#This Row],[TOTAL COBERTURA]])+VLOOKUP(Tabla44[[#This Row],[SERVICIO 2025]],$J$2:$V$15,10,0)*Tabla44[[#This Row],[TOTAL COBERTURA]]</f>
        <v>8554536</v>
      </c>
      <c r="AZ227" s="35">
        <f>(VLOOKUP(Tabla44[[#This Row],[SERVICIO 2025]],$J$2:$V$15,3,0)*Tabla44[[#This Row],[TOTAL COBERTURA]])+VLOOKUP(Tabla44[[#This Row],[SERVICIO 2025]],$J$2:$V$15,10,0)*Tabla44[[#This Row],[TOTAL COBERTURA]]</f>
        <v>8554536</v>
      </c>
      <c r="BA227" s="35">
        <f>(VLOOKUP(Tabla44[[#This Row],[SERVICIO 2025]],$J$2:$V$15,3,0)*Tabla44[[#This Row],[TOTAL COBERTURA]])+VLOOKUP(Tabla44[[#This Row],[SERVICIO 2025]],$J$2:$V$15,10,0)*Tabla44[[#This Row],[TOTAL COBERTURA]]</f>
        <v>8554536</v>
      </c>
      <c r="BB227" s="35">
        <f>(VLOOKUP(Tabla44[[#This Row],[SERVICIO 2025]],$J$2:$V$15,3,0)*Tabla44[[#This Row],[TOTAL COBERTURA]])+VLOOKUP(Tabla44[[#This Row],[SERVICIO 2025]],$J$2:$V$15,10,0)*Tabla44[[#This Row],[TOTAL COBERTURA]]</f>
        <v>8554536</v>
      </c>
      <c r="BC22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9830267</v>
      </c>
      <c r="BD227" s="35">
        <f>SUM(Tabla44[[#This Row],[DESEMBOLSO 1]:[DESEMBOLSO 8]])</f>
        <v>71210450</v>
      </c>
      <c r="BE227" s="12" t="b">
        <f>EXACT(Tabla44[[#This Row],[VALOR ATENCIÓN (8 MESES)]],Tabla44[[#This Row],[VALOR TOTAL]])</f>
        <v>1</v>
      </c>
      <c r="BF227" s="23">
        <f>Tabla44[[#This Row],[VALOR ATENCIÓN (8 MESES)]]-Tabla44[[#This Row],[VALOR TOTAL]]</f>
        <v>0</v>
      </c>
      <c r="BG227" s="12" t="b">
        <f>EXACT(Tabla44[[#This Row],[TOTAL DESEMBOLSOS]],Tabla44[[#This Row],[VALOR TOTAL DEL CONTRATO INCLUIDO EL COMPONENTE DE ALIMENTACIÓN]])</f>
        <v>1</v>
      </c>
      <c r="BH227" s="29">
        <f>Tabla44[[#This Row],[TOTAL DESEMBOLSOS]]-Tabla44[[#This Row],[VALOR TOTAL DEL CONTRATO INCLUIDO EL COMPONENTE DE ALIMENTACIÓN]]</f>
        <v>0</v>
      </c>
      <c r="BI227" t="s">
        <v>98</v>
      </c>
    </row>
    <row r="228" spans="1:61">
      <c r="A228" s="13">
        <v>1993</v>
      </c>
      <c r="B228" s="13"/>
      <c r="C228" s="12" t="s">
        <v>87</v>
      </c>
      <c r="D228" s="12" t="s">
        <v>1628</v>
      </c>
      <c r="E228" s="12" t="s">
        <v>3248</v>
      </c>
      <c r="F228" s="12" t="s">
        <v>14</v>
      </c>
      <c r="G228" s="12" t="s">
        <v>90</v>
      </c>
      <c r="H228" s="12" t="s">
        <v>3258</v>
      </c>
      <c r="I228" s="36">
        <v>53101142930</v>
      </c>
      <c r="J228" s="12" t="s">
        <v>3259</v>
      </c>
      <c r="K228" s="12">
        <v>1</v>
      </c>
      <c r="L228" s="12">
        <v>119</v>
      </c>
      <c r="M228" s="12"/>
      <c r="N228" s="13">
        <v>1993</v>
      </c>
      <c r="O228" s="12" t="s">
        <v>2850</v>
      </c>
      <c r="P228" s="12"/>
      <c r="Q228" s="12"/>
      <c r="R228" s="12" t="s">
        <v>94</v>
      </c>
      <c r="S228" s="12">
        <v>10</v>
      </c>
      <c r="T228" s="12">
        <v>818001449</v>
      </c>
      <c r="U228" s="12" t="s">
        <v>3247</v>
      </c>
      <c r="V228" s="12">
        <f>VLOOKUP(Tabla44[[#This Row],[ZONA DEFINITIVO]],[1]Hoja1!$A$1:$D$125,3,0)</f>
        <v>229940</v>
      </c>
      <c r="W228" s="12">
        <f>VLOOKUP(Tabla44[[#This Row],[ZONA DEFINITIVO]],[1]Hoja1!$A$1:$D$125,2,0)</f>
        <v>17259</v>
      </c>
      <c r="X228" s="12">
        <f>VLOOKUP(Tabla44[[#This Row],[ZONA DEFINITIVO]],[1]Hoja1!$A$1:$D$125,4,0)</f>
        <v>104625</v>
      </c>
      <c r="Y228" s="12" t="str">
        <f>+IF(Tabla44[[#This Row],[AGRUPACIONES]]=1,SUMIFS(Tabla44[UDS],Tabla44[ZONA DEFINITIVO],Tabla44[[#This Row],[ZONA DEFINITIVO]])," ")</f>
        <v xml:space="preserve"> </v>
      </c>
      <c r="Z228" s="12" t="str">
        <f>+IF(Tabla44[[#This Row],[AGRUPACIONES]]=1,SUMIFS(Tabla44[TOTAL COBERTURA],Tabla44[ZONA DEFINITIVO],Tabla44[[#This Row],[ZONA DEFINITIVO]])," ")</f>
        <v xml:space="preserve"> </v>
      </c>
      <c r="AA228" s="12"/>
      <c r="AB228" s="35">
        <v>498473150</v>
      </c>
      <c r="AC228" s="37">
        <v>0</v>
      </c>
      <c r="AD228" s="35">
        <f t="shared" si="4"/>
        <v>0</v>
      </c>
      <c r="AE228" s="12"/>
      <c r="AF228" s="12">
        <f>COUNTIF($A$20:A228,A228)</f>
        <v>7</v>
      </c>
      <c r="AG228" s="38">
        <v>498473150</v>
      </c>
      <c r="AH228" s="38">
        <f>Tabla44[[#This Row],[VALOR CONTRAPARTIDA]]+Tabla44[[#This Row],[TOTAL APORTES ICBF]]</f>
        <v>498473150</v>
      </c>
      <c r="AI228" s="35" t="str">
        <f>+IF(Tabla44[[#This Row],[AGRUPACIONES]]=1,SUMIFS(Tabla44[TOTAL APORTES ICBF],Tabla44[ZONA DEFINITIVO],Tabla44[[#This Row],[ZONA DEFINITIVO]])," ")</f>
        <v xml:space="preserve"> </v>
      </c>
      <c r="AJ228" s="38"/>
      <c r="AK228" s="38"/>
      <c r="AL228" s="35"/>
      <c r="AM228" s="35">
        <f>VLOOKUP(Tabla44[[#This Row],[SERVICIO 2025]],$J$2:$V$15,5,0)*Tabla44[[#This Row],[TOTAL COBERTURA]]</f>
        <v>10489017</v>
      </c>
      <c r="AN228" s="35">
        <f>VLOOKUP(Tabla44[[#This Row],[SERVICIO 2025]],$J$2:$V$15,6,0)*Tabla44[[#This Row],[TOTAL COBERTURA]]</f>
        <v>8930117</v>
      </c>
      <c r="AO228" s="35">
        <f>VLOOKUP(Tabla44[[#This Row],[SERVICIO 2025]],$J$2:$V$15,8,0)*Tabla44[[#This Row],[TOTAL COBERTURA]]</f>
        <v>0</v>
      </c>
      <c r="AP228" s="35">
        <f>VLOOKUP(Tabla44[[#This Row],[SERVICIO 2025]],$J$2:$V$15,3,0)*Tabla44[[#This Row],[TOTAL COBERTURA]]*8</f>
        <v>479054016</v>
      </c>
      <c r="AQ228" s="35"/>
      <c r="AR228" s="35">
        <f>SUM(Tabla44[[#This Row],[VALOR FASE PREPARATORIA DE ALISTAMIENTO]:[VALOR RACION PREPARADA]])</f>
        <v>498473150</v>
      </c>
      <c r="AS228" s="35" t="str">
        <f>+IF(Tabla44[[#This Row],[AGRUPACIONES]]=1,SUMIFS(Tabla44[VALOR TOTAL],Tabla44[ZONA DEFINITIVO],Tabla44[[#This Row],[ZONA DEFINITIVO]])," ")</f>
        <v xml:space="preserve"> </v>
      </c>
      <c r="AT228" s="35">
        <f>VLOOKUP(Tabla44[[#This Row],[SERVICIO 2025]],$J$2:$V$15,10,0)*Tabla44[[#This Row],[TOTAL COBERTURA]]*$X$7</f>
        <v>0</v>
      </c>
      <c r="AU228" s="39">
        <f>Tabla44[[#This Row],[TOTAL CONTRATO (ICBF+EAS)]]+Tabla44[[#This Row],[VALOR COMPONENTE ALIMENTACION NO ASIGNADO]]</f>
        <v>498473150</v>
      </c>
      <c r="AV22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70370769</v>
      </c>
      <c r="AW228" s="35">
        <f>(VLOOKUP(Tabla44[[#This Row],[SERVICIO 2025]],$J$2:$V$15,3,0)*Tabla44[[#This Row],[TOTAL COBERTURA]])+VLOOKUP(Tabla44[[#This Row],[SERVICIO 2025]],$J$2:$V$15,10,0)*Tabla44[[#This Row],[TOTAL COBERTURA]]</f>
        <v>59881752</v>
      </c>
      <c r="AX228" s="35">
        <f>(VLOOKUP(Tabla44[[#This Row],[SERVICIO 2025]],$J$2:$V$15,3,0)*Tabla44[[#This Row],[TOTAL COBERTURA]])+VLOOKUP(Tabla44[[#This Row],[SERVICIO 2025]],$J$2:$V$15,10,0)*Tabla44[[#This Row],[TOTAL COBERTURA]]</f>
        <v>59881752</v>
      </c>
      <c r="AY228" s="35">
        <f>(VLOOKUP(Tabla44[[#This Row],[SERVICIO 2025]],$J$2:$V$15,3,0)*Tabla44[[#This Row],[TOTAL COBERTURA]])+VLOOKUP(Tabla44[[#This Row],[SERVICIO 2025]],$J$2:$V$15,10,0)*Tabla44[[#This Row],[TOTAL COBERTURA]]</f>
        <v>59881752</v>
      </c>
      <c r="AZ228" s="35">
        <f>(VLOOKUP(Tabla44[[#This Row],[SERVICIO 2025]],$J$2:$V$15,3,0)*Tabla44[[#This Row],[TOTAL COBERTURA]])+VLOOKUP(Tabla44[[#This Row],[SERVICIO 2025]],$J$2:$V$15,10,0)*Tabla44[[#This Row],[TOTAL COBERTURA]]</f>
        <v>59881752</v>
      </c>
      <c r="BA228" s="35">
        <f>(VLOOKUP(Tabla44[[#This Row],[SERVICIO 2025]],$J$2:$V$15,3,0)*Tabla44[[#This Row],[TOTAL COBERTURA]])+VLOOKUP(Tabla44[[#This Row],[SERVICIO 2025]],$J$2:$V$15,10,0)*Tabla44[[#This Row],[TOTAL COBERTURA]]</f>
        <v>59881752</v>
      </c>
      <c r="BB228" s="35">
        <f>(VLOOKUP(Tabla44[[#This Row],[SERVICIO 2025]],$J$2:$V$15,3,0)*Tabla44[[#This Row],[TOTAL COBERTURA]])+VLOOKUP(Tabla44[[#This Row],[SERVICIO 2025]],$J$2:$V$15,10,0)*Tabla44[[#This Row],[TOTAL COBERTURA]]</f>
        <v>59881752</v>
      </c>
      <c r="BC22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68811869</v>
      </c>
      <c r="BD228" s="35">
        <f>SUM(Tabla44[[#This Row],[DESEMBOLSO 1]:[DESEMBOLSO 8]])</f>
        <v>498473150</v>
      </c>
      <c r="BE228" s="12" t="b">
        <f>EXACT(Tabla44[[#This Row],[VALOR ATENCIÓN (8 MESES)]],Tabla44[[#This Row],[VALOR TOTAL]])</f>
        <v>1</v>
      </c>
      <c r="BF228" s="23">
        <f>Tabla44[[#This Row],[VALOR ATENCIÓN (8 MESES)]]-Tabla44[[#This Row],[VALOR TOTAL]]</f>
        <v>0</v>
      </c>
      <c r="BG228" s="12" t="b">
        <f>EXACT(Tabla44[[#This Row],[TOTAL DESEMBOLSOS]],Tabla44[[#This Row],[VALOR TOTAL DEL CONTRATO INCLUIDO EL COMPONENTE DE ALIMENTACIÓN]])</f>
        <v>1</v>
      </c>
      <c r="BH228" s="29">
        <f>Tabla44[[#This Row],[TOTAL DESEMBOLSOS]]-Tabla44[[#This Row],[VALOR TOTAL DEL CONTRATO INCLUIDO EL COMPONENTE DE ALIMENTACIÓN]]</f>
        <v>0</v>
      </c>
      <c r="BI228" t="s">
        <v>98</v>
      </c>
    </row>
    <row r="229" spans="1:61">
      <c r="A229" s="13">
        <v>1993</v>
      </c>
      <c r="B229" s="13"/>
      <c r="C229" s="12" t="s">
        <v>87</v>
      </c>
      <c r="D229" s="12" t="s">
        <v>1628</v>
      </c>
      <c r="E229" s="12" t="s">
        <v>3248</v>
      </c>
      <c r="F229" s="12" t="s">
        <v>21</v>
      </c>
      <c r="G229" s="12" t="s">
        <v>90</v>
      </c>
      <c r="H229" s="12" t="s">
        <v>3260</v>
      </c>
      <c r="I229" s="36">
        <v>53101151176</v>
      </c>
      <c r="J229" s="12" t="s">
        <v>3261</v>
      </c>
      <c r="K229" s="12">
        <v>1</v>
      </c>
      <c r="L229" s="12">
        <v>50</v>
      </c>
      <c r="M229" s="12"/>
      <c r="N229" s="13">
        <v>1993</v>
      </c>
      <c r="O229" s="12" t="s">
        <v>2850</v>
      </c>
      <c r="P229" s="12"/>
      <c r="Q229" s="12"/>
      <c r="R229" s="12" t="s">
        <v>94</v>
      </c>
      <c r="S229" s="12">
        <v>10</v>
      </c>
      <c r="T229" s="12">
        <v>818001449</v>
      </c>
      <c r="U229" s="12" t="s">
        <v>3247</v>
      </c>
      <c r="V229" s="12">
        <f>VLOOKUP(Tabla44[[#This Row],[ZONA DEFINITIVO]],[1]Hoja1!$A$1:$D$125,3,0)</f>
        <v>229940</v>
      </c>
      <c r="W229" s="12">
        <f>VLOOKUP(Tabla44[[#This Row],[ZONA DEFINITIVO]],[1]Hoja1!$A$1:$D$125,2,0)</f>
        <v>17259</v>
      </c>
      <c r="X229" s="12">
        <f>VLOOKUP(Tabla44[[#This Row],[ZONA DEFINITIVO]],[1]Hoja1!$A$1:$D$125,4,0)</f>
        <v>104625</v>
      </c>
      <c r="Y229" s="12" t="str">
        <f>+IF(Tabla44[[#This Row],[AGRUPACIONES]]=1,SUMIFS(Tabla44[UDS],Tabla44[ZONA DEFINITIVO],Tabla44[[#This Row],[ZONA DEFINITIVO]])," ")</f>
        <v xml:space="preserve"> </v>
      </c>
      <c r="Z229" s="12" t="str">
        <f>+IF(Tabla44[[#This Row],[AGRUPACIONES]]=1,SUMIFS(Tabla44[TOTAL COBERTURA],Tabla44[ZONA DEFINITIVO],Tabla44[[#This Row],[ZONA DEFINITIVO]])," ")</f>
        <v xml:space="preserve"> </v>
      </c>
      <c r="AA229" s="12"/>
      <c r="AB229" s="35">
        <v>75965250</v>
      </c>
      <c r="AC229" s="37">
        <v>0</v>
      </c>
      <c r="AD229" s="35">
        <f t="shared" si="4"/>
        <v>0</v>
      </c>
      <c r="AE229" s="12"/>
      <c r="AF229" s="12">
        <f>COUNTIF($A$20:A229,A229)</f>
        <v>8</v>
      </c>
      <c r="AG229" s="38">
        <v>75965250</v>
      </c>
      <c r="AH229" s="38">
        <f>Tabla44[[#This Row],[VALOR CONTRAPARTIDA]]+Tabla44[[#This Row],[TOTAL APORTES ICBF]]</f>
        <v>75965250</v>
      </c>
      <c r="AI229" s="35" t="str">
        <f>+IF(Tabla44[[#This Row],[AGRUPACIONES]]=1,SUMIFS(Tabla44[TOTAL APORTES ICBF],Tabla44[ZONA DEFINITIVO],Tabla44[[#This Row],[ZONA DEFINITIVO]])," ")</f>
        <v xml:space="preserve"> </v>
      </c>
      <c r="AJ229" s="38"/>
      <c r="AK229" s="38"/>
      <c r="AL229" s="35"/>
      <c r="AM229" s="35">
        <f>VLOOKUP(Tabla44[[#This Row],[SERVICIO 2025]],$J$2:$V$15,5,0)*Tabla44[[#This Row],[TOTAL COBERTURA]]</f>
        <v>2337200</v>
      </c>
      <c r="AN229" s="35">
        <f>VLOOKUP(Tabla44[[#This Row],[SERVICIO 2025]],$J$2:$V$15,6,0)*Tabla44[[#This Row],[TOTAL COBERTURA]]</f>
        <v>1892050</v>
      </c>
      <c r="AO229" s="35">
        <f>VLOOKUP(Tabla44[[#This Row],[SERVICIO 2025]],$J$2:$V$15,8,0)*Tabla44[[#This Row],[TOTAL COBERTURA]]</f>
        <v>0</v>
      </c>
      <c r="AP229" s="35">
        <f>VLOOKUP(Tabla44[[#This Row],[SERVICIO 2025]],$J$2:$V$15,3,0)*Tabla44[[#This Row],[TOTAL COBERTURA]]*8</f>
        <v>71736000</v>
      </c>
      <c r="AQ229" s="35"/>
      <c r="AR229" s="35">
        <f>SUM(Tabla44[[#This Row],[VALOR FASE PREPARATORIA DE ALISTAMIENTO]:[VALOR RACION PREPARADA]])</f>
        <v>75965250</v>
      </c>
      <c r="AS229" s="35" t="str">
        <f>+IF(Tabla44[[#This Row],[AGRUPACIONES]]=1,SUMIFS(Tabla44[VALOR TOTAL],Tabla44[ZONA DEFINITIVO],Tabla44[[#This Row],[ZONA DEFINITIVO]])," ")</f>
        <v xml:space="preserve"> </v>
      </c>
      <c r="AT229" s="35">
        <f>VLOOKUP(Tabla44[[#This Row],[SERVICIO 2025]],$J$2:$V$15,10,0)*Tabla44[[#This Row],[TOTAL COBERTURA]]*$X$7</f>
        <v>75328400</v>
      </c>
      <c r="AU229" s="39">
        <f>Tabla44[[#This Row],[TOTAL CONTRATO (ICBF+EAS)]]+Tabla44[[#This Row],[VALOR COMPONENTE ALIMENTACION NO ASIGNADO]]</f>
        <v>151293650</v>
      </c>
      <c r="AV22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20720250</v>
      </c>
      <c r="AW229" s="35">
        <f>(VLOOKUP(Tabla44[[#This Row],[SERVICIO 2025]],$J$2:$V$15,3,0)*Tabla44[[#This Row],[TOTAL COBERTURA]])+VLOOKUP(Tabla44[[#This Row],[SERVICIO 2025]],$J$2:$V$15,10,0)*Tabla44[[#This Row],[TOTAL COBERTURA]]</f>
        <v>18383050</v>
      </c>
      <c r="AX229" s="35">
        <f>(VLOOKUP(Tabla44[[#This Row],[SERVICIO 2025]],$J$2:$V$15,3,0)*Tabla44[[#This Row],[TOTAL COBERTURA]])+VLOOKUP(Tabla44[[#This Row],[SERVICIO 2025]],$J$2:$V$15,10,0)*Tabla44[[#This Row],[TOTAL COBERTURA]]</f>
        <v>18383050</v>
      </c>
      <c r="AY229" s="35">
        <f>(VLOOKUP(Tabla44[[#This Row],[SERVICIO 2025]],$J$2:$V$15,3,0)*Tabla44[[#This Row],[TOTAL COBERTURA]])+VLOOKUP(Tabla44[[#This Row],[SERVICIO 2025]],$J$2:$V$15,10,0)*Tabla44[[#This Row],[TOTAL COBERTURA]]</f>
        <v>18383050</v>
      </c>
      <c r="AZ229" s="35">
        <f>(VLOOKUP(Tabla44[[#This Row],[SERVICIO 2025]],$J$2:$V$15,3,0)*Tabla44[[#This Row],[TOTAL COBERTURA]])+VLOOKUP(Tabla44[[#This Row],[SERVICIO 2025]],$J$2:$V$15,10,0)*Tabla44[[#This Row],[TOTAL COBERTURA]]</f>
        <v>18383050</v>
      </c>
      <c r="BA229" s="35">
        <f>(VLOOKUP(Tabla44[[#This Row],[SERVICIO 2025]],$J$2:$V$15,3,0)*Tabla44[[#This Row],[TOTAL COBERTURA]])+VLOOKUP(Tabla44[[#This Row],[SERVICIO 2025]],$J$2:$V$15,10,0)*Tabla44[[#This Row],[TOTAL COBERTURA]]</f>
        <v>18383050</v>
      </c>
      <c r="BB229" s="35">
        <f>(VLOOKUP(Tabla44[[#This Row],[SERVICIO 2025]],$J$2:$V$15,3,0)*Tabla44[[#This Row],[TOTAL COBERTURA]])+VLOOKUP(Tabla44[[#This Row],[SERVICIO 2025]],$J$2:$V$15,10,0)*Tabla44[[#This Row],[TOTAL COBERTURA]]</f>
        <v>18383050</v>
      </c>
      <c r="BC22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20275100</v>
      </c>
      <c r="BD229" s="35">
        <f>SUM(Tabla44[[#This Row],[DESEMBOLSO 1]:[DESEMBOLSO 8]])</f>
        <v>151293650</v>
      </c>
      <c r="BE229" s="12" t="b">
        <f>EXACT(Tabla44[[#This Row],[VALOR ATENCIÓN (8 MESES)]],Tabla44[[#This Row],[VALOR TOTAL]])</f>
        <v>1</v>
      </c>
      <c r="BF229" s="23">
        <f>Tabla44[[#This Row],[VALOR ATENCIÓN (8 MESES)]]-Tabla44[[#This Row],[VALOR TOTAL]]</f>
        <v>0</v>
      </c>
      <c r="BG229" s="12" t="b">
        <f>EXACT(Tabla44[[#This Row],[TOTAL DESEMBOLSOS]],Tabla44[[#This Row],[VALOR TOTAL DEL CONTRATO INCLUIDO EL COMPONENTE DE ALIMENTACIÓN]])</f>
        <v>1</v>
      </c>
      <c r="BH229" s="29">
        <f>Tabla44[[#This Row],[TOTAL DESEMBOLSOS]]-Tabla44[[#This Row],[VALOR TOTAL DEL CONTRATO INCLUIDO EL COMPONENTE DE ALIMENTACIÓN]]</f>
        <v>0</v>
      </c>
      <c r="BI229" t="s">
        <v>98</v>
      </c>
    </row>
    <row r="230" spans="1:61">
      <c r="A230" s="13">
        <v>1993</v>
      </c>
      <c r="B230" s="13"/>
      <c r="C230" s="12" t="s">
        <v>87</v>
      </c>
      <c r="D230" s="12" t="s">
        <v>1628</v>
      </c>
      <c r="E230" s="12" t="s">
        <v>3248</v>
      </c>
      <c r="F230" s="12" t="s">
        <v>21</v>
      </c>
      <c r="G230" s="12" t="s">
        <v>90</v>
      </c>
      <c r="H230" s="12" t="s">
        <v>3262</v>
      </c>
      <c r="I230" s="36">
        <v>53101153410</v>
      </c>
      <c r="J230" s="12" t="s">
        <v>3263</v>
      </c>
      <c r="K230" s="12">
        <v>1</v>
      </c>
      <c r="L230" s="12">
        <v>7</v>
      </c>
      <c r="M230" s="12"/>
      <c r="N230" s="13">
        <v>1993</v>
      </c>
      <c r="O230" s="12" t="s">
        <v>2850</v>
      </c>
      <c r="P230" s="12"/>
      <c r="Q230" s="12"/>
      <c r="R230" s="12" t="s">
        <v>94</v>
      </c>
      <c r="S230" s="12">
        <v>10</v>
      </c>
      <c r="T230" s="12">
        <v>818001449</v>
      </c>
      <c r="U230" s="12" t="s">
        <v>3247</v>
      </c>
      <c r="V230" s="12">
        <f>VLOOKUP(Tabla44[[#This Row],[ZONA DEFINITIVO]],[1]Hoja1!$A$1:$D$125,3,0)</f>
        <v>229940</v>
      </c>
      <c r="W230" s="12">
        <f>VLOOKUP(Tabla44[[#This Row],[ZONA DEFINITIVO]],[1]Hoja1!$A$1:$D$125,2,0)</f>
        <v>17259</v>
      </c>
      <c r="X230" s="12">
        <f>VLOOKUP(Tabla44[[#This Row],[ZONA DEFINITIVO]],[1]Hoja1!$A$1:$D$125,4,0)</f>
        <v>104625</v>
      </c>
      <c r="Y230" s="12" t="str">
        <f>+IF(Tabla44[[#This Row],[AGRUPACIONES]]=1,SUMIFS(Tabla44[UDS],Tabla44[ZONA DEFINITIVO],Tabla44[[#This Row],[ZONA DEFINITIVO]])," ")</f>
        <v xml:space="preserve"> </v>
      </c>
      <c r="Z230" s="12" t="str">
        <f>+IF(Tabla44[[#This Row],[AGRUPACIONES]]=1,SUMIFS(Tabla44[TOTAL COBERTURA],Tabla44[ZONA DEFINITIVO],Tabla44[[#This Row],[ZONA DEFINITIVO]])," ")</f>
        <v xml:space="preserve"> </v>
      </c>
      <c r="AA230" s="12"/>
      <c r="AB230" s="35">
        <v>10635135</v>
      </c>
      <c r="AC230" s="37">
        <v>0</v>
      </c>
      <c r="AD230" s="35">
        <f t="shared" si="4"/>
        <v>0</v>
      </c>
      <c r="AE230" s="12"/>
      <c r="AF230" s="12">
        <f>COUNTIF($A$20:A230,A230)</f>
        <v>9</v>
      </c>
      <c r="AG230" s="38">
        <v>10635135</v>
      </c>
      <c r="AH230" s="38">
        <f>Tabla44[[#This Row],[VALOR CONTRAPARTIDA]]+Tabla44[[#This Row],[TOTAL APORTES ICBF]]</f>
        <v>10635135</v>
      </c>
      <c r="AI230" s="35" t="str">
        <f>+IF(Tabla44[[#This Row],[AGRUPACIONES]]=1,SUMIFS(Tabla44[TOTAL APORTES ICBF],Tabla44[ZONA DEFINITIVO],Tabla44[[#This Row],[ZONA DEFINITIVO]])," ")</f>
        <v xml:space="preserve"> </v>
      </c>
      <c r="AJ230" s="38"/>
      <c r="AK230" s="38"/>
      <c r="AL230" s="35"/>
      <c r="AM230" s="35">
        <f>VLOOKUP(Tabla44[[#This Row],[SERVICIO 2025]],$J$2:$V$15,5,0)*Tabla44[[#This Row],[TOTAL COBERTURA]]</f>
        <v>327208</v>
      </c>
      <c r="AN230" s="35">
        <f>VLOOKUP(Tabla44[[#This Row],[SERVICIO 2025]],$J$2:$V$15,6,0)*Tabla44[[#This Row],[TOTAL COBERTURA]]</f>
        <v>264887</v>
      </c>
      <c r="AO230" s="35">
        <f>VLOOKUP(Tabla44[[#This Row],[SERVICIO 2025]],$J$2:$V$15,8,0)*Tabla44[[#This Row],[TOTAL COBERTURA]]</f>
        <v>0</v>
      </c>
      <c r="AP230" s="35">
        <f>VLOOKUP(Tabla44[[#This Row],[SERVICIO 2025]],$J$2:$V$15,3,0)*Tabla44[[#This Row],[TOTAL COBERTURA]]*8</f>
        <v>10043040</v>
      </c>
      <c r="AQ230" s="35"/>
      <c r="AR230" s="35">
        <f>SUM(Tabla44[[#This Row],[VALOR FASE PREPARATORIA DE ALISTAMIENTO]:[VALOR RACION PREPARADA]])</f>
        <v>10635135</v>
      </c>
      <c r="AS230" s="35" t="str">
        <f>+IF(Tabla44[[#This Row],[AGRUPACIONES]]=1,SUMIFS(Tabla44[VALOR TOTAL],Tabla44[ZONA DEFINITIVO],Tabla44[[#This Row],[ZONA DEFINITIVO]])," ")</f>
        <v xml:space="preserve"> </v>
      </c>
      <c r="AT230" s="35">
        <f>VLOOKUP(Tabla44[[#This Row],[SERVICIO 2025]],$J$2:$V$15,10,0)*Tabla44[[#This Row],[TOTAL COBERTURA]]*$X$7</f>
        <v>10545976</v>
      </c>
      <c r="AU230" s="39">
        <f>Tabla44[[#This Row],[TOTAL CONTRATO (ICBF+EAS)]]+Tabla44[[#This Row],[VALOR COMPONENTE ALIMENTACION NO ASIGNADO]]</f>
        <v>21181111</v>
      </c>
      <c r="AV23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2900835</v>
      </c>
      <c r="AW230" s="35">
        <f>(VLOOKUP(Tabla44[[#This Row],[SERVICIO 2025]],$J$2:$V$15,3,0)*Tabla44[[#This Row],[TOTAL COBERTURA]])+VLOOKUP(Tabla44[[#This Row],[SERVICIO 2025]],$J$2:$V$15,10,0)*Tabla44[[#This Row],[TOTAL COBERTURA]]</f>
        <v>2573627</v>
      </c>
      <c r="AX230" s="35">
        <f>(VLOOKUP(Tabla44[[#This Row],[SERVICIO 2025]],$J$2:$V$15,3,0)*Tabla44[[#This Row],[TOTAL COBERTURA]])+VLOOKUP(Tabla44[[#This Row],[SERVICIO 2025]],$J$2:$V$15,10,0)*Tabla44[[#This Row],[TOTAL COBERTURA]]</f>
        <v>2573627</v>
      </c>
      <c r="AY230" s="35">
        <f>(VLOOKUP(Tabla44[[#This Row],[SERVICIO 2025]],$J$2:$V$15,3,0)*Tabla44[[#This Row],[TOTAL COBERTURA]])+VLOOKUP(Tabla44[[#This Row],[SERVICIO 2025]],$J$2:$V$15,10,0)*Tabla44[[#This Row],[TOTAL COBERTURA]]</f>
        <v>2573627</v>
      </c>
      <c r="AZ230" s="35">
        <f>(VLOOKUP(Tabla44[[#This Row],[SERVICIO 2025]],$J$2:$V$15,3,0)*Tabla44[[#This Row],[TOTAL COBERTURA]])+VLOOKUP(Tabla44[[#This Row],[SERVICIO 2025]],$J$2:$V$15,10,0)*Tabla44[[#This Row],[TOTAL COBERTURA]]</f>
        <v>2573627</v>
      </c>
      <c r="BA230" s="35">
        <f>(VLOOKUP(Tabla44[[#This Row],[SERVICIO 2025]],$J$2:$V$15,3,0)*Tabla44[[#This Row],[TOTAL COBERTURA]])+VLOOKUP(Tabla44[[#This Row],[SERVICIO 2025]],$J$2:$V$15,10,0)*Tabla44[[#This Row],[TOTAL COBERTURA]]</f>
        <v>2573627</v>
      </c>
      <c r="BB230" s="35">
        <f>(VLOOKUP(Tabla44[[#This Row],[SERVICIO 2025]],$J$2:$V$15,3,0)*Tabla44[[#This Row],[TOTAL COBERTURA]])+VLOOKUP(Tabla44[[#This Row],[SERVICIO 2025]],$J$2:$V$15,10,0)*Tabla44[[#This Row],[TOTAL COBERTURA]]</f>
        <v>2573627</v>
      </c>
      <c r="BC23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2838514</v>
      </c>
      <c r="BD230" s="35">
        <f>SUM(Tabla44[[#This Row],[DESEMBOLSO 1]:[DESEMBOLSO 8]])</f>
        <v>21181111</v>
      </c>
      <c r="BE230" s="12" t="b">
        <f>EXACT(Tabla44[[#This Row],[VALOR ATENCIÓN (8 MESES)]],Tabla44[[#This Row],[VALOR TOTAL]])</f>
        <v>1</v>
      </c>
      <c r="BF230" s="23">
        <f>Tabla44[[#This Row],[VALOR ATENCIÓN (8 MESES)]]-Tabla44[[#This Row],[VALOR TOTAL]]</f>
        <v>0</v>
      </c>
      <c r="BG230" s="12" t="b">
        <f>EXACT(Tabla44[[#This Row],[TOTAL DESEMBOLSOS]],Tabla44[[#This Row],[VALOR TOTAL DEL CONTRATO INCLUIDO EL COMPONENTE DE ALIMENTACIÓN]])</f>
        <v>1</v>
      </c>
      <c r="BH230" s="29">
        <f>Tabla44[[#This Row],[TOTAL DESEMBOLSOS]]-Tabla44[[#This Row],[VALOR TOTAL DEL CONTRATO INCLUIDO EL COMPONENTE DE ALIMENTACIÓN]]</f>
        <v>0</v>
      </c>
      <c r="BI230" t="s">
        <v>98</v>
      </c>
    </row>
    <row r="231" spans="1:61">
      <c r="A231" s="13">
        <v>1993</v>
      </c>
      <c r="B231" s="13"/>
      <c r="C231" s="12" t="s">
        <v>87</v>
      </c>
      <c r="D231" s="12" t="s">
        <v>1628</v>
      </c>
      <c r="E231" s="12" t="s">
        <v>3248</v>
      </c>
      <c r="F231" s="12" t="s">
        <v>21</v>
      </c>
      <c r="G231" s="12" t="s">
        <v>90</v>
      </c>
      <c r="H231" s="12" t="s">
        <v>3264</v>
      </c>
      <c r="I231" s="36">
        <v>53101153411</v>
      </c>
      <c r="J231" s="12" t="s">
        <v>3265</v>
      </c>
      <c r="K231" s="12">
        <v>1</v>
      </c>
      <c r="L231" s="12">
        <v>6</v>
      </c>
      <c r="M231" s="12"/>
      <c r="N231" s="13">
        <v>1993</v>
      </c>
      <c r="O231" s="12" t="s">
        <v>2850</v>
      </c>
      <c r="P231" s="12"/>
      <c r="Q231" s="12"/>
      <c r="R231" s="12" t="s">
        <v>94</v>
      </c>
      <c r="S231" s="12">
        <v>10</v>
      </c>
      <c r="T231" s="12">
        <v>818001449</v>
      </c>
      <c r="U231" s="12" t="s">
        <v>3247</v>
      </c>
      <c r="V231" s="12">
        <f>VLOOKUP(Tabla44[[#This Row],[ZONA DEFINITIVO]],[1]Hoja1!$A$1:$D$125,3,0)</f>
        <v>229940</v>
      </c>
      <c r="W231" s="12">
        <f>VLOOKUP(Tabla44[[#This Row],[ZONA DEFINITIVO]],[1]Hoja1!$A$1:$D$125,2,0)</f>
        <v>17259</v>
      </c>
      <c r="X231" s="12">
        <f>VLOOKUP(Tabla44[[#This Row],[ZONA DEFINITIVO]],[1]Hoja1!$A$1:$D$125,4,0)</f>
        <v>104625</v>
      </c>
      <c r="Y231" s="12" t="str">
        <f>+IF(Tabla44[[#This Row],[AGRUPACIONES]]=1,SUMIFS(Tabla44[UDS],Tabla44[ZONA DEFINITIVO],Tabla44[[#This Row],[ZONA DEFINITIVO]])," ")</f>
        <v xml:space="preserve"> </v>
      </c>
      <c r="Z231" s="12" t="str">
        <f>+IF(Tabla44[[#This Row],[AGRUPACIONES]]=1,SUMIFS(Tabla44[TOTAL COBERTURA],Tabla44[ZONA DEFINITIVO],Tabla44[[#This Row],[ZONA DEFINITIVO]])," ")</f>
        <v xml:space="preserve"> </v>
      </c>
      <c r="AA231" s="12"/>
      <c r="AB231" s="35">
        <v>9115830</v>
      </c>
      <c r="AC231" s="37">
        <v>0</v>
      </c>
      <c r="AD231" s="35">
        <f t="shared" si="4"/>
        <v>0</v>
      </c>
      <c r="AE231" s="12"/>
      <c r="AF231" s="12">
        <f>COUNTIF($A$20:A231,A231)</f>
        <v>10</v>
      </c>
      <c r="AG231" s="38">
        <v>9115830</v>
      </c>
      <c r="AH231" s="38">
        <f>Tabla44[[#This Row],[VALOR CONTRAPARTIDA]]+Tabla44[[#This Row],[TOTAL APORTES ICBF]]</f>
        <v>9115830</v>
      </c>
      <c r="AI231" s="35" t="str">
        <f>+IF(Tabla44[[#This Row],[AGRUPACIONES]]=1,SUMIFS(Tabla44[TOTAL APORTES ICBF],Tabla44[ZONA DEFINITIVO],Tabla44[[#This Row],[ZONA DEFINITIVO]])," ")</f>
        <v xml:space="preserve"> </v>
      </c>
      <c r="AJ231" s="38"/>
      <c r="AK231" s="38"/>
      <c r="AL231" s="35"/>
      <c r="AM231" s="35">
        <f>VLOOKUP(Tabla44[[#This Row],[SERVICIO 2025]],$J$2:$V$15,5,0)*Tabla44[[#This Row],[TOTAL COBERTURA]]</f>
        <v>280464</v>
      </c>
      <c r="AN231" s="35">
        <f>VLOOKUP(Tabla44[[#This Row],[SERVICIO 2025]],$J$2:$V$15,6,0)*Tabla44[[#This Row],[TOTAL COBERTURA]]</f>
        <v>227046</v>
      </c>
      <c r="AO231" s="35">
        <f>VLOOKUP(Tabla44[[#This Row],[SERVICIO 2025]],$J$2:$V$15,8,0)*Tabla44[[#This Row],[TOTAL COBERTURA]]</f>
        <v>0</v>
      </c>
      <c r="AP231" s="35">
        <f>VLOOKUP(Tabla44[[#This Row],[SERVICIO 2025]],$J$2:$V$15,3,0)*Tabla44[[#This Row],[TOTAL COBERTURA]]*8</f>
        <v>8608320</v>
      </c>
      <c r="AQ231" s="35"/>
      <c r="AR231" s="35">
        <f>SUM(Tabla44[[#This Row],[VALOR FASE PREPARATORIA DE ALISTAMIENTO]:[VALOR RACION PREPARADA]])</f>
        <v>9115830</v>
      </c>
      <c r="AS231" s="35" t="str">
        <f>+IF(Tabla44[[#This Row],[AGRUPACIONES]]=1,SUMIFS(Tabla44[VALOR TOTAL],Tabla44[ZONA DEFINITIVO],Tabla44[[#This Row],[ZONA DEFINITIVO]])," ")</f>
        <v xml:space="preserve"> </v>
      </c>
      <c r="AT231" s="35">
        <f>VLOOKUP(Tabla44[[#This Row],[SERVICIO 2025]],$J$2:$V$15,10,0)*Tabla44[[#This Row],[TOTAL COBERTURA]]*$X$7</f>
        <v>9039408</v>
      </c>
      <c r="AU231" s="39">
        <f>Tabla44[[#This Row],[TOTAL CONTRATO (ICBF+EAS)]]+Tabla44[[#This Row],[VALOR COMPONENTE ALIMENTACION NO ASIGNADO]]</f>
        <v>18155238</v>
      </c>
      <c r="AV23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2486430</v>
      </c>
      <c r="AW231" s="35">
        <f>(VLOOKUP(Tabla44[[#This Row],[SERVICIO 2025]],$J$2:$V$15,3,0)*Tabla44[[#This Row],[TOTAL COBERTURA]])+VLOOKUP(Tabla44[[#This Row],[SERVICIO 2025]],$J$2:$V$15,10,0)*Tabla44[[#This Row],[TOTAL COBERTURA]]</f>
        <v>2205966</v>
      </c>
      <c r="AX231" s="35">
        <f>(VLOOKUP(Tabla44[[#This Row],[SERVICIO 2025]],$J$2:$V$15,3,0)*Tabla44[[#This Row],[TOTAL COBERTURA]])+VLOOKUP(Tabla44[[#This Row],[SERVICIO 2025]],$J$2:$V$15,10,0)*Tabla44[[#This Row],[TOTAL COBERTURA]]</f>
        <v>2205966</v>
      </c>
      <c r="AY231" s="35">
        <f>(VLOOKUP(Tabla44[[#This Row],[SERVICIO 2025]],$J$2:$V$15,3,0)*Tabla44[[#This Row],[TOTAL COBERTURA]])+VLOOKUP(Tabla44[[#This Row],[SERVICIO 2025]],$J$2:$V$15,10,0)*Tabla44[[#This Row],[TOTAL COBERTURA]]</f>
        <v>2205966</v>
      </c>
      <c r="AZ231" s="35">
        <f>(VLOOKUP(Tabla44[[#This Row],[SERVICIO 2025]],$J$2:$V$15,3,0)*Tabla44[[#This Row],[TOTAL COBERTURA]])+VLOOKUP(Tabla44[[#This Row],[SERVICIO 2025]],$J$2:$V$15,10,0)*Tabla44[[#This Row],[TOTAL COBERTURA]]</f>
        <v>2205966</v>
      </c>
      <c r="BA231" s="35">
        <f>(VLOOKUP(Tabla44[[#This Row],[SERVICIO 2025]],$J$2:$V$15,3,0)*Tabla44[[#This Row],[TOTAL COBERTURA]])+VLOOKUP(Tabla44[[#This Row],[SERVICIO 2025]],$J$2:$V$15,10,0)*Tabla44[[#This Row],[TOTAL COBERTURA]]</f>
        <v>2205966</v>
      </c>
      <c r="BB231" s="35">
        <f>(VLOOKUP(Tabla44[[#This Row],[SERVICIO 2025]],$J$2:$V$15,3,0)*Tabla44[[#This Row],[TOTAL COBERTURA]])+VLOOKUP(Tabla44[[#This Row],[SERVICIO 2025]],$J$2:$V$15,10,0)*Tabla44[[#This Row],[TOTAL COBERTURA]]</f>
        <v>2205966</v>
      </c>
      <c r="BC23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2433012</v>
      </c>
      <c r="BD231" s="35">
        <f>SUM(Tabla44[[#This Row],[DESEMBOLSO 1]:[DESEMBOLSO 8]])</f>
        <v>18155238</v>
      </c>
      <c r="BE231" s="12" t="b">
        <f>EXACT(Tabla44[[#This Row],[VALOR ATENCIÓN (8 MESES)]],Tabla44[[#This Row],[VALOR TOTAL]])</f>
        <v>1</v>
      </c>
      <c r="BF231" s="23">
        <f>Tabla44[[#This Row],[VALOR ATENCIÓN (8 MESES)]]-Tabla44[[#This Row],[VALOR TOTAL]]</f>
        <v>0</v>
      </c>
      <c r="BG231" s="12" t="b">
        <f>EXACT(Tabla44[[#This Row],[TOTAL DESEMBOLSOS]],Tabla44[[#This Row],[VALOR TOTAL DEL CONTRATO INCLUIDO EL COMPONENTE DE ALIMENTACIÓN]])</f>
        <v>1</v>
      </c>
      <c r="BH231" s="29">
        <f>Tabla44[[#This Row],[TOTAL DESEMBOLSOS]]-Tabla44[[#This Row],[VALOR TOTAL DEL CONTRATO INCLUIDO EL COMPONENTE DE ALIMENTACIÓN]]</f>
        <v>0</v>
      </c>
      <c r="BI231" t="s">
        <v>98</v>
      </c>
    </row>
    <row r="232" spans="1:61">
      <c r="A232" s="13">
        <v>1993</v>
      </c>
      <c r="B232" s="21"/>
      <c r="C232" s="22" t="s">
        <v>87</v>
      </c>
      <c r="D232" s="22" t="s">
        <v>1628</v>
      </c>
      <c r="E232" s="22" t="s">
        <v>3248</v>
      </c>
      <c r="F232" s="22" t="s">
        <v>21</v>
      </c>
      <c r="G232" s="12" t="s">
        <v>90</v>
      </c>
      <c r="H232" s="22" t="s">
        <v>3041</v>
      </c>
      <c r="I232" s="36">
        <v>53101153412</v>
      </c>
      <c r="J232" s="22" t="s">
        <v>3266</v>
      </c>
      <c r="K232" s="12">
        <v>1</v>
      </c>
      <c r="L232" s="22">
        <v>8</v>
      </c>
      <c r="M232" s="22"/>
      <c r="N232" s="13">
        <v>1993</v>
      </c>
      <c r="O232" s="22" t="s">
        <v>2850</v>
      </c>
      <c r="P232" s="22"/>
      <c r="Q232" s="22"/>
      <c r="R232" s="12" t="s">
        <v>94</v>
      </c>
      <c r="S232" s="12">
        <v>10</v>
      </c>
      <c r="T232" s="12">
        <v>818001449</v>
      </c>
      <c r="U232" s="12" t="s">
        <v>3247</v>
      </c>
      <c r="V232" s="22">
        <f>VLOOKUP(Tabla44[[#This Row],[ZONA DEFINITIVO]],[1]Hoja1!$A$1:$D$125,3,0)</f>
        <v>229940</v>
      </c>
      <c r="W232" s="22">
        <f>VLOOKUP(Tabla44[[#This Row],[ZONA DEFINITIVO]],[1]Hoja1!$A$1:$D$125,2,0)</f>
        <v>17259</v>
      </c>
      <c r="X232" s="22">
        <f>VLOOKUP(Tabla44[[#This Row],[ZONA DEFINITIVO]],[1]Hoja1!$A$1:$D$125,4,0)</f>
        <v>104625</v>
      </c>
      <c r="Y232" s="22" t="str">
        <f>+IF(Tabla44[[#This Row],[AGRUPACIONES]]=1,SUMIFS(Tabla44[UDS],Tabla44[ZONA DEFINITIVO],Tabla44[[#This Row],[ZONA DEFINITIVO]])," ")</f>
        <v xml:space="preserve"> </v>
      </c>
      <c r="Z232" s="22" t="str">
        <f>+IF(Tabla44[[#This Row],[AGRUPACIONES]]=1,SUMIFS(Tabla44[TOTAL COBERTURA],Tabla44[ZONA DEFINITIVO],Tabla44[[#This Row],[ZONA DEFINITIVO]])," ")</f>
        <v xml:space="preserve"> </v>
      </c>
      <c r="AA232" s="22"/>
      <c r="AB232" s="40">
        <v>12154440</v>
      </c>
      <c r="AC232" s="37">
        <v>0</v>
      </c>
      <c r="AD232" s="40">
        <f t="shared" si="4"/>
        <v>0</v>
      </c>
      <c r="AE232" s="22"/>
      <c r="AF232" s="12">
        <f>COUNTIF($A$20:A232,A232)</f>
        <v>11</v>
      </c>
      <c r="AG232" s="41">
        <v>12154440</v>
      </c>
      <c r="AH232" s="41">
        <f>Tabla44[[#This Row],[VALOR CONTRAPARTIDA]]+Tabla44[[#This Row],[TOTAL APORTES ICBF]]</f>
        <v>12154440</v>
      </c>
      <c r="AI232" s="40" t="str">
        <f>+IF(Tabla44[[#This Row],[AGRUPACIONES]]=1,SUMIFS(Tabla44[TOTAL APORTES ICBF],Tabla44[ZONA DEFINITIVO],Tabla44[[#This Row],[ZONA DEFINITIVO]])," ")</f>
        <v xml:space="preserve"> </v>
      </c>
      <c r="AJ232" s="41"/>
      <c r="AK232" s="41"/>
      <c r="AL232" s="40"/>
      <c r="AM232" s="40">
        <f>VLOOKUP(Tabla44[[#This Row],[SERVICIO 2025]],$J$2:$V$15,5,0)*Tabla44[[#This Row],[TOTAL COBERTURA]]</f>
        <v>373952</v>
      </c>
      <c r="AN232" s="40">
        <f>VLOOKUP(Tabla44[[#This Row],[SERVICIO 2025]],$J$2:$V$15,6,0)*Tabla44[[#This Row],[TOTAL COBERTURA]]</f>
        <v>302728</v>
      </c>
      <c r="AO232" s="40">
        <f>VLOOKUP(Tabla44[[#This Row],[SERVICIO 2025]],$J$2:$V$15,8,0)*Tabla44[[#This Row],[TOTAL COBERTURA]]</f>
        <v>0</v>
      </c>
      <c r="AP232" s="40">
        <f>VLOOKUP(Tabla44[[#This Row],[SERVICIO 2025]],$J$2:$V$15,3,0)*Tabla44[[#This Row],[TOTAL COBERTURA]]*8</f>
        <v>11477760</v>
      </c>
      <c r="AQ232" s="40"/>
      <c r="AR232" s="40">
        <f>SUM(Tabla44[[#This Row],[VALOR FASE PREPARATORIA DE ALISTAMIENTO]:[VALOR RACION PREPARADA]])</f>
        <v>12154440</v>
      </c>
      <c r="AS232" s="40" t="str">
        <f>+IF(Tabla44[[#This Row],[AGRUPACIONES]]=1,SUMIFS(Tabla44[VALOR TOTAL],Tabla44[ZONA DEFINITIVO],Tabla44[[#This Row],[ZONA DEFINITIVO]])," ")</f>
        <v xml:space="preserve"> </v>
      </c>
      <c r="AT232" s="35">
        <f>VLOOKUP(Tabla44[[#This Row],[SERVICIO 2025]],$J$2:$V$15,10,0)*Tabla44[[#This Row],[TOTAL COBERTURA]]*$X$7</f>
        <v>12052544</v>
      </c>
      <c r="AU232" s="42">
        <f>Tabla44[[#This Row],[TOTAL CONTRATO (ICBF+EAS)]]+Tabla44[[#This Row],[VALOR COMPONENTE ALIMENTACION NO ASIGNADO]]</f>
        <v>24206984</v>
      </c>
      <c r="AV23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3315240</v>
      </c>
      <c r="AW232" s="35">
        <f>(VLOOKUP(Tabla44[[#This Row],[SERVICIO 2025]],$J$2:$V$15,3,0)*Tabla44[[#This Row],[TOTAL COBERTURA]])+VLOOKUP(Tabla44[[#This Row],[SERVICIO 2025]],$J$2:$V$15,10,0)*Tabla44[[#This Row],[TOTAL COBERTURA]]</f>
        <v>2941288</v>
      </c>
      <c r="AX232" s="40">
        <f>(VLOOKUP(Tabla44[[#This Row],[SERVICIO 2025]],$J$2:$V$15,3,0)*Tabla44[[#This Row],[TOTAL COBERTURA]])+VLOOKUP(Tabla44[[#This Row],[SERVICIO 2025]],$J$2:$V$15,10,0)*Tabla44[[#This Row],[TOTAL COBERTURA]]</f>
        <v>2941288</v>
      </c>
      <c r="AY232" s="40">
        <f>(VLOOKUP(Tabla44[[#This Row],[SERVICIO 2025]],$J$2:$V$15,3,0)*Tabla44[[#This Row],[TOTAL COBERTURA]])+VLOOKUP(Tabla44[[#This Row],[SERVICIO 2025]],$J$2:$V$15,10,0)*Tabla44[[#This Row],[TOTAL COBERTURA]]</f>
        <v>2941288</v>
      </c>
      <c r="AZ232" s="40">
        <f>(VLOOKUP(Tabla44[[#This Row],[SERVICIO 2025]],$J$2:$V$15,3,0)*Tabla44[[#This Row],[TOTAL COBERTURA]])+VLOOKUP(Tabla44[[#This Row],[SERVICIO 2025]],$J$2:$V$15,10,0)*Tabla44[[#This Row],[TOTAL COBERTURA]]</f>
        <v>2941288</v>
      </c>
      <c r="BA232" s="40">
        <f>(VLOOKUP(Tabla44[[#This Row],[SERVICIO 2025]],$J$2:$V$15,3,0)*Tabla44[[#This Row],[TOTAL COBERTURA]])+VLOOKUP(Tabla44[[#This Row],[SERVICIO 2025]],$J$2:$V$15,10,0)*Tabla44[[#This Row],[TOTAL COBERTURA]]</f>
        <v>2941288</v>
      </c>
      <c r="BB232" s="40">
        <f>(VLOOKUP(Tabla44[[#This Row],[SERVICIO 2025]],$J$2:$V$15,3,0)*Tabla44[[#This Row],[TOTAL COBERTURA]])+VLOOKUP(Tabla44[[#This Row],[SERVICIO 2025]],$J$2:$V$15,10,0)*Tabla44[[#This Row],[TOTAL COBERTURA]]</f>
        <v>2941288</v>
      </c>
      <c r="BC232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3244016</v>
      </c>
      <c r="BD232" s="40">
        <f>SUM(Tabla44[[#This Row],[DESEMBOLSO 1]:[DESEMBOLSO 8]])</f>
        <v>24206984</v>
      </c>
      <c r="BE232" s="22" t="b">
        <f>EXACT(Tabla44[[#This Row],[VALOR ATENCIÓN (8 MESES)]],Tabla44[[#This Row],[VALOR TOTAL]])</f>
        <v>1</v>
      </c>
      <c r="BF232" s="28">
        <f>Tabla44[[#This Row],[VALOR ATENCIÓN (8 MESES)]]-Tabla44[[#This Row],[VALOR TOTAL]]</f>
        <v>0</v>
      </c>
      <c r="BG232" s="22" t="b">
        <f>EXACT(Tabla44[[#This Row],[TOTAL DESEMBOLSOS]],Tabla44[[#This Row],[VALOR TOTAL DEL CONTRATO INCLUIDO EL COMPONENTE DE ALIMENTACIÓN]])</f>
        <v>1</v>
      </c>
      <c r="BH232" s="29">
        <f>Tabla44[[#This Row],[TOTAL DESEMBOLSOS]]-Tabla44[[#This Row],[VALOR TOTAL DEL CONTRATO INCLUIDO EL COMPONENTE DE ALIMENTACIÓN]]</f>
        <v>0</v>
      </c>
      <c r="BI232" t="s">
        <v>98</v>
      </c>
    </row>
    <row r="233" spans="1:61">
      <c r="A233" s="13">
        <v>1993</v>
      </c>
      <c r="B233" s="13"/>
      <c r="C233" s="12" t="s">
        <v>87</v>
      </c>
      <c r="D233" s="12" t="s">
        <v>1628</v>
      </c>
      <c r="E233" s="12" t="s">
        <v>3248</v>
      </c>
      <c r="F233" s="12" t="s">
        <v>21</v>
      </c>
      <c r="G233" s="12" t="s">
        <v>90</v>
      </c>
      <c r="H233" s="12" t="s">
        <v>1934</v>
      </c>
      <c r="I233" s="36">
        <v>531000038765</v>
      </c>
      <c r="J233" s="12" t="s">
        <v>3267</v>
      </c>
      <c r="K233" s="12">
        <v>1</v>
      </c>
      <c r="L233" s="12">
        <v>6</v>
      </c>
      <c r="M233" s="12"/>
      <c r="N233" s="13">
        <v>1993</v>
      </c>
      <c r="O233" s="12" t="s">
        <v>2850</v>
      </c>
      <c r="P233" s="12"/>
      <c r="Q233" s="12"/>
      <c r="R233" s="12" t="s">
        <v>94</v>
      </c>
      <c r="S233" s="12">
        <v>10</v>
      </c>
      <c r="T233" s="12">
        <v>818001449</v>
      </c>
      <c r="U233" s="12" t="s">
        <v>3247</v>
      </c>
      <c r="V233" s="12">
        <f>VLOOKUP(Tabla44[[#This Row],[ZONA DEFINITIVO]],[1]Hoja1!$A$1:$D$125,3,0)</f>
        <v>229940</v>
      </c>
      <c r="W233" s="12">
        <f>VLOOKUP(Tabla44[[#This Row],[ZONA DEFINITIVO]],[1]Hoja1!$A$1:$D$125,2,0)</f>
        <v>17259</v>
      </c>
      <c r="X233" s="12">
        <f>VLOOKUP(Tabla44[[#This Row],[ZONA DEFINITIVO]],[1]Hoja1!$A$1:$D$125,4,0)</f>
        <v>104625</v>
      </c>
      <c r="Y233" s="12" t="str">
        <f>+IF(Tabla44[[#This Row],[AGRUPACIONES]]=1,SUMIFS(Tabla44[UDS],Tabla44[ZONA DEFINITIVO],Tabla44[[#This Row],[ZONA DEFINITIVO]])," ")</f>
        <v xml:space="preserve"> </v>
      </c>
      <c r="Z233" s="12" t="str">
        <f>+IF(Tabla44[[#This Row],[AGRUPACIONES]]=1,SUMIFS(Tabla44[TOTAL COBERTURA],Tabla44[ZONA DEFINITIVO],Tabla44[[#This Row],[ZONA DEFINITIVO]])," ")</f>
        <v xml:space="preserve"> </v>
      </c>
      <c r="AA233" s="12"/>
      <c r="AB233" s="35">
        <v>9115830</v>
      </c>
      <c r="AC233" s="37">
        <v>0</v>
      </c>
      <c r="AD233" s="35">
        <f t="shared" si="4"/>
        <v>0</v>
      </c>
      <c r="AE233" s="12"/>
      <c r="AF233" s="12">
        <f>COUNTIF($A$20:A233,A233)</f>
        <v>12</v>
      </c>
      <c r="AG233" s="38">
        <v>9115830</v>
      </c>
      <c r="AH233" s="38">
        <f>Tabla44[[#This Row],[VALOR CONTRAPARTIDA]]+Tabla44[[#This Row],[TOTAL APORTES ICBF]]</f>
        <v>9115830</v>
      </c>
      <c r="AI233" s="35" t="str">
        <f>+IF(Tabla44[[#This Row],[AGRUPACIONES]]=1,SUMIFS(Tabla44[TOTAL APORTES ICBF],Tabla44[ZONA DEFINITIVO],Tabla44[[#This Row],[ZONA DEFINITIVO]])," ")</f>
        <v xml:space="preserve"> </v>
      </c>
      <c r="AJ233" s="38"/>
      <c r="AK233" s="38"/>
      <c r="AL233" s="35"/>
      <c r="AM233" s="35">
        <f>VLOOKUP(Tabla44[[#This Row],[SERVICIO 2025]],$J$2:$V$15,5,0)*Tabla44[[#This Row],[TOTAL COBERTURA]]</f>
        <v>280464</v>
      </c>
      <c r="AN233" s="35">
        <f>VLOOKUP(Tabla44[[#This Row],[SERVICIO 2025]],$J$2:$V$15,6,0)*Tabla44[[#This Row],[TOTAL COBERTURA]]</f>
        <v>227046</v>
      </c>
      <c r="AO233" s="35">
        <f>VLOOKUP(Tabla44[[#This Row],[SERVICIO 2025]],$J$2:$V$15,8,0)*Tabla44[[#This Row],[TOTAL COBERTURA]]</f>
        <v>0</v>
      </c>
      <c r="AP233" s="35">
        <f>VLOOKUP(Tabla44[[#This Row],[SERVICIO 2025]],$J$2:$V$15,3,0)*Tabla44[[#This Row],[TOTAL COBERTURA]]*8</f>
        <v>8608320</v>
      </c>
      <c r="AQ233" s="35"/>
      <c r="AR233" s="35">
        <f>SUM(Tabla44[[#This Row],[VALOR FASE PREPARATORIA DE ALISTAMIENTO]:[VALOR RACION PREPARADA]])</f>
        <v>9115830</v>
      </c>
      <c r="AS233" s="35" t="str">
        <f>+IF(Tabla44[[#This Row],[AGRUPACIONES]]=1,SUMIFS(Tabla44[VALOR TOTAL],Tabla44[ZONA DEFINITIVO],Tabla44[[#This Row],[ZONA DEFINITIVO]])," ")</f>
        <v xml:space="preserve"> </v>
      </c>
      <c r="AT233" s="35">
        <f>VLOOKUP(Tabla44[[#This Row],[SERVICIO 2025]],$J$2:$V$15,10,0)*Tabla44[[#This Row],[TOTAL COBERTURA]]*$X$7</f>
        <v>9039408</v>
      </c>
      <c r="AU233" s="39">
        <f>Tabla44[[#This Row],[TOTAL CONTRATO (ICBF+EAS)]]+Tabla44[[#This Row],[VALOR COMPONENTE ALIMENTACION NO ASIGNADO]]</f>
        <v>18155238</v>
      </c>
      <c r="AV23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2486430</v>
      </c>
      <c r="AW233" s="35">
        <f>(VLOOKUP(Tabla44[[#This Row],[SERVICIO 2025]],$J$2:$V$15,3,0)*Tabla44[[#This Row],[TOTAL COBERTURA]])+VLOOKUP(Tabla44[[#This Row],[SERVICIO 2025]],$J$2:$V$15,10,0)*Tabla44[[#This Row],[TOTAL COBERTURA]]</f>
        <v>2205966</v>
      </c>
      <c r="AX233" s="35">
        <f>(VLOOKUP(Tabla44[[#This Row],[SERVICIO 2025]],$J$2:$V$15,3,0)*Tabla44[[#This Row],[TOTAL COBERTURA]])+VLOOKUP(Tabla44[[#This Row],[SERVICIO 2025]],$J$2:$V$15,10,0)*Tabla44[[#This Row],[TOTAL COBERTURA]]</f>
        <v>2205966</v>
      </c>
      <c r="AY233" s="35">
        <f>(VLOOKUP(Tabla44[[#This Row],[SERVICIO 2025]],$J$2:$V$15,3,0)*Tabla44[[#This Row],[TOTAL COBERTURA]])+VLOOKUP(Tabla44[[#This Row],[SERVICIO 2025]],$J$2:$V$15,10,0)*Tabla44[[#This Row],[TOTAL COBERTURA]]</f>
        <v>2205966</v>
      </c>
      <c r="AZ233" s="35">
        <f>(VLOOKUP(Tabla44[[#This Row],[SERVICIO 2025]],$J$2:$V$15,3,0)*Tabla44[[#This Row],[TOTAL COBERTURA]])+VLOOKUP(Tabla44[[#This Row],[SERVICIO 2025]],$J$2:$V$15,10,0)*Tabla44[[#This Row],[TOTAL COBERTURA]]</f>
        <v>2205966</v>
      </c>
      <c r="BA233" s="35">
        <f>(VLOOKUP(Tabla44[[#This Row],[SERVICIO 2025]],$J$2:$V$15,3,0)*Tabla44[[#This Row],[TOTAL COBERTURA]])+VLOOKUP(Tabla44[[#This Row],[SERVICIO 2025]],$J$2:$V$15,10,0)*Tabla44[[#This Row],[TOTAL COBERTURA]]</f>
        <v>2205966</v>
      </c>
      <c r="BB233" s="35">
        <f>(VLOOKUP(Tabla44[[#This Row],[SERVICIO 2025]],$J$2:$V$15,3,0)*Tabla44[[#This Row],[TOTAL COBERTURA]])+VLOOKUP(Tabla44[[#This Row],[SERVICIO 2025]],$J$2:$V$15,10,0)*Tabla44[[#This Row],[TOTAL COBERTURA]]</f>
        <v>2205966</v>
      </c>
      <c r="BC23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2433012</v>
      </c>
      <c r="BD233" s="35">
        <f>SUM(Tabla44[[#This Row],[DESEMBOLSO 1]:[DESEMBOLSO 8]])</f>
        <v>18155238</v>
      </c>
      <c r="BE233" s="12" t="b">
        <f>EXACT(Tabla44[[#This Row],[VALOR ATENCIÓN (8 MESES)]],Tabla44[[#This Row],[VALOR TOTAL]])</f>
        <v>1</v>
      </c>
      <c r="BF233" s="23">
        <f>Tabla44[[#This Row],[VALOR ATENCIÓN (8 MESES)]]-Tabla44[[#This Row],[VALOR TOTAL]]</f>
        <v>0</v>
      </c>
      <c r="BG233" s="12" t="b">
        <f>EXACT(Tabla44[[#This Row],[TOTAL DESEMBOLSOS]],Tabla44[[#This Row],[VALOR TOTAL DEL CONTRATO INCLUIDO EL COMPONENTE DE ALIMENTACIÓN]])</f>
        <v>1</v>
      </c>
      <c r="BH233" s="29">
        <f>Tabla44[[#This Row],[TOTAL DESEMBOLSOS]]-Tabla44[[#This Row],[VALOR TOTAL DEL CONTRATO INCLUIDO EL COMPONENTE DE ALIMENTACIÓN]]</f>
        <v>0</v>
      </c>
      <c r="BI233" t="s">
        <v>98</v>
      </c>
    </row>
    <row r="234" spans="1:61">
      <c r="A234" s="13">
        <v>1993</v>
      </c>
      <c r="B234" s="13"/>
      <c r="C234" s="12" t="s">
        <v>87</v>
      </c>
      <c r="D234" s="12" t="s">
        <v>1628</v>
      </c>
      <c r="E234" s="12" t="s">
        <v>3268</v>
      </c>
      <c r="F234" s="12" t="s">
        <v>21</v>
      </c>
      <c r="G234" s="12" t="s">
        <v>90</v>
      </c>
      <c r="H234" s="12" t="s">
        <v>3269</v>
      </c>
      <c r="I234" s="36">
        <v>53151118990</v>
      </c>
      <c r="J234" s="12" t="s">
        <v>3270</v>
      </c>
      <c r="K234" s="12">
        <v>1</v>
      </c>
      <c r="L234" s="12">
        <v>10</v>
      </c>
      <c r="M234" s="12"/>
      <c r="N234" s="13">
        <v>1993</v>
      </c>
      <c r="O234" s="12" t="s">
        <v>2850</v>
      </c>
      <c r="P234" s="12"/>
      <c r="Q234" s="12"/>
      <c r="R234" s="12" t="s">
        <v>94</v>
      </c>
      <c r="S234" s="12">
        <v>10</v>
      </c>
      <c r="T234" s="12">
        <v>818001449</v>
      </c>
      <c r="U234" s="12" t="s">
        <v>3247</v>
      </c>
      <c r="V234" s="12">
        <f>VLOOKUP(Tabla44[[#This Row],[ZONA DEFINITIVO]],[1]Hoja1!$A$1:$D$125,3,0)</f>
        <v>229940</v>
      </c>
      <c r="W234" s="12">
        <f>VLOOKUP(Tabla44[[#This Row],[ZONA DEFINITIVO]],[1]Hoja1!$A$1:$D$125,2,0)</f>
        <v>17259</v>
      </c>
      <c r="X234" s="12">
        <f>VLOOKUP(Tabla44[[#This Row],[ZONA DEFINITIVO]],[1]Hoja1!$A$1:$D$125,4,0)</f>
        <v>104625</v>
      </c>
      <c r="Y234" s="12" t="str">
        <f>+IF(Tabla44[[#This Row],[AGRUPACIONES]]=1,SUMIFS(Tabla44[UDS],Tabla44[ZONA DEFINITIVO],Tabla44[[#This Row],[ZONA DEFINITIVO]])," ")</f>
        <v xml:space="preserve"> </v>
      </c>
      <c r="Z234" s="12" t="str">
        <f>+IF(Tabla44[[#This Row],[AGRUPACIONES]]=1,SUMIFS(Tabla44[TOTAL COBERTURA],Tabla44[ZONA DEFINITIVO],Tabla44[[#This Row],[ZONA DEFINITIVO]])," ")</f>
        <v xml:space="preserve"> </v>
      </c>
      <c r="AA234" s="12"/>
      <c r="AB234" s="35">
        <v>15193050</v>
      </c>
      <c r="AC234" s="37">
        <v>0</v>
      </c>
      <c r="AD234" s="35">
        <f t="shared" si="4"/>
        <v>0</v>
      </c>
      <c r="AE234" s="12"/>
      <c r="AF234" s="12">
        <f>COUNTIF($A$20:A234,A234)</f>
        <v>13</v>
      </c>
      <c r="AG234" s="38">
        <v>15193050</v>
      </c>
      <c r="AH234" s="38">
        <f>Tabla44[[#This Row],[VALOR CONTRAPARTIDA]]+Tabla44[[#This Row],[TOTAL APORTES ICBF]]</f>
        <v>15193050</v>
      </c>
      <c r="AI234" s="35" t="str">
        <f>+IF(Tabla44[[#This Row],[AGRUPACIONES]]=1,SUMIFS(Tabla44[TOTAL APORTES ICBF],Tabla44[ZONA DEFINITIVO],Tabla44[[#This Row],[ZONA DEFINITIVO]])," ")</f>
        <v xml:space="preserve"> </v>
      </c>
      <c r="AJ234" s="38"/>
      <c r="AK234" s="38"/>
      <c r="AL234" s="35"/>
      <c r="AM234" s="35">
        <f>VLOOKUP(Tabla44[[#This Row],[SERVICIO 2025]],$J$2:$V$15,5,0)*Tabla44[[#This Row],[TOTAL COBERTURA]]</f>
        <v>467440</v>
      </c>
      <c r="AN234" s="35">
        <f>VLOOKUP(Tabla44[[#This Row],[SERVICIO 2025]],$J$2:$V$15,6,0)*Tabla44[[#This Row],[TOTAL COBERTURA]]</f>
        <v>378410</v>
      </c>
      <c r="AO234" s="35">
        <f>VLOOKUP(Tabla44[[#This Row],[SERVICIO 2025]],$J$2:$V$15,8,0)*Tabla44[[#This Row],[TOTAL COBERTURA]]</f>
        <v>0</v>
      </c>
      <c r="AP234" s="35">
        <f>VLOOKUP(Tabla44[[#This Row],[SERVICIO 2025]],$J$2:$V$15,3,0)*Tabla44[[#This Row],[TOTAL COBERTURA]]*8</f>
        <v>14347200</v>
      </c>
      <c r="AQ234" s="35"/>
      <c r="AR234" s="35">
        <f>SUM(Tabla44[[#This Row],[VALOR FASE PREPARATORIA DE ALISTAMIENTO]:[VALOR RACION PREPARADA]])</f>
        <v>15193050</v>
      </c>
      <c r="AS234" s="35" t="str">
        <f>+IF(Tabla44[[#This Row],[AGRUPACIONES]]=1,SUMIFS(Tabla44[VALOR TOTAL],Tabla44[ZONA DEFINITIVO],Tabla44[[#This Row],[ZONA DEFINITIVO]])," ")</f>
        <v xml:space="preserve"> </v>
      </c>
      <c r="AT234" s="35">
        <f>VLOOKUP(Tabla44[[#This Row],[SERVICIO 2025]],$J$2:$V$15,10,0)*Tabla44[[#This Row],[TOTAL COBERTURA]]*$X$7</f>
        <v>15065680</v>
      </c>
      <c r="AU234" s="39">
        <f>Tabla44[[#This Row],[TOTAL CONTRATO (ICBF+EAS)]]+Tabla44[[#This Row],[VALOR COMPONENTE ALIMENTACION NO ASIGNADO]]</f>
        <v>30258730</v>
      </c>
      <c r="AV23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4144050</v>
      </c>
      <c r="AW234" s="35">
        <f>(VLOOKUP(Tabla44[[#This Row],[SERVICIO 2025]],$J$2:$V$15,3,0)*Tabla44[[#This Row],[TOTAL COBERTURA]])+VLOOKUP(Tabla44[[#This Row],[SERVICIO 2025]],$J$2:$V$15,10,0)*Tabla44[[#This Row],[TOTAL COBERTURA]]</f>
        <v>3676610</v>
      </c>
      <c r="AX234" s="35">
        <f>(VLOOKUP(Tabla44[[#This Row],[SERVICIO 2025]],$J$2:$V$15,3,0)*Tabla44[[#This Row],[TOTAL COBERTURA]])+VLOOKUP(Tabla44[[#This Row],[SERVICIO 2025]],$J$2:$V$15,10,0)*Tabla44[[#This Row],[TOTAL COBERTURA]]</f>
        <v>3676610</v>
      </c>
      <c r="AY234" s="35">
        <f>(VLOOKUP(Tabla44[[#This Row],[SERVICIO 2025]],$J$2:$V$15,3,0)*Tabla44[[#This Row],[TOTAL COBERTURA]])+VLOOKUP(Tabla44[[#This Row],[SERVICIO 2025]],$J$2:$V$15,10,0)*Tabla44[[#This Row],[TOTAL COBERTURA]]</f>
        <v>3676610</v>
      </c>
      <c r="AZ234" s="35">
        <f>(VLOOKUP(Tabla44[[#This Row],[SERVICIO 2025]],$J$2:$V$15,3,0)*Tabla44[[#This Row],[TOTAL COBERTURA]])+VLOOKUP(Tabla44[[#This Row],[SERVICIO 2025]],$J$2:$V$15,10,0)*Tabla44[[#This Row],[TOTAL COBERTURA]]</f>
        <v>3676610</v>
      </c>
      <c r="BA234" s="35">
        <f>(VLOOKUP(Tabla44[[#This Row],[SERVICIO 2025]],$J$2:$V$15,3,0)*Tabla44[[#This Row],[TOTAL COBERTURA]])+VLOOKUP(Tabla44[[#This Row],[SERVICIO 2025]],$J$2:$V$15,10,0)*Tabla44[[#This Row],[TOTAL COBERTURA]]</f>
        <v>3676610</v>
      </c>
      <c r="BB234" s="35">
        <f>(VLOOKUP(Tabla44[[#This Row],[SERVICIO 2025]],$J$2:$V$15,3,0)*Tabla44[[#This Row],[TOTAL COBERTURA]])+VLOOKUP(Tabla44[[#This Row],[SERVICIO 2025]],$J$2:$V$15,10,0)*Tabla44[[#This Row],[TOTAL COBERTURA]]</f>
        <v>3676610</v>
      </c>
      <c r="BC23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4055020</v>
      </c>
      <c r="BD234" s="35">
        <f>SUM(Tabla44[[#This Row],[DESEMBOLSO 1]:[DESEMBOLSO 8]])</f>
        <v>30258730</v>
      </c>
      <c r="BE234" s="12" t="b">
        <f>EXACT(Tabla44[[#This Row],[VALOR ATENCIÓN (8 MESES)]],Tabla44[[#This Row],[VALOR TOTAL]])</f>
        <v>1</v>
      </c>
      <c r="BF234" s="23">
        <f>Tabla44[[#This Row],[VALOR ATENCIÓN (8 MESES)]]-Tabla44[[#This Row],[VALOR TOTAL]]</f>
        <v>0</v>
      </c>
      <c r="BG234" s="12" t="b">
        <f>EXACT(Tabla44[[#This Row],[TOTAL DESEMBOLSOS]],Tabla44[[#This Row],[VALOR TOTAL DEL CONTRATO INCLUIDO EL COMPONENTE DE ALIMENTACIÓN]])</f>
        <v>1</v>
      </c>
      <c r="BH234" s="29">
        <f>Tabla44[[#This Row],[TOTAL DESEMBOLSOS]]-Tabla44[[#This Row],[VALOR TOTAL DEL CONTRATO INCLUIDO EL COMPONENTE DE ALIMENTACIÓN]]</f>
        <v>0</v>
      </c>
      <c r="BI234" t="s">
        <v>98</v>
      </c>
    </row>
    <row r="235" spans="1:61">
      <c r="A235" s="13">
        <v>1993</v>
      </c>
      <c r="B235" s="13"/>
      <c r="C235" s="12" t="s">
        <v>87</v>
      </c>
      <c r="D235" s="12" t="s">
        <v>1628</v>
      </c>
      <c r="E235" s="12" t="s">
        <v>3268</v>
      </c>
      <c r="F235" s="12" t="s">
        <v>18</v>
      </c>
      <c r="G235" s="12" t="s">
        <v>90</v>
      </c>
      <c r="H235" s="12" t="s">
        <v>3033</v>
      </c>
      <c r="I235" s="36">
        <v>53151136528</v>
      </c>
      <c r="J235" s="12" t="s">
        <v>3271</v>
      </c>
      <c r="K235" s="12">
        <v>1</v>
      </c>
      <c r="L235" s="12">
        <v>24</v>
      </c>
      <c r="M235" s="12"/>
      <c r="N235" s="13">
        <v>1993</v>
      </c>
      <c r="O235" s="12" t="s">
        <v>2850</v>
      </c>
      <c r="P235" s="12"/>
      <c r="Q235" s="12"/>
      <c r="R235" s="12" t="s">
        <v>94</v>
      </c>
      <c r="S235" s="12">
        <v>10</v>
      </c>
      <c r="T235" s="12">
        <v>818001449</v>
      </c>
      <c r="U235" s="12" t="s">
        <v>3247</v>
      </c>
      <c r="V235" s="12">
        <f>VLOOKUP(Tabla44[[#This Row],[ZONA DEFINITIVO]],[1]Hoja1!$A$1:$D$125,3,0)</f>
        <v>229940</v>
      </c>
      <c r="W235" s="12">
        <f>VLOOKUP(Tabla44[[#This Row],[ZONA DEFINITIVO]],[1]Hoja1!$A$1:$D$125,2,0)</f>
        <v>17259</v>
      </c>
      <c r="X235" s="12">
        <f>VLOOKUP(Tabla44[[#This Row],[ZONA DEFINITIVO]],[1]Hoja1!$A$1:$D$125,4,0)</f>
        <v>104625</v>
      </c>
      <c r="Y235" s="12" t="str">
        <f>+IF(Tabla44[[#This Row],[AGRUPACIONES]]=1,SUMIFS(Tabla44[UDS],Tabla44[ZONA DEFINITIVO],Tabla44[[#This Row],[ZONA DEFINITIVO]])," ")</f>
        <v xml:space="preserve"> </v>
      </c>
      <c r="Z235" s="12" t="str">
        <f>+IF(Tabla44[[#This Row],[AGRUPACIONES]]=1,SUMIFS(Tabla44[TOTAL COBERTURA],Tabla44[ZONA DEFINITIVO],Tabla44[[#This Row],[ZONA DEFINITIVO]])," ")</f>
        <v xml:space="preserve"> </v>
      </c>
      <c r="AA235" s="12"/>
      <c r="AB235" s="35">
        <v>52324632</v>
      </c>
      <c r="AC235" s="37">
        <v>0</v>
      </c>
      <c r="AD235" s="35">
        <f t="shared" si="4"/>
        <v>0</v>
      </c>
      <c r="AE235" s="12"/>
      <c r="AF235" s="12">
        <f>COUNTIF($A$20:A235,A235)</f>
        <v>14</v>
      </c>
      <c r="AG235" s="38">
        <v>52324632</v>
      </c>
      <c r="AH235" s="38">
        <f>Tabla44[[#This Row],[VALOR CONTRAPARTIDA]]+Tabla44[[#This Row],[TOTAL APORTES ICBF]]</f>
        <v>52324632</v>
      </c>
      <c r="AI235" s="35" t="str">
        <f>+IF(Tabla44[[#This Row],[AGRUPACIONES]]=1,SUMIFS(Tabla44[TOTAL APORTES ICBF],Tabla44[ZONA DEFINITIVO],Tabla44[[#This Row],[ZONA DEFINITIVO]])," ")</f>
        <v xml:space="preserve"> </v>
      </c>
      <c r="AJ235" s="38"/>
      <c r="AK235" s="38"/>
      <c r="AL235" s="35"/>
      <c r="AM235" s="35">
        <f>VLOOKUP(Tabla44[[#This Row],[SERVICIO 2025]],$J$2:$V$15,5,0)*Tabla44[[#This Row],[TOTAL COBERTURA]]</f>
        <v>1185024</v>
      </c>
      <c r="AN235" s="35">
        <f>VLOOKUP(Tabla44[[#This Row],[SERVICIO 2025]],$J$2:$V$15,6,0)*Tabla44[[#This Row],[TOTAL COBERTURA]]</f>
        <v>984696</v>
      </c>
      <c r="AO235" s="35">
        <f>VLOOKUP(Tabla44[[#This Row],[SERVICIO 2025]],$J$2:$V$15,8,0)*Tabla44[[#This Row],[TOTAL COBERTURA]]</f>
        <v>698400</v>
      </c>
      <c r="AP235" s="35">
        <f>VLOOKUP(Tabla44[[#This Row],[SERVICIO 2025]],$J$2:$V$15,3,0)*Tabla44[[#This Row],[TOTAL COBERTURA]]*8</f>
        <v>49456512</v>
      </c>
      <c r="AQ235" s="35"/>
      <c r="AR235" s="35">
        <f>SUM(Tabla44[[#This Row],[VALOR FASE PREPARATORIA DE ALISTAMIENTO]:[VALOR RACION PREPARADA]])</f>
        <v>52324632</v>
      </c>
      <c r="AS235" s="35" t="str">
        <f>+IF(Tabla44[[#This Row],[AGRUPACIONES]]=1,SUMIFS(Tabla44[VALOR TOTAL],Tabla44[ZONA DEFINITIVO],Tabla44[[#This Row],[ZONA DEFINITIVO]])," ")</f>
        <v xml:space="preserve"> </v>
      </c>
      <c r="AT235" s="35">
        <f>VLOOKUP(Tabla44[[#This Row],[SERVICIO 2025]],$J$2:$V$15,10,0)*Tabla44[[#This Row],[TOTAL COBERTURA]]*$X$7</f>
        <v>34633536</v>
      </c>
      <c r="AU235" s="39">
        <f>Tabla44[[#This Row],[TOTAL CONTRATO (ICBF+EAS)]]+Tabla44[[#This Row],[VALOR COMPONENTE ALIMENTACION NO ASIGNADO]]</f>
        <v>86958168</v>
      </c>
      <c r="AV23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12394680</v>
      </c>
      <c r="AW235" s="35">
        <f>(VLOOKUP(Tabla44[[#This Row],[SERVICIO 2025]],$J$2:$V$15,3,0)*Tabla44[[#This Row],[TOTAL COBERTURA]])+VLOOKUP(Tabla44[[#This Row],[SERVICIO 2025]],$J$2:$V$15,10,0)*Tabla44[[#This Row],[TOTAL COBERTURA]]</f>
        <v>10511256</v>
      </c>
      <c r="AX235" s="35">
        <f>(VLOOKUP(Tabla44[[#This Row],[SERVICIO 2025]],$J$2:$V$15,3,0)*Tabla44[[#This Row],[TOTAL COBERTURA]])+VLOOKUP(Tabla44[[#This Row],[SERVICIO 2025]],$J$2:$V$15,10,0)*Tabla44[[#This Row],[TOTAL COBERTURA]]</f>
        <v>10511256</v>
      </c>
      <c r="AY235" s="35">
        <f>(VLOOKUP(Tabla44[[#This Row],[SERVICIO 2025]],$J$2:$V$15,3,0)*Tabla44[[#This Row],[TOTAL COBERTURA]])+VLOOKUP(Tabla44[[#This Row],[SERVICIO 2025]],$J$2:$V$15,10,0)*Tabla44[[#This Row],[TOTAL COBERTURA]]</f>
        <v>10511256</v>
      </c>
      <c r="AZ235" s="35">
        <f>(VLOOKUP(Tabla44[[#This Row],[SERVICIO 2025]],$J$2:$V$15,3,0)*Tabla44[[#This Row],[TOTAL COBERTURA]])+VLOOKUP(Tabla44[[#This Row],[SERVICIO 2025]],$J$2:$V$15,10,0)*Tabla44[[#This Row],[TOTAL COBERTURA]]</f>
        <v>10511256</v>
      </c>
      <c r="BA235" s="35">
        <f>(VLOOKUP(Tabla44[[#This Row],[SERVICIO 2025]],$J$2:$V$15,3,0)*Tabla44[[#This Row],[TOTAL COBERTURA]])+VLOOKUP(Tabla44[[#This Row],[SERVICIO 2025]],$J$2:$V$15,10,0)*Tabla44[[#This Row],[TOTAL COBERTURA]]</f>
        <v>10511256</v>
      </c>
      <c r="BB235" s="35">
        <f>(VLOOKUP(Tabla44[[#This Row],[SERVICIO 2025]],$J$2:$V$15,3,0)*Tabla44[[#This Row],[TOTAL COBERTURA]])+VLOOKUP(Tabla44[[#This Row],[SERVICIO 2025]],$J$2:$V$15,10,0)*Tabla44[[#This Row],[TOTAL COBERTURA]]</f>
        <v>10511256</v>
      </c>
      <c r="BC23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11495952</v>
      </c>
      <c r="BD235" s="35">
        <f>SUM(Tabla44[[#This Row],[DESEMBOLSO 1]:[DESEMBOLSO 8]])</f>
        <v>86958168</v>
      </c>
      <c r="BE235" s="12" t="b">
        <f>EXACT(Tabla44[[#This Row],[VALOR ATENCIÓN (8 MESES)]],Tabla44[[#This Row],[VALOR TOTAL]])</f>
        <v>1</v>
      </c>
      <c r="BF235" s="23">
        <f>Tabla44[[#This Row],[VALOR ATENCIÓN (8 MESES)]]-Tabla44[[#This Row],[VALOR TOTAL]]</f>
        <v>0</v>
      </c>
      <c r="BG235" s="12" t="b">
        <f>EXACT(Tabla44[[#This Row],[TOTAL DESEMBOLSOS]],Tabla44[[#This Row],[VALOR TOTAL DEL CONTRATO INCLUIDO EL COMPONENTE DE ALIMENTACIÓN]])</f>
        <v>1</v>
      </c>
      <c r="BH235" s="29">
        <f>Tabla44[[#This Row],[TOTAL DESEMBOLSOS]]-Tabla44[[#This Row],[VALOR TOTAL DEL CONTRATO INCLUIDO EL COMPONENTE DE ALIMENTACIÓN]]</f>
        <v>0</v>
      </c>
      <c r="BI235" t="s">
        <v>98</v>
      </c>
    </row>
    <row r="236" spans="1:61">
      <c r="A236" s="13">
        <v>1993</v>
      </c>
      <c r="B236" s="13"/>
      <c r="C236" s="12" t="s">
        <v>87</v>
      </c>
      <c r="D236" s="12" t="s">
        <v>1628</v>
      </c>
      <c r="E236" s="12" t="s">
        <v>3268</v>
      </c>
      <c r="F236" s="12" t="s">
        <v>21</v>
      </c>
      <c r="G236" s="12" t="s">
        <v>90</v>
      </c>
      <c r="H236" s="12" t="s">
        <v>3272</v>
      </c>
      <c r="I236" s="36">
        <v>53151136532</v>
      </c>
      <c r="J236" s="12" t="s">
        <v>3273</v>
      </c>
      <c r="K236" s="12">
        <v>1</v>
      </c>
      <c r="L236" s="12">
        <v>20</v>
      </c>
      <c r="M236" s="12"/>
      <c r="N236" s="13">
        <v>1993</v>
      </c>
      <c r="O236" s="12" t="s">
        <v>2850</v>
      </c>
      <c r="P236" s="12"/>
      <c r="Q236" s="12"/>
      <c r="R236" s="12" t="s">
        <v>94</v>
      </c>
      <c r="S236" s="12">
        <v>10</v>
      </c>
      <c r="T236" s="12">
        <v>818001449</v>
      </c>
      <c r="U236" s="12" t="s">
        <v>3247</v>
      </c>
      <c r="V236" s="12">
        <f>VLOOKUP(Tabla44[[#This Row],[ZONA DEFINITIVO]],[1]Hoja1!$A$1:$D$125,3,0)</f>
        <v>229940</v>
      </c>
      <c r="W236" s="12">
        <f>VLOOKUP(Tabla44[[#This Row],[ZONA DEFINITIVO]],[1]Hoja1!$A$1:$D$125,2,0)</f>
        <v>17259</v>
      </c>
      <c r="X236" s="12">
        <f>VLOOKUP(Tabla44[[#This Row],[ZONA DEFINITIVO]],[1]Hoja1!$A$1:$D$125,4,0)</f>
        <v>104625</v>
      </c>
      <c r="Y236" s="12" t="str">
        <f>+IF(Tabla44[[#This Row],[AGRUPACIONES]]=1,SUMIFS(Tabla44[UDS],Tabla44[ZONA DEFINITIVO],Tabla44[[#This Row],[ZONA DEFINITIVO]])," ")</f>
        <v xml:space="preserve"> </v>
      </c>
      <c r="Z236" s="12" t="str">
        <f>+IF(Tabla44[[#This Row],[AGRUPACIONES]]=1,SUMIFS(Tabla44[TOTAL COBERTURA],Tabla44[ZONA DEFINITIVO],Tabla44[[#This Row],[ZONA DEFINITIVO]])," ")</f>
        <v xml:space="preserve"> </v>
      </c>
      <c r="AA236" s="12"/>
      <c r="AB236" s="35">
        <v>30386100</v>
      </c>
      <c r="AC236" s="37">
        <v>0</v>
      </c>
      <c r="AD236" s="35">
        <f t="shared" si="4"/>
        <v>0</v>
      </c>
      <c r="AE236" s="12"/>
      <c r="AF236" s="12">
        <f>COUNTIF($A$20:A236,A236)</f>
        <v>15</v>
      </c>
      <c r="AG236" s="38">
        <v>30386100</v>
      </c>
      <c r="AH236" s="38">
        <f>Tabla44[[#This Row],[VALOR CONTRAPARTIDA]]+Tabla44[[#This Row],[TOTAL APORTES ICBF]]</f>
        <v>30386100</v>
      </c>
      <c r="AI236" s="35" t="str">
        <f>+IF(Tabla44[[#This Row],[AGRUPACIONES]]=1,SUMIFS(Tabla44[TOTAL APORTES ICBF],Tabla44[ZONA DEFINITIVO],Tabla44[[#This Row],[ZONA DEFINITIVO]])," ")</f>
        <v xml:space="preserve"> </v>
      </c>
      <c r="AJ236" s="38"/>
      <c r="AK236" s="38"/>
      <c r="AL236" s="35"/>
      <c r="AM236" s="35">
        <f>VLOOKUP(Tabla44[[#This Row],[SERVICIO 2025]],$J$2:$V$15,5,0)*Tabla44[[#This Row],[TOTAL COBERTURA]]</f>
        <v>934880</v>
      </c>
      <c r="AN236" s="35">
        <f>VLOOKUP(Tabla44[[#This Row],[SERVICIO 2025]],$J$2:$V$15,6,0)*Tabla44[[#This Row],[TOTAL COBERTURA]]</f>
        <v>756820</v>
      </c>
      <c r="AO236" s="35">
        <f>VLOOKUP(Tabla44[[#This Row],[SERVICIO 2025]],$J$2:$V$15,8,0)*Tabla44[[#This Row],[TOTAL COBERTURA]]</f>
        <v>0</v>
      </c>
      <c r="AP236" s="35">
        <f>VLOOKUP(Tabla44[[#This Row],[SERVICIO 2025]],$J$2:$V$15,3,0)*Tabla44[[#This Row],[TOTAL COBERTURA]]*8</f>
        <v>28694400</v>
      </c>
      <c r="AQ236" s="35"/>
      <c r="AR236" s="35">
        <f>SUM(Tabla44[[#This Row],[VALOR FASE PREPARATORIA DE ALISTAMIENTO]:[VALOR RACION PREPARADA]])</f>
        <v>30386100</v>
      </c>
      <c r="AS236" s="35" t="str">
        <f>+IF(Tabla44[[#This Row],[AGRUPACIONES]]=1,SUMIFS(Tabla44[VALOR TOTAL],Tabla44[ZONA DEFINITIVO],Tabla44[[#This Row],[ZONA DEFINITIVO]])," ")</f>
        <v xml:space="preserve"> </v>
      </c>
      <c r="AT236" s="35">
        <f>VLOOKUP(Tabla44[[#This Row],[SERVICIO 2025]],$J$2:$V$15,10,0)*Tabla44[[#This Row],[TOTAL COBERTURA]]*$X$7</f>
        <v>30131360</v>
      </c>
      <c r="AU236" s="39">
        <f>Tabla44[[#This Row],[TOTAL CONTRATO (ICBF+EAS)]]+Tabla44[[#This Row],[VALOR COMPONENTE ALIMENTACION NO ASIGNADO]]</f>
        <v>60517460</v>
      </c>
      <c r="AV23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8288100</v>
      </c>
      <c r="AW236" s="35">
        <f>(VLOOKUP(Tabla44[[#This Row],[SERVICIO 2025]],$J$2:$V$15,3,0)*Tabla44[[#This Row],[TOTAL COBERTURA]])+VLOOKUP(Tabla44[[#This Row],[SERVICIO 2025]],$J$2:$V$15,10,0)*Tabla44[[#This Row],[TOTAL COBERTURA]]</f>
        <v>7353220</v>
      </c>
      <c r="AX236" s="35">
        <f>(VLOOKUP(Tabla44[[#This Row],[SERVICIO 2025]],$J$2:$V$15,3,0)*Tabla44[[#This Row],[TOTAL COBERTURA]])+VLOOKUP(Tabla44[[#This Row],[SERVICIO 2025]],$J$2:$V$15,10,0)*Tabla44[[#This Row],[TOTAL COBERTURA]]</f>
        <v>7353220</v>
      </c>
      <c r="AY236" s="35">
        <f>(VLOOKUP(Tabla44[[#This Row],[SERVICIO 2025]],$J$2:$V$15,3,0)*Tabla44[[#This Row],[TOTAL COBERTURA]])+VLOOKUP(Tabla44[[#This Row],[SERVICIO 2025]],$J$2:$V$15,10,0)*Tabla44[[#This Row],[TOTAL COBERTURA]]</f>
        <v>7353220</v>
      </c>
      <c r="AZ236" s="35">
        <f>(VLOOKUP(Tabla44[[#This Row],[SERVICIO 2025]],$J$2:$V$15,3,0)*Tabla44[[#This Row],[TOTAL COBERTURA]])+VLOOKUP(Tabla44[[#This Row],[SERVICIO 2025]],$J$2:$V$15,10,0)*Tabla44[[#This Row],[TOTAL COBERTURA]]</f>
        <v>7353220</v>
      </c>
      <c r="BA236" s="35">
        <f>(VLOOKUP(Tabla44[[#This Row],[SERVICIO 2025]],$J$2:$V$15,3,0)*Tabla44[[#This Row],[TOTAL COBERTURA]])+VLOOKUP(Tabla44[[#This Row],[SERVICIO 2025]],$J$2:$V$15,10,0)*Tabla44[[#This Row],[TOTAL COBERTURA]]</f>
        <v>7353220</v>
      </c>
      <c r="BB236" s="35">
        <f>(VLOOKUP(Tabla44[[#This Row],[SERVICIO 2025]],$J$2:$V$15,3,0)*Tabla44[[#This Row],[TOTAL COBERTURA]])+VLOOKUP(Tabla44[[#This Row],[SERVICIO 2025]],$J$2:$V$15,10,0)*Tabla44[[#This Row],[TOTAL COBERTURA]]</f>
        <v>7353220</v>
      </c>
      <c r="BC23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8110040</v>
      </c>
      <c r="BD236" s="35">
        <f>SUM(Tabla44[[#This Row],[DESEMBOLSO 1]:[DESEMBOLSO 8]])</f>
        <v>60517460</v>
      </c>
      <c r="BE236" s="12" t="b">
        <f>EXACT(Tabla44[[#This Row],[VALOR ATENCIÓN (8 MESES)]],Tabla44[[#This Row],[VALOR TOTAL]])</f>
        <v>1</v>
      </c>
      <c r="BF236" s="23">
        <f>Tabla44[[#This Row],[VALOR ATENCIÓN (8 MESES)]]-Tabla44[[#This Row],[VALOR TOTAL]]</f>
        <v>0</v>
      </c>
      <c r="BG236" s="12" t="b">
        <f>EXACT(Tabla44[[#This Row],[TOTAL DESEMBOLSOS]],Tabla44[[#This Row],[VALOR TOTAL DEL CONTRATO INCLUIDO EL COMPONENTE DE ALIMENTACIÓN]])</f>
        <v>1</v>
      </c>
      <c r="BH236" s="29">
        <f>Tabla44[[#This Row],[TOTAL DESEMBOLSOS]]-Tabla44[[#This Row],[VALOR TOTAL DEL CONTRATO INCLUIDO EL COMPONENTE DE ALIMENTACIÓN]]</f>
        <v>0</v>
      </c>
      <c r="BI236" t="s">
        <v>98</v>
      </c>
    </row>
    <row r="237" spans="1:61">
      <c r="A237" s="13">
        <v>1993</v>
      </c>
      <c r="B237" s="13"/>
      <c r="C237" s="12" t="s">
        <v>87</v>
      </c>
      <c r="D237" s="12" t="s">
        <v>1628</v>
      </c>
      <c r="E237" s="12" t="s">
        <v>3268</v>
      </c>
      <c r="F237" s="12" t="s">
        <v>18</v>
      </c>
      <c r="G237" s="12" t="s">
        <v>90</v>
      </c>
      <c r="H237" s="12" t="s">
        <v>3274</v>
      </c>
      <c r="I237" s="36">
        <v>53151136535</v>
      </c>
      <c r="J237" s="12" t="s">
        <v>3275</v>
      </c>
      <c r="K237" s="12">
        <v>1</v>
      </c>
      <c r="L237" s="12">
        <v>28</v>
      </c>
      <c r="M237" s="12"/>
      <c r="N237" s="13">
        <v>1993</v>
      </c>
      <c r="O237" s="12" t="s">
        <v>2850</v>
      </c>
      <c r="P237" s="12"/>
      <c r="Q237" s="12"/>
      <c r="R237" s="12" t="s">
        <v>94</v>
      </c>
      <c r="S237" s="12">
        <v>10</v>
      </c>
      <c r="T237" s="12">
        <v>818001449</v>
      </c>
      <c r="U237" s="12" t="s">
        <v>3247</v>
      </c>
      <c r="V237" s="12">
        <f>VLOOKUP(Tabla44[[#This Row],[ZONA DEFINITIVO]],[1]Hoja1!$A$1:$D$125,3,0)</f>
        <v>229940</v>
      </c>
      <c r="W237" s="12">
        <f>VLOOKUP(Tabla44[[#This Row],[ZONA DEFINITIVO]],[1]Hoja1!$A$1:$D$125,2,0)</f>
        <v>17259</v>
      </c>
      <c r="X237" s="12">
        <f>VLOOKUP(Tabla44[[#This Row],[ZONA DEFINITIVO]],[1]Hoja1!$A$1:$D$125,4,0)</f>
        <v>104625</v>
      </c>
      <c r="Y237" s="12" t="str">
        <f>+IF(Tabla44[[#This Row],[AGRUPACIONES]]=1,SUMIFS(Tabla44[UDS],Tabla44[ZONA DEFINITIVO],Tabla44[[#This Row],[ZONA DEFINITIVO]])," ")</f>
        <v xml:space="preserve"> </v>
      </c>
      <c r="Z237" s="12" t="str">
        <f>+IF(Tabla44[[#This Row],[AGRUPACIONES]]=1,SUMIFS(Tabla44[TOTAL COBERTURA],Tabla44[ZONA DEFINITIVO],Tabla44[[#This Row],[ZONA DEFINITIVO]])," ")</f>
        <v xml:space="preserve"> </v>
      </c>
      <c r="AA237" s="12"/>
      <c r="AB237" s="35">
        <v>61045404</v>
      </c>
      <c r="AC237" s="37">
        <v>0</v>
      </c>
      <c r="AD237" s="35">
        <f t="shared" si="4"/>
        <v>0</v>
      </c>
      <c r="AE237" s="12"/>
      <c r="AF237" s="12">
        <f>COUNTIF($A$20:A237,A237)</f>
        <v>16</v>
      </c>
      <c r="AG237" s="38">
        <v>61045404</v>
      </c>
      <c r="AH237" s="38">
        <f>Tabla44[[#This Row],[VALOR CONTRAPARTIDA]]+Tabla44[[#This Row],[TOTAL APORTES ICBF]]</f>
        <v>61045404</v>
      </c>
      <c r="AI237" s="35" t="str">
        <f>+IF(Tabla44[[#This Row],[AGRUPACIONES]]=1,SUMIFS(Tabla44[TOTAL APORTES ICBF],Tabla44[ZONA DEFINITIVO],Tabla44[[#This Row],[ZONA DEFINITIVO]])," ")</f>
        <v xml:space="preserve"> </v>
      </c>
      <c r="AJ237" s="38"/>
      <c r="AK237" s="38"/>
      <c r="AL237" s="35"/>
      <c r="AM237" s="35">
        <f>VLOOKUP(Tabla44[[#This Row],[SERVICIO 2025]],$J$2:$V$15,5,0)*Tabla44[[#This Row],[TOTAL COBERTURA]]</f>
        <v>1382528</v>
      </c>
      <c r="AN237" s="35">
        <f>VLOOKUP(Tabla44[[#This Row],[SERVICIO 2025]],$J$2:$V$15,6,0)*Tabla44[[#This Row],[TOTAL COBERTURA]]</f>
        <v>1148812</v>
      </c>
      <c r="AO237" s="35">
        <f>VLOOKUP(Tabla44[[#This Row],[SERVICIO 2025]],$J$2:$V$15,8,0)*Tabla44[[#This Row],[TOTAL COBERTURA]]</f>
        <v>814800</v>
      </c>
      <c r="AP237" s="35">
        <f>VLOOKUP(Tabla44[[#This Row],[SERVICIO 2025]],$J$2:$V$15,3,0)*Tabla44[[#This Row],[TOTAL COBERTURA]]*8</f>
        <v>57699264</v>
      </c>
      <c r="AQ237" s="35"/>
      <c r="AR237" s="35">
        <f>SUM(Tabla44[[#This Row],[VALOR FASE PREPARATORIA DE ALISTAMIENTO]:[VALOR RACION PREPARADA]])</f>
        <v>61045404</v>
      </c>
      <c r="AS237" s="35" t="str">
        <f>+IF(Tabla44[[#This Row],[AGRUPACIONES]]=1,SUMIFS(Tabla44[VALOR TOTAL],Tabla44[ZONA DEFINITIVO],Tabla44[[#This Row],[ZONA DEFINITIVO]])," ")</f>
        <v xml:space="preserve"> </v>
      </c>
      <c r="AT237" s="35">
        <f>VLOOKUP(Tabla44[[#This Row],[SERVICIO 2025]],$J$2:$V$15,10,0)*Tabla44[[#This Row],[TOTAL COBERTURA]]*$X$7</f>
        <v>40405792</v>
      </c>
      <c r="AU237" s="39">
        <f>Tabla44[[#This Row],[TOTAL CONTRATO (ICBF+EAS)]]+Tabla44[[#This Row],[VALOR COMPONENTE ALIMENTACION NO ASIGNADO]]</f>
        <v>101451196</v>
      </c>
      <c r="AV23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14460460</v>
      </c>
      <c r="AW237" s="35">
        <f>(VLOOKUP(Tabla44[[#This Row],[SERVICIO 2025]],$J$2:$V$15,3,0)*Tabla44[[#This Row],[TOTAL COBERTURA]])+VLOOKUP(Tabla44[[#This Row],[SERVICIO 2025]],$J$2:$V$15,10,0)*Tabla44[[#This Row],[TOTAL COBERTURA]]</f>
        <v>12263132</v>
      </c>
      <c r="AX237" s="35">
        <f>(VLOOKUP(Tabla44[[#This Row],[SERVICIO 2025]],$J$2:$V$15,3,0)*Tabla44[[#This Row],[TOTAL COBERTURA]])+VLOOKUP(Tabla44[[#This Row],[SERVICIO 2025]],$J$2:$V$15,10,0)*Tabla44[[#This Row],[TOTAL COBERTURA]]</f>
        <v>12263132</v>
      </c>
      <c r="AY237" s="35">
        <f>(VLOOKUP(Tabla44[[#This Row],[SERVICIO 2025]],$J$2:$V$15,3,0)*Tabla44[[#This Row],[TOTAL COBERTURA]])+VLOOKUP(Tabla44[[#This Row],[SERVICIO 2025]],$J$2:$V$15,10,0)*Tabla44[[#This Row],[TOTAL COBERTURA]]</f>
        <v>12263132</v>
      </c>
      <c r="AZ237" s="35">
        <f>(VLOOKUP(Tabla44[[#This Row],[SERVICIO 2025]],$J$2:$V$15,3,0)*Tabla44[[#This Row],[TOTAL COBERTURA]])+VLOOKUP(Tabla44[[#This Row],[SERVICIO 2025]],$J$2:$V$15,10,0)*Tabla44[[#This Row],[TOTAL COBERTURA]]</f>
        <v>12263132</v>
      </c>
      <c r="BA237" s="35">
        <f>(VLOOKUP(Tabla44[[#This Row],[SERVICIO 2025]],$J$2:$V$15,3,0)*Tabla44[[#This Row],[TOTAL COBERTURA]])+VLOOKUP(Tabla44[[#This Row],[SERVICIO 2025]],$J$2:$V$15,10,0)*Tabla44[[#This Row],[TOTAL COBERTURA]]</f>
        <v>12263132</v>
      </c>
      <c r="BB237" s="35">
        <f>(VLOOKUP(Tabla44[[#This Row],[SERVICIO 2025]],$J$2:$V$15,3,0)*Tabla44[[#This Row],[TOTAL COBERTURA]])+VLOOKUP(Tabla44[[#This Row],[SERVICIO 2025]],$J$2:$V$15,10,0)*Tabla44[[#This Row],[TOTAL COBERTURA]]</f>
        <v>12263132</v>
      </c>
      <c r="BC23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13411944</v>
      </c>
      <c r="BD237" s="35">
        <f>SUM(Tabla44[[#This Row],[DESEMBOLSO 1]:[DESEMBOLSO 8]])</f>
        <v>101451196</v>
      </c>
      <c r="BE237" s="12" t="b">
        <f>EXACT(Tabla44[[#This Row],[VALOR ATENCIÓN (8 MESES)]],Tabla44[[#This Row],[VALOR TOTAL]])</f>
        <v>1</v>
      </c>
      <c r="BF237" s="23">
        <f>Tabla44[[#This Row],[VALOR ATENCIÓN (8 MESES)]]-Tabla44[[#This Row],[VALOR TOTAL]]</f>
        <v>0</v>
      </c>
      <c r="BG237" s="12" t="b">
        <f>EXACT(Tabla44[[#This Row],[TOTAL DESEMBOLSOS]],Tabla44[[#This Row],[VALOR TOTAL DEL CONTRATO INCLUIDO EL COMPONENTE DE ALIMENTACIÓN]])</f>
        <v>1</v>
      </c>
      <c r="BH237" s="29">
        <f>Tabla44[[#This Row],[TOTAL DESEMBOLSOS]]-Tabla44[[#This Row],[VALOR TOTAL DEL CONTRATO INCLUIDO EL COMPONENTE DE ALIMENTACIÓN]]</f>
        <v>0</v>
      </c>
      <c r="BI237" t="s">
        <v>98</v>
      </c>
    </row>
    <row r="238" spans="1:61">
      <c r="A238" s="13">
        <v>1993</v>
      </c>
      <c r="B238" s="13"/>
      <c r="C238" s="12" t="s">
        <v>87</v>
      </c>
      <c r="D238" s="12" t="s">
        <v>1628</v>
      </c>
      <c r="E238" s="12" t="s">
        <v>3268</v>
      </c>
      <c r="F238" s="12" t="s">
        <v>21</v>
      </c>
      <c r="G238" s="12" t="s">
        <v>90</v>
      </c>
      <c r="H238" s="12" t="s">
        <v>3276</v>
      </c>
      <c r="I238" s="36">
        <v>53151136537</v>
      </c>
      <c r="J238" s="12" t="s">
        <v>3277</v>
      </c>
      <c r="K238" s="12">
        <v>1</v>
      </c>
      <c r="L238" s="12">
        <v>31</v>
      </c>
      <c r="M238" s="12"/>
      <c r="N238" s="13">
        <v>1993</v>
      </c>
      <c r="O238" s="12" t="s">
        <v>2850</v>
      </c>
      <c r="P238" s="12"/>
      <c r="Q238" s="12"/>
      <c r="R238" s="12" t="s">
        <v>94</v>
      </c>
      <c r="S238" s="12">
        <v>10</v>
      </c>
      <c r="T238" s="12">
        <v>818001449</v>
      </c>
      <c r="U238" s="12" t="s">
        <v>3247</v>
      </c>
      <c r="V238" s="12">
        <f>VLOOKUP(Tabla44[[#This Row],[ZONA DEFINITIVO]],[1]Hoja1!$A$1:$D$125,3,0)</f>
        <v>229940</v>
      </c>
      <c r="W238" s="12">
        <f>VLOOKUP(Tabla44[[#This Row],[ZONA DEFINITIVO]],[1]Hoja1!$A$1:$D$125,2,0)</f>
        <v>17259</v>
      </c>
      <c r="X238" s="12">
        <f>VLOOKUP(Tabla44[[#This Row],[ZONA DEFINITIVO]],[1]Hoja1!$A$1:$D$125,4,0)</f>
        <v>104625</v>
      </c>
      <c r="Y238" s="12" t="str">
        <f>+IF(Tabla44[[#This Row],[AGRUPACIONES]]=1,SUMIFS(Tabla44[UDS],Tabla44[ZONA DEFINITIVO],Tabla44[[#This Row],[ZONA DEFINITIVO]])," ")</f>
        <v xml:space="preserve"> </v>
      </c>
      <c r="Z238" s="12" t="str">
        <f>+IF(Tabla44[[#This Row],[AGRUPACIONES]]=1,SUMIFS(Tabla44[TOTAL COBERTURA],Tabla44[ZONA DEFINITIVO],Tabla44[[#This Row],[ZONA DEFINITIVO]])," ")</f>
        <v xml:space="preserve"> </v>
      </c>
      <c r="AA238" s="12"/>
      <c r="AB238" s="35">
        <v>47098455</v>
      </c>
      <c r="AC238" s="37">
        <v>0</v>
      </c>
      <c r="AD238" s="35">
        <f t="shared" si="4"/>
        <v>0</v>
      </c>
      <c r="AE238" s="12"/>
      <c r="AF238" s="12">
        <f>COUNTIF($A$20:A238,A238)</f>
        <v>17</v>
      </c>
      <c r="AG238" s="38">
        <v>47098455</v>
      </c>
      <c r="AH238" s="38">
        <f>Tabla44[[#This Row],[VALOR CONTRAPARTIDA]]+Tabla44[[#This Row],[TOTAL APORTES ICBF]]</f>
        <v>47098455</v>
      </c>
      <c r="AI238" s="35" t="str">
        <f>+IF(Tabla44[[#This Row],[AGRUPACIONES]]=1,SUMIFS(Tabla44[TOTAL APORTES ICBF],Tabla44[ZONA DEFINITIVO],Tabla44[[#This Row],[ZONA DEFINITIVO]])," ")</f>
        <v xml:space="preserve"> </v>
      </c>
      <c r="AJ238" s="38"/>
      <c r="AK238" s="38"/>
      <c r="AL238" s="35"/>
      <c r="AM238" s="35">
        <f>VLOOKUP(Tabla44[[#This Row],[SERVICIO 2025]],$J$2:$V$15,5,0)*Tabla44[[#This Row],[TOTAL COBERTURA]]</f>
        <v>1449064</v>
      </c>
      <c r="AN238" s="35">
        <f>VLOOKUP(Tabla44[[#This Row],[SERVICIO 2025]],$J$2:$V$15,6,0)*Tabla44[[#This Row],[TOTAL COBERTURA]]</f>
        <v>1173071</v>
      </c>
      <c r="AO238" s="35">
        <f>VLOOKUP(Tabla44[[#This Row],[SERVICIO 2025]],$J$2:$V$15,8,0)*Tabla44[[#This Row],[TOTAL COBERTURA]]</f>
        <v>0</v>
      </c>
      <c r="AP238" s="35">
        <f>VLOOKUP(Tabla44[[#This Row],[SERVICIO 2025]],$J$2:$V$15,3,0)*Tabla44[[#This Row],[TOTAL COBERTURA]]*8</f>
        <v>44476320</v>
      </c>
      <c r="AQ238" s="35"/>
      <c r="AR238" s="35">
        <f>SUM(Tabla44[[#This Row],[VALOR FASE PREPARATORIA DE ALISTAMIENTO]:[VALOR RACION PREPARADA]])</f>
        <v>47098455</v>
      </c>
      <c r="AS238" s="35" t="str">
        <f>+IF(Tabla44[[#This Row],[AGRUPACIONES]]=1,SUMIFS(Tabla44[VALOR TOTAL],Tabla44[ZONA DEFINITIVO],Tabla44[[#This Row],[ZONA DEFINITIVO]])," ")</f>
        <v xml:space="preserve"> </v>
      </c>
      <c r="AT238" s="35">
        <f>VLOOKUP(Tabla44[[#This Row],[SERVICIO 2025]],$J$2:$V$15,10,0)*Tabla44[[#This Row],[TOTAL COBERTURA]]*$X$7</f>
        <v>46703608</v>
      </c>
      <c r="AU238" s="39">
        <f>Tabla44[[#This Row],[TOTAL CONTRATO (ICBF+EAS)]]+Tabla44[[#This Row],[VALOR COMPONENTE ALIMENTACION NO ASIGNADO]]</f>
        <v>93802063</v>
      </c>
      <c r="AV23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12846555</v>
      </c>
      <c r="AW238" s="35">
        <f>(VLOOKUP(Tabla44[[#This Row],[SERVICIO 2025]],$J$2:$V$15,3,0)*Tabla44[[#This Row],[TOTAL COBERTURA]])+VLOOKUP(Tabla44[[#This Row],[SERVICIO 2025]],$J$2:$V$15,10,0)*Tabla44[[#This Row],[TOTAL COBERTURA]]</f>
        <v>11397491</v>
      </c>
      <c r="AX238" s="35">
        <f>(VLOOKUP(Tabla44[[#This Row],[SERVICIO 2025]],$J$2:$V$15,3,0)*Tabla44[[#This Row],[TOTAL COBERTURA]])+VLOOKUP(Tabla44[[#This Row],[SERVICIO 2025]],$J$2:$V$15,10,0)*Tabla44[[#This Row],[TOTAL COBERTURA]]</f>
        <v>11397491</v>
      </c>
      <c r="AY238" s="35">
        <f>(VLOOKUP(Tabla44[[#This Row],[SERVICIO 2025]],$J$2:$V$15,3,0)*Tabla44[[#This Row],[TOTAL COBERTURA]])+VLOOKUP(Tabla44[[#This Row],[SERVICIO 2025]],$J$2:$V$15,10,0)*Tabla44[[#This Row],[TOTAL COBERTURA]]</f>
        <v>11397491</v>
      </c>
      <c r="AZ238" s="35">
        <f>(VLOOKUP(Tabla44[[#This Row],[SERVICIO 2025]],$J$2:$V$15,3,0)*Tabla44[[#This Row],[TOTAL COBERTURA]])+VLOOKUP(Tabla44[[#This Row],[SERVICIO 2025]],$J$2:$V$15,10,0)*Tabla44[[#This Row],[TOTAL COBERTURA]]</f>
        <v>11397491</v>
      </c>
      <c r="BA238" s="35">
        <f>(VLOOKUP(Tabla44[[#This Row],[SERVICIO 2025]],$J$2:$V$15,3,0)*Tabla44[[#This Row],[TOTAL COBERTURA]])+VLOOKUP(Tabla44[[#This Row],[SERVICIO 2025]],$J$2:$V$15,10,0)*Tabla44[[#This Row],[TOTAL COBERTURA]]</f>
        <v>11397491</v>
      </c>
      <c r="BB238" s="35">
        <f>(VLOOKUP(Tabla44[[#This Row],[SERVICIO 2025]],$J$2:$V$15,3,0)*Tabla44[[#This Row],[TOTAL COBERTURA]])+VLOOKUP(Tabla44[[#This Row],[SERVICIO 2025]],$J$2:$V$15,10,0)*Tabla44[[#This Row],[TOTAL COBERTURA]]</f>
        <v>11397491</v>
      </c>
      <c r="BC23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12570562</v>
      </c>
      <c r="BD238" s="35">
        <f>SUM(Tabla44[[#This Row],[DESEMBOLSO 1]:[DESEMBOLSO 8]])</f>
        <v>93802063</v>
      </c>
      <c r="BE238" s="12" t="b">
        <f>EXACT(Tabla44[[#This Row],[VALOR ATENCIÓN (8 MESES)]],Tabla44[[#This Row],[VALOR TOTAL]])</f>
        <v>1</v>
      </c>
      <c r="BF238" s="23">
        <f>Tabla44[[#This Row],[VALOR ATENCIÓN (8 MESES)]]-Tabla44[[#This Row],[VALOR TOTAL]]</f>
        <v>0</v>
      </c>
      <c r="BG238" s="12" t="b">
        <f>EXACT(Tabla44[[#This Row],[TOTAL DESEMBOLSOS]],Tabla44[[#This Row],[VALOR TOTAL DEL CONTRATO INCLUIDO EL COMPONENTE DE ALIMENTACIÓN]])</f>
        <v>1</v>
      </c>
      <c r="BH238" s="29">
        <f>Tabla44[[#This Row],[TOTAL DESEMBOLSOS]]-Tabla44[[#This Row],[VALOR TOTAL DEL CONTRATO INCLUIDO EL COMPONENTE DE ALIMENTACIÓN]]</f>
        <v>0</v>
      </c>
      <c r="BI238" t="s">
        <v>98</v>
      </c>
    </row>
    <row r="239" spans="1:61">
      <c r="A239" s="13">
        <v>1993</v>
      </c>
      <c r="B239" s="13"/>
      <c r="C239" s="12" t="s">
        <v>87</v>
      </c>
      <c r="D239" s="12" t="s">
        <v>1628</v>
      </c>
      <c r="E239" s="12" t="s">
        <v>3268</v>
      </c>
      <c r="F239" s="12" t="s">
        <v>21</v>
      </c>
      <c r="G239" s="12" t="s">
        <v>90</v>
      </c>
      <c r="H239" s="12" t="s">
        <v>3278</v>
      </c>
      <c r="I239" s="36">
        <v>53151148703</v>
      </c>
      <c r="J239" s="12" t="s">
        <v>3279</v>
      </c>
      <c r="K239" s="12">
        <v>1</v>
      </c>
      <c r="L239" s="12">
        <v>19</v>
      </c>
      <c r="M239" s="12"/>
      <c r="N239" s="13">
        <v>1993</v>
      </c>
      <c r="O239" s="12" t="s">
        <v>2850</v>
      </c>
      <c r="P239" s="12"/>
      <c r="Q239" s="12"/>
      <c r="R239" s="12" t="s">
        <v>94</v>
      </c>
      <c r="S239" s="12">
        <v>10</v>
      </c>
      <c r="T239" s="12">
        <v>818001449</v>
      </c>
      <c r="U239" s="12" t="s">
        <v>3247</v>
      </c>
      <c r="V239" s="12">
        <f>VLOOKUP(Tabla44[[#This Row],[ZONA DEFINITIVO]],[1]Hoja1!$A$1:$D$125,3,0)</f>
        <v>229940</v>
      </c>
      <c r="W239" s="12">
        <f>VLOOKUP(Tabla44[[#This Row],[ZONA DEFINITIVO]],[1]Hoja1!$A$1:$D$125,2,0)</f>
        <v>17259</v>
      </c>
      <c r="X239" s="12">
        <f>VLOOKUP(Tabla44[[#This Row],[ZONA DEFINITIVO]],[1]Hoja1!$A$1:$D$125,4,0)</f>
        <v>104625</v>
      </c>
      <c r="Y239" s="12" t="str">
        <f>+IF(Tabla44[[#This Row],[AGRUPACIONES]]=1,SUMIFS(Tabla44[UDS],Tabla44[ZONA DEFINITIVO],Tabla44[[#This Row],[ZONA DEFINITIVO]])," ")</f>
        <v xml:space="preserve"> </v>
      </c>
      <c r="Z239" s="12" t="str">
        <f>+IF(Tabla44[[#This Row],[AGRUPACIONES]]=1,SUMIFS(Tabla44[TOTAL COBERTURA],Tabla44[ZONA DEFINITIVO],Tabla44[[#This Row],[ZONA DEFINITIVO]])," ")</f>
        <v xml:space="preserve"> </v>
      </c>
      <c r="AA239" s="12"/>
      <c r="AB239" s="35">
        <v>28866795</v>
      </c>
      <c r="AC239" s="37">
        <v>0</v>
      </c>
      <c r="AD239" s="35">
        <f t="shared" si="4"/>
        <v>0</v>
      </c>
      <c r="AE239" s="12"/>
      <c r="AF239" s="12">
        <f>COUNTIF($A$20:A239,A239)</f>
        <v>18</v>
      </c>
      <c r="AG239" s="38">
        <v>28866795</v>
      </c>
      <c r="AH239" s="38">
        <f>Tabla44[[#This Row],[VALOR CONTRAPARTIDA]]+Tabla44[[#This Row],[TOTAL APORTES ICBF]]</f>
        <v>28866795</v>
      </c>
      <c r="AI239" s="35" t="str">
        <f>+IF(Tabla44[[#This Row],[AGRUPACIONES]]=1,SUMIFS(Tabla44[TOTAL APORTES ICBF],Tabla44[ZONA DEFINITIVO],Tabla44[[#This Row],[ZONA DEFINITIVO]])," ")</f>
        <v xml:space="preserve"> </v>
      </c>
      <c r="AJ239" s="38"/>
      <c r="AK239" s="38"/>
      <c r="AL239" s="35"/>
      <c r="AM239" s="35">
        <f>VLOOKUP(Tabla44[[#This Row],[SERVICIO 2025]],$J$2:$V$15,5,0)*Tabla44[[#This Row],[TOTAL COBERTURA]]</f>
        <v>888136</v>
      </c>
      <c r="AN239" s="35">
        <f>VLOOKUP(Tabla44[[#This Row],[SERVICIO 2025]],$J$2:$V$15,6,0)*Tabla44[[#This Row],[TOTAL COBERTURA]]</f>
        <v>718979</v>
      </c>
      <c r="AO239" s="35">
        <f>VLOOKUP(Tabla44[[#This Row],[SERVICIO 2025]],$J$2:$V$15,8,0)*Tabla44[[#This Row],[TOTAL COBERTURA]]</f>
        <v>0</v>
      </c>
      <c r="AP239" s="35">
        <f>VLOOKUP(Tabla44[[#This Row],[SERVICIO 2025]],$J$2:$V$15,3,0)*Tabla44[[#This Row],[TOTAL COBERTURA]]*8</f>
        <v>27259680</v>
      </c>
      <c r="AQ239" s="35"/>
      <c r="AR239" s="35">
        <f>SUM(Tabla44[[#This Row],[VALOR FASE PREPARATORIA DE ALISTAMIENTO]:[VALOR RACION PREPARADA]])</f>
        <v>28866795</v>
      </c>
      <c r="AS239" s="35" t="str">
        <f>+IF(Tabla44[[#This Row],[AGRUPACIONES]]=1,SUMIFS(Tabla44[VALOR TOTAL],Tabla44[ZONA DEFINITIVO],Tabla44[[#This Row],[ZONA DEFINITIVO]])," ")</f>
        <v xml:space="preserve"> </v>
      </c>
      <c r="AT239" s="35">
        <f>VLOOKUP(Tabla44[[#This Row],[SERVICIO 2025]],$J$2:$V$15,10,0)*Tabla44[[#This Row],[TOTAL COBERTURA]]*$X$7</f>
        <v>28624792</v>
      </c>
      <c r="AU239" s="39">
        <f>Tabla44[[#This Row],[TOTAL CONTRATO (ICBF+EAS)]]+Tabla44[[#This Row],[VALOR COMPONENTE ALIMENTACION NO ASIGNADO]]</f>
        <v>57491587</v>
      </c>
      <c r="AV23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7873695</v>
      </c>
      <c r="AW239" s="35">
        <f>(VLOOKUP(Tabla44[[#This Row],[SERVICIO 2025]],$J$2:$V$15,3,0)*Tabla44[[#This Row],[TOTAL COBERTURA]])+VLOOKUP(Tabla44[[#This Row],[SERVICIO 2025]],$J$2:$V$15,10,0)*Tabla44[[#This Row],[TOTAL COBERTURA]]</f>
        <v>6985559</v>
      </c>
      <c r="AX239" s="35">
        <f>(VLOOKUP(Tabla44[[#This Row],[SERVICIO 2025]],$J$2:$V$15,3,0)*Tabla44[[#This Row],[TOTAL COBERTURA]])+VLOOKUP(Tabla44[[#This Row],[SERVICIO 2025]],$J$2:$V$15,10,0)*Tabla44[[#This Row],[TOTAL COBERTURA]]</f>
        <v>6985559</v>
      </c>
      <c r="AY239" s="35">
        <f>(VLOOKUP(Tabla44[[#This Row],[SERVICIO 2025]],$J$2:$V$15,3,0)*Tabla44[[#This Row],[TOTAL COBERTURA]])+VLOOKUP(Tabla44[[#This Row],[SERVICIO 2025]],$J$2:$V$15,10,0)*Tabla44[[#This Row],[TOTAL COBERTURA]]</f>
        <v>6985559</v>
      </c>
      <c r="AZ239" s="35">
        <f>(VLOOKUP(Tabla44[[#This Row],[SERVICIO 2025]],$J$2:$V$15,3,0)*Tabla44[[#This Row],[TOTAL COBERTURA]])+VLOOKUP(Tabla44[[#This Row],[SERVICIO 2025]],$J$2:$V$15,10,0)*Tabla44[[#This Row],[TOTAL COBERTURA]]</f>
        <v>6985559</v>
      </c>
      <c r="BA239" s="35">
        <f>(VLOOKUP(Tabla44[[#This Row],[SERVICIO 2025]],$J$2:$V$15,3,0)*Tabla44[[#This Row],[TOTAL COBERTURA]])+VLOOKUP(Tabla44[[#This Row],[SERVICIO 2025]],$J$2:$V$15,10,0)*Tabla44[[#This Row],[TOTAL COBERTURA]]</f>
        <v>6985559</v>
      </c>
      <c r="BB239" s="35">
        <f>(VLOOKUP(Tabla44[[#This Row],[SERVICIO 2025]],$J$2:$V$15,3,0)*Tabla44[[#This Row],[TOTAL COBERTURA]])+VLOOKUP(Tabla44[[#This Row],[SERVICIO 2025]],$J$2:$V$15,10,0)*Tabla44[[#This Row],[TOTAL COBERTURA]]</f>
        <v>6985559</v>
      </c>
      <c r="BC23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7704538</v>
      </c>
      <c r="BD239" s="35">
        <f>SUM(Tabla44[[#This Row],[DESEMBOLSO 1]:[DESEMBOLSO 8]])</f>
        <v>57491587</v>
      </c>
      <c r="BE239" s="12" t="b">
        <f>EXACT(Tabla44[[#This Row],[VALOR ATENCIÓN (8 MESES)]],Tabla44[[#This Row],[VALOR TOTAL]])</f>
        <v>1</v>
      </c>
      <c r="BF239" s="23">
        <f>Tabla44[[#This Row],[VALOR ATENCIÓN (8 MESES)]]-Tabla44[[#This Row],[VALOR TOTAL]]</f>
        <v>0</v>
      </c>
      <c r="BG239" s="12" t="b">
        <f>EXACT(Tabla44[[#This Row],[TOTAL DESEMBOLSOS]],Tabla44[[#This Row],[VALOR TOTAL DEL CONTRATO INCLUIDO EL COMPONENTE DE ALIMENTACIÓN]])</f>
        <v>1</v>
      </c>
      <c r="BH239" s="29">
        <f>Tabla44[[#This Row],[TOTAL DESEMBOLSOS]]-Tabla44[[#This Row],[VALOR TOTAL DEL CONTRATO INCLUIDO EL COMPONENTE DE ALIMENTACIÓN]]</f>
        <v>0</v>
      </c>
      <c r="BI239" t="s">
        <v>98</v>
      </c>
    </row>
    <row r="240" spans="1:61">
      <c r="A240" s="13">
        <v>1993</v>
      </c>
      <c r="B240" s="13"/>
      <c r="C240" s="12" t="s">
        <v>87</v>
      </c>
      <c r="D240" s="12" t="s">
        <v>1628</v>
      </c>
      <c r="E240" s="12" t="s">
        <v>3268</v>
      </c>
      <c r="F240" s="12" t="s">
        <v>21</v>
      </c>
      <c r="G240" s="12" t="s">
        <v>90</v>
      </c>
      <c r="H240" s="12" t="s">
        <v>3280</v>
      </c>
      <c r="I240" s="36">
        <v>53151151136</v>
      </c>
      <c r="J240" s="12" t="s">
        <v>3281</v>
      </c>
      <c r="K240" s="12">
        <v>1</v>
      </c>
      <c r="L240" s="12">
        <v>12</v>
      </c>
      <c r="M240" s="12"/>
      <c r="N240" s="13">
        <v>1993</v>
      </c>
      <c r="O240" s="12" t="s">
        <v>2850</v>
      </c>
      <c r="P240" s="12"/>
      <c r="Q240" s="12"/>
      <c r="R240" s="12" t="s">
        <v>94</v>
      </c>
      <c r="S240" s="12">
        <v>10</v>
      </c>
      <c r="T240" s="12">
        <v>818001449</v>
      </c>
      <c r="U240" s="12" t="s">
        <v>3247</v>
      </c>
      <c r="V240" s="12">
        <f>VLOOKUP(Tabla44[[#This Row],[ZONA DEFINITIVO]],[1]Hoja1!$A$1:$D$125,3,0)</f>
        <v>229940</v>
      </c>
      <c r="W240" s="12">
        <f>VLOOKUP(Tabla44[[#This Row],[ZONA DEFINITIVO]],[1]Hoja1!$A$1:$D$125,2,0)</f>
        <v>17259</v>
      </c>
      <c r="X240" s="12">
        <f>VLOOKUP(Tabla44[[#This Row],[ZONA DEFINITIVO]],[1]Hoja1!$A$1:$D$125,4,0)</f>
        <v>104625</v>
      </c>
      <c r="Y240" s="12" t="str">
        <f>+IF(Tabla44[[#This Row],[AGRUPACIONES]]=1,SUMIFS(Tabla44[UDS],Tabla44[ZONA DEFINITIVO],Tabla44[[#This Row],[ZONA DEFINITIVO]])," ")</f>
        <v xml:space="preserve"> </v>
      </c>
      <c r="Z240" s="12" t="str">
        <f>+IF(Tabla44[[#This Row],[AGRUPACIONES]]=1,SUMIFS(Tabla44[TOTAL COBERTURA],Tabla44[ZONA DEFINITIVO],Tabla44[[#This Row],[ZONA DEFINITIVO]])," ")</f>
        <v xml:space="preserve"> </v>
      </c>
      <c r="AA240" s="12"/>
      <c r="AB240" s="35">
        <v>18231660</v>
      </c>
      <c r="AC240" s="37">
        <v>0</v>
      </c>
      <c r="AD240" s="35">
        <f t="shared" si="4"/>
        <v>0</v>
      </c>
      <c r="AE240" s="12"/>
      <c r="AF240" s="12">
        <f>COUNTIF($A$20:A240,A240)</f>
        <v>19</v>
      </c>
      <c r="AG240" s="38">
        <v>18231660</v>
      </c>
      <c r="AH240" s="38">
        <f>Tabla44[[#This Row],[VALOR CONTRAPARTIDA]]+Tabla44[[#This Row],[TOTAL APORTES ICBF]]</f>
        <v>18231660</v>
      </c>
      <c r="AI240" s="35" t="str">
        <f>+IF(Tabla44[[#This Row],[AGRUPACIONES]]=1,SUMIFS(Tabla44[TOTAL APORTES ICBF],Tabla44[ZONA DEFINITIVO],Tabla44[[#This Row],[ZONA DEFINITIVO]])," ")</f>
        <v xml:space="preserve"> </v>
      </c>
      <c r="AJ240" s="38"/>
      <c r="AK240" s="38"/>
      <c r="AL240" s="35"/>
      <c r="AM240" s="35">
        <f>VLOOKUP(Tabla44[[#This Row],[SERVICIO 2025]],$J$2:$V$15,5,0)*Tabla44[[#This Row],[TOTAL COBERTURA]]</f>
        <v>560928</v>
      </c>
      <c r="AN240" s="35">
        <f>VLOOKUP(Tabla44[[#This Row],[SERVICIO 2025]],$J$2:$V$15,6,0)*Tabla44[[#This Row],[TOTAL COBERTURA]]</f>
        <v>454092</v>
      </c>
      <c r="AO240" s="35">
        <f>VLOOKUP(Tabla44[[#This Row],[SERVICIO 2025]],$J$2:$V$15,8,0)*Tabla44[[#This Row],[TOTAL COBERTURA]]</f>
        <v>0</v>
      </c>
      <c r="AP240" s="35">
        <f>VLOOKUP(Tabla44[[#This Row],[SERVICIO 2025]],$J$2:$V$15,3,0)*Tabla44[[#This Row],[TOTAL COBERTURA]]*8</f>
        <v>17216640</v>
      </c>
      <c r="AQ240" s="35"/>
      <c r="AR240" s="35">
        <f>SUM(Tabla44[[#This Row],[VALOR FASE PREPARATORIA DE ALISTAMIENTO]:[VALOR RACION PREPARADA]])</f>
        <v>18231660</v>
      </c>
      <c r="AS240" s="35" t="str">
        <f>+IF(Tabla44[[#This Row],[AGRUPACIONES]]=1,SUMIFS(Tabla44[VALOR TOTAL],Tabla44[ZONA DEFINITIVO],Tabla44[[#This Row],[ZONA DEFINITIVO]])," ")</f>
        <v xml:space="preserve"> </v>
      </c>
      <c r="AT240" s="35">
        <f>VLOOKUP(Tabla44[[#This Row],[SERVICIO 2025]],$J$2:$V$15,10,0)*Tabla44[[#This Row],[TOTAL COBERTURA]]*$X$7</f>
        <v>18078816</v>
      </c>
      <c r="AU240" s="39">
        <f>Tabla44[[#This Row],[TOTAL CONTRATO (ICBF+EAS)]]+Tabla44[[#This Row],[VALOR COMPONENTE ALIMENTACION NO ASIGNADO]]</f>
        <v>36310476</v>
      </c>
      <c r="AV24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4972860</v>
      </c>
      <c r="AW240" s="35">
        <f>(VLOOKUP(Tabla44[[#This Row],[SERVICIO 2025]],$J$2:$V$15,3,0)*Tabla44[[#This Row],[TOTAL COBERTURA]])+VLOOKUP(Tabla44[[#This Row],[SERVICIO 2025]],$J$2:$V$15,10,0)*Tabla44[[#This Row],[TOTAL COBERTURA]]</f>
        <v>4411932</v>
      </c>
      <c r="AX240" s="35">
        <f>(VLOOKUP(Tabla44[[#This Row],[SERVICIO 2025]],$J$2:$V$15,3,0)*Tabla44[[#This Row],[TOTAL COBERTURA]])+VLOOKUP(Tabla44[[#This Row],[SERVICIO 2025]],$J$2:$V$15,10,0)*Tabla44[[#This Row],[TOTAL COBERTURA]]</f>
        <v>4411932</v>
      </c>
      <c r="AY240" s="35">
        <f>(VLOOKUP(Tabla44[[#This Row],[SERVICIO 2025]],$J$2:$V$15,3,0)*Tabla44[[#This Row],[TOTAL COBERTURA]])+VLOOKUP(Tabla44[[#This Row],[SERVICIO 2025]],$J$2:$V$15,10,0)*Tabla44[[#This Row],[TOTAL COBERTURA]]</f>
        <v>4411932</v>
      </c>
      <c r="AZ240" s="35">
        <f>(VLOOKUP(Tabla44[[#This Row],[SERVICIO 2025]],$J$2:$V$15,3,0)*Tabla44[[#This Row],[TOTAL COBERTURA]])+VLOOKUP(Tabla44[[#This Row],[SERVICIO 2025]],$J$2:$V$15,10,0)*Tabla44[[#This Row],[TOTAL COBERTURA]]</f>
        <v>4411932</v>
      </c>
      <c r="BA240" s="35">
        <f>(VLOOKUP(Tabla44[[#This Row],[SERVICIO 2025]],$J$2:$V$15,3,0)*Tabla44[[#This Row],[TOTAL COBERTURA]])+VLOOKUP(Tabla44[[#This Row],[SERVICIO 2025]],$J$2:$V$15,10,0)*Tabla44[[#This Row],[TOTAL COBERTURA]]</f>
        <v>4411932</v>
      </c>
      <c r="BB240" s="35">
        <f>(VLOOKUP(Tabla44[[#This Row],[SERVICIO 2025]],$J$2:$V$15,3,0)*Tabla44[[#This Row],[TOTAL COBERTURA]])+VLOOKUP(Tabla44[[#This Row],[SERVICIO 2025]],$J$2:$V$15,10,0)*Tabla44[[#This Row],[TOTAL COBERTURA]]</f>
        <v>4411932</v>
      </c>
      <c r="BC24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4866024</v>
      </c>
      <c r="BD240" s="35">
        <f>SUM(Tabla44[[#This Row],[DESEMBOLSO 1]:[DESEMBOLSO 8]])</f>
        <v>36310476</v>
      </c>
      <c r="BE240" s="12" t="b">
        <f>EXACT(Tabla44[[#This Row],[VALOR ATENCIÓN (8 MESES)]],Tabla44[[#This Row],[VALOR TOTAL]])</f>
        <v>1</v>
      </c>
      <c r="BF240" s="23">
        <f>Tabla44[[#This Row],[VALOR ATENCIÓN (8 MESES)]]-Tabla44[[#This Row],[VALOR TOTAL]]</f>
        <v>0</v>
      </c>
      <c r="BG240" s="12" t="b">
        <f>EXACT(Tabla44[[#This Row],[TOTAL DESEMBOLSOS]],Tabla44[[#This Row],[VALOR TOTAL DEL CONTRATO INCLUIDO EL COMPONENTE DE ALIMENTACIÓN]])</f>
        <v>1</v>
      </c>
      <c r="BH240" s="29">
        <f>Tabla44[[#This Row],[TOTAL DESEMBOLSOS]]-Tabla44[[#This Row],[VALOR TOTAL DEL CONTRATO INCLUIDO EL COMPONENTE DE ALIMENTACIÓN]]</f>
        <v>0</v>
      </c>
      <c r="BI240" t="s">
        <v>98</v>
      </c>
    </row>
    <row r="241" spans="1:61">
      <c r="A241" s="13">
        <v>1993</v>
      </c>
      <c r="B241" s="13"/>
      <c r="C241" s="12" t="s">
        <v>87</v>
      </c>
      <c r="D241" s="12" t="s">
        <v>1628</v>
      </c>
      <c r="E241" s="12" t="s">
        <v>3268</v>
      </c>
      <c r="F241" s="12" t="s">
        <v>21</v>
      </c>
      <c r="G241" s="12" t="s">
        <v>90</v>
      </c>
      <c r="H241" s="12" t="s">
        <v>3282</v>
      </c>
      <c r="I241" s="36">
        <v>531500038853</v>
      </c>
      <c r="J241" s="12" t="s">
        <v>3283</v>
      </c>
      <c r="K241" s="12">
        <v>1</v>
      </c>
      <c r="L241" s="12">
        <v>18</v>
      </c>
      <c r="M241" s="12"/>
      <c r="N241" s="13">
        <v>1993</v>
      </c>
      <c r="O241" s="12" t="s">
        <v>2850</v>
      </c>
      <c r="P241" s="12"/>
      <c r="Q241" s="12"/>
      <c r="R241" s="12" t="s">
        <v>94</v>
      </c>
      <c r="S241" s="12">
        <v>10</v>
      </c>
      <c r="T241" s="12">
        <v>818001449</v>
      </c>
      <c r="U241" s="12" t="s">
        <v>3247</v>
      </c>
      <c r="V241" s="12">
        <f>VLOOKUP(Tabla44[[#This Row],[ZONA DEFINITIVO]],[1]Hoja1!$A$1:$D$125,3,0)</f>
        <v>229940</v>
      </c>
      <c r="W241" s="12">
        <f>VLOOKUP(Tabla44[[#This Row],[ZONA DEFINITIVO]],[1]Hoja1!$A$1:$D$125,2,0)</f>
        <v>17259</v>
      </c>
      <c r="X241" s="12">
        <f>VLOOKUP(Tabla44[[#This Row],[ZONA DEFINITIVO]],[1]Hoja1!$A$1:$D$125,4,0)</f>
        <v>104625</v>
      </c>
      <c r="Y241" s="12" t="str">
        <f>+IF(Tabla44[[#This Row],[AGRUPACIONES]]=1,SUMIFS(Tabla44[UDS],Tabla44[ZONA DEFINITIVO],Tabla44[[#This Row],[ZONA DEFINITIVO]])," ")</f>
        <v xml:space="preserve"> </v>
      </c>
      <c r="Z241" s="12" t="str">
        <f>+IF(Tabla44[[#This Row],[AGRUPACIONES]]=1,SUMIFS(Tabla44[TOTAL COBERTURA],Tabla44[ZONA DEFINITIVO],Tabla44[[#This Row],[ZONA DEFINITIVO]])," ")</f>
        <v xml:space="preserve"> </v>
      </c>
      <c r="AA241" s="12"/>
      <c r="AB241" s="35">
        <v>27347490</v>
      </c>
      <c r="AC241" s="37">
        <v>0</v>
      </c>
      <c r="AD241" s="35">
        <f t="shared" si="4"/>
        <v>0</v>
      </c>
      <c r="AE241" s="12"/>
      <c r="AF241" s="12">
        <f>COUNTIF($A$20:A241,A241)</f>
        <v>20</v>
      </c>
      <c r="AG241" s="38">
        <v>27347490</v>
      </c>
      <c r="AH241" s="38">
        <f>Tabla44[[#This Row],[VALOR CONTRAPARTIDA]]+Tabla44[[#This Row],[TOTAL APORTES ICBF]]</f>
        <v>27347490</v>
      </c>
      <c r="AI241" s="35" t="str">
        <f>+IF(Tabla44[[#This Row],[AGRUPACIONES]]=1,SUMIFS(Tabla44[TOTAL APORTES ICBF],Tabla44[ZONA DEFINITIVO],Tabla44[[#This Row],[ZONA DEFINITIVO]])," ")</f>
        <v xml:space="preserve"> </v>
      </c>
      <c r="AJ241" s="38"/>
      <c r="AK241" s="38"/>
      <c r="AL241" s="35"/>
      <c r="AM241" s="35">
        <f>VLOOKUP(Tabla44[[#This Row],[SERVICIO 2025]],$J$2:$V$15,5,0)*Tabla44[[#This Row],[TOTAL COBERTURA]]</f>
        <v>841392</v>
      </c>
      <c r="AN241" s="35">
        <f>VLOOKUP(Tabla44[[#This Row],[SERVICIO 2025]],$J$2:$V$15,6,0)*Tabla44[[#This Row],[TOTAL COBERTURA]]</f>
        <v>681138</v>
      </c>
      <c r="AO241" s="35">
        <f>VLOOKUP(Tabla44[[#This Row],[SERVICIO 2025]],$J$2:$V$15,8,0)*Tabla44[[#This Row],[TOTAL COBERTURA]]</f>
        <v>0</v>
      </c>
      <c r="AP241" s="35">
        <f>VLOOKUP(Tabla44[[#This Row],[SERVICIO 2025]],$J$2:$V$15,3,0)*Tabla44[[#This Row],[TOTAL COBERTURA]]*8</f>
        <v>25824960</v>
      </c>
      <c r="AQ241" s="35"/>
      <c r="AR241" s="35">
        <f>SUM(Tabla44[[#This Row],[VALOR FASE PREPARATORIA DE ALISTAMIENTO]:[VALOR RACION PREPARADA]])</f>
        <v>27347490</v>
      </c>
      <c r="AS241" s="35" t="str">
        <f>+IF(Tabla44[[#This Row],[AGRUPACIONES]]=1,SUMIFS(Tabla44[VALOR TOTAL],Tabla44[ZONA DEFINITIVO],Tabla44[[#This Row],[ZONA DEFINITIVO]])," ")</f>
        <v xml:space="preserve"> </v>
      </c>
      <c r="AT241" s="35">
        <f>VLOOKUP(Tabla44[[#This Row],[SERVICIO 2025]],$J$2:$V$15,10,0)*Tabla44[[#This Row],[TOTAL COBERTURA]]*$X$7</f>
        <v>27118224</v>
      </c>
      <c r="AU241" s="39">
        <f>Tabla44[[#This Row],[TOTAL CONTRATO (ICBF+EAS)]]+Tabla44[[#This Row],[VALOR COMPONENTE ALIMENTACION NO ASIGNADO]]</f>
        <v>54465714</v>
      </c>
      <c r="AV24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7459290</v>
      </c>
      <c r="AW241" s="35">
        <f>(VLOOKUP(Tabla44[[#This Row],[SERVICIO 2025]],$J$2:$V$15,3,0)*Tabla44[[#This Row],[TOTAL COBERTURA]])+VLOOKUP(Tabla44[[#This Row],[SERVICIO 2025]],$J$2:$V$15,10,0)*Tabla44[[#This Row],[TOTAL COBERTURA]]</f>
        <v>6617898</v>
      </c>
      <c r="AX241" s="35">
        <f>(VLOOKUP(Tabla44[[#This Row],[SERVICIO 2025]],$J$2:$V$15,3,0)*Tabla44[[#This Row],[TOTAL COBERTURA]])+VLOOKUP(Tabla44[[#This Row],[SERVICIO 2025]],$J$2:$V$15,10,0)*Tabla44[[#This Row],[TOTAL COBERTURA]]</f>
        <v>6617898</v>
      </c>
      <c r="AY241" s="35">
        <f>(VLOOKUP(Tabla44[[#This Row],[SERVICIO 2025]],$J$2:$V$15,3,0)*Tabla44[[#This Row],[TOTAL COBERTURA]])+VLOOKUP(Tabla44[[#This Row],[SERVICIO 2025]],$J$2:$V$15,10,0)*Tabla44[[#This Row],[TOTAL COBERTURA]]</f>
        <v>6617898</v>
      </c>
      <c r="AZ241" s="35">
        <f>(VLOOKUP(Tabla44[[#This Row],[SERVICIO 2025]],$J$2:$V$15,3,0)*Tabla44[[#This Row],[TOTAL COBERTURA]])+VLOOKUP(Tabla44[[#This Row],[SERVICIO 2025]],$J$2:$V$15,10,0)*Tabla44[[#This Row],[TOTAL COBERTURA]]</f>
        <v>6617898</v>
      </c>
      <c r="BA241" s="35">
        <f>(VLOOKUP(Tabla44[[#This Row],[SERVICIO 2025]],$J$2:$V$15,3,0)*Tabla44[[#This Row],[TOTAL COBERTURA]])+VLOOKUP(Tabla44[[#This Row],[SERVICIO 2025]],$J$2:$V$15,10,0)*Tabla44[[#This Row],[TOTAL COBERTURA]]</f>
        <v>6617898</v>
      </c>
      <c r="BB241" s="35">
        <f>(VLOOKUP(Tabla44[[#This Row],[SERVICIO 2025]],$J$2:$V$15,3,0)*Tabla44[[#This Row],[TOTAL COBERTURA]])+VLOOKUP(Tabla44[[#This Row],[SERVICIO 2025]],$J$2:$V$15,10,0)*Tabla44[[#This Row],[TOTAL COBERTURA]]</f>
        <v>6617898</v>
      </c>
      <c r="BC24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7299036</v>
      </c>
      <c r="BD241" s="35">
        <f>SUM(Tabla44[[#This Row],[DESEMBOLSO 1]:[DESEMBOLSO 8]])</f>
        <v>54465714</v>
      </c>
      <c r="BE241" s="12" t="b">
        <f>EXACT(Tabla44[[#This Row],[VALOR ATENCIÓN (8 MESES)]],Tabla44[[#This Row],[VALOR TOTAL]])</f>
        <v>1</v>
      </c>
      <c r="BF241" s="23">
        <f>Tabla44[[#This Row],[VALOR ATENCIÓN (8 MESES)]]-Tabla44[[#This Row],[VALOR TOTAL]]</f>
        <v>0</v>
      </c>
      <c r="BG241" s="12" t="b">
        <f>EXACT(Tabla44[[#This Row],[TOTAL DESEMBOLSOS]],Tabla44[[#This Row],[VALOR TOTAL DEL CONTRATO INCLUIDO EL COMPONENTE DE ALIMENTACIÓN]])</f>
        <v>1</v>
      </c>
      <c r="BH241" s="29">
        <f>Tabla44[[#This Row],[TOTAL DESEMBOLSOS]]-Tabla44[[#This Row],[VALOR TOTAL DEL CONTRATO INCLUIDO EL COMPONENTE DE ALIMENTACIÓN]]</f>
        <v>0</v>
      </c>
      <c r="BI241" t="s">
        <v>98</v>
      </c>
    </row>
    <row r="242" spans="1:61">
      <c r="A242" s="13">
        <v>1993</v>
      </c>
      <c r="B242" s="21"/>
      <c r="C242" s="22" t="s">
        <v>87</v>
      </c>
      <c r="D242" s="22" t="s">
        <v>1628</v>
      </c>
      <c r="E242" s="22" t="s">
        <v>3284</v>
      </c>
      <c r="F242" s="22" t="s">
        <v>18</v>
      </c>
      <c r="G242" s="12" t="s">
        <v>90</v>
      </c>
      <c r="H242" s="22" t="s">
        <v>1702</v>
      </c>
      <c r="I242" s="36">
        <v>56471118076</v>
      </c>
      <c r="J242" s="22" t="s">
        <v>3285</v>
      </c>
      <c r="K242" s="12">
        <v>1</v>
      </c>
      <c r="L242" s="22">
        <v>10</v>
      </c>
      <c r="M242" s="22"/>
      <c r="N242" s="13">
        <v>1993</v>
      </c>
      <c r="O242" s="22" t="s">
        <v>2850</v>
      </c>
      <c r="P242" s="22"/>
      <c r="Q242" s="22"/>
      <c r="R242" s="12" t="s">
        <v>94</v>
      </c>
      <c r="S242" s="12">
        <v>10</v>
      </c>
      <c r="T242" s="12">
        <v>818001449</v>
      </c>
      <c r="U242" s="12" t="s">
        <v>3247</v>
      </c>
      <c r="V242" s="22">
        <f>VLOOKUP(Tabla44[[#This Row],[ZONA DEFINITIVO]],[1]Hoja1!$A$1:$D$125,3,0)</f>
        <v>229940</v>
      </c>
      <c r="W242" s="22">
        <f>VLOOKUP(Tabla44[[#This Row],[ZONA DEFINITIVO]],[1]Hoja1!$A$1:$D$125,2,0)</f>
        <v>17259</v>
      </c>
      <c r="X242" s="22">
        <f>VLOOKUP(Tabla44[[#This Row],[ZONA DEFINITIVO]],[1]Hoja1!$A$1:$D$125,4,0)</f>
        <v>104625</v>
      </c>
      <c r="Y242" s="22" t="str">
        <f>+IF(Tabla44[[#This Row],[AGRUPACIONES]]=1,SUMIFS(Tabla44[UDS],Tabla44[ZONA DEFINITIVO],Tabla44[[#This Row],[ZONA DEFINITIVO]])," ")</f>
        <v xml:space="preserve"> </v>
      </c>
      <c r="Z242" s="22" t="str">
        <f>+IF(Tabla44[[#This Row],[AGRUPACIONES]]=1,SUMIFS(Tabla44[TOTAL COBERTURA],Tabla44[ZONA DEFINITIVO],Tabla44[[#This Row],[ZONA DEFINITIVO]])," ")</f>
        <v xml:space="preserve"> </v>
      </c>
      <c r="AA242" s="22"/>
      <c r="AB242" s="40">
        <v>21801930</v>
      </c>
      <c r="AC242" s="37">
        <v>0</v>
      </c>
      <c r="AD242" s="40">
        <f t="shared" si="4"/>
        <v>0</v>
      </c>
      <c r="AE242" s="22"/>
      <c r="AF242" s="12">
        <f>COUNTIF($A$20:A242,A242)</f>
        <v>21</v>
      </c>
      <c r="AG242" s="41">
        <v>21801930</v>
      </c>
      <c r="AH242" s="41">
        <f>Tabla44[[#This Row],[VALOR CONTRAPARTIDA]]+Tabla44[[#This Row],[TOTAL APORTES ICBF]]</f>
        <v>21801930</v>
      </c>
      <c r="AI242" s="40" t="str">
        <f>+IF(Tabla44[[#This Row],[AGRUPACIONES]]=1,SUMIFS(Tabla44[TOTAL APORTES ICBF],Tabla44[ZONA DEFINITIVO],Tabla44[[#This Row],[ZONA DEFINITIVO]])," ")</f>
        <v xml:space="preserve"> </v>
      </c>
      <c r="AJ242" s="41"/>
      <c r="AK242" s="41"/>
      <c r="AL242" s="40"/>
      <c r="AM242" s="40">
        <f>VLOOKUP(Tabla44[[#This Row],[SERVICIO 2025]],$J$2:$V$15,5,0)*Tabla44[[#This Row],[TOTAL COBERTURA]]</f>
        <v>493760</v>
      </c>
      <c r="AN242" s="40">
        <f>VLOOKUP(Tabla44[[#This Row],[SERVICIO 2025]],$J$2:$V$15,6,0)*Tabla44[[#This Row],[TOTAL COBERTURA]]</f>
        <v>410290</v>
      </c>
      <c r="AO242" s="40">
        <f>VLOOKUP(Tabla44[[#This Row],[SERVICIO 2025]],$J$2:$V$15,8,0)*Tabla44[[#This Row],[TOTAL COBERTURA]]</f>
        <v>291000</v>
      </c>
      <c r="AP242" s="40">
        <f>VLOOKUP(Tabla44[[#This Row],[SERVICIO 2025]],$J$2:$V$15,3,0)*Tabla44[[#This Row],[TOTAL COBERTURA]]*8</f>
        <v>20606880</v>
      </c>
      <c r="AQ242" s="40"/>
      <c r="AR242" s="40">
        <f>SUM(Tabla44[[#This Row],[VALOR FASE PREPARATORIA DE ALISTAMIENTO]:[VALOR RACION PREPARADA]])</f>
        <v>21801930</v>
      </c>
      <c r="AS242" s="40" t="str">
        <f>+IF(Tabla44[[#This Row],[AGRUPACIONES]]=1,SUMIFS(Tabla44[VALOR TOTAL],Tabla44[ZONA DEFINITIVO],Tabla44[[#This Row],[ZONA DEFINITIVO]])," ")</f>
        <v xml:space="preserve"> </v>
      </c>
      <c r="AT242" s="35">
        <f>VLOOKUP(Tabla44[[#This Row],[SERVICIO 2025]],$J$2:$V$15,10,0)*Tabla44[[#This Row],[TOTAL COBERTURA]]*$X$7</f>
        <v>14430640</v>
      </c>
      <c r="AU242" s="42">
        <f>Tabla44[[#This Row],[TOTAL CONTRATO (ICBF+EAS)]]+Tabla44[[#This Row],[VALOR COMPONENTE ALIMENTACION NO ASIGNADO]]</f>
        <v>36232570</v>
      </c>
      <c r="AV24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242" s="35">
        <f>(VLOOKUP(Tabla44[[#This Row],[SERVICIO 2025]],$J$2:$V$15,3,0)*Tabla44[[#This Row],[TOTAL COBERTURA]])+VLOOKUP(Tabla44[[#This Row],[SERVICIO 2025]],$J$2:$V$15,10,0)*Tabla44[[#This Row],[TOTAL COBERTURA]]</f>
        <v>4379690</v>
      </c>
      <c r="AX242" s="40">
        <f>(VLOOKUP(Tabla44[[#This Row],[SERVICIO 2025]],$J$2:$V$15,3,0)*Tabla44[[#This Row],[TOTAL COBERTURA]])+VLOOKUP(Tabla44[[#This Row],[SERVICIO 2025]],$J$2:$V$15,10,0)*Tabla44[[#This Row],[TOTAL COBERTURA]]</f>
        <v>4379690</v>
      </c>
      <c r="AY242" s="40">
        <f>(VLOOKUP(Tabla44[[#This Row],[SERVICIO 2025]],$J$2:$V$15,3,0)*Tabla44[[#This Row],[TOTAL COBERTURA]])+VLOOKUP(Tabla44[[#This Row],[SERVICIO 2025]],$J$2:$V$15,10,0)*Tabla44[[#This Row],[TOTAL COBERTURA]]</f>
        <v>4379690</v>
      </c>
      <c r="AZ242" s="40">
        <f>(VLOOKUP(Tabla44[[#This Row],[SERVICIO 2025]],$J$2:$V$15,3,0)*Tabla44[[#This Row],[TOTAL COBERTURA]])+VLOOKUP(Tabla44[[#This Row],[SERVICIO 2025]],$J$2:$V$15,10,0)*Tabla44[[#This Row],[TOTAL COBERTURA]]</f>
        <v>4379690</v>
      </c>
      <c r="BA242" s="40">
        <f>(VLOOKUP(Tabla44[[#This Row],[SERVICIO 2025]],$J$2:$V$15,3,0)*Tabla44[[#This Row],[TOTAL COBERTURA]])+VLOOKUP(Tabla44[[#This Row],[SERVICIO 2025]],$J$2:$V$15,10,0)*Tabla44[[#This Row],[TOTAL COBERTURA]]</f>
        <v>4379690</v>
      </c>
      <c r="BB242" s="40">
        <f>(VLOOKUP(Tabla44[[#This Row],[SERVICIO 2025]],$J$2:$V$15,3,0)*Tabla44[[#This Row],[TOTAL COBERTURA]])+VLOOKUP(Tabla44[[#This Row],[SERVICIO 2025]],$J$2:$V$15,10,0)*Tabla44[[#This Row],[TOTAL COBERTURA]]</f>
        <v>4379690</v>
      </c>
      <c r="BC242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242" s="40">
        <f>SUM(Tabla44[[#This Row],[DESEMBOLSO 1]:[DESEMBOLSO 8]])</f>
        <v>36232570</v>
      </c>
      <c r="BE242" s="22" t="b">
        <f>EXACT(Tabla44[[#This Row],[VALOR ATENCIÓN (8 MESES)]],Tabla44[[#This Row],[VALOR TOTAL]])</f>
        <v>1</v>
      </c>
      <c r="BF242" s="28">
        <f>Tabla44[[#This Row],[VALOR ATENCIÓN (8 MESES)]]-Tabla44[[#This Row],[VALOR TOTAL]]</f>
        <v>0</v>
      </c>
      <c r="BG242" s="22" t="b">
        <f>EXACT(Tabla44[[#This Row],[TOTAL DESEMBOLSOS]],Tabla44[[#This Row],[VALOR TOTAL DEL CONTRATO INCLUIDO EL COMPONENTE DE ALIMENTACIÓN]])</f>
        <v>1</v>
      </c>
      <c r="BH242" s="29">
        <f>Tabla44[[#This Row],[TOTAL DESEMBOLSOS]]-Tabla44[[#This Row],[VALOR TOTAL DEL CONTRATO INCLUIDO EL COMPONENTE DE ALIMENTACIÓN]]</f>
        <v>0</v>
      </c>
      <c r="BI242" t="s">
        <v>98</v>
      </c>
    </row>
    <row r="243" spans="1:61">
      <c r="A243" s="13">
        <v>1993</v>
      </c>
      <c r="B243" s="13"/>
      <c r="C243" s="12" t="s">
        <v>87</v>
      </c>
      <c r="D243" s="12" t="s">
        <v>1628</v>
      </c>
      <c r="E243" s="12" t="s">
        <v>3284</v>
      </c>
      <c r="F243" s="12" t="s">
        <v>18</v>
      </c>
      <c r="G243" s="12" t="s">
        <v>90</v>
      </c>
      <c r="H243" s="12" t="s">
        <v>3286</v>
      </c>
      <c r="I243" s="36">
        <v>56471118077</v>
      </c>
      <c r="J243" s="12" t="s">
        <v>3287</v>
      </c>
      <c r="K243" s="12">
        <v>1</v>
      </c>
      <c r="L243" s="12">
        <v>9</v>
      </c>
      <c r="M243" s="12"/>
      <c r="N243" s="13">
        <v>1993</v>
      </c>
      <c r="O243" s="12" t="s">
        <v>2850</v>
      </c>
      <c r="P243" s="12"/>
      <c r="Q243" s="12"/>
      <c r="R243" s="12" t="s">
        <v>94</v>
      </c>
      <c r="S243" s="12">
        <v>10</v>
      </c>
      <c r="T243" s="12">
        <v>818001449</v>
      </c>
      <c r="U243" s="12" t="s">
        <v>3247</v>
      </c>
      <c r="V243" s="12">
        <f>VLOOKUP(Tabla44[[#This Row],[ZONA DEFINITIVO]],[1]Hoja1!$A$1:$D$125,3,0)</f>
        <v>229940</v>
      </c>
      <c r="W243" s="12">
        <f>VLOOKUP(Tabla44[[#This Row],[ZONA DEFINITIVO]],[1]Hoja1!$A$1:$D$125,2,0)</f>
        <v>17259</v>
      </c>
      <c r="X243" s="12">
        <f>VLOOKUP(Tabla44[[#This Row],[ZONA DEFINITIVO]],[1]Hoja1!$A$1:$D$125,4,0)</f>
        <v>104625</v>
      </c>
      <c r="Y243" s="12" t="str">
        <f>+IF(Tabla44[[#This Row],[AGRUPACIONES]]=1,SUMIFS(Tabla44[UDS],Tabla44[ZONA DEFINITIVO],Tabla44[[#This Row],[ZONA DEFINITIVO]])," ")</f>
        <v xml:space="preserve"> </v>
      </c>
      <c r="Z243" s="12" t="str">
        <f>+IF(Tabla44[[#This Row],[AGRUPACIONES]]=1,SUMIFS(Tabla44[TOTAL COBERTURA],Tabla44[ZONA DEFINITIVO],Tabla44[[#This Row],[ZONA DEFINITIVO]])," ")</f>
        <v xml:space="preserve"> </v>
      </c>
      <c r="AA243" s="12"/>
      <c r="AB243" s="35">
        <v>19621737</v>
      </c>
      <c r="AC243" s="37">
        <v>0</v>
      </c>
      <c r="AD243" s="35">
        <f t="shared" si="4"/>
        <v>0</v>
      </c>
      <c r="AE243" s="12"/>
      <c r="AF243" s="12">
        <f>COUNTIF($A$20:A243,A243)</f>
        <v>22</v>
      </c>
      <c r="AG243" s="38">
        <v>19621737</v>
      </c>
      <c r="AH243" s="38">
        <f>Tabla44[[#This Row],[VALOR CONTRAPARTIDA]]+Tabla44[[#This Row],[TOTAL APORTES ICBF]]</f>
        <v>19621737</v>
      </c>
      <c r="AI243" s="35" t="str">
        <f>+IF(Tabla44[[#This Row],[AGRUPACIONES]]=1,SUMIFS(Tabla44[TOTAL APORTES ICBF],Tabla44[ZONA DEFINITIVO],Tabla44[[#This Row],[ZONA DEFINITIVO]])," ")</f>
        <v xml:space="preserve"> </v>
      </c>
      <c r="AJ243" s="38"/>
      <c r="AK243" s="38"/>
      <c r="AL243" s="35"/>
      <c r="AM243" s="35">
        <f>VLOOKUP(Tabla44[[#This Row],[SERVICIO 2025]],$J$2:$V$15,5,0)*Tabla44[[#This Row],[TOTAL COBERTURA]]</f>
        <v>444384</v>
      </c>
      <c r="AN243" s="35">
        <f>VLOOKUP(Tabla44[[#This Row],[SERVICIO 2025]],$J$2:$V$15,6,0)*Tabla44[[#This Row],[TOTAL COBERTURA]]</f>
        <v>369261</v>
      </c>
      <c r="AO243" s="35">
        <f>VLOOKUP(Tabla44[[#This Row],[SERVICIO 2025]],$J$2:$V$15,8,0)*Tabla44[[#This Row],[TOTAL COBERTURA]]</f>
        <v>261900</v>
      </c>
      <c r="AP243" s="35">
        <f>VLOOKUP(Tabla44[[#This Row],[SERVICIO 2025]],$J$2:$V$15,3,0)*Tabla44[[#This Row],[TOTAL COBERTURA]]*8</f>
        <v>18546192</v>
      </c>
      <c r="AQ243" s="35"/>
      <c r="AR243" s="35">
        <f>SUM(Tabla44[[#This Row],[VALOR FASE PREPARATORIA DE ALISTAMIENTO]:[VALOR RACION PREPARADA]])</f>
        <v>19621737</v>
      </c>
      <c r="AS243" s="35" t="str">
        <f>+IF(Tabla44[[#This Row],[AGRUPACIONES]]=1,SUMIFS(Tabla44[VALOR TOTAL],Tabla44[ZONA DEFINITIVO],Tabla44[[#This Row],[ZONA DEFINITIVO]])," ")</f>
        <v xml:space="preserve"> </v>
      </c>
      <c r="AT243" s="35">
        <f>VLOOKUP(Tabla44[[#This Row],[SERVICIO 2025]],$J$2:$V$15,10,0)*Tabla44[[#This Row],[TOTAL COBERTURA]]*$X$7</f>
        <v>12987576</v>
      </c>
      <c r="AU243" s="39">
        <f>Tabla44[[#This Row],[TOTAL CONTRATO (ICBF+EAS)]]+Tabla44[[#This Row],[VALOR COMPONENTE ALIMENTACION NO ASIGNADO]]</f>
        <v>32609313</v>
      </c>
      <c r="AV24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4648005</v>
      </c>
      <c r="AW243" s="35">
        <f>(VLOOKUP(Tabla44[[#This Row],[SERVICIO 2025]],$J$2:$V$15,3,0)*Tabla44[[#This Row],[TOTAL COBERTURA]])+VLOOKUP(Tabla44[[#This Row],[SERVICIO 2025]],$J$2:$V$15,10,0)*Tabla44[[#This Row],[TOTAL COBERTURA]]</f>
        <v>3941721</v>
      </c>
      <c r="AX243" s="35">
        <f>(VLOOKUP(Tabla44[[#This Row],[SERVICIO 2025]],$J$2:$V$15,3,0)*Tabla44[[#This Row],[TOTAL COBERTURA]])+VLOOKUP(Tabla44[[#This Row],[SERVICIO 2025]],$J$2:$V$15,10,0)*Tabla44[[#This Row],[TOTAL COBERTURA]]</f>
        <v>3941721</v>
      </c>
      <c r="AY243" s="35">
        <f>(VLOOKUP(Tabla44[[#This Row],[SERVICIO 2025]],$J$2:$V$15,3,0)*Tabla44[[#This Row],[TOTAL COBERTURA]])+VLOOKUP(Tabla44[[#This Row],[SERVICIO 2025]],$J$2:$V$15,10,0)*Tabla44[[#This Row],[TOTAL COBERTURA]]</f>
        <v>3941721</v>
      </c>
      <c r="AZ243" s="35">
        <f>(VLOOKUP(Tabla44[[#This Row],[SERVICIO 2025]],$J$2:$V$15,3,0)*Tabla44[[#This Row],[TOTAL COBERTURA]])+VLOOKUP(Tabla44[[#This Row],[SERVICIO 2025]],$J$2:$V$15,10,0)*Tabla44[[#This Row],[TOTAL COBERTURA]]</f>
        <v>3941721</v>
      </c>
      <c r="BA243" s="35">
        <f>(VLOOKUP(Tabla44[[#This Row],[SERVICIO 2025]],$J$2:$V$15,3,0)*Tabla44[[#This Row],[TOTAL COBERTURA]])+VLOOKUP(Tabla44[[#This Row],[SERVICIO 2025]],$J$2:$V$15,10,0)*Tabla44[[#This Row],[TOTAL COBERTURA]]</f>
        <v>3941721</v>
      </c>
      <c r="BB243" s="35">
        <f>(VLOOKUP(Tabla44[[#This Row],[SERVICIO 2025]],$J$2:$V$15,3,0)*Tabla44[[#This Row],[TOTAL COBERTURA]])+VLOOKUP(Tabla44[[#This Row],[SERVICIO 2025]],$J$2:$V$15,10,0)*Tabla44[[#This Row],[TOTAL COBERTURA]]</f>
        <v>3941721</v>
      </c>
      <c r="BC24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4310982</v>
      </c>
      <c r="BD243" s="35">
        <f>SUM(Tabla44[[#This Row],[DESEMBOLSO 1]:[DESEMBOLSO 8]])</f>
        <v>32609313</v>
      </c>
      <c r="BE243" s="12" t="b">
        <f>EXACT(Tabla44[[#This Row],[VALOR ATENCIÓN (8 MESES)]],Tabla44[[#This Row],[VALOR TOTAL]])</f>
        <v>1</v>
      </c>
      <c r="BF243" s="23">
        <f>Tabla44[[#This Row],[VALOR ATENCIÓN (8 MESES)]]-Tabla44[[#This Row],[VALOR TOTAL]]</f>
        <v>0</v>
      </c>
      <c r="BG243" s="12" t="b">
        <f>EXACT(Tabla44[[#This Row],[TOTAL DESEMBOLSOS]],Tabla44[[#This Row],[VALOR TOTAL DEL CONTRATO INCLUIDO EL COMPONENTE DE ALIMENTACIÓN]])</f>
        <v>1</v>
      </c>
      <c r="BH243" s="29">
        <f>Tabla44[[#This Row],[TOTAL DESEMBOLSOS]]-Tabla44[[#This Row],[VALOR TOTAL DEL CONTRATO INCLUIDO EL COMPONENTE DE ALIMENTACIÓN]]</f>
        <v>0</v>
      </c>
      <c r="BI243" t="s">
        <v>98</v>
      </c>
    </row>
    <row r="244" spans="1:61">
      <c r="A244" s="13">
        <v>1993</v>
      </c>
      <c r="B244" s="21"/>
      <c r="C244" s="22" t="s">
        <v>87</v>
      </c>
      <c r="D244" s="22" t="s">
        <v>1628</v>
      </c>
      <c r="E244" s="22" t="s">
        <v>3284</v>
      </c>
      <c r="F244" s="22" t="s">
        <v>18</v>
      </c>
      <c r="G244" s="12" t="s">
        <v>90</v>
      </c>
      <c r="H244" s="22" t="s">
        <v>3288</v>
      </c>
      <c r="I244" s="36">
        <v>56471118078</v>
      </c>
      <c r="J244" s="22" t="s">
        <v>3289</v>
      </c>
      <c r="K244" s="12">
        <v>1</v>
      </c>
      <c r="L244" s="22">
        <v>27</v>
      </c>
      <c r="M244" s="22"/>
      <c r="N244" s="13">
        <v>1993</v>
      </c>
      <c r="O244" s="22" t="s">
        <v>2850</v>
      </c>
      <c r="P244" s="22"/>
      <c r="Q244" s="22"/>
      <c r="R244" s="12" t="s">
        <v>94</v>
      </c>
      <c r="S244" s="12">
        <v>10</v>
      </c>
      <c r="T244" s="12">
        <v>818001449</v>
      </c>
      <c r="U244" s="12" t="s">
        <v>3247</v>
      </c>
      <c r="V244" s="22">
        <f>VLOOKUP(Tabla44[[#This Row],[ZONA DEFINITIVO]],[1]Hoja1!$A$1:$D$125,3,0)</f>
        <v>229940</v>
      </c>
      <c r="W244" s="22">
        <f>VLOOKUP(Tabla44[[#This Row],[ZONA DEFINITIVO]],[1]Hoja1!$A$1:$D$125,2,0)</f>
        <v>17259</v>
      </c>
      <c r="X244" s="22">
        <f>VLOOKUP(Tabla44[[#This Row],[ZONA DEFINITIVO]],[1]Hoja1!$A$1:$D$125,4,0)</f>
        <v>104625</v>
      </c>
      <c r="Y244" s="22" t="str">
        <f>+IF(Tabla44[[#This Row],[AGRUPACIONES]]=1,SUMIFS(Tabla44[UDS],Tabla44[ZONA DEFINITIVO],Tabla44[[#This Row],[ZONA DEFINITIVO]])," ")</f>
        <v xml:space="preserve"> </v>
      </c>
      <c r="Z244" s="22" t="str">
        <f>+IF(Tabla44[[#This Row],[AGRUPACIONES]]=1,SUMIFS(Tabla44[TOTAL COBERTURA],Tabla44[ZONA DEFINITIVO],Tabla44[[#This Row],[ZONA DEFINITIVO]])," ")</f>
        <v xml:space="preserve"> </v>
      </c>
      <c r="AA244" s="22"/>
      <c r="AB244" s="40">
        <v>58865211</v>
      </c>
      <c r="AC244" s="37">
        <v>0</v>
      </c>
      <c r="AD244" s="40">
        <f t="shared" si="4"/>
        <v>0</v>
      </c>
      <c r="AE244" s="22"/>
      <c r="AF244" s="12">
        <f>COUNTIF($A$20:A244,A244)</f>
        <v>23</v>
      </c>
      <c r="AG244" s="41">
        <v>58865211</v>
      </c>
      <c r="AH244" s="41">
        <f>Tabla44[[#This Row],[VALOR CONTRAPARTIDA]]+Tabla44[[#This Row],[TOTAL APORTES ICBF]]</f>
        <v>58865211</v>
      </c>
      <c r="AI244" s="40" t="str">
        <f>+IF(Tabla44[[#This Row],[AGRUPACIONES]]=1,SUMIFS(Tabla44[TOTAL APORTES ICBF],Tabla44[ZONA DEFINITIVO],Tabla44[[#This Row],[ZONA DEFINITIVO]])," ")</f>
        <v xml:space="preserve"> </v>
      </c>
      <c r="AJ244" s="41"/>
      <c r="AK244" s="41"/>
      <c r="AL244" s="40"/>
      <c r="AM244" s="40">
        <f>VLOOKUP(Tabla44[[#This Row],[SERVICIO 2025]],$J$2:$V$15,5,0)*Tabla44[[#This Row],[TOTAL COBERTURA]]</f>
        <v>1333152</v>
      </c>
      <c r="AN244" s="40">
        <f>VLOOKUP(Tabla44[[#This Row],[SERVICIO 2025]],$J$2:$V$15,6,0)*Tabla44[[#This Row],[TOTAL COBERTURA]]</f>
        <v>1107783</v>
      </c>
      <c r="AO244" s="40">
        <f>VLOOKUP(Tabla44[[#This Row],[SERVICIO 2025]],$J$2:$V$15,8,0)*Tabla44[[#This Row],[TOTAL COBERTURA]]</f>
        <v>785700</v>
      </c>
      <c r="AP244" s="40">
        <f>VLOOKUP(Tabla44[[#This Row],[SERVICIO 2025]],$J$2:$V$15,3,0)*Tabla44[[#This Row],[TOTAL COBERTURA]]*8</f>
        <v>55638576</v>
      </c>
      <c r="AQ244" s="40"/>
      <c r="AR244" s="40">
        <f>SUM(Tabla44[[#This Row],[VALOR FASE PREPARATORIA DE ALISTAMIENTO]:[VALOR RACION PREPARADA]])</f>
        <v>58865211</v>
      </c>
      <c r="AS244" s="40" t="str">
        <f>+IF(Tabla44[[#This Row],[AGRUPACIONES]]=1,SUMIFS(Tabla44[VALOR TOTAL],Tabla44[ZONA DEFINITIVO],Tabla44[[#This Row],[ZONA DEFINITIVO]])," ")</f>
        <v xml:space="preserve"> </v>
      </c>
      <c r="AT244" s="35">
        <f>VLOOKUP(Tabla44[[#This Row],[SERVICIO 2025]],$J$2:$V$15,10,0)*Tabla44[[#This Row],[TOTAL COBERTURA]]*$X$7</f>
        <v>38962728</v>
      </c>
      <c r="AU244" s="42">
        <f>Tabla44[[#This Row],[TOTAL CONTRATO (ICBF+EAS)]]+Tabla44[[#This Row],[VALOR COMPONENTE ALIMENTACION NO ASIGNADO]]</f>
        <v>97827939</v>
      </c>
      <c r="AV24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13944015</v>
      </c>
      <c r="AW244" s="35">
        <f>(VLOOKUP(Tabla44[[#This Row],[SERVICIO 2025]],$J$2:$V$15,3,0)*Tabla44[[#This Row],[TOTAL COBERTURA]])+VLOOKUP(Tabla44[[#This Row],[SERVICIO 2025]],$J$2:$V$15,10,0)*Tabla44[[#This Row],[TOTAL COBERTURA]]</f>
        <v>11825163</v>
      </c>
      <c r="AX244" s="40">
        <f>(VLOOKUP(Tabla44[[#This Row],[SERVICIO 2025]],$J$2:$V$15,3,0)*Tabla44[[#This Row],[TOTAL COBERTURA]])+VLOOKUP(Tabla44[[#This Row],[SERVICIO 2025]],$J$2:$V$15,10,0)*Tabla44[[#This Row],[TOTAL COBERTURA]]</f>
        <v>11825163</v>
      </c>
      <c r="AY244" s="40">
        <f>(VLOOKUP(Tabla44[[#This Row],[SERVICIO 2025]],$J$2:$V$15,3,0)*Tabla44[[#This Row],[TOTAL COBERTURA]])+VLOOKUP(Tabla44[[#This Row],[SERVICIO 2025]],$J$2:$V$15,10,0)*Tabla44[[#This Row],[TOTAL COBERTURA]]</f>
        <v>11825163</v>
      </c>
      <c r="AZ244" s="40">
        <f>(VLOOKUP(Tabla44[[#This Row],[SERVICIO 2025]],$J$2:$V$15,3,0)*Tabla44[[#This Row],[TOTAL COBERTURA]])+VLOOKUP(Tabla44[[#This Row],[SERVICIO 2025]],$J$2:$V$15,10,0)*Tabla44[[#This Row],[TOTAL COBERTURA]]</f>
        <v>11825163</v>
      </c>
      <c r="BA244" s="40">
        <f>(VLOOKUP(Tabla44[[#This Row],[SERVICIO 2025]],$J$2:$V$15,3,0)*Tabla44[[#This Row],[TOTAL COBERTURA]])+VLOOKUP(Tabla44[[#This Row],[SERVICIO 2025]],$J$2:$V$15,10,0)*Tabla44[[#This Row],[TOTAL COBERTURA]]</f>
        <v>11825163</v>
      </c>
      <c r="BB244" s="40">
        <f>(VLOOKUP(Tabla44[[#This Row],[SERVICIO 2025]],$J$2:$V$15,3,0)*Tabla44[[#This Row],[TOTAL COBERTURA]])+VLOOKUP(Tabla44[[#This Row],[SERVICIO 2025]],$J$2:$V$15,10,0)*Tabla44[[#This Row],[TOTAL COBERTURA]]</f>
        <v>11825163</v>
      </c>
      <c r="BC244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12932946</v>
      </c>
      <c r="BD244" s="40">
        <f>SUM(Tabla44[[#This Row],[DESEMBOLSO 1]:[DESEMBOLSO 8]])</f>
        <v>97827939</v>
      </c>
      <c r="BE244" s="22" t="b">
        <f>EXACT(Tabla44[[#This Row],[VALOR ATENCIÓN (8 MESES)]],Tabla44[[#This Row],[VALOR TOTAL]])</f>
        <v>1</v>
      </c>
      <c r="BF244" s="28">
        <f>Tabla44[[#This Row],[VALOR ATENCIÓN (8 MESES)]]-Tabla44[[#This Row],[VALOR TOTAL]]</f>
        <v>0</v>
      </c>
      <c r="BG244" s="22" t="b">
        <f>EXACT(Tabla44[[#This Row],[TOTAL DESEMBOLSOS]],Tabla44[[#This Row],[VALOR TOTAL DEL CONTRATO INCLUIDO EL COMPONENTE DE ALIMENTACIÓN]])</f>
        <v>1</v>
      </c>
      <c r="BH244" s="29">
        <f>Tabla44[[#This Row],[TOTAL DESEMBOLSOS]]-Tabla44[[#This Row],[VALOR TOTAL DEL CONTRATO INCLUIDO EL COMPONENTE DE ALIMENTACIÓN]]</f>
        <v>0</v>
      </c>
      <c r="BI244" t="s">
        <v>98</v>
      </c>
    </row>
    <row r="245" spans="1:61">
      <c r="A245" s="13">
        <v>1993</v>
      </c>
      <c r="B245" s="13"/>
      <c r="C245" s="12" t="s">
        <v>87</v>
      </c>
      <c r="D245" s="12" t="s">
        <v>1628</v>
      </c>
      <c r="E245" s="12" t="s">
        <v>3284</v>
      </c>
      <c r="F245" s="12" t="s">
        <v>18</v>
      </c>
      <c r="G245" s="12" t="s">
        <v>90</v>
      </c>
      <c r="H245" s="12" t="s">
        <v>3290</v>
      </c>
      <c r="I245" s="36">
        <v>56471118079</v>
      </c>
      <c r="J245" s="12" t="s">
        <v>3291</v>
      </c>
      <c r="K245" s="12">
        <v>1</v>
      </c>
      <c r="L245" s="12">
        <v>17</v>
      </c>
      <c r="M245" s="12"/>
      <c r="N245" s="13">
        <v>1993</v>
      </c>
      <c r="O245" s="12" t="s">
        <v>2850</v>
      </c>
      <c r="P245" s="12"/>
      <c r="Q245" s="12"/>
      <c r="R245" s="12" t="s">
        <v>94</v>
      </c>
      <c r="S245" s="12">
        <v>10</v>
      </c>
      <c r="T245" s="12">
        <v>818001449</v>
      </c>
      <c r="U245" s="12" t="s">
        <v>3247</v>
      </c>
      <c r="V245" s="12">
        <f>VLOOKUP(Tabla44[[#This Row],[ZONA DEFINITIVO]],[1]Hoja1!$A$1:$D$125,3,0)</f>
        <v>229940</v>
      </c>
      <c r="W245" s="12">
        <f>VLOOKUP(Tabla44[[#This Row],[ZONA DEFINITIVO]],[1]Hoja1!$A$1:$D$125,2,0)</f>
        <v>17259</v>
      </c>
      <c r="X245" s="12">
        <f>VLOOKUP(Tabla44[[#This Row],[ZONA DEFINITIVO]],[1]Hoja1!$A$1:$D$125,4,0)</f>
        <v>104625</v>
      </c>
      <c r="Y245" s="12" t="str">
        <f>+IF(Tabla44[[#This Row],[AGRUPACIONES]]=1,SUMIFS(Tabla44[UDS],Tabla44[ZONA DEFINITIVO],Tabla44[[#This Row],[ZONA DEFINITIVO]])," ")</f>
        <v xml:space="preserve"> </v>
      </c>
      <c r="Z245" s="12" t="str">
        <f>+IF(Tabla44[[#This Row],[AGRUPACIONES]]=1,SUMIFS(Tabla44[TOTAL COBERTURA],Tabla44[ZONA DEFINITIVO],Tabla44[[#This Row],[ZONA DEFINITIVO]])," ")</f>
        <v xml:space="preserve"> </v>
      </c>
      <c r="AA245" s="12"/>
      <c r="AB245" s="35">
        <v>37063281</v>
      </c>
      <c r="AC245" s="37">
        <v>0</v>
      </c>
      <c r="AD245" s="35">
        <f t="shared" si="4"/>
        <v>0</v>
      </c>
      <c r="AE245" s="12"/>
      <c r="AF245" s="12">
        <f>COUNTIF($A$20:A245,A245)</f>
        <v>24</v>
      </c>
      <c r="AG245" s="38">
        <v>37063281</v>
      </c>
      <c r="AH245" s="38">
        <f>Tabla44[[#This Row],[VALOR CONTRAPARTIDA]]+Tabla44[[#This Row],[TOTAL APORTES ICBF]]</f>
        <v>37063281</v>
      </c>
      <c r="AI245" s="35" t="str">
        <f>+IF(Tabla44[[#This Row],[AGRUPACIONES]]=1,SUMIFS(Tabla44[TOTAL APORTES ICBF],Tabla44[ZONA DEFINITIVO],Tabla44[[#This Row],[ZONA DEFINITIVO]])," ")</f>
        <v xml:space="preserve"> </v>
      </c>
      <c r="AJ245" s="38"/>
      <c r="AK245" s="38"/>
      <c r="AL245" s="35"/>
      <c r="AM245" s="35">
        <f>VLOOKUP(Tabla44[[#This Row],[SERVICIO 2025]],$J$2:$V$15,5,0)*Tabla44[[#This Row],[TOTAL COBERTURA]]</f>
        <v>839392</v>
      </c>
      <c r="AN245" s="35">
        <f>VLOOKUP(Tabla44[[#This Row],[SERVICIO 2025]],$J$2:$V$15,6,0)*Tabla44[[#This Row],[TOTAL COBERTURA]]</f>
        <v>697493</v>
      </c>
      <c r="AO245" s="35">
        <f>VLOOKUP(Tabla44[[#This Row],[SERVICIO 2025]],$J$2:$V$15,8,0)*Tabla44[[#This Row],[TOTAL COBERTURA]]</f>
        <v>494700</v>
      </c>
      <c r="AP245" s="35">
        <f>VLOOKUP(Tabla44[[#This Row],[SERVICIO 2025]],$J$2:$V$15,3,0)*Tabla44[[#This Row],[TOTAL COBERTURA]]*8</f>
        <v>35031696</v>
      </c>
      <c r="AQ245" s="35"/>
      <c r="AR245" s="35">
        <f>SUM(Tabla44[[#This Row],[VALOR FASE PREPARATORIA DE ALISTAMIENTO]:[VALOR RACION PREPARADA]])</f>
        <v>37063281</v>
      </c>
      <c r="AS245" s="35" t="str">
        <f>+IF(Tabla44[[#This Row],[AGRUPACIONES]]=1,SUMIFS(Tabla44[VALOR TOTAL],Tabla44[ZONA DEFINITIVO],Tabla44[[#This Row],[ZONA DEFINITIVO]])," ")</f>
        <v xml:space="preserve"> </v>
      </c>
      <c r="AT245" s="35">
        <f>VLOOKUP(Tabla44[[#This Row],[SERVICIO 2025]],$J$2:$V$15,10,0)*Tabla44[[#This Row],[TOTAL COBERTURA]]*$X$7</f>
        <v>24532088</v>
      </c>
      <c r="AU245" s="39">
        <f>Tabla44[[#This Row],[TOTAL CONTRATO (ICBF+EAS)]]+Tabla44[[#This Row],[VALOR COMPONENTE ALIMENTACION NO ASIGNADO]]</f>
        <v>61595369</v>
      </c>
      <c r="AV24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245" s="35">
        <f>(VLOOKUP(Tabla44[[#This Row],[SERVICIO 2025]],$J$2:$V$15,3,0)*Tabla44[[#This Row],[TOTAL COBERTURA]])+VLOOKUP(Tabla44[[#This Row],[SERVICIO 2025]],$J$2:$V$15,10,0)*Tabla44[[#This Row],[TOTAL COBERTURA]]</f>
        <v>7445473</v>
      </c>
      <c r="AX245" s="35">
        <f>(VLOOKUP(Tabla44[[#This Row],[SERVICIO 2025]],$J$2:$V$15,3,0)*Tabla44[[#This Row],[TOTAL COBERTURA]])+VLOOKUP(Tabla44[[#This Row],[SERVICIO 2025]],$J$2:$V$15,10,0)*Tabla44[[#This Row],[TOTAL COBERTURA]]</f>
        <v>7445473</v>
      </c>
      <c r="AY245" s="35">
        <f>(VLOOKUP(Tabla44[[#This Row],[SERVICIO 2025]],$J$2:$V$15,3,0)*Tabla44[[#This Row],[TOTAL COBERTURA]])+VLOOKUP(Tabla44[[#This Row],[SERVICIO 2025]],$J$2:$V$15,10,0)*Tabla44[[#This Row],[TOTAL COBERTURA]]</f>
        <v>7445473</v>
      </c>
      <c r="AZ245" s="35">
        <f>(VLOOKUP(Tabla44[[#This Row],[SERVICIO 2025]],$J$2:$V$15,3,0)*Tabla44[[#This Row],[TOTAL COBERTURA]])+VLOOKUP(Tabla44[[#This Row],[SERVICIO 2025]],$J$2:$V$15,10,0)*Tabla44[[#This Row],[TOTAL COBERTURA]]</f>
        <v>7445473</v>
      </c>
      <c r="BA245" s="35">
        <f>(VLOOKUP(Tabla44[[#This Row],[SERVICIO 2025]],$J$2:$V$15,3,0)*Tabla44[[#This Row],[TOTAL COBERTURA]])+VLOOKUP(Tabla44[[#This Row],[SERVICIO 2025]],$J$2:$V$15,10,0)*Tabla44[[#This Row],[TOTAL COBERTURA]]</f>
        <v>7445473</v>
      </c>
      <c r="BB245" s="35">
        <f>(VLOOKUP(Tabla44[[#This Row],[SERVICIO 2025]],$J$2:$V$15,3,0)*Tabla44[[#This Row],[TOTAL COBERTURA]])+VLOOKUP(Tabla44[[#This Row],[SERVICIO 2025]],$J$2:$V$15,10,0)*Tabla44[[#This Row],[TOTAL COBERTURA]]</f>
        <v>7445473</v>
      </c>
      <c r="BC24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245" s="35">
        <f>SUM(Tabla44[[#This Row],[DESEMBOLSO 1]:[DESEMBOLSO 8]])</f>
        <v>61595369</v>
      </c>
      <c r="BE245" s="12" t="b">
        <f>EXACT(Tabla44[[#This Row],[VALOR ATENCIÓN (8 MESES)]],Tabla44[[#This Row],[VALOR TOTAL]])</f>
        <v>1</v>
      </c>
      <c r="BF245" s="23">
        <f>Tabla44[[#This Row],[VALOR ATENCIÓN (8 MESES)]]-Tabla44[[#This Row],[VALOR TOTAL]]</f>
        <v>0</v>
      </c>
      <c r="BG245" s="12" t="b">
        <f>EXACT(Tabla44[[#This Row],[TOTAL DESEMBOLSOS]],Tabla44[[#This Row],[VALOR TOTAL DEL CONTRATO INCLUIDO EL COMPONENTE DE ALIMENTACIÓN]])</f>
        <v>1</v>
      </c>
      <c r="BH245" s="29">
        <f>Tabla44[[#This Row],[TOTAL DESEMBOLSOS]]-Tabla44[[#This Row],[VALOR TOTAL DEL CONTRATO INCLUIDO EL COMPONENTE DE ALIMENTACIÓN]]</f>
        <v>0</v>
      </c>
      <c r="BI245" t="s">
        <v>98</v>
      </c>
    </row>
    <row r="246" spans="1:61">
      <c r="A246" s="13">
        <v>1993</v>
      </c>
      <c r="B246" s="13"/>
      <c r="C246" s="12" t="s">
        <v>87</v>
      </c>
      <c r="D246" s="12" t="s">
        <v>1628</v>
      </c>
      <c r="E246" s="12" t="s">
        <v>3284</v>
      </c>
      <c r="F246" s="12" t="s">
        <v>18</v>
      </c>
      <c r="G246" s="12" t="s">
        <v>90</v>
      </c>
      <c r="H246" s="12" t="s">
        <v>3292</v>
      </c>
      <c r="I246" s="36">
        <v>56471118080</v>
      </c>
      <c r="J246" s="12" t="s">
        <v>3293</v>
      </c>
      <c r="K246" s="12">
        <v>1</v>
      </c>
      <c r="L246" s="12">
        <v>37</v>
      </c>
      <c r="M246" s="12"/>
      <c r="N246" s="13">
        <v>1993</v>
      </c>
      <c r="O246" s="12" t="s">
        <v>2850</v>
      </c>
      <c r="P246" s="12"/>
      <c r="Q246" s="12"/>
      <c r="R246" s="12" t="s">
        <v>94</v>
      </c>
      <c r="S246" s="12">
        <v>10</v>
      </c>
      <c r="T246" s="12">
        <v>818001449</v>
      </c>
      <c r="U246" s="12" t="s">
        <v>3247</v>
      </c>
      <c r="V246" s="12">
        <f>VLOOKUP(Tabla44[[#This Row],[ZONA DEFINITIVO]],[1]Hoja1!$A$1:$D$125,3,0)</f>
        <v>229940</v>
      </c>
      <c r="W246" s="12">
        <f>VLOOKUP(Tabla44[[#This Row],[ZONA DEFINITIVO]],[1]Hoja1!$A$1:$D$125,2,0)</f>
        <v>17259</v>
      </c>
      <c r="X246" s="12">
        <f>VLOOKUP(Tabla44[[#This Row],[ZONA DEFINITIVO]],[1]Hoja1!$A$1:$D$125,4,0)</f>
        <v>104625</v>
      </c>
      <c r="Y246" s="12" t="str">
        <f>+IF(Tabla44[[#This Row],[AGRUPACIONES]]=1,SUMIFS(Tabla44[UDS],Tabla44[ZONA DEFINITIVO],Tabla44[[#This Row],[ZONA DEFINITIVO]])," ")</f>
        <v xml:space="preserve"> </v>
      </c>
      <c r="Z246" s="12" t="str">
        <f>+IF(Tabla44[[#This Row],[AGRUPACIONES]]=1,SUMIFS(Tabla44[TOTAL COBERTURA],Tabla44[ZONA DEFINITIVO],Tabla44[[#This Row],[ZONA DEFINITIVO]])," ")</f>
        <v xml:space="preserve"> </v>
      </c>
      <c r="AA246" s="12"/>
      <c r="AB246" s="35">
        <v>80667141</v>
      </c>
      <c r="AC246" s="37">
        <v>0</v>
      </c>
      <c r="AD246" s="35">
        <f t="shared" si="4"/>
        <v>0</v>
      </c>
      <c r="AE246" s="12"/>
      <c r="AF246" s="12">
        <f>COUNTIF($A$20:A246,A246)</f>
        <v>25</v>
      </c>
      <c r="AG246" s="38">
        <v>80667141</v>
      </c>
      <c r="AH246" s="38">
        <f>Tabla44[[#This Row],[VALOR CONTRAPARTIDA]]+Tabla44[[#This Row],[TOTAL APORTES ICBF]]</f>
        <v>80667141</v>
      </c>
      <c r="AI246" s="35" t="str">
        <f>+IF(Tabla44[[#This Row],[AGRUPACIONES]]=1,SUMIFS(Tabla44[TOTAL APORTES ICBF],Tabla44[ZONA DEFINITIVO],Tabla44[[#This Row],[ZONA DEFINITIVO]])," ")</f>
        <v xml:space="preserve"> </v>
      </c>
      <c r="AJ246" s="38"/>
      <c r="AK246" s="38"/>
      <c r="AL246" s="35"/>
      <c r="AM246" s="35">
        <f>VLOOKUP(Tabla44[[#This Row],[SERVICIO 2025]],$J$2:$V$15,5,0)*Tabla44[[#This Row],[TOTAL COBERTURA]]</f>
        <v>1826912</v>
      </c>
      <c r="AN246" s="35">
        <f>VLOOKUP(Tabla44[[#This Row],[SERVICIO 2025]],$J$2:$V$15,6,0)*Tabla44[[#This Row],[TOTAL COBERTURA]]</f>
        <v>1518073</v>
      </c>
      <c r="AO246" s="35">
        <f>VLOOKUP(Tabla44[[#This Row],[SERVICIO 2025]],$J$2:$V$15,8,0)*Tabla44[[#This Row],[TOTAL COBERTURA]]</f>
        <v>1076700</v>
      </c>
      <c r="AP246" s="35">
        <f>VLOOKUP(Tabla44[[#This Row],[SERVICIO 2025]],$J$2:$V$15,3,0)*Tabla44[[#This Row],[TOTAL COBERTURA]]*8</f>
        <v>76245456</v>
      </c>
      <c r="AQ246" s="35"/>
      <c r="AR246" s="35">
        <f>SUM(Tabla44[[#This Row],[VALOR FASE PREPARATORIA DE ALISTAMIENTO]:[VALOR RACION PREPARADA]])</f>
        <v>80667141</v>
      </c>
      <c r="AS246" s="35" t="str">
        <f>+IF(Tabla44[[#This Row],[AGRUPACIONES]]=1,SUMIFS(Tabla44[VALOR TOTAL],Tabla44[ZONA DEFINITIVO],Tabla44[[#This Row],[ZONA DEFINITIVO]])," ")</f>
        <v xml:space="preserve"> </v>
      </c>
      <c r="AT246" s="35">
        <f>VLOOKUP(Tabla44[[#This Row],[SERVICIO 2025]],$J$2:$V$15,10,0)*Tabla44[[#This Row],[TOTAL COBERTURA]]*$X$7</f>
        <v>53393368</v>
      </c>
      <c r="AU246" s="39">
        <f>Tabla44[[#This Row],[TOTAL CONTRATO (ICBF+EAS)]]+Tabla44[[#This Row],[VALOR COMPONENTE ALIMENTACION NO ASIGNADO]]</f>
        <v>134060509</v>
      </c>
      <c r="AV24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19108465</v>
      </c>
      <c r="AW246" s="35">
        <f>(VLOOKUP(Tabla44[[#This Row],[SERVICIO 2025]],$J$2:$V$15,3,0)*Tabla44[[#This Row],[TOTAL COBERTURA]])+VLOOKUP(Tabla44[[#This Row],[SERVICIO 2025]],$J$2:$V$15,10,0)*Tabla44[[#This Row],[TOTAL COBERTURA]]</f>
        <v>16204853</v>
      </c>
      <c r="AX246" s="35">
        <f>(VLOOKUP(Tabla44[[#This Row],[SERVICIO 2025]],$J$2:$V$15,3,0)*Tabla44[[#This Row],[TOTAL COBERTURA]])+VLOOKUP(Tabla44[[#This Row],[SERVICIO 2025]],$J$2:$V$15,10,0)*Tabla44[[#This Row],[TOTAL COBERTURA]]</f>
        <v>16204853</v>
      </c>
      <c r="AY246" s="35">
        <f>(VLOOKUP(Tabla44[[#This Row],[SERVICIO 2025]],$J$2:$V$15,3,0)*Tabla44[[#This Row],[TOTAL COBERTURA]])+VLOOKUP(Tabla44[[#This Row],[SERVICIO 2025]],$J$2:$V$15,10,0)*Tabla44[[#This Row],[TOTAL COBERTURA]]</f>
        <v>16204853</v>
      </c>
      <c r="AZ246" s="35">
        <f>(VLOOKUP(Tabla44[[#This Row],[SERVICIO 2025]],$J$2:$V$15,3,0)*Tabla44[[#This Row],[TOTAL COBERTURA]])+VLOOKUP(Tabla44[[#This Row],[SERVICIO 2025]],$J$2:$V$15,10,0)*Tabla44[[#This Row],[TOTAL COBERTURA]]</f>
        <v>16204853</v>
      </c>
      <c r="BA246" s="35">
        <f>(VLOOKUP(Tabla44[[#This Row],[SERVICIO 2025]],$J$2:$V$15,3,0)*Tabla44[[#This Row],[TOTAL COBERTURA]])+VLOOKUP(Tabla44[[#This Row],[SERVICIO 2025]],$J$2:$V$15,10,0)*Tabla44[[#This Row],[TOTAL COBERTURA]]</f>
        <v>16204853</v>
      </c>
      <c r="BB246" s="35">
        <f>(VLOOKUP(Tabla44[[#This Row],[SERVICIO 2025]],$J$2:$V$15,3,0)*Tabla44[[#This Row],[TOTAL COBERTURA]])+VLOOKUP(Tabla44[[#This Row],[SERVICIO 2025]],$J$2:$V$15,10,0)*Tabla44[[#This Row],[TOTAL COBERTURA]]</f>
        <v>16204853</v>
      </c>
      <c r="BC24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17722926</v>
      </c>
      <c r="BD246" s="35">
        <f>SUM(Tabla44[[#This Row],[DESEMBOLSO 1]:[DESEMBOLSO 8]])</f>
        <v>134060509</v>
      </c>
      <c r="BE246" s="12" t="b">
        <f>EXACT(Tabla44[[#This Row],[VALOR ATENCIÓN (8 MESES)]],Tabla44[[#This Row],[VALOR TOTAL]])</f>
        <v>1</v>
      </c>
      <c r="BF246" s="23">
        <f>Tabla44[[#This Row],[VALOR ATENCIÓN (8 MESES)]]-Tabla44[[#This Row],[VALOR TOTAL]]</f>
        <v>0</v>
      </c>
      <c r="BG246" s="12" t="b">
        <f>EXACT(Tabla44[[#This Row],[TOTAL DESEMBOLSOS]],Tabla44[[#This Row],[VALOR TOTAL DEL CONTRATO INCLUIDO EL COMPONENTE DE ALIMENTACIÓN]])</f>
        <v>1</v>
      </c>
      <c r="BH246" s="29">
        <f>Tabla44[[#This Row],[TOTAL DESEMBOLSOS]]-Tabla44[[#This Row],[VALOR TOTAL DEL CONTRATO INCLUIDO EL COMPONENTE DE ALIMENTACIÓN]]</f>
        <v>0</v>
      </c>
      <c r="BI246" t="s">
        <v>98</v>
      </c>
    </row>
    <row r="247" spans="1:61">
      <c r="A247" s="13">
        <v>1993</v>
      </c>
      <c r="B247" s="13"/>
      <c r="C247" s="12" t="s">
        <v>87</v>
      </c>
      <c r="D247" s="12" t="s">
        <v>1628</v>
      </c>
      <c r="E247" s="12" t="s">
        <v>3284</v>
      </c>
      <c r="F247" s="12" t="s">
        <v>18</v>
      </c>
      <c r="G247" s="12" t="s">
        <v>90</v>
      </c>
      <c r="H247" s="12" t="s">
        <v>3294</v>
      </c>
      <c r="I247" s="36">
        <v>56471135784</v>
      </c>
      <c r="J247" s="12" t="s">
        <v>3295</v>
      </c>
      <c r="K247" s="12">
        <v>1</v>
      </c>
      <c r="L247" s="12">
        <v>20</v>
      </c>
      <c r="M247" s="12"/>
      <c r="N247" s="13">
        <v>1993</v>
      </c>
      <c r="O247" s="12" t="s">
        <v>2850</v>
      </c>
      <c r="P247" s="12"/>
      <c r="Q247" s="12"/>
      <c r="R247" s="12" t="s">
        <v>94</v>
      </c>
      <c r="S247" s="12">
        <v>10</v>
      </c>
      <c r="T247" s="12">
        <v>818001449</v>
      </c>
      <c r="U247" s="12" t="s">
        <v>3247</v>
      </c>
      <c r="V247" s="12">
        <f>VLOOKUP(Tabla44[[#This Row],[ZONA DEFINITIVO]],[1]Hoja1!$A$1:$D$125,3,0)</f>
        <v>229940</v>
      </c>
      <c r="W247" s="12">
        <f>VLOOKUP(Tabla44[[#This Row],[ZONA DEFINITIVO]],[1]Hoja1!$A$1:$D$125,2,0)</f>
        <v>17259</v>
      </c>
      <c r="X247" s="12">
        <f>VLOOKUP(Tabla44[[#This Row],[ZONA DEFINITIVO]],[1]Hoja1!$A$1:$D$125,4,0)</f>
        <v>104625</v>
      </c>
      <c r="Y247" s="12" t="str">
        <f>+IF(Tabla44[[#This Row],[AGRUPACIONES]]=1,SUMIFS(Tabla44[UDS],Tabla44[ZONA DEFINITIVO],Tabla44[[#This Row],[ZONA DEFINITIVO]])," ")</f>
        <v xml:space="preserve"> </v>
      </c>
      <c r="Z247" s="12" t="str">
        <f>+IF(Tabla44[[#This Row],[AGRUPACIONES]]=1,SUMIFS(Tabla44[TOTAL COBERTURA],Tabla44[ZONA DEFINITIVO],Tabla44[[#This Row],[ZONA DEFINITIVO]])," ")</f>
        <v xml:space="preserve"> </v>
      </c>
      <c r="AA247" s="12"/>
      <c r="AB247" s="35">
        <v>43603860</v>
      </c>
      <c r="AC247" s="37">
        <v>0</v>
      </c>
      <c r="AD247" s="35">
        <f t="shared" si="4"/>
        <v>0</v>
      </c>
      <c r="AE247" s="12"/>
      <c r="AF247" s="12">
        <f>COUNTIF($A$20:A247,A247)</f>
        <v>26</v>
      </c>
      <c r="AG247" s="38">
        <v>43603860</v>
      </c>
      <c r="AH247" s="38">
        <f>Tabla44[[#This Row],[VALOR CONTRAPARTIDA]]+Tabla44[[#This Row],[TOTAL APORTES ICBF]]</f>
        <v>43603860</v>
      </c>
      <c r="AI247" s="35" t="str">
        <f>+IF(Tabla44[[#This Row],[AGRUPACIONES]]=1,SUMIFS(Tabla44[TOTAL APORTES ICBF],Tabla44[ZONA DEFINITIVO],Tabla44[[#This Row],[ZONA DEFINITIVO]])," ")</f>
        <v xml:space="preserve"> </v>
      </c>
      <c r="AJ247" s="38"/>
      <c r="AK247" s="38"/>
      <c r="AL247" s="35"/>
      <c r="AM247" s="35">
        <f>VLOOKUP(Tabla44[[#This Row],[SERVICIO 2025]],$J$2:$V$15,5,0)*Tabla44[[#This Row],[TOTAL COBERTURA]]</f>
        <v>987520</v>
      </c>
      <c r="AN247" s="35">
        <f>VLOOKUP(Tabla44[[#This Row],[SERVICIO 2025]],$J$2:$V$15,6,0)*Tabla44[[#This Row],[TOTAL COBERTURA]]</f>
        <v>820580</v>
      </c>
      <c r="AO247" s="35">
        <f>VLOOKUP(Tabla44[[#This Row],[SERVICIO 2025]],$J$2:$V$15,8,0)*Tabla44[[#This Row],[TOTAL COBERTURA]]</f>
        <v>582000</v>
      </c>
      <c r="AP247" s="35">
        <f>VLOOKUP(Tabla44[[#This Row],[SERVICIO 2025]],$J$2:$V$15,3,0)*Tabla44[[#This Row],[TOTAL COBERTURA]]*8</f>
        <v>41213760</v>
      </c>
      <c r="AQ247" s="35"/>
      <c r="AR247" s="35">
        <f>SUM(Tabla44[[#This Row],[VALOR FASE PREPARATORIA DE ALISTAMIENTO]:[VALOR RACION PREPARADA]])</f>
        <v>43603860</v>
      </c>
      <c r="AS247" s="35" t="str">
        <f>+IF(Tabla44[[#This Row],[AGRUPACIONES]]=1,SUMIFS(Tabla44[VALOR TOTAL],Tabla44[ZONA DEFINITIVO],Tabla44[[#This Row],[ZONA DEFINITIVO]])," ")</f>
        <v xml:space="preserve"> </v>
      </c>
      <c r="AT247" s="35">
        <f>VLOOKUP(Tabla44[[#This Row],[SERVICIO 2025]],$J$2:$V$15,10,0)*Tabla44[[#This Row],[TOTAL COBERTURA]]*$X$7</f>
        <v>28861280</v>
      </c>
      <c r="AU247" s="39">
        <f>Tabla44[[#This Row],[TOTAL CONTRATO (ICBF+EAS)]]+Tabla44[[#This Row],[VALOR COMPONENTE ALIMENTACION NO ASIGNADO]]</f>
        <v>72465140</v>
      </c>
      <c r="AV24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247" s="35">
        <f>(VLOOKUP(Tabla44[[#This Row],[SERVICIO 2025]],$J$2:$V$15,3,0)*Tabla44[[#This Row],[TOTAL COBERTURA]])+VLOOKUP(Tabla44[[#This Row],[SERVICIO 2025]],$J$2:$V$15,10,0)*Tabla44[[#This Row],[TOTAL COBERTURA]]</f>
        <v>8759380</v>
      </c>
      <c r="AX247" s="35">
        <f>(VLOOKUP(Tabla44[[#This Row],[SERVICIO 2025]],$J$2:$V$15,3,0)*Tabla44[[#This Row],[TOTAL COBERTURA]])+VLOOKUP(Tabla44[[#This Row],[SERVICIO 2025]],$J$2:$V$15,10,0)*Tabla44[[#This Row],[TOTAL COBERTURA]]</f>
        <v>8759380</v>
      </c>
      <c r="AY247" s="35">
        <f>(VLOOKUP(Tabla44[[#This Row],[SERVICIO 2025]],$J$2:$V$15,3,0)*Tabla44[[#This Row],[TOTAL COBERTURA]])+VLOOKUP(Tabla44[[#This Row],[SERVICIO 2025]],$J$2:$V$15,10,0)*Tabla44[[#This Row],[TOTAL COBERTURA]]</f>
        <v>8759380</v>
      </c>
      <c r="AZ247" s="35">
        <f>(VLOOKUP(Tabla44[[#This Row],[SERVICIO 2025]],$J$2:$V$15,3,0)*Tabla44[[#This Row],[TOTAL COBERTURA]])+VLOOKUP(Tabla44[[#This Row],[SERVICIO 2025]],$J$2:$V$15,10,0)*Tabla44[[#This Row],[TOTAL COBERTURA]]</f>
        <v>8759380</v>
      </c>
      <c r="BA247" s="35">
        <f>(VLOOKUP(Tabla44[[#This Row],[SERVICIO 2025]],$J$2:$V$15,3,0)*Tabla44[[#This Row],[TOTAL COBERTURA]])+VLOOKUP(Tabla44[[#This Row],[SERVICIO 2025]],$J$2:$V$15,10,0)*Tabla44[[#This Row],[TOTAL COBERTURA]]</f>
        <v>8759380</v>
      </c>
      <c r="BB247" s="35">
        <f>(VLOOKUP(Tabla44[[#This Row],[SERVICIO 2025]],$J$2:$V$15,3,0)*Tabla44[[#This Row],[TOTAL COBERTURA]])+VLOOKUP(Tabla44[[#This Row],[SERVICIO 2025]],$J$2:$V$15,10,0)*Tabla44[[#This Row],[TOTAL COBERTURA]]</f>
        <v>8759380</v>
      </c>
      <c r="BC24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247" s="35">
        <f>SUM(Tabla44[[#This Row],[DESEMBOLSO 1]:[DESEMBOLSO 8]])</f>
        <v>72465140</v>
      </c>
      <c r="BE247" s="12" t="b">
        <f>EXACT(Tabla44[[#This Row],[VALOR ATENCIÓN (8 MESES)]],Tabla44[[#This Row],[VALOR TOTAL]])</f>
        <v>1</v>
      </c>
      <c r="BF247" s="23">
        <f>Tabla44[[#This Row],[VALOR ATENCIÓN (8 MESES)]]-Tabla44[[#This Row],[VALOR TOTAL]]</f>
        <v>0</v>
      </c>
      <c r="BG247" s="12" t="b">
        <f>EXACT(Tabla44[[#This Row],[TOTAL DESEMBOLSOS]],Tabla44[[#This Row],[VALOR TOTAL DEL CONTRATO INCLUIDO EL COMPONENTE DE ALIMENTACIÓN]])</f>
        <v>1</v>
      </c>
      <c r="BH247" s="29">
        <f>Tabla44[[#This Row],[TOTAL DESEMBOLSOS]]-Tabla44[[#This Row],[VALOR TOTAL DEL CONTRATO INCLUIDO EL COMPONENTE DE ALIMENTACIÓN]]</f>
        <v>0</v>
      </c>
      <c r="BI247" t="s">
        <v>98</v>
      </c>
    </row>
    <row r="248" spans="1:61">
      <c r="A248" s="13">
        <v>1993</v>
      </c>
      <c r="B248" s="13"/>
      <c r="C248" s="12" t="s">
        <v>87</v>
      </c>
      <c r="D248" s="12" t="s">
        <v>1628</v>
      </c>
      <c r="E248" s="12" t="s">
        <v>3284</v>
      </c>
      <c r="F248" s="12" t="s">
        <v>18</v>
      </c>
      <c r="G248" s="12" t="s">
        <v>90</v>
      </c>
      <c r="H248" s="12" t="s">
        <v>3296</v>
      </c>
      <c r="I248" s="36">
        <v>56471135788</v>
      </c>
      <c r="J248" s="12" t="s">
        <v>3297</v>
      </c>
      <c r="K248" s="12">
        <v>1</v>
      </c>
      <c r="L248" s="12">
        <v>10</v>
      </c>
      <c r="M248" s="12"/>
      <c r="N248" s="13">
        <v>1993</v>
      </c>
      <c r="O248" s="12" t="s">
        <v>2850</v>
      </c>
      <c r="P248" s="12"/>
      <c r="Q248" s="12"/>
      <c r="R248" s="12" t="s">
        <v>94</v>
      </c>
      <c r="S248" s="12">
        <v>10</v>
      </c>
      <c r="T248" s="12">
        <v>818001449</v>
      </c>
      <c r="U248" s="12" t="s">
        <v>3247</v>
      </c>
      <c r="V248" s="12">
        <f>VLOOKUP(Tabla44[[#This Row],[ZONA DEFINITIVO]],[1]Hoja1!$A$1:$D$125,3,0)</f>
        <v>229940</v>
      </c>
      <c r="W248" s="12">
        <f>VLOOKUP(Tabla44[[#This Row],[ZONA DEFINITIVO]],[1]Hoja1!$A$1:$D$125,2,0)</f>
        <v>17259</v>
      </c>
      <c r="X248" s="12">
        <f>VLOOKUP(Tabla44[[#This Row],[ZONA DEFINITIVO]],[1]Hoja1!$A$1:$D$125,4,0)</f>
        <v>104625</v>
      </c>
      <c r="Y248" s="12" t="str">
        <f>+IF(Tabla44[[#This Row],[AGRUPACIONES]]=1,SUMIFS(Tabla44[UDS],Tabla44[ZONA DEFINITIVO],Tabla44[[#This Row],[ZONA DEFINITIVO]])," ")</f>
        <v xml:space="preserve"> </v>
      </c>
      <c r="Z248" s="12" t="str">
        <f>+IF(Tabla44[[#This Row],[AGRUPACIONES]]=1,SUMIFS(Tabla44[TOTAL COBERTURA],Tabla44[ZONA DEFINITIVO],Tabla44[[#This Row],[ZONA DEFINITIVO]])," ")</f>
        <v xml:space="preserve"> </v>
      </c>
      <c r="AA248" s="12"/>
      <c r="AB248" s="35">
        <v>21801930</v>
      </c>
      <c r="AC248" s="37">
        <v>0</v>
      </c>
      <c r="AD248" s="35">
        <f t="shared" si="4"/>
        <v>0</v>
      </c>
      <c r="AE248" s="12"/>
      <c r="AF248" s="12">
        <f>COUNTIF($A$20:A248,A248)</f>
        <v>27</v>
      </c>
      <c r="AG248" s="38">
        <v>21801930</v>
      </c>
      <c r="AH248" s="38">
        <f>Tabla44[[#This Row],[VALOR CONTRAPARTIDA]]+Tabla44[[#This Row],[TOTAL APORTES ICBF]]</f>
        <v>21801930</v>
      </c>
      <c r="AI248" s="35" t="str">
        <f>+IF(Tabla44[[#This Row],[AGRUPACIONES]]=1,SUMIFS(Tabla44[TOTAL APORTES ICBF],Tabla44[ZONA DEFINITIVO],Tabla44[[#This Row],[ZONA DEFINITIVO]])," ")</f>
        <v xml:space="preserve"> </v>
      </c>
      <c r="AJ248" s="38"/>
      <c r="AK248" s="38"/>
      <c r="AL248" s="35"/>
      <c r="AM248" s="35">
        <f>VLOOKUP(Tabla44[[#This Row],[SERVICIO 2025]],$J$2:$V$15,5,0)*Tabla44[[#This Row],[TOTAL COBERTURA]]</f>
        <v>493760</v>
      </c>
      <c r="AN248" s="35">
        <f>VLOOKUP(Tabla44[[#This Row],[SERVICIO 2025]],$J$2:$V$15,6,0)*Tabla44[[#This Row],[TOTAL COBERTURA]]</f>
        <v>410290</v>
      </c>
      <c r="AO248" s="35">
        <f>VLOOKUP(Tabla44[[#This Row],[SERVICIO 2025]],$J$2:$V$15,8,0)*Tabla44[[#This Row],[TOTAL COBERTURA]]</f>
        <v>291000</v>
      </c>
      <c r="AP248" s="35">
        <f>VLOOKUP(Tabla44[[#This Row],[SERVICIO 2025]],$J$2:$V$15,3,0)*Tabla44[[#This Row],[TOTAL COBERTURA]]*8</f>
        <v>20606880</v>
      </c>
      <c r="AQ248" s="35"/>
      <c r="AR248" s="35">
        <f>SUM(Tabla44[[#This Row],[VALOR FASE PREPARATORIA DE ALISTAMIENTO]:[VALOR RACION PREPARADA]])</f>
        <v>21801930</v>
      </c>
      <c r="AS248" s="35" t="str">
        <f>+IF(Tabla44[[#This Row],[AGRUPACIONES]]=1,SUMIFS(Tabla44[VALOR TOTAL],Tabla44[ZONA DEFINITIVO],Tabla44[[#This Row],[ZONA DEFINITIVO]])," ")</f>
        <v xml:space="preserve"> </v>
      </c>
      <c r="AT248" s="35">
        <f>VLOOKUP(Tabla44[[#This Row],[SERVICIO 2025]],$J$2:$V$15,10,0)*Tabla44[[#This Row],[TOTAL COBERTURA]]*$X$7</f>
        <v>14430640</v>
      </c>
      <c r="AU248" s="39">
        <f>Tabla44[[#This Row],[TOTAL CONTRATO (ICBF+EAS)]]+Tabla44[[#This Row],[VALOR COMPONENTE ALIMENTACION NO ASIGNADO]]</f>
        <v>36232570</v>
      </c>
      <c r="AV24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248" s="35">
        <f>(VLOOKUP(Tabla44[[#This Row],[SERVICIO 2025]],$J$2:$V$15,3,0)*Tabla44[[#This Row],[TOTAL COBERTURA]])+VLOOKUP(Tabla44[[#This Row],[SERVICIO 2025]],$J$2:$V$15,10,0)*Tabla44[[#This Row],[TOTAL COBERTURA]]</f>
        <v>4379690</v>
      </c>
      <c r="AX248" s="35">
        <f>(VLOOKUP(Tabla44[[#This Row],[SERVICIO 2025]],$J$2:$V$15,3,0)*Tabla44[[#This Row],[TOTAL COBERTURA]])+VLOOKUP(Tabla44[[#This Row],[SERVICIO 2025]],$J$2:$V$15,10,0)*Tabla44[[#This Row],[TOTAL COBERTURA]]</f>
        <v>4379690</v>
      </c>
      <c r="AY248" s="35">
        <f>(VLOOKUP(Tabla44[[#This Row],[SERVICIO 2025]],$J$2:$V$15,3,0)*Tabla44[[#This Row],[TOTAL COBERTURA]])+VLOOKUP(Tabla44[[#This Row],[SERVICIO 2025]],$J$2:$V$15,10,0)*Tabla44[[#This Row],[TOTAL COBERTURA]]</f>
        <v>4379690</v>
      </c>
      <c r="AZ248" s="35">
        <f>(VLOOKUP(Tabla44[[#This Row],[SERVICIO 2025]],$J$2:$V$15,3,0)*Tabla44[[#This Row],[TOTAL COBERTURA]])+VLOOKUP(Tabla44[[#This Row],[SERVICIO 2025]],$J$2:$V$15,10,0)*Tabla44[[#This Row],[TOTAL COBERTURA]]</f>
        <v>4379690</v>
      </c>
      <c r="BA248" s="35">
        <f>(VLOOKUP(Tabla44[[#This Row],[SERVICIO 2025]],$J$2:$V$15,3,0)*Tabla44[[#This Row],[TOTAL COBERTURA]])+VLOOKUP(Tabla44[[#This Row],[SERVICIO 2025]],$J$2:$V$15,10,0)*Tabla44[[#This Row],[TOTAL COBERTURA]]</f>
        <v>4379690</v>
      </c>
      <c r="BB248" s="35">
        <f>(VLOOKUP(Tabla44[[#This Row],[SERVICIO 2025]],$J$2:$V$15,3,0)*Tabla44[[#This Row],[TOTAL COBERTURA]])+VLOOKUP(Tabla44[[#This Row],[SERVICIO 2025]],$J$2:$V$15,10,0)*Tabla44[[#This Row],[TOTAL COBERTURA]]</f>
        <v>4379690</v>
      </c>
      <c r="BC24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248" s="35">
        <f>SUM(Tabla44[[#This Row],[DESEMBOLSO 1]:[DESEMBOLSO 8]])</f>
        <v>36232570</v>
      </c>
      <c r="BE248" s="12" t="b">
        <f>EXACT(Tabla44[[#This Row],[VALOR ATENCIÓN (8 MESES)]],Tabla44[[#This Row],[VALOR TOTAL]])</f>
        <v>1</v>
      </c>
      <c r="BF248" s="23">
        <f>Tabla44[[#This Row],[VALOR ATENCIÓN (8 MESES)]]-Tabla44[[#This Row],[VALOR TOTAL]]</f>
        <v>0</v>
      </c>
      <c r="BG248" s="12" t="b">
        <f>EXACT(Tabla44[[#This Row],[TOTAL DESEMBOLSOS]],Tabla44[[#This Row],[VALOR TOTAL DEL CONTRATO INCLUIDO EL COMPONENTE DE ALIMENTACIÓN]])</f>
        <v>1</v>
      </c>
      <c r="BH248" s="29">
        <f>Tabla44[[#This Row],[TOTAL DESEMBOLSOS]]-Tabla44[[#This Row],[VALOR TOTAL DEL CONTRATO INCLUIDO EL COMPONENTE DE ALIMENTACIÓN]]</f>
        <v>0</v>
      </c>
      <c r="BI248" t="s">
        <v>98</v>
      </c>
    </row>
    <row r="249" spans="1:61">
      <c r="A249" s="13">
        <v>1993</v>
      </c>
      <c r="B249" s="13"/>
      <c r="C249" s="12" t="s">
        <v>87</v>
      </c>
      <c r="D249" s="12" t="s">
        <v>1628</v>
      </c>
      <c r="E249" s="12" t="s">
        <v>3284</v>
      </c>
      <c r="F249" s="12" t="s">
        <v>18</v>
      </c>
      <c r="G249" s="12" t="s">
        <v>90</v>
      </c>
      <c r="H249" s="12" t="s">
        <v>2370</v>
      </c>
      <c r="I249" s="36">
        <v>56471135794</v>
      </c>
      <c r="J249" s="12" t="s">
        <v>3298</v>
      </c>
      <c r="K249" s="12">
        <v>1</v>
      </c>
      <c r="L249" s="12">
        <v>20</v>
      </c>
      <c r="M249" s="12"/>
      <c r="N249" s="13">
        <v>1993</v>
      </c>
      <c r="O249" s="12" t="s">
        <v>2850</v>
      </c>
      <c r="P249" s="12"/>
      <c r="Q249" s="12"/>
      <c r="R249" s="12" t="s">
        <v>94</v>
      </c>
      <c r="S249" s="12">
        <v>10</v>
      </c>
      <c r="T249" s="12">
        <v>818001449</v>
      </c>
      <c r="U249" s="12" t="s">
        <v>3247</v>
      </c>
      <c r="V249" s="12">
        <f>VLOOKUP(Tabla44[[#This Row],[ZONA DEFINITIVO]],[1]Hoja1!$A$1:$D$125,3,0)</f>
        <v>229940</v>
      </c>
      <c r="W249" s="12">
        <f>VLOOKUP(Tabla44[[#This Row],[ZONA DEFINITIVO]],[1]Hoja1!$A$1:$D$125,2,0)</f>
        <v>17259</v>
      </c>
      <c r="X249" s="12">
        <f>VLOOKUP(Tabla44[[#This Row],[ZONA DEFINITIVO]],[1]Hoja1!$A$1:$D$125,4,0)</f>
        <v>104625</v>
      </c>
      <c r="Y249" s="12" t="str">
        <f>+IF(Tabla44[[#This Row],[AGRUPACIONES]]=1,SUMIFS(Tabla44[UDS],Tabla44[ZONA DEFINITIVO],Tabla44[[#This Row],[ZONA DEFINITIVO]])," ")</f>
        <v xml:space="preserve"> </v>
      </c>
      <c r="Z249" s="12" t="str">
        <f>+IF(Tabla44[[#This Row],[AGRUPACIONES]]=1,SUMIFS(Tabla44[TOTAL COBERTURA],Tabla44[ZONA DEFINITIVO],Tabla44[[#This Row],[ZONA DEFINITIVO]])," ")</f>
        <v xml:space="preserve"> </v>
      </c>
      <c r="AA249" s="12"/>
      <c r="AB249" s="35">
        <v>43603860</v>
      </c>
      <c r="AC249" s="37">
        <v>0</v>
      </c>
      <c r="AD249" s="35">
        <f t="shared" si="4"/>
        <v>0</v>
      </c>
      <c r="AE249" s="12"/>
      <c r="AF249" s="12">
        <f>COUNTIF($A$20:A249,A249)</f>
        <v>28</v>
      </c>
      <c r="AG249" s="38">
        <v>43603860</v>
      </c>
      <c r="AH249" s="38">
        <f>Tabla44[[#This Row],[VALOR CONTRAPARTIDA]]+Tabla44[[#This Row],[TOTAL APORTES ICBF]]</f>
        <v>43603860</v>
      </c>
      <c r="AI249" s="35" t="str">
        <f>+IF(Tabla44[[#This Row],[AGRUPACIONES]]=1,SUMIFS(Tabla44[TOTAL APORTES ICBF],Tabla44[ZONA DEFINITIVO],Tabla44[[#This Row],[ZONA DEFINITIVO]])," ")</f>
        <v xml:space="preserve"> </v>
      </c>
      <c r="AJ249" s="38"/>
      <c r="AK249" s="38"/>
      <c r="AL249" s="35"/>
      <c r="AM249" s="35">
        <f>VLOOKUP(Tabla44[[#This Row],[SERVICIO 2025]],$J$2:$V$15,5,0)*Tabla44[[#This Row],[TOTAL COBERTURA]]</f>
        <v>987520</v>
      </c>
      <c r="AN249" s="35">
        <f>VLOOKUP(Tabla44[[#This Row],[SERVICIO 2025]],$J$2:$V$15,6,0)*Tabla44[[#This Row],[TOTAL COBERTURA]]</f>
        <v>820580</v>
      </c>
      <c r="AO249" s="35">
        <f>VLOOKUP(Tabla44[[#This Row],[SERVICIO 2025]],$J$2:$V$15,8,0)*Tabla44[[#This Row],[TOTAL COBERTURA]]</f>
        <v>582000</v>
      </c>
      <c r="AP249" s="35">
        <f>VLOOKUP(Tabla44[[#This Row],[SERVICIO 2025]],$J$2:$V$15,3,0)*Tabla44[[#This Row],[TOTAL COBERTURA]]*8</f>
        <v>41213760</v>
      </c>
      <c r="AQ249" s="35"/>
      <c r="AR249" s="35">
        <f>SUM(Tabla44[[#This Row],[VALOR FASE PREPARATORIA DE ALISTAMIENTO]:[VALOR RACION PREPARADA]])</f>
        <v>43603860</v>
      </c>
      <c r="AS249" s="35" t="str">
        <f>+IF(Tabla44[[#This Row],[AGRUPACIONES]]=1,SUMIFS(Tabla44[VALOR TOTAL],Tabla44[ZONA DEFINITIVO],Tabla44[[#This Row],[ZONA DEFINITIVO]])," ")</f>
        <v xml:space="preserve"> </v>
      </c>
      <c r="AT249" s="35">
        <f>VLOOKUP(Tabla44[[#This Row],[SERVICIO 2025]],$J$2:$V$15,10,0)*Tabla44[[#This Row],[TOTAL COBERTURA]]*$X$7</f>
        <v>28861280</v>
      </c>
      <c r="AU249" s="39">
        <f>Tabla44[[#This Row],[TOTAL CONTRATO (ICBF+EAS)]]+Tabla44[[#This Row],[VALOR COMPONENTE ALIMENTACION NO ASIGNADO]]</f>
        <v>72465140</v>
      </c>
      <c r="AV24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249" s="35">
        <f>(VLOOKUP(Tabla44[[#This Row],[SERVICIO 2025]],$J$2:$V$15,3,0)*Tabla44[[#This Row],[TOTAL COBERTURA]])+VLOOKUP(Tabla44[[#This Row],[SERVICIO 2025]],$J$2:$V$15,10,0)*Tabla44[[#This Row],[TOTAL COBERTURA]]</f>
        <v>8759380</v>
      </c>
      <c r="AX249" s="35">
        <f>(VLOOKUP(Tabla44[[#This Row],[SERVICIO 2025]],$J$2:$V$15,3,0)*Tabla44[[#This Row],[TOTAL COBERTURA]])+VLOOKUP(Tabla44[[#This Row],[SERVICIO 2025]],$J$2:$V$15,10,0)*Tabla44[[#This Row],[TOTAL COBERTURA]]</f>
        <v>8759380</v>
      </c>
      <c r="AY249" s="35">
        <f>(VLOOKUP(Tabla44[[#This Row],[SERVICIO 2025]],$J$2:$V$15,3,0)*Tabla44[[#This Row],[TOTAL COBERTURA]])+VLOOKUP(Tabla44[[#This Row],[SERVICIO 2025]],$J$2:$V$15,10,0)*Tabla44[[#This Row],[TOTAL COBERTURA]]</f>
        <v>8759380</v>
      </c>
      <c r="AZ249" s="35">
        <f>(VLOOKUP(Tabla44[[#This Row],[SERVICIO 2025]],$J$2:$V$15,3,0)*Tabla44[[#This Row],[TOTAL COBERTURA]])+VLOOKUP(Tabla44[[#This Row],[SERVICIO 2025]],$J$2:$V$15,10,0)*Tabla44[[#This Row],[TOTAL COBERTURA]]</f>
        <v>8759380</v>
      </c>
      <c r="BA249" s="35">
        <f>(VLOOKUP(Tabla44[[#This Row],[SERVICIO 2025]],$J$2:$V$15,3,0)*Tabla44[[#This Row],[TOTAL COBERTURA]])+VLOOKUP(Tabla44[[#This Row],[SERVICIO 2025]],$J$2:$V$15,10,0)*Tabla44[[#This Row],[TOTAL COBERTURA]]</f>
        <v>8759380</v>
      </c>
      <c r="BB249" s="35">
        <f>(VLOOKUP(Tabla44[[#This Row],[SERVICIO 2025]],$J$2:$V$15,3,0)*Tabla44[[#This Row],[TOTAL COBERTURA]])+VLOOKUP(Tabla44[[#This Row],[SERVICIO 2025]],$J$2:$V$15,10,0)*Tabla44[[#This Row],[TOTAL COBERTURA]]</f>
        <v>8759380</v>
      </c>
      <c r="BC24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249" s="35">
        <f>SUM(Tabla44[[#This Row],[DESEMBOLSO 1]:[DESEMBOLSO 8]])</f>
        <v>72465140</v>
      </c>
      <c r="BE249" s="12" t="b">
        <f>EXACT(Tabla44[[#This Row],[VALOR ATENCIÓN (8 MESES)]],Tabla44[[#This Row],[VALOR TOTAL]])</f>
        <v>1</v>
      </c>
      <c r="BF249" s="23">
        <f>Tabla44[[#This Row],[VALOR ATENCIÓN (8 MESES)]]-Tabla44[[#This Row],[VALOR TOTAL]]</f>
        <v>0</v>
      </c>
      <c r="BG249" s="12" t="b">
        <f>EXACT(Tabla44[[#This Row],[TOTAL DESEMBOLSOS]],Tabla44[[#This Row],[VALOR TOTAL DEL CONTRATO INCLUIDO EL COMPONENTE DE ALIMENTACIÓN]])</f>
        <v>1</v>
      </c>
      <c r="BH249" s="29">
        <f>Tabla44[[#This Row],[TOTAL DESEMBOLSOS]]-Tabla44[[#This Row],[VALOR TOTAL DEL CONTRATO INCLUIDO EL COMPONENTE DE ALIMENTACIÓN]]</f>
        <v>0</v>
      </c>
      <c r="BI249" t="s">
        <v>98</v>
      </c>
    </row>
    <row r="250" spans="1:61">
      <c r="A250" s="13">
        <v>1993</v>
      </c>
      <c r="B250" s="13"/>
      <c r="C250" s="12" t="s">
        <v>87</v>
      </c>
      <c r="D250" s="12" t="s">
        <v>1628</v>
      </c>
      <c r="E250" s="12" t="s">
        <v>3284</v>
      </c>
      <c r="F250" s="12" t="s">
        <v>18</v>
      </c>
      <c r="G250" s="12" t="s">
        <v>90</v>
      </c>
      <c r="H250" s="12" t="s">
        <v>2452</v>
      </c>
      <c r="I250" s="36">
        <v>56471135797</v>
      </c>
      <c r="J250" s="12" t="s">
        <v>3299</v>
      </c>
      <c r="K250" s="12">
        <v>1</v>
      </c>
      <c r="L250" s="12">
        <v>15</v>
      </c>
      <c r="M250" s="12"/>
      <c r="N250" s="13">
        <v>1993</v>
      </c>
      <c r="O250" s="12" t="s">
        <v>2850</v>
      </c>
      <c r="P250" s="12"/>
      <c r="Q250" s="12"/>
      <c r="R250" s="12" t="s">
        <v>94</v>
      </c>
      <c r="S250" s="12">
        <v>10</v>
      </c>
      <c r="T250" s="12">
        <v>818001449</v>
      </c>
      <c r="U250" s="12" t="s">
        <v>3247</v>
      </c>
      <c r="V250" s="12">
        <f>VLOOKUP(Tabla44[[#This Row],[ZONA DEFINITIVO]],[1]Hoja1!$A$1:$D$125,3,0)</f>
        <v>229940</v>
      </c>
      <c r="W250" s="12">
        <f>VLOOKUP(Tabla44[[#This Row],[ZONA DEFINITIVO]],[1]Hoja1!$A$1:$D$125,2,0)</f>
        <v>17259</v>
      </c>
      <c r="X250" s="12">
        <f>VLOOKUP(Tabla44[[#This Row],[ZONA DEFINITIVO]],[1]Hoja1!$A$1:$D$125,4,0)</f>
        <v>104625</v>
      </c>
      <c r="Y250" s="12" t="str">
        <f>+IF(Tabla44[[#This Row],[AGRUPACIONES]]=1,SUMIFS(Tabla44[UDS],Tabla44[ZONA DEFINITIVO],Tabla44[[#This Row],[ZONA DEFINITIVO]])," ")</f>
        <v xml:space="preserve"> </v>
      </c>
      <c r="Z250" s="12" t="str">
        <f>+IF(Tabla44[[#This Row],[AGRUPACIONES]]=1,SUMIFS(Tabla44[TOTAL COBERTURA],Tabla44[ZONA DEFINITIVO],Tabla44[[#This Row],[ZONA DEFINITIVO]])," ")</f>
        <v xml:space="preserve"> </v>
      </c>
      <c r="AA250" s="12"/>
      <c r="AB250" s="35">
        <v>32702895</v>
      </c>
      <c r="AC250" s="37">
        <v>0</v>
      </c>
      <c r="AD250" s="35">
        <f t="shared" si="4"/>
        <v>0</v>
      </c>
      <c r="AE250" s="12"/>
      <c r="AF250" s="12">
        <f>COUNTIF($A$20:A250,A250)</f>
        <v>29</v>
      </c>
      <c r="AG250" s="38">
        <v>32702895</v>
      </c>
      <c r="AH250" s="38">
        <f>Tabla44[[#This Row],[VALOR CONTRAPARTIDA]]+Tabla44[[#This Row],[TOTAL APORTES ICBF]]</f>
        <v>32702895</v>
      </c>
      <c r="AI250" s="35" t="str">
        <f>+IF(Tabla44[[#This Row],[AGRUPACIONES]]=1,SUMIFS(Tabla44[TOTAL APORTES ICBF],Tabla44[ZONA DEFINITIVO],Tabla44[[#This Row],[ZONA DEFINITIVO]])," ")</f>
        <v xml:space="preserve"> </v>
      </c>
      <c r="AJ250" s="38"/>
      <c r="AK250" s="38"/>
      <c r="AL250" s="35"/>
      <c r="AM250" s="35">
        <f>VLOOKUP(Tabla44[[#This Row],[SERVICIO 2025]],$J$2:$V$15,5,0)*Tabla44[[#This Row],[TOTAL COBERTURA]]</f>
        <v>740640</v>
      </c>
      <c r="AN250" s="35">
        <f>VLOOKUP(Tabla44[[#This Row],[SERVICIO 2025]],$J$2:$V$15,6,0)*Tabla44[[#This Row],[TOTAL COBERTURA]]</f>
        <v>615435</v>
      </c>
      <c r="AO250" s="35">
        <f>VLOOKUP(Tabla44[[#This Row],[SERVICIO 2025]],$J$2:$V$15,8,0)*Tabla44[[#This Row],[TOTAL COBERTURA]]</f>
        <v>436500</v>
      </c>
      <c r="AP250" s="35">
        <f>VLOOKUP(Tabla44[[#This Row],[SERVICIO 2025]],$J$2:$V$15,3,0)*Tabla44[[#This Row],[TOTAL COBERTURA]]*8</f>
        <v>30910320</v>
      </c>
      <c r="AQ250" s="35"/>
      <c r="AR250" s="35">
        <f>SUM(Tabla44[[#This Row],[VALOR FASE PREPARATORIA DE ALISTAMIENTO]:[VALOR RACION PREPARADA]])</f>
        <v>32702895</v>
      </c>
      <c r="AS250" s="35" t="str">
        <f>+IF(Tabla44[[#This Row],[AGRUPACIONES]]=1,SUMIFS(Tabla44[VALOR TOTAL],Tabla44[ZONA DEFINITIVO],Tabla44[[#This Row],[ZONA DEFINITIVO]])," ")</f>
        <v xml:space="preserve"> </v>
      </c>
      <c r="AT250" s="35">
        <f>VLOOKUP(Tabla44[[#This Row],[SERVICIO 2025]],$J$2:$V$15,10,0)*Tabla44[[#This Row],[TOTAL COBERTURA]]*$X$7</f>
        <v>21645960</v>
      </c>
      <c r="AU250" s="39">
        <f>Tabla44[[#This Row],[TOTAL CONTRATO (ICBF+EAS)]]+Tabla44[[#This Row],[VALOR COMPONENTE ALIMENTACION NO ASIGNADO]]</f>
        <v>54348855</v>
      </c>
      <c r="AV25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250" s="35">
        <f>(VLOOKUP(Tabla44[[#This Row],[SERVICIO 2025]],$J$2:$V$15,3,0)*Tabla44[[#This Row],[TOTAL COBERTURA]])+VLOOKUP(Tabla44[[#This Row],[SERVICIO 2025]],$J$2:$V$15,10,0)*Tabla44[[#This Row],[TOTAL COBERTURA]]</f>
        <v>6569535</v>
      </c>
      <c r="AX250" s="35">
        <f>(VLOOKUP(Tabla44[[#This Row],[SERVICIO 2025]],$J$2:$V$15,3,0)*Tabla44[[#This Row],[TOTAL COBERTURA]])+VLOOKUP(Tabla44[[#This Row],[SERVICIO 2025]],$J$2:$V$15,10,0)*Tabla44[[#This Row],[TOTAL COBERTURA]]</f>
        <v>6569535</v>
      </c>
      <c r="AY250" s="35">
        <f>(VLOOKUP(Tabla44[[#This Row],[SERVICIO 2025]],$J$2:$V$15,3,0)*Tabla44[[#This Row],[TOTAL COBERTURA]])+VLOOKUP(Tabla44[[#This Row],[SERVICIO 2025]],$J$2:$V$15,10,0)*Tabla44[[#This Row],[TOTAL COBERTURA]]</f>
        <v>6569535</v>
      </c>
      <c r="AZ250" s="35">
        <f>(VLOOKUP(Tabla44[[#This Row],[SERVICIO 2025]],$J$2:$V$15,3,0)*Tabla44[[#This Row],[TOTAL COBERTURA]])+VLOOKUP(Tabla44[[#This Row],[SERVICIO 2025]],$J$2:$V$15,10,0)*Tabla44[[#This Row],[TOTAL COBERTURA]]</f>
        <v>6569535</v>
      </c>
      <c r="BA250" s="35">
        <f>(VLOOKUP(Tabla44[[#This Row],[SERVICIO 2025]],$J$2:$V$15,3,0)*Tabla44[[#This Row],[TOTAL COBERTURA]])+VLOOKUP(Tabla44[[#This Row],[SERVICIO 2025]],$J$2:$V$15,10,0)*Tabla44[[#This Row],[TOTAL COBERTURA]]</f>
        <v>6569535</v>
      </c>
      <c r="BB250" s="35">
        <f>(VLOOKUP(Tabla44[[#This Row],[SERVICIO 2025]],$J$2:$V$15,3,0)*Tabla44[[#This Row],[TOTAL COBERTURA]])+VLOOKUP(Tabla44[[#This Row],[SERVICIO 2025]],$J$2:$V$15,10,0)*Tabla44[[#This Row],[TOTAL COBERTURA]]</f>
        <v>6569535</v>
      </c>
      <c r="BC25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250" s="35">
        <f>SUM(Tabla44[[#This Row],[DESEMBOLSO 1]:[DESEMBOLSO 8]])</f>
        <v>54348855</v>
      </c>
      <c r="BE250" s="12" t="b">
        <f>EXACT(Tabla44[[#This Row],[VALOR ATENCIÓN (8 MESES)]],Tabla44[[#This Row],[VALOR TOTAL]])</f>
        <v>1</v>
      </c>
      <c r="BF250" s="23">
        <f>Tabla44[[#This Row],[VALOR ATENCIÓN (8 MESES)]]-Tabla44[[#This Row],[VALOR TOTAL]]</f>
        <v>0</v>
      </c>
      <c r="BG250" s="12" t="b">
        <f>EXACT(Tabla44[[#This Row],[TOTAL DESEMBOLSOS]],Tabla44[[#This Row],[VALOR TOTAL DEL CONTRATO INCLUIDO EL COMPONENTE DE ALIMENTACIÓN]])</f>
        <v>1</v>
      </c>
      <c r="BH250" s="29">
        <f>Tabla44[[#This Row],[TOTAL DESEMBOLSOS]]-Tabla44[[#This Row],[VALOR TOTAL DEL CONTRATO INCLUIDO EL COMPONENTE DE ALIMENTACIÓN]]</f>
        <v>0</v>
      </c>
      <c r="BI250" t="s">
        <v>98</v>
      </c>
    </row>
    <row r="251" spans="1:61">
      <c r="A251" s="13">
        <v>1993</v>
      </c>
      <c r="B251" s="13"/>
      <c r="C251" s="12" t="s">
        <v>87</v>
      </c>
      <c r="D251" s="12" t="s">
        <v>1628</v>
      </c>
      <c r="E251" s="12" t="s">
        <v>3284</v>
      </c>
      <c r="F251" s="12" t="s">
        <v>18</v>
      </c>
      <c r="G251" s="12" t="s">
        <v>90</v>
      </c>
      <c r="H251" s="12" t="s">
        <v>3300</v>
      </c>
      <c r="I251" s="36">
        <v>56471135800</v>
      </c>
      <c r="J251" s="12" t="s">
        <v>3301</v>
      </c>
      <c r="K251" s="12">
        <v>1</v>
      </c>
      <c r="L251" s="12">
        <v>20</v>
      </c>
      <c r="M251" s="12"/>
      <c r="N251" s="13">
        <v>1993</v>
      </c>
      <c r="O251" s="12" t="s">
        <v>2850</v>
      </c>
      <c r="P251" s="12"/>
      <c r="Q251" s="12"/>
      <c r="R251" s="12" t="s">
        <v>94</v>
      </c>
      <c r="S251" s="12">
        <v>10</v>
      </c>
      <c r="T251" s="12">
        <v>818001449</v>
      </c>
      <c r="U251" s="12" t="s">
        <v>3247</v>
      </c>
      <c r="V251" s="12">
        <f>VLOOKUP(Tabla44[[#This Row],[ZONA DEFINITIVO]],[1]Hoja1!$A$1:$D$125,3,0)</f>
        <v>229940</v>
      </c>
      <c r="W251" s="12">
        <f>VLOOKUP(Tabla44[[#This Row],[ZONA DEFINITIVO]],[1]Hoja1!$A$1:$D$125,2,0)</f>
        <v>17259</v>
      </c>
      <c r="X251" s="12">
        <f>VLOOKUP(Tabla44[[#This Row],[ZONA DEFINITIVO]],[1]Hoja1!$A$1:$D$125,4,0)</f>
        <v>104625</v>
      </c>
      <c r="Y251" s="12" t="str">
        <f>+IF(Tabla44[[#This Row],[AGRUPACIONES]]=1,SUMIFS(Tabla44[UDS],Tabla44[ZONA DEFINITIVO],Tabla44[[#This Row],[ZONA DEFINITIVO]])," ")</f>
        <v xml:space="preserve"> </v>
      </c>
      <c r="Z251" s="12" t="str">
        <f>+IF(Tabla44[[#This Row],[AGRUPACIONES]]=1,SUMIFS(Tabla44[TOTAL COBERTURA],Tabla44[ZONA DEFINITIVO],Tabla44[[#This Row],[ZONA DEFINITIVO]])," ")</f>
        <v xml:space="preserve"> </v>
      </c>
      <c r="AA251" s="12"/>
      <c r="AB251" s="35">
        <v>43603860</v>
      </c>
      <c r="AC251" s="37">
        <v>0</v>
      </c>
      <c r="AD251" s="35">
        <f t="shared" si="4"/>
        <v>0</v>
      </c>
      <c r="AE251" s="12"/>
      <c r="AF251" s="12">
        <f>COUNTIF($A$20:A251,A251)</f>
        <v>30</v>
      </c>
      <c r="AG251" s="38">
        <v>43603860</v>
      </c>
      <c r="AH251" s="38">
        <f>Tabla44[[#This Row],[VALOR CONTRAPARTIDA]]+Tabla44[[#This Row],[TOTAL APORTES ICBF]]</f>
        <v>43603860</v>
      </c>
      <c r="AI251" s="35" t="str">
        <f>+IF(Tabla44[[#This Row],[AGRUPACIONES]]=1,SUMIFS(Tabla44[TOTAL APORTES ICBF],Tabla44[ZONA DEFINITIVO],Tabla44[[#This Row],[ZONA DEFINITIVO]])," ")</f>
        <v xml:space="preserve"> </v>
      </c>
      <c r="AJ251" s="38"/>
      <c r="AK251" s="38"/>
      <c r="AL251" s="35"/>
      <c r="AM251" s="35">
        <f>VLOOKUP(Tabla44[[#This Row],[SERVICIO 2025]],$J$2:$V$15,5,0)*Tabla44[[#This Row],[TOTAL COBERTURA]]</f>
        <v>987520</v>
      </c>
      <c r="AN251" s="35">
        <f>VLOOKUP(Tabla44[[#This Row],[SERVICIO 2025]],$J$2:$V$15,6,0)*Tabla44[[#This Row],[TOTAL COBERTURA]]</f>
        <v>820580</v>
      </c>
      <c r="AO251" s="35">
        <f>VLOOKUP(Tabla44[[#This Row],[SERVICIO 2025]],$J$2:$V$15,8,0)*Tabla44[[#This Row],[TOTAL COBERTURA]]</f>
        <v>582000</v>
      </c>
      <c r="AP251" s="35">
        <f>VLOOKUP(Tabla44[[#This Row],[SERVICIO 2025]],$J$2:$V$15,3,0)*Tabla44[[#This Row],[TOTAL COBERTURA]]*8</f>
        <v>41213760</v>
      </c>
      <c r="AQ251" s="35"/>
      <c r="AR251" s="35">
        <f>SUM(Tabla44[[#This Row],[VALOR FASE PREPARATORIA DE ALISTAMIENTO]:[VALOR RACION PREPARADA]])</f>
        <v>43603860</v>
      </c>
      <c r="AS251" s="35" t="str">
        <f>+IF(Tabla44[[#This Row],[AGRUPACIONES]]=1,SUMIFS(Tabla44[VALOR TOTAL],Tabla44[ZONA DEFINITIVO],Tabla44[[#This Row],[ZONA DEFINITIVO]])," ")</f>
        <v xml:space="preserve"> </v>
      </c>
      <c r="AT251" s="35">
        <f>VLOOKUP(Tabla44[[#This Row],[SERVICIO 2025]],$J$2:$V$15,10,0)*Tabla44[[#This Row],[TOTAL COBERTURA]]*$X$7</f>
        <v>28861280</v>
      </c>
      <c r="AU251" s="39">
        <f>Tabla44[[#This Row],[TOTAL CONTRATO (ICBF+EAS)]]+Tabla44[[#This Row],[VALOR COMPONENTE ALIMENTACION NO ASIGNADO]]</f>
        <v>72465140</v>
      </c>
      <c r="AV25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251" s="35">
        <f>(VLOOKUP(Tabla44[[#This Row],[SERVICIO 2025]],$J$2:$V$15,3,0)*Tabla44[[#This Row],[TOTAL COBERTURA]])+VLOOKUP(Tabla44[[#This Row],[SERVICIO 2025]],$J$2:$V$15,10,0)*Tabla44[[#This Row],[TOTAL COBERTURA]]</f>
        <v>8759380</v>
      </c>
      <c r="AX251" s="35">
        <f>(VLOOKUP(Tabla44[[#This Row],[SERVICIO 2025]],$J$2:$V$15,3,0)*Tabla44[[#This Row],[TOTAL COBERTURA]])+VLOOKUP(Tabla44[[#This Row],[SERVICIO 2025]],$J$2:$V$15,10,0)*Tabla44[[#This Row],[TOTAL COBERTURA]]</f>
        <v>8759380</v>
      </c>
      <c r="AY251" s="35">
        <f>(VLOOKUP(Tabla44[[#This Row],[SERVICIO 2025]],$J$2:$V$15,3,0)*Tabla44[[#This Row],[TOTAL COBERTURA]])+VLOOKUP(Tabla44[[#This Row],[SERVICIO 2025]],$J$2:$V$15,10,0)*Tabla44[[#This Row],[TOTAL COBERTURA]]</f>
        <v>8759380</v>
      </c>
      <c r="AZ251" s="35">
        <f>(VLOOKUP(Tabla44[[#This Row],[SERVICIO 2025]],$J$2:$V$15,3,0)*Tabla44[[#This Row],[TOTAL COBERTURA]])+VLOOKUP(Tabla44[[#This Row],[SERVICIO 2025]],$J$2:$V$15,10,0)*Tabla44[[#This Row],[TOTAL COBERTURA]]</f>
        <v>8759380</v>
      </c>
      <c r="BA251" s="35">
        <f>(VLOOKUP(Tabla44[[#This Row],[SERVICIO 2025]],$J$2:$V$15,3,0)*Tabla44[[#This Row],[TOTAL COBERTURA]])+VLOOKUP(Tabla44[[#This Row],[SERVICIO 2025]],$J$2:$V$15,10,0)*Tabla44[[#This Row],[TOTAL COBERTURA]]</f>
        <v>8759380</v>
      </c>
      <c r="BB251" s="35">
        <f>(VLOOKUP(Tabla44[[#This Row],[SERVICIO 2025]],$J$2:$V$15,3,0)*Tabla44[[#This Row],[TOTAL COBERTURA]])+VLOOKUP(Tabla44[[#This Row],[SERVICIO 2025]],$J$2:$V$15,10,0)*Tabla44[[#This Row],[TOTAL COBERTURA]]</f>
        <v>8759380</v>
      </c>
      <c r="BC25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251" s="35">
        <f>SUM(Tabla44[[#This Row],[DESEMBOLSO 1]:[DESEMBOLSO 8]])</f>
        <v>72465140</v>
      </c>
      <c r="BE251" s="12" t="b">
        <f>EXACT(Tabla44[[#This Row],[VALOR ATENCIÓN (8 MESES)]],Tabla44[[#This Row],[VALOR TOTAL]])</f>
        <v>1</v>
      </c>
      <c r="BF251" s="23">
        <f>Tabla44[[#This Row],[VALOR ATENCIÓN (8 MESES)]]-Tabla44[[#This Row],[VALOR TOTAL]]</f>
        <v>0</v>
      </c>
      <c r="BG251" s="12" t="b">
        <f>EXACT(Tabla44[[#This Row],[TOTAL DESEMBOLSOS]],Tabla44[[#This Row],[VALOR TOTAL DEL CONTRATO INCLUIDO EL COMPONENTE DE ALIMENTACIÓN]])</f>
        <v>1</v>
      </c>
      <c r="BH251" s="29">
        <f>Tabla44[[#This Row],[TOTAL DESEMBOLSOS]]-Tabla44[[#This Row],[VALOR TOTAL DEL CONTRATO INCLUIDO EL COMPONENTE DE ALIMENTACIÓN]]</f>
        <v>0</v>
      </c>
      <c r="BI251" t="s">
        <v>98</v>
      </c>
    </row>
    <row r="252" spans="1:61">
      <c r="A252" s="13">
        <v>1993</v>
      </c>
      <c r="B252" s="13"/>
      <c r="C252" s="12" t="s">
        <v>87</v>
      </c>
      <c r="D252" s="12" t="s">
        <v>1628</v>
      </c>
      <c r="E252" s="12" t="s">
        <v>3284</v>
      </c>
      <c r="F252" s="12" t="s">
        <v>18</v>
      </c>
      <c r="G252" s="12" t="s">
        <v>90</v>
      </c>
      <c r="H252" s="12" t="s">
        <v>3302</v>
      </c>
      <c r="I252" s="36">
        <v>56471135804</v>
      </c>
      <c r="J252" s="12" t="s">
        <v>3303</v>
      </c>
      <c r="K252" s="12">
        <v>1</v>
      </c>
      <c r="L252" s="12">
        <v>13</v>
      </c>
      <c r="M252" s="12"/>
      <c r="N252" s="13">
        <v>1993</v>
      </c>
      <c r="O252" s="12" t="s">
        <v>2850</v>
      </c>
      <c r="P252" s="12"/>
      <c r="Q252" s="12"/>
      <c r="R252" s="12" t="s">
        <v>94</v>
      </c>
      <c r="S252" s="12">
        <v>10</v>
      </c>
      <c r="T252" s="12">
        <v>818001449</v>
      </c>
      <c r="U252" s="12" t="s">
        <v>3247</v>
      </c>
      <c r="V252" s="12">
        <f>VLOOKUP(Tabla44[[#This Row],[ZONA DEFINITIVO]],[1]Hoja1!$A$1:$D$125,3,0)</f>
        <v>229940</v>
      </c>
      <c r="W252" s="12">
        <f>VLOOKUP(Tabla44[[#This Row],[ZONA DEFINITIVO]],[1]Hoja1!$A$1:$D$125,2,0)</f>
        <v>17259</v>
      </c>
      <c r="X252" s="12">
        <f>VLOOKUP(Tabla44[[#This Row],[ZONA DEFINITIVO]],[1]Hoja1!$A$1:$D$125,4,0)</f>
        <v>104625</v>
      </c>
      <c r="Y252" s="12" t="str">
        <f>+IF(Tabla44[[#This Row],[AGRUPACIONES]]=1,SUMIFS(Tabla44[UDS],Tabla44[ZONA DEFINITIVO],Tabla44[[#This Row],[ZONA DEFINITIVO]])," ")</f>
        <v xml:space="preserve"> </v>
      </c>
      <c r="Z252" s="12" t="str">
        <f>+IF(Tabla44[[#This Row],[AGRUPACIONES]]=1,SUMIFS(Tabla44[TOTAL COBERTURA],Tabla44[ZONA DEFINITIVO],Tabla44[[#This Row],[ZONA DEFINITIVO]])," ")</f>
        <v xml:space="preserve"> </v>
      </c>
      <c r="AA252" s="12"/>
      <c r="AB252" s="35">
        <v>28342509</v>
      </c>
      <c r="AC252" s="37">
        <v>0</v>
      </c>
      <c r="AD252" s="35">
        <f t="shared" si="4"/>
        <v>0</v>
      </c>
      <c r="AE252" s="12"/>
      <c r="AF252" s="12">
        <f>COUNTIF($A$20:A252,A252)</f>
        <v>31</v>
      </c>
      <c r="AG252" s="38">
        <v>28342509</v>
      </c>
      <c r="AH252" s="38">
        <f>Tabla44[[#This Row],[VALOR CONTRAPARTIDA]]+Tabla44[[#This Row],[TOTAL APORTES ICBF]]</f>
        <v>28342509</v>
      </c>
      <c r="AI252" s="35" t="str">
        <f>+IF(Tabla44[[#This Row],[AGRUPACIONES]]=1,SUMIFS(Tabla44[TOTAL APORTES ICBF],Tabla44[ZONA DEFINITIVO],Tabla44[[#This Row],[ZONA DEFINITIVO]])," ")</f>
        <v xml:space="preserve"> </v>
      </c>
      <c r="AJ252" s="38"/>
      <c r="AK252" s="38"/>
      <c r="AL252" s="35"/>
      <c r="AM252" s="35">
        <f>VLOOKUP(Tabla44[[#This Row],[SERVICIO 2025]],$J$2:$V$15,5,0)*Tabla44[[#This Row],[TOTAL COBERTURA]]</f>
        <v>641888</v>
      </c>
      <c r="AN252" s="35">
        <f>VLOOKUP(Tabla44[[#This Row],[SERVICIO 2025]],$J$2:$V$15,6,0)*Tabla44[[#This Row],[TOTAL COBERTURA]]</f>
        <v>533377</v>
      </c>
      <c r="AO252" s="35">
        <f>VLOOKUP(Tabla44[[#This Row],[SERVICIO 2025]],$J$2:$V$15,8,0)*Tabla44[[#This Row],[TOTAL COBERTURA]]</f>
        <v>378300</v>
      </c>
      <c r="AP252" s="35">
        <f>VLOOKUP(Tabla44[[#This Row],[SERVICIO 2025]],$J$2:$V$15,3,0)*Tabla44[[#This Row],[TOTAL COBERTURA]]*8</f>
        <v>26788944</v>
      </c>
      <c r="AQ252" s="35"/>
      <c r="AR252" s="35">
        <f>SUM(Tabla44[[#This Row],[VALOR FASE PREPARATORIA DE ALISTAMIENTO]:[VALOR RACION PREPARADA]])</f>
        <v>28342509</v>
      </c>
      <c r="AS252" s="35" t="str">
        <f>+IF(Tabla44[[#This Row],[AGRUPACIONES]]=1,SUMIFS(Tabla44[VALOR TOTAL],Tabla44[ZONA DEFINITIVO],Tabla44[[#This Row],[ZONA DEFINITIVO]])," ")</f>
        <v xml:space="preserve"> </v>
      </c>
      <c r="AT252" s="35">
        <f>VLOOKUP(Tabla44[[#This Row],[SERVICIO 2025]],$J$2:$V$15,10,0)*Tabla44[[#This Row],[TOTAL COBERTURA]]*$X$7</f>
        <v>18759832</v>
      </c>
      <c r="AU252" s="39">
        <f>Tabla44[[#This Row],[TOTAL CONTRATO (ICBF+EAS)]]+Tabla44[[#This Row],[VALOR COMPONENTE ALIMENTACION NO ASIGNADO]]</f>
        <v>47102341</v>
      </c>
      <c r="AV25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252" s="35">
        <f>(VLOOKUP(Tabla44[[#This Row],[SERVICIO 2025]],$J$2:$V$15,3,0)*Tabla44[[#This Row],[TOTAL COBERTURA]])+VLOOKUP(Tabla44[[#This Row],[SERVICIO 2025]],$J$2:$V$15,10,0)*Tabla44[[#This Row],[TOTAL COBERTURA]]</f>
        <v>5693597</v>
      </c>
      <c r="AX252" s="35">
        <f>(VLOOKUP(Tabla44[[#This Row],[SERVICIO 2025]],$J$2:$V$15,3,0)*Tabla44[[#This Row],[TOTAL COBERTURA]])+VLOOKUP(Tabla44[[#This Row],[SERVICIO 2025]],$J$2:$V$15,10,0)*Tabla44[[#This Row],[TOTAL COBERTURA]]</f>
        <v>5693597</v>
      </c>
      <c r="AY252" s="35">
        <f>(VLOOKUP(Tabla44[[#This Row],[SERVICIO 2025]],$J$2:$V$15,3,0)*Tabla44[[#This Row],[TOTAL COBERTURA]])+VLOOKUP(Tabla44[[#This Row],[SERVICIO 2025]],$J$2:$V$15,10,0)*Tabla44[[#This Row],[TOTAL COBERTURA]]</f>
        <v>5693597</v>
      </c>
      <c r="AZ252" s="35">
        <f>(VLOOKUP(Tabla44[[#This Row],[SERVICIO 2025]],$J$2:$V$15,3,0)*Tabla44[[#This Row],[TOTAL COBERTURA]])+VLOOKUP(Tabla44[[#This Row],[SERVICIO 2025]],$J$2:$V$15,10,0)*Tabla44[[#This Row],[TOTAL COBERTURA]]</f>
        <v>5693597</v>
      </c>
      <c r="BA252" s="35">
        <f>(VLOOKUP(Tabla44[[#This Row],[SERVICIO 2025]],$J$2:$V$15,3,0)*Tabla44[[#This Row],[TOTAL COBERTURA]])+VLOOKUP(Tabla44[[#This Row],[SERVICIO 2025]],$J$2:$V$15,10,0)*Tabla44[[#This Row],[TOTAL COBERTURA]]</f>
        <v>5693597</v>
      </c>
      <c r="BB252" s="35">
        <f>(VLOOKUP(Tabla44[[#This Row],[SERVICIO 2025]],$J$2:$V$15,3,0)*Tabla44[[#This Row],[TOTAL COBERTURA]])+VLOOKUP(Tabla44[[#This Row],[SERVICIO 2025]],$J$2:$V$15,10,0)*Tabla44[[#This Row],[TOTAL COBERTURA]]</f>
        <v>5693597</v>
      </c>
      <c r="BC25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252" s="35">
        <f>SUM(Tabla44[[#This Row],[DESEMBOLSO 1]:[DESEMBOLSO 8]])</f>
        <v>47102341</v>
      </c>
      <c r="BE252" s="12" t="b">
        <f>EXACT(Tabla44[[#This Row],[VALOR ATENCIÓN (8 MESES)]],Tabla44[[#This Row],[VALOR TOTAL]])</f>
        <v>1</v>
      </c>
      <c r="BF252" s="23">
        <f>Tabla44[[#This Row],[VALOR ATENCIÓN (8 MESES)]]-Tabla44[[#This Row],[VALOR TOTAL]]</f>
        <v>0</v>
      </c>
      <c r="BG252" s="12" t="b">
        <f>EXACT(Tabla44[[#This Row],[TOTAL DESEMBOLSOS]],Tabla44[[#This Row],[VALOR TOTAL DEL CONTRATO INCLUIDO EL COMPONENTE DE ALIMENTACIÓN]])</f>
        <v>1</v>
      </c>
      <c r="BH252" s="29">
        <f>Tabla44[[#This Row],[TOTAL DESEMBOLSOS]]-Tabla44[[#This Row],[VALOR TOTAL DEL CONTRATO INCLUIDO EL COMPONENTE DE ALIMENTACIÓN]]</f>
        <v>0</v>
      </c>
      <c r="BI252" t="s">
        <v>98</v>
      </c>
    </row>
    <row r="253" spans="1:61">
      <c r="A253" s="13">
        <v>1993</v>
      </c>
      <c r="B253" s="13"/>
      <c r="C253" s="12" t="s">
        <v>87</v>
      </c>
      <c r="D253" s="12" t="s">
        <v>1628</v>
      </c>
      <c r="E253" s="12" t="s">
        <v>3284</v>
      </c>
      <c r="F253" s="12" t="s">
        <v>18</v>
      </c>
      <c r="G253" s="12" t="s">
        <v>90</v>
      </c>
      <c r="H253" s="12" t="s">
        <v>3304</v>
      </c>
      <c r="I253" s="36">
        <v>56471135805</v>
      </c>
      <c r="J253" s="12" t="s">
        <v>3305</v>
      </c>
      <c r="K253" s="12">
        <v>1</v>
      </c>
      <c r="L253" s="12">
        <v>13</v>
      </c>
      <c r="M253" s="12"/>
      <c r="N253" s="13">
        <v>1993</v>
      </c>
      <c r="O253" s="12" t="s">
        <v>2850</v>
      </c>
      <c r="P253" s="12"/>
      <c r="Q253" s="12"/>
      <c r="R253" s="12" t="s">
        <v>94</v>
      </c>
      <c r="S253" s="12">
        <v>10</v>
      </c>
      <c r="T253" s="12">
        <v>818001449</v>
      </c>
      <c r="U253" s="12" t="s">
        <v>3247</v>
      </c>
      <c r="V253" s="12">
        <f>VLOOKUP(Tabla44[[#This Row],[ZONA DEFINITIVO]],[1]Hoja1!$A$1:$D$125,3,0)</f>
        <v>229940</v>
      </c>
      <c r="W253" s="12">
        <f>VLOOKUP(Tabla44[[#This Row],[ZONA DEFINITIVO]],[1]Hoja1!$A$1:$D$125,2,0)</f>
        <v>17259</v>
      </c>
      <c r="X253" s="12">
        <f>VLOOKUP(Tabla44[[#This Row],[ZONA DEFINITIVO]],[1]Hoja1!$A$1:$D$125,4,0)</f>
        <v>104625</v>
      </c>
      <c r="Y253" s="12" t="str">
        <f>+IF(Tabla44[[#This Row],[AGRUPACIONES]]=1,SUMIFS(Tabla44[UDS],Tabla44[ZONA DEFINITIVO],Tabla44[[#This Row],[ZONA DEFINITIVO]])," ")</f>
        <v xml:space="preserve"> </v>
      </c>
      <c r="Z253" s="12" t="str">
        <f>+IF(Tabla44[[#This Row],[AGRUPACIONES]]=1,SUMIFS(Tabla44[TOTAL COBERTURA],Tabla44[ZONA DEFINITIVO],Tabla44[[#This Row],[ZONA DEFINITIVO]])," ")</f>
        <v xml:space="preserve"> </v>
      </c>
      <c r="AA253" s="12"/>
      <c r="AB253" s="35">
        <v>28342509</v>
      </c>
      <c r="AC253" s="37">
        <v>0</v>
      </c>
      <c r="AD253" s="35">
        <f t="shared" si="4"/>
        <v>0</v>
      </c>
      <c r="AE253" s="12"/>
      <c r="AF253" s="12">
        <f>COUNTIF($A$20:A253,A253)</f>
        <v>32</v>
      </c>
      <c r="AG253" s="38">
        <v>28342509</v>
      </c>
      <c r="AH253" s="38">
        <f>Tabla44[[#This Row],[VALOR CONTRAPARTIDA]]+Tabla44[[#This Row],[TOTAL APORTES ICBF]]</f>
        <v>28342509</v>
      </c>
      <c r="AI253" s="35" t="str">
        <f>+IF(Tabla44[[#This Row],[AGRUPACIONES]]=1,SUMIFS(Tabla44[TOTAL APORTES ICBF],Tabla44[ZONA DEFINITIVO],Tabla44[[#This Row],[ZONA DEFINITIVO]])," ")</f>
        <v xml:space="preserve"> </v>
      </c>
      <c r="AJ253" s="38"/>
      <c r="AK253" s="38"/>
      <c r="AL253" s="35"/>
      <c r="AM253" s="35">
        <f>VLOOKUP(Tabla44[[#This Row],[SERVICIO 2025]],$J$2:$V$15,5,0)*Tabla44[[#This Row],[TOTAL COBERTURA]]</f>
        <v>641888</v>
      </c>
      <c r="AN253" s="35">
        <f>VLOOKUP(Tabla44[[#This Row],[SERVICIO 2025]],$J$2:$V$15,6,0)*Tabla44[[#This Row],[TOTAL COBERTURA]]</f>
        <v>533377</v>
      </c>
      <c r="AO253" s="35">
        <f>VLOOKUP(Tabla44[[#This Row],[SERVICIO 2025]],$J$2:$V$15,8,0)*Tabla44[[#This Row],[TOTAL COBERTURA]]</f>
        <v>378300</v>
      </c>
      <c r="AP253" s="35">
        <f>VLOOKUP(Tabla44[[#This Row],[SERVICIO 2025]],$J$2:$V$15,3,0)*Tabla44[[#This Row],[TOTAL COBERTURA]]*8</f>
        <v>26788944</v>
      </c>
      <c r="AQ253" s="35"/>
      <c r="AR253" s="35">
        <f>SUM(Tabla44[[#This Row],[VALOR FASE PREPARATORIA DE ALISTAMIENTO]:[VALOR RACION PREPARADA]])</f>
        <v>28342509</v>
      </c>
      <c r="AS253" s="35" t="str">
        <f>+IF(Tabla44[[#This Row],[AGRUPACIONES]]=1,SUMIFS(Tabla44[VALOR TOTAL],Tabla44[ZONA DEFINITIVO],Tabla44[[#This Row],[ZONA DEFINITIVO]])," ")</f>
        <v xml:space="preserve"> </v>
      </c>
      <c r="AT253" s="35">
        <f>VLOOKUP(Tabla44[[#This Row],[SERVICIO 2025]],$J$2:$V$15,10,0)*Tabla44[[#This Row],[TOTAL COBERTURA]]*$X$7</f>
        <v>18759832</v>
      </c>
      <c r="AU253" s="39">
        <f>Tabla44[[#This Row],[TOTAL CONTRATO (ICBF+EAS)]]+Tabla44[[#This Row],[VALOR COMPONENTE ALIMENTACION NO ASIGNADO]]</f>
        <v>47102341</v>
      </c>
      <c r="AV25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253" s="35">
        <f>(VLOOKUP(Tabla44[[#This Row],[SERVICIO 2025]],$J$2:$V$15,3,0)*Tabla44[[#This Row],[TOTAL COBERTURA]])+VLOOKUP(Tabla44[[#This Row],[SERVICIO 2025]],$J$2:$V$15,10,0)*Tabla44[[#This Row],[TOTAL COBERTURA]]</f>
        <v>5693597</v>
      </c>
      <c r="AX253" s="35">
        <f>(VLOOKUP(Tabla44[[#This Row],[SERVICIO 2025]],$J$2:$V$15,3,0)*Tabla44[[#This Row],[TOTAL COBERTURA]])+VLOOKUP(Tabla44[[#This Row],[SERVICIO 2025]],$J$2:$V$15,10,0)*Tabla44[[#This Row],[TOTAL COBERTURA]]</f>
        <v>5693597</v>
      </c>
      <c r="AY253" s="35">
        <f>(VLOOKUP(Tabla44[[#This Row],[SERVICIO 2025]],$J$2:$V$15,3,0)*Tabla44[[#This Row],[TOTAL COBERTURA]])+VLOOKUP(Tabla44[[#This Row],[SERVICIO 2025]],$J$2:$V$15,10,0)*Tabla44[[#This Row],[TOTAL COBERTURA]]</f>
        <v>5693597</v>
      </c>
      <c r="AZ253" s="35">
        <f>(VLOOKUP(Tabla44[[#This Row],[SERVICIO 2025]],$J$2:$V$15,3,0)*Tabla44[[#This Row],[TOTAL COBERTURA]])+VLOOKUP(Tabla44[[#This Row],[SERVICIO 2025]],$J$2:$V$15,10,0)*Tabla44[[#This Row],[TOTAL COBERTURA]]</f>
        <v>5693597</v>
      </c>
      <c r="BA253" s="35">
        <f>(VLOOKUP(Tabla44[[#This Row],[SERVICIO 2025]],$J$2:$V$15,3,0)*Tabla44[[#This Row],[TOTAL COBERTURA]])+VLOOKUP(Tabla44[[#This Row],[SERVICIO 2025]],$J$2:$V$15,10,0)*Tabla44[[#This Row],[TOTAL COBERTURA]]</f>
        <v>5693597</v>
      </c>
      <c r="BB253" s="35">
        <f>(VLOOKUP(Tabla44[[#This Row],[SERVICIO 2025]],$J$2:$V$15,3,0)*Tabla44[[#This Row],[TOTAL COBERTURA]])+VLOOKUP(Tabla44[[#This Row],[SERVICIO 2025]],$J$2:$V$15,10,0)*Tabla44[[#This Row],[TOTAL COBERTURA]]</f>
        <v>5693597</v>
      </c>
      <c r="BC25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253" s="35">
        <f>SUM(Tabla44[[#This Row],[DESEMBOLSO 1]:[DESEMBOLSO 8]])</f>
        <v>47102341</v>
      </c>
      <c r="BE253" s="12" t="b">
        <f>EXACT(Tabla44[[#This Row],[VALOR ATENCIÓN (8 MESES)]],Tabla44[[#This Row],[VALOR TOTAL]])</f>
        <v>1</v>
      </c>
      <c r="BF253" s="23">
        <f>Tabla44[[#This Row],[VALOR ATENCIÓN (8 MESES)]]-Tabla44[[#This Row],[VALOR TOTAL]]</f>
        <v>0</v>
      </c>
      <c r="BG253" s="12" t="b">
        <f>EXACT(Tabla44[[#This Row],[TOTAL DESEMBOLSOS]],Tabla44[[#This Row],[VALOR TOTAL DEL CONTRATO INCLUIDO EL COMPONENTE DE ALIMENTACIÓN]])</f>
        <v>1</v>
      </c>
      <c r="BH253" s="29">
        <f>Tabla44[[#This Row],[TOTAL DESEMBOLSOS]]-Tabla44[[#This Row],[VALOR TOTAL DEL CONTRATO INCLUIDO EL COMPONENTE DE ALIMENTACIÓN]]</f>
        <v>0</v>
      </c>
      <c r="BI253" t="s">
        <v>98</v>
      </c>
    </row>
    <row r="254" spans="1:61">
      <c r="A254" s="13">
        <v>1993</v>
      </c>
      <c r="B254" s="13"/>
      <c r="C254" s="12" t="s">
        <v>87</v>
      </c>
      <c r="D254" s="12" t="s">
        <v>1628</v>
      </c>
      <c r="E254" s="12" t="s">
        <v>3284</v>
      </c>
      <c r="F254" s="12" t="s">
        <v>18</v>
      </c>
      <c r="G254" s="12" t="s">
        <v>90</v>
      </c>
      <c r="H254" s="12" t="s">
        <v>3306</v>
      </c>
      <c r="I254" s="36">
        <v>56471135807</v>
      </c>
      <c r="J254" s="12" t="s">
        <v>3307</v>
      </c>
      <c r="K254" s="12">
        <v>1</v>
      </c>
      <c r="L254" s="12">
        <v>12</v>
      </c>
      <c r="M254" s="12"/>
      <c r="N254" s="13">
        <v>1993</v>
      </c>
      <c r="O254" s="12" t="s">
        <v>2850</v>
      </c>
      <c r="P254" s="12"/>
      <c r="Q254" s="12"/>
      <c r="R254" s="12" t="s">
        <v>94</v>
      </c>
      <c r="S254" s="12">
        <v>10</v>
      </c>
      <c r="T254" s="12">
        <v>818001449</v>
      </c>
      <c r="U254" s="12" t="s">
        <v>3247</v>
      </c>
      <c r="V254" s="12">
        <f>VLOOKUP(Tabla44[[#This Row],[ZONA DEFINITIVO]],[1]Hoja1!$A$1:$D$125,3,0)</f>
        <v>229940</v>
      </c>
      <c r="W254" s="12">
        <f>VLOOKUP(Tabla44[[#This Row],[ZONA DEFINITIVO]],[1]Hoja1!$A$1:$D$125,2,0)</f>
        <v>17259</v>
      </c>
      <c r="X254" s="12">
        <f>VLOOKUP(Tabla44[[#This Row],[ZONA DEFINITIVO]],[1]Hoja1!$A$1:$D$125,4,0)</f>
        <v>104625</v>
      </c>
      <c r="Y254" s="12" t="str">
        <f>+IF(Tabla44[[#This Row],[AGRUPACIONES]]=1,SUMIFS(Tabla44[UDS],Tabla44[ZONA DEFINITIVO],Tabla44[[#This Row],[ZONA DEFINITIVO]])," ")</f>
        <v xml:space="preserve"> </v>
      </c>
      <c r="Z254" s="12" t="str">
        <f>+IF(Tabla44[[#This Row],[AGRUPACIONES]]=1,SUMIFS(Tabla44[TOTAL COBERTURA],Tabla44[ZONA DEFINITIVO],Tabla44[[#This Row],[ZONA DEFINITIVO]])," ")</f>
        <v xml:space="preserve"> </v>
      </c>
      <c r="AA254" s="12"/>
      <c r="AB254" s="35">
        <v>26162316</v>
      </c>
      <c r="AC254" s="37">
        <v>0</v>
      </c>
      <c r="AD254" s="35">
        <f t="shared" si="4"/>
        <v>0</v>
      </c>
      <c r="AE254" s="12"/>
      <c r="AF254" s="12">
        <f>COUNTIF($A$20:A254,A254)</f>
        <v>33</v>
      </c>
      <c r="AG254" s="38">
        <v>26162316</v>
      </c>
      <c r="AH254" s="38">
        <f>Tabla44[[#This Row],[VALOR CONTRAPARTIDA]]+Tabla44[[#This Row],[TOTAL APORTES ICBF]]</f>
        <v>26162316</v>
      </c>
      <c r="AI254" s="35" t="str">
        <f>+IF(Tabla44[[#This Row],[AGRUPACIONES]]=1,SUMIFS(Tabla44[TOTAL APORTES ICBF],Tabla44[ZONA DEFINITIVO],Tabla44[[#This Row],[ZONA DEFINITIVO]])," ")</f>
        <v xml:space="preserve"> </v>
      </c>
      <c r="AJ254" s="38"/>
      <c r="AK254" s="38"/>
      <c r="AL254" s="35"/>
      <c r="AM254" s="35">
        <f>VLOOKUP(Tabla44[[#This Row],[SERVICIO 2025]],$J$2:$V$15,5,0)*Tabla44[[#This Row],[TOTAL COBERTURA]]</f>
        <v>592512</v>
      </c>
      <c r="AN254" s="35">
        <f>VLOOKUP(Tabla44[[#This Row],[SERVICIO 2025]],$J$2:$V$15,6,0)*Tabla44[[#This Row],[TOTAL COBERTURA]]</f>
        <v>492348</v>
      </c>
      <c r="AO254" s="35">
        <f>VLOOKUP(Tabla44[[#This Row],[SERVICIO 2025]],$J$2:$V$15,8,0)*Tabla44[[#This Row],[TOTAL COBERTURA]]</f>
        <v>349200</v>
      </c>
      <c r="AP254" s="35">
        <f>VLOOKUP(Tabla44[[#This Row],[SERVICIO 2025]],$J$2:$V$15,3,0)*Tabla44[[#This Row],[TOTAL COBERTURA]]*8</f>
        <v>24728256</v>
      </c>
      <c r="AQ254" s="35"/>
      <c r="AR254" s="35">
        <f>SUM(Tabla44[[#This Row],[VALOR FASE PREPARATORIA DE ALISTAMIENTO]:[VALOR RACION PREPARADA]])</f>
        <v>26162316</v>
      </c>
      <c r="AS254" s="35" t="str">
        <f>+IF(Tabla44[[#This Row],[AGRUPACIONES]]=1,SUMIFS(Tabla44[VALOR TOTAL],Tabla44[ZONA DEFINITIVO],Tabla44[[#This Row],[ZONA DEFINITIVO]])," ")</f>
        <v xml:space="preserve"> </v>
      </c>
      <c r="AT254" s="35">
        <f>VLOOKUP(Tabla44[[#This Row],[SERVICIO 2025]],$J$2:$V$15,10,0)*Tabla44[[#This Row],[TOTAL COBERTURA]]*$X$7</f>
        <v>17316768</v>
      </c>
      <c r="AU254" s="39">
        <f>Tabla44[[#This Row],[TOTAL CONTRATO (ICBF+EAS)]]+Tabla44[[#This Row],[VALOR COMPONENTE ALIMENTACION NO ASIGNADO]]</f>
        <v>43479084</v>
      </c>
      <c r="AV25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254" s="35">
        <f>(VLOOKUP(Tabla44[[#This Row],[SERVICIO 2025]],$J$2:$V$15,3,0)*Tabla44[[#This Row],[TOTAL COBERTURA]])+VLOOKUP(Tabla44[[#This Row],[SERVICIO 2025]],$J$2:$V$15,10,0)*Tabla44[[#This Row],[TOTAL COBERTURA]]</f>
        <v>5255628</v>
      </c>
      <c r="AX254" s="35">
        <f>(VLOOKUP(Tabla44[[#This Row],[SERVICIO 2025]],$J$2:$V$15,3,0)*Tabla44[[#This Row],[TOTAL COBERTURA]])+VLOOKUP(Tabla44[[#This Row],[SERVICIO 2025]],$J$2:$V$15,10,0)*Tabla44[[#This Row],[TOTAL COBERTURA]]</f>
        <v>5255628</v>
      </c>
      <c r="AY254" s="35">
        <f>(VLOOKUP(Tabla44[[#This Row],[SERVICIO 2025]],$J$2:$V$15,3,0)*Tabla44[[#This Row],[TOTAL COBERTURA]])+VLOOKUP(Tabla44[[#This Row],[SERVICIO 2025]],$J$2:$V$15,10,0)*Tabla44[[#This Row],[TOTAL COBERTURA]]</f>
        <v>5255628</v>
      </c>
      <c r="AZ254" s="35">
        <f>(VLOOKUP(Tabla44[[#This Row],[SERVICIO 2025]],$J$2:$V$15,3,0)*Tabla44[[#This Row],[TOTAL COBERTURA]])+VLOOKUP(Tabla44[[#This Row],[SERVICIO 2025]],$J$2:$V$15,10,0)*Tabla44[[#This Row],[TOTAL COBERTURA]]</f>
        <v>5255628</v>
      </c>
      <c r="BA254" s="35">
        <f>(VLOOKUP(Tabla44[[#This Row],[SERVICIO 2025]],$J$2:$V$15,3,0)*Tabla44[[#This Row],[TOTAL COBERTURA]])+VLOOKUP(Tabla44[[#This Row],[SERVICIO 2025]],$J$2:$V$15,10,0)*Tabla44[[#This Row],[TOTAL COBERTURA]]</f>
        <v>5255628</v>
      </c>
      <c r="BB254" s="35">
        <f>(VLOOKUP(Tabla44[[#This Row],[SERVICIO 2025]],$J$2:$V$15,3,0)*Tabla44[[#This Row],[TOTAL COBERTURA]])+VLOOKUP(Tabla44[[#This Row],[SERVICIO 2025]],$J$2:$V$15,10,0)*Tabla44[[#This Row],[TOTAL COBERTURA]]</f>
        <v>5255628</v>
      </c>
      <c r="BC25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254" s="35">
        <f>SUM(Tabla44[[#This Row],[DESEMBOLSO 1]:[DESEMBOLSO 8]])</f>
        <v>43479084</v>
      </c>
      <c r="BE254" s="12" t="b">
        <f>EXACT(Tabla44[[#This Row],[VALOR ATENCIÓN (8 MESES)]],Tabla44[[#This Row],[VALOR TOTAL]])</f>
        <v>1</v>
      </c>
      <c r="BF254" s="23">
        <f>Tabla44[[#This Row],[VALOR ATENCIÓN (8 MESES)]]-Tabla44[[#This Row],[VALOR TOTAL]]</f>
        <v>0</v>
      </c>
      <c r="BG254" s="12" t="b">
        <f>EXACT(Tabla44[[#This Row],[TOTAL DESEMBOLSOS]],Tabla44[[#This Row],[VALOR TOTAL DEL CONTRATO INCLUIDO EL COMPONENTE DE ALIMENTACIÓN]])</f>
        <v>1</v>
      </c>
      <c r="BH254" s="29">
        <f>Tabla44[[#This Row],[TOTAL DESEMBOLSOS]]-Tabla44[[#This Row],[VALOR TOTAL DEL CONTRATO INCLUIDO EL COMPONENTE DE ALIMENTACIÓN]]</f>
        <v>0</v>
      </c>
      <c r="BI254" t="s">
        <v>98</v>
      </c>
    </row>
    <row r="255" spans="1:61">
      <c r="A255" s="13">
        <v>1993</v>
      </c>
      <c r="B255" s="13"/>
      <c r="C255" s="12" t="s">
        <v>87</v>
      </c>
      <c r="D255" s="12" t="s">
        <v>1628</v>
      </c>
      <c r="E255" s="12" t="s">
        <v>3284</v>
      </c>
      <c r="F255" s="12" t="s">
        <v>18</v>
      </c>
      <c r="G255" s="12" t="s">
        <v>90</v>
      </c>
      <c r="H255" s="12" t="s">
        <v>3308</v>
      </c>
      <c r="I255" s="36">
        <v>56471135811</v>
      </c>
      <c r="J255" s="12" t="s">
        <v>3309</v>
      </c>
      <c r="K255" s="12">
        <v>1</v>
      </c>
      <c r="L255" s="12">
        <v>16</v>
      </c>
      <c r="M255" s="12"/>
      <c r="N255" s="13">
        <v>1993</v>
      </c>
      <c r="O255" s="12" t="s">
        <v>2850</v>
      </c>
      <c r="P255" s="12"/>
      <c r="Q255" s="12"/>
      <c r="R255" s="12" t="s">
        <v>94</v>
      </c>
      <c r="S255" s="12">
        <v>10</v>
      </c>
      <c r="T255" s="12">
        <v>818001449</v>
      </c>
      <c r="U255" s="12" t="s">
        <v>3247</v>
      </c>
      <c r="V255" s="12">
        <f>VLOOKUP(Tabla44[[#This Row],[ZONA DEFINITIVO]],[1]Hoja1!$A$1:$D$125,3,0)</f>
        <v>229940</v>
      </c>
      <c r="W255" s="12">
        <f>VLOOKUP(Tabla44[[#This Row],[ZONA DEFINITIVO]],[1]Hoja1!$A$1:$D$125,2,0)</f>
        <v>17259</v>
      </c>
      <c r="X255" s="12">
        <f>VLOOKUP(Tabla44[[#This Row],[ZONA DEFINITIVO]],[1]Hoja1!$A$1:$D$125,4,0)</f>
        <v>104625</v>
      </c>
      <c r="Y255" s="12" t="str">
        <f>+IF(Tabla44[[#This Row],[AGRUPACIONES]]=1,SUMIFS(Tabla44[UDS],Tabla44[ZONA DEFINITIVO],Tabla44[[#This Row],[ZONA DEFINITIVO]])," ")</f>
        <v xml:space="preserve"> </v>
      </c>
      <c r="Z255" s="12" t="str">
        <f>+IF(Tabla44[[#This Row],[AGRUPACIONES]]=1,SUMIFS(Tabla44[TOTAL COBERTURA],Tabla44[ZONA DEFINITIVO],Tabla44[[#This Row],[ZONA DEFINITIVO]])," ")</f>
        <v xml:space="preserve"> </v>
      </c>
      <c r="AA255" s="12"/>
      <c r="AB255" s="35">
        <v>34883088</v>
      </c>
      <c r="AC255" s="37">
        <v>0</v>
      </c>
      <c r="AD255" s="35">
        <f t="shared" si="4"/>
        <v>0</v>
      </c>
      <c r="AE255" s="12"/>
      <c r="AF255" s="12">
        <f>COUNTIF($A$20:A255,A255)</f>
        <v>34</v>
      </c>
      <c r="AG255" s="38">
        <v>34883088</v>
      </c>
      <c r="AH255" s="38">
        <f>Tabla44[[#This Row],[VALOR CONTRAPARTIDA]]+Tabla44[[#This Row],[TOTAL APORTES ICBF]]</f>
        <v>34883088</v>
      </c>
      <c r="AI255" s="35" t="str">
        <f>+IF(Tabla44[[#This Row],[AGRUPACIONES]]=1,SUMIFS(Tabla44[TOTAL APORTES ICBF],Tabla44[ZONA DEFINITIVO],Tabla44[[#This Row],[ZONA DEFINITIVO]])," ")</f>
        <v xml:space="preserve"> </v>
      </c>
      <c r="AJ255" s="38"/>
      <c r="AK255" s="38"/>
      <c r="AL255" s="35"/>
      <c r="AM255" s="35">
        <f>VLOOKUP(Tabla44[[#This Row],[SERVICIO 2025]],$J$2:$V$15,5,0)*Tabla44[[#This Row],[TOTAL COBERTURA]]</f>
        <v>790016</v>
      </c>
      <c r="AN255" s="35">
        <f>VLOOKUP(Tabla44[[#This Row],[SERVICIO 2025]],$J$2:$V$15,6,0)*Tabla44[[#This Row],[TOTAL COBERTURA]]</f>
        <v>656464</v>
      </c>
      <c r="AO255" s="35">
        <f>VLOOKUP(Tabla44[[#This Row],[SERVICIO 2025]],$J$2:$V$15,8,0)*Tabla44[[#This Row],[TOTAL COBERTURA]]</f>
        <v>465600</v>
      </c>
      <c r="AP255" s="35">
        <f>VLOOKUP(Tabla44[[#This Row],[SERVICIO 2025]],$J$2:$V$15,3,0)*Tabla44[[#This Row],[TOTAL COBERTURA]]*8</f>
        <v>32971008</v>
      </c>
      <c r="AQ255" s="35"/>
      <c r="AR255" s="35">
        <f>SUM(Tabla44[[#This Row],[VALOR FASE PREPARATORIA DE ALISTAMIENTO]:[VALOR RACION PREPARADA]])</f>
        <v>34883088</v>
      </c>
      <c r="AS255" s="35" t="str">
        <f>+IF(Tabla44[[#This Row],[AGRUPACIONES]]=1,SUMIFS(Tabla44[VALOR TOTAL],Tabla44[ZONA DEFINITIVO],Tabla44[[#This Row],[ZONA DEFINITIVO]])," ")</f>
        <v xml:space="preserve"> </v>
      </c>
      <c r="AT255" s="35">
        <f>VLOOKUP(Tabla44[[#This Row],[SERVICIO 2025]],$J$2:$V$15,10,0)*Tabla44[[#This Row],[TOTAL COBERTURA]]*$X$7</f>
        <v>23089024</v>
      </c>
      <c r="AU255" s="39">
        <f>Tabla44[[#This Row],[TOTAL CONTRATO (ICBF+EAS)]]+Tabla44[[#This Row],[VALOR COMPONENTE ALIMENTACION NO ASIGNADO]]</f>
        <v>57972112</v>
      </c>
      <c r="AV25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255" s="35">
        <f>(VLOOKUP(Tabla44[[#This Row],[SERVICIO 2025]],$J$2:$V$15,3,0)*Tabla44[[#This Row],[TOTAL COBERTURA]])+VLOOKUP(Tabla44[[#This Row],[SERVICIO 2025]],$J$2:$V$15,10,0)*Tabla44[[#This Row],[TOTAL COBERTURA]]</f>
        <v>7007504</v>
      </c>
      <c r="AX255" s="35">
        <f>(VLOOKUP(Tabla44[[#This Row],[SERVICIO 2025]],$J$2:$V$15,3,0)*Tabla44[[#This Row],[TOTAL COBERTURA]])+VLOOKUP(Tabla44[[#This Row],[SERVICIO 2025]],$J$2:$V$15,10,0)*Tabla44[[#This Row],[TOTAL COBERTURA]]</f>
        <v>7007504</v>
      </c>
      <c r="AY255" s="35">
        <f>(VLOOKUP(Tabla44[[#This Row],[SERVICIO 2025]],$J$2:$V$15,3,0)*Tabla44[[#This Row],[TOTAL COBERTURA]])+VLOOKUP(Tabla44[[#This Row],[SERVICIO 2025]],$J$2:$V$15,10,0)*Tabla44[[#This Row],[TOTAL COBERTURA]]</f>
        <v>7007504</v>
      </c>
      <c r="AZ255" s="35">
        <f>(VLOOKUP(Tabla44[[#This Row],[SERVICIO 2025]],$J$2:$V$15,3,0)*Tabla44[[#This Row],[TOTAL COBERTURA]])+VLOOKUP(Tabla44[[#This Row],[SERVICIO 2025]],$J$2:$V$15,10,0)*Tabla44[[#This Row],[TOTAL COBERTURA]]</f>
        <v>7007504</v>
      </c>
      <c r="BA255" s="35">
        <f>(VLOOKUP(Tabla44[[#This Row],[SERVICIO 2025]],$J$2:$V$15,3,0)*Tabla44[[#This Row],[TOTAL COBERTURA]])+VLOOKUP(Tabla44[[#This Row],[SERVICIO 2025]],$J$2:$V$15,10,0)*Tabla44[[#This Row],[TOTAL COBERTURA]]</f>
        <v>7007504</v>
      </c>
      <c r="BB255" s="35">
        <f>(VLOOKUP(Tabla44[[#This Row],[SERVICIO 2025]],$J$2:$V$15,3,0)*Tabla44[[#This Row],[TOTAL COBERTURA]])+VLOOKUP(Tabla44[[#This Row],[SERVICIO 2025]],$J$2:$V$15,10,0)*Tabla44[[#This Row],[TOTAL COBERTURA]]</f>
        <v>7007504</v>
      </c>
      <c r="BC25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255" s="35">
        <f>SUM(Tabla44[[#This Row],[DESEMBOLSO 1]:[DESEMBOLSO 8]])</f>
        <v>57972112</v>
      </c>
      <c r="BE255" s="12" t="b">
        <f>EXACT(Tabla44[[#This Row],[VALOR ATENCIÓN (8 MESES)]],Tabla44[[#This Row],[VALOR TOTAL]])</f>
        <v>1</v>
      </c>
      <c r="BF255" s="23">
        <f>Tabla44[[#This Row],[VALOR ATENCIÓN (8 MESES)]]-Tabla44[[#This Row],[VALOR TOTAL]]</f>
        <v>0</v>
      </c>
      <c r="BG255" s="12" t="b">
        <f>EXACT(Tabla44[[#This Row],[TOTAL DESEMBOLSOS]],Tabla44[[#This Row],[VALOR TOTAL DEL CONTRATO INCLUIDO EL COMPONENTE DE ALIMENTACIÓN]])</f>
        <v>1</v>
      </c>
      <c r="BH255" s="29">
        <f>Tabla44[[#This Row],[TOTAL DESEMBOLSOS]]-Tabla44[[#This Row],[VALOR TOTAL DEL CONTRATO INCLUIDO EL COMPONENTE DE ALIMENTACIÓN]]</f>
        <v>0</v>
      </c>
      <c r="BI255" t="s">
        <v>98</v>
      </c>
    </row>
    <row r="256" spans="1:61">
      <c r="A256" s="13">
        <v>1993</v>
      </c>
      <c r="B256" s="13"/>
      <c r="C256" s="12" t="s">
        <v>87</v>
      </c>
      <c r="D256" s="12" t="s">
        <v>1628</v>
      </c>
      <c r="E256" s="12" t="s">
        <v>3310</v>
      </c>
      <c r="F256" s="12" t="s">
        <v>18</v>
      </c>
      <c r="G256" s="12" t="s">
        <v>90</v>
      </c>
      <c r="H256" s="12" t="s">
        <v>3311</v>
      </c>
      <c r="I256" s="36">
        <v>56581134392</v>
      </c>
      <c r="J256" s="12" t="s">
        <v>3312</v>
      </c>
      <c r="K256" s="12">
        <v>1</v>
      </c>
      <c r="L256" s="12">
        <v>12</v>
      </c>
      <c r="M256" s="12"/>
      <c r="N256" s="13">
        <v>1993</v>
      </c>
      <c r="O256" s="12" t="s">
        <v>2850</v>
      </c>
      <c r="P256" s="12"/>
      <c r="Q256" s="12"/>
      <c r="R256" s="12" t="s">
        <v>94</v>
      </c>
      <c r="S256" s="12">
        <v>10</v>
      </c>
      <c r="T256" s="12">
        <v>818001449</v>
      </c>
      <c r="U256" s="12" t="s">
        <v>3247</v>
      </c>
      <c r="V256" s="12">
        <f>VLOOKUP(Tabla44[[#This Row],[ZONA DEFINITIVO]],[1]Hoja1!$A$1:$D$125,3,0)</f>
        <v>229940</v>
      </c>
      <c r="W256" s="12">
        <f>VLOOKUP(Tabla44[[#This Row],[ZONA DEFINITIVO]],[1]Hoja1!$A$1:$D$125,2,0)</f>
        <v>17259</v>
      </c>
      <c r="X256" s="12">
        <f>VLOOKUP(Tabla44[[#This Row],[ZONA DEFINITIVO]],[1]Hoja1!$A$1:$D$125,4,0)</f>
        <v>104625</v>
      </c>
      <c r="Y256" s="12" t="str">
        <f>+IF(Tabla44[[#This Row],[AGRUPACIONES]]=1,SUMIFS(Tabla44[UDS],Tabla44[ZONA DEFINITIVO],Tabla44[[#This Row],[ZONA DEFINITIVO]])," ")</f>
        <v xml:space="preserve"> </v>
      </c>
      <c r="Z256" s="12" t="str">
        <f>+IF(Tabla44[[#This Row],[AGRUPACIONES]]=1,SUMIFS(Tabla44[TOTAL COBERTURA],Tabla44[ZONA DEFINITIVO],Tabla44[[#This Row],[ZONA DEFINITIVO]])," ")</f>
        <v xml:space="preserve"> </v>
      </c>
      <c r="AA256" s="12"/>
      <c r="AB256" s="35">
        <v>26162316</v>
      </c>
      <c r="AC256" s="37">
        <v>0</v>
      </c>
      <c r="AD256" s="35">
        <f t="shared" si="4"/>
        <v>0</v>
      </c>
      <c r="AE256" s="12"/>
      <c r="AF256" s="12">
        <f>COUNTIF($A$20:A256,A256)</f>
        <v>35</v>
      </c>
      <c r="AG256" s="38">
        <v>26162316</v>
      </c>
      <c r="AH256" s="38">
        <f>Tabla44[[#This Row],[VALOR CONTRAPARTIDA]]+Tabla44[[#This Row],[TOTAL APORTES ICBF]]</f>
        <v>26162316</v>
      </c>
      <c r="AI256" s="35" t="str">
        <f>+IF(Tabla44[[#This Row],[AGRUPACIONES]]=1,SUMIFS(Tabla44[TOTAL APORTES ICBF],Tabla44[ZONA DEFINITIVO],Tabla44[[#This Row],[ZONA DEFINITIVO]])," ")</f>
        <v xml:space="preserve"> </v>
      </c>
      <c r="AJ256" s="38"/>
      <c r="AK256" s="38"/>
      <c r="AL256" s="35"/>
      <c r="AM256" s="35">
        <f>VLOOKUP(Tabla44[[#This Row],[SERVICIO 2025]],$J$2:$V$15,5,0)*Tabla44[[#This Row],[TOTAL COBERTURA]]</f>
        <v>592512</v>
      </c>
      <c r="AN256" s="35">
        <f>VLOOKUP(Tabla44[[#This Row],[SERVICIO 2025]],$J$2:$V$15,6,0)*Tabla44[[#This Row],[TOTAL COBERTURA]]</f>
        <v>492348</v>
      </c>
      <c r="AO256" s="35">
        <f>VLOOKUP(Tabla44[[#This Row],[SERVICIO 2025]],$J$2:$V$15,8,0)*Tabla44[[#This Row],[TOTAL COBERTURA]]</f>
        <v>349200</v>
      </c>
      <c r="AP256" s="35">
        <f>VLOOKUP(Tabla44[[#This Row],[SERVICIO 2025]],$J$2:$V$15,3,0)*Tabla44[[#This Row],[TOTAL COBERTURA]]*8</f>
        <v>24728256</v>
      </c>
      <c r="AQ256" s="35"/>
      <c r="AR256" s="35">
        <f>SUM(Tabla44[[#This Row],[VALOR FASE PREPARATORIA DE ALISTAMIENTO]:[VALOR RACION PREPARADA]])</f>
        <v>26162316</v>
      </c>
      <c r="AS256" s="35" t="str">
        <f>+IF(Tabla44[[#This Row],[AGRUPACIONES]]=1,SUMIFS(Tabla44[VALOR TOTAL],Tabla44[ZONA DEFINITIVO],Tabla44[[#This Row],[ZONA DEFINITIVO]])," ")</f>
        <v xml:space="preserve"> </v>
      </c>
      <c r="AT256" s="35">
        <f>VLOOKUP(Tabla44[[#This Row],[SERVICIO 2025]],$J$2:$V$15,10,0)*Tabla44[[#This Row],[TOTAL COBERTURA]]*$X$7</f>
        <v>17316768</v>
      </c>
      <c r="AU256" s="39">
        <f>Tabla44[[#This Row],[TOTAL CONTRATO (ICBF+EAS)]]+Tabla44[[#This Row],[VALOR COMPONENTE ALIMENTACION NO ASIGNADO]]</f>
        <v>43479084</v>
      </c>
      <c r="AV25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256" s="35">
        <f>(VLOOKUP(Tabla44[[#This Row],[SERVICIO 2025]],$J$2:$V$15,3,0)*Tabla44[[#This Row],[TOTAL COBERTURA]])+VLOOKUP(Tabla44[[#This Row],[SERVICIO 2025]],$J$2:$V$15,10,0)*Tabla44[[#This Row],[TOTAL COBERTURA]]</f>
        <v>5255628</v>
      </c>
      <c r="AX256" s="35">
        <f>(VLOOKUP(Tabla44[[#This Row],[SERVICIO 2025]],$J$2:$V$15,3,0)*Tabla44[[#This Row],[TOTAL COBERTURA]])+VLOOKUP(Tabla44[[#This Row],[SERVICIO 2025]],$J$2:$V$15,10,0)*Tabla44[[#This Row],[TOTAL COBERTURA]]</f>
        <v>5255628</v>
      </c>
      <c r="AY256" s="35">
        <f>(VLOOKUP(Tabla44[[#This Row],[SERVICIO 2025]],$J$2:$V$15,3,0)*Tabla44[[#This Row],[TOTAL COBERTURA]])+VLOOKUP(Tabla44[[#This Row],[SERVICIO 2025]],$J$2:$V$15,10,0)*Tabla44[[#This Row],[TOTAL COBERTURA]]</f>
        <v>5255628</v>
      </c>
      <c r="AZ256" s="35">
        <f>(VLOOKUP(Tabla44[[#This Row],[SERVICIO 2025]],$J$2:$V$15,3,0)*Tabla44[[#This Row],[TOTAL COBERTURA]])+VLOOKUP(Tabla44[[#This Row],[SERVICIO 2025]],$J$2:$V$15,10,0)*Tabla44[[#This Row],[TOTAL COBERTURA]]</f>
        <v>5255628</v>
      </c>
      <c r="BA256" s="35">
        <f>(VLOOKUP(Tabla44[[#This Row],[SERVICIO 2025]],$J$2:$V$15,3,0)*Tabla44[[#This Row],[TOTAL COBERTURA]])+VLOOKUP(Tabla44[[#This Row],[SERVICIO 2025]],$J$2:$V$15,10,0)*Tabla44[[#This Row],[TOTAL COBERTURA]]</f>
        <v>5255628</v>
      </c>
      <c r="BB256" s="35">
        <f>(VLOOKUP(Tabla44[[#This Row],[SERVICIO 2025]],$J$2:$V$15,3,0)*Tabla44[[#This Row],[TOTAL COBERTURA]])+VLOOKUP(Tabla44[[#This Row],[SERVICIO 2025]],$J$2:$V$15,10,0)*Tabla44[[#This Row],[TOTAL COBERTURA]]</f>
        <v>5255628</v>
      </c>
      <c r="BC25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256" s="35">
        <f>SUM(Tabla44[[#This Row],[DESEMBOLSO 1]:[DESEMBOLSO 8]])</f>
        <v>43479084</v>
      </c>
      <c r="BE256" s="12" t="b">
        <f>EXACT(Tabla44[[#This Row],[VALOR ATENCIÓN (8 MESES)]],Tabla44[[#This Row],[VALOR TOTAL]])</f>
        <v>1</v>
      </c>
      <c r="BF256" s="23">
        <f>Tabla44[[#This Row],[VALOR ATENCIÓN (8 MESES)]]-Tabla44[[#This Row],[VALOR TOTAL]]</f>
        <v>0</v>
      </c>
      <c r="BG256" s="12" t="b">
        <f>EXACT(Tabla44[[#This Row],[TOTAL DESEMBOLSOS]],Tabla44[[#This Row],[VALOR TOTAL DEL CONTRATO INCLUIDO EL COMPONENTE DE ALIMENTACIÓN]])</f>
        <v>1</v>
      </c>
      <c r="BH256" s="29">
        <f>Tabla44[[#This Row],[TOTAL DESEMBOLSOS]]-Tabla44[[#This Row],[VALOR TOTAL DEL CONTRATO INCLUIDO EL COMPONENTE DE ALIMENTACIÓN]]</f>
        <v>0</v>
      </c>
      <c r="BI256" t="s">
        <v>98</v>
      </c>
    </row>
    <row r="257" spans="1:61">
      <c r="A257" s="13">
        <v>1993</v>
      </c>
      <c r="B257" s="21"/>
      <c r="C257" s="22" t="s">
        <v>87</v>
      </c>
      <c r="D257" s="22" t="s">
        <v>1628</v>
      </c>
      <c r="E257" s="22" t="s">
        <v>3310</v>
      </c>
      <c r="F257" s="22" t="s">
        <v>18</v>
      </c>
      <c r="G257" s="12" t="s">
        <v>90</v>
      </c>
      <c r="H257" s="22" t="s">
        <v>2523</v>
      </c>
      <c r="I257" s="36">
        <v>56581134397</v>
      </c>
      <c r="J257" s="22" t="s">
        <v>3313</v>
      </c>
      <c r="K257" s="12">
        <v>1</v>
      </c>
      <c r="L257" s="22">
        <v>13</v>
      </c>
      <c r="M257" s="22"/>
      <c r="N257" s="13">
        <v>1993</v>
      </c>
      <c r="O257" s="22" t="s">
        <v>2850</v>
      </c>
      <c r="P257" s="22"/>
      <c r="Q257" s="22"/>
      <c r="R257" s="12" t="s">
        <v>94</v>
      </c>
      <c r="S257" s="12">
        <v>10</v>
      </c>
      <c r="T257" s="12">
        <v>818001449</v>
      </c>
      <c r="U257" s="12" t="s">
        <v>3247</v>
      </c>
      <c r="V257" s="22">
        <f>VLOOKUP(Tabla44[[#This Row],[ZONA DEFINITIVO]],[1]Hoja1!$A$1:$D$125,3,0)</f>
        <v>229940</v>
      </c>
      <c r="W257" s="22">
        <f>VLOOKUP(Tabla44[[#This Row],[ZONA DEFINITIVO]],[1]Hoja1!$A$1:$D$125,2,0)</f>
        <v>17259</v>
      </c>
      <c r="X257" s="22">
        <f>VLOOKUP(Tabla44[[#This Row],[ZONA DEFINITIVO]],[1]Hoja1!$A$1:$D$125,4,0)</f>
        <v>104625</v>
      </c>
      <c r="Y257" s="22" t="str">
        <f>+IF(Tabla44[[#This Row],[AGRUPACIONES]]=1,SUMIFS(Tabla44[UDS],Tabla44[ZONA DEFINITIVO],Tabla44[[#This Row],[ZONA DEFINITIVO]])," ")</f>
        <v xml:space="preserve"> </v>
      </c>
      <c r="Z257" s="22" t="str">
        <f>+IF(Tabla44[[#This Row],[AGRUPACIONES]]=1,SUMIFS(Tabla44[TOTAL COBERTURA],Tabla44[ZONA DEFINITIVO],Tabla44[[#This Row],[ZONA DEFINITIVO]])," ")</f>
        <v xml:space="preserve"> </v>
      </c>
      <c r="AA257" s="22"/>
      <c r="AB257" s="40">
        <v>28342509</v>
      </c>
      <c r="AC257" s="37">
        <v>0</v>
      </c>
      <c r="AD257" s="40">
        <f t="shared" si="4"/>
        <v>0</v>
      </c>
      <c r="AE257" s="22"/>
      <c r="AF257" s="12">
        <f>COUNTIF($A$20:A257,A257)</f>
        <v>36</v>
      </c>
      <c r="AG257" s="41">
        <v>28342509</v>
      </c>
      <c r="AH257" s="41">
        <f>Tabla44[[#This Row],[VALOR CONTRAPARTIDA]]+Tabla44[[#This Row],[TOTAL APORTES ICBF]]</f>
        <v>28342509</v>
      </c>
      <c r="AI257" s="40" t="str">
        <f>+IF(Tabla44[[#This Row],[AGRUPACIONES]]=1,SUMIFS(Tabla44[TOTAL APORTES ICBF],Tabla44[ZONA DEFINITIVO],Tabla44[[#This Row],[ZONA DEFINITIVO]])," ")</f>
        <v xml:space="preserve"> </v>
      </c>
      <c r="AJ257" s="41"/>
      <c r="AK257" s="41"/>
      <c r="AL257" s="40"/>
      <c r="AM257" s="40">
        <f>VLOOKUP(Tabla44[[#This Row],[SERVICIO 2025]],$J$2:$V$15,5,0)*Tabla44[[#This Row],[TOTAL COBERTURA]]</f>
        <v>641888</v>
      </c>
      <c r="AN257" s="40">
        <f>VLOOKUP(Tabla44[[#This Row],[SERVICIO 2025]],$J$2:$V$15,6,0)*Tabla44[[#This Row],[TOTAL COBERTURA]]</f>
        <v>533377</v>
      </c>
      <c r="AO257" s="40">
        <f>VLOOKUP(Tabla44[[#This Row],[SERVICIO 2025]],$J$2:$V$15,8,0)*Tabla44[[#This Row],[TOTAL COBERTURA]]</f>
        <v>378300</v>
      </c>
      <c r="AP257" s="40">
        <f>VLOOKUP(Tabla44[[#This Row],[SERVICIO 2025]],$J$2:$V$15,3,0)*Tabla44[[#This Row],[TOTAL COBERTURA]]*8</f>
        <v>26788944</v>
      </c>
      <c r="AQ257" s="40"/>
      <c r="AR257" s="40">
        <f>SUM(Tabla44[[#This Row],[VALOR FASE PREPARATORIA DE ALISTAMIENTO]:[VALOR RACION PREPARADA]])</f>
        <v>28342509</v>
      </c>
      <c r="AS257" s="40" t="str">
        <f>+IF(Tabla44[[#This Row],[AGRUPACIONES]]=1,SUMIFS(Tabla44[VALOR TOTAL],Tabla44[ZONA DEFINITIVO],Tabla44[[#This Row],[ZONA DEFINITIVO]])," ")</f>
        <v xml:space="preserve"> </v>
      </c>
      <c r="AT257" s="35">
        <f>VLOOKUP(Tabla44[[#This Row],[SERVICIO 2025]],$J$2:$V$15,10,0)*Tabla44[[#This Row],[TOTAL COBERTURA]]*$X$7</f>
        <v>18759832</v>
      </c>
      <c r="AU257" s="42">
        <f>Tabla44[[#This Row],[TOTAL CONTRATO (ICBF+EAS)]]+Tabla44[[#This Row],[VALOR COMPONENTE ALIMENTACION NO ASIGNADO]]</f>
        <v>47102341</v>
      </c>
      <c r="AV25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257" s="35">
        <f>(VLOOKUP(Tabla44[[#This Row],[SERVICIO 2025]],$J$2:$V$15,3,0)*Tabla44[[#This Row],[TOTAL COBERTURA]])+VLOOKUP(Tabla44[[#This Row],[SERVICIO 2025]],$J$2:$V$15,10,0)*Tabla44[[#This Row],[TOTAL COBERTURA]]</f>
        <v>5693597</v>
      </c>
      <c r="AX257" s="40">
        <f>(VLOOKUP(Tabla44[[#This Row],[SERVICIO 2025]],$J$2:$V$15,3,0)*Tabla44[[#This Row],[TOTAL COBERTURA]])+VLOOKUP(Tabla44[[#This Row],[SERVICIO 2025]],$J$2:$V$15,10,0)*Tabla44[[#This Row],[TOTAL COBERTURA]]</f>
        <v>5693597</v>
      </c>
      <c r="AY257" s="40">
        <f>(VLOOKUP(Tabla44[[#This Row],[SERVICIO 2025]],$J$2:$V$15,3,0)*Tabla44[[#This Row],[TOTAL COBERTURA]])+VLOOKUP(Tabla44[[#This Row],[SERVICIO 2025]],$J$2:$V$15,10,0)*Tabla44[[#This Row],[TOTAL COBERTURA]]</f>
        <v>5693597</v>
      </c>
      <c r="AZ257" s="40">
        <f>(VLOOKUP(Tabla44[[#This Row],[SERVICIO 2025]],$J$2:$V$15,3,0)*Tabla44[[#This Row],[TOTAL COBERTURA]])+VLOOKUP(Tabla44[[#This Row],[SERVICIO 2025]],$J$2:$V$15,10,0)*Tabla44[[#This Row],[TOTAL COBERTURA]]</f>
        <v>5693597</v>
      </c>
      <c r="BA257" s="40">
        <f>(VLOOKUP(Tabla44[[#This Row],[SERVICIO 2025]],$J$2:$V$15,3,0)*Tabla44[[#This Row],[TOTAL COBERTURA]])+VLOOKUP(Tabla44[[#This Row],[SERVICIO 2025]],$J$2:$V$15,10,0)*Tabla44[[#This Row],[TOTAL COBERTURA]]</f>
        <v>5693597</v>
      </c>
      <c r="BB257" s="40">
        <f>(VLOOKUP(Tabla44[[#This Row],[SERVICIO 2025]],$J$2:$V$15,3,0)*Tabla44[[#This Row],[TOTAL COBERTURA]])+VLOOKUP(Tabla44[[#This Row],[SERVICIO 2025]],$J$2:$V$15,10,0)*Tabla44[[#This Row],[TOTAL COBERTURA]]</f>
        <v>5693597</v>
      </c>
      <c r="BC257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257" s="40">
        <f>SUM(Tabla44[[#This Row],[DESEMBOLSO 1]:[DESEMBOLSO 8]])</f>
        <v>47102341</v>
      </c>
      <c r="BE257" s="22" t="b">
        <f>EXACT(Tabla44[[#This Row],[VALOR ATENCIÓN (8 MESES)]],Tabla44[[#This Row],[VALOR TOTAL]])</f>
        <v>1</v>
      </c>
      <c r="BF257" s="28">
        <f>Tabla44[[#This Row],[VALOR ATENCIÓN (8 MESES)]]-Tabla44[[#This Row],[VALOR TOTAL]]</f>
        <v>0</v>
      </c>
      <c r="BG257" s="22" t="b">
        <f>EXACT(Tabla44[[#This Row],[TOTAL DESEMBOLSOS]],Tabla44[[#This Row],[VALOR TOTAL DEL CONTRATO INCLUIDO EL COMPONENTE DE ALIMENTACIÓN]])</f>
        <v>1</v>
      </c>
      <c r="BH257" s="29">
        <f>Tabla44[[#This Row],[TOTAL DESEMBOLSOS]]-Tabla44[[#This Row],[VALOR TOTAL DEL CONTRATO INCLUIDO EL COMPONENTE DE ALIMENTACIÓN]]</f>
        <v>0</v>
      </c>
      <c r="BI257" t="s">
        <v>98</v>
      </c>
    </row>
    <row r="258" spans="1:61">
      <c r="A258" s="21">
        <v>1993</v>
      </c>
      <c r="B258" s="21"/>
      <c r="C258" s="22" t="s">
        <v>87</v>
      </c>
      <c r="D258" s="22" t="s">
        <v>1628</v>
      </c>
      <c r="E258" s="22" t="s">
        <v>3310</v>
      </c>
      <c r="F258" s="22" t="s">
        <v>18</v>
      </c>
      <c r="G258" s="12" t="s">
        <v>90</v>
      </c>
      <c r="H258" s="22" t="s">
        <v>3314</v>
      </c>
      <c r="I258" s="36">
        <v>565800059225</v>
      </c>
      <c r="J258" s="22" t="s">
        <v>3315</v>
      </c>
      <c r="K258" s="12">
        <v>1</v>
      </c>
      <c r="L258" s="22">
        <v>12</v>
      </c>
      <c r="M258" s="22"/>
      <c r="N258" s="21">
        <v>1993</v>
      </c>
      <c r="O258" s="22" t="s">
        <v>2850</v>
      </c>
      <c r="P258" s="22"/>
      <c r="Q258" s="22"/>
      <c r="R258" s="12" t="s">
        <v>94</v>
      </c>
      <c r="S258" s="12">
        <v>10</v>
      </c>
      <c r="T258" s="12">
        <v>818001449</v>
      </c>
      <c r="U258" s="12" t="s">
        <v>3247</v>
      </c>
      <c r="V258" s="22">
        <f>VLOOKUP(Tabla44[[#This Row],[ZONA DEFINITIVO]],[1]Hoja1!$A$1:$D$125,3,0)</f>
        <v>229940</v>
      </c>
      <c r="W258" s="22">
        <f>VLOOKUP(Tabla44[[#This Row],[ZONA DEFINITIVO]],[1]Hoja1!$A$1:$D$125,2,0)</f>
        <v>17259</v>
      </c>
      <c r="X258" s="22">
        <f>VLOOKUP(Tabla44[[#This Row],[ZONA DEFINITIVO]],[1]Hoja1!$A$1:$D$125,4,0)</f>
        <v>104625</v>
      </c>
      <c r="Y258" s="22" t="str">
        <f>+IF(Tabla44[[#This Row],[AGRUPACIONES]]=1,SUMIFS(Tabla44[UDS],Tabla44[ZONA DEFINITIVO],Tabla44[[#This Row],[ZONA DEFINITIVO]])," ")</f>
        <v xml:space="preserve"> </v>
      </c>
      <c r="Z258" s="22" t="str">
        <f>+IF(Tabla44[[#This Row],[AGRUPACIONES]]=1,SUMIFS(Tabla44[TOTAL COBERTURA],Tabla44[ZONA DEFINITIVO],Tabla44[[#This Row],[ZONA DEFINITIVO]])," ")</f>
        <v xml:space="preserve"> </v>
      </c>
      <c r="AA258" s="22"/>
      <c r="AB258" s="40">
        <v>26162316</v>
      </c>
      <c r="AC258" s="37">
        <v>0</v>
      </c>
      <c r="AD258" s="40">
        <f t="shared" si="4"/>
        <v>0</v>
      </c>
      <c r="AE258" s="22"/>
      <c r="AF258" s="12">
        <f>COUNTIF($A$20:A258,A258)</f>
        <v>37</v>
      </c>
      <c r="AG258" s="41">
        <v>26162316</v>
      </c>
      <c r="AH258" s="41">
        <f>Tabla44[[#This Row],[VALOR CONTRAPARTIDA]]+Tabla44[[#This Row],[TOTAL APORTES ICBF]]</f>
        <v>26162316</v>
      </c>
      <c r="AI258" s="40" t="str">
        <f>+IF(Tabla44[[#This Row],[AGRUPACIONES]]=1,SUMIFS(Tabla44[TOTAL APORTES ICBF],Tabla44[ZONA DEFINITIVO],Tabla44[[#This Row],[ZONA DEFINITIVO]])," ")</f>
        <v xml:space="preserve"> </v>
      </c>
      <c r="AJ258" s="41"/>
      <c r="AK258" s="41"/>
      <c r="AL258" s="40"/>
      <c r="AM258" s="40">
        <f>VLOOKUP(Tabla44[[#This Row],[SERVICIO 2025]],$J$2:$V$15,5,0)*Tabla44[[#This Row],[TOTAL COBERTURA]]</f>
        <v>592512</v>
      </c>
      <c r="AN258" s="40">
        <f>VLOOKUP(Tabla44[[#This Row],[SERVICIO 2025]],$J$2:$V$15,6,0)*Tabla44[[#This Row],[TOTAL COBERTURA]]</f>
        <v>492348</v>
      </c>
      <c r="AO258" s="40">
        <f>VLOOKUP(Tabla44[[#This Row],[SERVICIO 2025]],$J$2:$V$15,8,0)*Tabla44[[#This Row],[TOTAL COBERTURA]]</f>
        <v>349200</v>
      </c>
      <c r="AP258" s="40">
        <f>VLOOKUP(Tabla44[[#This Row],[SERVICIO 2025]],$J$2:$V$15,3,0)*Tabla44[[#This Row],[TOTAL COBERTURA]]*8</f>
        <v>24728256</v>
      </c>
      <c r="AQ258" s="40"/>
      <c r="AR258" s="40">
        <f>SUM(Tabla44[[#This Row],[VALOR FASE PREPARATORIA DE ALISTAMIENTO]:[VALOR RACION PREPARADA]])</f>
        <v>26162316</v>
      </c>
      <c r="AS258" s="40" t="str">
        <f>+IF(Tabla44[[#This Row],[AGRUPACIONES]]=1,SUMIFS(Tabla44[VALOR TOTAL],Tabla44[ZONA DEFINITIVO],Tabla44[[#This Row],[ZONA DEFINITIVO]])," ")</f>
        <v xml:space="preserve"> </v>
      </c>
      <c r="AT258" s="35">
        <f>VLOOKUP(Tabla44[[#This Row],[SERVICIO 2025]],$J$2:$V$15,10,0)*Tabla44[[#This Row],[TOTAL COBERTURA]]*$X$7</f>
        <v>17316768</v>
      </c>
      <c r="AU258" s="42">
        <f>Tabla44[[#This Row],[TOTAL CONTRATO (ICBF+EAS)]]+Tabla44[[#This Row],[VALOR COMPONENTE ALIMENTACION NO ASIGNADO]]</f>
        <v>43479084</v>
      </c>
      <c r="AV25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258" s="35">
        <f>(VLOOKUP(Tabla44[[#This Row],[SERVICIO 2025]],$J$2:$V$15,3,0)*Tabla44[[#This Row],[TOTAL COBERTURA]])+VLOOKUP(Tabla44[[#This Row],[SERVICIO 2025]],$J$2:$V$15,10,0)*Tabla44[[#This Row],[TOTAL COBERTURA]]</f>
        <v>5255628</v>
      </c>
      <c r="AX258" s="40">
        <f>(VLOOKUP(Tabla44[[#This Row],[SERVICIO 2025]],$J$2:$V$15,3,0)*Tabla44[[#This Row],[TOTAL COBERTURA]])+VLOOKUP(Tabla44[[#This Row],[SERVICIO 2025]],$J$2:$V$15,10,0)*Tabla44[[#This Row],[TOTAL COBERTURA]]</f>
        <v>5255628</v>
      </c>
      <c r="AY258" s="40">
        <f>(VLOOKUP(Tabla44[[#This Row],[SERVICIO 2025]],$J$2:$V$15,3,0)*Tabla44[[#This Row],[TOTAL COBERTURA]])+VLOOKUP(Tabla44[[#This Row],[SERVICIO 2025]],$J$2:$V$15,10,0)*Tabla44[[#This Row],[TOTAL COBERTURA]]</f>
        <v>5255628</v>
      </c>
      <c r="AZ258" s="40">
        <f>(VLOOKUP(Tabla44[[#This Row],[SERVICIO 2025]],$J$2:$V$15,3,0)*Tabla44[[#This Row],[TOTAL COBERTURA]])+VLOOKUP(Tabla44[[#This Row],[SERVICIO 2025]],$J$2:$V$15,10,0)*Tabla44[[#This Row],[TOTAL COBERTURA]]</f>
        <v>5255628</v>
      </c>
      <c r="BA258" s="40">
        <f>(VLOOKUP(Tabla44[[#This Row],[SERVICIO 2025]],$J$2:$V$15,3,0)*Tabla44[[#This Row],[TOTAL COBERTURA]])+VLOOKUP(Tabla44[[#This Row],[SERVICIO 2025]],$J$2:$V$15,10,0)*Tabla44[[#This Row],[TOTAL COBERTURA]]</f>
        <v>5255628</v>
      </c>
      <c r="BB258" s="40">
        <f>(VLOOKUP(Tabla44[[#This Row],[SERVICIO 2025]],$J$2:$V$15,3,0)*Tabla44[[#This Row],[TOTAL COBERTURA]])+VLOOKUP(Tabla44[[#This Row],[SERVICIO 2025]],$J$2:$V$15,10,0)*Tabla44[[#This Row],[TOTAL COBERTURA]]</f>
        <v>5255628</v>
      </c>
      <c r="BC258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258" s="40">
        <f>SUM(Tabla44[[#This Row],[DESEMBOLSO 1]:[DESEMBOLSO 8]])</f>
        <v>43479084</v>
      </c>
      <c r="BE258" s="22" t="b">
        <f>EXACT(Tabla44[[#This Row],[VALOR ATENCIÓN (8 MESES)]],Tabla44[[#This Row],[VALOR TOTAL]])</f>
        <v>1</v>
      </c>
      <c r="BF258" s="28">
        <f>Tabla44[[#This Row],[VALOR ATENCIÓN (8 MESES)]]-Tabla44[[#This Row],[VALOR TOTAL]]</f>
        <v>0</v>
      </c>
      <c r="BG258" s="22" t="b">
        <f>EXACT(Tabla44[[#This Row],[TOTAL DESEMBOLSOS]],Tabla44[[#This Row],[VALOR TOTAL DEL CONTRATO INCLUIDO EL COMPONENTE DE ALIMENTACIÓN]])</f>
        <v>1</v>
      </c>
      <c r="BH258" s="29">
        <f>Tabla44[[#This Row],[TOTAL DESEMBOLSOS]]-Tabla44[[#This Row],[VALOR TOTAL DEL CONTRATO INCLUIDO EL COMPONENTE DE ALIMENTACIÓN]]</f>
        <v>0</v>
      </c>
      <c r="BI258" t="s">
        <v>98</v>
      </c>
    </row>
    <row r="259" spans="1:61">
      <c r="A259" s="13">
        <v>1993</v>
      </c>
      <c r="B259" s="13"/>
      <c r="C259" s="12" t="s">
        <v>87</v>
      </c>
      <c r="D259" s="12" t="s">
        <v>1628</v>
      </c>
      <c r="E259" s="12" t="s">
        <v>3310</v>
      </c>
      <c r="F259" s="12" t="s">
        <v>15</v>
      </c>
      <c r="G259" s="12" t="s">
        <v>90</v>
      </c>
      <c r="H259" s="12" t="s">
        <v>3316</v>
      </c>
      <c r="I259" s="36">
        <v>588700102597</v>
      </c>
      <c r="J259" s="12" t="s">
        <v>3317</v>
      </c>
      <c r="K259" s="12">
        <v>1</v>
      </c>
      <c r="L259" s="12">
        <v>47</v>
      </c>
      <c r="M259" s="12"/>
      <c r="N259" s="13">
        <v>1993</v>
      </c>
      <c r="O259" s="12" t="s">
        <v>2850</v>
      </c>
      <c r="P259" s="12"/>
      <c r="Q259" s="12"/>
      <c r="R259" s="12" t="s">
        <v>94</v>
      </c>
      <c r="S259" s="12">
        <v>10</v>
      </c>
      <c r="T259" s="12">
        <v>818001449</v>
      </c>
      <c r="U259" s="12" t="s">
        <v>3247</v>
      </c>
      <c r="V259" s="12">
        <f>VLOOKUP(Tabla44[[#This Row],[ZONA DEFINITIVO]],[1]Hoja1!$A$1:$D$125,3,0)</f>
        <v>229940</v>
      </c>
      <c r="W259" s="12">
        <f>VLOOKUP(Tabla44[[#This Row],[ZONA DEFINITIVO]],[1]Hoja1!$A$1:$D$125,2,0)</f>
        <v>17259</v>
      </c>
      <c r="X259" s="12">
        <f>VLOOKUP(Tabla44[[#This Row],[ZONA DEFINITIVO]],[1]Hoja1!$A$1:$D$125,4,0)</f>
        <v>104625</v>
      </c>
      <c r="Y259" s="12" t="str">
        <f>+IF(Tabla44[[#This Row],[AGRUPACIONES]]=1,SUMIFS(Tabla44[UDS],Tabla44[ZONA DEFINITIVO],Tabla44[[#This Row],[ZONA DEFINITIVO]])," ")</f>
        <v xml:space="preserve"> </v>
      </c>
      <c r="Z259" s="12" t="str">
        <f>+IF(Tabla44[[#This Row],[AGRUPACIONES]]=1,SUMIFS(Tabla44[TOTAL COBERTURA],Tabla44[ZONA DEFINITIVO],Tabla44[[#This Row],[ZONA DEFINITIVO]])," ")</f>
        <v xml:space="preserve"> </v>
      </c>
      <c r="AA259" s="12"/>
      <c r="AB259" s="35">
        <v>203481894</v>
      </c>
      <c r="AC259" s="37">
        <v>0</v>
      </c>
      <c r="AD259" s="35">
        <f t="shared" si="4"/>
        <v>0</v>
      </c>
      <c r="AE259" s="12"/>
      <c r="AF259" s="12">
        <f>COUNTIF($A$20:A259,A259)</f>
        <v>38</v>
      </c>
      <c r="AG259" s="38">
        <v>203481894</v>
      </c>
      <c r="AH259" s="38">
        <f>Tabla44[[#This Row],[VALOR CONTRAPARTIDA]]+Tabla44[[#This Row],[TOTAL APORTES ICBF]]</f>
        <v>203481894</v>
      </c>
      <c r="AI259" s="35" t="str">
        <f>+IF(Tabla44[[#This Row],[AGRUPACIONES]]=1,SUMIFS(Tabla44[TOTAL APORTES ICBF],Tabla44[ZONA DEFINITIVO],Tabla44[[#This Row],[ZONA DEFINITIVO]])," ")</f>
        <v xml:space="preserve"> </v>
      </c>
      <c r="AJ259" s="38"/>
      <c r="AK259" s="38"/>
      <c r="AL259" s="35"/>
      <c r="AM259" s="35">
        <f>VLOOKUP(Tabla44[[#This Row],[SERVICIO 2025]],$J$2:$V$15,5,0)*Tabla44[[#This Row],[TOTAL COBERTURA]]</f>
        <v>4142721</v>
      </c>
      <c r="AN259" s="35">
        <f>VLOOKUP(Tabla44[[#This Row],[SERVICIO 2025]],$J$2:$V$15,6,0)*Tabla44[[#This Row],[TOTAL COBERTURA]]</f>
        <v>3527021</v>
      </c>
      <c r="AO259" s="35">
        <f>VLOOKUP(Tabla44[[#This Row],[SERVICIO 2025]],$J$2:$V$15,8,0)*Tabla44[[#This Row],[TOTAL COBERTURA]]</f>
        <v>0</v>
      </c>
      <c r="AP259" s="35">
        <f>VLOOKUP(Tabla44[[#This Row],[SERVICIO 2025]],$J$2:$V$15,3,0)*Tabla44[[#This Row],[TOTAL COBERTURA]]*8</f>
        <v>195812152</v>
      </c>
      <c r="AQ259" s="35"/>
      <c r="AR259" s="35">
        <f>SUM(Tabla44[[#This Row],[VALOR FASE PREPARATORIA DE ALISTAMIENTO]:[VALOR RACION PREPARADA]])</f>
        <v>203481894</v>
      </c>
      <c r="AS259" s="35" t="str">
        <f>+IF(Tabla44[[#This Row],[AGRUPACIONES]]=1,SUMIFS(Tabla44[VALOR TOTAL],Tabla44[ZONA DEFINITIVO],Tabla44[[#This Row],[ZONA DEFINITIVO]])," ")</f>
        <v xml:space="preserve"> </v>
      </c>
      <c r="AT259" s="35">
        <f>VLOOKUP(Tabla44[[#This Row],[SERVICIO 2025]],$J$2:$V$15,10,0)*Tabla44[[#This Row],[TOTAL COBERTURA]]*$X$7</f>
        <v>0</v>
      </c>
      <c r="AU259" s="39">
        <f>Tabla44[[#This Row],[TOTAL CONTRATO (ICBF+EAS)]]+Tabla44[[#This Row],[VALOR COMPONENTE ALIMENTACION NO ASIGNADO]]</f>
        <v>203481894</v>
      </c>
      <c r="AV25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28619240</v>
      </c>
      <c r="AW259" s="35">
        <f>(VLOOKUP(Tabla44[[#This Row],[SERVICIO 2025]],$J$2:$V$15,3,0)*Tabla44[[#This Row],[TOTAL COBERTURA]])+VLOOKUP(Tabla44[[#This Row],[SERVICIO 2025]],$J$2:$V$15,10,0)*Tabla44[[#This Row],[TOTAL COBERTURA]]</f>
        <v>24476519</v>
      </c>
      <c r="AX259" s="35">
        <f>(VLOOKUP(Tabla44[[#This Row],[SERVICIO 2025]],$J$2:$V$15,3,0)*Tabla44[[#This Row],[TOTAL COBERTURA]])+VLOOKUP(Tabla44[[#This Row],[SERVICIO 2025]],$J$2:$V$15,10,0)*Tabla44[[#This Row],[TOTAL COBERTURA]]</f>
        <v>24476519</v>
      </c>
      <c r="AY259" s="35">
        <f>(VLOOKUP(Tabla44[[#This Row],[SERVICIO 2025]],$J$2:$V$15,3,0)*Tabla44[[#This Row],[TOTAL COBERTURA]])+VLOOKUP(Tabla44[[#This Row],[SERVICIO 2025]],$J$2:$V$15,10,0)*Tabla44[[#This Row],[TOTAL COBERTURA]]</f>
        <v>24476519</v>
      </c>
      <c r="AZ259" s="35">
        <f>(VLOOKUP(Tabla44[[#This Row],[SERVICIO 2025]],$J$2:$V$15,3,0)*Tabla44[[#This Row],[TOTAL COBERTURA]])+VLOOKUP(Tabla44[[#This Row],[SERVICIO 2025]],$J$2:$V$15,10,0)*Tabla44[[#This Row],[TOTAL COBERTURA]]</f>
        <v>24476519</v>
      </c>
      <c r="BA259" s="35">
        <f>(VLOOKUP(Tabla44[[#This Row],[SERVICIO 2025]],$J$2:$V$15,3,0)*Tabla44[[#This Row],[TOTAL COBERTURA]])+VLOOKUP(Tabla44[[#This Row],[SERVICIO 2025]],$J$2:$V$15,10,0)*Tabla44[[#This Row],[TOTAL COBERTURA]]</f>
        <v>24476519</v>
      </c>
      <c r="BB259" s="35">
        <f>(VLOOKUP(Tabla44[[#This Row],[SERVICIO 2025]],$J$2:$V$15,3,0)*Tabla44[[#This Row],[TOTAL COBERTURA]])+VLOOKUP(Tabla44[[#This Row],[SERVICIO 2025]],$J$2:$V$15,10,0)*Tabla44[[#This Row],[TOTAL COBERTURA]]</f>
        <v>24476519</v>
      </c>
      <c r="BC25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28003540</v>
      </c>
      <c r="BD259" s="35">
        <f>SUM(Tabla44[[#This Row],[DESEMBOLSO 1]:[DESEMBOLSO 8]])</f>
        <v>203481894</v>
      </c>
      <c r="BE259" s="12" t="b">
        <f>EXACT(Tabla44[[#This Row],[VALOR ATENCIÓN (8 MESES)]],Tabla44[[#This Row],[VALOR TOTAL]])</f>
        <v>1</v>
      </c>
      <c r="BF259" s="23">
        <f>Tabla44[[#This Row],[VALOR ATENCIÓN (8 MESES)]]-Tabla44[[#This Row],[VALOR TOTAL]]</f>
        <v>0</v>
      </c>
      <c r="BG259" s="12" t="b">
        <f>EXACT(Tabla44[[#This Row],[TOTAL DESEMBOLSOS]],Tabla44[[#This Row],[VALOR TOTAL DEL CONTRATO INCLUIDO EL COMPONENTE DE ALIMENTACIÓN]])</f>
        <v>1</v>
      </c>
      <c r="BH259" s="29">
        <f>Tabla44[[#This Row],[TOTAL DESEMBOLSOS]]-Tabla44[[#This Row],[VALOR TOTAL DEL CONTRATO INCLUIDO EL COMPONENTE DE ALIMENTACIÓN]]</f>
        <v>0</v>
      </c>
      <c r="BI259" t="s">
        <v>98</v>
      </c>
    </row>
    <row r="260" spans="1:61">
      <c r="A260" s="13">
        <v>1993</v>
      </c>
      <c r="B260" s="21"/>
      <c r="C260" s="22" t="s">
        <v>87</v>
      </c>
      <c r="D260" s="22" t="s">
        <v>1628</v>
      </c>
      <c r="E260" s="22" t="s">
        <v>3318</v>
      </c>
      <c r="F260" s="22" t="s">
        <v>14</v>
      </c>
      <c r="G260" s="12" t="s">
        <v>90</v>
      </c>
      <c r="H260" s="22" t="s">
        <v>3319</v>
      </c>
      <c r="I260" s="36">
        <v>56861111920</v>
      </c>
      <c r="J260" s="22" t="s">
        <v>568</v>
      </c>
      <c r="K260" s="12">
        <v>1</v>
      </c>
      <c r="L260" s="22">
        <v>49</v>
      </c>
      <c r="M260" s="22"/>
      <c r="N260" s="13">
        <v>1993</v>
      </c>
      <c r="O260" s="22" t="s">
        <v>2850</v>
      </c>
      <c r="P260" s="22"/>
      <c r="Q260" s="22"/>
      <c r="R260" s="12" t="s">
        <v>94</v>
      </c>
      <c r="S260" s="12">
        <v>10</v>
      </c>
      <c r="T260" s="12">
        <v>818001449</v>
      </c>
      <c r="U260" s="12" t="s">
        <v>3247</v>
      </c>
      <c r="V260" s="22">
        <f>VLOOKUP(Tabla44[[#This Row],[ZONA DEFINITIVO]],[1]Hoja1!$A$1:$D$125,3,0)</f>
        <v>229940</v>
      </c>
      <c r="W260" s="22">
        <f>VLOOKUP(Tabla44[[#This Row],[ZONA DEFINITIVO]],[1]Hoja1!$A$1:$D$125,2,0)</f>
        <v>17259</v>
      </c>
      <c r="X260" s="22">
        <f>VLOOKUP(Tabla44[[#This Row],[ZONA DEFINITIVO]],[1]Hoja1!$A$1:$D$125,4,0)</f>
        <v>104625</v>
      </c>
      <c r="Y260" s="22" t="str">
        <f>+IF(Tabla44[[#This Row],[AGRUPACIONES]]=1,SUMIFS(Tabla44[UDS],Tabla44[ZONA DEFINITIVO],Tabla44[[#This Row],[ZONA DEFINITIVO]])," ")</f>
        <v xml:space="preserve"> </v>
      </c>
      <c r="Z260" s="22" t="str">
        <f>+IF(Tabla44[[#This Row],[AGRUPACIONES]]=1,SUMIFS(Tabla44[TOTAL COBERTURA],Tabla44[ZONA DEFINITIVO],Tabla44[[#This Row],[ZONA DEFINITIVO]])," ")</f>
        <v xml:space="preserve"> </v>
      </c>
      <c r="AA260" s="22"/>
      <c r="AB260" s="40">
        <v>205253650</v>
      </c>
      <c r="AC260" s="37">
        <v>0</v>
      </c>
      <c r="AD260" s="40">
        <f t="shared" si="4"/>
        <v>0</v>
      </c>
      <c r="AE260" s="22"/>
      <c r="AF260" s="12">
        <f>COUNTIF($A$20:A260,A260)</f>
        <v>39</v>
      </c>
      <c r="AG260" s="41">
        <v>205253650</v>
      </c>
      <c r="AH260" s="41">
        <f>Tabla44[[#This Row],[VALOR CONTRAPARTIDA]]+Tabla44[[#This Row],[TOTAL APORTES ICBF]]</f>
        <v>205253650</v>
      </c>
      <c r="AI260" s="40" t="str">
        <f>+IF(Tabla44[[#This Row],[AGRUPACIONES]]=1,SUMIFS(Tabla44[TOTAL APORTES ICBF],Tabla44[ZONA DEFINITIVO],Tabla44[[#This Row],[ZONA DEFINITIVO]])," ")</f>
        <v xml:space="preserve"> </v>
      </c>
      <c r="AJ260" s="41"/>
      <c r="AK260" s="41"/>
      <c r="AL260" s="40"/>
      <c r="AM260" s="40">
        <f>VLOOKUP(Tabla44[[#This Row],[SERVICIO 2025]],$J$2:$V$15,5,0)*Tabla44[[#This Row],[TOTAL COBERTURA]]</f>
        <v>4319007</v>
      </c>
      <c r="AN260" s="40">
        <f>VLOOKUP(Tabla44[[#This Row],[SERVICIO 2025]],$J$2:$V$15,6,0)*Tabla44[[#This Row],[TOTAL COBERTURA]]</f>
        <v>3677107</v>
      </c>
      <c r="AO260" s="40">
        <f>VLOOKUP(Tabla44[[#This Row],[SERVICIO 2025]],$J$2:$V$15,8,0)*Tabla44[[#This Row],[TOTAL COBERTURA]]</f>
        <v>0</v>
      </c>
      <c r="AP260" s="40">
        <f>VLOOKUP(Tabla44[[#This Row],[SERVICIO 2025]],$J$2:$V$15,3,0)*Tabla44[[#This Row],[TOTAL COBERTURA]]*8</f>
        <v>197257536</v>
      </c>
      <c r="AQ260" s="40"/>
      <c r="AR260" s="40">
        <f>SUM(Tabla44[[#This Row],[VALOR FASE PREPARATORIA DE ALISTAMIENTO]:[VALOR RACION PREPARADA]])</f>
        <v>205253650</v>
      </c>
      <c r="AS260" s="40" t="str">
        <f>+IF(Tabla44[[#This Row],[AGRUPACIONES]]=1,SUMIFS(Tabla44[VALOR TOTAL],Tabla44[ZONA DEFINITIVO],Tabla44[[#This Row],[ZONA DEFINITIVO]])," ")</f>
        <v xml:space="preserve"> </v>
      </c>
      <c r="AT260" s="35">
        <f>VLOOKUP(Tabla44[[#This Row],[SERVICIO 2025]],$J$2:$V$15,10,0)*Tabla44[[#This Row],[TOTAL COBERTURA]]*$X$7</f>
        <v>0</v>
      </c>
      <c r="AU260" s="42">
        <f>Tabla44[[#This Row],[TOTAL CONTRATO (ICBF+EAS)]]+Tabla44[[#This Row],[VALOR COMPONENTE ALIMENTACION NO ASIGNADO]]</f>
        <v>205253650</v>
      </c>
      <c r="AV26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28976199</v>
      </c>
      <c r="AW260" s="35">
        <f>(VLOOKUP(Tabla44[[#This Row],[SERVICIO 2025]],$J$2:$V$15,3,0)*Tabla44[[#This Row],[TOTAL COBERTURA]])+VLOOKUP(Tabla44[[#This Row],[SERVICIO 2025]],$J$2:$V$15,10,0)*Tabla44[[#This Row],[TOTAL COBERTURA]]</f>
        <v>24657192</v>
      </c>
      <c r="AX260" s="40">
        <f>(VLOOKUP(Tabla44[[#This Row],[SERVICIO 2025]],$J$2:$V$15,3,0)*Tabla44[[#This Row],[TOTAL COBERTURA]])+VLOOKUP(Tabla44[[#This Row],[SERVICIO 2025]],$J$2:$V$15,10,0)*Tabla44[[#This Row],[TOTAL COBERTURA]]</f>
        <v>24657192</v>
      </c>
      <c r="AY260" s="40">
        <f>(VLOOKUP(Tabla44[[#This Row],[SERVICIO 2025]],$J$2:$V$15,3,0)*Tabla44[[#This Row],[TOTAL COBERTURA]])+VLOOKUP(Tabla44[[#This Row],[SERVICIO 2025]],$J$2:$V$15,10,0)*Tabla44[[#This Row],[TOTAL COBERTURA]]</f>
        <v>24657192</v>
      </c>
      <c r="AZ260" s="40">
        <f>(VLOOKUP(Tabla44[[#This Row],[SERVICIO 2025]],$J$2:$V$15,3,0)*Tabla44[[#This Row],[TOTAL COBERTURA]])+VLOOKUP(Tabla44[[#This Row],[SERVICIO 2025]],$J$2:$V$15,10,0)*Tabla44[[#This Row],[TOTAL COBERTURA]]</f>
        <v>24657192</v>
      </c>
      <c r="BA260" s="40">
        <f>(VLOOKUP(Tabla44[[#This Row],[SERVICIO 2025]],$J$2:$V$15,3,0)*Tabla44[[#This Row],[TOTAL COBERTURA]])+VLOOKUP(Tabla44[[#This Row],[SERVICIO 2025]],$J$2:$V$15,10,0)*Tabla44[[#This Row],[TOTAL COBERTURA]]</f>
        <v>24657192</v>
      </c>
      <c r="BB260" s="40">
        <f>(VLOOKUP(Tabla44[[#This Row],[SERVICIO 2025]],$J$2:$V$15,3,0)*Tabla44[[#This Row],[TOTAL COBERTURA]])+VLOOKUP(Tabla44[[#This Row],[SERVICIO 2025]],$J$2:$V$15,10,0)*Tabla44[[#This Row],[TOTAL COBERTURA]]</f>
        <v>24657192</v>
      </c>
      <c r="BC260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28334299</v>
      </c>
      <c r="BD260" s="40">
        <f>SUM(Tabla44[[#This Row],[DESEMBOLSO 1]:[DESEMBOLSO 8]])</f>
        <v>205253650</v>
      </c>
      <c r="BE260" s="22" t="b">
        <f>EXACT(Tabla44[[#This Row],[VALOR ATENCIÓN (8 MESES)]],Tabla44[[#This Row],[VALOR TOTAL]])</f>
        <v>1</v>
      </c>
      <c r="BF260" s="28">
        <f>Tabla44[[#This Row],[VALOR ATENCIÓN (8 MESES)]]-Tabla44[[#This Row],[VALOR TOTAL]]</f>
        <v>0</v>
      </c>
      <c r="BG260" s="22" t="b">
        <f>EXACT(Tabla44[[#This Row],[TOTAL DESEMBOLSOS]],Tabla44[[#This Row],[VALOR TOTAL DEL CONTRATO INCLUIDO EL COMPONENTE DE ALIMENTACIÓN]])</f>
        <v>1</v>
      </c>
      <c r="BH260" s="29">
        <f>Tabla44[[#This Row],[TOTAL DESEMBOLSOS]]-Tabla44[[#This Row],[VALOR TOTAL DEL CONTRATO INCLUIDO EL COMPONENTE DE ALIMENTACIÓN]]</f>
        <v>0</v>
      </c>
      <c r="BI260" t="s">
        <v>98</v>
      </c>
    </row>
    <row r="261" spans="1:61">
      <c r="A261" s="13">
        <v>1993</v>
      </c>
      <c r="B261" s="13"/>
      <c r="C261" s="12" t="s">
        <v>87</v>
      </c>
      <c r="D261" s="12" t="s">
        <v>1628</v>
      </c>
      <c r="E261" s="12" t="s">
        <v>3318</v>
      </c>
      <c r="F261" s="12" t="s">
        <v>18</v>
      </c>
      <c r="G261" s="12" t="s">
        <v>90</v>
      </c>
      <c r="H261" s="12" t="s">
        <v>3320</v>
      </c>
      <c r="I261" s="36">
        <v>56861118043</v>
      </c>
      <c r="J261" s="12" t="s">
        <v>3321</v>
      </c>
      <c r="K261" s="12">
        <v>1</v>
      </c>
      <c r="L261" s="12">
        <v>17</v>
      </c>
      <c r="M261" s="12"/>
      <c r="N261" s="13">
        <v>1993</v>
      </c>
      <c r="O261" s="12" t="s">
        <v>2850</v>
      </c>
      <c r="P261" s="12"/>
      <c r="Q261" s="12"/>
      <c r="R261" s="12" t="s">
        <v>94</v>
      </c>
      <c r="S261" s="12">
        <v>10</v>
      </c>
      <c r="T261" s="12">
        <v>818001449</v>
      </c>
      <c r="U261" s="12" t="s">
        <v>3247</v>
      </c>
      <c r="V261" s="12">
        <f>VLOOKUP(Tabla44[[#This Row],[ZONA DEFINITIVO]],[1]Hoja1!$A$1:$D$125,3,0)</f>
        <v>229940</v>
      </c>
      <c r="W261" s="12">
        <f>VLOOKUP(Tabla44[[#This Row],[ZONA DEFINITIVO]],[1]Hoja1!$A$1:$D$125,2,0)</f>
        <v>17259</v>
      </c>
      <c r="X261" s="12">
        <f>VLOOKUP(Tabla44[[#This Row],[ZONA DEFINITIVO]],[1]Hoja1!$A$1:$D$125,4,0)</f>
        <v>104625</v>
      </c>
      <c r="Y261" s="12" t="str">
        <f>+IF(Tabla44[[#This Row],[AGRUPACIONES]]=1,SUMIFS(Tabla44[UDS],Tabla44[ZONA DEFINITIVO],Tabla44[[#This Row],[ZONA DEFINITIVO]])," ")</f>
        <v xml:space="preserve"> </v>
      </c>
      <c r="Z261" s="12" t="str">
        <f>+IF(Tabla44[[#This Row],[AGRUPACIONES]]=1,SUMIFS(Tabla44[TOTAL COBERTURA],Tabla44[ZONA DEFINITIVO],Tabla44[[#This Row],[ZONA DEFINITIVO]])," ")</f>
        <v xml:space="preserve"> </v>
      </c>
      <c r="AA261" s="12"/>
      <c r="AB261" s="35">
        <v>37063281</v>
      </c>
      <c r="AC261" s="37">
        <v>0</v>
      </c>
      <c r="AD261" s="35">
        <f t="shared" si="4"/>
        <v>0</v>
      </c>
      <c r="AE261" s="12"/>
      <c r="AF261" s="12">
        <f>COUNTIF($A$20:A261,A261)</f>
        <v>40</v>
      </c>
      <c r="AG261" s="38">
        <v>37063281</v>
      </c>
      <c r="AH261" s="38">
        <f>Tabla44[[#This Row],[VALOR CONTRAPARTIDA]]+Tabla44[[#This Row],[TOTAL APORTES ICBF]]</f>
        <v>37063281</v>
      </c>
      <c r="AI261" s="35" t="str">
        <f>+IF(Tabla44[[#This Row],[AGRUPACIONES]]=1,SUMIFS(Tabla44[TOTAL APORTES ICBF],Tabla44[ZONA DEFINITIVO],Tabla44[[#This Row],[ZONA DEFINITIVO]])," ")</f>
        <v xml:space="preserve"> </v>
      </c>
      <c r="AJ261" s="38"/>
      <c r="AK261" s="38"/>
      <c r="AL261" s="35"/>
      <c r="AM261" s="35">
        <f>VLOOKUP(Tabla44[[#This Row],[SERVICIO 2025]],$J$2:$V$15,5,0)*Tabla44[[#This Row],[TOTAL COBERTURA]]</f>
        <v>839392</v>
      </c>
      <c r="AN261" s="35">
        <f>VLOOKUP(Tabla44[[#This Row],[SERVICIO 2025]],$J$2:$V$15,6,0)*Tabla44[[#This Row],[TOTAL COBERTURA]]</f>
        <v>697493</v>
      </c>
      <c r="AO261" s="35">
        <f>VLOOKUP(Tabla44[[#This Row],[SERVICIO 2025]],$J$2:$V$15,8,0)*Tabla44[[#This Row],[TOTAL COBERTURA]]</f>
        <v>494700</v>
      </c>
      <c r="AP261" s="35">
        <f>VLOOKUP(Tabla44[[#This Row],[SERVICIO 2025]],$J$2:$V$15,3,0)*Tabla44[[#This Row],[TOTAL COBERTURA]]*8</f>
        <v>35031696</v>
      </c>
      <c r="AQ261" s="35"/>
      <c r="AR261" s="35">
        <f>SUM(Tabla44[[#This Row],[VALOR FASE PREPARATORIA DE ALISTAMIENTO]:[VALOR RACION PREPARADA]])</f>
        <v>37063281</v>
      </c>
      <c r="AS261" s="35" t="str">
        <f>+IF(Tabla44[[#This Row],[AGRUPACIONES]]=1,SUMIFS(Tabla44[VALOR TOTAL],Tabla44[ZONA DEFINITIVO],Tabla44[[#This Row],[ZONA DEFINITIVO]])," ")</f>
        <v xml:space="preserve"> </v>
      </c>
      <c r="AT261" s="35">
        <f>VLOOKUP(Tabla44[[#This Row],[SERVICIO 2025]],$J$2:$V$15,10,0)*Tabla44[[#This Row],[TOTAL COBERTURA]]*$X$7</f>
        <v>24532088</v>
      </c>
      <c r="AU261" s="39">
        <f>Tabla44[[#This Row],[TOTAL CONTRATO (ICBF+EAS)]]+Tabla44[[#This Row],[VALOR COMPONENTE ALIMENTACION NO ASIGNADO]]</f>
        <v>61595369</v>
      </c>
      <c r="AV26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261" s="35">
        <f>(VLOOKUP(Tabla44[[#This Row],[SERVICIO 2025]],$J$2:$V$15,3,0)*Tabla44[[#This Row],[TOTAL COBERTURA]])+VLOOKUP(Tabla44[[#This Row],[SERVICIO 2025]],$J$2:$V$15,10,0)*Tabla44[[#This Row],[TOTAL COBERTURA]]</f>
        <v>7445473</v>
      </c>
      <c r="AX261" s="35">
        <f>(VLOOKUP(Tabla44[[#This Row],[SERVICIO 2025]],$J$2:$V$15,3,0)*Tabla44[[#This Row],[TOTAL COBERTURA]])+VLOOKUP(Tabla44[[#This Row],[SERVICIO 2025]],$J$2:$V$15,10,0)*Tabla44[[#This Row],[TOTAL COBERTURA]]</f>
        <v>7445473</v>
      </c>
      <c r="AY261" s="35">
        <f>(VLOOKUP(Tabla44[[#This Row],[SERVICIO 2025]],$J$2:$V$15,3,0)*Tabla44[[#This Row],[TOTAL COBERTURA]])+VLOOKUP(Tabla44[[#This Row],[SERVICIO 2025]],$J$2:$V$15,10,0)*Tabla44[[#This Row],[TOTAL COBERTURA]]</f>
        <v>7445473</v>
      </c>
      <c r="AZ261" s="35">
        <f>(VLOOKUP(Tabla44[[#This Row],[SERVICIO 2025]],$J$2:$V$15,3,0)*Tabla44[[#This Row],[TOTAL COBERTURA]])+VLOOKUP(Tabla44[[#This Row],[SERVICIO 2025]],$J$2:$V$15,10,0)*Tabla44[[#This Row],[TOTAL COBERTURA]]</f>
        <v>7445473</v>
      </c>
      <c r="BA261" s="35">
        <f>(VLOOKUP(Tabla44[[#This Row],[SERVICIO 2025]],$J$2:$V$15,3,0)*Tabla44[[#This Row],[TOTAL COBERTURA]])+VLOOKUP(Tabla44[[#This Row],[SERVICIO 2025]],$J$2:$V$15,10,0)*Tabla44[[#This Row],[TOTAL COBERTURA]]</f>
        <v>7445473</v>
      </c>
      <c r="BB261" s="35">
        <f>(VLOOKUP(Tabla44[[#This Row],[SERVICIO 2025]],$J$2:$V$15,3,0)*Tabla44[[#This Row],[TOTAL COBERTURA]])+VLOOKUP(Tabla44[[#This Row],[SERVICIO 2025]],$J$2:$V$15,10,0)*Tabla44[[#This Row],[TOTAL COBERTURA]]</f>
        <v>7445473</v>
      </c>
      <c r="BC26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261" s="35">
        <f>SUM(Tabla44[[#This Row],[DESEMBOLSO 1]:[DESEMBOLSO 8]])</f>
        <v>61595369</v>
      </c>
      <c r="BE261" s="12" t="b">
        <f>EXACT(Tabla44[[#This Row],[VALOR ATENCIÓN (8 MESES)]],Tabla44[[#This Row],[VALOR TOTAL]])</f>
        <v>1</v>
      </c>
      <c r="BF261" s="23">
        <f>Tabla44[[#This Row],[VALOR ATENCIÓN (8 MESES)]]-Tabla44[[#This Row],[VALOR TOTAL]]</f>
        <v>0</v>
      </c>
      <c r="BG261" s="12" t="b">
        <f>EXACT(Tabla44[[#This Row],[TOTAL DESEMBOLSOS]],Tabla44[[#This Row],[VALOR TOTAL DEL CONTRATO INCLUIDO EL COMPONENTE DE ALIMENTACIÓN]])</f>
        <v>1</v>
      </c>
      <c r="BH261" s="29">
        <f>Tabla44[[#This Row],[TOTAL DESEMBOLSOS]]-Tabla44[[#This Row],[VALOR TOTAL DEL CONTRATO INCLUIDO EL COMPONENTE DE ALIMENTACIÓN]]</f>
        <v>0</v>
      </c>
      <c r="BI261" t="s">
        <v>98</v>
      </c>
    </row>
    <row r="262" spans="1:61">
      <c r="A262" s="13">
        <v>1993</v>
      </c>
      <c r="B262" s="13"/>
      <c r="C262" s="12" t="s">
        <v>87</v>
      </c>
      <c r="D262" s="12" t="s">
        <v>1628</v>
      </c>
      <c r="E262" s="12" t="s">
        <v>3318</v>
      </c>
      <c r="F262" s="12" t="s">
        <v>21</v>
      </c>
      <c r="G262" s="12" t="s">
        <v>90</v>
      </c>
      <c r="H262" s="12" t="s">
        <v>2969</v>
      </c>
      <c r="I262" s="36">
        <v>56861118045</v>
      </c>
      <c r="J262" s="12" t="s">
        <v>3322</v>
      </c>
      <c r="K262" s="12">
        <v>1</v>
      </c>
      <c r="L262" s="12">
        <v>13</v>
      </c>
      <c r="M262" s="12"/>
      <c r="N262" s="13">
        <v>1993</v>
      </c>
      <c r="O262" s="12" t="s">
        <v>2850</v>
      </c>
      <c r="P262" s="12"/>
      <c r="Q262" s="12"/>
      <c r="R262" s="12" t="s">
        <v>94</v>
      </c>
      <c r="S262" s="12">
        <v>10</v>
      </c>
      <c r="T262" s="12">
        <v>818001449</v>
      </c>
      <c r="U262" s="12" t="s">
        <v>3247</v>
      </c>
      <c r="V262" s="12">
        <f>VLOOKUP(Tabla44[[#This Row],[ZONA DEFINITIVO]],[1]Hoja1!$A$1:$D$125,3,0)</f>
        <v>229940</v>
      </c>
      <c r="W262" s="12">
        <f>VLOOKUP(Tabla44[[#This Row],[ZONA DEFINITIVO]],[1]Hoja1!$A$1:$D$125,2,0)</f>
        <v>17259</v>
      </c>
      <c r="X262" s="12">
        <f>VLOOKUP(Tabla44[[#This Row],[ZONA DEFINITIVO]],[1]Hoja1!$A$1:$D$125,4,0)</f>
        <v>104625</v>
      </c>
      <c r="Y262" s="12" t="str">
        <f>+IF(Tabla44[[#This Row],[AGRUPACIONES]]=1,SUMIFS(Tabla44[UDS],Tabla44[ZONA DEFINITIVO],Tabla44[[#This Row],[ZONA DEFINITIVO]])," ")</f>
        <v xml:space="preserve"> </v>
      </c>
      <c r="Z262" s="12" t="str">
        <f>+IF(Tabla44[[#This Row],[AGRUPACIONES]]=1,SUMIFS(Tabla44[TOTAL COBERTURA],Tabla44[ZONA DEFINITIVO],Tabla44[[#This Row],[ZONA DEFINITIVO]])," ")</f>
        <v xml:space="preserve"> </v>
      </c>
      <c r="AA262" s="12"/>
      <c r="AB262" s="35">
        <v>19750965</v>
      </c>
      <c r="AC262" s="37">
        <v>0</v>
      </c>
      <c r="AD262" s="35">
        <f t="shared" si="4"/>
        <v>0</v>
      </c>
      <c r="AE262" s="12"/>
      <c r="AF262" s="12">
        <f>COUNTIF($A$20:A262,A262)</f>
        <v>41</v>
      </c>
      <c r="AG262" s="38">
        <v>19750965</v>
      </c>
      <c r="AH262" s="38">
        <f>Tabla44[[#This Row],[VALOR CONTRAPARTIDA]]+Tabla44[[#This Row],[TOTAL APORTES ICBF]]</f>
        <v>19750965</v>
      </c>
      <c r="AI262" s="35" t="str">
        <f>+IF(Tabla44[[#This Row],[AGRUPACIONES]]=1,SUMIFS(Tabla44[TOTAL APORTES ICBF],Tabla44[ZONA DEFINITIVO],Tabla44[[#This Row],[ZONA DEFINITIVO]])," ")</f>
        <v xml:space="preserve"> </v>
      </c>
      <c r="AJ262" s="38"/>
      <c r="AK262" s="38"/>
      <c r="AL262" s="35"/>
      <c r="AM262" s="35">
        <f>VLOOKUP(Tabla44[[#This Row],[SERVICIO 2025]],$J$2:$V$15,5,0)*Tabla44[[#This Row],[TOTAL COBERTURA]]</f>
        <v>607672</v>
      </c>
      <c r="AN262" s="35">
        <f>VLOOKUP(Tabla44[[#This Row],[SERVICIO 2025]],$J$2:$V$15,6,0)*Tabla44[[#This Row],[TOTAL COBERTURA]]</f>
        <v>491933</v>
      </c>
      <c r="AO262" s="35">
        <f>VLOOKUP(Tabla44[[#This Row],[SERVICIO 2025]],$J$2:$V$15,8,0)*Tabla44[[#This Row],[TOTAL COBERTURA]]</f>
        <v>0</v>
      </c>
      <c r="AP262" s="35">
        <f>VLOOKUP(Tabla44[[#This Row],[SERVICIO 2025]],$J$2:$V$15,3,0)*Tabla44[[#This Row],[TOTAL COBERTURA]]*8</f>
        <v>18651360</v>
      </c>
      <c r="AQ262" s="35"/>
      <c r="AR262" s="35">
        <f>SUM(Tabla44[[#This Row],[VALOR FASE PREPARATORIA DE ALISTAMIENTO]:[VALOR RACION PREPARADA]])</f>
        <v>19750965</v>
      </c>
      <c r="AS262" s="35" t="str">
        <f>+IF(Tabla44[[#This Row],[AGRUPACIONES]]=1,SUMIFS(Tabla44[VALOR TOTAL],Tabla44[ZONA DEFINITIVO],Tabla44[[#This Row],[ZONA DEFINITIVO]])," ")</f>
        <v xml:space="preserve"> </v>
      </c>
      <c r="AT262" s="35">
        <f>VLOOKUP(Tabla44[[#This Row],[SERVICIO 2025]],$J$2:$V$15,10,0)*Tabla44[[#This Row],[TOTAL COBERTURA]]*$X$7</f>
        <v>19585384</v>
      </c>
      <c r="AU262" s="39">
        <f>Tabla44[[#This Row],[TOTAL CONTRATO (ICBF+EAS)]]+Tabla44[[#This Row],[VALOR COMPONENTE ALIMENTACION NO ASIGNADO]]</f>
        <v>39336349</v>
      </c>
      <c r="AV26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5387265</v>
      </c>
      <c r="AW262" s="35">
        <f>(VLOOKUP(Tabla44[[#This Row],[SERVICIO 2025]],$J$2:$V$15,3,0)*Tabla44[[#This Row],[TOTAL COBERTURA]])+VLOOKUP(Tabla44[[#This Row],[SERVICIO 2025]],$J$2:$V$15,10,0)*Tabla44[[#This Row],[TOTAL COBERTURA]]</f>
        <v>4779593</v>
      </c>
      <c r="AX262" s="35">
        <f>(VLOOKUP(Tabla44[[#This Row],[SERVICIO 2025]],$J$2:$V$15,3,0)*Tabla44[[#This Row],[TOTAL COBERTURA]])+VLOOKUP(Tabla44[[#This Row],[SERVICIO 2025]],$J$2:$V$15,10,0)*Tabla44[[#This Row],[TOTAL COBERTURA]]</f>
        <v>4779593</v>
      </c>
      <c r="AY262" s="35">
        <f>(VLOOKUP(Tabla44[[#This Row],[SERVICIO 2025]],$J$2:$V$15,3,0)*Tabla44[[#This Row],[TOTAL COBERTURA]])+VLOOKUP(Tabla44[[#This Row],[SERVICIO 2025]],$J$2:$V$15,10,0)*Tabla44[[#This Row],[TOTAL COBERTURA]]</f>
        <v>4779593</v>
      </c>
      <c r="AZ262" s="35">
        <f>(VLOOKUP(Tabla44[[#This Row],[SERVICIO 2025]],$J$2:$V$15,3,0)*Tabla44[[#This Row],[TOTAL COBERTURA]])+VLOOKUP(Tabla44[[#This Row],[SERVICIO 2025]],$J$2:$V$15,10,0)*Tabla44[[#This Row],[TOTAL COBERTURA]]</f>
        <v>4779593</v>
      </c>
      <c r="BA262" s="35">
        <f>(VLOOKUP(Tabla44[[#This Row],[SERVICIO 2025]],$J$2:$V$15,3,0)*Tabla44[[#This Row],[TOTAL COBERTURA]])+VLOOKUP(Tabla44[[#This Row],[SERVICIO 2025]],$J$2:$V$15,10,0)*Tabla44[[#This Row],[TOTAL COBERTURA]]</f>
        <v>4779593</v>
      </c>
      <c r="BB262" s="35">
        <f>(VLOOKUP(Tabla44[[#This Row],[SERVICIO 2025]],$J$2:$V$15,3,0)*Tabla44[[#This Row],[TOTAL COBERTURA]])+VLOOKUP(Tabla44[[#This Row],[SERVICIO 2025]],$J$2:$V$15,10,0)*Tabla44[[#This Row],[TOTAL COBERTURA]]</f>
        <v>4779593</v>
      </c>
      <c r="BC26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5271526</v>
      </c>
      <c r="BD262" s="35">
        <f>SUM(Tabla44[[#This Row],[DESEMBOLSO 1]:[DESEMBOLSO 8]])</f>
        <v>39336349</v>
      </c>
      <c r="BE262" s="12" t="b">
        <f>EXACT(Tabla44[[#This Row],[VALOR ATENCIÓN (8 MESES)]],Tabla44[[#This Row],[VALOR TOTAL]])</f>
        <v>1</v>
      </c>
      <c r="BF262" s="23">
        <f>Tabla44[[#This Row],[VALOR ATENCIÓN (8 MESES)]]-Tabla44[[#This Row],[VALOR TOTAL]]</f>
        <v>0</v>
      </c>
      <c r="BG262" s="12" t="b">
        <f>EXACT(Tabla44[[#This Row],[TOTAL DESEMBOLSOS]],Tabla44[[#This Row],[VALOR TOTAL DEL CONTRATO INCLUIDO EL COMPONENTE DE ALIMENTACIÓN]])</f>
        <v>1</v>
      </c>
      <c r="BH262" s="29">
        <f>Tabla44[[#This Row],[TOTAL DESEMBOLSOS]]-Tabla44[[#This Row],[VALOR TOTAL DEL CONTRATO INCLUIDO EL COMPONENTE DE ALIMENTACIÓN]]</f>
        <v>0</v>
      </c>
      <c r="BI262" t="s">
        <v>98</v>
      </c>
    </row>
    <row r="263" spans="1:61">
      <c r="A263" s="13">
        <v>1993</v>
      </c>
      <c r="B263" s="13"/>
      <c r="C263" s="12" t="s">
        <v>87</v>
      </c>
      <c r="D263" s="12" t="s">
        <v>1628</v>
      </c>
      <c r="E263" s="12" t="s">
        <v>3318</v>
      </c>
      <c r="F263" s="12" t="s">
        <v>21</v>
      </c>
      <c r="G263" s="12" t="s">
        <v>90</v>
      </c>
      <c r="H263" s="12" t="s">
        <v>787</v>
      </c>
      <c r="I263" s="36">
        <v>56861118046</v>
      </c>
      <c r="J263" s="12" t="s">
        <v>3323</v>
      </c>
      <c r="K263" s="12">
        <v>1</v>
      </c>
      <c r="L263" s="12">
        <v>14</v>
      </c>
      <c r="M263" s="12"/>
      <c r="N263" s="13">
        <v>1993</v>
      </c>
      <c r="O263" s="12" t="s">
        <v>2850</v>
      </c>
      <c r="P263" s="12"/>
      <c r="Q263" s="12"/>
      <c r="R263" s="12" t="s">
        <v>94</v>
      </c>
      <c r="S263" s="12">
        <v>10</v>
      </c>
      <c r="T263" s="12">
        <v>818001449</v>
      </c>
      <c r="U263" s="12" t="s">
        <v>3247</v>
      </c>
      <c r="V263" s="12">
        <f>VLOOKUP(Tabla44[[#This Row],[ZONA DEFINITIVO]],[1]Hoja1!$A$1:$D$125,3,0)</f>
        <v>229940</v>
      </c>
      <c r="W263" s="12">
        <f>VLOOKUP(Tabla44[[#This Row],[ZONA DEFINITIVO]],[1]Hoja1!$A$1:$D$125,2,0)</f>
        <v>17259</v>
      </c>
      <c r="X263" s="12">
        <f>VLOOKUP(Tabla44[[#This Row],[ZONA DEFINITIVO]],[1]Hoja1!$A$1:$D$125,4,0)</f>
        <v>104625</v>
      </c>
      <c r="Y263" s="12" t="str">
        <f>+IF(Tabla44[[#This Row],[AGRUPACIONES]]=1,SUMIFS(Tabla44[UDS],Tabla44[ZONA DEFINITIVO],Tabla44[[#This Row],[ZONA DEFINITIVO]])," ")</f>
        <v xml:space="preserve"> </v>
      </c>
      <c r="Z263" s="12" t="str">
        <f>+IF(Tabla44[[#This Row],[AGRUPACIONES]]=1,SUMIFS(Tabla44[TOTAL COBERTURA],Tabla44[ZONA DEFINITIVO],Tabla44[[#This Row],[ZONA DEFINITIVO]])," ")</f>
        <v xml:space="preserve"> </v>
      </c>
      <c r="AA263" s="12"/>
      <c r="AB263" s="35">
        <v>21270270</v>
      </c>
      <c r="AC263" s="37">
        <v>0</v>
      </c>
      <c r="AD263" s="35">
        <f t="shared" si="4"/>
        <v>0</v>
      </c>
      <c r="AE263" s="12"/>
      <c r="AF263" s="12">
        <f>COUNTIF($A$20:A263,A263)</f>
        <v>42</v>
      </c>
      <c r="AG263" s="38">
        <v>21270270</v>
      </c>
      <c r="AH263" s="38">
        <f>Tabla44[[#This Row],[VALOR CONTRAPARTIDA]]+Tabla44[[#This Row],[TOTAL APORTES ICBF]]</f>
        <v>21270270</v>
      </c>
      <c r="AI263" s="35" t="str">
        <f>+IF(Tabla44[[#This Row],[AGRUPACIONES]]=1,SUMIFS(Tabla44[TOTAL APORTES ICBF],Tabla44[ZONA DEFINITIVO],Tabla44[[#This Row],[ZONA DEFINITIVO]])," ")</f>
        <v xml:space="preserve"> </v>
      </c>
      <c r="AJ263" s="38"/>
      <c r="AK263" s="38"/>
      <c r="AL263" s="35"/>
      <c r="AM263" s="35">
        <f>VLOOKUP(Tabla44[[#This Row],[SERVICIO 2025]],$J$2:$V$15,5,0)*Tabla44[[#This Row],[TOTAL COBERTURA]]</f>
        <v>654416</v>
      </c>
      <c r="AN263" s="35">
        <f>VLOOKUP(Tabla44[[#This Row],[SERVICIO 2025]],$J$2:$V$15,6,0)*Tabla44[[#This Row],[TOTAL COBERTURA]]</f>
        <v>529774</v>
      </c>
      <c r="AO263" s="35">
        <f>VLOOKUP(Tabla44[[#This Row],[SERVICIO 2025]],$J$2:$V$15,8,0)*Tabla44[[#This Row],[TOTAL COBERTURA]]</f>
        <v>0</v>
      </c>
      <c r="AP263" s="35">
        <f>VLOOKUP(Tabla44[[#This Row],[SERVICIO 2025]],$J$2:$V$15,3,0)*Tabla44[[#This Row],[TOTAL COBERTURA]]*8</f>
        <v>20086080</v>
      </c>
      <c r="AQ263" s="35"/>
      <c r="AR263" s="35">
        <f>SUM(Tabla44[[#This Row],[VALOR FASE PREPARATORIA DE ALISTAMIENTO]:[VALOR RACION PREPARADA]])</f>
        <v>21270270</v>
      </c>
      <c r="AS263" s="35" t="str">
        <f>+IF(Tabla44[[#This Row],[AGRUPACIONES]]=1,SUMIFS(Tabla44[VALOR TOTAL],Tabla44[ZONA DEFINITIVO],Tabla44[[#This Row],[ZONA DEFINITIVO]])," ")</f>
        <v xml:space="preserve"> </v>
      </c>
      <c r="AT263" s="35">
        <f>VLOOKUP(Tabla44[[#This Row],[SERVICIO 2025]],$J$2:$V$15,10,0)*Tabla44[[#This Row],[TOTAL COBERTURA]]*$X$7</f>
        <v>21091952</v>
      </c>
      <c r="AU263" s="39">
        <f>Tabla44[[#This Row],[TOTAL CONTRATO (ICBF+EAS)]]+Tabla44[[#This Row],[VALOR COMPONENTE ALIMENTACION NO ASIGNADO]]</f>
        <v>42362222</v>
      </c>
      <c r="AV26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5801670</v>
      </c>
      <c r="AW263" s="35">
        <f>(VLOOKUP(Tabla44[[#This Row],[SERVICIO 2025]],$J$2:$V$15,3,0)*Tabla44[[#This Row],[TOTAL COBERTURA]])+VLOOKUP(Tabla44[[#This Row],[SERVICIO 2025]],$J$2:$V$15,10,0)*Tabla44[[#This Row],[TOTAL COBERTURA]]</f>
        <v>5147254</v>
      </c>
      <c r="AX263" s="35">
        <f>(VLOOKUP(Tabla44[[#This Row],[SERVICIO 2025]],$J$2:$V$15,3,0)*Tabla44[[#This Row],[TOTAL COBERTURA]])+VLOOKUP(Tabla44[[#This Row],[SERVICIO 2025]],$J$2:$V$15,10,0)*Tabla44[[#This Row],[TOTAL COBERTURA]]</f>
        <v>5147254</v>
      </c>
      <c r="AY263" s="35">
        <f>(VLOOKUP(Tabla44[[#This Row],[SERVICIO 2025]],$J$2:$V$15,3,0)*Tabla44[[#This Row],[TOTAL COBERTURA]])+VLOOKUP(Tabla44[[#This Row],[SERVICIO 2025]],$J$2:$V$15,10,0)*Tabla44[[#This Row],[TOTAL COBERTURA]]</f>
        <v>5147254</v>
      </c>
      <c r="AZ263" s="35">
        <f>(VLOOKUP(Tabla44[[#This Row],[SERVICIO 2025]],$J$2:$V$15,3,0)*Tabla44[[#This Row],[TOTAL COBERTURA]])+VLOOKUP(Tabla44[[#This Row],[SERVICIO 2025]],$J$2:$V$15,10,0)*Tabla44[[#This Row],[TOTAL COBERTURA]]</f>
        <v>5147254</v>
      </c>
      <c r="BA263" s="35">
        <f>(VLOOKUP(Tabla44[[#This Row],[SERVICIO 2025]],$J$2:$V$15,3,0)*Tabla44[[#This Row],[TOTAL COBERTURA]])+VLOOKUP(Tabla44[[#This Row],[SERVICIO 2025]],$J$2:$V$15,10,0)*Tabla44[[#This Row],[TOTAL COBERTURA]]</f>
        <v>5147254</v>
      </c>
      <c r="BB263" s="35">
        <f>(VLOOKUP(Tabla44[[#This Row],[SERVICIO 2025]],$J$2:$V$15,3,0)*Tabla44[[#This Row],[TOTAL COBERTURA]])+VLOOKUP(Tabla44[[#This Row],[SERVICIO 2025]],$J$2:$V$15,10,0)*Tabla44[[#This Row],[TOTAL COBERTURA]]</f>
        <v>5147254</v>
      </c>
      <c r="BC26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5677028</v>
      </c>
      <c r="BD263" s="35">
        <f>SUM(Tabla44[[#This Row],[DESEMBOLSO 1]:[DESEMBOLSO 8]])</f>
        <v>42362222</v>
      </c>
      <c r="BE263" s="12" t="b">
        <f>EXACT(Tabla44[[#This Row],[VALOR ATENCIÓN (8 MESES)]],Tabla44[[#This Row],[VALOR TOTAL]])</f>
        <v>1</v>
      </c>
      <c r="BF263" s="23">
        <f>Tabla44[[#This Row],[VALOR ATENCIÓN (8 MESES)]]-Tabla44[[#This Row],[VALOR TOTAL]]</f>
        <v>0</v>
      </c>
      <c r="BG263" s="12" t="b">
        <f>EXACT(Tabla44[[#This Row],[TOTAL DESEMBOLSOS]],Tabla44[[#This Row],[VALOR TOTAL DEL CONTRATO INCLUIDO EL COMPONENTE DE ALIMENTACIÓN]])</f>
        <v>1</v>
      </c>
      <c r="BH263" s="29">
        <f>Tabla44[[#This Row],[TOTAL DESEMBOLSOS]]-Tabla44[[#This Row],[VALOR TOTAL DEL CONTRATO INCLUIDO EL COMPONENTE DE ALIMENTACIÓN]]</f>
        <v>0</v>
      </c>
      <c r="BI263" t="s">
        <v>98</v>
      </c>
    </row>
    <row r="264" spans="1:61">
      <c r="A264" s="13">
        <v>1993</v>
      </c>
      <c r="B264" s="13"/>
      <c r="C264" s="12" t="s">
        <v>87</v>
      </c>
      <c r="D264" s="12" t="s">
        <v>1628</v>
      </c>
      <c r="E264" s="12" t="s">
        <v>3318</v>
      </c>
      <c r="F264" s="12" t="s">
        <v>21</v>
      </c>
      <c r="G264" s="12" t="s">
        <v>90</v>
      </c>
      <c r="H264" s="12" t="s">
        <v>3324</v>
      </c>
      <c r="I264" s="36">
        <v>56861118047</v>
      </c>
      <c r="J264" s="12" t="s">
        <v>3325</v>
      </c>
      <c r="K264" s="12">
        <v>1</v>
      </c>
      <c r="L264" s="12">
        <v>17</v>
      </c>
      <c r="M264" s="12"/>
      <c r="N264" s="13">
        <v>1993</v>
      </c>
      <c r="O264" s="12" t="s">
        <v>2850</v>
      </c>
      <c r="P264" s="12"/>
      <c r="Q264" s="12"/>
      <c r="R264" s="12" t="s">
        <v>94</v>
      </c>
      <c r="S264" s="12">
        <v>10</v>
      </c>
      <c r="T264" s="12">
        <v>818001449</v>
      </c>
      <c r="U264" s="12" t="s">
        <v>3247</v>
      </c>
      <c r="V264" s="12">
        <f>VLOOKUP(Tabla44[[#This Row],[ZONA DEFINITIVO]],[1]Hoja1!$A$1:$D$125,3,0)</f>
        <v>229940</v>
      </c>
      <c r="W264" s="12">
        <f>VLOOKUP(Tabla44[[#This Row],[ZONA DEFINITIVO]],[1]Hoja1!$A$1:$D$125,2,0)</f>
        <v>17259</v>
      </c>
      <c r="X264" s="12">
        <f>VLOOKUP(Tabla44[[#This Row],[ZONA DEFINITIVO]],[1]Hoja1!$A$1:$D$125,4,0)</f>
        <v>104625</v>
      </c>
      <c r="Y264" s="12" t="str">
        <f>+IF(Tabla44[[#This Row],[AGRUPACIONES]]=1,SUMIFS(Tabla44[UDS],Tabla44[ZONA DEFINITIVO],Tabla44[[#This Row],[ZONA DEFINITIVO]])," ")</f>
        <v xml:space="preserve"> </v>
      </c>
      <c r="Z264" s="12" t="str">
        <f>+IF(Tabla44[[#This Row],[AGRUPACIONES]]=1,SUMIFS(Tabla44[TOTAL COBERTURA],Tabla44[ZONA DEFINITIVO],Tabla44[[#This Row],[ZONA DEFINITIVO]])," ")</f>
        <v xml:space="preserve"> </v>
      </c>
      <c r="AA264" s="12"/>
      <c r="AB264" s="35">
        <v>25828185</v>
      </c>
      <c r="AC264" s="37">
        <v>0</v>
      </c>
      <c r="AD264" s="35">
        <f t="shared" si="4"/>
        <v>0</v>
      </c>
      <c r="AE264" s="12"/>
      <c r="AF264" s="12">
        <f>COUNTIF($A$20:A264,A264)</f>
        <v>43</v>
      </c>
      <c r="AG264" s="38">
        <v>25828185</v>
      </c>
      <c r="AH264" s="38">
        <f>Tabla44[[#This Row],[VALOR CONTRAPARTIDA]]+Tabla44[[#This Row],[TOTAL APORTES ICBF]]</f>
        <v>25828185</v>
      </c>
      <c r="AI264" s="35" t="str">
        <f>+IF(Tabla44[[#This Row],[AGRUPACIONES]]=1,SUMIFS(Tabla44[TOTAL APORTES ICBF],Tabla44[ZONA DEFINITIVO],Tabla44[[#This Row],[ZONA DEFINITIVO]])," ")</f>
        <v xml:space="preserve"> </v>
      </c>
      <c r="AJ264" s="38"/>
      <c r="AK264" s="38"/>
      <c r="AL264" s="35"/>
      <c r="AM264" s="35">
        <f>VLOOKUP(Tabla44[[#This Row],[SERVICIO 2025]],$J$2:$V$15,5,0)*Tabla44[[#This Row],[TOTAL COBERTURA]]</f>
        <v>794648</v>
      </c>
      <c r="AN264" s="35">
        <f>VLOOKUP(Tabla44[[#This Row],[SERVICIO 2025]],$J$2:$V$15,6,0)*Tabla44[[#This Row],[TOTAL COBERTURA]]</f>
        <v>643297</v>
      </c>
      <c r="AO264" s="35">
        <f>VLOOKUP(Tabla44[[#This Row],[SERVICIO 2025]],$J$2:$V$15,8,0)*Tabla44[[#This Row],[TOTAL COBERTURA]]</f>
        <v>0</v>
      </c>
      <c r="AP264" s="35">
        <f>VLOOKUP(Tabla44[[#This Row],[SERVICIO 2025]],$J$2:$V$15,3,0)*Tabla44[[#This Row],[TOTAL COBERTURA]]*8</f>
        <v>24390240</v>
      </c>
      <c r="AQ264" s="35"/>
      <c r="AR264" s="35">
        <f>SUM(Tabla44[[#This Row],[VALOR FASE PREPARATORIA DE ALISTAMIENTO]:[VALOR RACION PREPARADA]])</f>
        <v>25828185</v>
      </c>
      <c r="AS264" s="35" t="str">
        <f>+IF(Tabla44[[#This Row],[AGRUPACIONES]]=1,SUMIFS(Tabla44[VALOR TOTAL],Tabla44[ZONA DEFINITIVO],Tabla44[[#This Row],[ZONA DEFINITIVO]])," ")</f>
        <v xml:space="preserve"> </v>
      </c>
      <c r="AT264" s="35">
        <f>VLOOKUP(Tabla44[[#This Row],[SERVICIO 2025]],$J$2:$V$15,10,0)*Tabla44[[#This Row],[TOTAL COBERTURA]]*$X$7</f>
        <v>25611656</v>
      </c>
      <c r="AU264" s="39">
        <f>Tabla44[[#This Row],[TOTAL CONTRATO (ICBF+EAS)]]+Tabla44[[#This Row],[VALOR COMPONENTE ALIMENTACION NO ASIGNADO]]</f>
        <v>51439841</v>
      </c>
      <c r="AV26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7044885</v>
      </c>
      <c r="AW264" s="35">
        <f>(VLOOKUP(Tabla44[[#This Row],[SERVICIO 2025]],$J$2:$V$15,3,0)*Tabla44[[#This Row],[TOTAL COBERTURA]])+VLOOKUP(Tabla44[[#This Row],[SERVICIO 2025]],$J$2:$V$15,10,0)*Tabla44[[#This Row],[TOTAL COBERTURA]]</f>
        <v>6250237</v>
      </c>
      <c r="AX264" s="35">
        <f>(VLOOKUP(Tabla44[[#This Row],[SERVICIO 2025]],$J$2:$V$15,3,0)*Tabla44[[#This Row],[TOTAL COBERTURA]])+VLOOKUP(Tabla44[[#This Row],[SERVICIO 2025]],$J$2:$V$15,10,0)*Tabla44[[#This Row],[TOTAL COBERTURA]]</f>
        <v>6250237</v>
      </c>
      <c r="AY264" s="35">
        <f>(VLOOKUP(Tabla44[[#This Row],[SERVICIO 2025]],$J$2:$V$15,3,0)*Tabla44[[#This Row],[TOTAL COBERTURA]])+VLOOKUP(Tabla44[[#This Row],[SERVICIO 2025]],$J$2:$V$15,10,0)*Tabla44[[#This Row],[TOTAL COBERTURA]]</f>
        <v>6250237</v>
      </c>
      <c r="AZ264" s="35">
        <f>(VLOOKUP(Tabla44[[#This Row],[SERVICIO 2025]],$J$2:$V$15,3,0)*Tabla44[[#This Row],[TOTAL COBERTURA]])+VLOOKUP(Tabla44[[#This Row],[SERVICIO 2025]],$J$2:$V$15,10,0)*Tabla44[[#This Row],[TOTAL COBERTURA]]</f>
        <v>6250237</v>
      </c>
      <c r="BA264" s="35">
        <f>(VLOOKUP(Tabla44[[#This Row],[SERVICIO 2025]],$J$2:$V$15,3,0)*Tabla44[[#This Row],[TOTAL COBERTURA]])+VLOOKUP(Tabla44[[#This Row],[SERVICIO 2025]],$J$2:$V$15,10,0)*Tabla44[[#This Row],[TOTAL COBERTURA]]</f>
        <v>6250237</v>
      </c>
      <c r="BB264" s="35">
        <f>(VLOOKUP(Tabla44[[#This Row],[SERVICIO 2025]],$J$2:$V$15,3,0)*Tabla44[[#This Row],[TOTAL COBERTURA]])+VLOOKUP(Tabla44[[#This Row],[SERVICIO 2025]],$J$2:$V$15,10,0)*Tabla44[[#This Row],[TOTAL COBERTURA]]</f>
        <v>6250237</v>
      </c>
      <c r="BC26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6893534</v>
      </c>
      <c r="BD264" s="35">
        <f>SUM(Tabla44[[#This Row],[DESEMBOLSO 1]:[DESEMBOLSO 8]])</f>
        <v>51439841</v>
      </c>
      <c r="BE264" s="12" t="b">
        <f>EXACT(Tabla44[[#This Row],[VALOR ATENCIÓN (8 MESES)]],Tabla44[[#This Row],[VALOR TOTAL]])</f>
        <v>1</v>
      </c>
      <c r="BF264" s="23">
        <f>Tabla44[[#This Row],[VALOR ATENCIÓN (8 MESES)]]-Tabla44[[#This Row],[VALOR TOTAL]]</f>
        <v>0</v>
      </c>
      <c r="BG264" s="12" t="b">
        <f>EXACT(Tabla44[[#This Row],[TOTAL DESEMBOLSOS]],Tabla44[[#This Row],[VALOR TOTAL DEL CONTRATO INCLUIDO EL COMPONENTE DE ALIMENTACIÓN]])</f>
        <v>1</v>
      </c>
      <c r="BH264" s="29">
        <f>Tabla44[[#This Row],[TOTAL DESEMBOLSOS]]-Tabla44[[#This Row],[VALOR TOTAL DEL CONTRATO INCLUIDO EL COMPONENTE DE ALIMENTACIÓN]]</f>
        <v>0</v>
      </c>
      <c r="BI264" t="s">
        <v>98</v>
      </c>
    </row>
    <row r="265" spans="1:61">
      <c r="A265" s="13">
        <v>1993</v>
      </c>
      <c r="B265" s="13"/>
      <c r="C265" s="12" t="s">
        <v>87</v>
      </c>
      <c r="D265" s="12" t="s">
        <v>1628</v>
      </c>
      <c r="E265" s="12" t="s">
        <v>3318</v>
      </c>
      <c r="F265" s="12" t="s">
        <v>21</v>
      </c>
      <c r="G265" s="12" t="s">
        <v>90</v>
      </c>
      <c r="H265" s="12" t="s">
        <v>3326</v>
      </c>
      <c r="I265" s="36">
        <v>56861118048</v>
      </c>
      <c r="J265" s="12" t="s">
        <v>3327</v>
      </c>
      <c r="K265" s="12">
        <v>1</v>
      </c>
      <c r="L265" s="12">
        <v>11</v>
      </c>
      <c r="M265" s="12"/>
      <c r="N265" s="13">
        <v>1993</v>
      </c>
      <c r="O265" s="12" t="s">
        <v>2850</v>
      </c>
      <c r="P265" s="12"/>
      <c r="Q265" s="12"/>
      <c r="R265" s="12" t="s">
        <v>94</v>
      </c>
      <c r="S265" s="12">
        <v>10</v>
      </c>
      <c r="T265" s="12">
        <v>818001449</v>
      </c>
      <c r="U265" s="12" t="s">
        <v>3247</v>
      </c>
      <c r="V265" s="12">
        <f>VLOOKUP(Tabla44[[#This Row],[ZONA DEFINITIVO]],[1]Hoja1!$A$1:$D$125,3,0)</f>
        <v>229940</v>
      </c>
      <c r="W265" s="12">
        <f>VLOOKUP(Tabla44[[#This Row],[ZONA DEFINITIVO]],[1]Hoja1!$A$1:$D$125,2,0)</f>
        <v>17259</v>
      </c>
      <c r="X265" s="12">
        <f>VLOOKUP(Tabla44[[#This Row],[ZONA DEFINITIVO]],[1]Hoja1!$A$1:$D$125,4,0)</f>
        <v>104625</v>
      </c>
      <c r="Y265" s="12" t="str">
        <f>+IF(Tabla44[[#This Row],[AGRUPACIONES]]=1,SUMIFS(Tabla44[UDS],Tabla44[ZONA DEFINITIVO],Tabla44[[#This Row],[ZONA DEFINITIVO]])," ")</f>
        <v xml:space="preserve"> </v>
      </c>
      <c r="Z265" s="12" t="str">
        <f>+IF(Tabla44[[#This Row],[AGRUPACIONES]]=1,SUMIFS(Tabla44[TOTAL COBERTURA],Tabla44[ZONA DEFINITIVO],Tabla44[[#This Row],[ZONA DEFINITIVO]])," ")</f>
        <v xml:space="preserve"> </v>
      </c>
      <c r="AA265" s="12"/>
      <c r="AB265" s="35">
        <v>16712355</v>
      </c>
      <c r="AC265" s="37">
        <v>0</v>
      </c>
      <c r="AD265" s="35">
        <f t="shared" si="4"/>
        <v>0</v>
      </c>
      <c r="AE265" s="12"/>
      <c r="AF265" s="12">
        <f>COUNTIF($A$20:A265,A265)</f>
        <v>44</v>
      </c>
      <c r="AG265" s="38">
        <v>16712355</v>
      </c>
      <c r="AH265" s="38">
        <f>Tabla44[[#This Row],[VALOR CONTRAPARTIDA]]+Tabla44[[#This Row],[TOTAL APORTES ICBF]]</f>
        <v>16712355</v>
      </c>
      <c r="AI265" s="35" t="str">
        <f>+IF(Tabla44[[#This Row],[AGRUPACIONES]]=1,SUMIFS(Tabla44[TOTAL APORTES ICBF],Tabla44[ZONA DEFINITIVO],Tabla44[[#This Row],[ZONA DEFINITIVO]])," ")</f>
        <v xml:space="preserve"> </v>
      </c>
      <c r="AJ265" s="38"/>
      <c r="AK265" s="38"/>
      <c r="AL265" s="35"/>
      <c r="AM265" s="35">
        <f>VLOOKUP(Tabla44[[#This Row],[SERVICIO 2025]],$J$2:$V$15,5,0)*Tabla44[[#This Row],[TOTAL COBERTURA]]</f>
        <v>514184</v>
      </c>
      <c r="AN265" s="35">
        <f>VLOOKUP(Tabla44[[#This Row],[SERVICIO 2025]],$J$2:$V$15,6,0)*Tabla44[[#This Row],[TOTAL COBERTURA]]</f>
        <v>416251</v>
      </c>
      <c r="AO265" s="35">
        <f>VLOOKUP(Tabla44[[#This Row],[SERVICIO 2025]],$J$2:$V$15,8,0)*Tabla44[[#This Row],[TOTAL COBERTURA]]</f>
        <v>0</v>
      </c>
      <c r="AP265" s="35">
        <f>VLOOKUP(Tabla44[[#This Row],[SERVICIO 2025]],$J$2:$V$15,3,0)*Tabla44[[#This Row],[TOTAL COBERTURA]]*8</f>
        <v>15781920</v>
      </c>
      <c r="AQ265" s="35"/>
      <c r="AR265" s="35">
        <f>SUM(Tabla44[[#This Row],[VALOR FASE PREPARATORIA DE ALISTAMIENTO]:[VALOR RACION PREPARADA]])</f>
        <v>16712355</v>
      </c>
      <c r="AS265" s="35" t="str">
        <f>+IF(Tabla44[[#This Row],[AGRUPACIONES]]=1,SUMIFS(Tabla44[VALOR TOTAL],Tabla44[ZONA DEFINITIVO],Tabla44[[#This Row],[ZONA DEFINITIVO]])," ")</f>
        <v xml:space="preserve"> </v>
      </c>
      <c r="AT265" s="35">
        <f>VLOOKUP(Tabla44[[#This Row],[SERVICIO 2025]],$J$2:$V$15,10,0)*Tabla44[[#This Row],[TOTAL COBERTURA]]*$X$7</f>
        <v>16572248</v>
      </c>
      <c r="AU265" s="39">
        <f>Tabla44[[#This Row],[TOTAL CONTRATO (ICBF+EAS)]]+Tabla44[[#This Row],[VALOR COMPONENTE ALIMENTACION NO ASIGNADO]]</f>
        <v>33284603</v>
      </c>
      <c r="AV26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265" s="35">
        <f>(VLOOKUP(Tabla44[[#This Row],[SERVICIO 2025]],$J$2:$V$15,3,0)*Tabla44[[#This Row],[TOTAL COBERTURA]])+VLOOKUP(Tabla44[[#This Row],[SERVICIO 2025]],$J$2:$V$15,10,0)*Tabla44[[#This Row],[TOTAL COBERTURA]]</f>
        <v>4044271</v>
      </c>
      <c r="AX265" s="35">
        <f>(VLOOKUP(Tabla44[[#This Row],[SERVICIO 2025]],$J$2:$V$15,3,0)*Tabla44[[#This Row],[TOTAL COBERTURA]])+VLOOKUP(Tabla44[[#This Row],[SERVICIO 2025]],$J$2:$V$15,10,0)*Tabla44[[#This Row],[TOTAL COBERTURA]]</f>
        <v>4044271</v>
      </c>
      <c r="AY265" s="35">
        <f>(VLOOKUP(Tabla44[[#This Row],[SERVICIO 2025]],$J$2:$V$15,3,0)*Tabla44[[#This Row],[TOTAL COBERTURA]])+VLOOKUP(Tabla44[[#This Row],[SERVICIO 2025]],$J$2:$V$15,10,0)*Tabla44[[#This Row],[TOTAL COBERTURA]]</f>
        <v>4044271</v>
      </c>
      <c r="AZ265" s="35">
        <f>(VLOOKUP(Tabla44[[#This Row],[SERVICIO 2025]],$J$2:$V$15,3,0)*Tabla44[[#This Row],[TOTAL COBERTURA]])+VLOOKUP(Tabla44[[#This Row],[SERVICIO 2025]],$J$2:$V$15,10,0)*Tabla44[[#This Row],[TOTAL COBERTURA]]</f>
        <v>4044271</v>
      </c>
      <c r="BA265" s="35">
        <f>(VLOOKUP(Tabla44[[#This Row],[SERVICIO 2025]],$J$2:$V$15,3,0)*Tabla44[[#This Row],[TOTAL COBERTURA]])+VLOOKUP(Tabla44[[#This Row],[SERVICIO 2025]],$J$2:$V$15,10,0)*Tabla44[[#This Row],[TOTAL COBERTURA]]</f>
        <v>4044271</v>
      </c>
      <c r="BB265" s="35">
        <f>(VLOOKUP(Tabla44[[#This Row],[SERVICIO 2025]],$J$2:$V$15,3,0)*Tabla44[[#This Row],[TOTAL COBERTURA]])+VLOOKUP(Tabla44[[#This Row],[SERVICIO 2025]],$J$2:$V$15,10,0)*Tabla44[[#This Row],[TOTAL COBERTURA]]</f>
        <v>4044271</v>
      </c>
      <c r="BC26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265" s="35">
        <f>SUM(Tabla44[[#This Row],[DESEMBOLSO 1]:[DESEMBOLSO 8]])</f>
        <v>33284603</v>
      </c>
      <c r="BE265" s="12" t="b">
        <f>EXACT(Tabla44[[#This Row],[VALOR ATENCIÓN (8 MESES)]],Tabla44[[#This Row],[VALOR TOTAL]])</f>
        <v>1</v>
      </c>
      <c r="BF265" s="23">
        <f>Tabla44[[#This Row],[VALOR ATENCIÓN (8 MESES)]]-Tabla44[[#This Row],[VALOR TOTAL]]</f>
        <v>0</v>
      </c>
      <c r="BG265" s="12" t="b">
        <f>EXACT(Tabla44[[#This Row],[TOTAL DESEMBOLSOS]],Tabla44[[#This Row],[VALOR TOTAL DEL CONTRATO INCLUIDO EL COMPONENTE DE ALIMENTACIÓN]])</f>
        <v>1</v>
      </c>
      <c r="BH265" s="29">
        <f>Tabla44[[#This Row],[TOTAL DESEMBOLSOS]]-Tabla44[[#This Row],[VALOR TOTAL DEL CONTRATO INCLUIDO EL COMPONENTE DE ALIMENTACIÓN]]</f>
        <v>0</v>
      </c>
      <c r="BI265" t="s">
        <v>98</v>
      </c>
    </row>
    <row r="266" spans="1:61">
      <c r="A266" s="13">
        <v>1993</v>
      </c>
      <c r="B266" s="13"/>
      <c r="C266" s="12" t="s">
        <v>87</v>
      </c>
      <c r="D266" s="12" t="s">
        <v>1628</v>
      </c>
      <c r="E266" s="12" t="s">
        <v>3318</v>
      </c>
      <c r="F266" s="12" t="s">
        <v>21</v>
      </c>
      <c r="G266" s="12" t="s">
        <v>90</v>
      </c>
      <c r="H266" s="12" t="s">
        <v>3328</v>
      </c>
      <c r="I266" s="36">
        <v>56861118049</v>
      </c>
      <c r="J266" s="12" t="s">
        <v>3329</v>
      </c>
      <c r="K266" s="12">
        <v>1</v>
      </c>
      <c r="L266" s="12">
        <v>18</v>
      </c>
      <c r="M266" s="12"/>
      <c r="N266" s="13">
        <v>1993</v>
      </c>
      <c r="O266" s="12" t="s">
        <v>2850</v>
      </c>
      <c r="P266" s="12"/>
      <c r="Q266" s="12"/>
      <c r="R266" s="12" t="s">
        <v>94</v>
      </c>
      <c r="S266" s="12">
        <v>10</v>
      </c>
      <c r="T266" s="12">
        <v>818001449</v>
      </c>
      <c r="U266" s="12" t="s">
        <v>3247</v>
      </c>
      <c r="V266" s="12">
        <f>VLOOKUP(Tabla44[[#This Row],[ZONA DEFINITIVO]],[1]Hoja1!$A$1:$D$125,3,0)</f>
        <v>229940</v>
      </c>
      <c r="W266" s="12">
        <f>VLOOKUP(Tabla44[[#This Row],[ZONA DEFINITIVO]],[1]Hoja1!$A$1:$D$125,2,0)</f>
        <v>17259</v>
      </c>
      <c r="X266" s="12">
        <f>VLOOKUP(Tabla44[[#This Row],[ZONA DEFINITIVO]],[1]Hoja1!$A$1:$D$125,4,0)</f>
        <v>104625</v>
      </c>
      <c r="Y266" s="12" t="str">
        <f>+IF(Tabla44[[#This Row],[AGRUPACIONES]]=1,SUMIFS(Tabla44[UDS],Tabla44[ZONA DEFINITIVO],Tabla44[[#This Row],[ZONA DEFINITIVO]])," ")</f>
        <v xml:space="preserve"> </v>
      </c>
      <c r="Z266" s="12" t="str">
        <f>+IF(Tabla44[[#This Row],[AGRUPACIONES]]=1,SUMIFS(Tabla44[TOTAL COBERTURA],Tabla44[ZONA DEFINITIVO],Tabla44[[#This Row],[ZONA DEFINITIVO]])," ")</f>
        <v xml:space="preserve"> </v>
      </c>
      <c r="AA266" s="12"/>
      <c r="AB266" s="35">
        <v>27347490</v>
      </c>
      <c r="AC266" s="37">
        <v>0</v>
      </c>
      <c r="AD266" s="35">
        <f t="shared" si="4"/>
        <v>0</v>
      </c>
      <c r="AE266" s="12"/>
      <c r="AF266" s="12">
        <f>COUNTIF($A$20:A266,A266)</f>
        <v>45</v>
      </c>
      <c r="AG266" s="38">
        <v>27347490</v>
      </c>
      <c r="AH266" s="38">
        <f>Tabla44[[#This Row],[VALOR CONTRAPARTIDA]]+Tabla44[[#This Row],[TOTAL APORTES ICBF]]</f>
        <v>27347490</v>
      </c>
      <c r="AI266" s="35" t="str">
        <f>+IF(Tabla44[[#This Row],[AGRUPACIONES]]=1,SUMIFS(Tabla44[TOTAL APORTES ICBF],Tabla44[ZONA DEFINITIVO],Tabla44[[#This Row],[ZONA DEFINITIVO]])," ")</f>
        <v xml:space="preserve"> </v>
      </c>
      <c r="AJ266" s="38"/>
      <c r="AK266" s="38"/>
      <c r="AL266" s="35"/>
      <c r="AM266" s="35">
        <f>VLOOKUP(Tabla44[[#This Row],[SERVICIO 2025]],$J$2:$V$15,5,0)*Tabla44[[#This Row],[TOTAL COBERTURA]]</f>
        <v>841392</v>
      </c>
      <c r="AN266" s="35">
        <f>VLOOKUP(Tabla44[[#This Row],[SERVICIO 2025]],$J$2:$V$15,6,0)*Tabla44[[#This Row],[TOTAL COBERTURA]]</f>
        <v>681138</v>
      </c>
      <c r="AO266" s="35">
        <f>VLOOKUP(Tabla44[[#This Row],[SERVICIO 2025]],$J$2:$V$15,8,0)*Tabla44[[#This Row],[TOTAL COBERTURA]]</f>
        <v>0</v>
      </c>
      <c r="AP266" s="35">
        <f>VLOOKUP(Tabla44[[#This Row],[SERVICIO 2025]],$J$2:$V$15,3,0)*Tabla44[[#This Row],[TOTAL COBERTURA]]*8</f>
        <v>25824960</v>
      </c>
      <c r="AQ266" s="35"/>
      <c r="AR266" s="35">
        <f>SUM(Tabla44[[#This Row],[VALOR FASE PREPARATORIA DE ALISTAMIENTO]:[VALOR RACION PREPARADA]])</f>
        <v>27347490</v>
      </c>
      <c r="AS266" s="35" t="str">
        <f>+IF(Tabla44[[#This Row],[AGRUPACIONES]]=1,SUMIFS(Tabla44[VALOR TOTAL],Tabla44[ZONA DEFINITIVO],Tabla44[[#This Row],[ZONA DEFINITIVO]])," ")</f>
        <v xml:space="preserve"> </v>
      </c>
      <c r="AT266" s="35">
        <f>VLOOKUP(Tabla44[[#This Row],[SERVICIO 2025]],$J$2:$V$15,10,0)*Tabla44[[#This Row],[TOTAL COBERTURA]]*$X$7</f>
        <v>27118224</v>
      </c>
      <c r="AU266" s="39">
        <f>Tabla44[[#This Row],[TOTAL CONTRATO (ICBF+EAS)]]+Tabla44[[#This Row],[VALOR COMPONENTE ALIMENTACION NO ASIGNADO]]</f>
        <v>54465714</v>
      </c>
      <c r="AV26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7459290</v>
      </c>
      <c r="AW266" s="35">
        <f>(VLOOKUP(Tabla44[[#This Row],[SERVICIO 2025]],$J$2:$V$15,3,0)*Tabla44[[#This Row],[TOTAL COBERTURA]])+VLOOKUP(Tabla44[[#This Row],[SERVICIO 2025]],$J$2:$V$15,10,0)*Tabla44[[#This Row],[TOTAL COBERTURA]]</f>
        <v>6617898</v>
      </c>
      <c r="AX266" s="35">
        <f>(VLOOKUP(Tabla44[[#This Row],[SERVICIO 2025]],$J$2:$V$15,3,0)*Tabla44[[#This Row],[TOTAL COBERTURA]])+VLOOKUP(Tabla44[[#This Row],[SERVICIO 2025]],$J$2:$V$15,10,0)*Tabla44[[#This Row],[TOTAL COBERTURA]]</f>
        <v>6617898</v>
      </c>
      <c r="AY266" s="35">
        <f>(VLOOKUP(Tabla44[[#This Row],[SERVICIO 2025]],$J$2:$V$15,3,0)*Tabla44[[#This Row],[TOTAL COBERTURA]])+VLOOKUP(Tabla44[[#This Row],[SERVICIO 2025]],$J$2:$V$15,10,0)*Tabla44[[#This Row],[TOTAL COBERTURA]]</f>
        <v>6617898</v>
      </c>
      <c r="AZ266" s="35">
        <f>(VLOOKUP(Tabla44[[#This Row],[SERVICIO 2025]],$J$2:$V$15,3,0)*Tabla44[[#This Row],[TOTAL COBERTURA]])+VLOOKUP(Tabla44[[#This Row],[SERVICIO 2025]],$J$2:$V$15,10,0)*Tabla44[[#This Row],[TOTAL COBERTURA]]</f>
        <v>6617898</v>
      </c>
      <c r="BA266" s="35">
        <f>(VLOOKUP(Tabla44[[#This Row],[SERVICIO 2025]],$J$2:$V$15,3,0)*Tabla44[[#This Row],[TOTAL COBERTURA]])+VLOOKUP(Tabla44[[#This Row],[SERVICIO 2025]],$J$2:$V$15,10,0)*Tabla44[[#This Row],[TOTAL COBERTURA]]</f>
        <v>6617898</v>
      </c>
      <c r="BB266" s="35">
        <f>(VLOOKUP(Tabla44[[#This Row],[SERVICIO 2025]],$J$2:$V$15,3,0)*Tabla44[[#This Row],[TOTAL COBERTURA]])+VLOOKUP(Tabla44[[#This Row],[SERVICIO 2025]],$J$2:$V$15,10,0)*Tabla44[[#This Row],[TOTAL COBERTURA]]</f>
        <v>6617898</v>
      </c>
      <c r="BC26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7299036</v>
      </c>
      <c r="BD266" s="35">
        <f>SUM(Tabla44[[#This Row],[DESEMBOLSO 1]:[DESEMBOLSO 8]])</f>
        <v>54465714</v>
      </c>
      <c r="BE266" s="12" t="b">
        <f>EXACT(Tabla44[[#This Row],[VALOR ATENCIÓN (8 MESES)]],Tabla44[[#This Row],[VALOR TOTAL]])</f>
        <v>1</v>
      </c>
      <c r="BF266" s="23">
        <f>Tabla44[[#This Row],[VALOR ATENCIÓN (8 MESES)]]-Tabla44[[#This Row],[VALOR TOTAL]]</f>
        <v>0</v>
      </c>
      <c r="BG266" s="12" t="b">
        <f>EXACT(Tabla44[[#This Row],[TOTAL DESEMBOLSOS]],Tabla44[[#This Row],[VALOR TOTAL DEL CONTRATO INCLUIDO EL COMPONENTE DE ALIMENTACIÓN]])</f>
        <v>1</v>
      </c>
      <c r="BH266" s="29">
        <f>Tabla44[[#This Row],[TOTAL DESEMBOLSOS]]-Tabla44[[#This Row],[VALOR TOTAL DEL CONTRATO INCLUIDO EL COMPONENTE DE ALIMENTACIÓN]]</f>
        <v>0</v>
      </c>
      <c r="BI266" t="s">
        <v>98</v>
      </c>
    </row>
    <row r="267" spans="1:61">
      <c r="A267" s="13">
        <v>1993</v>
      </c>
      <c r="B267" s="13"/>
      <c r="C267" s="12" t="s">
        <v>87</v>
      </c>
      <c r="D267" s="12" t="s">
        <v>1628</v>
      </c>
      <c r="E267" s="12" t="s">
        <v>3318</v>
      </c>
      <c r="F267" s="12" t="s">
        <v>18</v>
      </c>
      <c r="G267" s="12" t="s">
        <v>90</v>
      </c>
      <c r="H267" s="12" t="s">
        <v>3330</v>
      </c>
      <c r="I267" s="36">
        <v>56861136286</v>
      </c>
      <c r="J267" s="12" t="s">
        <v>3331</v>
      </c>
      <c r="K267" s="12">
        <v>1</v>
      </c>
      <c r="L267" s="12">
        <v>12</v>
      </c>
      <c r="M267" s="12"/>
      <c r="N267" s="13">
        <v>1993</v>
      </c>
      <c r="O267" s="12" t="s">
        <v>2850</v>
      </c>
      <c r="P267" s="12"/>
      <c r="Q267" s="12"/>
      <c r="R267" s="12" t="s">
        <v>94</v>
      </c>
      <c r="S267" s="12">
        <v>10</v>
      </c>
      <c r="T267" s="12">
        <v>818001449</v>
      </c>
      <c r="U267" s="12" t="s">
        <v>3247</v>
      </c>
      <c r="V267" s="12">
        <f>VLOOKUP(Tabla44[[#This Row],[ZONA DEFINITIVO]],[1]Hoja1!$A$1:$D$125,3,0)</f>
        <v>229940</v>
      </c>
      <c r="W267" s="12">
        <f>VLOOKUP(Tabla44[[#This Row],[ZONA DEFINITIVO]],[1]Hoja1!$A$1:$D$125,2,0)</f>
        <v>17259</v>
      </c>
      <c r="X267" s="12">
        <f>VLOOKUP(Tabla44[[#This Row],[ZONA DEFINITIVO]],[1]Hoja1!$A$1:$D$125,4,0)</f>
        <v>104625</v>
      </c>
      <c r="Y267" s="12" t="str">
        <f>+IF(Tabla44[[#This Row],[AGRUPACIONES]]=1,SUMIFS(Tabla44[UDS],Tabla44[ZONA DEFINITIVO],Tabla44[[#This Row],[ZONA DEFINITIVO]])," ")</f>
        <v xml:space="preserve"> </v>
      </c>
      <c r="Z267" s="12" t="str">
        <f>+IF(Tabla44[[#This Row],[AGRUPACIONES]]=1,SUMIFS(Tabla44[TOTAL COBERTURA],Tabla44[ZONA DEFINITIVO],Tabla44[[#This Row],[ZONA DEFINITIVO]])," ")</f>
        <v xml:space="preserve"> </v>
      </c>
      <c r="AA267" s="12"/>
      <c r="AB267" s="35">
        <v>26162316</v>
      </c>
      <c r="AC267" s="37">
        <v>0</v>
      </c>
      <c r="AD267" s="35">
        <f t="shared" si="4"/>
        <v>0</v>
      </c>
      <c r="AE267" s="12"/>
      <c r="AF267" s="12">
        <f>COUNTIF($A$20:A267,A267)</f>
        <v>46</v>
      </c>
      <c r="AG267" s="38">
        <v>26162316</v>
      </c>
      <c r="AH267" s="38">
        <f>Tabla44[[#This Row],[VALOR CONTRAPARTIDA]]+Tabla44[[#This Row],[TOTAL APORTES ICBF]]</f>
        <v>26162316</v>
      </c>
      <c r="AI267" s="35" t="str">
        <f>+IF(Tabla44[[#This Row],[AGRUPACIONES]]=1,SUMIFS(Tabla44[TOTAL APORTES ICBF],Tabla44[ZONA DEFINITIVO],Tabla44[[#This Row],[ZONA DEFINITIVO]])," ")</f>
        <v xml:space="preserve"> </v>
      </c>
      <c r="AJ267" s="38"/>
      <c r="AK267" s="38"/>
      <c r="AL267" s="35"/>
      <c r="AM267" s="35">
        <f>VLOOKUP(Tabla44[[#This Row],[SERVICIO 2025]],$J$2:$V$15,5,0)*Tabla44[[#This Row],[TOTAL COBERTURA]]</f>
        <v>592512</v>
      </c>
      <c r="AN267" s="35">
        <f>VLOOKUP(Tabla44[[#This Row],[SERVICIO 2025]],$J$2:$V$15,6,0)*Tabla44[[#This Row],[TOTAL COBERTURA]]</f>
        <v>492348</v>
      </c>
      <c r="AO267" s="35">
        <f>VLOOKUP(Tabla44[[#This Row],[SERVICIO 2025]],$J$2:$V$15,8,0)*Tabla44[[#This Row],[TOTAL COBERTURA]]</f>
        <v>349200</v>
      </c>
      <c r="AP267" s="35">
        <f>VLOOKUP(Tabla44[[#This Row],[SERVICIO 2025]],$J$2:$V$15,3,0)*Tabla44[[#This Row],[TOTAL COBERTURA]]*8</f>
        <v>24728256</v>
      </c>
      <c r="AQ267" s="35"/>
      <c r="AR267" s="35">
        <f>SUM(Tabla44[[#This Row],[VALOR FASE PREPARATORIA DE ALISTAMIENTO]:[VALOR RACION PREPARADA]])</f>
        <v>26162316</v>
      </c>
      <c r="AS267" s="35" t="str">
        <f>+IF(Tabla44[[#This Row],[AGRUPACIONES]]=1,SUMIFS(Tabla44[VALOR TOTAL],Tabla44[ZONA DEFINITIVO],Tabla44[[#This Row],[ZONA DEFINITIVO]])," ")</f>
        <v xml:space="preserve"> </v>
      </c>
      <c r="AT267" s="35">
        <f>VLOOKUP(Tabla44[[#This Row],[SERVICIO 2025]],$J$2:$V$15,10,0)*Tabla44[[#This Row],[TOTAL COBERTURA]]*$X$7</f>
        <v>17316768</v>
      </c>
      <c r="AU267" s="39">
        <f>Tabla44[[#This Row],[TOTAL CONTRATO (ICBF+EAS)]]+Tabla44[[#This Row],[VALOR COMPONENTE ALIMENTACION NO ASIGNADO]]</f>
        <v>43479084</v>
      </c>
      <c r="AV26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267" s="35">
        <f>(VLOOKUP(Tabla44[[#This Row],[SERVICIO 2025]],$J$2:$V$15,3,0)*Tabla44[[#This Row],[TOTAL COBERTURA]])+VLOOKUP(Tabla44[[#This Row],[SERVICIO 2025]],$J$2:$V$15,10,0)*Tabla44[[#This Row],[TOTAL COBERTURA]]</f>
        <v>5255628</v>
      </c>
      <c r="AX267" s="35">
        <f>(VLOOKUP(Tabla44[[#This Row],[SERVICIO 2025]],$J$2:$V$15,3,0)*Tabla44[[#This Row],[TOTAL COBERTURA]])+VLOOKUP(Tabla44[[#This Row],[SERVICIO 2025]],$J$2:$V$15,10,0)*Tabla44[[#This Row],[TOTAL COBERTURA]]</f>
        <v>5255628</v>
      </c>
      <c r="AY267" s="35">
        <f>(VLOOKUP(Tabla44[[#This Row],[SERVICIO 2025]],$J$2:$V$15,3,0)*Tabla44[[#This Row],[TOTAL COBERTURA]])+VLOOKUP(Tabla44[[#This Row],[SERVICIO 2025]],$J$2:$V$15,10,0)*Tabla44[[#This Row],[TOTAL COBERTURA]]</f>
        <v>5255628</v>
      </c>
      <c r="AZ267" s="35">
        <f>(VLOOKUP(Tabla44[[#This Row],[SERVICIO 2025]],$J$2:$V$15,3,0)*Tabla44[[#This Row],[TOTAL COBERTURA]])+VLOOKUP(Tabla44[[#This Row],[SERVICIO 2025]],$J$2:$V$15,10,0)*Tabla44[[#This Row],[TOTAL COBERTURA]]</f>
        <v>5255628</v>
      </c>
      <c r="BA267" s="35">
        <f>(VLOOKUP(Tabla44[[#This Row],[SERVICIO 2025]],$J$2:$V$15,3,0)*Tabla44[[#This Row],[TOTAL COBERTURA]])+VLOOKUP(Tabla44[[#This Row],[SERVICIO 2025]],$J$2:$V$15,10,0)*Tabla44[[#This Row],[TOTAL COBERTURA]]</f>
        <v>5255628</v>
      </c>
      <c r="BB267" s="35">
        <f>(VLOOKUP(Tabla44[[#This Row],[SERVICIO 2025]],$J$2:$V$15,3,0)*Tabla44[[#This Row],[TOTAL COBERTURA]])+VLOOKUP(Tabla44[[#This Row],[SERVICIO 2025]],$J$2:$V$15,10,0)*Tabla44[[#This Row],[TOTAL COBERTURA]]</f>
        <v>5255628</v>
      </c>
      <c r="BC26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267" s="35">
        <f>SUM(Tabla44[[#This Row],[DESEMBOLSO 1]:[DESEMBOLSO 8]])</f>
        <v>43479084</v>
      </c>
      <c r="BE267" s="12" t="b">
        <f>EXACT(Tabla44[[#This Row],[VALOR ATENCIÓN (8 MESES)]],Tabla44[[#This Row],[VALOR TOTAL]])</f>
        <v>1</v>
      </c>
      <c r="BF267" s="23">
        <f>Tabla44[[#This Row],[VALOR ATENCIÓN (8 MESES)]]-Tabla44[[#This Row],[VALOR TOTAL]]</f>
        <v>0</v>
      </c>
      <c r="BG267" s="12" t="b">
        <f>EXACT(Tabla44[[#This Row],[TOTAL DESEMBOLSOS]],Tabla44[[#This Row],[VALOR TOTAL DEL CONTRATO INCLUIDO EL COMPONENTE DE ALIMENTACIÓN]])</f>
        <v>1</v>
      </c>
      <c r="BH267" s="29">
        <f>Tabla44[[#This Row],[TOTAL DESEMBOLSOS]]-Tabla44[[#This Row],[VALOR TOTAL DEL CONTRATO INCLUIDO EL COMPONENTE DE ALIMENTACIÓN]]</f>
        <v>0</v>
      </c>
      <c r="BI267" t="s">
        <v>98</v>
      </c>
    </row>
    <row r="268" spans="1:61">
      <c r="A268" s="13">
        <v>1993</v>
      </c>
      <c r="B268" s="21"/>
      <c r="C268" s="22" t="s">
        <v>87</v>
      </c>
      <c r="D268" s="22" t="s">
        <v>1628</v>
      </c>
      <c r="E268" s="22" t="s">
        <v>3318</v>
      </c>
      <c r="F268" s="22" t="s">
        <v>21</v>
      </c>
      <c r="G268" s="12" t="s">
        <v>90</v>
      </c>
      <c r="H268" s="22" t="s">
        <v>3332</v>
      </c>
      <c r="I268" s="36">
        <v>56861136292</v>
      </c>
      <c r="J268" s="22" t="s">
        <v>3333</v>
      </c>
      <c r="K268" s="12">
        <v>1</v>
      </c>
      <c r="L268" s="22">
        <v>18</v>
      </c>
      <c r="M268" s="22"/>
      <c r="N268" s="13">
        <v>1993</v>
      </c>
      <c r="O268" s="22" t="s">
        <v>2850</v>
      </c>
      <c r="P268" s="22"/>
      <c r="Q268" s="22"/>
      <c r="R268" s="12" t="s">
        <v>94</v>
      </c>
      <c r="S268" s="12">
        <v>10</v>
      </c>
      <c r="T268" s="12">
        <v>818001449</v>
      </c>
      <c r="U268" s="12" t="s">
        <v>3247</v>
      </c>
      <c r="V268" s="22">
        <f>VLOOKUP(Tabla44[[#This Row],[ZONA DEFINITIVO]],[1]Hoja1!$A$1:$D$125,3,0)</f>
        <v>229940</v>
      </c>
      <c r="W268" s="22">
        <f>VLOOKUP(Tabla44[[#This Row],[ZONA DEFINITIVO]],[1]Hoja1!$A$1:$D$125,2,0)</f>
        <v>17259</v>
      </c>
      <c r="X268" s="22">
        <f>VLOOKUP(Tabla44[[#This Row],[ZONA DEFINITIVO]],[1]Hoja1!$A$1:$D$125,4,0)</f>
        <v>104625</v>
      </c>
      <c r="Y268" s="22" t="str">
        <f>+IF(Tabla44[[#This Row],[AGRUPACIONES]]=1,SUMIFS(Tabla44[UDS],Tabla44[ZONA DEFINITIVO],Tabla44[[#This Row],[ZONA DEFINITIVO]])," ")</f>
        <v xml:space="preserve"> </v>
      </c>
      <c r="Z268" s="22" t="str">
        <f>+IF(Tabla44[[#This Row],[AGRUPACIONES]]=1,SUMIFS(Tabla44[TOTAL COBERTURA],Tabla44[ZONA DEFINITIVO],Tabla44[[#This Row],[ZONA DEFINITIVO]])," ")</f>
        <v xml:space="preserve"> </v>
      </c>
      <c r="AA268" s="22"/>
      <c r="AB268" s="40">
        <v>27347490</v>
      </c>
      <c r="AC268" s="37">
        <v>0</v>
      </c>
      <c r="AD268" s="40">
        <f t="shared" si="4"/>
        <v>0</v>
      </c>
      <c r="AE268" s="22"/>
      <c r="AF268" s="12">
        <f>COUNTIF($A$20:A268,A268)</f>
        <v>47</v>
      </c>
      <c r="AG268" s="41">
        <v>27347490</v>
      </c>
      <c r="AH268" s="41">
        <f>Tabla44[[#This Row],[VALOR CONTRAPARTIDA]]+Tabla44[[#This Row],[TOTAL APORTES ICBF]]</f>
        <v>27347490</v>
      </c>
      <c r="AI268" s="40" t="str">
        <f>+IF(Tabla44[[#This Row],[AGRUPACIONES]]=1,SUMIFS(Tabla44[TOTAL APORTES ICBF],Tabla44[ZONA DEFINITIVO],Tabla44[[#This Row],[ZONA DEFINITIVO]])," ")</f>
        <v xml:space="preserve"> </v>
      </c>
      <c r="AJ268" s="41"/>
      <c r="AK268" s="41"/>
      <c r="AL268" s="40"/>
      <c r="AM268" s="40">
        <f>VLOOKUP(Tabla44[[#This Row],[SERVICIO 2025]],$J$2:$V$15,5,0)*Tabla44[[#This Row],[TOTAL COBERTURA]]</f>
        <v>841392</v>
      </c>
      <c r="AN268" s="40">
        <f>VLOOKUP(Tabla44[[#This Row],[SERVICIO 2025]],$J$2:$V$15,6,0)*Tabla44[[#This Row],[TOTAL COBERTURA]]</f>
        <v>681138</v>
      </c>
      <c r="AO268" s="40">
        <f>VLOOKUP(Tabla44[[#This Row],[SERVICIO 2025]],$J$2:$V$15,8,0)*Tabla44[[#This Row],[TOTAL COBERTURA]]</f>
        <v>0</v>
      </c>
      <c r="AP268" s="40">
        <f>VLOOKUP(Tabla44[[#This Row],[SERVICIO 2025]],$J$2:$V$15,3,0)*Tabla44[[#This Row],[TOTAL COBERTURA]]*8</f>
        <v>25824960</v>
      </c>
      <c r="AQ268" s="40"/>
      <c r="AR268" s="40">
        <f>SUM(Tabla44[[#This Row],[VALOR FASE PREPARATORIA DE ALISTAMIENTO]:[VALOR RACION PREPARADA]])</f>
        <v>27347490</v>
      </c>
      <c r="AS268" s="40" t="str">
        <f>+IF(Tabla44[[#This Row],[AGRUPACIONES]]=1,SUMIFS(Tabla44[VALOR TOTAL],Tabla44[ZONA DEFINITIVO],Tabla44[[#This Row],[ZONA DEFINITIVO]])," ")</f>
        <v xml:space="preserve"> </v>
      </c>
      <c r="AT268" s="35">
        <f>VLOOKUP(Tabla44[[#This Row],[SERVICIO 2025]],$J$2:$V$15,10,0)*Tabla44[[#This Row],[TOTAL COBERTURA]]*$X$7</f>
        <v>27118224</v>
      </c>
      <c r="AU268" s="42">
        <f>Tabla44[[#This Row],[TOTAL CONTRATO (ICBF+EAS)]]+Tabla44[[#This Row],[VALOR COMPONENTE ALIMENTACION NO ASIGNADO]]</f>
        <v>54465714</v>
      </c>
      <c r="AV26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7459290</v>
      </c>
      <c r="AW268" s="35">
        <f>(VLOOKUP(Tabla44[[#This Row],[SERVICIO 2025]],$J$2:$V$15,3,0)*Tabla44[[#This Row],[TOTAL COBERTURA]])+VLOOKUP(Tabla44[[#This Row],[SERVICIO 2025]],$J$2:$V$15,10,0)*Tabla44[[#This Row],[TOTAL COBERTURA]]</f>
        <v>6617898</v>
      </c>
      <c r="AX268" s="40">
        <f>(VLOOKUP(Tabla44[[#This Row],[SERVICIO 2025]],$J$2:$V$15,3,0)*Tabla44[[#This Row],[TOTAL COBERTURA]])+VLOOKUP(Tabla44[[#This Row],[SERVICIO 2025]],$J$2:$V$15,10,0)*Tabla44[[#This Row],[TOTAL COBERTURA]]</f>
        <v>6617898</v>
      </c>
      <c r="AY268" s="40">
        <f>(VLOOKUP(Tabla44[[#This Row],[SERVICIO 2025]],$J$2:$V$15,3,0)*Tabla44[[#This Row],[TOTAL COBERTURA]])+VLOOKUP(Tabla44[[#This Row],[SERVICIO 2025]],$J$2:$V$15,10,0)*Tabla44[[#This Row],[TOTAL COBERTURA]]</f>
        <v>6617898</v>
      </c>
      <c r="AZ268" s="40">
        <f>(VLOOKUP(Tabla44[[#This Row],[SERVICIO 2025]],$J$2:$V$15,3,0)*Tabla44[[#This Row],[TOTAL COBERTURA]])+VLOOKUP(Tabla44[[#This Row],[SERVICIO 2025]],$J$2:$V$15,10,0)*Tabla44[[#This Row],[TOTAL COBERTURA]]</f>
        <v>6617898</v>
      </c>
      <c r="BA268" s="40">
        <f>(VLOOKUP(Tabla44[[#This Row],[SERVICIO 2025]],$J$2:$V$15,3,0)*Tabla44[[#This Row],[TOTAL COBERTURA]])+VLOOKUP(Tabla44[[#This Row],[SERVICIO 2025]],$J$2:$V$15,10,0)*Tabla44[[#This Row],[TOTAL COBERTURA]]</f>
        <v>6617898</v>
      </c>
      <c r="BB268" s="40">
        <f>(VLOOKUP(Tabla44[[#This Row],[SERVICIO 2025]],$J$2:$V$15,3,0)*Tabla44[[#This Row],[TOTAL COBERTURA]])+VLOOKUP(Tabla44[[#This Row],[SERVICIO 2025]],$J$2:$V$15,10,0)*Tabla44[[#This Row],[TOTAL COBERTURA]]</f>
        <v>6617898</v>
      </c>
      <c r="BC268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7299036</v>
      </c>
      <c r="BD268" s="40">
        <f>SUM(Tabla44[[#This Row],[DESEMBOLSO 1]:[DESEMBOLSO 8]])</f>
        <v>54465714</v>
      </c>
      <c r="BE268" s="22" t="b">
        <f>EXACT(Tabla44[[#This Row],[VALOR ATENCIÓN (8 MESES)]],Tabla44[[#This Row],[VALOR TOTAL]])</f>
        <v>1</v>
      </c>
      <c r="BF268" s="28">
        <f>Tabla44[[#This Row],[VALOR ATENCIÓN (8 MESES)]]-Tabla44[[#This Row],[VALOR TOTAL]]</f>
        <v>0</v>
      </c>
      <c r="BG268" s="22" t="b">
        <f>EXACT(Tabla44[[#This Row],[TOTAL DESEMBOLSOS]],Tabla44[[#This Row],[VALOR TOTAL DEL CONTRATO INCLUIDO EL COMPONENTE DE ALIMENTACIÓN]])</f>
        <v>1</v>
      </c>
      <c r="BH268" s="29">
        <f>Tabla44[[#This Row],[TOTAL DESEMBOLSOS]]-Tabla44[[#This Row],[VALOR TOTAL DEL CONTRATO INCLUIDO EL COMPONENTE DE ALIMENTACIÓN]]</f>
        <v>0</v>
      </c>
      <c r="BI268" t="s">
        <v>98</v>
      </c>
    </row>
    <row r="269" spans="1:61">
      <c r="A269" s="13">
        <v>1993</v>
      </c>
      <c r="B269" s="13"/>
      <c r="C269" s="12" t="s">
        <v>87</v>
      </c>
      <c r="D269" s="12" t="s">
        <v>1628</v>
      </c>
      <c r="E269" s="12" t="s">
        <v>3318</v>
      </c>
      <c r="F269" s="12" t="s">
        <v>21</v>
      </c>
      <c r="G269" s="12" t="s">
        <v>90</v>
      </c>
      <c r="H269" s="12" t="s">
        <v>3334</v>
      </c>
      <c r="I269" s="36">
        <v>56861136301</v>
      </c>
      <c r="J269" s="12" t="s">
        <v>3335</v>
      </c>
      <c r="K269" s="12">
        <v>1</v>
      </c>
      <c r="L269" s="12">
        <v>15</v>
      </c>
      <c r="M269" s="12"/>
      <c r="N269" s="13">
        <v>1993</v>
      </c>
      <c r="O269" s="12" t="s">
        <v>2850</v>
      </c>
      <c r="P269" s="12"/>
      <c r="Q269" s="12"/>
      <c r="R269" s="12" t="s">
        <v>94</v>
      </c>
      <c r="S269" s="12">
        <v>10</v>
      </c>
      <c r="T269" s="12">
        <v>818001449</v>
      </c>
      <c r="U269" s="12" t="s">
        <v>3247</v>
      </c>
      <c r="V269" s="12">
        <f>VLOOKUP(Tabla44[[#This Row],[ZONA DEFINITIVO]],[1]Hoja1!$A$1:$D$125,3,0)</f>
        <v>229940</v>
      </c>
      <c r="W269" s="12">
        <f>VLOOKUP(Tabla44[[#This Row],[ZONA DEFINITIVO]],[1]Hoja1!$A$1:$D$125,2,0)</f>
        <v>17259</v>
      </c>
      <c r="X269" s="12">
        <f>VLOOKUP(Tabla44[[#This Row],[ZONA DEFINITIVO]],[1]Hoja1!$A$1:$D$125,4,0)</f>
        <v>104625</v>
      </c>
      <c r="Y269" s="12" t="str">
        <f>+IF(Tabla44[[#This Row],[AGRUPACIONES]]=1,SUMIFS(Tabla44[UDS],Tabla44[ZONA DEFINITIVO],Tabla44[[#This Row],[ZONA DEFINITIVO]])," ")</f>
        <v xml:space="preserve"> </v>
      </c>
      <c r="Z269" s="12" t="str">
        <f>+IF(Tabla44[[#This Row],[AGRUPACIONES]]=1,SUMIFS(Tabla44[TOTAL COBERTURA],Tabla44[ZONA DEFINITIVO],Tabla44[[#This Row],[ZONA DEFINITIVO]])," ")</f>
        <v xml:space="preserve"> </v>
      </c>
      <c r="AA269" s="12"/>
      <c r="AB269" s="35">
        <v>22789575</v>
      </c>
      <c r="AC269" s="37">
        <v>0</v>
      </c>
      <c r="AD269" s="35">
        <f t="shared" si="4"/>
        <v>0</v>
      </c>
      <c r="AE269" s="12"/>
      <c r="AF269" s="12">
        <f>COUNTIF($A$20:A269,A269)</f>
        <v>48</v>
      </c>
      <c r="AG269" s="38">
        <v>22789575</v>
      </c>
      <c r="AH269" s="38">
        <f>Tabla44[[#This Row],[VALOR CONTRAPARTIDA]]+Tabla44[[#This Row],[TOTAL APORTES ICBF]]</f>
        <v>22789575</v>
      </c>
      <c r="AI269" s="35" t="str">
        <f>+IF(Tabla44[[#This Row],[AGRUPACIONES]]=1,SUMIFS(Tabla44[TOTAL APORTES ICBF],Tabla44[ZONA DEFINITIVO],Tabla44[[#This Row],[ZONA DEFINITIVO]])," ")</f>
        <v xml:space="preserve"> </v>
      </c>
      <c r="AJ269" s="38"/>
      <c r="AK269" s="38"/>
      <c r="AL269" s="35"/>
      <c r="AM269" s="35">
        <f>VLOOKUP(Tabla44[[#This Row],[SERVICIO 2025]],$J$2:$V$15,5,0)*Tabla44[[#This Row],[TOTAL COBERTURA]]</f>
        <v>701160</v>
      </c>
      <c r="AN269" s="35">
        <f>VLOOKUP(Tabla44[[#This Row],[SERVICIO 2025]],$J$2:$V$15,6,0)*Tabla44[[#This Row],[TOTAL COBERTURA]]</f>
        <v>567615</v>
      </c>
      <c r="AO269" s="35">
        <f>VLOOKUP(Tabla44[[#This Row],[SERVICIO 2025]],$J$2:$V$15,8,0)*Tabla44[[#This Row],[TOTAL COBERTURA]]</f>
        <v>0</v>
      </c>
      <c r="AP269" s="35">
        <f>VLOOKUP(Tabla44[[#This Row],[SERVICIO 2025]],$J$2:$V$15,3,0)*Tabla44[[#This Row],[TOTAL COBERTURA]]*8</f>
        <v>21520800</v>
      </c>
      <c r="AQ269" s="35"/>
      <c r="AR269" s="35">
        <f>SUM(Tabla44[[#This Row],[VALOR FASE PREPARATORIA DE ALISTAMIENTO]:[VALOR RACION PREPARADA]])</f>
        <v>22789575</v>
      </c>
      <c r="AS269" s="35" t="str">
        <f>+IF(Tabla44[[#This Row],[AGRUPACIONES]]=1,SUMIFS(Tabla44[VALOR TOTAL],Tabla44[ZONA DEFINITIVO],Tabla44[[#This Row],[ZONA DEFINITIVO]])," ")</f>
        <v xml:space="preserve"> </v>
      </c>
      <c r="AT269" s="35">
        <f>VLOOKUP(Tabla44[[#This Row],[SERVICIO 2025]],$J$2:$V$15,10,0)*Tabla44[[#This Row],[TOTAL COBERTURA]]*$X$7</f>
        <v>22598520</v>
      </c>
      <c r="AU269" s="39">
        <f>Tabla44[[#This Row],[TOTAL CONTRATO (ICBF+EAS)]]+Tabla44[[#This Row],[VALOR COMPONENTE ALIMENTACION NO ASIGNADO]]</f>
        <v>45388095</v>
      </c>
      <c r="AV26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6216075</v>
      </c>
      <c r="AW269" s="35">
        <f>(VLOOKUP(Tabla44[[#This Row],[SERVICIO 2025]],$J$2:$V$15,3,0)*Tabla44[[#This Row],[TOTAL COBERTURA]])+VLOOKUP(Tabla44[[#This Row],[SERVICIO 2025]],$J$2:$V$15,10,0)*Tabla44[[#This Row],[TOTAL COBERTURA]]</f>
        <v>5514915</v>
      </c>
      <c r="AX269" s="35">
        <f>(VLOOKUP(Tabla44[[#This Row],[SERVICIO 2025]],$J$2:$V$15,3,0)*Tabla44[[#This Row],[TOTAL COBERTURA]])+VLOOKUP(Tabla44[[#This Row],[SERVICIO 2025]],$J$2:$V$15,10,0)*Tabla44[[#This Row],[TOTAL COBERTURA]]</f>
        <v>5514915</v>
      </c>
      <c r="AY269" s="35">
        <f>(VLOOKUP(Tabla44[[#This Row],[SERVICIO 2025]],$J$2:$V$15,3,0)*Tabla44[[#This Row],[TOTAL COBERTURA]])+VLOOKUP(Tabla44[[#This Row],[SERVICIO 2025]],$J$2:$V$15,10,0)*Tabla44[[#This Row],[TOTAL COBERTURA]]</f>
        <v>5514915</v>
      </c>
      <c r="AZ269" s="35">
        <f>(VLOOKUP(Tabla44[[#This Row],[SERVICIO 2025]],$J$2:$V$15,3,0)*Tabla44[[#This Row],[TOTAL COBERTURA]])+VLOOKUP(Tabla44[[#This Row],[SERVICIO 2025]],$J$2:$V$15,10,0)*Tabla44[[#This Row],[TOTAL COBERTURA]]</f>
        <v>5514915</v>
      </c>
      <c r="BA269" s="35">
        <f>(VLOOKUP(Tabla44[[#This Row],[SERVICIO 2025]],$J$2:$V$15,3,0)*Tabla44[[#This Row],[TOTAL COBERTURA]])+VLOOKUP(Tabla44[[#This Row],[SERVICIO 2025]],$J$2:$V$15,10,0)*Tabla44[[#This Row],[TOTAL COBERTURA]]</f>
        <v>5514915</v>
      </c>
      <c r="BB269" s="35">
        <f>(VLOOKUP(Tabla44[[#This Row],[SERVICIO 2025]],$J$2:$V$15,3,0)*Tabla44[[#This Row],[TOTAL COBERTURA]])+VLOOKUP(Tabla44[[#This Row],[SERVICIO 2025]],$J$2:$V$15,10,0)*Tabla44[[#This Row],[TOTAL COBERTURA]]</f>
        <v>5514915</v>
      </c>
      <c r="BC26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6082530</v>
      </c>
      <c r="BD269" s="35">
        <f>SUM(Tabla44[[#This Row],[DESEMBOLSO 1]:[DESEMBOLSO 8]])</f>
        <v>45388095</v>
      </c>
      <c r="BE269" s="12" t="b">
        <f>EXACT(Tabla44[[#This Row],[VALOR ATENCIÓN (8 MESES)]],Tabla44[[#This Row],[VALOR TOTAL]])</f>
        <v>1</v>
      </c>
      <c r="BF269" s="23">
        <f>Tabla44[[#This Row],[VALOR ATENCIÓN (8 MESES)]]-Tabla44[[#This Row],[VALOR TOTAL]]</f>
        <v>0</v>
      </c>
      <c r="BG269" s="12" t="b">
        <f>EXACT(Tabla44[[#This Row],[TOTAL DESEMBOLSOS]],Tabla44[[#This Row],[VALOR TOTAL DEL CONTRATO INCLUIDO EL COMPONENTE DE ALIMENTACIÓN]])</f>
        <v>1</v>
      </c>
      <c r="BH269" s="29">
        <f>Tabla44[[#This Row],[TOTAL DESEMBOLSOS]]-Tabla44[[#This Row],[VALOR TOTAL DEL CONTRATO INCLUIDO EL COMPONENTE DE ALIMENTACIÓN]]</f>
        <v>0</v>
      </c>
      <c r="BI269" t="s">
        <v>98</v>
      </c>
    </row>
    <row r="270" spans="1:61">
      <c r="A270" s="13">
        <v>1993</v>
      </c>
      <c r="B270" s="13"/>
      <c r="C270" s="12" t="s">
        <v>87</v>
      </c>
      <c r="D270" s="12" t="s">
        <v>1628</v>
      </c>
      <c r="E270" s="12" t="s">
        <v>3318</v>
      </c>
      <c r="F270" s="12" t="s">
        <v>21</v>
      </c>
      <c r="G270" s="12" t="s">
        <v>90</v>
      </c>
      <c r="H270" s="12" t="s">
        <v>3336</v>
      </c>
      <c r="I270" s="36">
        <v>56861136308</v>
      </c>
      <c r="J270" s="12" t="s">
        <v>3337</v>
      </c>
      <c r="K270" s="12">
        <v>1</v>
      </c>
      <c r="L270" s="12">
        <v>17</v>
      </c>
      <c r="M270" s="12"/>
      <c r="N270" s="13">
        <v>1993</v>
      </c>
      <c r="O270" s="12" t="s">
        <v>2850</v>
      </c>
      <c r="P270" s="12"/>
      <c r="Q270" s="12"/>
      <c r="R270" s="12" t="s">
        <v>94</v>
      </c>
      <c r="S270" s="12">
        <v>10</v>
      </c>
      <c r="T270" s="12">
        <v>818001449</v>
      </c>
      <c r="U270" s="12" t="s">
        <v>3247</v>
      </c>
      <c r="V270" s="12">
        <f>VLOOKUP(Tabla44[[#This Row],[ZONA DEFINITIVO]],[1]Hoja1!$A$1:$D$125,3,0)</f>
        <v>229940</v>
      </c>
      <c r="W270" s="12">
        <f>VLOOKUP(Tabla44[[#This Row],[ZONA DEFINITIVO]],[1]Hoja1!$A$1:$D$125,2,0)</f>
        <v>17259</v>
      </c>
      <c r="X270" s="12">
        <f>VLOOKUP(Tabla44[[#This Row],[ZONA DEFINITIVO]],[1]Hoja1!$A$1:$D$125,4,0)</f>
        <v>104625</v>
      </c>
      <c r="Y270" s="12" t="str">
        <f>+IF(Tabla44[[#This Row],[AGRUPACIONES]]=1,SUMIFS(Tabla44[UDS],Tabla44[ZONA DEFINITIVO],Tabla44[[#This Row],[ZONA DEFINITIVO]])," ")</f>
        <v xml:space="preserve"> </v>
      </c>
      <c r="Z270" s="12" t="str">
        <f>+IF(Tabla44[[#This Row],[AGRUPACIONES]]=1,SUMIFS(Tabla44[TOTAL COBERTURA],Tabla44[ZONA DEFINITIVO],Tabla44[[#This Row],[ZONA DEFINITIVO]])," ")</f>
        <v xml:space="preserve"> </v>
      </c>
      <c r="AA270" s="12"/>
      <c r="AB270" s="35">
        <v>25828185</v>
      </c>
      <c r="AC270" s="37">
        <v>0</v>
      </c>
      <c r="AD270" s="35">
        <f t="shared" si="4"/>
        <v>0</v>
      </c>
      <c r="AE270" s="12"/>
      <c r="AF270" s="12">
        <f>COUNTIF($A$20:A270,A270)</f>
        <v>49</v>
      </c>
      <c r="AG270" s="38">
        <v>25828185</v>
      </c>
      <c r="AH270" s="38">
        <f>Tabla44[[#This Row],[VALOR CONTRAPARTIDA]]+Tabla44[[#This Row],[TOTAL APORTES ICBF]]</f>
        <v>25828185</v>
      </c>
      <c r="AI270" s="35" t="str">
        <f>+IF(Tabla44[[#This Row],[AGRUPACIONES]]=1,SUMIFS(Tabla44[TOTAL APORTES ICBF],Tabla44[ZONA DEFINITIVO],Tabla44[[#This Row],[ZONA DEFINITIVO]])," ")</f>
        <v xml:space="preserve"> </v>
      </c>
      <c r="AJ270" s="38"/>
      <c r="AK270" s="38"/>
      <c r="AL270" s="35"/>
      <c r="AM270" s="35">
        <f>VLOOKUP(Tabla44[[#This Row],[SERVICIO 2025]],$J$2:$V$15,5,0)*Tabla44[[#This Row],[TOTAL COBERTURA]]</f>
        <v>794648</v>
      </c>
      <c r="AN270" s="35">
        <f>VLOOKUP(Tabla44[[#This Row],[SERVICIO 2025]],$J$2:$V$15,6,0)*Tabla44[[#This Row],[TOTAL COBERTURA]]</f>
        <v>643297</v>
      </c>
      <c r="AO270" s="35">
        <f>VLOOKUP(Tabla44[[#This Row],[SERVICIO 2025]],$J$2:$V$15,8,0)*Tabla44[[#This Row],[TOTAL COBERTURA]]</f>
        <v>0</v>
      </c>
      <c r="AP270" s="35">
        <f>VLOOKUP(Tabla44[[#This Row],[SERVICIO 2025]],$J$2:$V$15,3,0)*Tabla44[[#This Row],[TOTAL COBERTURA]]*8</f>
        <v>24390240</v>
      </c>
      <c r="AQ270" s="35"/>
      <c r="AR270" s="35">
        <f>SUM(Tabla44[[#This Row],[VALOR FASE PREPARATORIA DE ALISTAMIENTO]:[VALOR RACION PREPARADA]])</f>
        <v>25828185</v>
      </c>
      <c r="AS270" s="35" t="str">
        <f>+IF(Tabla44[[#This Row],[AGRUPACIONES]]=1,SUMIFS(Tabla44[VALOR TOTAL],Tabla44[ZONA DEFINITIVO],Tabla44[[#This Row],[ZONA DEFINITIVO]])," ")</f>
        <v xml:space="preserve"> </v>
      </c>
      <c r="AT270" s="35">
        <f>VLOOKUP(Tabla44[[#This Row],[SERVICIO 2025]],$J$2:$V$15,10,0)*Tabla44[[#This Row],[TOTAL COBERTURA]]*$X$7</f>
        <v>25611656</v>
      </c>
      <c r="AU270" s="39">
        <f>Tabla44[[#This Row],[TOTAL CONTRATO (ICBF+EAS)]]+Tabla44[[#This Row],[VALOR COMPONENTE ALIMENTACION NO ASIGNADO]]</f>
        <v>51439841</v>
      </c>
      <c r="AV27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7044885</v>
      </c>
      <c r="AW270" s="35">
        <f>(VLOOKUP(Tabla44[[#This Row],[SERVICIO 2025]],$J$2:$V$15,3,0)*Tabla44[[#This Row],[TOTAL COBERTURA]])+VLOOKUP(Tabla44[[#This Row],[SERVICIO 2025]],$J$2:$V$15,10,0)*Tabla44[[#This Row],[TOTAL COBERTURA]]</f>
        <v>6250237</v>
      </c>
      <c r="AX270" s="35">
        <f>(VLOOKUP(Tabla44[[#This Row],[SERVICIO 2025]],$J$2:$V$15,3,0)*Tabla44[[#This Row],[TOTAL COBERTURA]])+VLOOKUP(Tabla44[[#This Row],[SERVICIO 2025]],$J$2:$V$15,10,0)*Tabla44[[#This Row],[TOTAL COBERTURA]]</f>
        <v>6250237</v>
      </c>
      <c r="AY270" s="35">
        <f>(VLOOKUP(Tabla44[[#This Row],[SERVICIO 2025]],$J$2:$V$15,3,0)*Tabla44[[#This Row],[TOTAL COBERTURA]])+VLOOKUP(Tabla44[[#This Row],[SERVICIO 2025]],$J$2:$V$15,10,0)*Tabla44[[#This Row],[TOTAL COBERTURA]]</f>
        <v>6250237</v>
      </c>
      <c r="AZ270" s="35">
        <f>(VLOOKUP(Tabla44[[#This Row],[SERVICIO 2025]],$J$2:$V$15,3,0)*Tabla44[[#This Row],[TOTAL COBERTURA]])+VLOOKUP(Tabla44[[#This Row],[SERVICIO 2025]],$J$2:$V$15,10,0)*Tabla44[[#This Row],[TOTAL COBERTURA]]</f>
        <v>6250237</v>
      </c>
      <c r="BA270" s="35">
        <f>(VLOOKUP(Tabla44[[#This Row],[SERVICIO 2025]],$J$2:$V$15,3,0)*Tabla44[[#This Row],[TOTAL COBERTURA]])+VLOOKUP(Tabla44[[#This Row],[SERVICIO 2025]],$J$2:$V$15,10,0)*Tabla44[[#This Row],[TOTAL COBERTURA]]</f>
        <v>6250237</v>
      </c>
      <c r="BB270" s="35">
        <f>(VLOOKUP(Tabla44[[#This Row],[SERVICIO 2025]],$J$2:$V$15,3,0)*Tabla44[[#This Row],[TOTAL COBERTURA]])+VLOOKUP(Tabla44[[#This Row],[SERVICIO 2025]],$J$2:$V$15,10,0)*Tabla44[[#This Row],[TOTAL COBERTURA]]</f>
        <v>6250237</v>
      </c>
      <c r="BC27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6893534</v>
      </c>
      <c r="BD270" s="35">
        <f>SUM(Tabla44[[#This Row],[DESEMBOLSO 1]:[DESEMBOLSO 8]])</f>
        <v>51439841</v>
      </c>
      <c r="BE270" s="12" t="b">
        <f>EXACT(Tabla44[[#This Row],[VALOR ATENCIÓN (8 MESES)]],Tabla44[[#This Row],[VALOR TOTAL]])</f>
        <v>1</v>
      </c>
      <c r="BF270" s="23">
        <f>Tabla44[[#This Row],[VALOR ATENCIÓN (8 MESES)]]-Tabla44[[#This Row],[VALOR TOTAL]]</f>
        <v>0</v>
      </c>
      <c r="BG270" s="12" t="b">
        <f>EXACT(Tabla44[[#This Row],[TOTAL DESEMBOLSOS]],Tabla44[[#This Row],[VALOR TOTAL DEL CONTRATO INCLUIDO EL COMPONENTE DE ALIMENTACIÓN]])</f>
        <v>1</v>
      </c>
      <c r="BH270" s="29">
        <f>Tabla44[[#This Row],[TOTAL DESEMBOLSOS]]-Tabla44[[#This Row],[VALOR TOTAL DEL CONTRATO INCLUIDO EL COMPONENTE DE ALIMENTACIÓN]]</f>
        <v>0</v>
      </c>
      <c r="BI270" t="s">
        <v>98</v>
      </c>
    </row>
    <row r="271" spans="1:61">
      <c r="A271" s="13">
        <v>1993</v>
      </c>
      <c r="B271" s="13"/>
      <c r="C271" s="12" t="s">
        <v>87</v>
      </c>
      <c r="D271" s="12" t="s">
        <v>1628</v>
      </c>
      <c r="E271" s="12" t="s">
        <v>3318</v>
      </c>
      <c r="F271" s="12" t="s">
        <v>18</v>
      </c>
      <c r="G271" s="12" t="s">
        <v>90</v>
      </c>
      <c r="H271" s="12" t="s">
        <v>3338</v>
      </c>
      <c r="I271" s="36">
        <v>56861136312</v>
      </c>
      <c r="J271" s="12" t="s">
        <v>3339</v>
      </c>
      <c r="K271" s="12">
        <v>1</v>
      </c>
      <c r="L271" s="12">
        <v>20</v>
      </c>
      <c r="M271" s="12"/>
      <c r="N271" s="13">
        <v>1993</v>
      </c>
      <c r="O271" s="12" t="s">
        <v>2850</v>
      </c>
      <c r="P271" s="12"/>
      <c r="Q271" s="12"/>
      <c r="R271" s="12" t="s">
        <v>94</v>
      </c>
      <c r="S271" s="12">
        <v>10</v>
      </c>
      <c r="T271" s="12">
        <v>818001449</v>
      </c>
      <c r="U271" s="12" t="s">
        <v>3247</v>
      </c>
      <c r="V271" s="12">
        <f>VLOOKUP(Tabla44[[#This Row],[ZONA DEFINITIVO]],[1]Hoja1!$A$1:$D$125,3,0)</f>
        <v>229940</v>
      </c>
      <c r="W271" s="12">
        <f>VLOOKUP(Tabla44[[#This Row],[ZONA DEFINITIVO]],[1]Hoja1!$A$1:$D$125,2,0)</f>
        <v>17259</v>
      </c>
      <c r="X271" s="12">
        <f>VLOOKUP(Tabla44[[#This Row],[ZONA DEFINITIVO]],[1]Hoja1!$A$1:$D$125,4,0)</f>
        <v>104625</v>
      </c>
      <c r="Y271" s="12" t="str">
        <f>+IF(Tabla44[[#This Row],[AGRUPACIONES]]=1,SUMIFS(Tabla44[UDS],Tabla44[ZONA DEFINITIVO],Tabla44[[#This Row],[ZONA DEFINITIVO]])," ")</f>
        <v xml:space="preserve"> </v>
      </c>
      <c r="Z271" s="12" t="str">
        <f>+IF(Tabla44[[#This Row],[AGRUPACIONES]]=1,SUMIFS(Tabla44[TOTAL COBERTURA],Tabla44[ZONA DEFINITIVO],Tabla44[[#This Row],[ZONA DEFINITIVO]])," ")</f>
        <v xml:space="preserve"> </v>
      </c>
      <c r="AA271" s="12"/>
      <c r="AB271" s="35">
        <v>43603860</v>
      </c>
      <c r="AC271" s="37">
        <v>0</v>
      </c>
      <c r="AD271" s="35">
        <f t="shared" si="4"/>
        <v>0</v>
      </c>
      <c r="AE271" s="12"/>
      <c r="AF271" s="12">
        <f>COUNTIF($A$20:A271,A271)</f>
        <v>50</v>
      </c>
      <c r="AG271" s="38">
        <v>43603860</v>
      </c>
      <c r="AH271" s="38">
        <f>Tabla44[[#This Row],[VALOR CONTRAPARTIDA]]+Tabla44[[#This Row],[TOTAL APORTES ICBF]]</f>
        <v>43603860</v>
      </c>
      <c r="AI271" s="35" t="str">
        <f>+IF(Tabla44[[#This Row],[AGRUPACIONES]]=1,SUMIFS(Tabla44[TOTAL APORTES ICBF],Tabla44[ZONA DEFINITIVO],Tabla44[[#This Row],[ZONA DEFINITIVO]])," ")</f>
        <v xml:space="preserve"> </v>
      </c>
      <c r="AJ271" s="38"/>
      <c r="AK271" s="38"/>
      <c r="AL271" s="35"/>
      <c r="AM271" s="35">
        <f>VLOOKUP(Tabla44[[#This Row],[SERVICIO 2025]],$J$2:$V$15,5,0)*Tabla44[[#This Row],[TOTAL COBERTURA]]</f>
        <v>987520</v>
      </c>
      <c r="AN271" s="35">
        <f>VLOOKUP(Tabla44[[#This Row],[SERVICIO 2025]],$J$2:$V$15,6,0)*Tabla44[[#This Row],[TOTAL COBERTURA]]</f>
        <v>820580</v>
      </c>
      <c r="AO271" s="35">
        <f>VLOOKUP(Tabla44[[#This Row],[SERVICIO 2025]],$J$2:$V$15,8,0)*Tabla44[[#This Row],[TOTAL COBERTURA]]</f>
        <v>582000</v>
      </c>
      <c r="AP271" s="35">
        <f>VLOOKUP(Tabla44[[#This Row],[SERVICIO 2025]],$J$2:$V$15,3,0)*Tabla44[[#This Row],[TOTAL COBERTURA]]*8</f>
        <v>41213760</v>
      </c>
      <c r="AQ271" s="35"/>
      <c r="AR271" s="35">
        <f>SUM(Tabla44[[#This Row],[VALOR FASE PREPARATORIA DE ALISTAMIENTO]:[VALOR RACION PREPARADA]])</f>
        <v>43603860</v>
      </c>
      <c r="AS271" s="35" t="str">
        <f>+IF(Tabla44[[#This Row],[AGRUPACIONES]]=1,SUMIFS(Tabla44[VALOR TOTAL],Tabla44[ZONA DEFINITIVO],Tabla44[[#This Row],[ZONA DEFINITIVO]])," ")</f>
        <v xml:space="preserve"> </v>
      </c>
      <c r="AT271" s="35">
        <f>VLOOKUP(Tabla44[[#This Row],[SERVICIO 2025]],$J$2:$V$15,10,0)*Tabla44[[#This Row],[TOTAL COBERTURA]]*$X$7</f>
        <v>28861280</v>
      </c>
      <c r="AU271" s="39">
        <f>Tabla44[[#This Row],[TOTAL CONTRATO (ICBF+EAS)]]+Tabla44[[#This Row],[VALOR COMPONENTE ALIMENTACION NO ASIGNADO]]</f>
        <v>72465140</v>
      </c>
      <c r="AV27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271" s="35">
        <f>(VLOOKUP(Tabla44[[#This Row],[SERVICIO 2025]],$J$2:$V$15,3,0)*Tabla44[[#This Row],[TOTAL COBERTURA]])+VLOOKUP(Tabla44[[#This Row],[SERVICIO 2025]],$J$2:$V$15,10,0)*Tabla44[[#This Row],[TOTAL COBERTURA]]</f>
        <v>8759380</v>
      </c>
      <c r="AX271" s="35">
        <f>(VLOOKUP(Tabla44[[#This Row],[SERVICIO 2025]],$J$2:$V$15,3,0)*Tabla44[[#This Row],[TOTAL COBERTURA]])+VLOOKUP(Tabla44[[#This Row],[SERVICIO 2025]],$J$2:$V$15,10,0)*Tabla44[[#This Row],[TOTAL COBERTURA]]</f>
        <v>8759380</v>
      </c>
      <c r="AY271" s="35">
        <f>(VLOOKUP(Tabla44[[#This Row],[SERVICIO 2025]],$J$2:$V$15,3,0)*Tabla44[[#This Row],[TOTAL COBERTURA]])+VLOOKUP(Tabla44[[#This Row],[SERVICIO 2025]],$J$2:$V$15,10,0)*Tabla44[[#This Row],[TOTAL COBERTURA]]</f>
        <v>8759380</v>
      </c>
      <c r="AZ271" s="35">
        <f>(VLOOKUP(Tabla44[[#This Row],[SERVICIO 2025]],$J$2:$V$15,3,0)*Tabla44[[#This Row],[TOTAL COBERTURA]])+VLOOKUP(Tabla44[[#This Row],[SERVICIO 2025]],$J$2:$V$15,10,0)*Tabla44[[#This Row],[TOTAL COBERTURA]]</f>
        <v>8759380</v>
      </c>
      <c r="BA271" s="35">
        <f>(VLOOKUP(Tabla44[[#This Row],[SERVICIO 2025]],$J$2:$V$15,3,0)*Tabla44[[#This Row],[TOTAL COBERTURA]])+VLOOKUP(Tabla44[[#This Row],[SERVICIO 2025]],$J$2:$V$15,10,0)*Tabla44[[#This Row],[TOTAL COBERTURA]]</f>
        <v>8759380</v>
      </c>
      <c r="BB271" s="35">
        <f>(VLOOKUP(Tabla44[[#This Row],[SERVICIO 2025]],$J$2:$V$15,3,0)*Tabla44[[#This Row],[TOTAL COBERTURA]])+VLOOKUP(Tabla44[[#This Row],[SERVICIO 2025]],$J$2:$V$15,10,0)*Tabla44[[#This Row],[TOTAL COBERTURA]]</f>
        <v>8759380</v>
      </c>
      <c r="BC27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271" s="35">
        <f>SUM(Tabla44[[#This Row],[DESEMBOLSO 1]:[DESEMBOLSO 8]])</f>
        <v>72465140</v>
      </c>
      <c r="BE271" s="12" t="b">
        <f>EXACT(Tabla44[[#This Row],[VALOR ATENCIÓN (8 MESES)]],Tabla44[[#This Row],[VALOR TOTAL]])</f>
        <v>1</v>
      </c>
      <c r="BF271" s="23">
        <f>Tabla44[[#This Row],[VALOR ATENCIÓN (8 MESES)]]-Tabla44[[#This Row],[VALOR TOTAL]]</f>
        <v>0</v>
      </c>
      <c r="BG271" s="12" t="b">
        <f>EXACT(Tabla44[[#This Row],[TOTAL DESEMBOLSOS]],Tabla44[[#This Row],[VALOR TOTAL DEL CONTRATO INCLUIDO EL COMPONENTE DE ALIMENTACIÓN]])</f>
        <v>1</v>
      </c>
      <c r="BH271" s="29">
        <f>Tabla44[[#This Row],[TOTAL DESEMBOLSOS]]-Tabla44[[#This Row],[VALOR TOTAL DEL CONTRATO INCLUIDO EL COMPONENTE DE ALIMENTACIÓN]]</f>
        <v>0</v>
      </c>
      <c r="BI271" t="s">
        <v>98</v>
      </c>
    </row>
    <row r="272" spans="1:61">
      <c r="A272" s="13">
        <v>1993</v>
      </c>
      <c r="B272" s="13"/>
      <c r="C272" s="12" t="s">
        <v>87</v>
      </c>
      <c r="D272" s="12" t="s">
        <v>1628</v>
      </c>
      <c r="E272" s="12" t="s">
        <v>3318</v>
      </c>
      <c r="F272" s="12" t="s">
        <v>18</v>
      </c>
      <c r="G272" s="12" t="s">
        <v>90</v>
      </c>
      <c r="H272" s="12" t="s">
        <v>3340</v>
      </c>
      <c r="I272" s="36">
        <v>56861136326</v>
      </c>
      <c r="J272" s="12" t="s">
        <v>3341</v>
      </c>
      <c r="K272" s="12">
        <v>1</v>
      </c>
      <c r="L272" s="12">
        <v>14</v>
      </c>
      <c r="M272" s="12"/>
      <c r="N272" s="13">
        <v>1993</v>
      </c>
      <c r="O272" s="12" t="s">
        <v>2850</v>
      </c>
      <c r="P272" s="12"/>
      <c r="Q272" s="12"/>
      <c r="R272" s="12" t="s">
        <v>94</v>
      </c>
      <c r="S272" s="12">
        <v>10</v>
      </c>
      <c r="T272" s="12">
        <v>818001449</v>
      </c>
      <c r="U272" s="12" t="s">
        <v>3247</v>
      </c>
      <c r="V272" s="12">
        <f>VLOOKUP(Tabla44[[#This Row],[ZONA DEFINITIVO]],[1]Hoja1!$A$1:$D$125,3,0)</f>
        <v>229940</v>
      </c>
      <c r="W272" s="12">
        <f>VLOOKUP(Tabla44[[#This Row],[ZONA DEFINITIVO]],[1]Hoja1!$A$1:$D$125,2,0)</f>
        <v>17259</v>
      </c>
      <c r="X272" s="12">
        <f>VLOOKUP(Tabla44[[#This Row],[ZONA DEFINITIVO]],[1]Hoja1!$A$1:$D$125,4,0)</f>
        <v>104625</v>
      </c>
      <c r="Y272" s="12" t="str">
        <f>+IF(Tabla44[[#This Row],[AGRUPACIONES]]=1,SUMIFS(Tabla44[UDS],Tabla44[ZONA DEFINITIVO],Tabla44[[#This Row],[ZONA DEFINITIVO]])," ")</f>
        <v xml:space="preserve"> </v>
      </c>
      <c r="Z272" s="12" t="str">
        <f>+IF(Tabla44[[#This Row],[AGRUPACIONES]]=1,SUMIFS(Tabla44[TOTAL COBERTURA],Tabla44[ZONA DEFINITIVO],Tabla44[[#This Row],[ZONA DEFINITIVO]])," ")</f>
        <v xml:space="preserve"> </v>
      </c>
      <c r="AA272" s="12"/>
      <c r="AB272" s="35">
        <v>30522702</v>
      </c>
      <c r="AC272" s="37">
        <v>0</v>
      </c>
      <c r="AD272" s="35">
        <f t="shared" si="4"/>
        <v>0</v>
      </c>
      <c r="AE272" s="12"/>
      <c r="AF272" s="12">
        <f>COUNTIF($A$20:A272,A272)</f>
        <v>51</v>
      </c>
      <c r="AG272" s="38">
        <v>30522702</v>
      </c>
      <c r="AH272" s="38">
        <f>Tabla44[[#This Row],[VALOR CONTRAPARTIDA]]+Tabla44[[#This Row],[TOTAL APORTES ICBF]]</f>
        <v>30522702</v>
      </c>
      <c r="AI272" s="35" t="str">
        <f>+IF(Tabla44[[#This Row],[AGRUPACIONES]]=1,SUMIFS(Tabla44[TOTAL APORTES ICBF],Tabla44[ZONA DEFINITIVO],Tabla44[[#This Row],[ZONA DEFINITIVO]])," ")</f>
        <v xml:space="preserve"> </v>
      </c>
      <c r="AJ272" s="38"/>
      <c r="AK272" s="38"/>
      <c r="AL272" s="35"/>
      <c r="AM272" s="35">
        <f>VLOOKUP(Tabla44[[#This Row],[SERVICIO 2025]],$J$2:$V$15,5,0)*Tabla44[[#This Row],[TOTAL COBERTURA]]</f>
        <v>691264</v>
      </c>
      <c r="AN272" s="35">
        <f>VLOOKUP(Tabla44[[#This Row],[SERVICIO 2025]],$J$2:$V$15,6,0)*Tabla44[[#This Row],[TOTAL COBERTURA]]</f>
        <v>574406</v>
      </c>
      <c r="AO272" s="35">
        <f>VLOOKUP(Tabla44[[#This Row],[SERVICIO 2025]],$J$2:$V$15,8,0)*Tabla44[[#This Row],[TOTAL COBERTURA]]</f>
        <v>407400</v>
      </c>
      <c r="AP272" s="35">
        <f>VLOOKUP(Tabla44[[#This Row],[SERVICIO 2025]],$J$2:$V$15,3,0)*Tabla44[[#This Row],[TOTAL COBERTURA]]*8</f>
        <v>28849632</v>
      </c>
      <c r="AQ272" s="35"/>
      <c r="AR272" s="35">
        <f>SUM(Tabla44[[#This Row],[VALOR FASE PREPARATORIA DE ALISTAMIENTO]:[VALOR RACION PREPARADA]])</f>
        <v>30522702</v>
      </c>
      <c r="AS272" s="35" t="str">
        <f>+IF(Tabla44[[#This Row],[AGRUPACIONES]]=1,SUMIFS(Tabla44[VALOR TOTAL],Tabla44[ZONA DEFINITIVO],Tabla44[[#This Row],[ZONA DEFINITIVO]])," ")</f>
        <v xml:space="preserve"> </v>
      </c>
      <c r="AT272" s="35">
        <f>VLOOKUP(Tabla44[[#This Row],[SERVICIO 2025]],$J$2:$V$15,10,0)*Tabla44[[#This Row],[TOTAL COBERTURA]]*$X$7</f>
        <v>20202896</v>
      </c>
      <c r="AU272" s="39">
        <f>Tabla44[[#This Row],[TOTAL CONTRATO (ICBF+EAS)]]+Tabla44[[#This Row],[VALOR COMPONENTE ALIMENTACION NO ASIGNADO]]</f>
        <v>50725598</v>
      </c>
      <c r="AV27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272" s="35">
        <f>(VLOOKUP(Tabla44[[#This Row],[SERVICIO 2025]],$J$2:$V$15,3,0)*Tabla44[[#This Row],[TOTAL COBERTURA]])+VLOOKUP(Tabla44[[#This Row],[SERVICIO 2025]],$J$2:$V$15,10,0)*Tabla44[[#This Row],[TOTAL COBERTURA]]</f>
        <v>6131566</v>
      </c>
      <c r="AX272" s="35">
        <f>(VLOOKUP(Tabla44[[#This Row],[SERVICIO 2025]],$J$2:$V$15,3,0)*Tabla44[[#This Row],[TOTAL COBERTURA]])+VLOOKUP(Tabla44[[#This Row],[SERVICIO 2025]],$J$2:$V$15,10,0)*Tabla44[[#This Row],[TOTAL COBERTURA]]</f>
        <v>6131566</v>
      </c>
      <c r="AY272" s="35">
        <f>(VLOOKUP(Tabla44[[#This Row],[SERVICIO 2025]],$J$2:$V$15,3,0)*Tabla44[[#This Row],[TOTAL COBERTURA]])+VLOOKUP(Tabla44[[#This Row],[SERVICIO 2025]],$J$2:$V$15,10,0)*Tabla44[[#This Row],[TOTAL COBERTURA]]</f>
        <v>6131566</v>
      </c>
      <c r="AZ272" s="35">
        <f>(VLOOKUP(Tabla44[[#This Row],[SERVICIO 2025]],$J$2:$V$15,3,0)*Tabla44[[#This Row],[TOTAL COBERTURA]])+VLOOKUP(Tabla44[[#This Row],[SERVICIO 2025]],$J$2:$V$15,10,0)*Tabla44[[#This Row],[TOTAL COBERTURA]]</f>
        <v>6131566</v>
      </c>
      <c r="BA272" s="35">
        <f>(VLOOKUP(Tabla44[[#This Row],[SERVICIO 2025]],$J$2:$V$15,3,0)*Tabla44[[#This Row],[TOTAL COBERTURA]])+VLOOKUP(Tabla44[[#This Row],[SERVICIO 2025]],$J$2:$V$15,10,0)*Tabla44[[#This Row],[TOTAL COBERTURA]]</f>
        <v>6131566</v>
      </c>
      <c r="BB272" s="35">
        <f>(VLOOKUP(Tabla44[[#This Row],[SERVICIO 2025]],$J$2:$V$15,3,0)*Tabla44[[#This Row],[TOTAL COBERTURA]])+VLOOKUP(Tabla44[[#This Row],[SERVICIO 2025]],$J$2:$V$15,10,0)*Tabla44[[#This Row],[TOTAL COBERTURA]]</f>
        <v>6131566</v>
      </c>
      <c r="BC27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272" s="35">
        <f>SUM(Tabla44[[#This Row],[DESEMBOLSO 1]:[DESEMBOLSO 8]])</f>
        <v>50725598</v>
      </c>
      <c r="BE272" s="12" t="b">
        <f>EXACT(Tabla44[[#This Row],[VALOR ATENCIÓN (8 MESES)]],Tabla44[[#This Row],[VALOR TOTAL]])</f>
        <v>1</v>
      </c>
      <c r="BF272" s="23">
        <f>Tabla44[[#This Row],[VALOR ATENCIÓN (8 MESES)]]-Tabla44[[#This Row],[VALOR TOTAL]]</f>
        <v>0</v>
      </c>
      <c r="BG272" s="12" t="b">
        <f>EXACT(Tabla44[[#This Row],[TOTAL DESEMBOLSOS]],Tabla44[[#This Row],[VALOR TOTAL DEL CONTRATO INCLUIDO EL COMPONENTE DE ALIMENTACIÓN]])</f>
        <v>1</v>
      </c>
      <c r="BH272" s="29">
        <f>Tabla44[[#This Row],[TOTAL DESEMBOLSOS]]-Tabla44[[#This Row],[VALOR TOTAL DEL CONTRATO INCLUIDO EL COMPONENTE DE ALIMENTACIÓN]]</f>
        <v>0</v>
      </c>
      <c r="BI272" t="s">
        <v>98</v>
      </c>
    </row>
    <row r="273" spans="1:61">
      <c r="A273" s="13">
        <v>1993</v>
      </c>
      <c r="B273" s="13"/>
      <c r="C273" s="12" t="s">
        <v>87</v>
      </c>
      <c r="D273" s="12" t="s">
        <v>1628</v>
      </c>
      <c r="E273" s="12" t="s">
        <v>3318</v>
      </c>
      <c r="F273" s="12" t="s">
        <v>21</v>
      </c>
      <c r="G273" s="12" t="s">
        <v>90</v>
      </c>
      <c r="H273" s="12" t="s">
        <v>3342</v>
      </c>
      <c r="I273" s="36">
        <v>56861136329</v>
      </c>
      <c r="J273" s="12" t="s">
        <v>3343</v>
      </c>
      <c r="K273" s="12">
        <v>1</v>
      </c>
      <c r="L273" s="12">
        <v>6</v>
      </c>
      <c r="M273" s="12"/>
      <c r="N273" s="13">
        <v>1993</v>
      </c>
      <c r="O273" s="12" t="s">
        <v>2850</v>
      </c>
      <c r="P273" s="12"/>
      <c r="Q273" s="12"/>
      <c r="R273" s="12" t="s">
        <v>94</v>
      </c>
      <c r="S273" s="12">
        <v>10</v>
      </c>
      <c r="T273" s="12">
        <v>818001449</v>
      </c>
      <c r="U273" s="12" t="s">
        <v>3247</v>
      </c>
      <c r="V273" s="12">
        <f>VLOOKUP(Tabla44[[#This Row],[ZONA DEFINITIVO]],[1]Hoja1!$A$1:$D$125,3,0)</f>
        <v>229940</v>
      </c>
      <c r="W273" s="12">
        <f>VLOOKUP(Tabla44[[#This Row],[ZONA DEFINITIVO]],[1]Hoja1!$A$1:$D$125,2,0)</f>
        <v>17259</v>
      </c>
      <c r="X273" s="12">
        <f>VLOOKUP(Tabla44[[#This Row],[ZONA DEFINITIVO]],[1]Hoja1!$A$1:$D$125,4,0)</f>
        <v>104625</v>
      </c>
      <c r="Y273" s="12" t="str">
        <f>+IF(Tabla44[[#This Row],[AGRUPACIONES]]=1,SUMIFS(Tabla44[UDS],Tabla44[ZONA DEFINITIVO],Tabla44[[#This Row],[ZONA DEFINITIVO]])," ")</f>
        <v xml:space="preserve"> </v>
      </c>
      <c r="Z273" s="12" t="str">
        <f>+IF(Tabla44[[#This Row],[AGRUPACIONES]]=1,SUMIFS(Tabla44[TOTAL COBERTURA],Tabla44[ZONA DEFINITIVO],Tabla44[[#This Row],[ZONA DEFINITIVO]])," ")</f>
        <v xml:space="preserve"> </v>
      </c>
      <c r="AA273" s="12"/>
      <c r="AB273" s="35">
        <v>9115830</v>
      </c>
      <c r="AC273" s="37">
        <v>0</v>
      </c>
      <c r="AD273" s="35">
        <f t="shared" si="4"/>
        <v>0</v>
      </c>
      <c r="AE273" s="12"/>
      <c r="AF273" s="12">
        <f>COUNTIF($A$20:A273,A273)</f>
        <v>52</v>
      </c>
      <c r="AG273" s="38">
        <v>9115830</v>
      </c>
      <c r="AH273" s="38">
        <f>Tabla44[[#This Row],[VALOR CONTRAPARTIDA]]+Tabla44[[#This Row],[TOTAL APORTES ICBF]]</f>
        <v>9115830</v>
      </c>
      <c r="AI273" s="35" t="str">
        <f>+IF(Tabla44[[#This Row],[AGRUPACIONES]]=1,SUMIFS(Tabla44[TOTAL APORTES ICBF],Tabla44[ZONA DEFINITIVO],Tabla44[[#This Row],[ZONA DEFINITIVO]])," ")</f>
        <v xml:space="preserve"> </v>
      </c>
      <c r="AJ273" s="38"/>
      <c r="AK273" s="38"/>
      <c r="AL273" s="35"/>
      <c r="AM273" s="35">
        <f>VLOOKUP(Tabla44[[#This Row],[SERVICIO 2025]],$J$2:$V$15,5,0)*Tabla44[[#This Row],[TOTAL COBERTURA]]</f>
        <v>280464</v>
      </c>
      <c r="AN273" s="35">
        <f>VLOOKUP(Tabla44[[#This Row],[SERVICIO 2025]],$J$2:$V$15,6,0)*Tabla44[[#This Row],[TOTAL COBERTURA]]</f>
        <v>227046</v>
      </c>
      <c r="AO273" s="35">
        <f>VLOOKUP(Tabla44[[#This Row],[SERVICIO 2025]],$J$2:$V$15,8,0)*Tabla44[[#This Row],[TOTAL COBERTURA]]</f>
        <v>0</v>
      </c>
      <c r="AP273" s="35">
        <f>VLOOKUP(Tabla44[[#This Row],[SERVICIO 2025]],$J$2:$V$15,3,0)*Tabla44[[#This Row],[TOTAL COBERTURA]]*8</f>
        <v>8608320</v>
      </c>
      <c r="AQ273" s="35"/>
      <c r="AR273" s="35">
        <f>SUM(Tabla44[[#This Row],[VALOR FASE PREPARATORIA DE ALISTAMIENTO]:[VALOR RACION PREPARADA]])</f>
        <v>9115830</v>
      </c>
      <c r="AS273" s="35" t="str">
        <f>+IF(Tabla44[[#This Row],[AGRUPACIONES]]=1,SUMIFS(Tabla44[VALOR TOTAL],Tabla44[ZONA DEFINITIVO],Tabla44[[#This Row],[ZONA DEFINITIVO]])," ")</f>
        <v xml:space="preserve"> </v>
      </c>
      <c r="AT273" s="35">
        <f>VLOOKUP(Tabla44[[#This Row],[SERVICIO 2025]],$J$2:$V$15,10,0)*Tabla44[[#This Row],[TOTAL COBERTURA]]*$X$7</f>
        <v>9039408</v>
      </c>
      <c r="AU273" s="39">
        <f>Tabla44[[#This Row],[TOTAL CONTRATO (ICBF+EAS)]]+Tabla44[[#This Row],[VALOR COMPONENTE ALIMENTACION NO ASIGNADO]]</f>
        <v>18155238</v>
      </c>
      <c r="AV27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2486430</v>
      </c>
      <c r="AW273" s="35">
        <f>(VLOOKUP(Tabla44[[#This Row],[SERVICIO 2025]],$J$2:$V$15,3,0)*Tabla44[[#This Row],[TOTAL COBERTURA]])+VLOOKUP(Tabla44[[#This Row],[SERVICIO 2025]],$J$2:$V$15,10,0)*Tabla44[[#This Row],[TOTAL COBERTURA]]</f>
        <v>2205966</v>
      </c>
      <c r="AX273" s="35">
        <f>(VLOOKUP(Tabla44[[#This Row],[SERVICIO 2025]],$J$2:$V$15,3,0)*Tabla44[[#This Row],[TOTAL COBERTURA]])+VLOOKUP(Tabla44[[#This Row],[SERVICIO 2025]],$J$2:$V$15,10,0)*Tabla44[[#This Row],[TOTAL COBERTURA]]</f>
        <v>2205966</v>
      </c>
      <c r="AY273" s="35">
        <f>(VLOOKUP(Tabla44[[#This Row],[SERVICIO 2025]],$J$2:$V$15,3,0)*Tabla44[[#This Row],[TOTAL COBERTURA]])+VLOOKUP(Tabla44[[#This Row],[SERVICIO 2025]],$J$2:$V$15,10,0)*Tabla44[[#This Row],[TOTAL COBERTURA]]</f>
        <v>2205966</v>
      </c>
      <c r="AZ273" s="35">
        <f>(VLOOKUP(Tabla44[[#This Row],[SERVICIO 2025]],$J$2:$V$15,3,0)*Tabla44[[#This Row],[TOTAL COBERTURA]])+VLOOKUP(Tabla44[[#This Row],[SERVICIO 2025]],$J$2:$V$15,10,0)*Tabla44[[#This Row],[TOTAL COBERTURA]]</f>
        <v>2205966</v>
      </c>
      <c r="BA273" s="35">
        <f>(VLOOKUP(Tabla44[[#This Row],[SERVICIO 2025]],$J$2:$V$15,3,0)*Tabla44[[#This Row],[TOTAL COBERTURA]])+VLOOKUP(Tabla44[[#This Row],[SERVICIO 2025]],$J$2:$V$15,10,0)*Tabla44[[#This Row],[TOTAL COBERTURA]]</f>
        <v>2205966</v>
      </c>
      <c r="BB273" s="35">
        <f>(VLOOKUP(Tabla44[[#This Row],[SERVICIO 2025]],$J$2:$V$15,3,0)*Tabla44[[#This Row],[TOTAL COBERTURA]])+VLOOKUP(Tabla44[[#This Row],[SERVICIO 2025]],$J$2:$V$15,10,0)*Tabla44[[#This Row],[TOTAL COBERTURA]]</f>
        <v>2205966</v>
      </c>
      <c r="BC27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2433012</v>
      </c>
      <c r="BD273" s="35">
        <f>SUM(Tabla44[[#This Row],[DESEMBOLSO 1]:[DESEMBOLSO 8]])</f>
        <v>18155238</v>
      </c>
      <c r="BE273" s="12" t="b">
        <f>EXACT(Tabla44[[#This Row],[VALOR ATENCIÓN (8 MESES)]],Tabla44[[#This Row],[VALOR TOTAL]])</f>
        <v>1</v>
      </c>
      <c r="BF273" s="23">
        <f>Tabla44[[#This Row],[VALOR ATENCIÓN (8 MESES)]]-Tabla44[[#This Row],[VALOR TOTAL]]</f>
        <v>0</v>
      </c>
      <c r="BG273" s="12" t="b">
        <f>EXACT(Tabla44[[#This Row],[TOTAL DESEMBOLSOS]],Tabla44[[#This Row],[VALOR TOTAL DEL CONTRATO INCLUIDO EL COMPONENTE DE ALIMENTACIÓN]])</f>
        <v>1</v>
      </c>
      <c r="BH273" s="29">
        <f>Tabla44[[#This Row],[TOTAL DESEMBOLSOS]]-Tabla44[[#This Row],[VALOR TOTAL DEL CONTRATO INCLUIDO EL COMPONENTE DE ALIMENTACIÓN]]</f>
        <v>0</v>
      </c>
      <c r="BI273" t="s">
        <v>98</v>
      </c>
    </row>
    <row r="274" spans="1:61">
      <c r="A274" s="13">
        <v>1993</v>
      </c>
      <c r="B274" s="13"/>
      <c r="C274" s="12" t="s">
        <v>87</v>
      </c>
      <c r="D274" s="12" t="s">
        <v>1628</v>
      </c>
      <c r="E274" s="12" t="s">
        <v>3318</v>
      </c>
      <c r="F274" s="12" t="s">
        <v>21</v>
      </c>
      <c r="G274" s="12" t="s">
        <v>90</v>
      </c>
      <c r="H274" s="12" t="s">
        <v>3344</v>
      </c>
      <c r="I274" s="36">
        <v>56861136359</v>
      </c>
      <c r="J274" s="12" t="s">
        <v>3345</v>
      </c>
      <c r="K274" s="12">
        <v>1</v>
      </c>
      <c r="L274" s="12">
        <v>20</v>
      </c>
      <c r="M274" s="12"/>
      <c r="N274" s="13">
        <v>1993</v>
      </c>
      <c r="O274" s="12" t="s">
        <v>2850</v>
      </c>
      <c r="P274" s="12"/>
      <c r="Q274" s="12"/>
      <c r="R274" s="12" t="s">
        <v>94</v>
      </c>
      <c r="S274" s="12">
        <v>10</v>
      </c>
      <c r="T274" s="12">
        <v>818001449</v>
      </c>
      <c r="U274" s="12" t="s">
        <v>3247</v>
      </c>
      <c r="V274" s="12">
        <f>VLOOKUP(Tabla44[[#This Row],[ZONA DEFINITIVO]],[1]Hoja1!$A$1:$D$125,3,0)</f>
        <v>229940</v>
      </c>
      <c r="W274" s="12">
        <f>VLOOKUP(Tabla44[[#This Row],[ZONA DEFINITIVO]],[1]Hoja1!$A$1:$D$125,2,0)</f>
        <v>17259</v>
      </c>
      <c r="X274" s="12">
        <f>VLOOKUP(Tabla44[[#This Row],[ZONA DEFINITIVO]],[1]Hoja1!$A$1:$D$125,4,0)</f>
        <v>104625</v>
      </c>
      <c r="Y274" s="12" t="str">
        <f>+IF(Tabla44[[#This Row],[AGRUPACIONES]]=1,SUMIFS(Tabla44[UDS],Tabla44[ZONA DEFINITIVO],Tabla44[[#This Row],[ZONA DEFINITIVO]])," ")</f>
        <v xml:space="preserve"> </v>
      </c>
      <c r="Z274" s="12" t="str">
        <f>+IF(Tabla44[[#This Row],[AGRUPACIONES]]=1,SUMIFS(Tabla44[TOTAL COBERTURA],Tabla44[ZONA DEFINITIVO],Tabla44[[#This Row],[ZONA DEFINITIVO]])," ")</f>
        <v xml:space="preserve"> </v>
      </c>
      <c r="AA274" s="12"/>
      <c r="AB274" s="35">
        <v>30386100</v>
      </c>
      <c r="AC274" s="37">
        <v>0</v>
      </c>
      <c r="AD274" s="35">
        <f t="shared" si="4"/>
        <v>0</v>
      </c>
      <c r="AE274" s="12"/>
      <c r="AF274" s="12">
        <f>COUNTIF($A$20:A274,A274)</f>
        <v>53</v>
      </c>
      <c r="AG274" s="38">
        <v>30386100</v>
      </c>
      <c r="AH274" s="38">
        <f>Tabla44[[#This Row],[VALOR CONTRAPARTIDA]]+Tabla44[[#This Row],[TOTAL APORTES ICBF]]</f>
        <v>30386100</v>
      </c>
      <c r="AI274" s="35" t="str">
        <f>+IF(Tabla44[[#This Row],[AGRUPACIONES]]=1,SUMIFS(Tabla44[TOTAL APORTES ICBF],Tabla44[ZONA DEFINITIVO],Tabla44[[#This Row],[ZONA DEFINITIVO]])," ")</f>
        <v xml:space="preserve"> </v>
      </c>
      <c r="AJ274" s="38"/>
      <c r="AK274" s="38"/>
      <c r="AL274" s="35"/>
      <c r="AM274" s="35">
        <f>VLOOKUP(Tabla44[[#This Row],[SERVICIO 2025]],$J$2:$V$15,5,0)*Tabla44[[#This Row],[TOTAL COBERTURA]]</f>
        <v>934880</v>
      </c>
      <c r="AN274" s="35">
        <f>VLOOKUP(Tabla44[[#This Row],[SERVICIO 2025]],$J$2:$V$15,6,0)*Tabla44[[#This Row],[TOTAL COBERTURA]]</f>
        <v>756820</v>
      </c>
      <c r="AO274" s="35">
        <f>VLOOKUP(Tabla44[[#This Row],[SERVICIO 2025]],$J$2:$V$15,8,0)*Tabla44[[#This Row],[TOTAL COBERTURA]]</f>
        <v>0</v>
      </c>
      <c r="AP274" s="35">
        <f>VLOOKUP(Tabla44[[#This Row],[SERVICIO 2025]],$J$2:$V$15,3,0)*Tabla44[[#This Row],[TOTAL COBERTURA]]*8</f>
        <v>28694400</v>
      </c>
      <c r="AQ274" s="35"/>
      <c r="AR274" s="35">
        <f>SUM(Tabla44[[#This Row],[VALOR FASE PREPARATORIA DE ALISTAMIENTO]:[VALOR RACION PREPARADA]])</f>
        <v>30386100</v>
      </c>
      <c r="AS274" s="35" t="str">
        <f>+IF(Tabla44[[#This Row],[AGRUPACIONES]]=1,SUMIFS(Tabla44[VALOR TOTAL],Tabla44[ZONA DEFINITIVO],Tabla44[[#This Row],[ZONA DEFINITIVO]])," ")</f>
        <v xml:space="preserve"> </v>
      </c>
      <c r="AT274" s="35">
        <f>VLOOKUP(Tabla44[[#This Row],[SERVICIO 2025]],$J$2:$V$15,10,0)*Tabla44[[#This Row],[TOTAL COBERTURA]]*$X$7</f>
        <v>30131360</v>
      </c>
      <c r="AU274" s="39">
        <f>Tabla44[[#This Row],[TOTAL CONTRATO (ICBF+EAS)]]+Tabla44[[#This Row],[VALOR COMPONENTE ALIMENTACION NO ASIGNADO]]</f>
        <v>60517460</v>
      </c>
      <c r="AV27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8288100</v>
      </c>
      <c r="AW274" s="35">
        <f>(VLOOKUP(Tabla44[[#This Row],[SERVICIO 2025]],$J$2:$V$15,3,0)*Tabla44[[#This Row],[TOTAL COBERTURA]])+VLOOKUP(Tabla44[[#This Row],[SERVICIO 2025]],$J$2:$V$15,10,0)*Tabla44[[#This Row],[TOTAL COBERTURA]]</f>
        <v>7353220</v>
      </c>
      <c r="AX274" s="35">
        <f>(VLOOKUP(Tabla44[[#This Row],[SERVICIO 2025]],$J$2:$V$15,3,0)*Tabla44[[#This Row],[TOTAL COBERTURA]])+VLOOKUP(Tabla44[[#This Row],[SERVICIO 2025]],$J$2:$V$15,10,0)*Tabla44[[#This Row],[TOTAL COBERTURA]]</f>
        <v>7353220</v>
      </c>
      <c r="AY274" s="35">
        <f>(VLOOKUP(Tabla44[[#This Row],[SERVICIO 2025]],$J$2:$V$15,3,0)*Tabla44[[#This Row],[TOTAL COBERTURA]])+VLOOKUP(Tabla44[[#This Row],[SERVICIO 2025]],$J$2:$V$15,10,0)*Tabla44[[#This Row],[TOTAL COBERTURA]]</f>
        <v>7353220</v>
      </c>
      <c r="AZ274" s="35">
        <f>(VLOOKUP(Tabla44[[#This Row],[SERVICIO 2025]],$J$2:$V$15,3,0)*Tabla44[[#This Row],[TOTAL COBERTURA]])+VLOOKUP(Tabla44[[#This Row],[SERVICIO 2025]],$J$2:$V$15,10,0)*Tabla44[[#This Row],[TOTAL COBERTURA]]</f>
        <v>7353220</v>
      </c>
      <c r="BA274" s="35">
        <f>(VLOOKUP(Tabla44[[#This Row],[SERVICIO 2025]],$J$2:$V$15,3,0)*Tabla44[[#This Row],[TOTAL COBERTURA]])+VLOOKUP(Tabla44[[#This Row],[SERVICIO 2025]],$J$2:$V$15,10,0)*Tabla44[[#This Row],[TOTAL COBERTURA]]</f>
        <v>7353220</v>
      </c>
      <c r="BB274" s="35">
        <f>(VLOOKUP(Tabla44[[#This Row],[SERVICIO 2025]],$J$2:$V$15,3,0)*Tabla44[[#This Row],[TOTAL COBERTURA]])+VLOOKUP(Tabla44[[#This Row],[SERVICIO 2025]],$J$2:$V$15,10,0)*Tabla44[[#This Row],[TOTAL COBERTURA]]</f>
        <v>7353220</v>
      </c>
      <c r="BC27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8110040</v>
      </c>
      <c r="BD274" s="35">
        <f>SUM(Tabla44[[#This Row],[DESEMBOLSO 1]:[DESEMBOLSO 8]])</f>
        <v>60517460</v>
      </c>
      <c r="BE274" s="12" t="b">
        <f>EXACT(Tabla44[[#This Row],[VALOR ATENCIÓN (8 MESES)]],Tabla44[[#This Row],[VALOR TOTAL]])</f>
        <v>1</v>
      </c>
      <c r="BF274" s="23">
        <f>Tabla44[[#This Row],[VALOR ATENCIÓN (8 MESES)]]-Tabla44[[#This Row],[VALOR TOTAL]]</f>
        <v>0</v>
      </c>
      <c r="BG274" s="12" t="b">
        <f>EXACT(Tabla44[[#This Row],[TOTAL DESEMBOLSOS]],Tabla44[[#This Row],[VALOR TOTAL DEL CONTRATO INCLUIDO EL COMPONENTE DE ALIMENTACIÓN]])</f>
        <v>1</v>
      </c>
      <c r="BH274" s="29">
        <f>Tabla44[[#This Row],[TOTAL DESEMBOLSOS]]-Tabla44[[#This Row],[VALOR TOTAL DEL CONTRATO INCLUIDO EL COMPONENTE DE ALIMENTACIÓN]]</f>
        <v>0</v>
      </c>
      <c r="BI274" t="s">
        <v>98</v>
      </c>
    </row>
    <row r="275" spans="1:61">
      <c r="A275" s="13">
        <v>1993</v>
      </c>
      <c r="B275" s="13"/>
      <c r="C275" s="12" t="s">
        <v>87</v>
      </c>
      <c r="D275" s="12" t="s">
        <v>1628</v>
      </c>
      <c r="E275" s="12" t="s">
        <v>3318</v>
      </c>
      <c r="F275" s="12" t="s">
        <v>21</v>
      </c>
      <c r="G275" s="12" t="s">
        <v>90</v>
      </c>
      <c r="H275" s="12" t="s">
        <v>3346</v>
      </c>
      <c r="I275" s="36">
        <v>56861136370</v>
      </c>
      <c r="J275" s="12" t="s">
        <v>3347</v>
      </c>
      <c r="K275" s="12">
        <v>1</v>
      </c>
      <c r="L275" s="12">
        <v>12</v>
      </c>
      <c r="M275" s="12"/>
      <c r="N275" s="13">
        <v>1993</v>
      </c>
      <c r="O275" s="12" t="s">
        <v>2850</v>
      </c>
      <c r="P275" s="12"/>
      <c r="Q275" s="12"/>
      <c r="R275" s="12" t="s">
        <v>94</v>
      </c>
      <c r="S275" s="12">
        <v>10</v>
      </c>
      <c r="T275" s="12">
        <v>818001449</v>
      </c>
      <c r="U275" s="12" t="s">
        <v>3247</v>
      </c>
      <c r="V275" s="12">
        <f>VLOOKUP(Tabla44[[#This Row],[ZONA DEFINITIVO]],[1]Hoja1!$A$1:$D$125,3,0)</f>
        <v>229940</v>
      </c>
      <c r="W275" s="12">
        <f>VLOOKUP(Tabla44[[#This Row],[ZONA DEFINITIVO]],[1]Hoja1!$A$1:$D$125,2,0)</f>
        <v>17259</v>
      </c>
      <c r="X275" s="12">
        <f>VLOOKUP(Tabla44[[#This Row],[ZONA DEFINITIVO]],[1]Hoja1!$A$1:$D$125,4,0)</f>
        <v>104625</v>
      </c>
      <c r="Y275" s="12" t="str">
        <f>+IF(Tabla44[[#This Row],[AGRUPACIONES]]=1,SUMIFS(Tabla44[UDS],Tabla44[ZONA DEFINITIVO],Tabla44[[#This Row],[ZONA DEFINITIVO]])," ")</f>
        <v xml:space="preserve"> </v>
      </c>
      <c r="Z275" s="12" t="str">
        <f>+IF(Tabla44[[#This Row],[AGRUPACIONES]]=1,SUMIFS(Tabla44[TOTAL COBERTURA],Tabla44[ZONA DEFINITIVO],Tabla44[[#This Row],[ZONA DEFINITIVO]])," ")</f>
        <v xml:space="preserve"> </v>
      </c>
      <c r="AA275" s="12"/>
      <c r="AB275" s="35">
        <v>18231660</v>
      </c>
      <c r="AC275" s="37">
        <v>0</v>
      </c>
      <c r="AD275" s="35">
        <f t="shared" si="4"/>
        <v>0</v>
      </c>
      <c r="AE275" s="12"/>
      <c r="AF275" s="12">
        <f>COUNTIF($A$20:A275,A275)</f>
        <v>54</v>
      </c>
      <c r="AG275" s="38">
        <v>18231660</v>
      </c>
      <c r="AH275" s="38">
        <f>Tabla44[[#This Row],[VALOR CONTRAPARTIDA]]+Tabla44[[#This Row],[TOTAL APORTES ICBF]]</f>
        <v>18231660</v>
      </c>
      <c r="AI275" s="35" t="str">
        <f>+IF(Tabla44[[#This Row],[AGRUPACIONES]]=1,SUMIFS(Tabla44[TOTAL APORTES ICBF],Tabla44[ZONA DEFINITIVO],Tabla44[[#This Row],[ZONA DEFINITIVO]])," ")</f>
        <v xml:space="preserve"> </v>
      </c>
      <c r="AJ275" s="38"/>
      <c r="AK275" s="38"/>
      <c r="AL275" s="35"/>
      <c r="AM275" s="35">
        <f>VLOOKUP(Tabla44[[#This Row],[SERVICIO 2025]],$J$2:$V$15,5,0)*Tabla44[[#This Row],[TOTAL COBERTURA]]</f>
        <v>560928</v>
      </c>
      <c r="AN275" s="35">
        <f>VLOOKUP(Tabla44[[#This Row],[SERVICIO 2025]],$J$2:$V$15,6,0)*Tabla44[[#This Row],[TOTAL COBERTURA]]</f>
        <v>454092</v>
      </c>
      <c r="AO275" s="35">
        <f>VLOOKUP(Tabla44[[#This Row],[SERVICIO 2025]],$J$2:$V$15,8,0)*Tabla44[[#This Row],[TOTAL COBERTURA]]</f>
        <v>0</v>
      </c>
      <c r="AP275" s="35">
        <f>VLOOKUP(Tabla44[[#This Row],[SERVICIO 2025]],$J$2:$V$15,3,0)*Tabla44[[#This Row],[TOTAL COBERTURA]]*8</f>
        <v>17216640</v>
      </c>
      <c r="AQ275" s="35"/>
      <c r="AR275" s="35">
        <f>SUM(Tabla44[[#This Row],[VALOR FASE PREPARATORIA DE ALISTAMIENTO]:[VALOR RACION PREPARADA]])</f>
        <v>18231660</v>
      </c>
      <c r="AS275" s="35" t="str">
        <f>+IF(Tabla44[[#This Row],[AGRUPACIONES]]=1,SUMIFS(Tabla44[VALOR TOTAL],Tabla44[ZONA DEFINITIVO],Tabla44[[#This Row],[ZONA DEFINITIVO]])," ")</f>
        <v xml:space="preserve"> </v>
      </c>
      <c r="AT275" s="35">
        <f>VLOOKUP(Tabla44[[#This Row],[SERVICIO 2025]],$J$2:$V$15,10,0)*Tabla44[[#This Row],[TOTAL COBERTURA]]*$X$7</f>
        <v>18078816</v>
      </c>
      <c r="AU275" s="39">
        <f>Tabla44[[#This Row],[TOTAL CONTRATO (ICBF+EAS)]]+Tabla44[[#This Row],[VALOR COMPONENTE ALIMENTACION NO ASIGNADO]]</f>
        <v>36310476</v>
      </c>
      <c r="AV27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4972860</v>
      </c>
      <c r="AW275" s="35">
        <f>(VLOOKUP(Tabla44[[#This Row],[SERVICIO 2025]],$J$2:$V$15,3,0)*Tabla44[[#This Row],[TOTAL COBERTURA]])+VLOOKUP(Tabla44[[#This Row],[SERVICIO 2025]],$J$2:$V$15,10,0)*Tabla44[[#This Row],[TOTAL COBERTURA]]</f>
        <v>4411932</v>
      </c>
      <c r="AX275" s="35">
        <f>(VLOOKUP(Tabla44[[#This Row],[SERVICIO 2025]],$J$2:$V$15,3,0)*Tabla44[[#This Row],[TOTAL COBERTURA]])+VLOOKUP(Tabla44[[#This Row],[SERVICIO 2025]],$J$2:$V$15,10,0)*Tabla44[[#This Row],[TOTAL COBERTURA]]</f>
        <v>4411932</v>
      </c>
      <c r="AY275" s="35">
        <f>(VLOOKUP(Tabla44[[#This Row],[SERVICIO 2025]],$J$2:$V$15,3,0)*Tabla44[[#This Row],[TOTAL COBERTURA]])+VLOOKUP(Tabla44[[#This Row],[SERVICIO 2025]],$J$2:$V$15,10,0)*Tabla44[[#This Row],[TOTAL COBERTURA]]</f>
        <v>4411932</v>
      </c>
      <c r="AZ275" s="35">
        <f>(VLOOKUP(Tabla44[[#This Row],[SERVICIO 2025]],$J$2:$V$15,3,0)*Tabla44[[#This Row],[TOTAL COBERTURA]])+VLOOKUP(Tabla44[[#This Row],[SERVICIO 2025]],$J$2:$V$15,10,0)*Tabla44[[#This Row],[TOTAL COBERTURA]]</f>
        <v>4411932</v>
      </c>
      <c r="BA275" s="35">
        <f>(VLOOKUP(Tabla44[[#This Row],[SERVICIO 2025]],$J$2:$V$15,3,0)*Tabla44[[#This Row],[TOTAL COBERTURA]])+VLOOKUP(Tabla44[[#This Row],[SERVICIO 2025]],$J$2:$V$15,10,0)*Tabla44[[#This Row],[TOTAL COBERTURA]]</f>
        <v>4411932</v>
      </c>
      <c r="BB275" s="35">
        <f>(VLOOKUP(Tabla44[[#This Row],[SERVICIO 2025]],$J$2:$V$15,3,0)*Tabla44[[#This Row],[TOTAL COBERTURA]])+VLOOKUP(Tabla44[[#This Row],[SERVICIO 2025]],$J$2:$V$15,10,0)*Tabla44[[#This Row],[TOTAL COBERTURA]]</f>
        <v>4411932</v>
      </c>
      <c r="BC27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4866024</v>
      </c>
      <c r="BD275" s="35">
        <f>SUM(Tabla44[[#This Row],[DESEMBOLSO 1]:[DESEMBOLSO 8]])</f>
        <v>36310476</v>
      </c>
      <c r="BE275" s="12" t="b">
        <f>EXACT(Tabla44[[#This Row],[VALOR ATENCIÓN (8 MESES)]],Tabla44[[#This Row],[VALOR TOTAL]])</f>
        <v>1</v>
      </c>
      <c r="BF275" s="23">
        <f>Tabla44[[#This Row],[VALOR ATENCIÓN (8 MESES)]]-Tabla44[[#This Row],[VALOR TOTAL]]</f>
        <v>0</v>
      </c>
      <c r="BG275" s="12" t="b">
        <f>EXACT(Tabla44[[#This Row],[TOTAL DESEMBOLSOS]],Tabla44[[#This Row],[VALOR TOTAL DEL CONTRATO INCLUIDO EL COMPONENTE DE ALIMENTACIÓN]])</f>
        <v>1</v>
      </c>
      <c r="BH275" s="29">
        <f>Tabla44[[#This Row],[TOTAL DESEMBOLSOS]]-Tabla44[[#This Row],[VALOR TOTAL DEL CONTRATO INCLUIDO EL COMPONENTE DE ALIMENTACIÓN]]</f>
        <v>0</v>
      </c>
      <c r="BI275" t="s">
        <v>98</v>
      </c>
    </row>
    <row r="276" spans="1:61">
      <c r="A276" s="13">
        <v>1993</v>
      </c>
      <c r="B276" s="13"/>
      <c r="C276" s="12" t="s">
        <v>87</v>
      </c>
      <c r="D276" s="12" t="s">
        <v>1628</v>
      </c>
      <c r="E276" s="12" t="s">
        <v>3318</v>
      </c>
      <c r="F276" s="12" t="s">
        <v>21</v>
      </c>
      <c r="G276" s="12" t="s">
        <v>90</v>
      </c>
      <c r="H276" s="12" t="s">
        <v>3348</v>
      </c>
      <c r="I276" s="36">
        <v>56861136426</v>
      </c>
      <c r="J276" s="12" t="s">
        <v>3349</v>
      </c>
      <c r="K276" s="12">
        <v>1</v>
      </c>
      <c r="L276" s="12">
        <v>5</v>
      </c>
      <c r="M276" s="12"/>
      <c r="N276" s="13">
        <v>1993</v>
      </c>
      <c r="O276" s="12" t="s">
        <v>2850</v>
      </c>
      <c r="P276" s="12"/>
      <c r="Q276" s="12"/>
      <c r="R276" s="12" t="s">
        <v>94</v>
      </c>
      <c r="S276" s="12">
        <v>10</v>
      </c>
      <c r="T276" s="12">
        <v>818001449</v>
      </c>
      <c r="U276" s="12" t="s">
        <v>3247</v>
      </c>
      <c r="V276" s="12">
        <f>VLOOKUP(Tabla44[[#This Row],[ZONA DEFINITIVO]],[1]Hoja1!$A$1:$D$125,3,0)</f>
        <v>229940</v>
      </c>
      <c r="W276" s="12">
        <f>VLOOKUP(Tabla44[[#This Row],[ZONA DEFINITIVO]],[1]Hoja1!$A$1:$D$125,2,0)</f>
        <v>17259</v>
      </c>
      <c r="X276" s="12">
        <f>VLOOKUP(Tabla44[[#This Row],[ZONA DEFINITIVO]],[1]Hoja1!$A$1:$D$125,4,0)</f>
        <v>104625</v>
      </c>
      <c r="Y276" s="12" t="str">
        <f>+IF(Tabla44[[#This Row],[AGRUPACIONES]]=1,SUMIFS(Tabla44[UDS],Tabla44[ZONA DEFINITIVO],Tabla44[[#This Row],[ZONA DEFINITIVO]])," ")</f>
        <v xml:space="preserve"> </v>
      </c>
      <c r="Z276" s="12" t="str">
        <f>+IF(Tabla44[[#This Row],[AGRUPACIONES]]=1,SUMIFS(Tabla44[TOTAL COBERTURA],Tabla44[ZONA DEFINITIVO],Tabla44[[#This Row],[ZONA DEFINITIVO]])," ")</f>
        <v xml:space="preserve"> </v>
      </c>
      <c r="AA276" s="12"/>
      <c r="AB276" s="35">
        <v>7596525</v>
      </c>
      <c r="AC276" s="37">
        <v>0</v>
      </c>
      <c r="AD276" s="35">
        <f t="shared" ref="AD276:AD339" si="5">AB276*AC276</f>
        <v>0</v>
      </c>
      <c r="AE276" s="12"/>
      <c r="AF276" s="12">
        <f>COUNTIF($A$20:A276,A276)</f>
        <v>55</v>
      </c>
      <c r="AG276" s="38">
        <v>7596525</v>
      </c>
      <c r="AH276" s="38">
        <f>Tabla44[[#This Row],[VALOR CONTRAPARTIDA]]+Tabla44[[#This Row],[TOTAL APORTES ICBF]]</f>
        <v>7596525</v>
      </c>
      <c r="AI276" s="35" t="str">
        <f>+IF(Tabla44[[#This Row],[AGRUPACIONES]]=1,SUMIFS(Tabla44[TOTAL APORTES ICBF],Tabla44[ZONA DEFINITIVO],Tabla44[[#This Row],[ZONA DEFINITIVO]])," ")</f>
        <v xml:space="preserve"> </v>
      </c>
      <c r="AJ276" s="38"/>
      <c r="AK276" s="38"/>
      <c r="AL276" s="35"/>
      <c r="AM276" s="35">
        <f>VLOOKUP(Tabla44[[#This Row],[SERVICIO 2025]],$J$2:$V$15,5,0)*Tabla44[[#This Row],[TOTAL COBERTURA]]</f>
        <v>233720</v>
      </c>
      <c r="AN276" s="35">
        <f>VLOOKUP(Tabla44[[#This Row],[SERVICIO 2025]],$J$2:$V$15,6,0)*Tabla44[[#This Row],[TOTAL COBERTURA]]</f>
        <v>189205</v>
      </c>
      <c r="AO276" s="35">
        <f>VLOOKUP(Tabla44[[#This Row],[SERVICIO 2025]],$J$2:$V$15,8,0)*Tabla44[[#This Row],[TOTAL COBERTURA]]</f>
        <v>0</v>
      </c>
      <c r="AP276" s="35">
        <f>VLOOKUP(Tabla44[[#This Row],[SERVICIO 2025]],$J$2:$V$15,3,0)*Tabla44[[#This Row],[TOTAL COBERTURA]]*8</f>
        <v>7173600</v>
      </c>
      <c r="AQ276" s="35"/>
      <c r="AR276" s="35">
        <f>SUM(Tabla44[[#This Row],[VALOR FASE PREPARATORIA DE ALISTAMIENTO]:[VALOR RACION PREPARADA]])</f>
        <v>7596525</v>
      </c>
      <c r="AS276" s="35" t="str">
        <f>+IF(Tabla44[[#This Row],[AGRUPACIONES]]=1,SUMIFS(Tabla44[VALOR TOTAL],Tabla44[ZONA DEFINITIVO],Tabla44[[#This Row],[ZONA DEFINITIVO]])," ")</f>
        <v xml:space="preserve"> </v>
      </c>
      <c r="AT276" s="35">
        <f>VLOOKUP(Tabla44[[#This Row],[SERVICIO 2025]],$J$2:$V$15,10,0)*Tabla44[[#This Row],[TOTAL COBERTURA]]*$X$7</f>
        <v>7532840</v>
      </c>
      <c r="AU276" s="39">
        <f>Tabla44[[#This Row],[TOTAL CONTRATO (ICBF+EAS)]]+Tabla44[[#This Row],[VALOR COMPONENTE ALIMENTACION NO ASIGNADO]]</f>
        <v>15129365</v>
      </c>
      <c r="AV27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</v>
      </c>
      <c r="AW276" s="35">
        <f>(VLOOKUP(Tabla44[[#This Row],[SERVICIO 2025]],$J$2:$V$15,3,0)*Tabla44[[#This Row],[TOTAL COBERTURA]])+VLOOKUP(Tabla44[[#This Row],[SERVICIO 2025]],$J$2:$V$15,10,0)*Tabla44[[#This Row],[TOTAL COBERTURA]]</f>
        <v>1838305</v>
      </c>
      <c r="AX276" s="35">
        <f>(VLOOKUP(Tabla44[[#This Row],[SERVICIO 2025]],$J$2:$V$15,3,0)*Tabla44[[#This Row],[TOTAL COBERTURA]])+VLOOKUP(Tabla44[[#This Row],[SERVICIO 2025]],$J$2:$V$15,10,0)*Tabla44[[#This Row],[TOTAL COBERTURA]]</f>
        <v>1838305</v>
      </c>
      <c r="AY276" s="35">
        <f>(VLOOKUP(Tabla44[[#This Row],[SERVICIO 2025]],$J$2:$V$15,3,0)*Tabla44[[#This Row],[TOTAL COBERTURA]])+VLOOKUP(Tabla44[[#This Row],[SERVICIO 2025]],$J$2:$V$15,10,0)*Tabla44[[#This Row],[TOTAL COBERTURA]]</f>
        <v>1838305</v>
      </c>
      <c r="AZ276" s="35">
        <f>(VLOOKUP(Tabla44[[#This Row],[SERVICIO 2025]],$J$2:$V$15,3,0)*Tabla44[[#This Row],[TOTAL COBERTURA]])+VLOOKUP(Tabla44[[#This Row],[SERVICIO 2025]],$J$2:$V$15,10,0)*Tabla44[[#This Row],[TOTAL COBERTURA]]</f>
        <v>1838305</v>
      </c>
      <c r="BA276" s="35">
        <f>(VLOOKUP(Tabla44[[#This Row],[SERVICIO 2025]],$J$2:$V$15,3,0)*Tabla44[[#This Row],[TOTAL COBERTURA]])+VLOOKUP(Tabla44[[#This Row],[SERVICIO 2025]],$J$2:$V$15,10,0)*Tabla44[[#This Row],[TOTAL COBERTURA]]</f>
        <v>1838305</v>
      </c>
      <c r="BB276" s="35">
        <f>(VLOOKUP(Tabla44[[#This Row],[SERVICIO 2025]],$J$2:$V$15,3,0)*Tabla44[[#This Row],[TOTAL COBERTURA]])+VLOOKUP(Tabla44[[#This Row],[SERVICIO 2025]],$J$2:$V$15,10,0)*Tabla44[[#This Row],[TOTAL COBERTURA]]</f>
        <v>1838305</v>
      </c>
      <c r="BC27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</v>
      </c>
      <c r="BD276" s="35">
        <f>SUM(Tabla44[[#This Row],[DESEMBOLSO 1]:[DESEMBOLSO 8]])</f>
        <v>15129365</v>
      </c>
      <c r="BE276" s="12" t="b">
        <f>EXACT(Tabla44[[#This Row],[VALOR ATENCIÓN (8 MESES)]],Tabla44[[#This Row],[VALOR TOTAL]])</f>
        <v>1</v>
      </c>
      <c r="BF276" s="23">
        <f>Tabla44[[#This Row],[VALOR ATENCIÓN (8 MESES)]]-Tabla44[[#This Row],[VALOR TOTAL]]</f>
        <v>0</v>
      </c>
      <c r="BG276" s="12" t="b">
        <f>EXACT(Tabla44[[#This Row],[TOTAL DESEMBOLSOS]],Tabla44[[#This Row],[VALOR TOTAL DEL CONTRATO INCLUIDO EL COMPONENTE DE ALIMENTACIÓN]])</f>
        <v>1</v>
      </c>
      <c r="BH276" s="29">
        <f>Tabla44[[#This Row],[TOTAL DESEMBOLSOS]]-Tabla44[[#This Row],[VALOR TOTAL DEL CONTRATO INCLUIDO EL COMPONENTE DE ALIMENTACIÓN]]</f>
        <v>0</v>
      </c>
      <c r="BI276" t="s">
        <v>98</v>
      </c>
    </row>
    <row r="277" spans="1:61">
      <c r="A277" s="13">
        <v>1993</v>
      </c>
      <c r="B277" s="13"/>
      <c r="C277" s="12" t="s">
        <v>87</v>
      </c>
      <c r="D277" s="12" t="s">
        <v>1628</v>
      </c>
      <c r="E277" s="12" t="s">
        <v>3318</v>
      </c>
      <c r="F277" s="12" t="s">
        <v>21</v>
      </c>
      <c r="G277" s="12" t="s">
        <v>90</v>
      </c>
      <c r="H277" s="12" t="s">
        <v>1029</v>
      </c>
      <c r="I277" s="36">
        <v>56861136427</v>
      </c>
      <c r="J277" s="12" t="s">
        <v>3350</v>
      </c>
      <c r="K277" s="12">
        <v>1</v>
      </c>
      <c r="L277" s="12">
        <v>14</v>
      </c>
      <c r="M277" s="12"/>
      <c r="N277" s="13">
        <v>1993</v>
      </c>
      <c r="O277" s="12" t="s">
        <v>2850</v>
      </c>
      <c r="P277" s="12"/>
      <c r="Q277" s="12"/>
      <c r="R277" s="12" t="s">
        <v>94</v>
      </c>
      <c r="S277" s="12">
        <v>10</v>
      </c>
      <c r="T277" s="12">
        <v>818001449</v>
      </c>
      <c r="U277" s="12" t="s">
        <v>3247</v>
      </c>
      <c r="V277" s="12">
        <f>VLOOKUP(Tabla44[[#This Row],[ZONA DEFINITIVO]],[1]Hoja1!$A$1:$D$125,3,0)</f>
        <v>229940</v>
      </c>
      <c r="W277" s="12">
        <f>VLOOKUP(Tabla44[[#This Row],[ZONA DEFINITIVO]],[1]Hoja1!$A$1:$D$125,2,0)</f>
        <v>17259</v>
      </c>
      <c r="X277" s="12">
        <f>VLOOKUP(Tabla44[[#This Row],[ZONA DEFINITIVO]],[1]Hoja1!$A$1:$D$125,4,0)</f>
        <v>104625</v>
      </c>
      <c r="Y277" s="12" t="str">
        <f>+IF(Tabla44[[#This Row],[AGRUPACIONES]]=1,SUMIFS(Tabla44[UDS],Tabla44[ZONA DEFINITIVO],Tabla44[[#This Row],[ZONA DEFINITIVO]])," ")</f>
        <v xml:space="preserve"> </v>
      </c>
      <c r="Z277" s="12" t="str">
        <f>+IF(Tabla44[[#This Row],[AGRUPACIONES]]=1,SUMIFS(Tabla44[TOTAL COBERTURA],Tabla44[ZONA DEFINITIVO],Tabla44[[#This Row],[ZONA DEFINITIVO]])," ")</f>
        <v xml:space="preserve"> </v>
      </c>
      <c r="AA277" s="12"/>
      <c r="AB277" s="35">
        <v>21270270</v>
      </c>
      <c r="AC277" s="37">
        <v>0</v>
      </c>
      <c r="AD277" s="35">
        <f t="shared" si="5"/>
        <v>0</v>
      </c>
      <c r="AE277" s="12"/>
      <c r="AF277" s="12">
        <f>COUNTIF($A$20:A277,A277)</f>
        <v>56</v>
      </c>
      <c r="AG277" s="38">
        <v>21270270</v>
      </c>
      <c r="AH277" s="38">
        <f>Tabla44[[#This Row],[VALOR CONTRAPARTIDA]]+Tabla44[[#This Row],[TOTAL APORTES ICBF]]</f>
        <v>21270270</v>
      </c>
      <c r="AI277" s="35" t="str">
        <f>+IF(Tabla44[[#This Row],[AGRUPACIONES]]=1,SUMIFS(Tabla44[TOTAL APORTES ICBF],Tabla44[ZONA DEFINITIVO],Tabla44[[#This Row],[ZONA DEFINITIVO]])," ")</f>
        <v xml:space="preserve"> </v>
      </c>
      <c r="AJ277" s="38"/>
      <c r="AK277" s="38"/>
      <c r="AL277" s="35"/>
      <c r="AM277" s="35">
        <f>VLOOKUP(Tabla44[[#This Row],[SERVICIO 2025]],$J$2:$V$15,5,0)*Tabla44[[#This Row],[TOTAL COBERTURA]]</f>
        <v>654416</v>
      </c>
      <c r="AN277" s="35">
        <f>VLOOKUP(Tabla44[[#This Row],[SERVICIO 2025]],$J$2:$V$15,6,0)*Tabla44[[#This Row],[TOTAL COBERTURA]]</f>
        <v>529774</v>
      </c>
      <c r="AO277" s="35">
        <f>VLOOKUP(Tabla44[[#This Row],[SERVICIO 2025]],$J$2:$V$15,8,0)*Tabla44[[#This Row],[TOTAL COBERTURA]]</f>
        <v>0</v>
      </c>
      <c r="AP277" s="35">
        <f>VLOOKUP(Tabla44[[#This Row],[SERVICIO 2025]],$J$2:$V$15,3,0)*Tabla44[[#This Row],[TOTAL COBERTURA]]*8</f>
        <v>20086080</v>
      </c>
      <c r="AQ277" s="35"/>
      <c r="AR277" s="35">
        <f>SUM(Tabla44[[#This Row],[VALOR FASE PREPARATORIA DE ALISTAMIENTO]:[VALOR RACION PREPARADA]])</f>
        <v>21270270</v>
      </c>
      <c r="AS277" s="35" t="str">
        <f>+IF(Tabla44[[#This Row],[AGRUPACIONES]]=1,SUMIFS(Tabla44[VALOR TOTAL],Tabla44[ZONA DEFINITIVO],Tabla44[[#This Row],[ZONA DEFINITIVO]])," ")</f>
        <v xml:space="preserve"> </v>
      </c>
      <c r="AT277" s="35">
        <f>VLOOKUP(Tabla44[[#This Row],[SERVICIO 2025]],$J$2:$V$15,10,0)*Tabla44[[#This Row],[TOTAL COBERTURA]]*$X$7</f>
        <v>21091952</v>
      </c>
      <c r="AU277" s="39">
        <f>Tabla44[[#This Row],[TOTAL CONTRATO (ICBF+EAS)]]+Tabla44[[#This Row],[VALOR COMPONENTE ALIMENTACION NO ASIGNADO]]</f>
        <v>42362222</v>
      </c>
      <c r="AV27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5801670</v>
      </c>
      <c r="AW277" s="35">
        <f>(VLOOKUP(Tabla44[[#This Row],[SERVICIO 2025]],$J$2:$V$15,3,0)*Tabla44[[#This Row],[TOTAL COBERTURA]])+VLOOKUP(Tabla44[[#This Row],[SERVICIO 2025]],$J$2:$V$15,10,0)*Tabla44[[#This Row],[TOTAL COBERTURA]]</f>
        <v>5147254</v>
      </c>
      <c r="AX277" s="35">
        <f>(VLOOKUP(Tabla44[[#This Row],[SERVICIO 2025]],$J$2:$V$15,3,0)*Tabla44[[#This Row],[TOTAL COBERTURA]])+VLOOKUP(Tabla44[[#This Row],[SERVICIO 2025]],$J$2:$V$15,10,0)*Tabla44[[#This Row],[TOTAL COBERTURA]]</f>
        <v>5147254</v>
      </c>
      <c r="AY277" s="35">
        <f>(VLOOKUP(Tabla44[[#This Row],[SERVICIO 2025]],$J$2:$V$15,3,0)*Tabla44[[#This Row],[TOTAL COBERTURA]])+VLOOKUP(Tabla44[[#This Row],[SERVICIO 2025]],$J$2:$V$15,10,0)*Tabla44[[#This Row],[TOTAL COBERTURA]]</f>
        <v>5147254</v>
      </c>
      <c r="AZ277" s="35">
        <f>(VLOOKUP(Tabla44[[#This Row],[SERVICIO 2025]],$J$2:$V$15,3,0)*Tabla44[[#This Row],[TOTAL COBERTURA]])+VLOOKUP(Tabla44[[#This Row],[SERVICIO 2025]],$J$2:$V$15,10,0)*Tabla44[[#This Row],[TOTAL COBERTURA]]</f>
        <v>5147254</v>
      </c>
      <c r="BA277" s="35">
        <f>(VLOOKUP(Tabla44[[#This Row],[SERVICIO 2025]],$J$2:$V$15,3,0)*Tabla44[[#This Row],[TOTAL COBERTURA]])+VLOOKUP(Tabla44[[#This Row],[SERVICIO 2025]],$J$2:$V$15,10,0)*Tabla44[[#This Row],[TOTAL COBERTURA]]</f>
        <v>5147254</v>
      </c>
      <c r="BB277" s="35">
        <f>(VLOOKUP(Tabla44[[#This Row],[SERVICIO 2025]],$J$2:$V$15,3,0)*Tabla44[[#This Row],[TOTAL COBERTURA]])+VLOOKUP(Tabla44[[#This Row],[SERVICIO 2025]],$J$2:$V$15,10,0)*Tabla44[[#This Row],[TOTAL COBERTURA]]</f>
        <v>5147254</v>
      </c>
      <c r="BC27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5677028</v>
      </c>
      <c r="BD277" s="35">
        <f>SUM(Tabla44[[#This Row],[DESEMBOLSO 1]:[DESEMBOLSO 8]])</f>
        <v>42362222</v>
      </c>
      <c r="BE277" s="12" t="b">
        <f>EXACT(Tabla44[[#This Row],[VALOR ATENCIÓN (8 MESES)]],Tabla44[[#This Row],[VALOR TOTAL]])</f>
        <v>1</v>
      </c>
      <c r="BF277" s="23">
        <f>Tabla44[[#This Row],[VALOR ATENCIÓN (8 MESES)]]-Tabla44[[#This Row],[VALOR TOTAL]]</f>
        <v>0</v>
      </c>
      <c r="BG277" s="12" t="b">
        <f>EXACT(Tabla44[[#This Row],[TOTAL DESEMBOLSOS]],Tabla44[[#This Row],[VALOR TOTAL DEL CONTRATO INCLUIDO EL COMPONENTE DE ALIMENTACIÓN]])</f>
        <v>1</v>
      </c>
      <c r="BH277" s="29">
        <f>Tabla44[[#This Row],[TOTAL DESEMBOLSOS]]-Tabla44[[#This Row],[VALOR TOTAL DEL CONTRATO INCLUIDO EL COMPONENTE DE ALIMENTACIÓN]]</f>
        <v>0</v>
      </c>
      <c r="BI277" t="s">
        <v>98</v>
      </c>
    </row>
    <row r="278" spans="1:61">
      <c r="A278" s="13">
        <v>1993</v>
      </c>
      <c r="B278" s="13"/>
      <c r="C278" s="12" t="s">
        <v>87</v>
      </c>
      <c r="D278" s="12" t="s">
        <v>1628</v>
      </c>
      <c r="E278" s="12" t="s">
        <v>3318</v>
      </c>
      <c r="F278" s="12" t="s">
        <v>21</v>
      </c>
      <c r="G278" s="12" t="s">
        <v>90</v>
      </c>
      <c r="H278" s="12" t="s">
        <v>3351</v>
      </c>
      <c r="I278" s="36">
        <v>56861136432</v>
      </c>
      <c r="J278" s="12" t="s">
        <v>3352</v>
      </c>
      <c r="K278" s="12">
        <v>1</v>
      </c>
      <c r="L278" s="12">
        <v>18</v>
      </c>
      <c r="M278" s="12"/>
      <c r="N278" s="13">
        <v>1993</v>
      </c>
      <c r="O278" s="12" t="s">
        <v>2850</v>
      </c>
      <c r="P278" s="12"/>
      <c r="Q278" s="12"/>
      <c r="R278" s="12" t="s">
        <v>94</v>
      </c>
      <c r="S278" s="12">
        <v>10</v>
      </c>
      <c r="T278" s="12">
        <v>818001449</v>
      </c>
      <c r="U278" s="12" t="s">
        <v>3247</v>
      </c>
      <c r="V278" s="12">
        <f>VLOOKUP(Tabla44[[#This Row],[ZONA DEFINITIVO]],[1]Hoja1!$A$1:$D$125,3,0)</f>
        <v>229940</v>
      </c>
      <c r="W278" s="12">
        <f>VLOOKUP(Tabla44[[#This Row],[ZONA DEFINITIVO]],[1]Hoja1!$A$1:$D$125,2,0)</f>
        <v>17259</v>
      </c>
      <c r="X278" s="12">
        <f>VLOOKUP(Tabla44[[#This Row],[ZONA DEFINITIVO]],[1]Hoja1!$A$1:$D$125,4,0)</f>
        <v>104625</v>
      </c>
      <c r="Y278" s="12" t="str">
        <f>+IF(Tabla44[[#This Row],[AGRUPACIONES]]=1,SUMIFS(Tabla44[UDS],Tabla44[ZONA DEFINITIVO],Tabla44[[#This Row],[ZONA DEFINITIVO]])," ")</f>
        <v xml:space="preserve"> </v>
      </c>
      <c r="Z278" s="12" t="str">
        <f>+IF(Tabla44[[#This Row],[AGRUPACIONES]]=1,SUMIFS(Tabla44[TOTAL COBERTURA],Tabla44[ZONA DEFINITIVO],Tabla44[[#This Row],[ZONA DEFINITIVO]])," ")</f>
        <v xml:space="preserve"> </v>
      </c>
      <c r="AA278" s="12"/>
      <c r="AB278" s="35">
        <v>27347490</v>
      </c>
      <c r="AC278" s="37">
        <v>0</v>
      </c>
      <c r="AD278" s="35">
        <f t="shared" si="5"/>
        <v>0</v>
      </c>
      <c r="AE278" s="12"/>
      <c r="AF278" s="12">
        <f>COUNTIF($A$20:A278,A278)</f>
        <v>57</v>
      </c>
      <c r="AG278" s="38">
        <v>27347490</v>
      </c>
      <c r="AH278" s="38">
        <f>Tabla44[[#This Row],[VALOR CONTRAPARTIDA]]+Tabla44[[#This Row],[TOTAL APORTES ICBF]]</f>
        <v>27347490</v>
      </c>
      <c r="AI278" s="35" t="str">
        <f>+IF(Tabla44[[#This Row],[AGRUPACIONES]]=1,SUMIFS(Tabla44[TOTAL APORTES ICBF],Tabla44[ZONA DEFINITIVO],Tabla44[[#This Row],[ZONA DEFINITIVO]])," ")</f>
        <v xml:space="preserve"> </v>
      </c>
      <c r="AJ278" s="38"/>
      <c r="AK278" s="38"/>
      <c r="AL278" s="35"/>
      <c r="AM278" s="35">
        <f>VLOOKUP(Tabla44[[#This Row],[SERVICIO 2025]],$J$2:$V$15,5,0)*Tabla44[[#This Row],[TOTAL COBERTURA]]</f>
        <v>841392</v>
      </c>
      <c r="AN278" s="35">
        <f>VLOOKUP(Tabla44[[#This Row],[SERVICIO 2025]],$J$2:$V$15,6,0)*Tabla44[[#This Row],[TOTAL COBERTURA]]</f>
        <v>681138</v>
      </c>
      <c r="AO278" s="35">
        <f>VLOOKUP(Tabla44[[#This Row],[SERVICIO 2025]],$J$2:$V$15,8,0)*Tabla44[[#This Row],[TOTAL COBERTURA]]</f>
        <v>0</v>
      </c>
      <c r="AP278" s="35">
        <f>VLOOKUP(Tabla44[[#This Row],[SERVICIO 2025]],$J$2:$V$15,3,0)*Tabla44[[#This Row],[TOTAL COBERTURA]]*8</f>
        <v>25824960</v>
      </c>
      <c r="AQ278" s="35"/>
      <c r="AR278" s="35">
        <f>SUM(Tabla44[[#This Row],[VALOR FASE PREPARATORIA DE ALISTAMIENTO]:[VALOR RACION PREPARADA]])</f>
        <v>27347490</v>
      </c>
      <c r="AS278" s="35" t="str">
        <f>+IF(Tabla44[[#This Row],[AGRUPACIONES]]=1,SUMIFS(Tabla44[VALOR TOTAL],Tabla44[ZONA DEFINITIVO],Tabla44[[#This Row],[ZONA DEFINITIVO]])," ")</f>
        <v xml:space="preserve"> </v>
      </c>
      <c r="AT278" s="35">
        <f>VLOOKUP(Tabla44[[#This Row],[SERVICIO 2025]],$J$2:$V$15,10,0)*Tabla44[[#This Row],[TOTAL COBERTURA]]*$X$7</f>
        <v>27118224</v>
      </c>
      <c r="AU278" s="39">
        <f>Tabla44[[#This Row],[TOTAL CONTRATO (ICBF+EAS)]]+Tabla44[[#This Row],[VALOR COMPONENTE ALIMENTACION NO ASIGNADO]]</f>
        <v>54465714</v>
      </c>
      <c r="AV27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7459290</v>
      </c>
      <c r="AW278" s="35">
        <f>(VLOOKUP(Tabla44[[#This Row],[SERVICIO 2025]],$J$2:$V$15,3,0)*Tabla44[[#This Row],[TOTAL COBERTURA]])+VLOOKUP(Tabla44[[#This Row],[SERVICIO 2025]],$J$2:$V$15,10,0)*Tabla44[[#This Row],[TOTAL COBERTURA]]</f>
        <v>6617898</v>
      </c>
      <c r="AX278" s="35">
        <f>(VLOOKUP(Tabla44[[#This Row],[SERVICIO 2025]],$J$2:$V$15,3,0)*Tabla44[[#This Row],[TOTAL COBERTURA]])+VLOOKUP(Tabla44[[#This Row],[SERVICIO 2025]],$J$2:$V$15,10,0)*Tabla44[[#This Row],[TOTAL COBERTURA]]</f>
        <v>6617898</v>
      </c>
      <c r="AY278" s="35">
        <f>(VLOOKUP(Tabla44[[#This Row],[SERVICIO 2025]],$J$2:$V$15,3,0)*Tabla44[[#This Row],[TOTAL COBERTURA]])+VLOOKUP(Tabla44[[#This Row],[SERVICIO 2025]],$J$2:$V$15,10,0)*Tabla44[[#This Row],[TOTAL COBERTURA]]</f>
        <v>6617898</v>
      </c>
      <c r="AZ278" s="35">
        <f>(VLOOKUP(Tabla44[[#This Row],[SERVICIO 2025]],$J$2:$V$15,3,0)*Tabla44[[#This Row],[TOTAL COBERTURA]])+VLOOKUP(Tabla44[[#This Row],[SERVICIO 2025]],$J$2:$V$15,10,0)*Tabla44[[#This Row],[TOTAL COBERTURA]]</f>
        <v>6617898</v>
      </c>
      <c r="BA278" s="35">
        <f>(VLOOKUP(Tabla44[[#This Row],[SERVICIO 2025]],$J$2:$V$15,3,0)*Tabla44[[#This Row],[TOTAL COBERTURA]])+VLOOKUP(Tabla44[[#This Row],[SERVICIO 2025]],$J$2:$V$15,10,0)*Tabla44[[#This Row],[TOTAL COBERTURA]]</f>
        <v>6617898</v>
      </c>
      <c r="BB278" s="35">
        <f>(VLOOKUP(Tabla44[[#This Row],[SERVICIO 2025]],$J$2:$V$15,3,0)*Tabla44[[#This Row],[TOTAL COBERTURA]])+VLOOKUP(Tabla44[[#This Row],[SERVICIO 2025]],$J$2:$V$15,10,0)*Tabla44[[#This Row],[TOTAL COBERTURA]]</f>
        <v>6617898</v>
      </c>
      <c r="BC27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7299036</v>
      </c>
      <c r="BD278" s="35">
        <f>SUM(Tabla44[[#This Row],[DESEMBOLSO 1]:[DESEMBOLSO 8]])</f>
        <v>54465714</v>
      </c>
      <c r="BE278" s="12" t="b">
        <f>EXACT(Tabla44[[#This Row],[VALOR ATENCIÓN (8 MESES)]],Tabla44[[#This Row],[VALOR TOTAL]])</f>
        <v>1</v>
      </c>
      <c r="BF278" s="23">
        <f>Tabla44[[#This Row],[VALOR ATENCIÓN (8 MESES)]]-Tabla44[[#This Row],[VALOR TOTAL]]</f>
        <v>0</v>
      </c>
      <c r="BG278" s="12" t="b">
        <f>EXACT(Tabla44[[#This Row],[TOTAL DESEMBOLSOS]],Tabla44[[#This Row],[VALOR TOTAL DEL CONTRATO INCLUIDO EL COMPONENTE DE ALIMENTACIÓN]])</f>
        <v>1</v>
      </c>
      <c r="BH278" s="29">
        <f>Tabla44[[#This Row],[TOTAL DESEMBOLSOS]]-Tabla44[[#This Row],[VALOR TOTAL DEL CONTRATO INCLUIDO EL COMPONENTE DE ALIMENTACIÓN]]</f>
        <v>0</v>
      </c>
      <c r="BI278" t="s">
        <v>98</v>
      </c>
    </row>
    <row r="279" spans="1:61">
      <c r="A279" s="13">
        <v>1993</v>
      </c>
      <c r="B279" s="13"/>
      <c r="C279" s="12" t="s">
        <v>87</v>
      </c>
      <c r="D279" s="12" t="s">
        <v>1628</v>
      </c>
      <c r="E279" s="12" t="s">
        <v>3318</v>
      </c>
      <c r="F279" s="12" t="s">
        <v>21</v>
      </c>
      <c r="G279" s="12" t="s">
        <v>90</v>
      </c>
      <c r="H279" s="12" t="s">
        <v>3353</v>
      </c>
      <c r="I279" s="36">
        <v>56861136436</v>
      </c>
      <c r="J279" s="12" t="s">
        <v>3354</v>
      </c>
      <c r="K279" s="12">
        <v>1</v>
      </c>
      <c r="L279" s="12">
        <v>11</v>
      </c>
      <c r="M279" s="12"/>
      <c r="N279" s="13">
        <v>1993</v>
      </c>
      <c r="O279" s="12" t="s">
        <v>2850</v>
      </c>
      <c r="P279" s="12"/>
      <c r="Q279" s="12"/>
      <c r="R279" s="12" t="s">
        <v>94</v>
      </c>
      <c r="S279" s="12">
        <v>10</v>
      </c>
      <c r="T279" s="12">
        <v>818001449</v>
      </c>
      <c r="U279" s="12" t="s">
        <v>3247</v>
      </c>
      <c r="V279" s="12">
        <f>VLOOKUP(Tabla44[[#This Row],[ZONA DEFINITIVO]],[1]Hoja1!$A$1:$D$125,3,0)</f>
        <v>229940</v>
      </c>
      <c r="W279" s="12">
        <f>VLOOKUP(Tabla44[[#This Row],[ZONA DEFINITIVO]],[1]Hoja1!$A$1:$D$125,2,0)</f>
        <v>17259</v>
      </c>
      <c r="X279" s="12">
        <f>VLOOKUP(Tabla44[[#This Row],[ZONA DEFINITIVO]],[1]Hoja1!$A$1:$D$125,4,0)</f>
        <v>104625</v>
      </c>
      <c r="Y279" s="12" t="str">
        <f>+IF(Tabla44[[#This Row],[AGRUPACIONES]]=1,SUMIFS(Tabla44[UDS],Tabla44[ZONA DEFINITIVO],Tabla44[[#This Row],[ZONA DEFINITIVO]])," ")</f>
        <v xml:space="preserve"> </v>
      </c>
      <c r="Z279" s="12" t="str">
        <f>+IF(Tabla44[[#This Row],[AGRUPACIONES]]=1,SUMIFS(Tabla44[TOTAL COBERTURA],Tabla44[ZONA DEFINITIVO],Tabla44[[#This Row],[ZONA DEFINITIVO]])," ")</f>
        <v xml:space="preserve"> </v>
      </c>
      <c r="AA279" s="12"/>
      <c r="AB279" s="35">
        <v>16712355</v>
      </c>
      <c r="AC279" s="37">
        <v>0</v>
      </c>
      <c r="AD279" s="35">
        <f t="shared" si="5"/>
        <v>0</v>
      </c>
      <c r="AE279" s="12"/>
      <c r="AF279" s="12">
        <f>COUNTIF($A$20:A279,A279)</f>
        <v>58</v>
      </c>
      <c r="AG279" s="38">
        <v>16712355</v>
      </c>
      <c r="AH279" s="38">
        <f>Tabla44[[#This Row],[VALOR CONTRAPARTIDA]]+Tabla44[[#This Row],[TOTAL APORTES ICBF]]</f>
        <v>16712355</v>
      </c>
      <c r="AI279" s="35" t="str">
        <f>+IF(Tabla44[[#This Row],[AGRUPACIONES]]=1,SUMIFS(Tabla44[TOTAL APORTES ICBF],Tabla44[ZONA DEFINITIVO],Tabla44[[#This Row],[ZONA DEFINITIVO]])," ")</f>
        <v xml:space="preserve"> </v>
      </c>
      <c r="AJ279" s="38"/>
      <c r="AK279" s="38"/>
      <c r="AL279" s="35"/>
      <c r="AM279" s="35">
        <f>VLOOKUP(Tabla44[[#This Row],[SERVICIO 2025]],$J$2:$V$15,5,0)*Tabla44[[#This Row],[TOTAL COBERTURA]]</f>
        <v>514184</v>
      </c>
      <c r="AN279" s="35">
        <f>VLOOKUP(Tabla44[[#This Row],[SERVICIO 2025]],$J$2:$V$15,6,0)*Tabla44[[#This Row],[TOTAL COBERTURA]]</f>
        <v>416251</v>
      </c>
      <c r="AO279" s="35">
        <f>VLOOKUP(Tabla44[[#This Row],[SERVICIO 2025]],$J$2:$V$15,8,0)*Tabla44[[#This Row],[TOTAL COBERTURA]]</f>
        <v>0</v>
      </c>
      <c r="AP279" s="35">
        <f>VLOOKUP(Tabla44[[#This Row],[SERVICIO 2025]],$J$2:$V$15,3,0)*Tabla44[[#This Row],[TOTAL COBERTURA]]*8</f>
        <v>15781920</v>
      </c>
      <c r="AQ279" s="35"/>
      <c r="AR279" s="35">
        <f>SUM(Tabla44[[#This Row],[VALOR FASE PREPARATORIA DE ALISTAMIENTO]:[VALOR RACION PREPARADA]])</f>
        <v>16712355</v>
      </c>
      <c r="AS279" s="35" t="str">
        <f>+IF(Tabla44[[#This Row],[AGRUPACIONES]]=1,SUMIFS(Tabla44[VALOR TOTAL],Tabla44[ZONA DEFINITIVO],Tabla44[[#This Row],[ZONA DEFINITIVO]])," ")</f>
        <v xml:space="preserve"> </v>
      </c>
      <c r="AT279" s="35">
        <f>VLOOKUP(Tabla44[[#This Row],[SERVICIO 2025]],$J$2:$V$15,10,0)*Tabla44[[#This Row],[TOTAL COBERTURA]]*$X$7</f>
        <v>16572248</v>
      </c>
      <c r="AU279" s="39">
        <f>Tabla44[[#This Row],[TOTAL CONTRATO (ICBF+EAS)]]+Tabla44[[#This Row],[VALOR COMPONENTE ALIMENTACION NO ASIGNADO]]</f>
        <v>33284603</v>
      </c>
      <c r="AV27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279" s="35">
        <f>(VLOOKUP(Tabla44[[#This Row],[SERVICIO 2025]],$J$2:$V$15,3,0)*Tabla44[[#This Row],[TOTAL COBERTURA]])+VLOOKUP(Tabla44[[#This Row],[SERVICIO 2025]],$J$2:$V$15,10,0)*Tabla44[[#This Row],[TOTAL COBERTURA]]</f>
        <v>4044271</v>
      </c>
      <c r="AX279" s="35">
        <f>(VLOOKUP(Tabla44[[#This Row],[SERVICIO 2025]],$J$2:$V$15,3,0)*Tabla44[[#This Row],[TOTAL COBERTURA]])+VLOOKUP(Tabla44[[#This Row],[SERVICIO 2025]],$J$2:$V$15,10,0)*Tabla44[[#This Row],[TOTAL COBERTURA]]</f>
        <v>4044271</v>
      </c>
      <c r="AY279" s="35">
        <f>(VLOOKUP(Tabla44[[#This Row],[SERVICIO 2025]],$J$2:$V$15,3,0)*Tabla44[[#This Row],[TOTAL COBERTURA]])+VLOOKUP(Tabla44[[#This Row],[SERVICIO 2025]],$J$2:$V$15,10,0)*Tabla44[[#This Row],[TOTAL COBERTURA]]</f>
        <v>4044271</v>
      </c>
      <c r="AZ279" s="35">
        <f>(VLOOKUP(Tabla44[[#This Row],[SERVICIO 2025]],$J$2:$V$15,3,0)*Tabla44[[#This Row],[TOTAL COBERTURA]])+VLOOKUP(Tabla44[[#This Row],[SERVICIO 2025]],$J$2:$V$15,10,0)*Tabla44[[#This Row],[TOTAL COBERTURA]]</f>
        <v>4044271</v>
      </c>
      <c r="BA279" s="35">
        <f>(VLOOKUP(Tabla44[[#This Row],[SERVICIO 2025]],$J$2:$V$15,3,0)*Tabla44[[#This Row],[TOTAL COBERTURA]])+VLOOKUP(Tabla44[[#This Row],[SERVICIO 2025]],$J$2:$V$15,10,0)*Tabla44[[#This Row],[TOTAL COBERTURA]]</f>
        <v>4044271</v>
      </c>
      <c r="BB279" s="35">
        <f>(VLOOKUP(Tabla44[[#This Row],[SERVICIO 2025]],$J$2:$V$15,3,0)*Tabla44[[#This Row],[TOTAL COBERTURA]])+VLOOKUP(Tabla44[[#This Row],[SERVICIO 2025]],$J$2:$V$15,10,0)*Tabla44[[#This Row],[TOTAL COBERTURA]]</f>
        <v>4044271</v>
      </c>
      <c r="BC27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279" s="35">
        <f>SUM(Tabla44[[#This Row],[DESEMBOLSO 1]:[DESEMBOLSO 8]])</f>
        <v>33284603</v>
      </c>
      <c r="BE279" s="12" t="b">
        <f>EXACT(Tabla44[[#This Row],[VALOR ATENCIÓN (8 MESES)]],Tabla44[[#This Row],[VALOR TOTAL]])</f>
        <v>1</v>
      </c>
      <c r="BF279" s="23">
        <f>Tabla44[[#This Row],[VALOR ATENCIÓN (8 MESES)]]-Tabla44[[#This Row],[VALOR TOTAL]]</f>
        <v>0</v>
      </c>
      <c r="BG279" s="12" t="b">
        <f>EXACT(Tabla44[[#This Row],[TOTAL DESEMBOLSOS]],Tabla44[[#This Row],[VALOR TOTAL DEL CONTRATO INCLUIDO EL COMPONENTE DE ALIMENTACIÓN]])</f>
        <v>1</v>
      </c>
      <c r="BH279" s="29">
        <f>Tabla44[[#This Row],[TOTAL DESEMBOLSOS]]-Tabla44[[#This Row],[VALOR TOTAL DEL CONTRATO INCLUIDO EL COMPONENTE DE ALIMENTACIÓN]]</f>
        <v>0</v>
      </c>
      <c r="BI279" t="s">
        <v>98</v>
      </c>
    </row>
    <row r="280" spans="1:61">
      <c r="A280" s="13">
        <v>1993</v>
      </c>
      <c r="B280" s="13"/>
      <c r="C280" s="12" t="s">
        <v>87</v>
      </c>
      <c r="D280" s="12" t="s">
        <v>1628</v>
      </c>
      <c r="E280" s="12" t="s">
        <v>3318</v>
      </c>
      <c r="F280" s="12" t="s">
        <v>21</v>
      </c>
      <c r="G280" s="12" t="s">
        <v>90</v>
      </c>
      <c r="H280" s="12" t="s">
        <v>979</v>
      </c>
      <c r="I280" s="36">
        <v>56861139361</v>
      </c>
      <c r="J280" s="12" t="s">
        <v>3355</v>
      </c>
      <c r="K280" s="12">
        <v>1</v>
      </c>
      <c r="L280" s="12">
        <v>16</v>
      </c>
      <c r="M280" s="12"/>
      <c r="N280" s="13">
        <v>1993</v>
      </c>
      <c r="O280" s="12" t="s">
        <v>2850</v>
      </c>
      <c r="P280" s="12"/>
      <c r="Q280" s="12"/>
      <c r="R280" s="12" t="s">
        <v>94</v>
      </c>
      <c r="S280" s="12">
        <v>10</v>
      </c>
      <c r="T280" s="12">
        <v>818001449</v>
      </c>
      <c r="U280" s="12" t="s">
        <v>3247</v>
      </c>
      <c r="V280" s="12">
        <f>VLOOKUP(Tabla44[[#This Row],[ZONA DEFINITIVO]],[1]Hoja1!$A$1:$D$125,3,0)</f>
        <v>229940</v>
      </c>
      <c r="W280" s="12">
        <f>VLOOKUP(Tabla44[[#This Row],[ZONA DEFINITIVO]],[1]Hoja1!$A$1:$D$125,2,0)</f>
        <v>17259</v>
      </c>
      <c r="X280" s="12">
        <f>VLOOKUP(Tabla44[[#This Row],[ZONA DEFINITIVO]],[1]Hoja1!$A$1:$D$125,4,0)</f>
        <v>104625</v>
      </c>
      <c r="Y280" s="12" t="str">
        <f>+IF(Tabla44[[#This Row],[AGRUPACIONES]]=1,SUMIFS(Tabla44[UDS],Tabla44[ZONA DEFINITIVO],Tabla44[[#This Row],[ZONA DEFINITIVO]])," ")</f>
        <v xml:space="preserve"> </v>
      </c>
      <c r="Z280" s="12" t="str">
        <f>+IF(Tabla44[[#This Row],[AGRUPACIONES]]=1,SUMIFS(Tabla44[TOTAL COBERTURA],Tabla44[ZONA DEFINITIVO],Tabla44[[#This Row],[ZONA DEFINITIVO]])," ")</f>
        <v xml:space="preserve"> </v>
      </c>
      <c r="AA280" s="12"/>
      <c r="AB280" s="35">
        <v>24308880</v>
      </c>
      <c r="AC280" s="37">
        <v>0</v>
      </c>
      <c r="AD280" s="35">
        <f t="shared" si="5"/>
        <v>0</v>
      </c>
      <c r="AE280" s="12"/>
      <c r="AF280" s="12">
        <f>COUNTIF($A$20:A280,A280)</f>
        <v>59</v>
      </c>
      <c r="AG280" s="38">
        <v>24308880</v>
      </c>
      <c r="AH280" s="38">
        <f>Tabla44[[#This Row],[VALOR CONTRAPARTIDA]]+Tabla44[[#This Row],[TOTAL APORTES ICBF]]</f>
        <v>24308880</v>
      </c>
      <c r="AI280" s="35" t="str">
        <f>+IF(Tabla44[[#This Row],[AGRUPACIONES]]=1,SUMIFS(Tabla44[TOTAL APORTES ICBF],Tabla44[ZONA DEFINITIVO],Tabla44[[#This Row],[ZONA DEFINITIVO]])," ")</f>
        <v xml:space="preserve"> </v>
      </c>
      <c r="AJ280" s="38"/>
      <c r="AK280" s="38"/>
      <c r="AL280" s="35"/>
      <c r="AM280" s="35">
        <f>VLOOKUP(Tabla44[[#This Row],[SERVICIO 2025]],$J$2:$V$15,5,0)*Tabla44[[#This Row],[TOTAL COBERTURA]]</f>
        <v>747904</v>
      </c>
      <c r="AN280" s="35">
        <f>VLOOKUP(Tabla44[[#This Row],[SERVICIO 2025]],$J$2:$V$15,6,0)*Tabla44[[#This Row],[TOTAL COBERTURA]]</f>
        <v>605456</v>
      </c>
      <c r="AO280" s="35">
        <f>VLOOKUP(Tabla44[[#This Row],[SERVICIO 2025]],$J$2:$V$15,8,0)*Tabla44[[#This Row],[TOTAL COBERTURA]]</f>
        <v>0</v>
      </c>
      <c r="AP280" s="35">
        <f>VLOOKUP(Tabla44[[#This Row],[SERVICIO 2025]],$J$2:$V$15,3,0)*Tabla44[[#This Row],[TOTAL COBERTURA]]*8</f>
        <v>22955520</v>
      </c>
      <c r="AQ280" s="35"/>
      <c r="AR280" s="35">
        <f>SUM(Tabla44[[#This Row],[VALOR FASE PREPARATORIA DE ALISTAMIENTO]:[VALOR RACION PREPARADA]])</f>
        <v>24308880</v>
      </c>
      <c r="AS280" s="35" t="str">
        <f>+IF(Tabla44[[#This Row],[AGRUPACIONES]]=1,SUMIFS(Tabla44[VALOR TOTAL],Tabla44[ZONA DEFINITIVO],Tabla44[[#This Row],[ZONA DEFINITIVO]])," ")</f>
        <v xml:space="preserve"> </v>
      </c>
      <c r="AT280" s="35">
        <f>VLOOKUP(Tabla44[[#This Row],[SERVICIO 2025]],$J$2:$V$15,10,0)*Tabla44[[#This Row],[TOTAL COBERTURA]]*$X$7</f>
        <v>24105088</v>
      </c>
      <c r="AU280" s="39">
        <f>Tabla44[[#This Row],[TOTAL CONTRATO (ICBF+EAS)]]+Tabla44[[#This Row],[VALOR COMPONENTE ALIMENTACION NO ASIGNADO]]</f>
        <v>48413968</v>
      </c>
      <c r="AV28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6630480</v>
      </c>
      <c r="AW280" s="35">
        <f>(VLOOKUP(Tabla44[[#This Row],[SERVICIO 2025]],$J$2:$V$15,3,0)*Tabla44[[#This Row],[TOTAL COBERTURA]])+VLOOKUP(Tabla44[[#This Row],[SERVICIO 2025]],$J$2:$V$15,10,0)*Tabla44[[#This Row],[TOTAL COBERTURA]]</f>
        <v>5882576</v>
      </c>
      <c r="AX280" s="35">
        <f>(VLOOKUP(Tabla44[[#This Row],[SERVICIO 2025]],$J$2:$V$15,3,0)*Tabla44[[#This Row],[TOTAL COBERTURA]])+VLOOKUP(Tabla44[[#This Row],[SERVICIO 2025]],$J$2:$V$15,10,0)*Tabla44[[#This Row],[TOTAL COBERTURA]]</f>
        <v>5882576</v>
      </c>
      <c r="AY280" s="35">
        <f>(VLOOKUP(Tabla44[[#This Row],[SERVICIO 2025]],$J$2:$V$15,3,0)*Tabla44[[#This Row],[TOTAL COBERTURA]])+VLOOKUP(Tabla44[[#This Row],[SERVICIO 2025]],$J$2:$V$15,10,0)*Tabla44[[#This Row],[TOTAL COBERTURA]]</f>
        <v>5882576</v>
      </c>
      <c r="AZ280" s="35">
        <f>(VLOOKUP(Tabla44[[#This Row],[SERVICIO 2025]],$J$2:$V$15,3,0)*Tabla44[[#This Row],[TOTAL COBERTURA]])+VLOOKUP(Tabla44[[#This Row],[SERVICIO 2025]],$J$2:$V$15,10,0)*Tabla44[[#This Row],[TOTAL COBERTURA]]</f>
        <v>5882576</v>
      </c>
      <c r="BA280" s="35">
        <f>(VLOOKUP(Tabla44[[#This Row],[SERVICIO 2025]],$J$2:$V$15,3,0)*Tabla44[[#This Row],[TOTAL COBERTURA]])+VLOOKUP(Tabla44[[#This Row],[SERVICIO 2025]],$J$2:$V$15,10,0)*Tabla44[[#This Row],[TOTAL COBERTURA]]</f>
        <v>5882576</v>
      </c>
      <c r="BB280" s="35">
        <f>(VLOOKUP(Tabla44[[#This Row],[SERVICIO 2025]],$J$2:$V$15,3,0)*Tabla44[[#This Row],[TOTAL COBERTURA]])+VLOOKUP(Tabla44[[#This Row],[SERVICIO 2025]],$J$2:$V$15,10,0)*Tabla44[[#This Row],[TOTAL COBERTURA]]</f>
        <v>5882576</v>
      </c>
      <c r="BC28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6488032</v>
      </c>
      <c r="BD280" s="35">
        <f>SUM(Tabla44[[#This Row],[DESEMBOLSO 1]:[DESEMBOLSO 8]])</f>
        <v>48413968</v>
      </c>
      <c r="BE280" s="12" t="b">
        <f>EXACT(Tabla44[[#This Row],[VALOR ATENCIÓN (8 MESES)]],Tabla44[[#This Row],[VALOR TOTAL]])</f>
        <v>1</v>
      </c>
      <c r="BF280" s="23">
        <f>Tabla44[[#This Row],[VALOR ATENCIÓN (8 MESES)]]-Tabla44[[#This Row],[VALOR TOTAL]]</f>
        <v>0</v>
      </c>
      <c r="BG280" s="12" t="b">
        <f>EXACT(Tabla44[[#This Row],[TOTAL DESEMBOLSOS]],Tabla44[[#This Row],[VALOR TOTAL DEL CONTRATO INCLUIDO EL COMPONENTE DE ALIMENTACIÓN]])</f>
        <v>1</v>
      </c>
      <c r="BH280" s="29">
        <f>Tabla44[[#This Row],[TOTAL DESEMBOLSOS]]-Tabla44[[#This Row],[VALOR TOTAL DEL CONTRATO INCLUIDO EL COMPONENTE DE ALIMENTACIÓN]]</f>
        <v>0</v>
      </c>
      <c r="BI280" t="s">
        <v>98</v>
      </c>
    </row>
    <row r="281" spans="1:61">
      <c r="A281" s="13">
        <v>1993</v>
      </c>
      <c r="B281" s="13"/>
      <c r="C281" s="12" t="s">
        <v>87</v>
      </c>
      <c r="D281" s="12" t="s">
        <v>1628</v>
      </c>
      <c r="E281" s="12" t="s">
        <v>3318</v>
      </c>
      <c r="F281" s="12" t="s">
        <v>21</v>
      </c>
      <c r="G281" s="12" t="s">
        <v>90</v>
      </c>
      <c r="H281" s="12" t="s">
        <v>3356</v>
      </c>
      <c r="I281" s="36">
        <v>56861152827</v>
      </c>
      <c r="J281" s="12" t="s">
        <v>3357</v>
      </c>
      <c r="K281" s="12">
        <v>1</v>
      </c>
      <c r="L281" s="12">
        <v>19</v>
      </c>
      <c r="M281" s="12"/>
      <c r="N281" s="13">
        <v>1993</v>
      </c>
      <c r="O281" s="12" t="s">
        <v>2850</v>
      </c>
      <c r="P281" s="12"/>
      <c r="Q281" s="12"/>
      <c r="R281" s="12" t="s">
        <v>94</v>
      </c>
      <c r="S281" s="12">
        <v>10</v>
      </c>
      <c r="T281" s="12">
        <v>818001449</v>
      </c>
      <c r="U281" s="12" t="s">
        <v>3247</v>
      </c>
      <c r="V281" s="12">
        <f>VLOOKUP(Tabla44[[#This Row],[ZONA DEFINITIVO]],[1]Hoja1!$A$1:$D$125,3,0)</f>
        <v>229940</v>
      </c>
      <c r="W281" s="12">
        <f>VLOOKUP(Tabla44[[#This Row],[ZONA DEFINITIVO]],[1]Hoja1!$A$1:$D$125,2,0)</f>
        <v>17259</v>
      </c>
      <c r="X281" s="12">
        <f>VLOOKUP(Tabla44[[#This Row],[ZONA DEFINITIVO]],[1]Hoja1!$A$1:$D$125,4,0)</f>
        <v>104625</v>
      </c>
      <c r="Y281" s="12" t="str">
        <f>+IF(Tabla44[[#This Row],[AGRUPACIONES]]=1,SUMIFS(Tabla44[UDS],Tabla44[ZONA DEFINITIVO],Tabla44[[#This Row],[ZONA DEFINITIVO]])," ")</f>
        <v xml:space="preserve"> </v>
      </c>
      <c r="Z281" s="12" t="str">
        <f>+IF(Tabla44[[#This Row],[AGRUPACIONES]]=1,SUMIFS(Tabla44[TOTAL COBERTURA],Tabla44[ZONA DEFINITIVO],Tabla44[[#This Row],[ZONA DEFINITIVO]])," ")</f>
        <v xml:space="preserve"> </v>
      </c>
      <c r="AA281" s="12"/>
      <c r="AB281" s="35">
        <v>28866795</v>
      </c>
      <c r="AC281" s="37">
        <v>0</v>
      </c>
      <c r="AD281" s="35">
        <f t="shared" si="5"/>
        <v>0</v>
      </c>
      <c r="AE281" s="12"/>
      <c r="AF281" s="12">
        <f>COUNTIF($A$20:A281,A281)</f>
        <v>60</v>
      </c>
      <c r="AG281" s="38">
        <v>28866795</v>
      </c>
      <c r="AH281" s="38">
        <f>Tabla44[[#This Row],[VALOR CONTRAPARTIDA]]+Tabla44[[#This Row],[TOTAL APORTES ICBF]]</f>
        <v>28866795</v>
      </c>
      <c r="AI281" s="35" t="str">
        <f>+IF(Tabla44[[#This Row],[AGRUPACIONES]]=1,SUMIFS(Tabla44[TOTAL APORTES ICBF],Tabla44[ZONA DEFINITIVO],Tabla44[[#This Row],[ZONA DEFINITIVO]])," ")</f>
        <v xml:space="preserve"> </v>
      </c>
      <c r="AJ281" s="38"/>
      <c r="AK281" s="38"/>
      <c r="AL281" s="35"/>
      <c r="AM281" s="35">
        <f>VLOOKUP(Tabla44[[#This Row],[SERVICIO 2025]],$J$2:$V$15,5,0)*Tabla44[[#This Row],[TOTAL COBERTURA]]</f>
        <v>888136</v>
      </c>
      <c r="AN281" s="35">
        <f>VLOOKUP(Tabla44[[#This Row],[SERVICIO 2025]],$J$2:$V$15,6,0)*Tabla44[[#This Row],[TOTAL COBERTURA]]</f>
        <v>718979</v>
      </c>
      <c r="AO281" s="35">
        <f>VLOOKUP(Tabla44[[#This Row],[SERVICIO 2025]],$J$2:$V$15,8,0)*Tabla44[[#This Row],[TOTAL COBERTURA]]</f>
        <v>0</v>
      </c>
      <c r="AP281" s="35">
        <f>VLOOKUP(Tabla44[[#This Row],[SERVICIO 2025]],$J$2:$V$15,3,0)*Tabla44[[#This Row],[TOTAL COBERTURA]]*8</f>
        <v>27259680</v>
      </c>
      <c r="AQ281" s="35"/>
      <c r="AR281" s="35">
        <f>SUM(Tabla44[[#This Row],[VALOR FASE PREPARATORIA DE ALISTAMIENTO]:[VALOR RACION PREPARADA]])</f>
        <v>28866795</v>
      </c>
      <c r="AS281" s="35" t="str">
        <f>+IF(Tabla44[[#This Row],[AGRUPACIONES]]=1,SUMIFS(Tabla44[VALOR TOTAL],Tabla44[ZONA DEFINITIVO],Tabla44[[#This Row],[ZONA DEFINITIVO]])," ")</f>
        <v xml:space="preserve"> </v>
      </c>
      <c r="AT281" s="35">
        <f>VLOOKUP(Tabla44[[#This Row],[SERVICIO 2025]],$J$2:$V$15,10,0)*Tabla44[[#This Row],[TOTAL COBERTURA]]*$X$7</f>
        <v>28624792</v>
      </c>
      <c r="AU281" s="39">
        <f>Tabla44[[#This Row],[TOTAL CONTRATO (ICBF+EAS)]]+Tabla44[[#This Row],[VALOR COMPONENTE ALIMENTACION NO ASIGNADO]]</f>
        <v>57491587</v>
      </c>
      <c r="AV28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7873695</v>
      </c>
      <c r="AW281" s="35">
        <f>(VLOOKUP(Tabla44[[#This Row],[SERVICIO 2025]],$J$2:$V$15,3,0)*Tabla44[[#This Row],[TOTAL COBERTURA]])+VLOOKUP(Tabla44[[#This Row],[SERVICIO 2025]],$J$2:$V$15,10,0)*Tabla44[[#This Row],[TOTAL COBERTURA]]</f>
        <v>6985559</v>
      </c>
      <c r="AX281" s="35">
        <f>(VLOOKUP(Tabla44[[#This Row],[SERVICIO 2025]],$J$2:$V$15,3,0)*Tabla44[[#This Row],[TOTAL COBERTURA]])+VLOOKUP(Tabla44[[#This Row],[SERVICIO 2025]],$J$2:$V$15,10,0)*Tabla44[[#This Row],[TOTAL COBERTURA]]</f>
        <v>6985559</v>
      </c>
      <c r="AY281" s="35">
        <f>(VLOOKUP(Tabla44[[#This Row],[SERVICIO 2025]],$J$2:$V$15,3,0)*Tabla44[[#This Row],[TOTAL COBERTURA]])+VLOOKUP(Tabla44[[#This Row],[SERVICIO 2025]],$J$2:$V$15,10,0)*Tabla44[[#This Row],[TOTAL COBERTURA]]</f>
        <v>6985559</v>
      </c>
      <c r="AZ281" s="35">
        <f>(VLOOKUP(Tabla44[[#This Row],[SERVICIO 2025]],$J$2:$V$15,3,0)*Tabla44[[#This Row],[TOTAL COBERTURA]])+VLOOKUP(Tabla44[[#This Row],[SERVICIO 2025]],$J$2:$V$15,10,0)*Tabla44[[#This Row],[TOTAL COBERTURA]]</f>
        <v>6985559</v>
      </c>
      <c r="BA281" s="35">
        <f>(VLOOKUP(Tabla44[[#This Row],[SERVICIO 2025]],$J$2:$V$15,3,0)*Tabla44[[#This Row],[TOTAL COBERTURA]])+VLOOKUP(Tabla44[[#This Row],[SERVICIO 2025]],$J$2:$V$15,10,0)*Tabla44[[#This Row],[TOTAL COBERTURA]]</f>
        <v>6985559</v>
      </c>
      <c r="BB281" s="35">
        <f>(VLOOKUP(Tabla44[[#This Row],[SERVICIO 2025]],$J$2:$V$15,3,0)*Tabla44[[#This Row],[TOTAL COBERTURA]])+VLOOKUP(Tabla44[[#This Row],[SERVICIO 2025]],$J$2:$V$15,10,0)*Tabla44[[#This Row],[TOTAL COBERTURA]]</f>
        <v>6985559</v>
      </c>
      <c r="BC28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7704538</v>
      </c>
      <c r="BD281" s="35">
        <f>SUM(Tabla44[[#This Row],[DESEMBOLSO 1]:[DESEMBOLSO 8]])</f>
        <v>57491587</v>
      </c>
      <c r="BE281" s="12" t="b">
        <f>EXACT(Tabla44[[#This Row],[VALOR ATENCIÓN (8 MESES)]],Tabla44[[#This Row],[VALOR TOTAL]])</f>
        <v>1</v>
      </c>
      <c r="BF281" s="23">
        <f>Tabla44[[#This Row],[VALOR ATENCIÓN (8 MESES)]]-Tabla44[[#This Row],[VALOR TOTAL]]</f>
        <v>0</v>
      </c>
      <c r="BG281" s="12" t="b">
        <f>EXACT(Tabla44[[#This Row],[TOTAL DESEMBOLSOS]],Tabla44[[#This Row],[VALOR TOTAL DEL CONTRATO INCLUIDO EL COMPONENTE DE ALIMENTACIÓN]])</f>
        <v>1</v>
      </c>
      <c r="BH281" s="29">
        <f>Tabla44[[#This Row],[TOTAL DESEMBOLSOS]]-Tabla44[[#This Row],[VALOR TOTAL DEL CONTRATO INCLUIDO EL COMPONENTE DE ALIMENTACIÓN]]</f>
        <v>0</v>
      </c>
      <c r="BI281" t="s">
        <v>98</v>
      </c>
    </row>
    <row r="282" spans="1:61">
      <c r="A282" s="13">
        <v>1993</v>
      </c>
      <c r="B282" s="13"/>
      <c r="C282" s="12" t="s">
        <v>87</v>
      </c>
      <c r="D282" s="12" t="s">
        <v>1628</v>
      </c>
      <c r="E282" s="12" t="s">
        <v>3318</v>
      </c>
      <c r="F282" s="12" t="s">
        <v>21</v>
      </c>
      <c r="G282" s="12" t="s">
        <v>90</v>
      </c>
      <c r="H282" s="12" t="s">
        <v>3358</v>
      </c>
      <c r="I282" s="36">
        <v>56861152828</v>
      </c>
      <c r="J282" s="12" t="s">
        <v>3359</v>
      </c>
      <c r="K282" s="12">
        <v>1</v>
      </c>
      <c r="L282" s="12">
        <v>11</v>
      </c>
      <c r="M282" s="12"/>
      <c r="N282" s="13">
        <v>1993</v>
      </c>
      <c r="O282" s="12" t="s">
        <v>2850</v>
      </c>
      <c r="P282" s="12"/>
      <c r="Q282" s="12"/>
      <c r="R282" s="12" t="s">
        <v>94</v>
      </c>
      <c r="S282" s="12">
        <v>10</v>
      </c>
      <c r="T282" s="12">
        <v>818001449</v>
      </c>
      <c r="U282" s="12" t="s">
        <v>3247</v>
      </c>
      <c r="V282" s="12">
        <f>VLOOKUP(Tabla44[[#This Row],[ZONA DEFINITIVO]],[1]Hoja1!$A$1:$D$125,3,0)</f>
        <v>229940</v>
      </c>
      <c r="W282" s="12">
        <f>VLOOKUP(Tabla44[[#This Row],[ZONA DEFINITIVO]],[1]Hoja1!$A$1:$D$125,2,0)</f>
        <v>17259</v>
      </c>
      <c r="X282" s="12">
        <f>VLOOKUP(Tabla44[[#This Row],[ZONA DEFINITIVO]],[1]Hoja1!$A$1:$D$125,4,0)</f>
        <v>104625</v>
      </c>
      <c r="Y282" s="12" t="str">
        <f>+IF(Tabla44[[#This Row],[AGRUPACIONES]]=1,SUMIFS(Tabla44[UDS],Tabla44[ZONA DEFINITIVO],Tabla44[[#This Row],[ZONA DEFINITIVO]])," ")</f>
        <v xml:space="preserve"> </v>
      </c>
      <c r="Z282" s="12" t="str">
        <f>+IF(Tabla44[[#This Row],[AGRUPACIONES]]=1,SUMIFS(Tabla44[TOTAL COBERTURA],Tabla44[ZONA DEFINITIVO],Tabla44[[#This Row],[ZONA DEFINITIVO]])," ")</f>
        <v xml:space="preserve"> </v>
      </c>
      <c r="AA282" s="12"/>
      <c r="AB282" s="35">
        <v>16712355</v>
      </c>
      <c r="AC282" s="37">
        <v>0</v>
      </c>
      <c r="AD282" s="35">
        <f t="shared" si="5"/>
        <v>0</v>
      </c>
      <c r="AE282" s="12"/>
      <c r="AF282" s="12">
        <f>COUNTIF($A$20:A282,A282)</f>
        <v>61</v>
      </c>
      <c r="AG282" s="38">
        <v>16712355</v>
      </c>
      <c r="AH282" s="38">
        <f>Tabla44[[#This Row],[VALOR CONTRAPARTIDA]]+Tabla44[[#This Row],[TOTAL APORTES ICBF]]</f>
        <v>16712355</v>
      </c>
      <c r="AI282" s="35" t="str">
        <f>+IF(Tabla44[[#This Row],[AGRUPACIONES]]=1,SUMIFS(Tabla44[TOTAL APORTES ICBF],Tabla44[ZONA DEFINITIVO],Tabla44[[#This Row],[ZONA DEFINITIVO]])," ")</f>
        <v xml:space="preserve"> </v>
      </c>
      <c r="AJ282" s="38"/>
      <c r="AK282" s="38"/>
      <c r="AL282" s="35"/>
      <c r="AM282" s="35">
        <f>VLOOKUP(Tabla44[[#This Row],[SERVICIO 2025]],$J$2:$V$15,5,0)*Tabla44[[#This Row],[TOTAL COBERTURA]]</f>
        <v>514184</v>
      </c>
      <c r="AN282" s="35">
        <f>VLOOKUP(Tabla44[[#This Row],[SERVICIO 2025]],$J$2:$V$15,6,0)*Tabla44[[#This Row],[TOTAL COBERTURA]]</f>
        <v>416251</v>
      </c>
      <c r="AO282" s="35">
        <f>VLOOKUP(Tabla44[[#This Row],[SERVICIO 2025]],$J$2:$V$15,8,0)*Tabla44[[#This Row],[TOTAL COBERTURA]]</f>
        <v>0</v>
      </c>
      <c r="AP282" s="35">
        <f>VLOOKUP(Tabla44[[#This Row],[SERVICIO 2025]],$J$2:$V$15,3,0)*Tabla44[[#This Row],[TOTAL COBERTURA]]*8</f>
        <v>15781920</v>
      </c>
      <c r="AQ282" s="35"/>
      <c r="AR282" s="35">
        <f>SUM(Tabla44[[#This Row],[VALOR FASE PREPARATORIA DE ALISTAMIENTO]:[VALOR RACION PREPARADA]])</f>
        <v>16712355</v>
      </c>
      <c r="AS282" s="35" t="str">
        <f>+IF(Tabla44[[#This Row],[AGRUPACIONES]]=1,SUMIFS(Tabla44[VALOR TOTAL],Tabla44[ZONA DEFINITIVO],Tabla44[[#This Row],[ZONA DEFINITIVO]])," ")</f>
        <v xml:space="preserve"> </v>
      </c>
      <c r="AT282" s="35">
        <f>VLOOKUP(Tabla44[[#This Row],[SERVICIO 2025]],$J$2:$V$15,10,0)*Tabla44[[#This Row],[TOTAL COBERTURA]]*$X$7</f>
        <v>16572248</v>
      </c>
      <c r="AU282" s="39">
        <f>Tabla44[[#This Row],[TOTAL CONTRATO (ICBF+EAS)]]+Tabla44[[#This Row],[VALOR COMPONENTE ALIMENTACION NO ASIGNADO]]</f>
        <v>33284603</v>
      </c>
      <c r="AV28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282" s="35">
        <f>(VLOOKUP(Tabla44[[#This Row],[SERVICIO 2025]],$J$2:$V$15,3,0)*Tabla44[[#This Row],[TOTAL COBERTURA]])+VLOOKUP(Tabla44[[#This Row],[SERVICIO 2025]],$J$2:$V$15,10,0)*Tabla44[[#This Row],[TOTAL COBERTURA]]</f>
        <v>4044271</v>
      </c>
      <c r="AX282" s="35">
        <f>(VLOOKUP(Tabla44[[#This Row],[SERVICIO 2025]],$J$2:$V$15,3,0)*Tabla44[[#This Row],[TOTAL COBERTURA]])+VLOOKUP(Tabla44[[#This Row],[SERVICIO 2025]],$J$2:$V$15,10,0)*Tabla44[[#This Row],[TOTAL COBERTURA]]</f>
        <v>4044271</v>
      </c>
      <c r="AY282" s="35">
        <f>(VLOOKUP(Tabla44[[#This Row],[SERVICIO 2025]],$J$2:$V$15,3,0)*Tabla44[[#This Row],[TOTAL COBERTURA]])+VLOOKUP(Tabla44[[#This Row],[SERVICIO 2025]],$J$2:$V$15,10,0)*Tabla44[[#This Row],[TOTAL COBERTURA]]</f>
        <v>4044271</v>
      </c>
      <c r="AZ282" s="35">
        <f>(VLOOKUP(Tabla44[[#This Row],[SERVICIO 2025]],$J$2:$V$15,3,0)*Tabla44[[#This Row],[TOTAL COBERTURA]])+VLOOKUP(Tabla44[[#This Row],[SERVICIO 2025]],$J$2:$V$15,10,0)*Tabla44[[#This Row],[TOTAL COBERTURA]]</f>
        <v>4044271</v>
      </c>
      <c r="BA282" s="35">
        <f>(VLOOKUP(Tabla44[[#This Row],[SERVICIO 2025]],$J$2:$V$15,3,0)*Tabla44[[#This Row],[TOTAL COBERTURA]])+VLOOKUP(Tabla44[[#This Row],[SERVICIO 2025]],$J$2:$V$15,10,0)*Tabla44[[#This Row],[TOTAL COBERTURA]]</f>
        <v>4044271</v>
      </c>
      <c r="BB282" s="35">
        <f>(VLOOKUP(Tabla44[[#This Row],[SERVICIO 2025]],$J$2:$V$15,3,0)*Tabla44[[#This Row],[TOTAL COBERTURA]])+VLOOKUP(Tabla44[[#This Row],[SERVICIO 2025]],$J$2:$V$15,10,0)*Tabla44[[#This Row],[TOTAL COBERTURA]]</f>
        <v>4044271</v>
      </c>
      <c r="BC28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282" s="35">
        <f>SUM(Tabla44[[#This Row],[DESEMBOLSO 1]:[DESEMBOLSO 8]])</f>
        <v>33284603</v>
      </c>
      <c r="BE282" s="12" t="b">
        <f>EXACT(Tabla44[[#This Row],[VALOR ATENCIÓN (8 MESES)]],Tabla44[[#This Row],[VALOR TOTAL]])</f>
        <v>1</v>
      </c>
      <c r="BF282" s="23">
        <f>Tabla44[[#This Row],[VALOR ATENCIÓN (8 MESES)]]-Tabla44[[#This Row],[VALOR TOTAL]]</f>
        <v>0</v>
      </c>
      <c r="BG282" s="12" t="b">
        <f>EXACT(Tabla44[[#This Row],[TOTAL DESEMBOLSOS]],Tabla44[[#This Row],[VALOR TOTAL DEL CONTRATO INCLUIDO EL COMPONENTE DE ALIMENTACIÓN]])</f>
        <v>1</v>
      </c>
      <c r="BH282" s="29">
        <f>Tabla44[[#This Row],[TOTAL DESEMBOLSOS]]-Tabla44[[#This Row],[VALOR TOTAL DEL CONTRATO INCLUIDO EL COMPONENTE DE ALIMENTACIÓN]]</f>
        <v>0</v>
      </c>
      <c r="BI282" t="s">
        <v>98</v>
      </c>
    </row>
    <row r="283" spans="1:61">
      <c r="A283" s="13">
        <v>1993</v>
      </c>
      <c r="B283" s="13"/>
      <c r="C283" s="12" t="s">
        <v>87</v>
      </c>
      <c r="D283" s="12" t="s">
        <v>1628</v>
      </c>
      <c r="E283" s="12" t="s">
        <v>3318</v>
      </c>
      <c r="F283" s="12" t="s">
        <v>21</v>
      </c>
      <c r="G283" s="12" t="s">
        <v>90</v>
      </c>
      <c r="H283" s="12" t="s">
        <v>3360</v>
      </c>
      <c r="I283" s="36">
        <v>56861152829</v>
      </c>
      <c r="J283" s="12" t="s">
        <v>3361</v>
      </c>
      <c r="K283" s="12">
        <v>1</v>
      </c>
      <c r="L283" s="12">
        <v>17</v>
      </c>
      <c r="M283" s="12"/>
      <c r="N283" s="13">
        <v>1993</v>
      </c>
      <c r="O283" s="12" t="s">
        <v>2850</v>
      </c>
      <c r="P283" s="12"/>
      <c r="Q283" s="12"/>
      <c r="R283" s="12" t="s">
        <v>94</v>
      </c>
      <c r="S283" s="12">
        <v>10</v>
      </c>
      <c r="T283" s="12">
        <v>818001449</v>
      </c>
      <c r="U283" s="12" t="s">
        <v>3247</v>
      </c>
      <c r="V283" s="12">
        <f>VLOOKUP(Tabla44[[#This Row],[ZONA DEFINITIVO]],[1]Hoja1!$A$1:$D$125,3,0)</f>
        <v>229940</v>
      </c>
      <c r="W283" s="12">
        <f>VLOOKUP(Tabla44[[#This Row],[ZONA DEFINITIVO]],[1]Hoja1!$A$1:$D$125,2,0)</f>
        <v>17259</v>
      </c>
      <c r="X283" s="12">
        <f>VLOOKUP(Tabla44[[#This Row],[ZONA DEFINITIVO]],[1]Hoja1!$A$1:$D$125,4,0)</f>
        <v>104625</v>
      </c>
      <c r="Y283" s="12" t="str">
        <f>+IF(Tabla44[[#This Row],[AGRUPACIONES]]=1,SUMIFS(Tabla44[UDS],Tabla44[ZONA DEFINITIVO],Tabla44[[#This Row],[ZONA DEFINITIVO]])," ")</f>
        <v xml:space="preserve"> </v>
      </c>
      <c r="Z283" s="12" t="str">
        <f>+IF(Tabla44[[#This Row],[AGRUPACIONES]]=1,SUMIFS(Tabla44[TOTAL COBERTURA],Tabla44[ZONA DEFINITIVO],Tabla44[[#This Row],[ZONA DEFINITIVO]])," ")</f>
        <v xml:space="preserve"> </v>
      </c>
      <c r="AA283" s="12"/>
      <c r="AB283" s="35">
        <v>25828185</v>
      </c>
      <c r="AC283" s="37">
        <v>0</v>
      </c>
      <c r="AD283" s="35">
        <f t="shared" si="5"/>
        <v>0</v>
      </c>
      <c r="AE283" s="12"/>
      <c r="AF283" s="12">
        <f>COUNTIF($A$20:A283,A283)</f>
        <v>62</v>
      </c>
      <c r="AG283" s="38">
        <v>25828185</v>
      </c>
      <c r="AH283" s="38">
        <f>Tabla44[[#This Row],[VALOR CONTRAPARTIDA]]+Tabla44[[#This Row],[TOTAL APORTES ICBF]]</f>
        <v>25828185</v>
      </c>
      <c r="AI283" s="35" t="str">
        <f>+IF(Tabla44[[#This Row],[AGRUPACIONES]]=1,SUMIFS(Tabla44[TOTAL APORTES ICBF],Tabla44[ZONA DEFINITIVO],Tabla44[[#This Row],[ZONA DEFINITIVO]])," ")</f>
        <v xml:space="preserve"> </v>
      </c>
      <c r="AJ283" s="38"/>
      <c r="AK283" s="38"/>
      <c r="AL283" s="35"/>
      <c r="AM283" s="35">
        <f>VLOOKUP(Tabla44[[#This Row],[SERVICIO 2025]],$J$2:$V$15,5,0)*Tabla44[[#This Row],[TOTAL COBERTURA]]</f>
        <v>794648</v>
      </c>
      <c r="AN283" s="35">
        <f>VLOOKUP(Tabla44[[#This Row],[SERVICIO 2025]],$J$2:$V$15,6,0)*Tabla44[[#This Row],[TOTAL COBERTURA]]</f>
        <v>643297</v>
      </c>
      <c r="AO283" s="35">
        <f>VLOOKUP(Tabla44[[#This Row],[SERVICIO 2025]],$J$2:$V$15,8,0)*Tabla44[[#This Row],[TOTAL COBERTURA]]</f>
        <v>0</v>
      </c>
      <c r="AP283" s="35">
        <f>VLOOKUP(Tabla44[[#This Row],[SERVICIO 2025]],$J$2:$V$15,3,0)*Tabla44[[#This Row],[TOTAL COBERTURA]]*8</f>
        <v>24390240</v>
      </c>
      <c r="AQ283" s="35"/>
      <c r="AR283" s="35">
        <f>SUM(Tabla44[[#This Row],[VALOR FASE PREPARATORIA DE ALISTAMIENTO]:[VALOR RACION PREPARADA]])</f>
        <v>25828185</v>
      </c>
      <c r="AS283" s="35" t="str">
        <f>+IF(Tabla44[[#This Row],[AGRUPACIONES]]=1,SUMIFS(Tabla44[VALOR TOTAL],Tabla44[ZONA DEFINITIVO],Tabla44[[#This Row],[ZONA DEFINITIVO]])," ")</f>
        <v xml:space="preserve"> </v>
      </c>
      <c r="AT283" s="35">
        <f>VLOOKUP(Tabla44[[#This Row],[SERVICIO 2025]],$J$2:$V$15,10,0)*Tabla44[[#This Row],[TOTAL COBERTURA]]*$X$7</f>
        <v>25611656</v>
      </c>
      <c r="AU283" s="39">
        <f>Tabla44[[#This Row],[TOTAL CONTRATO (ICBF+EAS)]]+Tabla44[[#This Row],[VALOR COMPONENTE ALIMENTACION NO ASIGNADO]]</f>
        <v>51439841</v>
      </c>
      <c r="AV28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7044885</v>
      </c>
      <c r="AW283" s="35">
        <f>(VLOOKUP(Tabla44[[#This Row],[SERVICIO 2025]],$J$2:$V$15,3,0)*Tabla44[[#This Row],[TOTAL COBERTURA]])+VLOOKUP(Tabla44[[#This Row],[SERVICIO 2025]],$J$2:$V$15,10,0)*Tabla44[[#This Row],[TOTAL COBERTURA]]</f>
        <v>6250237</v>
      </c>
      <c r="AX283" s="35">
        <f>(VLOOKUP(Tabla44[[#This Row],[SERVICIO 2025]],$J$2:$V$15,3,0)*Tabla44[[#This Row],[TOTAL COBERTURA]])+VLOOKUP(Tabla44[[#This Row],[SERVICIO 2025]],$J$2:$V$15,10,0)*Tabla44[[#This Row],[TOTAL COBERTURA]]</f>
        <v>6250237</v>
      </c>
      <c r="AY283" s="35">
        <f>(VLOOKUP(Tabla44[[#This Row],[SERVICIO 2025]],$J$2:$V$15,3,0)*Tabla44[[#This Row],[TOTAL COBERTURA]])+VLOOKUP(Tabla44[[#This Row],[SERVICIO 2025]],$J$2:$V$15,10,0)*Tabla44[[#This Row],[TOTAL COBERTURA]]</f>
        <v>6250237</v>
      </c>
      <c r="AZ283" s="35">
        <f>(VLOOKUP(Tabla44[[#This Row],[SERVICIO 2025]],$J$2:$V$15,3,0)*Tabla44[[#This Row],[TOTAL COBERTURA]])+VLOOKUP(Tabla44[[#This Row],[SERVICIO 2025]],$J$2:$V$15,10,0)*Tabla44[[#This Row],[TOTAL COBERTURA]]</f>
        <v>6250237</v>
      </c>
      <c r="BA283" s="35">
        <f>(VLOOKUP(Tabla44[[#This Row],[SERVICIO 2025]],$J$2:$V$15,3,0)*Tabla44[[#This Row],[TOTAL COBERTURA]])+VLOOKUP(Tabla44[[#This Row],[SERVICIO 2025]],$J$2:$V$15,10,0)*Tabla44[[#This Row],[TOTAL COBERTURA]]</f>
        <v>6250237</v>
      </c>
      <c r="BB283" s="35">
        <f>(VLOOKUP(Tabla44[[#This Row],[SERVICIO 2025]],$J$2:$V$15,3,0)*Tabla44[[#This Row],[TOTAL COBERTURA]])+VLOOKUP(Tabla44[[#This Row],[SERVICIO 2025]],$J$2:$V$15,10,0)*Tabla44[[#This Row],[TOTAL COBERTURA]]</f>
        <v>6250237</v>
      </c>
      <c r="BC28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6893534</v>
      </c>
      <c r="BD283" s="35">
        <f>SUM(Tabla44[[#This Row],[DESEMBOLSO 1]:[DESEMBOLSO 8]])</f>
        <v>51439841</v>
      </c>
      <c r="BE283" s="12" t="b">
        <f>EXACT(Tabla44[[#This Row],[VALOR ATENCIÓN (8 MESES)]],Tabla44[[#This Row],[VALOR TOTAL]])</f>
        <v>1</v>
      </c>
      <c r="BF283" s="23">
        <f>Tabla44[[#This Row],[VALOR ATENCIÓN (8 MESES)]]-Tabla44[[#This Row],[VALOR TOTAL]]</f>
        <v>0</v>
      </c>
      <c r="BG283" s="12" t="b">
        <f>EXACT(Tabla44[[#This Row],[TOTAL DESEMBOLSOS]],Tabla44[[#This Row],[VALOR TOTAL DEL CONTRATO INCLUIDO EL COMPONENTE DE ALIMENTACIÓN]])</f>
        <v>1</v>
      </c>
      <c r="BH283" s="29">
        <f>Tabla44[[#This Row],[TOTAL DESEMBOLSOS]]-Tabla44[[#This Row],[VALOR TOTAL DEL CONTRATO INCLUIDO EL COMPONENTE DE ALIMENTACIÓN]]</f>
        <v>0</v>
      </c>
      <c r="BI283" t="s">
        <v>98</v>
      </c>
    </row>
    <row r="284" spans="1:61">
      <c r="A284" s="13">
        <v>1993</v>
      </c>
      <c r="B284" s="13"/>
      <c r="C284" s="12" t="s">
        <v>87</v>
      </c>
      <c r="D284" s="12" t="s">
        <v>1628</v>
      </c>
      <c r="E284" s="12" t="s">
        <v>3318</v>
      </c>
      <c r="F284" s="12" t="s">
        <v>18</v>
      </c>
      <c r="G284" s="12" t="s">
        <v>90</v>
      </c>
      <c r="H284" s="12" t="s">
        <v>3362</v>
      </c>
      <c r="I284" s="36">
        <v>56861152830</v>
      </c>
      <c r="J284" s="12" t="s">
        <v>3363</v>
      </c>
      <c r="K284" s="12">
        <v>1</v>
      </c>
      <c r="L284" s="12">
        <v>13</v>
      </c>
      <c r="M284" s="12"/>
      <c r="N284" s="13">
        <v>1993</v>
      </c>
      <c r="O284" s="12" t="s">
        <v>2850</v>
      </c>
      <c r="P284" s="12"/>
      <c r="Q284" s="12"/>
      <c r="R284" s="12" t="s">
        <v>94</v>
      </c>
      <c r="S284" s="12">
        <v>10</v>
      </c>
      <c r="T284" s="12">
        <v>818001449</v>
      </c>
      <c r="U284" s="12" t="s">
        <v>3247</v>
      </c>
      <c r="V284" s="12">
        <f>VLOOKUP(Tabla44[[#This Row],[ZONA DEFINITIVO]],[1]Hoja1!$A$1:$D$125,3,0)</f>
        <v>229940</v>
      </c>
      <c r="W284" s="12">
        <f>VLOOKUP(Tabla44[[#This Row],[ZONA DEFINITIVO]],[1]Hoja1!$A$1:$D$125,2,0)</f>
        <v>17259</v>
      </c>
      <c r="X284" s="12">
        <f>VLOOKUP(Tabla44[[#This Row],[ZONA DEFINITIVO]],[1]Hoja1!$A$1:$D$125,4,0)</f>
        <v>104625</v>
      </c>
      <c r="Y284" s="12" t="str">
        <f>+IF(Tabla44[[#This Row],[AGRUPACIONES]]=1,SUMIFS(Tabla44[UDS],Tabla44[ZONA DEFINITIVO],Tabla44[[#This Row],[ZONA DEFINITIVO]])," ")</f>
        <v xml:space="preserve"> </v>
      </c>
      <c r="Z284" s="12" t="str">
        <f>+IF(Tabla44[[#This Row],[AGRUPACIONES]]=1,SUMIFS(Tabla44[TOTAL COBERTURA],Tabla44[ZONA DEFINITIVO],Tabla44[[#This Row],[ZONA DEFINITIVO]])," ")</f>
        <v xml:space="preserve"> </v>
      </c>
      <c r="AA284" s="12"/>
      <c r="AB284" s="35">
        <v>28342509</v>
      </c>
      <c r="AC284" s="37">
        <v>0</v>
      </c>
      <c r="AD284" s="35">
        <f t="shared" si="5"/>
        <v>0</v>
      </c>
      <c r="AE284" s="12"/>
      <c r="AF284" s="12">
        <f>COUNTIF($A$20:A284,A284)</f>
        <v>63</v>
      </c>
      <c r="AG284" s="38">
        <v>28342509</v>
      </c>
      <c r="AH284" s="38">
        <f>Tabla44[[#This Row],[VALOR CONTRAPARTIDA]]+Tabla44[[#This Row],[TOTAL APORTES ICBF]]</f>
        <v>28342509</v>
      </c>
      <c r="AI284" s="35" t="str">
        <f>+IF(Tabla44[[#This Row],[AGRUPACIONES]]=1,SUMIFS(Tabla44[TOTAL APORTES ICBF],Tabla44[ZONA DEFINITIVO],Tabla44[[#This Row],[ZONA DEFINITIVO]])," ")</f>
        <v xml:space="preserve"> </v>
      </c>
      <c r="AJ284" s="38"/>
      <c r="AK284" s="38"/>
      <c r="AL284" s="35"/>
      <c r="AM284" s="35">
        <f>VLOOKUP(Tabla44[[#This Row],[SERVICIO 2025]],$J$2:$V$15,5,0)*Tabla44[[#This Row],[TOTAL COBERTURA]]</f>
        <v>641888</v>
      </c>
      <c r="AN284" s="35">
        <f>VLOOKUP(Tabla44[[#This Row],[SERVICIO 2025]],$J$2:$V$15,6,0)*Tabla44[[#This Row],[TOTAL COBERTURA]]</f>
        <v>533377</v>
      </c>
      <c r="AO284" s="35">
        <f>VLOOKUP(Tabla44[[#This Row],[SERVICIO 2025]],$J$2:$V$15,8,0)*Tabla44[[#This Row],[TOTAL COBERTURA]]</f>
        <v>378300</v>
      </c>
      <c r="AP284" s="35">
        <f>VLOOKUP(Tabla44[[#This Row],[SERVICIO 2025]],$J$2:$V$15,3,0)*Tabla44[[#This Row],[TOTAL COBERTURA]]*8</f>
        <v>26788944</v>
      </c>
      <c r="AQ284" s="35"/>
      <c r="AR284" s="35">
        <f>SUM(Tabla44[[#This Row],[VALOR FASE PREPARATORIA DE ALISTAMIENTO]:[VALOR RACION PREPARADA]])</f>
        <v>28342509</v>
      </c>
      <c r="AS284" s="35" t="str">
        <f>+IF(Tabla44[[#This Row],[AGRUPACIONES]]=1,SUMIFS(Tabla44[VALOR TOTAL],Tabla44[ZONA DEFINITIVO],Tabla44[[#This Row],[ZONA DEFINITIVO]])," ")</f>
        <v xml:space="preserve"> </v>
      </c>
      <c r="AT284" s="35">
        <f>VLOOKUP(Tabla44[[#This Row],[SERVICIO 2025]],$J$2:$V$15,10,0)*Tabla44[[#This Row],[TOTAL COBERTURA]]*$X$7</f>
        <v>18759832</v>
      </c>
      <c r="AU284" s="39">
        <f>Tabla44[[#This Row],[TOTAL CONTRATO (ICBF+EAS)]]+Tabla44[[#This Row],[VALOR COMPONENTE ALIMENTACION NO ASIGNADO]]</f>
        <v>47102341</v>
      </c>
      <c r="AV28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284" s="35">
        <f>(VLOOKUP(Tabla44[[#This Row],[SERVICIO 2025]],$J$2:$V$15,3,0)*Tabla44[[#This Row],[TOTAL COBERTURA]])+VLOOKUP(Tabla44[[#This Row],[SERVICIO 2025]],$J$2:$V$15,10,0)*Tabla44[[#This Row],[TOTAL COBERTURA]]</f>
        <v>5693597</v>
      </c>
      <c r="AX284" s="35">
        <f>(VLOOKUP(Tabla44[[#This Row],[SERVICIO 2025]],$J$2:$V$15,3,0)*Tabla44[[#This Row],[TOTAL COBERTURA]])+VLOOKUP(Tabla44[[#This Row],[SERVICIO 2025]],$J$2:$V$15,10,0)*Tabla44[[#This Row],[TOTAL COBERTURA]]</f>
        <v>5693597</v>
      </c>
      <c r="AY284" s="35">
        <f>(VLOOKUP(Tabla44[[#This Row],[SERVICIO 2025]],$J$2:$V$15,3,0)*Tabla44[[#This Row],[TOTAL COBERTURA]])+VLOOKUP(Tabla44[[#This Row],[SERVICIO 2025]],$J$2:$V$15,10,0)*Tabla44[[#This Row],[TOTAL COBERTURA]]</f>
        <v>5693597</v>
      </c>
      <c r="AZ284" s="35">
        <f>(VLOOKUP(Tabla44[[#This Row],[SERVICIO 2025]],$J$2:$V$15,3,0)*Tabla44[[#This Row],[TOTAL COBERTURA]])+VLOOKUP(Tabla44[[#This Row],[SERVICIO 2025]],$J$2:$V$15,10,0)*Tabla44[[#This Row],[TOTAL COBERTURA]]</f>
        <v>5693597</v>
      </c>
      <c r="BA284" s="35">
        <f>(VLOOKUP(Tabla44[[#This Row],[SERVICIO 2025]],$J$2:$V$15,3,0)*Tabla44[[#This Row],[TOTAL COBERTURA]])+VLOOKUP(Tabla44[[#This Row],[SERVICIO 2025]],$J$2:$V$15,10,0)*Tabla44[[#This Row],[TOTAL COBERTURA]]</f>
        <v>5693597</v>
      </c>
      <c r="BB284" s="35">
        <f>(VLOOKUP(Tabla44[[#This Row],[SERVICIO 2025]],$J$2:$V$15,3,0)*Tabla44[[#This Row],[TOTAL COBERTURA]])+VLOOKUP(Tabla44[[#This Row],[SERVICIO 2025]],$J$2:$V$15,10,0)*Tabla44[[#This Row],[TOTAL COBERTURA]]</f>
        <v>5693597</v>
      </c>
      <c r="BC28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284" s="35">
        <f>SUM(Tabla44[[#This Row],[DESEMBOLSO 1]:[DESEMBOLSO 8]])</f>
        <v>47102341</v>
      </c>
      <c r="BE284" s="12" t="b">
        <f>EXACT(Tabla44[[#This Row],[VALOR ATENCIÓN (8 MESES)]],Tabla44[[#This Row],[VALOR TOTAL]])</f>
        <v>1</v>
      </c>
      <c r="BF284" s="23">
        <f>Tabla44[[#This Row],[VALOR ATENCIÓN (8 MESES)]]-Tabla44[[#This Row],[VALOR TOTAL]]</f>
        <v>0</v>
      </c>
      <c r="BG284" s="12" t="b">
        <f>EXACT(Tabla44[[#This Row],[TOTAL DESEMBOLSOS]],Tabla44[[#This Row],[VALOR TOTAL DEL CONTRATO INCLUIDO EL COMPONENTE DE ALIMENTACIÓN]])</f>
        <v>1</v>
      </c>
      <c r="BH284" s="29">
        <f>Tabla44[[#This Row],[TOTAL DESEMBOLSOS]]-Tabla44[[#This Row],[VALOR TOTAL DEL CONTRATO INCLUIDO EL COMPONENTE DE ALIMENTACIÓN]]</f>
        <v>0</v>
      </c>
      <c r="BI284" t="s">
        <v>98</v>
      </c>
    </row>
    <row r="285" spans="1:61">
      <c r="A285" s="13">
        <v>1993</v>
      </c>
      <c r="B285" s="13"/>
      <c r="C285" s="12" t="s">
        <v>87</v>
      </c>
      <c r="D285" s="12" t="s">
        <v>1628</v>
      </c>
      <c r="E285" s="12" t="s">
        <v>3318</v>
      </c>
      <c r="F285" s="12" t="s">
        <v>21</v>
      </c>
      <c r="G285" s="12" t="s">
        <v>90</v>
      </c>
      <c r="H285" s="12" t="s">
        <v>3364</v>
      </c>
      <c r="I285" s="36">
        <v>56861152831</v>
      </c>
      <c r="J285" s="12" t="s">
        <v>3365</v>
      </c>
      <c r="K285" s="12">
        <v>1</v>
      </c>
      <c r="L285" s="12">
        <v>20</v>
      </c>
      <c r="M285" s="12"/>
      <c r="N285" s="13">
        <v>1993</v>
      </c>
      <c r="O285" s="12" t="s">
        <v>2850</v>
      </c>
      <c r="P285" s="12"/>
      <c r="Q285" s="12"/>
      <c r="R285" s="12" t="s">
        <v>94</v>
      </c>
      <c r="S285" s="12">
        <v>10</v>
      </c>
      <c r="T285" s="12">
        <v>818001449</v>
      </c>
      <c r="U285" s="12" t="s">
        <v>3247</v>
      </c>
      <c r="V285" s="12">
        <f>VLOOKUP(Tabla44[[#This Row],[ZONA DEFINITIVO]],[1]Hoja1!$A$1:$D$125,3,0)</f>
        <v>229940</v>
      </c>
      <c r="W285" s="12">
        <f>VLOOKUP(Tabla44[[#This Row],[ZONA DEFINITIVO]],[1]Hoja1!$A$1:$D$125,2,0)</f>
        <v>17259</v>
      </c>
      <c r="X285" s="12">
        <f>VLOOKUP(Tabla44[[#This Row],[ZONA DEFINITIVO]],[1]Hoja1!$A$1:$D$125,4,0)</f>
        <v>104625</v>
      </c>
      <c r="Y285" s="12" t="str">
        <f>+IF(Tabla44[[#This Row],[AGRUPACIONES]]=1,SUMIFS(Tabla44[UDS],Tabla44[ZONA DEFINITIVO],Tabla44[[#This Row],[ZONA DEFINITIVO]])," ")</f>
        <v xml:space="preserve"> </v>
      </c>
      <c r="Z285" s="12" t="str">
        <f>+IF(Tabla44[[#This Row],[AGRUPACIONES]]=1,SUMIFS(Tabla44[TOTAL COBERTURA],Tabla44[ZONA DEFINITIVO],Tabla44[[#This Row],[ZONA DEFINITIVO]])," ")</f>
        <v xml:space="preserve"> </v>
      </c>
      <c r="AA285" s="12"/>
      <c r="AB285" s="35">
        <v>30386100</v>
      </c>
      <c r="AC285" s="37">
        <v>0</v>
      </c>
      <c r="AD285" s="35">
        <f t="shared" si="5"/>
        <v>0</v>
      </c>
      <c r="AE285" s="12"/>
      <c r="AF285" s="12">
        <f>COUNTIF($A$20:A285,A285)</f>
        <v>64</v>
      </c>
      <c r="AG285" s="38">
        <v>30386100</v>
      </c>
      <c r="AH285" s="38">
        <f>Tabla44[[#This Row],[VALOR CONTRAPARTIDA]]+Tabla44[[#This Row],[TOTAL APORTES ICBF]]</f>
        <v>30386100</v>
      </c>
      <c r="AI285" s="35" t="str">
        <f>+IF(Tabla44[[#This Row],[AGRUPACIONES]]=1,SUMIFS(Tabla44[TOTAL APORTES ICBF],Tabla44[ZONA DEFINITIVO],Tabla44[[#This Row],[ZONA DEFINITIVO]])," ")</f>
        <v xml:space="preserve"> </v>
      </c>
      <c r="AJ285" s="38"/>
      <c r="AK285" s="38"/>
      <c r="AL285" s="35"/>
      <c r="AM285" s="35">
        <f>VLOOKUP(Tabla44[[#This Row],[SERVICIO 2025]],$J$2:$V$15,5,0)*Tabla44[[#This Row],[TOTAL COBERTURA]]</f>
        <v>934880</v>
      </c>
      <c r="AN285" s="35">
        <f>VLOOKUP(Tabla44[[#This Row],[SERVICIO 2025]],$J$2:$V$15,6,0)*Tabla44[[#This Row],[TOTAL COBERTURA]]</f>
        <v>756820</v>
      </c>
      <c r="AO285" s="35">
        <f>VLOOKUP(Tabla44[[#This Row],[SERVICIO 2025]],$J$2:$V$15,8,0)*Tabla44[[#This Row],[TOTAL COBERTURA]]</f>
        <v>0</v>
      </c>
      <c r="AP285" s="35">
        <f>VLOOKUP(Tabla44[[#This Row],[SERVICIO 2025]],$J$2:$V$15,3,0)*Tabla44[[#This Row],[TOTAL COBERTURA]]*8</f>
        <v>28694400</v>
      </c>
      <c r="AQ285" s="35"/>
      <c r="AR285" s="35">
        <f>SUM(Tabla44[[#This Row],[VALOR FASE PREPARATORIA DE ALISTAMIENTO]:[VALOR RACION PREPARADA]])</f>
        <v>30386100</v>
      </c>
      <c r="AS285" s="35" t="str">
        <f>+IF(Tabla44[[#This Row],[AGRUPACIONES]]=1,SUMIFS(Tabla44[VALOR TOTAL],Tabla44[ZONA DEFINITIVO],Tabla44[[#This Row],[ZONA DEFINITIVO]])," ")</f>
        <v xml:space="preserve"> </v>
      </c>
      <c r="AT285" s="35">
        <f>VLOOKUP(Tabla44[[#This Row],[SERVICIO 2025]],$J$2:$V$15,10,0)*Tabla44[[#This Row],[TOTAL COBERTURA]]*$X$7</f>
        <v>30131360</v>
      </c>
      <c r="AU285" s="39">
        <f>Tabla44[[#This Row],[TOTAL CONTRATO (ICBF+EAS)]]+Tabla44[[#This Row],[VALOR COMPONENTE ALIMENTACION NO ASIGNADO]]</f>
        <v>60517460</v>
      </c>
      <c r="AV28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8288100</v>
      </c>
      <c r="AW285" s="35">
        <f>(VLOOKUP(Tabla44[[#This Row],[SERVICIO 2025]],$J$2:$V$15,3,0)*Tabla44[[#This Row],[TOTAL COBERTURA]])+VLOOKUP(Tabla44[[#This Row],[SERVICIO 2025]],$J$2:$V$15,10,0)*Tabla44[[#This Row],[TOTAL COBERTURA]]</f>
        <v>7353220</v>
      </c>
      <c r="AX285" s="35">
        <f>(VLOOKUP(Tabla44[[#This Row],[SERVICIO 2025]],$J$2:$V$15,3,0)*Tabla44[[#This Row],[TOTAL COBERTURA]])+VLOOKUP(Tabla44[[#This Row],[SERVICIO 2025]],$J$2:$V$15,10,0)*Tabla44[[#This Row],[TOTAL COBERTURA]]</f>
        <v>7353220</v>
      </c>
      <c r="AY285" s="35">
        <f>(VLOOKUP(Tabla44[[#This Row],[SERVICIO 2025]],$J$2:$V$15,3,0)*Tabla44[[#This Row],[TOTAL COBERTURA]])+VLOOKUP(Tabla44[[#This Row],[SERVICIO 2025]],$J$2:$V$15,10,0)*Tabla44[[#This Row],[TOTAL COBERTURA]]</f>
        <v>7353220</v>
      </c>
      <c r="AZ285" s="35">
        <f>(VLOOKUP(Tabla44[[#This Row],[SERVICIO 2025]],$J$2:$V$15,3,0)*Tabla44[[#This Row],[TOTAL COBERTURA]])+VLOOKUP(Tabla44[[#This Row],[SERVICIO 2025]],$J$2:$V$15,10,0)*Tabla44[[#This Row],[TOTAL COBERTURA]]</f>
        <v>7353220</v>
      </c>
      <c r="BA285" s="35">
        <f>(VLOOKUP(Tabla44[[#This Row],[SERVICIO 2025]],$J$2:$V$15,3,0)*Tabla44[[#This Row],[TOTAL COBERTURA]])+VLOOKUP(Tabla44[[#This Row],[SERVICIO 2025]],$J$2:$V$15,10,0)*Tabla44[[#This Row],[TOTAL COBERTURA]]</f>
        <v>7353220</v>
      </c>
      <c r="BB285" s="35">
        <f>(VLOOKUP(Tabla44[[#This Row],[SERVICIO 2025]],$J$2:$V$15,3,0)*Tabla44[[#This Row],[TOTAL COBERTURA]])+VLOOKUP(Tabla44[[#This Row],[SERVICIO 2025]],$J$2:$V$15,10,0)*Tabla44[[#This Row],[TOTAL COBERTURA]]</f>
        <v>7353220</v>
      </c>
      <c r="BC28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8110040</v>
      </c>
      <c r="BD285" s="35">
        <f>SUM(Tabla44[[#This Row],[DESEMBOLSO 1]:[DESEMBOLSO 8]])</f>
        <v>60517460</v>
      </c>
      <c r="BE285" s="12" t="b">
        <f>EXACT(Tabla44[[#This Row],[VALOR ATENCIÓN (8 MESES)]],Tabla44[[#This Row],[VALOR TOTAL]])</f>
        <v>1</v>
      </c>
      <c r="BF285" s="23">
        <f>Tabla44[[#This Row],[VALOR ATENCIÓN (8 MESES)]]-Tabla44[[#This Row],[VALOR TOTAL]]</f>
        <v>0</v>
      </c>
      <c r="BG285" s="12" t="b">
        <f>EXACT(Tabla44[[#This Row],[TOTAL DESEMBOLSOS]],Tabla44[[#This Row],[VALOR TOTAL DEL CONTRATO INCLUIDO EL COMPONENTE DE ALIMENTACIÓN]])</f>
        <v>1</v>
      </c>
      <c r="BH285" s="29">
        <f>Tabla44[[#This Row],[TOTAL DESEMBOLSOS]]-Tabla44[[#This Row],[VALOR TOTAL DEL CONTRATO INCLUIDO EL COMPONENTE DE ALIMENTACIÓN]]</f>
        <v>0</v>
      </c>
      <c r="BI285" t="s">
        <v>98</v>
      </c>
    </row>
    <row r="286" spans="1:61">
      <c r="A286" s="13">
        <v>1993</v>
      </c>
      <c r="B286" s="13"/>
      <c r="C286" s="12" t="s">
        <v>87</v>
      </c>
      <c r="D286" s="12" t="s">
        <v>1628</v>
      </c>
      <c r="E286" s="12" t="s">
        <v>3318</v>
      </c>
      <c r="F286" s="12" t="s">
        <v>18</v>
      </c>
      <c r="G286" s="12" t="s">
        <v>90</v>
      </c>
      <c r="H286" s="12" t="s">
        <v>3366</v>
      </c>
      <c r="I286" s="36">
        <v>56861152833</v>
      </c>
      <c r="J286" s="12" t="s">
        <v>3367</v>
      </c>
      <c r="K286" s="12">
        <v>1</v>
      </c>
      <c r="L286" s="12">
        <v>18</v>
      </c>
      <c r="M286" s="12"/>
      <c r="N286" s="13">
        <v>1993</v>
      </c>
      <c r="O286" s="12" t="s">
        <v>2850</v>
      </c>
      <c r="P286" s="12"/>
      <c r="Q286" s="12"/>
      <c r="R286" s="12" t="s">
        <v>94</v>
      </c>
      <c r="S286" s="12">
        <v>10</v>
      </c>
      <c r="T286" s="12">
        <v>818001449</v>
      </c>
      <c r="U286" s="12" t="s">
        <v>3247</v>
      </c>
      <c r="V286" s="12">
        <f>VLOOKUP(Tabla44[[#This Row],[ZONA DEFINITIVO]],[1]Hoja1!$A$1:$D$125,3,0)</f>
        <v>229940</v>
      </c>
      <c r="W286" s="12">
        <f>VLOOKUP(Tabla44[[#This Row],[ZONA DEFINITIVO]],[1]Hoja1!$A$1:$D$125,2,0)</f>
        <v>17259</v>
      </c>
      <c r="X286" s="12">
        <f>VLOOKUP(Tabla44[[#This Row],[ZONA DEFINITIVO]],[1]Hoja1!$A$1:$D$125,4,0)</f>
        <v>104625</v>
      </c>
      <c r="Y286" s="12" t="str">
        <f>+IF(Tabla44[[#This Row],[AGRUPACIONES]]=1,SUMIFS(Tabla44[UDS],Tabla44[ZONA DEFINITIVO],Tabla44[[#This Row],[ZONA DEFINITIVO]])," ")</f>
        <v xml:space="preserve"> </v>
      </c>
      <c r="Z286" s="12" t="str">
        <f>+IF(Tabla44[[#This Row],[AGRUPACIONES]]=1,SUMIFS(Tabla44[TOTAL COBERTURA],Tabla44[ZONA DEFINITIVO],Tabla44[[#This Row],[ZONA DEFINITIVO]])," ")</f>
        <v xml:space="preserve"> </v>
      </c>
      <c r="AA286" s="12"/>
      <c r="AB286" s="35">
        <v>39243474</v>
      </c>
      <c r="AC286" s="37">
        <v>0</v>
      </c>
      <c r="AD286" s="35">
        <f t="shared" si="5"/>
        <v>0</v>
      </c>
      <c r="AE286" s="12"/>
      <c r="AF286" s="12">
        <f>COUNTIF($A$20:A286,A286)</f>
        <v>65</v>
      </c>
      <c r="AG286" s="38">
        <v>39243474</v>
      </c>
      <c r="AH286" s="38">
        <f>Tabla44[[#This Row],[VALOR CONTRAPARTIDA]]+Tabla44[[#This Row],[TOTAL APORTES ICBF]]</f>
        <v>39243474</v>
      </c>
      <c r="AI286" s="35" t="str">
        <f>+IF(Tabla44[[#This Row],[AGRUPACIONES]]=1,SUMIFS(Tabla44[TOTAL APORTES ICBF],Tabla44[ZONA DEFINITIVO],Tabla44[[#This Row],[ZONA DEFINITIVO]])," ")</f>
        <v xml:space="preserve"> </v>
      </c>
      <c r="AJ286" s="38"/>
      <c r="AK286" s="38"/>
      <c r="AL286" s="35"/>
      <c r="AM286" s="35">
        <f>VLOOKUP(Tabla44[[#This Row],[SERVICIO 2025]],$J$2:$V$15,5,0)*Tabla44[[#This Row],[TOTAL COBERTURA]]</f>
        <v>888768</v>
      </c>
      <c r="AN286" s="35">
        <f>VLOOKUP(Tabla44[[#This Row],[SERVICIO 2025]],$J$2:$V$15,6,0)*Tabla44[[#This Row],[TOTAL COBERTURA]]</f>
        <v>738522</v>
      </c>
      <c r="AO286" s="35">
        <f>VLOOKUP(Tabla44[[#This Row],[SERVICIO 2025]],$J$2:$V$15,8,0)*Tabla44[[#This Row],[TOTAL COBERTURA]]</f>
        <v>523800</v>
      </c>
      <c r="AP286" s="35">
        <f>VLOOKUP(Tabla44[[#This Row],[SERVICIO 2025]],$J$2:$V$15,3,0)*Tabla44[[#This Row],[TOTAL COBERTURA]]*8</f>
        <v>37092384</v>
      </c>
      <c r="AQ286" s="35"/>
      <c r="AR286" s="35">
        <f>SUM(Tabla44[[#This Row],[VALOR FASE PREPARATORIA DE ALISTAMIENTO]:[VALOR RACION PREPARADA]])</f>
        <v>39243474</v>
      </c>
      <c r="AS286" s="35" t="str">
        <f>+IF(Tabla44[[#This Row],[AGRUPACIONES]]=1,SUMIFS(Tabla44[VALOR TOTAL],Tabla44[ZONA DEFINITIVO],Tabla44[[#This Row],[ZONA DEFINITIVO]])," ")</f>
        <v xml:space="preserve"> </v>
      </c>
      <c r="AT286" s="35">
        <f>VLOOKUP(Tabla44[[#This Row],[SERVICIO 2025]],$J$2:$V$15,10,0)*Tabla44[[#This Row],[TOTAL COBERTURA]]*$X$7</f>
        <v>25975152</v>
      </c>
      <c r="AU286" s="39">
        <f>Tabla44[[#This Row],[TOTAL CONTRATO (ICBF+EAS)]]+Tabla44[[#This Row],[VALOR COMPONENTE ALIMENTACION NO ASIGNADO]]</f>
        <v>65218626</v>
      </c>
      <c r="AV28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286" s="35">
        <f>(VLOOKUP(Tabla44[[#This Row],[SERVICIO 2025]],$J$2:$V$15,3,0)*Tabla44[[#This Row],[TOTAL COBERTURA]])+VLOOKUP(Tabla44[[#This Row],[SERVICIO 2025]],$J$2:$V$15,10,0)*Tabla44[[#This Row],[TOTAL COBERTURA]]</f>
        <v>7883442</v>
      </c>
      <c r="AX286" s="35">
        <f>(VLOOKUP(Tabla44[[#This Row],[SERVICIO 2025]],$J$2:$V$15,3,0)*Tabla44[[#This Row],[TOTAL COBERTURA]])+VLOOKUP(Tabla44[[#This Row],[SERVICIO 2025]],$J$2:$V$15,10,0)*Tabla44[[#This Row],[TOTAL COBERTURA]]</f>
        <v>7883442</v>
      </c>
      <c r="AY286" s="35">
        <f>(VLOOKUP(Tabla44[[#This Row],[SERVICIO 2025]],$J$2:$V$15,3,0)*Tabla44[[#This Row],[TOTAL COBERTURA]])+VLOOKUP(Tabla44[[#This Row],[SERVICIO 2025]],$J$2:$V$15,10,0)*Tabla44[[#This Row],[TOTAL COBERTURA]]</f>
        <v>7883442</v>
      </c>
      <c r="AZ286" s="35">
        <f>(VLOOKUP(Tabla44[[#This Row],[SERVICIO 2025]],$J$2:$V$15,3,0)*Tabla44[[#This Row],[TOTAL COBERTURA]])+VLOOKUP(Tabla44[[#This Row],[SERVICIO 2025]],$J$2:$V$15,10,0)*Tabla44[[#This Row],[TOTAL COBERTURA]]</f>
        <v>7883442</v>
      </c>
      <c r="BA286" s="35">
        <f>(VLOOKUP(Tabla44[[#This Row],[SERVICIO 2025]],$J$2:$V$15,3,0)*Tabla44[[#This Row],[TOTAL COBERTURA]])+VLOOKUP(Tabla44[[#This Row],[SERVICIO 2025]],$J$2:$V$15,10,0)*Tabla44[[#This Row],[TOTAL COBERTURA]]</f>
        <v>7883442</v>
      </c>
      <c r="BB286" s="35">
        <f>(VLOOKUP(Tabla44[[#This Row],[SERVICIO 2025]],$J$2:$V$15,3,0)*Tabla44[[#This Row],[TOTAL COBERTURA]])+VLOOKUP(Tabla44[[#This Row],[SERVICIO 2025]],$J$2:$V$15,10,0)*Tabla44[[#This Row],[TOTAL COBERTURA]]</f>
        <v>7883442</v>
      </c>
      <c r="BC28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286" s="35">
        <f>SUM(Tabla44[[#This Row],[DESEMBOLSO 1]:[DESEMBOLSO 8]])</f>
        <v>65218626</v>
      </c>
      <c r="BE286" s="12" t="b">
        <f>EXACT(Tabla44[[#This Row],[VALOR ATENCIÓN (8 MESES)]],Tabla44[[#This Row],[VALOR TOTAL]])</f>
        <v>1</v>
      </c>
      <c r="BF286" s="23">
        <f>Tabla44[[#This Row],[VALOR ATENCIÓN (8 MESES)]]-Tabla44[[#This Row],[VALOR TOTAL]]</f>
        <v>0</v>
      </c>
      <c r="BG286" s="12" t="b">
        <f>EXACT(Tabla44[[#This Row],[TOTAL DESEMBOLSOS]],Tabla44[[#This Row],[VALOR TOTAL DEL CONTRATO INCLUIDO EL COMPONENTE DE ALIMENTACIÓN]])</f>
        <v>1</v>
      </c>
      <c r="BH286" s="29">
        <f>Tabla44[[#This Row],[TOTAL DESEMBOLSOS]]-Tabla44[[#This Row],[VALOR TOTAL DEL CONTRATO INCLUIDO EL COMPONENTE DE ALIMENTACIÓN]]</f>
        <v>0</v>
      </c>
      <c r="BI286" t="s">
        <v>98</v>
      </c>
    </row>
    <row r="287" spans="1:61">
      <c r="A287" s="13">
        <v>1993</v>
      </c>
      <c r="B287" s="13"/>
      <c r="C287" s="12" t="s">
        <v>87</v>
      </c>
      <c r="D287" s="12" t="s">
        <v>1628</v>
      </c>
      <c r="E287" s="12" t="s">
        <v>3318</v>
      </c>
      <c r="F287" s="12" t="s">
        <v>14</v>
      </c>
      <c r="G287" s="12" t="s">
        <v>90</v>
      </c>
      <c r="H287" s="12" t="s">
        <v>3368</v>
      </c>
      <c r="I287" s="36">
        <v>568600023363</v>
      </c>
      <c r="J287" s="12" t="s">
        <v>3369</v>
      </c>
      <c r="K287" s="12">
        <v>1</v>
      </c>
      <c r="L287" s="12">
        <v>141</v>
      </c>
      <c r="M287" s="12"/>
      <c r="N287" s="13">
        <v>1993</v>
      </c>
      <c r="O287" s="12" t="s">
        <v>2850</v>
      </c>
      <c r="P287" s="12"/>
      <c r="Q287" s="12"/>
      <c r="R287" s="12" t="s">
        <v>94</v>
      </c>
      <c r="S287" s="12">
        <v>10</v>
      </c>
      <c r="T287" s="12">
        <v>818001449</v>
      </c>
      <c r="U287" s="12" t="s">
        <v>3247</v>
      </c>
      <c r="V287" s="12">
        <f>VLOOKUP(Tabla44[[#This Row],[ZONA DEFINITIVO]],[1]Hoja1!$A$1:$D$125,3,0)</f>
        <v>229940</v>
      </c>
      <c r="W287" s="12">
        <f>VLOOKUP(Tabla44[[#This Row],[ZONA DEFINITIVO]],[1]Hoja1!$A$1:$D$125,2,0)</f>
        <v>17259</v>
      </c>
      <c r="X287" s="12">
        <f>VLOOKUP(Tabla44[[#This Row],[ZONA DEFINITIVO]],[1]Hoja1!$A$1:$D$125,4,0)</f>
        <v>104625</v>
      </c>
      <c r="Y287" s="12" t="str">
        <f>+IF(Tabla44[[#This Row],[AGRUPACIONES]]=1,SUMIFS(Tabla44[UDS],Tabla44[ZONA DEFINITIVO],Tabla44[[#This Row],[ZONA DEFINITIVO]])," ")</f>
        <v xml:space="preserve"> </v>
      </c>
      <c r="Z287" s="12" t="str">
        <f>+IF(Tabla44[[#This Row],[AGRUPACIONES]]=1,SUMIFS(Tabla44[TOTAL COBERTURA],Tabla44[ZONA DEFINITIVO],Tabla44[[#This Row],[ZONA DEFINITIVO]])," ")</f>
        <v xml:space="preserve"> </v>
      </c>
      <c r="AA287" s="12"/>
      <c r="AB287" s="35">
        <v>590627850</v>
      </c>
      <c r="AC287" s="37">
        <v>0</v>
      </c>
      <c r="AD287" s="35">
        <f t="shared" si="5"/>
        <v>0</v>
      </c>
      <c r="AE287" s="12"/>
      <c r="AF287" s="12">
        <f>COUNTIF($A$20:A287,A287)</f>
        <v>66</v>
      </c>
      <c r="AG287" s="38">
        <v>590627850</v>
      </c>
      <c r="AH287" s="38">
        <f>Tabla44[[#This Row],[VALOR CONTRAPARTIDA]]+Tabla44[[#This Row],[TOTAL APORTES ICBF]]</f>
        <v>590627850</v>
      </c>
      <c r="AI287" s="35" t="str">
        <f>+IF(Tabla44[[#This Row],[AGRUPACIONES]]=1,SUMIFS(Tabla44[TOTAL APORTES ICBF],Tabla44[ZONA DEFINITIVO],Tabla44[[#This Row],[ZONA DEFINITIVO]])," ")</f>
        <v xml:space="preserve"> </v>
      </c>
      <c r="AJ287" s="38"/>
      <c r="AK287" s="38"/>
      <c r="AL287" s="35"/>
      <c r="AM287" s="35">
        <f>VLOOKUP(Tabla44[[#This Row],[SERVICIO 2025]],$J$2:$V$15,5,0)*Tabla44[[#This Row],[TOTAL COBERTURA]]</f>
        <v>12428163</v>
      </c>
      <c r="AN287" s="35">
        <f>VLOOKUP(Tabla44[[#This Row],[SERVICIO 2025]],$J$2:$V$15,6,0)*Tabla44[[#This Row],[TOTAL COBERTURA]]</f>
        <v>10581063</v>
      </c>
      <c r="AO287" s="35">
        <f>VLOOKUP(Tabla44[[#This Row],[SERVICIO 2025]],$J$2:$V$15,8,0)*Tabla44[[#This Row],[TOTAL COBERTURA]]</f>
        <v>0</v>
      </c>
      <c r="AP287" s="35">
        <f>VLOOKUP(Tabla44[[#This Row],[SERVICIO 2025]],$J$2:$V$15,3,0)*Tabla44[[#This Row],[TOTAL COBERTURA]]*8</f>
        <v>567618624</v>
      </c>
      <c r="AQ287" s="35"/>
      <c r="AR287" s="35">
        <f>SUM(Tabla44[[#This Row],[VALOR FASE PREPARATORIA DE ALISTAMIENTO]:[VALOR RACION PREPARADA]])</f>
        <v>590627850</v>
      </c>
      <c r="AS287" s="35" t="str">
        <f>+IF(Tabla44[[#This Row],[AGRUPACIONES]]=1,SUMIFS(Tabla44[VALOR TOTAL],Tabla44[ZONA DEFINITIVO],Tabla44[[#This Row],[ZONA DEFINITIVO]])," ")</f>
        <v xml:space="preserve"> </v>
      </c>
      <c r="AT287" s="35">
        <f>VLOOKUP(Tabla44[[#This Row],[SERVICIO 2025]],$J$2:$V$15,10,0)*Tabla44[[#This Row],[TOTAL COBERTURA]]*$X$7</f>
        <v>0</v>
      </c>
      <c r="AU287" s="39">
        <f>Tabla44[[#This Row],[TOTAL CONTRATO (ICBF+EAS)]]+Tabla44[[#This Row],[VALOR COMPONENTE ALIMENTACION NO ASIGNADO]]</f>
        <v>590627850</v>
      </c>
      <c r="AV28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83380491</v>
      </c>
      <c r="AW287" s="35">
        <f>(VLOOKUP(Tabla44[[#This Row],[SERVICIO 2025]],$J$2:$V$15,3,0)*Tabla44[[#This Row],[TOTAL COBERTURA]])+VLOOKUP(Tabla44[[#This Row],[SERVICIO 2025]],$J$2:$V$15,10,0)*Tabla44[[#This Row],[TOTAL COBERTURA]]</f>
        <v>70952328</v>
      </c>
      <c r="AX287" s="35">
        <f>(VLOOKUP(Tabla44[[#This Row],[SERVICIO 2025]],$J$2:$V$15,3,0)*Tabla44[[#This Row],[TOTAL COBERTURA]])+VLOOKUP(Tabla44[[#This Row],[SERVICIO 2025]],$J$2:$V$15,10,0)*Tabla44[[#This Row],[TOTAL COBERTURA]]</f>
        <v>70952328</v>
      </c>
      <c r="AY287" s="35">
        <f>(VLOOKUP(Tabla44[[#This Row],[SERVICIO 2025]],$J$2:$V$15,3,0)*Tabla44[[#This Row],[TOTAL COBERTURA]])+VLOOKUP(Tabla44[[#This Row],[SERVICIO 2025]],$J$2:$V$15,10,0)*Tabla44[[#This Row],[TOTAL COBERTURA]]</f>
        <v>70952328</v>
      </c>
      <c r="AZ287" s="35">
        <f>(VLOOKUP(Tabla44[[#This Row],[SERVICIO 2025]],$J$2:$V$15,3,0)*Tabla44[[#This Row],[TOTAL COBERTURA]])+VLOOKUP(Tabla44[[#This Row],[SERVICIO 2025]],$J$2:$V$15,10,0)*Tabla44[[#This Row],[TOTAL COBERTURA]]</f>
        <v>70952328</v>
      </c>
      <c r="BA287" s="35">
        <f>(VLOOKUP(Tabla44[[#This Row],[SERVICIO 2025]],$J$2:$V$15,3,0)*Tabla44[[#This Row],[TOTAL COBERTURA]])+VLOOKUP(Tabla44[[#This Row],[SERVICIO 2025]],$J$2:$V$15,10,0)*Tabla44[[#This Row],[TOTAL COBERTURA]]</f>
        <v>70952328</v>
      </c>
      <c r="BB287" s="35">
        <f>(VLOOKUP(Tabla44[[#This Row],[SERVICIO 2025]],$J$2:$V$15,3,0)*Tabla44[[#This Row],[TOTAL COBERTURA]])+VLOOKUP(Tabla44[[#This Row],[SERVICIO 2025]],$J$2:$V$15,10,0)*Tabla44[[#This Row],[TOTAL COBERTURA]]</f>
        <v>70952328</v>
      </c>
      <c r="BC28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81533391</v>
      </c>
      <c r="BD287" s="35">
        <f>SUM(Tabla44[[#This Row],[DESEMBOLSO 1]:[DESEMBOLSO 8]])</f>
        <v>590627850</v>
      </c>
      <c r="BE287" s="12" t="b">
        <f>EXACT(Tabla44[[#This Row],[VALOR ATENCIÓN (8 MESES)]],Tabla44[[#This Row],[VALOR TOTAL]])</f>
        <v>1</v>
      </c>
      <c r="BF287" s="23">
        <f>Tabla44[[#This Row],[VALOR ATENCIÓN (8 MESES)]]-Tabla44[[#This Row],[VALOR TOTAL]]</f>
        <v>0</v>
      </c>
      <c r="BG287" s="12" t="b">
        <f>EXACT(Tabla44[[#This Row],[TOTAL DESEMBOLSOS]],Tabla44[[#This Row],[VALOR TOTAL DEL CONTRATO INCLUIDO EL COMPONENTE DE ALIMENTACIÓN]])</f>
        <v>1</v>
      </c>
      <c r="BH287" s="29">
        <f>Tabla44[[#This Row],[TOTAL DESEMBOLSOS]]-Tabla44[[#This Row],[VALOR TOTAL DEL CONTRATO INCLUIDO EL COMPONENTE DE ALIMENTACIÓN]]</f>
        <v>0</v>
      </c>
      <c r="BI287" t="s">
        <v>98</v>
      </c>
    </row>
    <row r="288" spans="1:61">
      <c r="A288" s="13">
        <v>1993</v>
      </c>
      <c r="B288" s="13"/>
      <c r="C288" s="12" t="s">
        <v>87</v>
      </c>
      <c r="D288" s="12" t="s">
        <v>1628</v>
      </c>
      <c r="E288" s="12" t="s">
        <v>3370</v>
      </c>
      <c r="F288" s="12" t="s">
        <v>18</v>
      </c>
      <c r="G288" s="12" t="s">
        <v>90</v>
      </c>
      <c r="H288" s="12" t="s">
        <v>3371</v>
      </c>
      <c r="I288" s="36">
        <v>58191118995</v>
      </c>
      <c r="J288" s="12" t="s">
        <v>3372</v>
      </c>
      <c r="K288" s="12">
        <v>1</v>
      </c>
      <c r="L288" s="12">
        <v>6</v>
      </c>
      <c r="M288" s="12"/>
      <c r="N288" s="13">
        <v>1993</v>
      </c>
      <c r="O288" s="12" t="s">
        <v>2850</v>
      </c>
      <c r="P288" s="12"/>
      <c r="Q288" s="12"/>
      <c r="R288" s="12" t="s">
        <v>94</v>
      </c>
      <c r="S288" s="12">
        <v>10</v>
      </c>
      <c r="T288" s="12">
        <v>818001449</v>
      </c>
      <c r="U288" s="12" t="s">
        <v>3247</v>
      </c>
      <c r="V288" s="12">
        <f>VLOOKUP(Tabla44[[#This Row],[ZONA DEFINITIVO]],[1]Hoja1!$A$1:$D$125,3,0)</f>
        <v>229940</v>
      </c>
      <c r="W288" s="12">
        <f>VLOOKUP(Tabla44[[#This Row],[ZONA DEFINITIVO]],[1]Hoja1!$A$1:$D$125,2,0)</f>
        <v>17259</v>
      </c>
      <c r="X288" s="12">
        <f>VLOOKUP(Tabla44[[#This Row],[ZONA DEFINITIVO]],[1]Hoja1!$A$1:$D$125,4,0)</f>
        <v>104625</v>
      </c>
      <c r="Y288" s="12" t="str">
        <f>+IF(Tabla44[[#This Row],[AGRUPACIONES]]=1,SUMIFS(Tabla44[UDS],Tabla44[ZONA DEFINITIVO],Tabla44[[#This Row],[ZONA DEFINITIVO]])," ")</f>
        <v xml:space="preserve"> </v>
      </c>
      <c r="Z288" s="12" t="str">
        <f>+IF(Tabla44[[#This Row],[AGRUPACIONES]]=1,SUMIFS(Tabla44[TOTAL COBERTURA],Tabla44[ZONA DEFINITIVO],Tabla44[[#This Row],[ZONA DEFINITIVO]])," ")</f>
        <v xml:space="preserve"> </v>
      </c>
      <c r="AA288" s="12"/>
      <c r="AB288" s="35">
        <v>13081158</v>
      </c>
      <c r="AC288" s="37">
        <v>0</v>
      </c>
      <c r="AD288" s="35">
        <f t="shared" si="5"/>
        <v>0</v>
      </c>
      <c r="AE288" s="12"/>
      <c r="AF288" s="12">
        <f>COUNTIF($A$20:A288,A288)</f>
        <v>67</v>
      </c>
      <c r="AG288" s="38">
        <v>13081158</v>
      </c>
      <c r="AH288" s="38">
        <f>Tabla44[[#This Row],[VALOR CONTRAPARTIDA]]+Tabla44[[#This Row],[TOTAL APORTES ICBF]]</f>
        <v>13081158</v>
      </c>
      <c r="AI288" s="35" t="str">
        <f>+IF(Tabla44[[#This Row],[AGRUPACIONES]]=1,SUMIFS(Tabla44[TOTAL APORTES ICBF],Tabla44[ZONA DEFINITIVO],Tabla44[[#This Row],[ZONA DEFINITIVO]])," ")</f>
        <v xml:space="preserve"> </v>
      </c>
      <c r="AJ288" s="38"/>
      <c r="AK288" s="38"/>
      <c r="AL288" s="35"/>
      <c r="AM288" s="35">
        <f>VLOOKUP(Tabla44[[#This Row],[SERVICIO 2025]],$J$2:$V$15,5,0)*Tabla44[[#This Row],[TOTAL COBERTURA]]</f>
        <v>296256</v>
      </c>
      <c r="AN288" s="35">
        <f>VLOOKUP(Tabla44[[#This Row],[SERVICIO 2025]],$J$2:$V$15,6,0)*Tabla44[[#This Row],[TOTAL COBERTURA]]</f>
        <v>246174</v>
      </c>
      <c r="AO288" s="35">
        <f>VLOOKUP(Tabla44[[#This Row],[SERVICIO 2025]],$J$2:$V$15,8,0)*Tabla44[[#This Row],[TOTAL COBERTURA]]</f>
        <v>174600</v>
      </c>
      <c r="AP288" s="35">
        <f>VLOOKUP(Tabla44[[#This Row],[SERVICIO 2025]],$J$2:$V$15,3,0)*Tabla44[[#This Row],[TOTAL COBERTURA]]*8</f>
        <v>12364128</v>
      </c>
      <c r="AQ288" s="35"/>
      <c r="AR288" s="35">
        <f>SUM(Tabla44[[#This Row],[VALOR FASE PREPARATORIA DE ALISTAMIENTO]:[VALOR RACION PREPARADA]])</f>
        <v>13081158</v>
      </c>
      <c r="AS288" s="35" t="str">
        <f>+IF(Tabla44[[#This Row],[AGRUPACIONES]]=1,SUMIFS(Tabla44[VALOR TOTAL],Tabla44[ZONA DEFINITIVO],Tabla44[[#This Row],[ZONA DEFINITIVO]])," ")</f>
        <v xml:space="preserve"> </v>
      </c>
      <c r="AT288" s="35">
        <f>VLOOKUP(Tabla44[[#This Row],[SERVICIO 2025]],$J$2:$V$15,10,0)*Tabla44[[#This Row],[TOTAL COBERTURA]]*$X$7</f>
        <v>8658384</v>
      </c>
      <c r="AU288" s="39">
        <f>Tabla44[[#This Row],[TOTAL CONTRATO (ICBF+EAS)]]+Tabla44[[#This Row],[VALOR COMPONENTE ALIMENTACION NO ASIGNADO]]</f>
        <v>21739542</v>
      </c>
      <c r="AV28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3098670</v>
      </c>
      <c r="AW288" s="35">
        <f>(VLOOKUP(Tabla44[[#This Row],[SERVICIO 2025]],$J$2:$V$15,3,0)*Tabla44[[#This Row],[TOTAL COBERTURA]])+VLOOKUP(Tabla44[[#This Row],[SERVICIO 2025]],$J$2:$V$15,10,0)*Tabla44[[#This Row],[TOTAL COBERTURA]]</f>
        <v>2627814</v>
      </c>
      <c r="AX288" s="35">
        <f>(VLOOKUP(Tabla44[[#This Row],[SERVICIO 2025]],$J$2:$V$15,3,0)*Tabla44[[#This Row],[TOTAL COBERTURA]])+VLOOKUP(Tabla44[[#This Row],[SERVICIO 2025]],$J$2:$V$15,10,0)*Tabla44[[#This Row],[TOTAL COBERTURA]]</f>
        <v>2627814</v>
      </c>
      <c r="AY288" s="35">
        <f>(VLOOKUP(Tabla44[[#This Row],[SERVICIO 2025]],$J$2:$V$15,3,0)*Tabla44[[#This Row],[TOTAL COBERTURA]])+VLOOKUP(Tabla44[[#This Row],[SERVICIO 2025]],$J$2:$V$15,10,0)*Tabla44[[#This Row],[TOTAL COBERTURA]]</f>
        <v>2627814</v>
      </c>
      <c r="AZ288" s="35">
        <f>(VLOOKUP(Tabla44[[#This Row],[SERVICIO 2025]],$J$2:$V$15,3,0)*Tabla44[[#This Row],[TOTAL COBERTURA]])+VLOOKUP(Tabla44[[#This Row],[SERVICIO 2025]],$J$2:$V$15,10,0)*Tabla44[[#This Row],[TOTAL COBERTURA]]</f>
        <v>2627814</v>
      </c>
      <c r="BA288" s="35">
        <f>(VLOOKUP(Tabla44[[#This Row],[SERVICIO 2025]],$J$2:$V$15,3,0)*Tabla44[[#This Row],[TOTAL COBERTURA]])+VLOOKUP(Tabla44[[#This Row],[SERVICIO 2025]],$J$2:$V$15,10,0)*Tabla44[[#This Row],[TOTAL COBERTURA]]</f>
        <v>2627814</v>
      </c>
      <c r="BB288" s="35">
        <f>(VLOOKUP(Tabla44[[#This Row],[SERVICIO 2025]],$J$2:$V$15,3,0)*Tabla44[[#This Row],[TOTAL COBERTURA]])+VLOOKUP(Tabla44[[#This Row],[SERVICIO 2025]],$J$2:$V$15,10,0)*Tabla44[[#This Row],[TOTAL COBERTURA]]</f>
        <v>2627814</v>
      </c>
      <c r="BC28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2873988</v>
      </c>
      <c r="BD288" s="35">
        <f>SUM(Tabla44[[#This Row],[DESEMBOLSO 1]:[DESEMBOLSO 8]])</f>
        <v>21739542</v>
      </c>
      <c r="BE288" s="12" t="b">
        <f>EXACT(Tabla44[[#This Row],[VALOR ATENCIÓN (8 MESES)]],Tabla44[[#This Row],[VALOR TOTAL]])</f>
        <v>1</v>
      </c>
      <c r="BF288" s="23">
        <f>Tabla44[[#This Row],[VALOR ATENCIÓN (8 MESES)]]-Tabla44[[#This Row],[VALOR TOTAL]]</f>
        <v>0</v>
      </c>
      <c r="BG288" s="12" t="b">
        <f>EXACT(Tabla44[[#This Row],[TOTAL DESEMBOLSOS]],Tabla44[[#This Row],[VALOR TOTAL DEL CONTRATO INCLUIDO EL COMPONENTE DE ALIMENTACIÓN]])</f>
        <v>1</v>
      </c>
      <c r="BH288" s="29">
        <f>Tabla44[[#This Row],[TOTAL DESEMBOLSOS]]-Tabla44[[#This Row],[VALOR TOTAL DEL CONTRATO INCLUIDO EL COMPONENTE DE ALIMENTACIÓN]]</f>
        <v>0</v>
      </c>
      <c r="BI288" t="s">
        <v>98</v>
      </c>
    </row>
    <row r="289" spans="1:61">
      <c r="A289" s="13">
        <v>1993</v>
      </c>
      <c r="B289" s="13"/>
      <c r="C289" s="12" t="s">
        <v>87</v>
      </c>
      <c r="D289" s="12" t="s">
        <v>1628</v>
      </c>
      <c r="E289" s="12" t="s">
        <v>3370</v>
      </c>
      <c r="F289" s="12" t="s">
        <v>18</v>
      </c>
      <c r="G289" s="12" t="s">
        <v>90</v>
      </c>
      <c r="H289" s="12" t="s">
        <v>3373</v>
      </c>
      <c r="I289" s="36">
        <v>58191118996</v>
      </c>
      <c r="J289" s="12" t="s">
        <v>3374</v>
      </c>
      <c r="K289" s="12">
        <v>1</v>
      </c>
      <c r="L289" s="12">
        <v>11</v>
      </c>
      <c r="M289" s="12"/>
      <c r="N289" s="13">
        <v>1993</v>
      </c>
      <c r="O289" s="12" t="s">
        <v>2850</v>
      </c>
      <c r="P289" s="12"/>
      <c r="Q289" s="12"/>
      <c r="R289" s="12" t="s">
        <v>94</v>
      </c>
      <c r="S289" s="12">
        <v>10</v>
      </c>
      <c r="T289" s="12">
        <v>818001449</v>
      </c>
      <c r="U289" s="12" t="s">
        <v>3247</v>
      </c>
      <c r="V289" s="12">
        <f>VLOOKUP(Tabla44[[#This Row],[ZONA DEFINITIVO]],[1]Hoja1!$A$1:$D$125,3,0)</f>
        <v>229940</v>
      </c>
      <c r="W289" s="12">
        <f>VLOOKUP(Tabla44[[#This Row],[ZONA DEFINITIVO]],[1]Hoja1!$A$1:$D$125,2,0)</f>
        <v>17259</v>
      </c>
      <c r="X289" s="12">
        <f>VLOOKUP(Tabla44[[#This Row],[ZONA DEFINITIVO]],[1]Hoja1!$A$1:$D$125,4,0)</f>
        <v>104625</v>
      </c>
      <c r="Y289" s="12" t="str">
        <f>+IF(Tabla44[[#This Row],[AGRUPACIONES]]=1,SUMIFS(Tabla44[UDS],Tabla44[ZONA DEFINITIVO],Tabla44[[#This Row],[ZONA DEFINITIVO]])," ")</f>
        <v xml:space="preserve"> </v>
      </c>
      <c r="Z289" s="12" t="str">
        <f>+IF(Tabla44[[#This Row],[AGRUPACIONES]]=1,SUMIFS(Tabla44[TOTAL COBERTURA],Tabla44[ZONA DEFINITIVO],Tabla44[[#This Row],[ZONA DEFINITIVO]])," ")</f>
        <v xml:space="preserve"> </v>
      </c>
      <c r="AA289" s="12"/>
      <c r="AB289" s="35">
        <v>23982123</v>
      </c>
      <c r="AC289" s="37">
        <v>0</v>
      </c>
      <c r="AD289" s="35">
        <f t="shared" si="5"/>
        <v>0</v>
      </c>
      <c r="AE289" s="12"/>
      <c r="AF289" s="12">
        <f>COUNTIF($A$20:A289,A289)</f>
        <v>68</v>
      </c>
      <c r="AG289" s="38">
        <v>23982123</v>
      </c>
      <c r="AH289" s="38">
        <f>Tabla44[[#This Row],[VALOR CONTRAPARTIDA]]+Tabla44[[#This Row],[TOTAL APORTES ICBF]]</f>
        <v>23982123</v>
      </c>
      <c r="AI289" s="35" t="str">
        <f>+IF(Tabla44[[#This Row],[AGRUPACIONES]]=1,SUMIFS(Tabla44[TOTAL APORTES ICBF],Tabla44[ZONA DEFINITIVO],Tabla44[[#This Row],[ZONA DEFINITIVO]])," ")</f>
        <v xml:space="preserve"> </v>
      </c>
      <c r="AJ289" s="38"/>
      <c r="AK289" s="38"/>
      <c r="AL289" s="35"/>
      <c r="AM289" s="35">
        <f>VLOOKUP(Tabla44[[#This Row],[SERVICIO 2025]],$J$2:$V$15,5,0)*Tabla44[[#This Row],[TOTAL COBERTURA]]</f>
        <v>543136</v>
      </c>
      <c r="AN289" s="35">
        <f>VLOOKUP(Tabla44[[#This Row],[SERVICIO 2025]],$J$2:$V$15,6,0)*Tabla44[[#This Row],[TOTAL COBERTURA]]</f>
        <v>451319</v>
      </c>
      <c r="AO289" s="35">
        <f>VLOOKUP(Tabla44[[#This Row],[SERVICIO 2025]],$J$2:$V$15,8,0)*Tabla44[[#This Row],[TOTAL COBERTURA]]</f>
        <v>320100</v>
      </c>
      <c r="AP289" s="35">
        <f>VLOOKUP(Tabla44[[#This Row],[SERVICIO 2025]],$J$2:$V$15,3,0)*Tabla44[[#This Row],[TOTAL COBERTURA]]*8</f>
        <v>22667568</v>
      </c>
      <c r="AQ289" s="35"/>
      <c r="AR289" s="35">
        <f>SUM(Tabla44[[#This Row],[VALOR FASE PREPARATORIA DE ALISTAMIENTO]:[VALOR RACION PREPARADA]])</f>
        <v>23982123</v>
      </c>
      <c r="AS289" s="35" t="str">
        <f>+IF(Tabla44[[#This Row],[AGRUPACIONES]]=1,SUMIFS(Tabla44[VALOR TOTAL],Tabla44[ZONA DEFINITIVO],Tabla44[[#This Row],[ZONA DEFINITIVO]])," ")</f>
        <v xml:space="preserve"> </v>
      </c>
      <c r="AT289" s="35">
        <f>VLOOKUP(Tabla44[[#This Row],[SERVICIO 2025]],$J$2:$V$15,10,0)*Tabla44[[#This Row],[TOTAL COBERTURA]]*$X$7</f>
        <v>15873704</v>
      </c>
      <c r="AU289" s="39">
        <f>Tabla44[[#This Row],[TOTAL CONTRATO (ICBF+EAS)]]+Tabla44[[#This Row],[VALOR COMPONENTE ALIMENTACION NO ASIGNADO]]</f>
        <v>39855827</v>
      </c>
      <c r="AV28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289" s="35">
        <f>(VLOOKUP(Tabla44[[#This Row],[SERVICIO 2025]],$J$2:$V$15,3,0)*Tabla44[[#This Row],[TOTAL COBERTURA]])+VLOOKUP(Tabla44[[#This Row],[SERVICIO 2025]],$J$2:$V$15,10,0)*Tabla44[[#This Row],[TOTAL COBERTURA]]</f>
        <v>4817659</v>
      </c>
      <c r="AX289" s="35">
        <f>(VLOOKUP(Tabla44[[#This Row],[SERVICIO 2025]],$J$2:$V$15,3,0)*Tabla44[[#This Row],[TOTAL COBERTURA]])+VLOOKUP(Tabla44[[#This Row],[SERVICIO 2025]],$J$2:$V$15,10,0)*Tabla44[[#This Row],[TOTAL COBERTURA]]</f>
        <v>4817659</v>
      </c>
      <c r="AY289" s="35">
        <f>(VLOOKUP(Tabla44[[#This Row],[SERVICIO 2025]],$J$2:$V$15,3,0)*Tabla44[[#This Row],[TOTAL COBERTURA]])+VLOOKUP(Tabla44[[#This Row],[SERVICIO 2025]],$J$2:$V$15,10,0)*Tabla44[[#This Row],[TOTAL COBERTURA]]</f>
        <v>4817659</v>
      </c>
      <c r="AZ289" s="35">
        <f>(VLOOKUP(Tabla44[[#This Row],[SERVICIO 2025]],$J$2:$V$15,3,0)*Tabla44[[#This Row],[TOTAL COBERTURA]])+VLOOKUP(Tabla44[[#This Row],[SERVICIO 2025]],$J$2:$V$15,10,0)*Tabla44[[#This Row],[TOTAL COBERTURA]]</f>
        <v>4817659</v>
      </c>
      <c r="BA289" s="35">
        <f>(VLOOKUP(Tabla44[[#This Row],[SERVICIO 2025]],$J$2:$V$15,3,0)*Tabla44[[#This Row],[TOTAL COBERTURA]])+VLOOKUP(Tabla44[[#This Row],[SERVICIO 2025]],$J$2:$V$15,10,0)*Tabla44[[#This Row],[TOTAL COBERTURA]]</f>
        <v>4817659</v>
      </c>
      <c r="BB289" s="35">
        <f>(VLOOKUP(Tabla44[[#This Row],[SERVICIO 2025]],$J$2:$V$15,3,0)*Tabla44[[#This Row],[TOTAL COBERTURA]])+VLOOKUP(Tabla44[[#This Row],[SERVICIO 2025]],$J$2:$V$15,10,0)*Tabla44[[#This Row],[TOTAL COBERTURA]]</f>
        <v>4817659</v>
      </c>
      <c r="BC28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289" s="35">
        <f>SUM(Tabla44[[#This Row],[DESEMBOLSO 1]:[DESEMBOLSO 8]])</f>
        <v>39855827</v>
      </c>
      <c r="BE289" s="12" t="b">
        <f>EXACT(Tabla44[[#This Row],[VALOR ATENCIÓN (8 MESES)]],Tabla44[[#This Row],[VALOR TOTAL]])</f>
        <v>1</v>
      </c>
      <c r="BF289" s="23">
        <f>Tabla44[[#This Row],[VALOR ATENCIÓN (8 MESES)]]-Tabla44[[#This Row],[VALOR TOTAL]]</f>
        <v>0</v>
      </c>
      <c r="BG289" s="12" t="b">
        <f>EXACT(Tabla44[[#This Row],[TOTAL DESEMBOLSOS]],Tabla44[[#This Row],[VALOR TOTAL DEL CONTRATO INCLUIDO EL COMPONENTE DE ALIMENTACIÓN]])</f>
        <v>1</v>
      </c>
      <c r="BH289" s="29">
        <f>Tabla44[[#This Row],[TOTAL DESEMBOLSOS]]-Tabla44[[#This Row],[VALOR TOTAL DEL CONTRATO INCLUIDO EL COMPONENTE DE ALIMENTACIÓN]]</f>
        <v>0</v>
      </c>
      <c r="BI289" t="s">
        <v>98</v>
      </c>
    </row>
    <row r="290" spans="1:61">
      <c r="A290" s="13">
        <v>1993</v>
      </c>
      <c r="B290" s="13"/>
      <c r="C290" s="12" t="s">
        <v>87</v>
      </c>
      <c r="D290" s="12" t="s">
        <v>1628</v>
      </c>
      <c r="E290" s="12" t="s">
        <v>3370</v>
      </c>
      <c r="F290" s="12" t="s">
        <v>18</v>
      </c>
      <c r="G290" s="12" t="s">
        <v>90</v>
      </c>
      <c r="H290" s="12" t="s">
        <v>3375</v>
      </c>
      <c r="I290" s="36">
        <v>58191137150</v>
      </c>
      <c r="J290" s="12" t="s">
        <v>3376</v>
      </c>
      <c r="K290" s="12">
        <v>1</v>
      </c>
      <c r="L290" s="12">
        <v>15</v>
      </c>
      <c r="M290" s="12"/>
      <c r="N290" s="13">
        <v>1993</v>
      </c>
      <c r="O290" s="12" t="s">
        <v>2850</v>
      </c>
      <c r="P290" s="12"/>
      <c r="Q290" s="12"/>
      <c r="R290" s="12" t="s">
        <v>94</v>
      </c>
      <c r="S290" s="12">
        <v>10</v>
      </c>
      <c r="T290" s="12">
        <v>818001449</v>
      </c>
      <c r="U290" s="12" t="s">
        <v>3247</v>
      </c>
      <c r="V290" s="12">
        <f>VLOOKUP(Tabla44[[#This Row],[ZONA DEFINITIVO]],[1]Hoja1!$A$1:$D$125,3,0)</f>
        <v>229940</v>
      </c>
      <c r="W290" s="12">
        <f>VLOOKUP(Tabla44[[#This Row],[ZONA DEFINITIVO]],[1]Hoja1!$A$1:$D$125,2,0)</f>
        <v>17259</v>
      </c>
      <c r="X290" s="12">
        <f>VLOOKUP(Tabla44[[#This Row],[ZONA DEFINITIVO]],[1]Hoja1!$A$1:$D$125,4,0)</f>
        <v>104625</v>
      </c>
      <c r="Y290" s="12" t="str">
        <f>+IF(Tabla44[[#This Row],[AGRUPACIONES]]=1,SUMIFS(Tabla44[UDS],Tabla44[ZONA DEFINITIVO],Tabla44[[#This Row],[ZONA DEFINITIVO]])," ")</f>
        <v xml:space="preserve"> </v>
      </c>
      <c r="Z290" s="12" t="str">
        <f>+IF(Tabla44[[#This Row],[AGRUPACIONES]]=1,SUMIFS(Tabla44[TOTAL COBERTURA],Tabla44[ZONA DEFINITIVO],Tabla44[[#This Row],[ZONA DEFINITIVO]])," ")</f>
        <v xml:space="preserve"> </v>
      </c>
      <c r="AA290" s="12"/>
      <c r="AB290" s="35">
        <v>32702895</v>
      </c>
      <c r="AC290" s="37">
        <v>0</v>
      </c>
      <c r="AD290" s="35">
        <f t="shared" si="5"/>
        <v>0</v>
      </c>
      <c r="AE290" s="12"/>
      <c r="AF290" s="12">
        <f>COUNTIF($A$20:A290,A290)</f>
        <v>69</v>
      </c>
      <c r="AG290" s="38">
        <v>32702895</v>
      </c>
      <c r="AH290" s="38">
        <f>Tabla44[[#This Row],[VALOR CONTRAPARTIDA]]+Tabla44[[#This Row],[TOTAL APORTES ICBF]]</f>
        <v>32702895</v>
      </c>
      <c r="AI290" s="35" t="str">
        <f>+IF(Tabla44[[#This Row],[AGRUPACIONES]]=1,SUMIFS(Tabla44[TOTAL APORTES ICBF],Tabla44[ZONA DEFINITIVO],Tabla44[[#This Row],[ZONA DEFINITIVO]])," ")</f>
        <v xml:space="preserve"> </v>
      </c>
      <c r="AJ290" s="38"/>
      <c r="AK290" s="38"/>
      <c r="AL290" s="35"/>
      <c r="AM290" s="35">
        <f>VLOOKUP(Tabla44[[#This Row],[SERVICIO 2025]],$J$2:$V$15,5,0)*Tabla44[[#This Row],[TOTAL COBERTURA]]</f>
        <v>740640</v>
      </c>
      <c r="AN290" s="35">
        <f>VLOOKUP(Tabla44[[#This Row],[SERVICIO 2025]],$J$2:$V$15,6,0)*Tabla44[[#This Row],[TOTAL COBERTURA]]</f>
        <v>615435</v>
      </c>
      <c r="AO290" s="35">
        <f>VLOOKUP(Tabla44[[#This Row],[SERVICIO 2025]],$J$2:$V$15,8,0)*Tabla44[[#This Row],[TOTAL COBERTURA]]</f>
        <v>436500</v>
      </c>
      <c r="AP290" s="35">
        <f>VLOOKUP(Tabla44[[#This Row],[SERVICIO 2025]],$J$2:$V$15,3,0)*Tabla44[[#This Row],[TOTAL COBERTURA]]*8</f>
        <v>30910320</v>
      </c>
      <c r="AQ290" s="35"/>
      <c r="AR290" s="35">
        <f>SUM(Tabla44[[#This Row],[VALOR FASE PREPARATORIA DE ALISTAMIENTO]:[VALOR RACION PREPARADA]])</f>
        <v>32702895</v>
      </c>
      <c r="AS290" s="35" t="str">
        <f>+IF(Tabla44[[#This Row],[AGRUPACIONES]]=1,SUMIFS(Tabla44[VALOR TOTAL],Tabla44[ZONA DEFINITIVO],Tabla44[[#This Row],[ZONA DEFINITIVO]])," ")</f>
        <v xml:space="preserve"> </v>
      </c>
      <c r="AT290" s="35">
        <f>VLOOKUP(Tabla44[[#This Row],[SERVICIO 2025]],$J$2:$V$15,10,0)*Tabla44[[#This Row],[TOTAL COBERTURA]]*$X$7</f>
        <v>21645960</v>
      </c>
      <c r="AU290" s="39">
        <f>Tabla44[[#This Row],[TOTAL CONTRATO (ICBF+EAS)]]+Tabla44[[#This Row],[VALOR COMPONENTE ALIMENTACION NO ASIGNADO]]</f>
        <v>54348855</v>
      </c>
      <c r="AV29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290" s="35">
        <f>(VLOOKUP(Tabla44[[#This Row],[SERVICIO 2025]],$J$2:$V$15,3,0)*Tabla44[[#This Row],[TOTAL COBERTURA]])+VLOOKUP(Tabla44[[#This Row],[SERVICIO 2025]],$J$2:$V$15,10,0)*Tabla44[[#This Row],[TOTAL COBERTURA]]</f>
        <v>6569535</v>
      </c>
      <c r="AX290" s="35">
        <f>(VLOOKUP(Tabla44[[#This Row],[SERVICIO 2025]],$J$2:$V$15,3,0)*Tabla44[[#This Row],[TOTAL COBERTURA]])+VLOOKUP(Tabla44[[#This Row],[SERVICIO 2025]],$J$2:$V$15,10,0)*Tabla44[[#This Row],[TOTAL COBERTURA]]</f>
        <v>6569535</v>
      </c>
      <c r="AY290" s="35">
        <f>(VLOOKUP(Tabla44[[#This Row],[SERVICIO 2025]],$J$2:$V$15,3,0)*Tabla44[[#This Row],[TOTAL COBERTURA]])+VLOOKUP(Tabla44[[#This Row],[SERVICIO 2025]],$J$2:$V$15,10,0)*Tabla44[[#This Row],[TOTAL COBERTURA]]</f>
        <v>6569535</v>
      </c>
      <c r="AZ290" s="35">
        <f>(VLOOKUP(Tabla44[[#This Row],[SERVICIO 2025]],$J$2:$V$15,3,0)*Tabla44[[#This Row],[TOTAL COBERTURA]])+VLOOKUP(Tabla44[[#This Row],[SERVICIO 2025]],$J$2:$V$15,10,0)*Tabla44[[#This Row],[TOTAL COBERTURA]]</f>
        <v>6569535</v>
      </c>
      <c r="BA290" s="35">
        <f>(VLOOKUP(Tabla44[[#This Row],[SERVICIO 2025]],$J$2:$V$15,3,0)*Tabla44[[#This Row],[TOTAL COBERTURA]])+VLOOKUP(Tabla44[[#This Row],[SERVICIO 2025]],$J$2:$V$15,10,0)*Tabla44[[#This Row],[TOTAL COBERTURA]]</f>
        <v>6569535</v>
      </c>
      <c r="BB290" s="35">
        <f>(VLOOKUP(Tabla44[[#This Row],[SERVICIO 2025]],$J$2:$V$15,3,0)*Tabla44[[#This Row],[TOTAL COBERTURA]])+VLOOKUP(Tabla44[[#This Row],[SERVICIO 2025]],$J$2:$V$15,10,0)*Tabla44[[#This Row],[TOTAL COBERTURA]]</f>
        <v>6569535</v>
      </c>
      <c r="BC29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290" s="35">
        <f>SUM(Tabla44[[#This Row],[DESEMBOLSO 1]:[DESEMBOLSO 8]])</f>
        <v>54348855</v>
      </c>
      <c r="BE290" s="12" t="b">
        <f>EXACT(Tabla44[[#This Row],[VALOR ATENCIÓN (8 MESES)]],Tabla44[[#This Row],[VALOR TOTAL]])</f>
        <v>1</v>
      </c>
      <c r="BF290" s="23">
        <f>Tabla44[[#This Row],[VALOR ATENCIÓN (8 MESES)]]-Tabla44[[#This Row],[VALOR TOTAL]]</f>
        <v>0</v>
      </c>
      <c r="BG290" s="12" t="b">
        <f>EXACT(Tabla44[[#This Row],[TOTAL DESEMBOLSOS]],Tabla44[[#This Row],[VALOR TOTAL DEL CONTRATO INCLUIDO EL COMPONENTE DE ALIMENTACIÓN]])</f>
        <v>1</v>
      </c>
      <c r="BH290" s="29">
        <f>Tabla44[[#This Row],[TOTAL DESEMBOLSOS]]-Tabla44[[#This Row],[VALOR TOTAL DEL CONTRATO INCLUIDO EL COMPONENTE DE ALIMENTACIÓN]]</f>
        <v>0</v>
      </c>
      <c r="BI290" t="s">
        <v>98</v>
      </c>
    </row>
    <row r="291" spans="1:61">
      <c r="A291" s="13">
        <v>1993</v>
      </c>
      <c r="B291" s="13"/>
      <c r="C291" s="12" t="s">
        <v>87</v>
      </c>
      <c r="D291" s="12" t="s">
        <v>1628</v>
      </c>
      <c r="E291" s="12" t="s">
        <v>3370</v>
      </c>
      <c r="F291" s="12" t="s">
        <v>21</v>
      </c>
      <c r="G291" s="12" t="s">
        <v>90</v>
      </c>
      <c r="H291" s="12" t="s">
        <v>1376</v>
      </c>
      <c r="I291" s="36">
        <v>58191137152</v>
      </c>
      <c r="J291" s="12" t="s">
        <v>3377</v>
      </c>
      <c r="K291" s="12">
        <v>1</v>
      </c>
      <c r="L291" s="12">
        <v>23</v>
      </c>
      <c r="M291" s="12"/>
      <c r="N291" s="13">
        <v>1993</v>
      </c>
      <c r="O291" s="12" t="s">
        <v>2850</v>
      </c>
      <c r="P291" s="12"/>
      <c r="Q291" s="12"/>
      <c r="R291" s="12" t="s">
        <v>94</v>
      </c>
      <c r="S291" s="12">
        <v>10</v>
      </c>
      <c r="T291" s="12">
        <v>818001449</v>
      </c>
      <c r="U291" s="12" t="s">
        <v>3247</v>
      </c>
      <c r="V291" s="12">
        <f>VLOOKUP(Tabla44[[#This Row],[ZONA DEFINITIVO]],[1]Hoja1!$A$1:$D$125,3,0)</f>
        <v>229940</v>
      </c>
      <c r="W291" s="12">
        <f>VLOOKUP(Tabla44[[#This Row],[ZONA DEFINITIVO]],[1]Hoja1!$A$1:$D$125,2,0)</f>
        <v>17259</v>
      </c>
      <c r="X291" s="12">
        <f>VLOOKUP(Tabla44[[#This Row],[ZONA DEFINITIVO]],[1]Hoja1!$A$1:$D$125,4,0)</f>
        <v>104625</v>
      </c>
      <c r="Y291" s="12" t="str">
        <f>+IF(Tabla44[[#This Row],[AGRUPACIONES]]=1,SUMIFS(Tabla44[UDS],Tabla44[ZONA DEFINITIVO],Tabla44[[#This Row],[ZONA DEFINITIVO]])," ")</f>
        <v xml:space="preserve"> </v>
      </c>
      <c r="Z291" s="12" t="str">
        <f>+IF(Tabla44[[#This Row],[AGRUPACIONES]]=1,SUMIFS(Tabla44[TOTAL COBERTURA],Tabla44[ZONA DEFINITIVO],Tabla44[[#This Row],[ZONA DEFINITIVO]])," ")</f>
        <v xml:space="preserve"> </v>
      </c>
      <c r="AA291" s="12"/>
      <c r="AB291" s="35">
        <v>34944015</v>
      </c>
      <c r="AC291" s="37">
        <v>0</v>
      </c>
      <c r="AD291" s="35">
        <f t="shared" si="5"/>
        <v>0</v>
      </c>
      <c r="AE291" s="12"/>
      <c r="AF291" s="12">
        <f>COUNTIF($A$20:A291,A291)</f>
        <v>70</v>
      </c>
      <c r="AG291" s="38">
        <v>34944015</v>
      </c>
      <c r="AH291" s="38">
        <f>Tabla44[[#This Row],[VALOR CONTRAPARTIDA]]+Tabla44[[#This Row],[TOTAL APORTES ICBF]]</f>
        <v>34944015</v>
      </c>
      <c r="AI291" s="35" t="str">
        <f>+IF(Tabla44[[#This Row],[AGRUPACIONES]]=1,SUMIFS(Tabla44[TOTAL APORTES ICBF],Tabla44[ZONA DEFINITIVO],Tabla44[[#This Row],[ZONA DEFINITIVO]])," ")</f>
        <v xml:space="preserve"> </v>
      </c>
      <c r="AJ291" s="38"/>
      <c r="AK291" s="38"/>
      <c r="AL291" s="35"/>
      <c r="AM291" s="35">
        <f>VLOOKUP(Tabla44[[#This Row],[SERVICIO 2025]],$J$2:$V$15,5,0)*Tabla44[[#This Row],[TOTAL COBERTURA]]</f>
        <v>1075112</v>
      </c>
      <c r="AN291" s="35">
        <f>VLOOKUP(Tabla44[[#This Row],[SERVICIO 2025]],$J$2:$V$15,6,0)*Tabla44[[#This Row],[TOTAL COBERTURA]]</f>
        <v>870343</v>
      </c>
      <c r="AO291" s="35">
        <f>VLOOKUP(Tabla44[[#This Row],[SERVICIO 2025]],$J$2:$V$15,8,0)*Tabla44[[#This Row],[TOTAL COBERTURA]]</f>
        <v>0</v>
      </c>
      <c r="AP291" s="35">
        <f>VLOOKUP(Tabla44[[#This Row],[SERVICIO 2025]],$J$2:$V$15,3,0)*Tabla44[[#This Row],[TOTAL COBERTURA]]*8</f>
        <v>32998560</v>
      </c>
      <c r="AQ291" s="35"/>
      <c r="AR291" s="35">
        <f>SUM(Tabla44[[#This Row],[VALOR FASE PREPARATORIA DE ALISTAMIENTO]:[VALOR RACION PREPARADA]])</f>
        <v>34944015</v>
      </c>
      <c r="AS291" s="35" t="str">
        <f>+IF(Tabla44[[#This Row],[AGRUPACIONES]]=1,SUMIFS(Tabla44[VALOR TOTAL],Tabla44[ZONA DEFINITIVO],Tabla44[[#This Row],[ZONA DEFINITIVO]])," ")</f>
        <v xml:space="preserve"> </v>
      </c>
      <c r="AT291" s="35">
        <f>VLOOKUP(Tabla44[[#This Row],[SERVICIO 2025]],$J$2:$V$15,10,0)*Tabla44[[#This Row],[TOTAL COBERTURA]]*$X$7</f>
        <v>34651064</v>
      </c>
      <c r="AU291" s="39">
        <f>Tabla44[[#This Row],[TOTAL CONTRATO (ICBF+EAS)]]+Tabla44[[#This Row],[VALOR COMPONENTE ALIMENTACION NO ASIGNADO]]</f>
        <v>69595079</v>
      </c>
      <c r="AV29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9531315</v>
      </c>
      <c r="AW291" s="35">
        <f>(VLOOKUP(Tabla44[[#This Row],[SERVICIO 2025]],$J$2:$V$15,3,0)*Tabla44[[#This Row],[TOTAL COBERTURA]])+VLOOKUP(Tabla44[[#This Row],[SERVICIO 2025]],$J$2:$V$15,10,0)*Tabla44[[#This Row],[TOTAL COBERTURA]]</f>
        <v>8456203</v>
      </c>
      <c r="AX291" s="35">
        <f>(VLOOKUP(Tabla44[[#This Row],[SERVICIO 2025]],$J$2:$V$15,3,0)*Tabla44[[#This Row],[TOTAL COBERTURA]])+VLOOKUP(Tabla44[[#This Row],[SERVICIO 2025]],$J$2:$V$15,10,0)*Tabla44[[#This Row],[TOTAL COBERTURA]]</f>
        <v>8456203</v>
      </c>
      <c r="AY291" s="35">
        <f>(VLOOKUP(Tabla44[[#This Row],[SERVICIO 2025]],$J$2:$V$15,3,0)*Tabla44[[#This Row],[TOTAL COBERTURA]])+VLOOKUP(Tabla44[[#This Row],[SERVICIO 2025]],$J$2:$V$15,10,0)*Tabla44[[#This Row],[TOTAL COBERTURA]]</f>
        <v>8456203</v>
      </c>
      <c r="AZ291" s="35">
        <f>(VLOOKUP(Tabla44[[#This Row],[SERVICIO 2025]],$J$2:$V$15,3,0)*Tabla44[[#This Row],[TOTAL COBERTURA]])+VLOOKUP(Tabla44[[#This Row],[SERVICIO 2025]],$J$2:$V$15,10,0)*Tabla44[[#This Row],[TOTAL COBERTURA]]</f>
        <v>8456203</v>
      </c>
      <c r="BA291" s="35">
        <f>(VLOOKUP(Tabla44[[#This Row],[SERVICIO 2025]],$J$2:$V$15,3,0)*Tabla44[[#This Row],[TOTAL COBERTURA]])+VLOOKUP(Tabla44[[#This Row],[SERVICIO 2025]],$J$2:$V$15,10,0)*Tabla44[[#This Row],[TOTAL COBERTURA]]</f>
        <v>8456203</v>
      </c>
      <c r="BB291" s="35">
        <f>(VLOOKUP(Tabla44[[#This Row],[SERVICIO 2025]],$J$2:$V$15,3,0)*Tabla44[[#This Row],[TOTAL COBERTURA]])+VLOOKUP(Tabla44[[#This Row],[SERVICIO 2025]],$J$2:$V$15,10,0)*Tabla44[[#This Row],[TOTAL COBERTURA]]</f>
        <v>8456203</v>
      </c>
      <c r="BC29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9326546</v>
      </c>
      <c r="BD291" s="35">
        <f>SUM(Tabla44[[#This Row],[DESEMBOLSO 1]:[DESEMBOLSO 8]])</f>
        <v>69595079</v>
      </c>
      <c r="BE291" s="12" t="b">
        <f>EXACT(Tabla44[[#This Row],[VALOR ATENCIÓN (8 MESES)]],Tabla44[[#This Row],[VALOR TOTAL]])</f>
        <v>1</v>
      </c>
      <c r="BF291" s="23">
        <f>Tabla44[[#This Row],[VALOR ATENCIÓN (8 MESES)]]-Tabla44[[#This Row],[VALOR TOTAL]]</f>
        <v>0</v>
      </c>
      <c r="BG291" s="12" t="b">
        <f>EXACT(Tabla44[[#This Row],[TOTAL DESEMBOLSOS]],Tabla44[[#This Row],[VALOR TOTAL DEL CONTRATO INCLUIDO EL COMPONENTE DE ALIMENTACIÓN]])</f>
        <v>1</v>
      </c>
      <c r="BH291" s="29">
        <f>Tabla44[[#This Row],[TOTAL DESEMBOLSOS]]-Tabla44[[#This Row],[VALOR TOTAL DEL CONTRATO INCLUIDO EL COMPONENTE DE ALIMENTACIÓN]]</f>
        <v>0</v>
      </c>
      <c r="BI291" t="s">
        <v>98</v>
      </c>
    </row>
    <row r="292" spans="1:61">
      <c r="A292" s="13">
        <v>1993</v>
      </c>
      <c r="B292" s="13"/>
      <c r="C292" s="12" t="s">
        <v>87</v>
      </c>
      <c r="D292" s="12" t="s">
        <v>1628</v>
      </c>
      <c r="E292" s="12" t="s">
        <v>3370</v>
      </c>
      <c r="F292" s="12" t="s">
        <v>21</v>
      </c>
      <c r="G292" s="12" t="s">
        <v>90</v>
      </c>
      <c r="H292" s="12" t="s">
        <v>3378</v>
      </c>
      <c r="I292" s="36">
        <v>58191137153</v>
      </c>
      <c r="J292" s="12" t="s">
        <v>3379</v>
      </c>
      <c r="K292" s="12">
        <v>1</v>
      </c>
      <c r="L292" s="12">
        <v>12</v>
      </c>
      <c r="M292" s="12"/>
      <c r="N292" s="13">
        <v>1993</v>
      </c>
      <c r="O292" s="12" t="s">
        <v>2850</v>
      </c>
      <c r="P292" s="12"/>
      <c r="Q292" s="12"/>
      <c r="R292" s="12" t="s">
        <v>94</v>
      </c>
      <c r="S292" s="12">
        <v>10</v>
      </c>
      <c r="T292" s="12">
        <v>818001449</v>
      </c>
      <c r="U292" s="12" t="s">
        <v>3247</v>
      </c>
      <c r="V292" s="12">
        <f>VLOOKUP(Tabla44[[#This Row],[ZONA DEFINITIVO]],[1]Hoja1!$A$1:$D$125,3,0)</f>
        <v>229940</v>
      </c>
      <c r="W292" s="12">
        <f>VLOOKUP(Tabla44[[#This Row],[ZONA DEFINITIVO]],[1]Hoja1!$A$1:$D$125,2,0)</f>
        <v>17259</v>
      </c>
      <c r="X292" s="12">
        <f>VLOOKUP(Tabla44[[#This Row],[ZONA DEFINITIVO]],[1]Hoja1!$A$1:$D$125,4,0)</f>
        <v>104625</v>
      </c>
      <c r="Y292" s="12" t="str">
        <f>+IF(Tabla44[[#This Row],[AGRUPACIONES]]=1,SUMIFS(Tabla44[UDS],Tabla44[ZONA DEFINITIVO],Tabla44[[#This Row],[ZONA DEFINITIVO]])," ")</f>
        <v xml:space="preserve"> </v>
      </c>
      <c r="Z292" s="12" t="str">
        <f>+IF(Tabla44[[#This Row],[AGRUPACIONES]]=1,SUMIFS(Tabla44[TOTAL COBERTURA],Tabla44[ZONA DEFINITIVO],Tabla44[[#This Row],[ZONA DEFINITIVO]])," ")</f>
        <v xml:space="preserve"> </v>
      </c>
      <c r="AA292" s="12"/>
      <c r="AB292" s="35">
        <v>18231660</v>
      </c>
      <c r="AC292" s="37">
        <v>0</v>
      </c>
      <c r="AD292" s="35">
        <f t="shared" si="5"/>
        <v>0</v>
      </c>
      <c r="AE292" s="12"/>
      <c r="AF292" s="12">
        <f>COUNTIF($A$20:A292,A292)</f>
        <v>71</v>
      </c>
      <c r="AG292" s="38">
        <v>18231660</v>
      </c>
      <c r="AH292" s="38">
        <f>Tabla44[[#This Row],[VALOR CONTRAPARTIDA]]+Tabla44[[#This Row],[TOTAL APORTES ICBF]]</f>
        <v>18231660</v>
      </c>
      <c r="AI292" s="35" t="str">
        <f>+IF(Tabla44[[#This Row],[AGRUPACIONES]]=1,SUMIFS(Tabla44[TOTAL APORTES ICBF],Tabla44[ZONA DEFINITIVO],Tabla44[[#This Row],[ZONA DEFINITIVO]])," ")</f>
        <v xml:space="preserve"> </v>
      </c>
      <c r="AJ292" s="38"/>
      <c r="AK292" s="38"/>
      <c r="AL292" s="35"/>
      <c r="AM292" s="35">
        <f>VLOOKUP(Tabla44[[#This Row],[SERVICIO 2025]],$J$2:$V$15,5,0)*Tabla44[[#This Row],[TOTAL COBERTURA]]</f>
        <v>560928</v>
      </c>
      <c r="AN292" s="35">
        <f>VLOOKUP(Tabla44[[#This Row],[SERVICIO 2025]],$J$2:$V$15,6,0)*Tabla44[[#This Row],[TOTAL COBERTURA]]</f>
        <v>454092</v>
      </c>
      <c r="AO292" s="35">
        <f>VLOOKUP(Tabla44[[#This Row],[SERVICIO 2025]],$J$2:$V$15,8,0)*Tabla44[[#This Row],[TOTAL COBERTURA]]</f>
        <v>0</v>
      </c>
      <c r="AP292" s="35">
        <f>VLOOKUP(Tabla44[[#This Row],[SERVICIO 2025]],$J$2:$V$15,3,0)*Tabla44[[#This Row],[TOTAL COBERTURA]]*8</f>
        <v>17216640</v>
      </c>
      <c r="AQ292" s="35"/>
      <c r="AR292" s="35">
        <f>SUM(Tabla44[[#This Row],[VALOR FASE PREPARATORIA DE ALISTAMIENTO]:[VALOR RACION PREPARADA]])</f>
        <v>18231660</v>
      </c>
      <c r="AS292" s="35" t="str">
        <f>+IF(Tabla44[[#This Row],[AGRUPACIONES]]=1,SUMIFS(Tabla44[VALOR TOTAL],Tabla44[ZONA DEFINITIVO],Tabla44[[#This Row],[ZONA DEFINITIVO]])," ")</f>
        <v xml:space="preserve"> </v>
      </c>
      <c r="AT292" s="35">
        <f>VLOOKUP(Tabla44[[#This Row],[SERVICIO 2025]],$J$2:$V$15,10,0)*Tabla44[[#This Row],[TOTAL COBERTURA]]*$X$7</f>
        <v>18078816</v>
      </c>
      <c r="AU292" s="39">
        <f>Tabla44[[#This Row],[TOTAL CONTRATO (ICBF+EAS)]]+Tabla44[[#This Row],[VALOR COMPONENTE ALIMENTACION NO ASIGNADO]]</f>
        <v>36310476</v>
      </c>
      <c r="AV29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4972860</v>
      </c>
      <c r="AW292" s="35">
        <f>(VLOOKUP(Tabla44[[#This Row],[SERVICIO 2025]],$J$2:$V$15,3,0)*Tabla44[[#This Row],[TOTAL COBERTURA]])+VLOOKUP(Tabla44[[#This Row],[SERVICIO 2025]],$J$2:$V$15,10,0)*Tabla44[[#This Row],[TOTAL COBERTURA]]</f>
        <v>4411932</v>
      </c>
      <c r="AX292" s="35">
        <f>(VLOOKUP(Tabla44[[#This Row],[SERVICIO 2025]],$J$2:$V$15,3,0)*Tabla44[[#This Row],[TOTAL COBERTURA]])+VLOOKUP(Tabla44[[#This Row],[SERVICIO 2025]],$J$2:$V$15,10,0)*Tabla44[[#This Row],[TOTAL COBERTURA]]</f>
        <v>4411932</v>
      </c>
      <c r="AY292" s="35">
        <f>(VLOOKUP(Tabla44[[#This Row],[SERVICIO 2025]],$J$2:$V$15,3,0)*Tabla44[[#This Row],[TOTAL COBERTURA]])+VLOOKUP(Tabla44[[#This Row],[SERVICIO 2025]],$J$2:$V$15,10,0)*Tabla44[[#This Row],[TOTAL COBERTURA]]</f>
        <v>4411932</v>
      </c>
      <c r="AZ292" s="35">
        <f>(VLOOKUP(Tabla44[[#This Row],[SERVICIO 2025]],$J$2:$V$15,3,0)*Tabla44[[#This Row],[TOTAL COBERTURA]])+VLOOKUP(Tabla44[[#This Row],[SERVICIO 2025]],$J$2:$V$15,10,0)*Tabla44[[#This Row],[TOTAL COBERTURA]]</f>
        <v>4411932</v>
      </c>
      <c r="BA292" s="35">
        <f>(VLOOKUP(Tabla44[[#This Row],[SERVICIO 2025]],$J$2:$V$15,3,0)*Tabla44[[#This Row],[TOTAL COBERTURA]])+VLOOKUP(Tabla44[[#This Row],[SERVICIO 2025]],$J$2:$V$15,10,0)*Tabla44[[#This Row],[TOTAL COBERTURA]]</f>
        <v>4411932</v>
      </c>
      <c r="BB292" s="35">
        <f>(VLOOKUP(Tabla44[[#This Row],[SERVICIO 2025]],$J$2:$V$15,3,0)*Tabla44[[#This Row],[TOTAL COBERTURA]])+VLOOKUP(Tabla44[[#This Row],[SERVICIO 2025]],$J$2:$V$15,10,0)*Tabla44[[#This Row],[TOTAL COBERTURA]]</f>
        <v>4411932</v>
      </c>
      <c r="BC29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4866024</v>
      </c>
      <c r="BD292" s="35">
        <f>SUM(Tabla44[[#This Row],[DESEMBOLSO 1]:[DESEMBOLSO 8]])</f>
        <v>36310476</v>
      </c>
      <c r="BE292" s="12" t="b">
        <f>EXACT(Tabla44[[#This Row],[VALOR ATENCIÓN (8 MESES)]],Tabla44[[#This Row],[VALOR TOTAL]])</f>
        <v>1</v>
      </c>
      <c r="BF292" s="23">
        <f>Tabla44[[#This Row],[VALOR ATENCIÓN (8 MESES)]]-Tabla44[[#This Row],[VALOR TOTAL]]</f>
        <v>0</v>
      </c>
      <c r="BG292" s="12" t="b">
        <f>EXACT(Tabla44[[#This Row],[TOTAL DESEMBOLSOS]],Tabla44[[#This Row],[VALOR TOTAL DEL CONTRATO INCLUIDO EL COMPONENTE DE ALIMENTACIÓN]])</f>
        <v>1</v>
      </c>
      <c r="BH292" s="29">
        <f>Tabla44[[#This Row],[TOTAL DESEMBOLSOS]]-Tabla44[[#This Row],[VALOR TOTAL DEL CONTRATO INCLUIDO EL COMPONENTE DE ALIMENTACIÓN]]</f>
        <v>0</v>
      </c>
      <c r="BI292" t="s">
        <v>98</v>
      </c>
    </row>
    <row r="293" spans="1:61">
      <c r="A293" s="13">
        <v>1993</v>
      </c>
      <c r="B293" s="13"/>
      <c r="C293" s="12" t="s">
        <v>87</v>
      </c>
      <c r="D293" s="12" t="s">
        <v>1628</v>
      </c>
      <c r="E293" s="12" t="s">
        <v>3370</v>
      </c>
      <c r="F293" s="12" t="s">
        <v>21</v>
      </c>
      <c r="G293" s="12" t="s">
        <v>90</v>
      </c>
      <c r="H293" s="12" t="s">
        <v>3380</v>
      </c>
      <c r="I293" s="36">
        <v>58191137155</v>
      </c>
      <c r="J293" s="12" t="s">
        <v>3381</v>
      </c>
      <c r="K293" s="12">
        <v>1</v>
      </c>
      <c r="L293" s="12">
        <v>15</v>
      </c>
      <c r="M293" s="12"/>
      <c r="N293" s="13">
        <v>1993</v>
      </c>
      <c r="O293" s="12" t="s">
        <v>2850</v>
      </c>
      <c r="P293" s="12"/>
      <c r="Q293" s="12"/>
      <c r="R293" s="12" t="s">
        <v>94</v>
      </c>
      <c r="S293" s="12">
        <v>10</v>
      </c>
      <c r="T293" s="12">
        <v>818001449</v>
      </c>
      <c r="U293" s="12" t="s">
        <v>3247</v>
      </c>
      <c r="V293" s="12">
        <f>VLOOKUP(Tabla44[[#This Row],[ZONA DEFINITIVO]],[1]Hoja1!$A$1:$D$125,3,0)</f>
        <v>229940</v>
      </c>
      <c r="W293" s="12">
        <f>VLOOKUP(Tabla44[[#This Row],[ZONA DEFINITIVO]],[1]Hoja1!$A$1:$D$125,2,0)</f>
        <v>17259</v>
      </c>
      <c r="X293" s="12">
        <f>VLOOKUP(Tabla44[[#This Row],[ZONA DEFINITIVO]],[1]Hoja1!$A$1:$D$125,4,0)</f>
        <v>104625</v>
      </c>
      <c r="Y293" s="12" t="str">
        <f>+IF(Tabla44[[#This Row],[AGRUPACIONES]]=1,SUMIFS(Tabla44[UDS],Tabla44[ZONA DEFINITIVO],Tabla44[[#This Row],[ZONA DEFINITIVO]])," ")</f>
        <v xml:space="preserve"> </v>
      </c>
      <c r="Z293" s="12" t="str">
        <f>+IF(Tabla44[[#This Row],[AGRUPACIONES]]=1,SUMIFS(Tabla44[TOTAL COBERTURA],Tabla44[ZONA DEFINITIVO],Tabla44[[#This Row],[ZONA DEFINITIVO]])," ")</f>
        <v xml:space="preserve"> </v>
      </c>
      <c r="AA293" s="12"/>
      <c r="AB293" s="35">
        <v>22789575</v>
      </c>
      <c r="AC293" s="37">
        <v>0</v>
      </c>
      <c r="AD293" s="35">
        <f t="shared" si="5"/>
        <v>0</v>
      </c>
      <c r="AE293" s="12"/>
      <c r="AF293" s="12">
        <f>COUNTIF($A$20:A293,A293)</f>
        <v>72</v>
      </c>
      <c r="AG293" s="38">
        <v>22789575</v>
      </c>
      <c r="AH293" s="38">
        <f>Tabla44[[#This Row],[VALOR CONTRAPARTIDA]]+Tabla44[[#This Row],[TOTAL APORTES ICBF]]</f>
        <v>22789575</v>
      </c>
      <c r="AI293" s="35" t="str">
        <f>+IF(Tabla44[[#This Row],[AGRUPACIONES]]=1,SUMIFS(Tabla44[TOTAL APORTES ICBF],Tabla44[ZONA DEFINITIVO],Tabla44[[#This Row],[ZONA DEFINITIVO]])," ")</f>
        <v xml:space="preserve"> </v>
      </c>
      <c r="AJ293" s="38"/>
      <c r="AK293" s="38"/>
      <c r="AL293" s="35"/>
      <c r="AM293" s="35">
        <f>VLOOKUP(Tabla44[[#This Row],[SERVICIO 2025]],$J$2:$V$15,5,0)*Tabla44[[#This Row],[TOTAL COBERTURA]]</f>
        <v>701160</v>
      </c>
      <c r="AN293" s="35">
        <f>VLOOKUP(Tabla44[[#This Row],[SERVICIO 2025]],$J$2:$V$15,6,0)*Tabla44[[#This Row],[TOTAL COBERTURA]]</f>
        <v>567615</v>
      </c>
      <c r="AO293" s="35">
        <f>VLOOKUP(Tabla44[[#This Row],[SERVICIO 2025]],$J$2:$V$15,8,0)*Tabla44[[#This Row],[TOTAL COBERTURA]]</f>
        <v>0</v>
      </c>
      <c r="AP293" s="35">
        <f>VLOOKUP(Tabla44[[#This Row],[SERVICIO 2025]],$J$2:$V$15,3,0)*Tabla44[[#This Row],[TOTAL COBERTURA]]*8</f>
        <v>21520800</v>
      </c>
      <c r="AQ293" s="35"/>
      <c r="AR293" s="35">
        <f>SUM(Tabla44[[#This Row],[VALOR FASE PREPARATORIA DE ALISTAMIENTO]:[VALOR RACION PREPARADA]])</f>
        <v>22789575</v>
      </c>
      <c r="AS293" s="35" t="str">
        <f>+IF(Tabla44[[#This Row],[AGRUPACIONES]]=1,SUMIFS(Tabla44[VALOR TOTAL],Tabla44[ZONA DEFINITIVO],Tabla44[[#This Row],[ZONA DEFINITIVO]])," ")</f>
        <v xml:space="preserve"> </v>
      </c>
      <c r="AT293" s="35">
        <f>VLOOKUP(Tabla44[[#This Row],[SERVICIO 2025]],$J$2:$V$15,10,0)*Tabla44[[#This Row],[TOTAL COBERTURA]]*$X$7</f>
        <v>22598520</v>
      </c>
      <c r="AU293" s="39">
        <f>Tabla44[[#This Row],[TOTAL CONTRATO (ICBF+EAS)]]+Tabla44[[#This Row],[VALOR COMPONENTE ALIMENTACION NO ASIGNADO]]</f>
        <v>45388095</v>
      </c>
      <c r="AV29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6216075</v>
      </c>
      <c r="AW293" s="35">
        <f>(VLOOKUP(Tabla44[[#This Row],[SERVICIO 2025]],$J$2:$V$15,3,0)*Tabla44[[#This Row],[TOTAL COBERTURA]])+VLOOKUP(Tabla44[[#This Row],[SERVICIO 2025]],$J$2:$V$15,10,0)*Tabla44[[#This Row],[TOTAL COBERTURA]]</f>
        <v>5514915</v>
      </c>
      <c r="AX293" s="35">
        <f>(VLOOKUP(Tabla44[[#This Row],[SERVICIO 2025]],$J$2:$V$15,3,0)*Tabla44[[#This Row],[TOTAL COBERTURA]])+VLOOKUP(Tabla44[[#This Row],[SERVICIO 2025]],$J$2:$V$15,10,0)*Tabla44[[#This Row],[TOTAL COBERTURA]]</f>
        <v>5514915</v>
      </c>
      <c r="AY293" s="35">
        <f>(VLOOKUP(Tabla44[[#This Row],[SERVICIO 2025]],$J$2:$V$15,3,0)*Tabla44[[#This Row],[TOTAL COBERTURA]])+VLOOKUP(Tabla44[[#This Row],[SERVICIO 2025]],$J$2:$V$15,10,0)*Tabla44[[#This Row],[TOTAL COBERTURA]]</f>
        <v>5514915</v>
      </c>
      <c r="AZ293" s="35">
        <f>(VLOOKUP(Tabla44[[#This Row],[SERVICIO 2025]],$J$2:$V$15,3,0)*Tabla44[[#This Row],[TOTAL COBERTURA]])+VLOOKUP(Tabla44[[#This Row],[SERVICIO 2025]],$J$2:$V$15,10,0)*Tabla44[[#This Row],[TOTAL COBERTURA]]</f>
        <v>5514915</v>
      </c>
      <c r="BA293" s="35">
        <f>(VLOOKUP(Tabla44[[#This Row],[SERVICIO 2025]],$J$2:$V$15,3,0)*Tabla44[[#This Row],[TOTAL COBERTURA]])+VLOOKUP(Tabla44[[#This Row],[SERVICIO 2025]],$J$2:$V$15,10,0)*Tabla44[[#This Row],[TOTAL COBERTURA]]</f>
        <v>5514915</v>
      </c>
      <c r="BB293" s="35">
        <f>(VLOOKUP(Tabla44[[#This Row],[SERVICIO 2025]],$J$2:$V$15,3,0)*Tabla44[[#This Row],[TOTAL COBERTURA]])+VLOOKUP(Tabla44[[#This Row],[SERVICIO 2025]],$J$2:$V$15,10,0)*Tabla44[[#This Row],[TOTAL COBERTURA]]</f>
        <v>5514915</v>
      </c>
      <c r="BC29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6082530</v>
      </c>
      <c r="BD293" s="35">
        <f>SUM(Tabla44[[#This Row],[DESEMBOLSO 1]:[DESEMBOLSO 8]])</f>
        <v>45388095</v>
      </c>
      <c r="BE293" s="12" t="b">
        <f>EXACT(Tabla44[[#This Row],[VALOR ATENCIÓN (8 MESES)]],Tabla44[[#This Row],[VALOR TOTAL]])</f>
        <v>1</v>
      </c>
      <c r="BF293" s="23">
        <f>Tabla44[[#This Row],[VALOR ATENCIÓN (8 MESES)]]-Tabla44[[#This Row],[VALOR TOTAL]]</f>
        <v>0</v>
      </c>
      <c r="BG293" s="12" t="b">
        <f>EXACT(Tabla44[[#This Row],[TOTAL DESEMBOLSOS]],Tabla44[[#This Row],[VALOR TOTAL DEL CONTRATO INCLUIDO EL COMPONENTE DE ALIMENTACIÓN]])</f>
        <v>1</v>
      </c>
      <c r="BH293" s="29">
        <f>Tabla44[[#This Row],[TOTAL DESEMBOLSOS]]-Tabla44[[#This Row],[VALOR TOTAL DEL CONTRATO INCLUIDO EL COMPONENTE DE ALIMENTACIÓN]]</f>
        <v>0</v>
      </c>
      <c r="BI293" t="s">
        <v>98</v>
      </c>
    </row>
    <row r="294" spans="1:61">
      <c r="A294" s="13">
        <v>1993</v>
      </c>
      <c r="B294" s="13"/>
      <c r="C294" s="12" t="s">
        <v>87</v>
      </c>
      <c r="D294" s="12" t="s">
        <v>1628</v>
      </c>
      <c r="E294" s="12" t="s">
        <v>3370</v>
      </c>
      <c r="F294" s="12" t="s">
        <v>21</v>
      </c>
      <c r="G294" s="12" t="s">
        <v>90</v>
      </c>
      <c r="H294" s="12" t="s">
        <v>3382</v>
      </c>
      <c r="I294" s="36">
        <v>58191137157</v>
      </c>
      <c r="J294" s="12" t="s">
        <v>3383</v>
      </c>
      <c r="K294" s="12">
        <v>1</v>
      </c>
      <c r="L294" s="12">
        <v>14</v>
      </c>
      <c r="M294" s="12"/>
      <c r="N294" s="13">
        <v>1993</v>
      </c>
      <c r="O294" s="12" t="s">
        <v>2850</v>
      </c>
      <c r="P294" s="12"/>
      <c r="Q294" s="12"/>
      <c r="R294" s="12" t="s">
        <v>94</v>
      </c>
      <c r="S294" s="12">
        <v>10</v>
      </c>
      <c r="T294" s="12">
        <v>818001449</v>
      </c>
      <c r="U294" s="12" t="s">
        <v>3247</v>
      </c>
      <c r="V294" s="12">
        <f>VLOOKUP(Tabla44[[#This Row],[ZONA DEFINITIVO]],[1]Hoja1!$A$1:$D$125,3,0)</f>
        <v>229940</v>
      </c>
      <c r="W294" s="12">
        <f>VLOOKUP(Tabla44[[#This Row],[ZONA DEFINITIVO]],[1]Hoja1!$A$1:$D$125,2,0)</f>
        <v>17259</v>
      </c>
      <c r="X294" s="12">
        <f>VLOOKUP(Tabla44[[#This Row],[ZONA DEFINITIVO]],[1]Hoja1!$A$1:$D$125,4,0)</f>
        <v>104625</v>
      </c>
      <c r="Y294" s="12" t="str">
        <f>+IF(Tabla44[[#This Row],[AGRUPACIONES]]=1,SUMIFS(Tabla44[UDS],Tabla44[ZONA DEFINITIVO],Tabla44[[#This Row],[ZONA DEFINITIVO]])," ")</f>
        <v xml:space="preserve"> </v>
      </c>
      <c r="Z294" s="12" t="str">
        <f>+IF(Tabla44[[#This Row],[AGRUPACIONES]]=1,SUMIFS(Tabla44[TOTAL COBERTURA],Tabla44[ZONA DEFINITIVO],Tabla44[[#This Row],[ZONA DEFINITIVO]])," ")</f>
        <v xml:space="preserve"> </v>
      </c>
      <c r="AA294" s="12"/>
      <c r="AB294" s="35">
        <v>21270270</v>
      </c>
      <c r="AC294" s="37">
        <v>0</v>
      </c>
      <c r="AD294" s="35">
        <f t="shared" si="5"/>
        <v>0</v>
      </c>
      <c r="AE294" s="12"/>
      <c r="AF294" s="12">
        <f>COUNTIF($A$20:A294,A294)</f>
        <v>73</v>
      </c>
      <c r="AG294" s="38">
        <v>21270270</v>
      </c>
      <c r="AH294" s="38">
        <f>Tabla44[[#This Row],[VALOR CONTRAPARTIDA]]+Tabla44[[#This Row],[TOTAL APORTES ICBF]]</f>
        <v>21270270</v>
      </c>
      <c r="AI294" s="35" t="str">
        <f>+IF(Tabla44[[#This Row],[AGRUPACIONES]]=1,SUMIFS(Tabla44[TOTAL APORTES ICBF],Tabla44[ZONA DEFINITIVO],Tabla44[[#This Row],[ZONA DEFINITIVO]])," ")</f>
        <v xml:space="preserve"> </v>
      </c>
      <c r="AJ294" s="38"/>
      <c r="AK294" s="38"/>
      <c r="AL294" s="35"/>
      <c r="AM294" s="35">
        <f>VLOOKUP(Tabla44[[#This Row],[SERVICIO 2025]],$J$2:$V$15,5,0)*Tabla44[[#This Row],[TOTAL COBERTURA]]</f>
        <v>654416</v>
      </c>
      <c r="AN294" s="35">
        <f>VLOOKUP(Tabla44[[#This Row],[SERVICIO 2025]],$J$2:$V$15,6,0)*Tabla44[[#This Row],[TOTAL COBERTURA]]</f>
        <v>529774</v>
      </c>
      <c r="AO294" s="35">
        <f>VLOOKUP(Tabla44[[#This Row],[SERVICIO 2025]],$J$2:$V$15,8,0)*Tabla44[[#This Row],[TOTAL COBERTURA]]</f>
        <v>0</v>
      </c>
      <c r="AP294" s="35">
        <f>VLOOKUP(Tabla44[[#This Row],[SERVICIO 2025]],$J$2:$V$15,3,0)*Tabla44[[#This Row],[TOTAL COBERTURA]]*8</f>
        <v>20086080</v>
      </c>
      <c r="AQ294" s="35"/>
      <c r="AR294" s="35">
        <f>SUM(Tabla44[[#This Row],[VALOR FASE PREPARATORIA DE ALISTAMIENTO]:[VALOR RACION PREPARADA]])</f>
        <v>21270270</v>
      </c>
      <c r="AS294" s="35" t="str">
        <f>+IF(Tabla44[[#This Row],[AGRUPACIONES]]=1,SUMIFS(Tabla44[VALOR TOTAL],Tabla44[ZONA DEFINITIVO],Tabla44[[#This Row],[ZONA DEFINITIVO]])," ")</f>
        <v xml:space="preserve"> </v>
      </c>
      <c r="AT294" s="35">
        <f>VLOOKUP(Tabla44[[#This Row],[SERVICIO 2025]],$J$2:$V$15,10,0)*Tabla44[[#This Row],[TOTAL COBERTURA]]*$X$7</f>
        <v>21091952</v>
      </c>
      <c r="AU294" s="39">
        <f>Tabla44[[#This Row],[TOTAL CONTRATO (ICBF+EAS)]]+Tabla44[[#This Row],[VALOR COMPONENTE ALIMENTACION NO ASIGNADO]]</f>
        <v>42362222</v>
      </c>
      <c r="AV29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5801670</v>
      </c>
      <c r="AW294" s="35">
        <f>(VLOOKUP(Tabla44[[#This Row],[SERVICIO 2025]],$J$2:$V$15,3,0)*Tabla44[[#This Row],[TOTAL COBERTURA]])+VLOOKUP(Tabla44[[#This Row],[SERVICIO 2025]],$J$2:$V$15,10,0)*Tabla44[[#This Row],[TOTAL COBERTURA]]</f>
        <v>5147254</v>
      </c>
      <c r="AX294" s="35">
        <f>(VLOOKUP(Tabla44[[#This Row],[SERVICIO 2025]],$J$2:$V$15,3,0)*Tabla44[[#This Row],[TOTAL COBERTURA]])+VLOOKUP(Tabla44[[#This Row],[SERVICIO 2025]],$J$2:$V$15,10,0)*Tabla44[[#This Row],[TOTAL COBERTURA]]</f>
        <v>5147254</v>
      </c>
      <c r="AY294" s="35">
        <f>(VLOOKUP(Tabla44[[#This Row],[SERVICIO 2025]],$J$2:$V$15,3,0)*Tabla44[[#This Row],[TOTAL COBERTURA]])+VLOOKUP(Tabla44[[#This Row],[SERVICIO 2025]],$J$2:$V$15,10,0)*Tabla44[[#This Row],[TOTAL COBERTURA]]</f>
        <v>5147254</v>
      </c>
      <c r="AZ294" s="35">
        <f>(VLOOKUP(Tabla44[[#This Row],[SERVICIO 2025]],$J$2:$V$15,3,0)*Tabla44[[#This Row],[TOTAL COBERTURA]])+VLOOKUP(Tabla44[[#This Row],[SERVICIO 2025]],$J$2:$V$15,10,0)*Tabla44[[#This Row],[TOTAL COBERTURA]]</f>
        <v>5147254</v>
      </c>
      <c r="BA294" s="35">
        <f>(VLOOKUP(Tabla44[[#This Row],[SERVICIO 2025]],$J$2:$V$15,3,0)*Tabla44[[#This Row],[TOTAL COBERTURA]])+VLOOKUP(Tabla44[[#This Row],[SERVICIO 2025]],$J$2:$V$15,10,0)*Tabla44[[#This Row],[TOTAL COBERTURA]]</f>
        <v>5147254</v>
      </c>
      <c r="BB294" s="35">
        <f>(VLOOKUP(Tabla44[[#This Row],[SERVICIO 2025]],$J$2:$V$15,3,0)*Tabla44[[#This Row],[TOTAL COBERTURA]])+VLOOKUP(Tabla44[[#This Row],[SERVICIO 2025]],$J$2:$V$15,10,0)*Tabla44[[#This Row],[TOTAL COBERTURA]]</f>
        <v>5147254</v>
      </c>
      <c r="BC29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5677028</v>
      </c>
      <c r="BD294" s="35">
        <f>SUM(Tabla44[[#This Row],[DESEMBOLSO 1]:[DESEMBOLSO 8]])</f>
        <v>42362222</v>
      </c>
      <c r="BE294" s="12" t="b">
        <f>EXACT(Tabla44[[#This Row],[VALOR ATENCIÓN (8 MESES)]],Tabla44[[#This Row],[VALOR TOTAL]])</f>
        <v>1</v>
      </c>
      <c r="BF294" s="23">
        <f>Tabla44[[#This Row],[VALOR ATENCIÓN (8 MESES)]]-Tabla44[[#This Row],[VALOR TOTAL]]</f>
        <v>0</v>
      </c>
      <c r="BG294" s="12" t="b">
        <f>EXACT(Tabla44[[#This Row],[TOTAL DESEMBOLSOS]],Tabla44[[#This Row],[VALOR TOTAL DEL CONTRATO INCLUIDO EL COMPONENTE DE ALIMENTACIÓN]])</f>
        <v>1</v>
      </c>
      <c r="BH294" s="29">
        <f>Tabla44[[#This Row],[TOTAL DESEMBOLSOS]]-Tabla44[[#This Row],[VALOR TOTAL DEL CONTRATO INCLUIDO EL COMPONENTE DE ALIMENTACIÓN]]</f>
        <v>0</v>
      </c>
      <c r="BI294" t="s">
        <v>98</v>
      </c>
    </row>
    <row r="295" spans="1:61">
      <c r="A295" s="13">
        <v>1993</v>
      </c>
      <c r="B295" s="13"/>
      <c r="C295" s="12" t="s">
        <v>87</v>
      </c>
      <c r="D295" s="12" t="s">
        <v>1628</v>
      </c>
      <c r="E295" s="12" t="s">
        <v>3370</v>
      </c>
      <c r="F295" s="12" t="s">
        <v>21</v>
      </c>
      <c r="G295" s="12" t="s">
        <v>90</v>
      </c>
      <c r="H295" s="12" t="s">
        <v>3384</v>
      </c>
      <c r="I295" s="36">
        <v>58191137159</v>
      </c>
      <c r="J295" s="12" t="s">
        <v>3385</v>
      </c>
      <c r="K295" s="12">
        <v>1</v>
      </c>
      <c r="L295" s="12">
        <v>27</v>
      </c>
      <c r="M295" s="12"/>
      <c r="N295" s="13">
        <v>1993</v>
      </c>
      <c r="O295" s="12" t="s">
        <v>2850</v>
      </c>
      <c r="P295" s="12"/>
      <c r="Q295" s="12"/>
      <c r="R295" s="12" t="s">
        <v>94</v>
      </c>
      <c r="S295" s="12">
        <v>10</v>
      </c>
      <c r="T295" s="12">
        <v>818001449</v>
      </c>
      <c r="U295" s="12" t="s">
        <v>3247</v>
      </c>
      <c r="V295" s="12">
        <f>VLOOKUP(Tabla44[[#This Row],[ZONA DEFINITIVO]],[1]Hoja1!$A$1:$D$125,3,0)</f>
        <v>229940</v>
      </c>
      <c r="W295" s="12">
        <f>VLOOKUP(Tabla44[[#This Row],[ZONA DEFINITIVO]],[1]Hoja1!$A$1:$D$125,2,0)</f>
        <v>17259</v>
      </c>
      <c r="X295" s="12">
        <f>VLOOKUP(Tabla44[[#This Row],[ZONA DEFINITIVO]],[1]Hoja1!$A$1:$D$125,4,0)</f>
        <v>104625</v>
      </c>
      <c r="Y295" s="12" t="str">
        <f>+IF(Tabla44[[#This Row],[AGRUPACIONES]]=1,SUMIFS(Tabla44[UDS],Tabla44[ZONA DEFINITIVO],Tabla44[[#This Row],[ZONA DEFINITIVO]])," ")</f>
        <v xml:space="preserve"> </v>
      </c>
      <c r="Z295" s="12" t="str">
        <f>+IF(Tabla44[[#This Row],[AGRUPACIONES]]=1,SUMIFS(Tabla44[TOTAL COBERTURA],Tabla44[ZONA DEFINITIVO],Tabla44[[#This Row],[ZONA DEFINITIVO]])," ")</f>
        <v xml:space="preserve"> </v>
      </c>
      <c r="AA295" s="12"/>
      <c r="AB295" s="35">
        <v>41021235</v>
      </c>
      <c r="AC295" s="37">
        <v>0</v>
      </c>
      <c r="AD295" s="35">
        <f t="shared" si="5"/>
        <v>0</v>
      </c>
      <c r="AE295" s="12"/>
      <c r="AF295" s="12">
        <f>COUNTIF($A$20:A295,A295)</f>
        <v>74</v>
      </c>
      <c r="AG295" s="38">
        <v>41021235</v>
      </c>
      <c r="AH295" s="38">
        <f>Tabla44[[#This Row],[VALOR CONTRAPARTIDA]]+Tabla44[[#This Row],[TOTAL APORTES ICBF]]</f>
        <v>41021235</v>
      </c>
      <c r="AI295" s="35" t="str">
        <f>+IF(Tabla44[[#This Row],[AGRUPACIONES]]=1,SUMIFS(Tabla44[TOTAL APORTES ICBF],Tabla44[ZONA DEFINITIVO],Tabla44[[#This Row],[ZONA DEFINITIVO]])," ")</f>
        <v xml:space="preserve"> </v>
      </c>
      <c r="AJ295" s="38"/>
      <c r="AK295" s="38"/>
      <c r="AL295" s="35"/>
      <c r="AM295" s="35">
        <f>VLOOKUP(Tabla44[[#This Row],[SERVICIO 2025]],$J$2:$V$15,5,0)*Tabla44[[#This Row],[TOTAL COBERTURA]]</f>
        <v>1262088</v>
      </c>
      <c r="AN295" s="35">
        <f>VLOOKUP(Tabla44[[#This Row],[SERVICIO 2025]],$J$2:$V$15,6,0)*Tabla44[[#This Row],[TOTAL COBERTURA]]</f>
        <v>1021707</v>
      </c>
      <c r="AO295" s="35">
        <f>VLOOKUP(Tabla44[[#This Row],[SERVICIO 2025]],$J$2:$V$15,8,0)*Tabla44[[#This Row],[TOTAL COBERTURA]]</f>
        <v>0</v>
      </c>
      <c r="AP295" s="35">
        <f>VLOOKUP(Tabla44[[#This Row],[SERVICIO 2025]],$J$2:$V$15,3,0)*Tabla44[[#This Row],[TOTAL COBERTURA]]*8</f>
        <v>38737440</v>
      </c>
      <c r="AQ295" s="35"/>
      <c r="AR295" s="35">
        <f>SUM(Tabla44[[#This Row],[VALOR FASE PREPARATORIA DE ALISTAMIENTO]:[VALOR RACION PREPARADA]])</f>
        <v>41021235</v>
      </c>
      <c r="AS295" s="35" t="str">
        <f>+IF(Tabla44[[#This Row],[AGRUPACIONES]]=1,SUMIFS(Tabla44[VALOR TOTAL],Tabla44[ZONA DEFINITIVO],Tabla44[[#This Row],[ZONA DEFINITIVO]])," ")</f>
        <v xml:space="preserve"> </v>
      </c>
      <c r="AT295" s="35">
        <f>VLOOKUP(Tabla44[[#This Row],[SERVICIO 2025]],$J$2:$V$15,10,0)*Tabla44[[#This Row],[TOTAL COBERTURA]]*$X$7</f>
        <v>40677336</v>
      </c>
      <c r="AU295" s="39">
        <f>Tabla44[[#This Row],[TOTAL CONTRATO (ICBF+EAS)]]+Tabla44[[#This Row],[VALOR COMPONENTE ALIMENTACION NO ASIGNADO]]</f>
        <v>81698571</v>
      </c>
      <c r="AV29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11188935</v>
      </c>
      <c r="AW295" s="35">
        <f>(VLOOKUP(Tabla44[[#This Row],[SERVICIO 2025]],$J$2:$V$15,3,0)*Tabla44[[#This Row],[TOTAL COBERTURA]])+VLOOKUP(Tabla44[[#This Row],[SERVICIO 2025]],$J$2:$V$15,10,0)*Tabla44[[#This Row],[TOTAL COBERTURA]]</f>
        <v>9926847</v>
      </c>
      <c r="AX295" s="35">
        <f>(VLOOKUP(Tabla44[[#This Row],[SERVICIO 2025]],$J$2:$V$15,3,0)*Tabla44[[#This Row],[TOTAL COBERTURA]])+VLOOKUP(Tabla44[[#This Row],[SERVICIO 2025]],$J$2:$V$15,10,0)*Tabla44[[#This Row],[TOTAL COBERTURA]]</f>
        <v>9926847</v>
      </c>
      <c r="AY295" s="35">
        <f>(VLOOKUP(Tabla44[[#This Row],[SERVICIO 2025]],$J$2:$V$15,3,0)*Tabla44[[#This Row],[TOTAL COBERTURA]])+VLOOKUP(Tabla44[[#This Row],[SERVICIO 2025]],$J$2:$V$15,10,0)*Tabla44[[#This Row],[TOTAL COBERTURA]]</f>
        <v>9926847</v>
      </c>
      <c r="AZ295" s="35">
        <f>(VLOOKUP(Tabla44[[#This Row],[SERVICIO 2025]],$J$2:$V$15,3,0)*Tabla44[[#This Row],[TOTAL COBERTURA]])+VLOOKUP(Tabla44[[#This Row],[SERVICIO 2025]],$J$2:$V$15,10,0)*Tabla44[[#This Row],[TOTAL COBERTURA]]</f>
        <v>9926847</v>
      </c>
      <c r="BA295" s="35">
        <f>(VLOOKUP(Tabla44[[#This Row],[SERVICIO 2025]],$J$2:$V$15,3,0)*Tabla44[[#This Row],[TOTAL COBERTURA]])+VLOOKUP(Tabla44[[#This Row],[SERVICIO 2025]],$J$2:$V$15,10,0)*Tabla44[[#This Row],[TOTAL COBERTURA]]</f>
        <v>9926847</v>
      </c>
      <c r="BB295" s="35">
        <f>(VLOOKUP(Tabla44[[#This Row],[SERVICIO 2025]],$J$2:$V$15,3,0)*Tabla44[[#This Row],[TOTAL COBERTURA]])+VLOOKUP(Tabla44[[#This Row],[SERVICIO 2025]],$J$2:$V$15,10,0)*Tabla44[[#This Row],[TOTAL COBERTURA]]</f>
        <v>9926847</v>
      </c>
      <c r="BC29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10948554</v>
      </c>
      <c r="BD295" s="35">
        <f>SUM(Tabla44[[#This Row],[DESEMBOLSO 1]:[DESEMBOLSO 8]])</f>
        <v>81698571</v>
      </c>
      <c r="BE295" s="12" t="b">
        <f>EXACT(Tabla44[[#This Row],[VALOR ATENCIÓN (8 MESES)]],Tabla44[[#This Row],[VALOR TOTAL]])</f>
        <v>1</v>
      </c>
      <c r="BF295" s="23">
        <f>Tabla44[[#This Row],[VALOR ATENCIÓN (8 MESES)]]-Tabla44[[#This Row],[VALOR TOTAL]]</f>
        <v>0</v>
      </c>
      <c r="BG295" s="12" t="b">
        <f>EXACT(Tabla44[[#This Row],[TOTAL DESEMBOLSOS]],Tabla44[[#This Row],[VALOR TOTAL DEL CONTRATO INCLUIDO EL COMPONENTE DE ALIMENTACIÓN]])</f>
        <v>1</v>
      </c>
      <c r="BH295" s="29">
        <f>Tabla44[[#This Row],[TOTAL DESEMBOLSOS]]-Tabla44[[#This Row],[VALOR TOTAL DEL CONTRATO INCLUIDO EL COMPONENTE DE ALIMENTACIÓN]]</f>
        <v>0</v>
      </c>
      <c r="BI295" t="s">
        <v>98</v>
      </c>
    </row>
    <row r="296" spans="1:61">
      <c r="A296" s="13">
        <v>1993</v>
      </c>
      <c r="B296" s="13"/>
      <c r="C296" s="12" t="s">
        <v>87</v>
      </c>
      <c r="D296" s="12" t="s">
        <v>1628</v>
      </c>
      <c r="E296" s="12" t="s">
        <v>3370</v>
      </c>
      <c r="F296" s="12" t="s">
        <v>21</v>
      </c>
      <c r="G296" s="12" t="s">
        <v>90</v>
      </c>
      <c r="H296" s="12" t="s">
        <v>3386</v>
      </c>
      <c r="I296" s="36">
        <v>58191137160</v>
      </c>
      <c r="J296" s="12" t="s">
        <v>3387</v>
      </c>
      <c r="K296" s="12">
        <v>1</v>
      </c>
      <c r="L296" s="12">
        <v>27</v>
      </c>
      <c r="M296" s="12"/>
      <c r="N296" s="13">
        <v>1993</v>
      </c>
      <c r="O296" s="12" t="s">
        <v>2850</v>
      </c>
      <c r="P296" s="12"/>
      <c r="Q296" s="12"/>
      <c r="R296" s="12" t="s">
        <v>94</v>
      </c>
      <c r="S296" s="12">
        <v>10</v>
      </c>
      <c r="T296" s="12">
        <v>818001449</v>
      </c>
      <c r="U296" s="12" t="s">
        <v>3247</v>
      </c>
      <c r="V296" s="12">
        <f>VLOOKUP(Tabla44[[#This Row],[ZONA DEFINITIVO]],[1]Hoja1!$A$1:$D$125,3,0)</f>
        <v>229940</v>
      </c>
      <c r="W296" s="12">
        <f>VLOOKUP(Tabla44[[#This Row],[ZONA DEFINITIVO]],[1]Hoja1!$A$1:$D$125,2,0)</f>
        <v>17259</v>
      </c>
      <c r="X296" s="12">
        <f>VLOOKUP(Tabla44[[#This Row],[ZONA DEFINITIVO]],[1]Hoja1!$A$1:$D$125,4,0)</f>
        <v>104625</v>
      </c>
      <c r="Y296" s="12" t="str">
        <f>+IF(Tabla44[[#This Row],[AGRUPACIONES]]=1,SUMIFS(Tabla44[UDS],Tabla44[ZONA DEFINITIVO],Tabla44[[#This Row],[ZONA DEFINITIVO]])," ")</f>
        <v xml:space="preserve"> </v>
      </c>
      <c r="Z296" s="12" t="str">
        <f>+IF(Tabla44[[#This Row],[AGRUPACIONES]]=1,SUMIFS(Tabla44[TOTAL COBERTURA],Tabla44[ZONA DEFINITIVO],Tabla44[[#This Row],[ZONA DEFINITIVO]])," ")</f>
        <v xml:space="preserve"> </v>
      </c>
      <c r="AA296" s="12"/>
      <c r="AB296" s="35">
        <v>41021235</v>
      </c>
      <c r="AC296" s="37">
        <v>0</v>
      </c>
      <c r="AD296" s="35">
        <f t="shared" si="5"/>
        <v>0</v>
      </c>
      <c r="AE296" s="12"/>
      <c r="AF296" s="12">
        <f>COUNTIF($A$20:A296,A296)</f>
        <v>75</v>
      </c>
      <c r="AG296" s="38">
        <v>41021235</v>
      </c>
      <c r="AH296" s="38">
        <f>Tabla44[[#This Row],[VALOR CONTRAPARTIDA]]+Tabla44[[#This Row],[TOTAL APORTES ICBF]]</f>
        <v>41021235</v>
      </c>
      <c r="AI296" s="35" t="str">
        <f>+IF(Tabla44[[#This Row],[AGRUPACIONES]]=1,SUMIFS(Tabla44[TOTAL APORTES ICBF],Tabla44[ZONA DEFINITIVO],Tabla44[[#This Row],[ZONA DEFINITIVO]])," ")</f>
        <v xml:space="preserve"> </v>
      </c>
      <c r="AJ296" s="38"/>
      <c r="AK296" s="38"/>
      <c r="AL296" s="35"/>
      <c r="AM296" s="35">
        <f>VLOOKUP(Tabla44[[#This Row],[SERVICIO 2025]],$J$2:$V$15,5,0)*Tabla44[[#This Row],[TOTAL COBERTURA]]</f>
        <v>1262088</v>
      </c>
      <c r="AN296" s="35">
        <f>VLOOKUP(Tabla44[[#This Row],[SERVICIO 2025]],$J$2:$V$15,6,0)*Tabla44[[#This Row],[TOTAL COBERTURA]]</f>
        <v>1021707</v>
      </c>
      <c r="AO296" s="35">
        <f>VLOOKUP(Tabla44[[#This Row],[SERVICIO 2025]],$J$2:$V$15,8,0)*Tabla44[[#This Row],[TOTAL COBERTURA]]</f>
        <v>0</v>
      </c>
      <c r="AP296" s="35">
        <f>VLOOKUP(Tabla44[[#This Row],[SERVICIO 2025]],$J$2:$V$15,3,0)*Tabla44[[#This Row],[TOTAL COBERTURA]]*8</f>
        <v>38737440</v>
      </c>
      <c r="AQ296" s="35"/>
      <c r="AR296" s="35">
        <f>SUM(Tabla44[[#This Row],[VALOR FASE PREPARATORIA DE ALISTAMIENTO]:[VALOR RACION PREPARADA]])</f>
        <v>41021235</v>
      </c>
      <c r="AS296" s="35" t="str">
        <f>+IF(Tabla44[[#This Row],[AGRUPACIONES]]=1,SUMIFS(Tabla44[VALOR TOTAL],Tabla44[ZONA DEFINITIVO],Tabla44[[#This Row],[ZONA DEFINITIVO]])," ")</f>
        <v xml:space="preserve"> </v>
      </c>
      <c r="AT296" s="35">
        <f>VLOOKUP(Tabla44[[#This Row],[SERVICIO 2025]],$J$2:$V$15,10,0)*Tabla44[[#This Row],[TOTAL COBERTURA]]*$X$7</f>
        <v>40677336</v>
      </c>
      <c r="AU296" s="39">
        <f>Tabla44[[#This Row],[TOTAL CONTRATO (ICBF+EAS)]]+Tabla44[[#This Row],[VALOR COMPONENTE ALIMENTACION NO ASIGNADO]]</f>
        <v>81698571</v>
      </c>
      <c r="AV29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11188935</v>
      </c>
      <c r="AW296" s="35">
        <f>(VLOOKUP(Tabla44[[#This Row],[SERVICIO 2025]],$J$2:$V$15,3,0)*Tabla44[[#This Row],[TOTAL COBERTURA]])+VLOOKUP(Tabla44[[#This Row],[SERVICIO 2025]],$J$2:$V$15,10,0)*Tabla44[[#This Row],[TOTAL COBERTURA]]</f>
        <v>9926847</v>
      </c>
      <c r="AX296" s="35">
        <f>(VLOOKUP(Tabla44[[#This Row],[SERVICIO 2025]],$J$2:$V$15,3,0)*Tabla44[[#This Row],[TOTAL COBERTURA]])+VLOOKUP(Tabla44[[#This Row],[SERVICIO 2025]],$J$2:$V$15,10,0)*Tabla44[[#This Row],[TOTAL COBERTURA]]</f>
        <v>9926847</v>
      </c>
      <c r="AY296" s="35">
        <f>(VLOOKUP(Tabla44[[#This Row],[SERVICIO 2025]],$J$2:$V$15,3,0)*Tabla44[[#This Row],[TOTAL COBERTURA]])+VLOOKUP(Tabla44[[#This Row],[SERVICIO 2025]],$J$2:$V$15,10,0)*Tabla44[[#This Row],[TOTAL COBERTURA]]</f>
        <v>9926847</v>
      </c>
      <c r="AZ296" s="35">
        <f>(VLOOKUP(Tabla44[[#This Row],[SERVICIO 2025]],$J$2:$V$15,3,0)*Tabla44[[#This Row],[TOTAL COBERTURA]])+VLOOKUP(Tabla44[[#This Row],[SERVICIO 2025]],$J$2:$V$15,10,0)*Tabla44[[#This Row],[TOTAL COBERTURA]]</f>
        <v>9926847</v>
      </c>
      <c r="BA296" s="35">
        <f>(VLOOKUP(Tabla44[[#This Row],[SERVICIO 2025]],$J$2:$V$15,3,0)*Tabla44[[#This Row],[TOTAL COBERTURA]])+VLOOKUP(Tabla44[[#This Row],[SERVICIO 2025]],$J$2:$V$15,10,0)*Tabla44[[#This Row],[TOTAL COBERTURA]]</f>
        <v>9926847</v>
      </c>
      <c r="BB296" s="35">
        <f>(VLOOKUP(Tabla44[[#This Row],[SERVICIO 2025]],$J$2:$V$15,3,0)*Tabla44[[#This Row],[TOTAL COBERTURA]])+VLOOKUP(Tabla44[[#This Row],[SERVICIO 2025]],$J$2:$V$15,10,0)*Tabla44[[#This Row],[TOTAL COBERTURA]]</f>
        <v>9926847</v>
      </c>
      <c r="BC29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10948554</v>
      </c>
      <c r="BD296" s="35">
        <f>SUM(Tabla44[[#This Row],[DESEMBOLSO 1]:[DESEMBOLSO 8]])</f>
        <v>81698571</v>
      </c>
      <c r="BE296" s="12" t="b">
        <f>EXACT(Tabla44[[#This Row],[VALOR ATENCIÓN (8 MESES)]],Tabla44[[#This Row],[VALOR TOTAL]])</f>
        <v>1</v>
      </c>
      <c r="BF296" s="23">
        <f>Tabla44[[#This Row],[VALOR ATENCIÓN (8 MESES)]]-Tabla44[[#This Row],[VALOR TOTAL]]</f>
        <v>0</v>
      </c>
      <c r="BG296" s="12" t="b">
        <f>EXACT(Tabla44[[#This Row],[TOTAL DESEMBOLSOS]],Tabla44[[#This Row],[VALOR TOTAL DEL CONTRATO INCLUIDO EL COMPONENTE DE ALIMENTACIÓN]])</f>
        <v>1</v>
      </c>
      <c r="BH296" s="29">
        <f>Tabla44[[#This Row],[TOTAL DESEMBOLSOS]]-Tabla44[[#This Row],[VALOR TOTAL DEL CONTRATO INCLUIDO EL COMPONENTE DE ALIMENTACIÓN]]</f>
        <v>0</v>
      </c>
      <c r="BI296" t="s">
        <v>98</v>
      </c>
    </row>
    <row r="297" spans="1:61">
      <c r="A297" s="13">
        <v>1993</v>
      </c>
      <c r="B297" s="13"/>
      <c r="C297" s="12" t="s">
        <v>87</v>
      </c>
      <c r="D297" s="12" t="s">
        <v>1628</v>
      </c>
      <c r="E297" s="12" t="s">
        <v>3370</v>
      </c>
      <c r="F297" s="12" t="s">
        <v>14</v>
      </c>
      <c r="G297" s="12" t="s">
        <v>90</v>
      </c>
      <c r="H297" s="12" t="s">
        <v>3388</v>
      </c>
      <c r="I297" s="36">
        <v>58191140160</v>
      </c>
      <c r="J297" s="12" t="s">
        <v>3389</v>
      </c>
      <c r="K297" s="12">
        <v>1</v>
      </c>
      <c r="L297" s="12">
        <v>35</v>
      </c>
      <c r="M297" s="12"/>
      <c r="N297" s="13">
        <v>1993</v>
      </c>
      <c r="O297" s="12" t="s">
        <v>2850</v>
      </c>
      <c r="P297" s="12"/>
      <c r="Q297" s="12"/>
      <c r="R297" s="12" t="s">
        <v>94</v>
      </c>
      <c r="S297" s="12">
        <v>10</v>
      </c>
      <c r="T297" s="12">
        <v>818001449</v>
      </c>
      <c r="U297" s="12" t="s">
        <v>3247</v>
      </c>
      <c r="V297" s="12">
        <f>VLOOKUP(Tabla44[[#This Row],[ZONA DEFINITIVO]],[1]Hoja1!$A$1:$D$125,3,0)</f>
        <v>229940</v>
      </c>
      <c r="W297" s="12">
        <f>VLOOKUP(Tabla44[[#This Row],[ZONA DEFINITIVO]],[1]Hoja1!$A$1:$D$125,2,0)</f>
        <v>17259</v>
      </c>
      <c r="X297" s="12">
        <f>VLOOKUP(Tabla44[[#This Row],[ZONA DEFINITIVO]],[1]Hoja1!$A$1:$D$125,4,0)</f>
        <v>104625</v>
      </c>
      <c r="Y297" s="12" t="str">
        <f>+IF(Tabla44[[#This Row],[AGRUPACIONES]]=1,SUMIFS(Tabla44[UDS],Tabla44[ZONA DEFINITIVO],Tabla44[[#This Row],[ZONA DEFINITIVO]])," ")</f>
        <v xml:space="preserve"> </v>
      </c>
      <c r="Z297" s="12" t="str">
        <f>+IF(Tabla44[[#This Row],[AGRUPACIONES]]=1,SUMIFS(Tabla44[TOTAL COBERTURA],Tabla44[ZONA DEFINITIVO],Tabla44[[#This Row],[ZONA DEFINITIVO]])," ")</f>
        <v xml:space="preserve"> </v>
      </c>
      <c r="AA297" s="12"/>
      <c r="AB297" s="35">
        <v>146609750</v>
      </c>
      <c r="AC297" s="37">
        <v>0</v>
      </c>
      <c r="AD297" s="35">
        <f t="shared" si="5"/>
        <v>0</v>
      </c>
      <c r="AE297" s="12"/>
      <c r="AF297" s="12">
        <f>COUNTIF($A$20:A297,A297)</f>
        <v>76</v>
      </c>
      <c r="AG297" s="38">
        <v>146609750</v>
      </c>
      <c r="AH297" s="38">
        <f>Tabla44[[#This Row],[VALOR CONTRAPARTIDA]]+Tabla44[[#This Row],[TOTAL APORTES ICBF]]</f>
        <v>146609750</v>
      </c>
      <c r="AI297" s="35" t="str">
        <f>+IF(Tabla44[[#This Row],[AGRUPACIONES]]=1,SUMIFS(Tabla44[TOTAL APORTES ICBF],Tabla44[ZONA DEFINITIVO],Tabla44[[#This Row],[ZONA DEFINITIVO]])," ")</f>
        <v xml:space="preserve"> </v>
      </c>
      <c r="AJ297" s="38"/>
      <c r="AK297" s="38"/>
      <c r="AL297" s="35"/>
      <c r="AM297" s="35">
        <f>VLOOKUP(Tabla44[[#This Row],[SERVICIO 2025]],$J$2:$V$15,5,0)*Tabla44[[#This Row],[TOTAL COBERTURA]]</f>
        <v>3085005</v>
      </c>
      <c r="AN297" s="35">
        <f>VLOOKUP(Tabla44[[#This Row],[SERVICIO 2025]],$J$2:$V$15,6,0)*Tabla44[[#This Row],[TOTAL COBERTURA]]</f>
        <v>2626505</v>
      </c>
      <c r="AO297" s="35">
        <f>VLOOKUP(Tabla44[[#This Row],[SERVICIO 2025]],$J$2:$V$15,8,0)*Tabla44[[#This Row],[TOTAL COBERTURA]]</f>
        <v>0</v>
      </c>
      <c r="AP297" s="35">
        <f>VLOOKUP(Tabla44[[#This Row],[SERVICIO 2025]],$J$2:$V$15,3,0)*Tabla44[[#This Row],[TOTAL COBERTURA]]*8</f>
        <v>140898240</v>
      </c>
      <c r="AQ297" s="35"/>
      <c r="AR297" s="35">
        <f>SUM(Tabla44[[#This Row],[VALOR FASE PREPARATORIA DE ALISTAMIENTO]:[VALOR RACION PREPARADA]])</f>
        <v>146609750</v>
      </c>
      <c r="AS297" s="35" t="str">
        <f>+IF(Tabla44[[#This Row],[AGRUPACIONES]]=1,SUMIFS(Tabla44[VALOR TOTAL],Tabla44[ZONA DEFINITIVO],Tabla44[[#This Row],[ZONA DEFINITIVO]])," ")</f>
        <v xml:space="preserve"> </v>
      </c>
      <c r="AT297" s="35">
        <f>VLOOKUP(Tabla44[[#This Row],[SERVICIO 2025]],$J$2:$V$15,10,0)*Tabla44[[#This Row],[TOTAL COBERTURA]]*$X$7</f>
        <v>0</v>
      </c>
      <c r="AU297" s="39">
        <f>Tabla44[[#This Row],[TOTAL CONTRATO (ICBF+EAS)]]+Tabla44[[#This Row],[VALOR COMPONENTE ALIMENTACION NO ASIGNADO]]</f>
        <v>146609750</v>
      </c>
      <c r="AV29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20697285</v>
      </c>
      <c r="AW297" s="35">
        <f>(VLOOKUP(Tabla44[[#This Row],[SERVICIO 2025]],$J$2:$V$15,3,0)*Tabla44[[#This Row],[TOTAL COBERTURA]])+VLOOKUP(Tabla44[[#This Row],[SERVICIO 2025]],$J$2:$V$15,10,0)*Tabla44[[#This Row],[TOTAL COBERTURA]]</f>
        <v>17612280</v>
      </c>
      <c r="AX297" s="35">
        <f>(VLOOKUP(Tabla44[[#This Row],[SERVICIO 2025]],$J$2:$V$15,3,0)*Tabla44[[#This Row],[TOTAL COBERTURA]])+VLOOKUP(Tabla44[[#This Row],[SERVICIO 2025]],$J$2:$V$15,10,0)*Tabla44[[#This Row],[TOTAL COBERTURA]]</f>
        <v>17612280</v>
      </c>
      <c r="AY297" s="35">
        <f>(VLOOKUP(Tabla44[[#This Row],[SERVICIO 2025]],$J$2:$V$15,3,0)*Tabla44[[#This Row],[TOTAL COBERTURA]])+VLOOKUP(Tabla44[[#This Row],[SERVICIO 2025]],$J$2:$V$15,10,0)*Tabla44[[#This Row],[TOTAL COBERTURA]]</f>
        <v>17612280</v>
      </c>
      <c r="AZ297" s="35">
        <f>(VLOOKUP(Tabla44[[#This Row],[SERVICIO 2025]],$J$2:$V$15,3,0)*Tabla44[[#This Row],[TOTAL COBERTURA]])+VLOOKUP(Tabla44[[#This Row],[SERVICIO 2025]],$J$2:$V$15,10,0)*Tabla44[[#This Row],[TOTAL COBERTURA]]</f>
        <v>17612280</v>
      </c>
      <c r="BA297" s="35">
        <f>(VLOOKUP(Tabla44[[#This Row],[SERVICIO 2025]],$J$2:$V$15,3,0)*Tabla44[[#This Row],[TOTAL COBERTURA]])+VLOOKUP(Tabla44[[#This Row],[SERVICIO 2025]],$J$2:$V$15,10,0)*Tabla44[[#This Row],[TOTAL COBERTURA]]</f>
        <v>17612280</v>
      </c>
      <c r="BB297" s="35">
        <f>(VLOOKUP(Tabla44[[#This Row],[SERVICIO 2025]],$J$2:$V$15,3,0)*Tabla44[[#This Row],[TOTAL COBERTURA]])+VLOOKUP(Tabla44[[#This Row],[SERVICIO 2025]],$J$2:$V$15,10,0)*Tabla44[[#This Row],[TOTAL COBERTURA]]</f>
        <v>17612280</v>
      </c>
      <c r="BC29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20238785</v>
      </c>
      <c r="BD297" s="35">
        <f>SUM(Tabla44[[#This Row],[DESEMBOLSO 1]:[DESEMBOLSO 8]])</f>
        <v>146609750</v>
      </c>
      <c r="BE297" s="12" t="b">
        <f>EXACT(Tabla44[[#This Row],[VALOR ATENCIÓN (8 MESES)]],Tabla44[[#This Row],[VALOR TOTAL]])</f>
        <v>1</v>
      </c>
      <c r="BF297" s="23">
        <f>Tabla44[[#This Row],[VALOR ATENCIÓN (8 MESES)]]-Tabla44[[#This Row],[VALOR TOTAL]]</f>
        <v>0</v>
      </c>
      <c r="BG297" s="12" t="b">
        <f>EXACT(Tabla44[[#This Row],[TOTAL DESEMBOLSOS]],Tabla44[[#This Row],[VALOR TOTAL DEL CONTRATO INCLUIDO EL COMPONENTE DE ALIMENTACIÓN]])</f>
        <v>1</v>
      </c>
      <c r="BH297" s="29">
        <f>Tabla44[[#This Row],[TOTAL DESEMBOLSOS]]-Tabla44[[#This Row],[VALOR TOTAL DEL CONTRATO INCLUIDO EL COMPONENTE DE ALIMENTACIÓN]]</f>
        <v>0</v>
      </c>
      <c r="BI297" t="s">
        <v>98</v>
      </c>
    </row>
    <row r="298" spans="1:61">
      <c r="A298" s="13">
        <v>1993</v>
      </c>
      <c r="B298" s="13"/>
      <c r="C298" s="12" t="s">
        <v>87</v>
      </c>
      <c r="D298" s="12" t="s">
        <v>1628</v>
      </c>
      <c r="E298" s="12" t="s">
        <v>3370</v>
      </c>
      <c r="F298" s="12" t="s">
        <v>21</v>
      </c>
      <c r="G298" s="12" t="s">
        <v>90</v>
      </c>
      <c r="H298" s="12" t="s">
        <v>1634</v>
      </c>
      <c r="I298" s="36">
        <v>58191148665</v>
      </c>
      <c r="J298" s="12" t="s">
        <v>3390</v>
      </c>
      <c r="K298" s="12">
        <v>1</v>
      </c>
      <c r="L298" s="12">
        <v>14</v>
      </c>
      <c r="M298" s="12"/>
      <c r="N298" s="13">
        <v>1993</v>
      </c>
      <c r="O298" s="12" t="s">
        <v>2850</v>
      </c>
      <c r="P298" s="12"/>
      <c r="Q298" s="12"/>
      <c r="R298" s="12" t="s">
        <v>94</v>
      </c>
      <c r="S298" s="12">
        <v>10</v>
      </c>
      <c r="T298" s="12">
        <v>818001449</v>
      </c>
      <c r="U298" s="12" t="s">
        <v>3247</v>
      </c>
      <c r="V298" s="12">
        <f>VLOOKUP(Tabla44[[#This Row],[ZONA DEFINITIVO]],[1]Hoja1!$A$1:$D$125,3,0)</f>
        <v>229940</v>
      </c>
      <c r="W298" s="12">
        <f>VLOOKUP(Tabla44[[#This Row],[ZONA DEFINITIVO]],[1]Hoja1!$A$1:$D$125,2,0)</f>
        <v>17259</v>
      </c>
      <c r="X298" s="12">
        <f>VLOOKUP(Tabla44[[#This Row],[ZONA DEFINITIVO]],[1]Hoja1!$A$1:$D$125,4,0)</f>
        <v>104625</v>
      </c>
      <c r="Y298" s="12" t="str">
        <f>+IF(Tabla44[[#This Row],[AGRUPACIONES]]=1,SUMIFS(Tabla44[UDS],Tabla44[ZONA DEFINITIVO],Tabla44[[#This Row],[ZONA DEFINITIVO]])," ")</f>
        <v xml:space="preserve"> </v>
      </c>
      <c r="Z298" s="12" t="str">
        <f>+IF(Tabla44[[#This Row],[AGRUPACIONES]]=1,SUMIFS(Tabla44[TOTAL COBERTURA],Tabla44[ZONA DEFINITIVO],Tabla44[[#This Row],[ZONA DEFINITIVO]])," ")</f>
        <v xml:space="preserve"> </v>
      </c>
      <c r="AA298" s="12"/>
      <c r="AB298" s="35">
        <v>21270270</v>
      </c>
      <c r="AC298" s="37">
        <v>0</v>
      </c>
      <c r="AD298" s="35">
        <f t="shared" si="5"/>
        <v>0</v>
      </c>
      <c r="AE298" s="12"/>
      <c r="AF298" s="12">
        <f>COUNTIF($A$20:A298,A298)</f>
        <v>77</v>
      </c>
      <c r="AG298" s="38">
        <v>21270270</v>
      </c>
      <c r="AH298" s="38">
        <f>Tabla44[[#This Row],[VALOR CONTRAPARTIDA]]+Tabla44[[#This Row],[TOTAL APORTES ICBF]]</f>
        <v>21270270</v>
      </c>
      <c r="AI298" s="35" t="str">
        <f>+IF(Tabla44[[#This Row],[AGRUPACIONES]]=1,SUMIFS(Tabla44[TOTAL APORTES ICBF],Tabla44[ZONA DEFINITIVO],Tabla44[[#This Row],[ZONA DEFINITIVO]])," ")</f>
        <v xml:space="preserve"> </v>
      </c>
      <c r="AJ298" s="38"/>
      <c r="AK298" s="38"/>
      <c r="AL298" s="35"/>
      <c r="AM298" s="35">
        <f>VLOOKUP(Tabla44[[#This Row],[SERVICIO 2025]],$J$2:$V$15,5,0)*Tabla44[[#This Row],[TOTAL COBERTURA]]</f>
        <v>654416</v>
      </c>
      <c r="AN298" s="35">
        <f>VLOOKUP(Tabla44[[#This Row],[SERVICIO 2025]],$J$2:$V$15,6,0)*Tabla44[[#This Row],[TOTAL COBERTURA]]</f>
        <v>529774</v>
      </c>
      <c r="AO298" s="35">
        <f>VLOOKUP(Tabla44[[#This Row],[SERVICIO 2025]],$J$2:$V$15,8,0)*Tabla44[[#This Row],[TOTAL COBERTURA]]</f>
        <v>0</v>
      </c>
      <c r="AP298" s="35">
        <f>VLOOKUP(Tabla44[[#This Row],[SERVICIO 2025]],$J$2:$V$15,3,0)*Tabla44[[#This Row],[TOTAL COBERTURA]]*8</f>
        <v>20086080</v>
      </c>
      <c r="AQ298" s="35"/>
      <c r="AR298" s="35">
        <f>SUM(Tabla44[[#This Row],[VALOR FASE PREPARATORIA DE ALISTAMIENTO]:[VALOR RACION PREPARADA]])</f>
        <v>21270270</v>
      </c>
      <c r="AS298" s="35" t="str">
        <f>+IF(Tabla44[[#This Row],[AGRUPACIONES]]=1,SUMIFS(Tabla44[VALOR TOTAL],Tabla44[ZONA DEFINITIVO],Tabla44[[#This Row],[ZONA DEFINITIVO]])," ")</f>
        <v xml:space="preserve"> </v>
      </c>
      <c r="AT298" s="35">
        <f>VLOOKUP(Tabla44[[#This Row],[SERVICIO 2025]],$J$2:$V$15,10,0)*Tabla44[[#This Row],[TOTAL COBERTURA]]*$X$7</f>
        <v>21091952</v>
      </c>
      <c r="AU298" s="39">
        <f>Tabla44[[#This Row],[TOTAL CONTRATO (ICBF+EAS)]]+Tabla44[[#This Row],[VALOR COMPONENTE ALIMENTACION NO ASIGNADO]]</f>
        <v>42362222</v>
      </c>
      <c r="AV29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5801670</v>
      </c>
      <c r="AW298" s="35">
        <f>(VLOOKUP(Tabla44[[#This Row],[SERVICIO 2025]],$J$2:$V$15,3,0)*Tabla44[[#This Row],[TOTAL COBERTURA]])+VLOOKUP(Tabla44[[#This Row],[SERVICIO 2025]],$J$2:$V$15,10,0)*Tabla44[[#This Row],[TOTAL COBERTURA]]</f>
        <v>5147254</v>
      </c>
      <c r="AX298" s="35">
        <f>(VLOOKUP(Tabla44[[#This Row],[SERVICIO 2025]],$J$2:$V$15,3,0)*Tabla44[[#This Row],[TOTAL COBERTURA]])+VLOOKUP(Tabla44[[#This Row],[SERVICIO 2025]],$J$2:$V$15,10,0)*Tabla44[[#This Row],[TOTAL COBERTURA]]</f>
        <v>5147254</v>
      </c>
      <c r="AY298" s="35">
        <f>(VLOOKUP(Tabla44[[#This Row],[SERVICIO 2025]],$J$2:$V$15,3,0)*Tabla44[[#This Row],[TOTAL COBERTURA]])+VLOOKUP(Tabla44[[#This Row],[SERVICIO 2025]],$J$2:$V$15,10,0)*Tabla44[[#This Row],[TOTAL COBERTURA]]</f>
        <v>5147254</v>
      </c>
      <c r="AZ298" s="35">
        <f>(VLOOKUP(Tabla44[[#This Row],[SERVICIO 2025]],$J$2:$V$15,3,0)*Tabla44[[#This Row],[TOTAL COBERTURA]])+VLOOKUP(Tabla44[[#This Row],[SERVICIO 2025]],$J$2:$V$15,10,0)*Tabla44[[#This Row],[TOTAL COBERTURA]]</f>
        <v>5147254</v>
      </c>
      <c r="BA298" s="35">
        <f>(VLOOKUP(Tabla44[[#This Row],[SERVICIO 2025]],$J$2:$V$15,3,0)*Tabla44[[#This Row],[TOTAL COBERTURA]])+VLOOKUP(Tabla44[[#This Row],[SERVICIO 2025]],$J$2:$V$15,10,0)*Tabla44[[#This Row],[TOTAL COBERTURA]]</f>
        <v>5147254</v>
      </c>
      <c r="BB298" s="35">
        <f>(VLOOKUP(Tabla44[[#This Row],[SERVICIO 2025]],$J$2:$V$15,3,0)*Tabla44[[#This Row],[TOTAL COBERTURA]])+VLOOKUP(Tabla44[[#This Row],[SERVICIO 2025]],$J$2:$V$15,10,0)*Tabla44[[#This Row],[TOTAL COBERTURA]]</f>
        <v>5147254</v>
      </c>
      <c r="BC29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5677028</v>
      </c>
      <c r="BD298" s="35">
        <f>SUM(Tabla44[[#This Row],[DESEMBOLSO 1]:[DESEMBOLSO 8]])</f>
        <v>42362222</v>
      </c>
      <c r="BE298" s="12" t="b">
        <f>EXACT(Tabla44[[#This Row],[VALOR ATENCIÓN (8 MESES)]],Tabla44[[#This Row],[VALOR TOTAL]])</f>
        <v>1</v>
      </c>
      <c r="BF298" s="23">
        <f>Tabla44[[#This Row],[VALOR ATENCIÓN (8 MESES)]]-Tabla44[[#This Row],[VALOR TOTAL]]</f>
        <v>0</v>
      </c>
      <c r="BG298" s="12" t="b">
        <f>EXACT(Tabla44[[#This Row],[TOTAL DESEMBOLSOS]],Tabla44[[#This Row],[VALOR TOTAL DEL CONTRATO INCLUIDO EL COMPONENTE DE ALIMENTACIÓN]])</f>
        <v>1</v>
      </c>
      <c r="BH298" s="29">
        <f>Tabla44[[#This Row],[TOTAL DESEMBOLSOS]]-Tabla44[[#This Row],[VALOR TOTAL DEL CONTRATO INCLUIDO EL COMPONENTE DE ALIMENTACIÓN]]</f>
        <v>0</v>
      </c>
      <c r="BI298" t="s">
        <v>98</v>
      </c>
    </row>
    <row r="299" spans="1:61">
      <c r="A299" s="13">
        <v>1993</v>
      </c>
      <c r="B299" s="13"/>
      <c r="C299" s="12" t="s">
        <v>87</v>
      </c>
      <c r="D299" s="12" t="s">
        <v>1628</v>
      </c>
      <c r="E299" s="12" t="s">
        <v>3370</v>
      </c>
      <c r="F299" s="12" t="s">
        <v>21</v>
      </c>
      <c r="G299" s="12" t="s">
        <v>90</v>
      </c>
      <c r="H299" s="12" t="s">
        <v>3391</v>
      </c>
      <c r="I299" s="36">
        <v>58191151873</v>
      </c>
      <c r="J299" s="12" t="s">
        <v>3392</v>
      </c>
      <c r="K299" s="12">
        <v>1</v>
      </c>
      <c r="L299" s="12">
        <v>15</v>
      </c>
      <c r="M299" s="12"/>
      <c r="N299" s="13">
        <v>1993</v>
      </c>
      <c r="O299" s="12" t="s">
        <v>2850</v>
      </c>
      <c r="P299" s="12"/>
      <c r="Q299" s="12"/>
      <c r="R299" s="12" t="s">
        <v>94</v>
      </c>
      <c r="S299" s="12">
        <v>10</v>
      </c>
      <c r="T299" s="12">
        <v>818001449</v>
      </c>
      <c r="U299" s="12" t="s">
        <v>3247</v>
      </c>
      <c r="V299" s="12">
        <f>VLOOKUP(Tabla44[[#This Row],[ZONA DEFINITIVO]],[1]Hoja1!$A$1:$D$125,3,0)</f>
        <v>229940</v>
      </c>
      <c r="W299" s="12">
        <f>VLOOKUP(Tabla44[[#This Row],[ZONA DEFINITIVO]],[1]Hoja1!$A$1:$D$125,2,0)</f>
        <v>17259</v>
      </c>
      <c r="X299" s="12">
        <f>VLOOKUP(Tabla44[[#This Row],[ZONA DEFINITIVO]],[1]Hoja1!$A$1:$D$125,4,0)</f>
        <v>104625</v>
      </c>
      <c r="Y299" s="12" t="str">
        <f>+IF(Tabla44[[#This Row],[AGRUPACIONES]]=1,SUMIFS(Tabla44[UDS],Tabla44[ZONA DEFINITIVO],Tabla44[[#This Row],[ZONA DEFINITIVO]])," ")</f>
        <v xml:space="preserve"> </v>
      </c>
      <c r="Z299" s="12" t="str">
        <f>+IF(Tabla44[[#This Row],[AGRUPACIONES]]=1,SUMIFS(Tabla44[TOTAL COBERTURA],Tabla44[ZONA DEFINITIVO],Tabla44[[#This Row],[ZONA DEFINITIVO]])," ")</f>
        <v xml:space="preserve"> </v>
      </c>
      <c r="AA299" s="12"/>
      <c r="AB299" s="35">
        <v>22789575</v>
      </c>
      <c r="AC299" s="37">
        <v>0</v>
      </c>
      <c r="AD299" s="35">
        <f t="shared" si="5"/>
        <v>0</v>
      </c>
      <c r="AE299" s="12"/>
      <c r="AF299" s="12">
        <f>COUNTIF($A$20:A299,A299)</f>
        <v>78</v>
      </c>
      <c r="AG299" s="38">
        <v>22789575</v>
      </c>
      <c r="AH299" s="38">
        <f>Tabla44[[#This Row],[VALOR CONTRAPARTIDA]]+Tabla44[[#This Row],[TOTAL APORTES ICBF]]</f>
        <v>22789575</v>
      </c>
      <c r="AI299" s="35" t="str">
        <f>+IF(Tabla44[[#This Row],[AGRUPACIONES]]=1,SUMIFS(Tabla44[TOTAL APORTES ICBF],Tabla44[ZONA DEFINITIVO],Tabla44[[#This Row],[ZONA DEFINITIVO]])," ")</f>
        <v xml:space="preserve"> </v>
      </c>
      <c r="AJ299" s="38"/>
      <c r="AK299" s="38"/>
      <c r="AL299" s="35"/>
      <c r="AM299" s="35">
        <f>VLOOKUP(Tabla44[[#This Row],[SERVICIO 2025]],$J$2:$V$15,5,0)*Tabla44[[#This Row],[TOTAL COBERTURA]]</f>
        <v>701160</v>
      </c>
      <c r="AN299" s="35">
        <f>VLOOKUP(Tabla44[[#This Row],[SERVICIO 2025]],$J$2:$V$15,6,0)*Tabla44[[#This Row],[TOTAL COBERTURA]]</f>
        <v>567615</v>
      </c>
      <c r="AO299" s="35">
        <f>VLOOKUP(Tabla44[[#This Row],[SERVICIO 2025]],$J$2:$V$15,8,0)*Tabla44[[#This Row],[TOTAL COBERTURA]]</f>
        <v>0</v>
      </c>
      <c r="AP299" s="35">
        <f>VLOOKUP(Tabla44[[#This Row],[SERVICIO 2025]],$J$2:$V$15,3,0)*Tabla44[[#This Row],[TOTAL COBERTURA]]*8</f>
        <v>21520800</v>
      </c>
      <c r="AQ299" s="35"/>
      <c r="AR299" s="35">
        <f>SUM(Tabla44[[#This Row],[VALOR FASE PREPARATORIA DE ALISTAMIENTO]:[VALOR RACION PREPARADA]])</f>
        <v>22789575</v>
      </c>
      <c r="AS299" s="35" t="str">
        <f>+IF(Tabla44[[#This Row],[AGRUPACIONES]]=1,SUMIFS(Tabla44[VALOR TOTAL],Tabla44[ZONA DEFINITIVO],Tabla44[[#This Row],[ZONA DEFINITIVO]])," ")</f>
        <v xml:space="preserve"> </v>
      </c>
      <c r="AT299" s="35">
        <f>VLOOKUP(Tabla44[[#This Row],[SERVICIO 2025]],$J$2:$V$15,10,0)*Tabla44[[#This Row],[TOTAL COBERTURA]]*$X$7</f>
        <v>22598520</v>
      </c>
      <c r="AU299" s="39">
        <f>Tabla44[[#This Row],[TOTAL CONTRATO (ICBF+EAS)]]+Tabla44[[#This Row],[VALOR COMPONENTE ALIMENTACION NO ASIGNADO]]</f>
        <v>45388095</v>
      </c>
      <c r="AV29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6216075</v>
      </c>
      <c r="AW299" s="35">
        <f>(VLOOKUP(Tabla44[[#This Row],[SERVICIO 2025]],$J$2:$V$15,3,0)*Tabla44[[#This Row],[TOTAL COBERTURA]])+VLOOKUP(Tabla44[[#This Row],[SERVICIO 2025]],$J$2:$V$15,10,0)*Tabla44[[#This Row],[TOTAL COBERTURA]]</f>
        <v>5514915</v>
      </c>
      <c r="AX299" s="35">
        <f>(VLOOKUP(Tabla44[[#This Row],[SERVICIO 2025]],$J$2:$V$15,3,0)*Tabla44[[#This Row],[TOTAL COBERTURA]])+VLOOKUP(Tabla44[[#This Row],[SERVICIO 2025]],$J$2:$V$15,10,0)*Tabla44[[#This Row],[TOTAL COBERTURA]]</f>
        <v>5514915</v>
      </c>
      <c r="AY299" s="35">
        <f>(VLOOKUP(Tabla44[[#This Row],[SERVICIO 2025]],$J$2:$V$15,3,0)*Tabla44[[#This Row],[TOTAL COBERTURA]])+VLOOKUP(Tabla44[[#This Row],[SERVICIO 2025]],$J$2:$V$15,10,0)*Tabla44[[#This Row],[TOTAL COBERTURA]]</f>
        <v>5514915</v>
      </c>
      <c r="AZ299" s="35">
        <f>(VLOOKUP(Tabla44[[#This Row],[SERVICIO 2025]],$J$2:$V$15,3,0)*Tabla44[[#This Row],[TOTAL COBERTURA]])+VLOOKUP(Tabla44[[#This Row],[SERVICIO 2025]],$J$2:$V$15,10,0)*Tabla44[[#This Row],[TOTAL COBERTURA]]</f>
        <v>5514915</v>
      </c>
      <c r="BA299" s="35">
        <f>(VLOOKUP(Tabla44[[#This Row],[SERVICIO 2025]],$J$2:$V$15,3,0)*Tabla44[[#This Row],[TOTAL COBERTURA]])+VLOOKUP(Tabla44[[#This Row],[SERVICIO 2025]],$J$2:$V$15,10,0)*Tabla44[[#This Row],[TOTAL COBERTURA]]</f>
        <v>5514915</v>
      </c>
      <c r="BB299" s="35">
        <f>(VLOOKUP(Tabla44[[#This Row],[SERVICIO 2025]],$J$2:$V$15,3,0)*Tabla44[[#This Row],[TOTAL COBERTURA]])+VLOOKUP(Tabla44[[#This Row],[SERVICIO 2025]],$J$2:$V$15,10,0)*Tabla44[[#This Row],[TOTAL COBERTURA]]</f>
        <v>5514915</v>
      </c>
      <c r="BC29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6082530</v>
      </c>
      <c r="BD299" s="35">
        <f>SUM(Tabla44[[#This Row],[DESEMBOLSO 1]:[DESEMBOLSO 8]])</f>
        <v>45388095</v>
      </c>
      <c r="BE299" s="12" t="b">
        <f>EXACT(Tabla44[[#This Row],[VALOR ATENCIÓN (8 MESES)]],Tabla44[[#This Row],[VALOR TOTAL]])</f>
        <v>1</v>
      </c>
      <c r="BF299" s="23">
        <f>Tabla44[[#This Row],[VALOR ATENCIÓN (8 MESES)]]-Tabla44[[#This Row],[VALOR TOTAL]]</f>
        <v>0</v>
      </c>
      <c r="BG299" s="12" t="b">
        <f>EXACT(Tabla44[[#This Row],[TOTAL DESEMBOLSOS]],Tabla44[[#This Row],[VALOR TOTAL DEL CONTRATO INCLUIDO EL COMPONENTE DE ALIMENTACIÓN]])</f>
        <v>1</v>
      </c>
      <c r="BH299" s="29">
        <f>Tabla44[[#This Row],[TOTAL DESEMBOLSOS]]-Tabla44[[#This Row],[VALOR TOTAL DEL CONTRATO INCLUIDO EL COMPONENTE DE ALIMENTACIÓN]]</f>
        <v>0</v>
      </c>
      <c r="BI299" t="s">
        <v>98</v>
      </c>
    </row>
    <row r="300" spans="1:61">
      <c r="A300" s="13">
        <v>1993</v>
      </c>
      <c r="B300" s="13"/>
      <c r="C300" s="12" t="s">
        <v>87</v>
      </c>
      <c r="D300" s="12" t="s">
        <v>1628</v>
      </c>
      <c r="E300" s="12" t="s">
        <v>3370</v>
      </c>
      <c r="F300" s="12" t="s">
        <v>18</v>
      </c>
      <c r="G300" s="12" t="s">
        <v>90</v>
      </c>
      <c r="H300" s="12" t="s">
        <v>569</v>
      </c>
      <c r="I300" s="36">
        <v>58191152818</v>
      </c>
      <c r="J300" s="12" t="s">
        <v>3393</v>
      </c>
      <c r="K300" s="12">
        <v>1</v>
      </c>
      <c r="L300" s="12">
        <v>11</v>
      </c>
      <c r="M300" s="12"/>
      <c r="N300" s="13">
        <v>1993</v>
      </c>
      <c r="O300" s="12" t="s">
        <v>2850</v>
      </c>
      <c r="P300" s="12"/>
      <c r="Q300" s="12"/>
      <c r="R300" s="12" t="s">
        <v>94</v>
      </c>
      <c r="S300" s="12">
        <v>10</v>
      </c>
      <c r="T300" s="12">
        <v>818001449</v>
      </c>
      <c r="U300" s="12" t="s">
        <v>3247</v>
      </c>
      <c r="V300" s="12">
        <f>VLOOKUP(Tabla44[[#This Row],[ZONA DEFINITIVO]],[1]Hoja1!$A$1:$D$125,3,0)</f>
        <v>229940</v>
      </c>
      <c r="W300" s="12">
        <f>VLOOKUP(Tabla44[[#This Row],[ZONA DEFINITIVO]],[1]Hoja1!$A$1:$D$125,2,0)</f>
        <v>17259</v>
      </c>
      <c r="X300" s="12">
        <f>VLOOKUP(Tabla44[[#This Row],[ZONA DEFINITIVO]],[1]Hoja1!$A$1:$D$125,4,0)</f>
        <v>104625</v>
      </c>
      <c r="Y300" s="12" t="str">
        <f>+IF(Tabla44[[#This Row],[AGRUPACIONES]]=1,SUMIFS(Tabla44[UDS],Tabla44[ZONA DEFINITIVO],Tabla44[[#This Row],[ZONA DEFINITIVO]])," ")</f>
        <v xml:space="preserve"> </v>
      </c>
      <c r="Z300" s="12" t="str">
        <f>+IF(Tabla44[[#This Row],[AGRUPACIONES]]=1,SUMIFS(Tabla44[TOTAL COBERTURA],Tabla44[ZONA DEFINITIVO],Tabla44[[#This Row],[ZONA DEFINITIVO]])," ")</f>
        <v xml:space="preserve"> </v>
      </c>
      <c r="AA300" s="12"/>
      <c r="AB300" s="35">
        <v>23982123</v>
      </c>
      <c r="AC300" s="37">
        <v>0</v>
      </c>
      <c r="AD300" s="35">
        <f t="shared" si="5"/>
        <v>0</v>
      </c>
      <c r="AE300" s="12"/>
      <c r="AF300" s="12">
        <f>COUNTIF($A$20:A300,A300)</f>
        <v>79</v>
      </c>
      <c r="AG300" s="38">
        <v>23982123</v>
      </c>
      <c r="AH300" s="38">
        <f>Tabla44[[#This Row],[VALOR CONTRAPARTIDA]]+Tabla44[[#This Row],[TOTAL APORTES ICBF]]</f>
        <v>23982123</v>
      </c>
      <c r="AI300" s="35" t="str">
        <f>+IF(Tabla44[[#This Row],[AGRUPACIONES]]=1,SUMIFS(Tabla44[TOTAL APORTES ICBF],Tabla44[ZONA DEFINITIVO],Tabla44[[#This Row],[ZONA DEFINITIVO]])," ")</f>
        <v xml:space="preserve"> </v>
      </c>
      <c r="AJ300" s="38"/>
      <c r="AK300" s="38"/>
      <c r="AL300" s="35"/>
      <c r="AM300" s="35">
        <f>VLOOKUP(Tabla44[[#This Row],[SERVICIO 2025]],$J$2:$V$15,5,0)*Tabla44[[#This Row],[TOTAL COBERTURA]]</f>
        <v>543136</v>
      </c>
      <c r="AN300" s="35">
        <f>VLOOKUP(Tabla44[[#This Row],[SERVICIO 2025]],$J$2:$V$15,6,0)*Tabla44[[#This Row],[TOTAL COBERTURA]]</f>
        <v>451319</v>
      </c>
      <c r="AO300" s="35">
        <f>VLOOKUP(Tabla44[[#This Row],[SERVICIO 2025]],$J$2:$V$15,8,0)*Tabla44[[#This Row],[TOTAL COBERTURA]]</f>
        <v>320100</v>
      </c>
      <c r="AP300" s="35">
        <f>VLOOKUP(Tabla44[[#This Row],[SERVICIO 2025]],$J$2:$V$15,3,0)*Tabla44[[#This Row],[TOTAL COBERTURA]]*8</f>
        <v>22667568</v>
      </c>
      <c r="AQ300" s="35"/>
      <c r="AR300" s="35">
        <f>SUM(Tabla44[[#This Row],[VALOR FASE PREPARATORIA DE ALISTAMIENTO]:[VALOR RACION PREPARADA]])</f>
        <v>23982123</v>
      </c>
      <c r="AS300" s="35" t="str">
        <f>+IF(Tabla44[[#This Row],[AGRUPACIONES]]=1,SUMIFS(Tabla44[VALOR TOTAL],Tabla44[ZONA DEFINITIVO],Tabla44[[#This Row],[ZONA DEFINITIVO]])," ")</f>
        <v xml:space="preserve"> </v>
      </c>
      <c r="AT300" s="35">
        <f>VLOOKUP(Tabla44[[#This Row],[SERVICIO 2025]],$J$2:$V$15,10,0)*Tabla44[[#This Row],[TOTAL COBERTURA]]*$X$7</f>
        <v>15873704</v>
      </c>
      <c r="AU300" s="39">
        <f>Tabla44[[#This Row],[TOTAL CONTRATO (ICBF+EAS)]]+Tabla44[[#This Row],[VALOR COMPONENTE ALIMENTACION NO ASIGNADO]]</f>
        <v>39855827</v>
      </c>
      <c r="AV30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300" s="35">
        <f>(VLOOKUP(Tabla44[[#This Row],[SERVICIO 2025]],$J$2:$V$15,3,0)*Tabla44[[#This Row],[TOTAL COBERTURA]])+VLOOKUP(Tabla44[[#This Row],[SERVICIO 2025]],$J$2:$V$15,10,0)*Tabla44[[#This Row],[TOTAL COBERTURA]]</f>
        <v>4817659</v>
      </c>
      <c r="AX300" s="35">
        <f>(VLOOKUP(Tabla44[[#This Row],[SERVICIO 2025]],$J$2:$V$15,3,0)*Tabla44[[#This Row],[TOTAL COBERTURA]])+VLOOKUP(Tabla44[[#This Row],[SERVICIO 2025]],$J$2:$V$15,10,0)*Tabla44[[#This Row],[TOTAL COBERTURA]]</f>
        <v>4817659</v>
      </c>
      <c r="AY300" s="35">
        <f>(VLOOKUP(Tabla44[[#This Row],[SERVICIO 2025]],$J$2:$V$15,3,0)*Tabla44[[#This Row],[TOTAL COBERTURA]])+VLOOKUP(Tabla44[[#This Row],[SERVICIO 2025]],$J$2:$V$15,10,0)*Tabla44[[#This Row],[TOTAL COBERTURA]]</f>
        <v>4817659</v>
      </c>
      <c r="AZ300" s="35">
        <f>(VLOOKUP(Tabla44[[#This Row],[SERVICIO 2025]],$J$2:$V$15,3,0)*Tabla44[[#This Row],[TOTAL COBERTURA]])+VLOOKUP(Tabla44[[#This Row],[SERVICIO 2025]],$J$2:$V$15,10,0)*Tabla44[[#This Row],[TOTAL COBERTURA]]</f>
        <v>4817659</v>
      </c>
      <c r="BA300" s="35">
        <f>(VLOOKUP(Tabla44[[#This Row],[SERVICIO 2025]],$J$2:$V$15,3,0)*Tabla44[[#This Row],[TOTAL COBERTURA]])+VLOOKUP(Tabla44[[#This Row],[SERVICIO 2025]],$J$2:$V$15,10,0)*Tabla44[[#This Row],[TOTAL COBERTURA]]</f>
        <v>4817659</v>
      </c>
      <c r="BB300" s="35">
        <f>(VLOOKUP(Tabla44[[#This Row],[SERVICIO 2025]],$J$2:$V$15,3,0)*Tabla44[[#This Row],[TOTAL COBERTURA]])+VLOOKUP(Tabla44[[#This Row],[SERVICIO 2025]],$J$2:$V$15,10,0)*Tabla44[[#This Row],[TOTAL COBERTURA]]</f>
        <v>4817659</v>
      </c>
      <c r="BC30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300" s="35">
        <f>SUM(Tabla44[[#This Row],[DESEMBOLSO 1]:[DESEMBOLSO 8]])</f>
        <v>39855827</v>
      </c>
      <c r="BE300" s="12" t="b">
        <f>EXACT(Tabla44[[#This Row],[VALOR ATENCIÓN (8 MESES)]],Tabla44[[#This Row],[VALOR TOTAL]])</f>
        <v>1</v>
      </c>
      <c r="BF300" s="23">
        <f>Tabla44[[#This Row],[VALOR ATENCIÓN (8 MESES)]]-Tabla44[[#This Row],[VALOR TOTAL]]</f>
        <v>0</v>
      </c>
      <c r="BG300" s="12" t="b">
        <f>EXACT(Tabla44[[#This Row],[TOTAL DESEMBOLSOS]],Tabla44[[#This Row],[VALOR TOTAL DEL CONTRATO INCLUIDO EL COMPONENTE DE ALIMENTACIÓN]])</f>
        <v>1</v>
      </c>
      <c r="BH300" s="29">
        <f>Tabla44[[#This Row],[TOTAL DESEMBOLSOS]]-Tabla44[[#This Row],[VALOR TOTAL DEL CONTRATO INCLUIDO EL COMPONENTE DE ALIMENTACIÓN]]</f>
        <v>0</v>
      </c>
      <c r="BI300" t="s">
        <v>98</v>
      </c>
    </row>
    <row r="301" spans="1:61">
      <c r="A301" s="13">
        <v>1993</v>
      </c>
      <c r="B301" s="13"/>
      <c r="C301" s="12" t="s">
        <v>87</v>
      </c>
      <c r="D301" s="12" t="s">
        <v>1628</v>
      </c>
      <c r="E301" s="12" t="s">
        <v>3370</v>
      </c>
      <c r="F301" s="12" t="s">
        <v>18</v>
      </c>
      <c r="G301" s="12" t="s">
        <v>90</v>
      </c>
      <c r="H301" s="12" t="s">
        <v>3394</v>
      </c>
      <c r="I301" s="36">
        <v>581900111680</v>
      </c>
      <c r="J301" s="12" t="s">
        <v>3395</v>
      </c>
      <c r="K301" s="12">
        <v>1</v>
      </c>
      <c r="L301" s="12">
        <v>10</v>
      </c>
      <c r="M301" s="12"/>
      <c r="N301" s="13">
        <v>1993</v>
      </c>
      <c r="O301" s="12" t="s">
        <v>2850</v>
      </c>
      <c r="P301" s="12"/>
      <c r="Q301" s="12"/>
      <c r="R301" s="12" t="s">
        <v>94</v>
      </c>
      <c r="S301" s="12">
        <v>10</v>
      </c>
      <c r="T301" s="12">
        <v>818001449</v>
      </c>
      <c r="U301" s="12" t="s">
        <v>3247</v>
      </c>
      <c r="V301" s="12">
        <f>VLOOKUP(Tabla44[[#This Row],[ZONA DEFINITIVO]],[1]Hoja1!$A$1:$D$125,3,0)</f>
        <v>229940</v>
      </c>
      <c r="W301" s="12">
        <f>VLOOKUP(Tabla44[[#This Row],[ZONA DEFINITIVO]],[1]Hoja1!$A$1:$D$125,2,0)</f>
        <v>17259</v>
      </c>
      <c r="X301" s="12">
        <f>VLOOKUP(Tabla44[[#This Row],[ZONA DEFINITIVO]],[1]Hoja1!$A$1:$D$125,4,0)</f>
        <v>104625</v>
      </c>
      <c r="Y301" s="12" t="str">
        <f>+IF(Tabla44[[#This Row],[AGRUPACIONES]]=1,SUMIFS(Tabla44[UDS],Tabla44[ZONA DEFINITIVO],Tabla44[[#This Row],[ZONA DEFINITIVO]])," ")</f>
        <v xml:space="preserve"> </v>
      </c>
      <c r="Z301" s="12" t="str">
        <f>+IF(Tabla44[[#This Row],[AGRUPACIONES]]=1,SUMIFS(Tabla44[TOTAL COBERTURA],Tabla44[ZONA DEFINITIVO],Tabla44[[#This Row],[ZONA DEFINITIVO]])," ")</f>
        <v xml:space="preserve"> </v>
      </c>
      <c r="AA301" s="12"/>
      <c r="AB301" s="35">
        <v>21801930</v>
      </c>
      <c r="AC301" s="37">
        <v>0</v>
      </c>
      <c r="AD301" s="35">
        <f t="shared" si="5"/>
        <v>0</v>
      </c>
      <c r="AE301" s="12"/>
      <c r="AF301" s="12">
        <f>COUNTIF($A$20:A301,A301)</f>
        <v>80</v>
      </c>
      <c r="AG301" s="38">
        <v>21801930</v>
      </c>
      <c r="AH301" s="38">
        <f>Tabla44[[#This Row],[VALOR CONTRAPARTIDA]]+Tabla44[[#This Row],[TOTAL APORTES ICBF]]</f>
        <v>21801930</v>
      </c>
      <c r="AI301" s="35" t="str">
        <f>+IF(Tabla44[[#This Row],[AGRUPACIONES]]=1,SUMIFS(Tabla44[TOTAL APORTES ICBF],Tabla44[ZONA DEFINITIVO],Tabla44[[#This Row],[ZONA DEFINITIVO]])," ")</f>
        <v xml:space="preserve"> </v>
      </c>
      <c r="AJ301" s="38"/>
      <c r="AK301" s="38"/>
      <c r="AL301" s="35"/>
      <c r="AM301" s="35">
        <f>VLOOKUP(Tabla44[[#This Row],[SERVICIO 2025]],$J$2:$V$15,5,0)*Tabla44[[#This Row],[TOTAL COBERTURA]]</f>
        <v>493760</v>
      </c>
      <c r="AN301" s="35">
        <f>VLOOKUP(Tabla44[[#This Row],[SERVICIO 2025]],$J$2:$V$15,6,0)*Tabla44[[#This Row],[TOTAL COBERTURA]]</f>
        <v>410290</v>
      </c>
      <c r="AO301" s="35">
        <f>VLOOKUP(Tabla44[[#This Row],[SERVICIO 2025]],$J$2:$V$15,8,0)*Tabla44[[#This Row],[TOTAL COBERTURA]]</f>
        <v>291000</v>
      </c>
      <c r="AP301" s="35">
        <f>VLOOKUP(Tabla44[[#This Row],[SERVICIO 2025]],$J$2:$V$15,3,0)*Tabla44[[#This Row],[TOTAL COBERTURA]]*8</f>
        <v>20606880</v>
      </c>
      <c r="AQ301" s="35"/>
      <c r="AR301" s="35">
        <f>SUM(Tabla44[[#This Row],[VALOR FASE PREPARATORIA DE ALISTAMIENTO]:[VALOR RACION PREPARADA]])</f>
        <v>21801930</v>
      </c>
      <c r="AS301" s="35" t="str">
        <f>+IF(Tabla44[[#This Row],[AGRUPACIONES]]=1,SUMIFS(Tabla44[VALOR TOTAL],Tabla44[ZONA DEFINITIVO],Tabla44[[#This Row],[ZONA DEFINITIVO]])," ")</f>
        <v xml:space="preserve"> </v>
      </c>
      <c r="AT301" s="35">
        <f>VLOOKUP(Tabla44[[#This Row],[SERVICIO 2025]],$J$2:$V$15,10,0)*Tabla44[[#This Row],[TOTAL COBERTURA]]*$X$7</f>
        <v>14430640</v>
      </c>
      <c r="AU301" s="39">
        <f>Tabla44[[#This Row],[TOTAL CONTRATO (ICBF+EAS)]]+Tabla44[[#This Row],[VALOR COMPONENTE ALIMENTACION NO ASIGNADO]]</f>
        <v>36232570</v>
      </c>
      <c r="AV30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301" s="35">
        <f>(VLOOKUP(Tabla44[[#This Row],[SERVICIO 2025]],$J$2:$V$15,3,0)*Tabla44[[#This Row],[TOTAL COBERTURA]])+VLOOKUP(Tabla44[[#This Row],[SERVICIO 2025]],$J$2:$V$15,10,0)*Tabla44[[#This Row],[TOTAL COBERTURA]]</f>
        <v>4379690</v>
      </c>
      <c r="AX301" s="35">
        <f>(VLOOKUP(Tabla44[[#This Row],[SERVICIO 2025]],$J$2:$V$15,3,0)*Tabla44[[#This Row],[TOTAL COBERTURA]])+VLOOKUP(Tabla44[[#This Row],[SERVICIO 2025]],$J$2:$V$15,10,0)*Tabla44[[#This Row],[TOTAL COBERTURA]]</f>
        <v>4379690</v>
      </c>
      <c r="AY301" s="35">
        <f>(VLOOKUP(Tabla44[[#This Row],[SERVICIO 2025]],$J$2:$V$15,3,0)*Tabla44[[#This Row],[TOTAL COBERTURA]])+VLOOKUP(Tabla44[[#This Row],[SERVICIO 2025]],$J$2:$V$15,10,0)*Tabla44[[#This Row],[TOTAL COBERTURA]]</f>
        <v>4379690</v>
      </c>
      <c r="AZ301" s="35">
        <f>(VLOOKUP(Tabla44[[#This Row],[SERVICIO 2025]],$J$2:$V$15,3,0)*Tabla44[[#This Row],[TOTAL COBERTURA]])+VLOOKUP(Tabla44[[#This Row],[SERVICIO 2025]],$J$2:$V$15,10,0)*Tabla44[[#This Row],[TOTAL COBERTURA]]</f>
        <v>4379690</v>
      </c>
      <c r="BA301" s="35">
        <f>(VLOOKUP(Tabla44[[#This Row],[SERVICIO 2025]],$J$2:$V$15,3,0)*Tabla44[[#This Row],[TOTAL COBERTURA]])+VLOOKUP(Tabla44[[#This Row],[SERVICIO 2025]],$J$2:$V$15,10,0)*Tabla44[[#This Row],[TOTAL COBERTURA]]</f>
        <v>4379690</v>
      </c>
      <c r="BB301" s="35">
        <f>(VLOOKUP(Tabla44[[#This Row],[SERVICIO 2025]],$J$2:$V$15,3,0)*Tabla44[[#This Row],[TOTAL COBERTURA]])+VLOOKUP(Tabla44[[#This Row],[SERVICIO 2025]],$J$2:$V$15,10,0)*Tabla44[[#This Row],[TOTAL COBERTURA]]</f>
        <v>4379690</v>
      </c>
      <c r="BC30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301" s="35">
        <f>SUM(Tabla44[[#This Row],[DESEMBOLSO 1]:[DESEMBOLSO 8]])</f>
        <v>36232570</v>
      </c>
      <c r="BE301" s="12" t="b">
        <f>EXACT(Tabla44[[#This Row],[VALOR ATENCIÓN (8 MESES)]],Tabla44[[#This Row],[VALOR TOTAL]])</f>
        <v>1</v>
      </c>
      <c r="BF301" s="23">
        <f>Tabla44[[#This Row],[VALOR ATENCIÓN (8 MESES)]]-Tabla44[[#This Row],[VALOR TOTAL]]</f>
        <v>0</v>
      </c>
      <c r="BG301" s="12" t="b">
        <f>EXACT(Tabla44[[#This Row],[TOTAL DESEMBOLSOS]],Tabla44[[#This Row],[VALOR TOTAL DEL CONTRATO INCLUIDO EL COMPONENTE DE ALIMENTACIÓN]])</f>
        <v>1</v>
      </c>
      <c r="BH301" s="29">
        <f>Tabla44[[#This Row],[TOTAL DESEMBOLSOS]]-Tabla44[[#This Row],[VALOR TOTAL DEL CONTRATO INCLUIDO EL COMPONENTE DE ALIMENTACIÓN]]</f>
        <v>0</v>
      </c>
      <c r="BI301" t="s">
        <v>98</v>
      </c>
    </row>
    <row r="302" spans="1:61">
      <c r="A302" s="13">
        <v>1995</v>
      </c>
      <c r="B302" s="13"/>
      <c r="C302" s="12" t="s">
        <v>87</v>
      </c>
      <c r="D302" s="12" t="s">
        <v>1293</v>
      </c>
      <c r="E302" s="12" t="s">
        <v>3396</v>
      </c>
      <c r="F302" s="12" t="s">
        <v>21</v>
      </c>
      <c r="G302" s="12" t="s">
        <v>90</v>
      </c>
      <c r="H302" s="12" t="s">
        <v>3397</v>
      </c>
      <c r="I302" s="36">
        <v>56491112175</v>
      </c>
      <c r="J302" s="12" t="s">
        <v>3398</v>
      </c>
      <c r="K302" s="12">
        <v>1</v>
      </c>
      <c r="L302" s="12">
        <v>43</v>
      </c>
      <c r="M302" s="12"/>
      <c r="N302" s="13">
        <v>1995</v>
      </c>
      <c r="O302" s="12" t="s">
        <v>2850</v>
      </c>
      <c r="P302" s="12"/>
      <c r="Q302" s="12"/>
      <c r="R302" s="12" t="s">
        <v>94</v>
      </c>
      <c r="S302" s="12">
        <v>10</v>
      </c>
      <c r="T302" s="12">
        <v>811013275</v>
      </c>
      <c r="U302" s="12" t="s">
        <v>1478</v>
      </c>
      <c r="V302" s="12">
        <f>VLOOKUP(Tabla44[[#This Row],[ZONA DEFINITIVO]],[1]Hoja1!$A$1:$D$125,3,0)</f>
        <v>229941</v>
      </c>
      <c r="W302" s="12">
        <f>VLOOKUP(Tabla44[[#This Row],[ZONA DEFINITIVO]],[1]Hoja1!$A$1:$D$125,2,0)</f>
        <v>17255</v>
      </c>
      <c r="X302" s="12">
        <f>VLOOKUP(Tabla44[[#This Row],[ZONA DEFINITIVO]],[1]Hoja1!$A$1:$D$125,4,0)</f>
        <v>104425</v>
      </c>
      <c r="Y302" s="12">
        <f>+IF(Tabla44[[#This Row],[AGRUPACIONES]]=1,SUMIFS(Tabla44[UDS],Tabla44[ZONA DEFINITIVO],Tabla44[[#This Row],[ZONA DEFINITIVO]])," ")</f>
        <v>19</v>
      </c>
      <c r="Z302" s="12">
        <f>+IF(Tabla44[[#This Row],[AGRUPACIONES]]=1,SUMIFS(Tabla44[TOTAL COBERTURA],Tabla44[ZONA DEFINITIVO],Tabla44[[#This Row],[ZONA DEFINITIVO]])," ")</f>
        <v>1086</v>
      </c>
      <c r="AA302" s="12"/>
      <c r="AB302" s="35">
        <v>65330115</v>
      </c>
      <c r="AC302" s="37">
        <v>0</v>
      </c>
      <c r="AD302" s="35">
        <f t="shared" si="5"/>
        <v>0</v>
      </c>
      <c r="AE302" s="12"/>
      <c r="AF302" s="12">
        <f>COUNTIF($A$20:A302,A302)</f>
        <v>1</v>
      </c>
      <c r="AG302" s="38">
        <v>65330115</v>
      </c>
      <c r="AH302" s="38">
        <f>Tabla44[[#This Row],[VALOR CONTRAPARTIDA]]+Tabla44[[#This Row],[TOTAL APORTES ICBF]]</f>
        <v>65330115</v>
      </c>
      <c r="AI302" s="35">
        <f>+IF(Tabla44[[#This Row],[AGRUPACIONES]]=1,SUMIFS(Tabla44[TOTAL APORTES ICBF],Tabla44[ZONA DEFINITIVO],Tabla44[[#This Row],[ZONA DEFINITIVO]])," ")</f>
        <v>3056412612</v>
      </c>
      <c r="AJ302" s="38">
        <f>ROUND(+IF(Tabla44[[#This Row],[AGRUPACIONES]]=1,SUMIFS(Tabla44[VALOR CONTRAPARTIDA],Tabla44[ZONA DEFINITIVO],Tabla44[[#This Row],[ZONA DEFINITIVO]])," "),0)</f>
        <v>0</v>
      </c>
      <c r="AK302" s="38">
        <f>Tabla44[[#This Row],[TOTAL APORTES ICBF AGRUPADO]]+Tabla44[[#This Row],[TOTAL CONTRAPARTIDA AGRUPADO]]</f>
        <v>3056412612</v>
      </c>
      <c r="AL302" s="35">
        <f>Tabla44[[#This Row],[TOTAL APORTES ICBF AGRUPADO]]/$AL$18</f>
        <v>2147.1110727081136</v>
      </c>
      <c r="AM302" s="35">
        <f>VLOOKUP(Tabla44[[#This Row],[SERVICIO 2025]],$J$2:$V$15,5,0)*Tabla44[[#This Row],[TOTAL COBERTURA]]</f>
        <v>2009992</v>
      </c>
      <c r="AN302" s="35">
        <f>VLOOKUP(Tabla44[[#This Row],[SERVICIO 2025]],$J$2:$V$15,6,0)*Tabla44[[#This Row],[TOTAL COBERTURA]]</f>
        <v>1627163</v>
      </c>
      <c r="AO302" s="35">
        <f>VLOOKUP(Tabla44[[#This Row],[SERVICIO 2025]],$J$2:$V$15,8,0)*Tabla44[[#This Row],[TOTAL COBERTURA]]</f>
        <v>0</v>
      </c>
      <c r="AP302" s="35">
        <f>VLOOKUP(Tabla44[[#This Row],[SERVICIO 2025]],$J$2:$V$15,3,0)*Tabla44[[#This Row],[TOTAL COBERTURA]]*8</f>
        <v>61692960</v>
      </c>
      <c r="AQ302" s="35"/>
      <c r="AR302" s="35">
        <f>SUM(Tabla44[[#This Row],[VALOR FASE PREPARATORIA DE ALISTAMIENTO]:[VALOR RACION PREPARADA]])</f>
        <v>65330115</v>
      </c>
      <c r="AS302" s="35">
        <f>+IF(Tabla44[[#This Row],[AGRUPACIONES]]=1,SUMIFS(Tabla44[VALOR TOTAL],Tabla44[ZONA DEFINITIVO],Tabla44[[#This Row],[ZONA DEFINITIVO]])," ")</f>
        <v>3056412612</v>
      </c>
      <c r="AT302" s="35">
        <f>VLOOKUP(Tabla44[[#This Row],[SERVICIO 2025]],$J$2:$V$15,10,0)*Tabla44[[#This Row],[TOTAL COBERTURA]]*$X$7</f>
        <v>64782424</v>
      </c>
      <c r="AU302" s="39">
        <f>Tabla44[[#This Row],[TOTAL CONTRATO (ICBF+EAS)]]+Tabla44[[#This Row],[VALOR COMPONENTE ALIMENTACION NO ASIGNADO]]</f>
        <v>130112539</v>
      </c>
      <c r="AV30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17819415</v>
      </c>
      <c r="AW302" s="35">
        <f>(VLOOKUP(Tabla44[[#This Row],[SERVICIO 2025]],$J$2:$V$15,3,0)*Tabla44[[#This Row],[TOTAL COBERTURA]])+VLOOKUP(Tabla44[[#This Row],[SERVICIO 2025]],$J$2:$V$15,10,0)*Tabla44[[#This Row],[TOTAL COBERTURA]]</f>
        <v>15809423</v>
      </c>
      <c r="AX302" s="35">
        <f>(VLOOKUP(Tabla44[[#This Row],[SERVICIO 2025]],$J$2:$V$15,3,0)*Tabla44[[#This Row],[TOTAL COBERTURA]])+VLOOKUP(Tabla44[[#This Row],[SERVICIO 2025]],$J$2:$V$15,10,0)*Tabla44[[#This Row],[TOTAL COBERTURA]]</f>
        <v>15809423</v>
      </c>
      <c r="AY302" s="35">
        <f>(VLOOKUP(Tabla44[[#This Row],[SERVICIO 2025]],$J$2:$V$15,3,0)*Tabla44[[#This Row],[TOTAL COBERTURA]])+VLOOKUP(Tabla44[[#This Row],[SERVICIO 2025]],$J$2:$V$15,10,0)*Tabla44[[#This Row],[TOTAL COBERTURA]]</f>
        <v>15809423</v>
      </c>
      <c r="AZ302" s="35">
        <f>(VLOOKUP(Tabla44[[#This Row],[SERVICIO 2025]],$J$2:$V$15,3,0)*Tabla44[[#This Row],[TOTAL COBERTURA]])+VLOOKUP(Tabla44[[#This Row],[SERVICIO 2025]],$J$2:$V$15,10,0)*Tabla44[[#This Row],[TOTAL COBERTURA]]</f>
        <v>15809423</v>
      </c>
      <c r="BA302" s="35">
        <f>(VLOOKUP(Tabla44[[#This Row],[SERVICIO 2025]],$J$2:$V$15,3,0)*Tabla44[[#This Row],[TOTAL COBERTURA]])+VLOOKUP(Tabla44[[#This Row],[SERVICIO 2025]],$J$2:$V$15,10,0)*Tabla44[[#This Row],[TOTAL COBERTURA]]</f>
        <v>15809423</v>
      </c>
      <c r="BB302" s="35">
        <f>(VLOOKUP(Tabla44[[#This Row],[SERVICIO 2025]],$J$2:$V$15,3,0)*Tabla44[[#This Row],[TOTAL COBERTURA]])+VLOOKUP(Tabla44[[#This Row],[SERVICIO 2025]],$J$2:$V$15,10,0)*Tabla44[[#This Row],[TOTAL COBERTURA]]</f>
        <v>15809423</v>
      </c>
      <c r="BC30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17436586</v>
      </c>
      <c r="BD302" s="35">
        <f>SUM(Tabla44[[#This Row],[DESEMBOLSO 1]:[DESEMBOLSO 8]])</f>
        <v>130112539</v>
      </c>
      <c r="BE302" s="12" t="b">
        <f>EXACT(Tabla44[[#This Row],[VALOR ATENCIÓN (8 MESES)]],Tabla44[[#This Row],[VALOR TOTAL]])</f>
        <v>1</v>
      </c>
      <c r="BF302" s="23">
        <f>Tabla44[[#This Row],[VALOR ATENCIÓN (8 MESES)]]-Tabla44[[#This Row],[VALOR TOTAL]]</f>
        <v>0</v>
      </c>
      <c r="BG302" s="12" t="b">
        <f>EXACT(Tabla44[[#This Row],[TOTAL DESEMBOLSOS]],Tabla44[[#This Row],[VALOR TOTAL DEL CONTRATO INCLUIDO EL COMPONENTE DE ALIMENTACIÓN]])</f>
        <v>1</v>
      </c>
      <c r="BH302" s="29">
        <f>Tabla44[[#This Row],[TOTAL DESEMBOLSOS]]-Tabla44[[#This Row],[VALOR TOTAL DEL CONTRATO INCLUIDO EL COMPONENTE DE ALIMENTACIÓN]]</f>
        <v>0</v>
      </c>
      <c r="BI302" t="s">
        <v>98</v>
      </c>
    </row>
    <row r="303" spans="1:61">
      <c r="A303" s="13">
        <v>1995</v>
      </c>
      <c r="B303" s="13"/>
      <c r="C303" s="12" t="s">
        <v>87</v>
      </c>
      <c r="D303" s="12" t="s">
        <v>1293</v>
      </c>
      <c r="E303" s="12" t="s">
        <v>3396</v>
      </c>
      <c r="F303" s="12" t="s">
        <v>21</v>
      </c>
      <c r="G303" s="12" t="s">
        <v>90</v>
      </c>
      <c r="H303" s="12" t="s">
        <v>3399</v>
      </c>
      <c r="I303" s="36">
        <v>56491112178</v>
      </c>
      <c r="J303" s="12" t="s">
        <v>3400</v>
      </c>
      <c r="K303" s="12">
        <v>1</v>
      </c>
      <c r="L303" s="12">
        <v>50</v>
      </c>
      <c r="M303" s="12"/>
      <c r="N303" s="13">
        <v>1995</v>
      </c>
      <c r="O303" s="12" t="s">
        <v>2850</v>
      </c>
      <c r="P303" s="12"/>
      <c r="Q303" s="12"/>
      <c r="R303" s="12" t="s">
        <v>94</v>
      </c>
      <c r="S303" s="12">
        <v>10</v>
      </c>
      <c r="T303" s="12">
        <v>811013275</v>
      </c>
      <c r="U303" s="12" t="s">
        <v>1478</v>
      </c>
      <c r="V303" s="12">
        <f>VLOOKUP(Tabla44[[#This Row],[ZONA DEFINITIVO]],[1]Hoja1!$A$1:$D$125,3,0)</f>
        <v>229941</v>
      </c>
      <c r="W303" s="12">
        <f>VLOOKUP(Tabla44[[#This Row],[ZONA DEFINITIVO]],[1]Hoja1!$A$1:$D$125,2,0)</f>
        <v>17255</v>
      </c>
      <c r="X303" s="12">
        <f>VLOOKUP(Tabla44[[#This Row],[ZONA DEFINITIVO]],[1]Hoja1!$A$1:$D$125,4,0)</f>
        <v>104425</v>
      </c>
      <c r="Y303" s="12" t="str">
        <f>+IF(Tabla44[[#This Row],[AGRUPACIONES]]=1,SUMIFS(Tabla44[UDS],Tabla44[ZONA DEFINITIVO],Tabla44[[#This Row],[ZONA DEFINITIVO]])," ")</f>
        <v xml:space="preserve"> </v>
      </c>
      <c r="Z303" s="12" t="str">
        <f>+IF(Tabla44[[#This Row],[AGRUPACIONES]]=1,SUMIFS(Tabla44[TOTAL COBERTURA],Tabla44[ZONA DEFINITIVO],Tabla44[[#This Row],[ZONA DEFINITIVO]])," ")</f>
        <v xml:space="preserve"> </v>
      </c>
      <c r="AA303" s="12"/>
      <c r="AB303" s="35">
        <v>75965250</v>
      </c>
      <c r="AC303" s="37">
        <v>0</v>
      </c>
      <c r="AD303" s="35">
        <f t="shared" si="5"/>
        <v>0</v>
      </c>
      <c r="AE303" s="12"/>
      <c r="AF303" s="12">
        <f>COUNTIF($A$20:A303,A303)</f>
        <v>2</v>
      </c>
      <c r="AG303" s="38">
        <v>75965250</v>
      </c>
      <c r="AH303" s="38">
        <f>Tabla44[[#This Row],[VALOR CONTRAPARTIDA]]+Tabla44[[#This Row],[TOTAL APORTES ICBF]]</f>
        <v>75965250</v>
      </c>
      <c r="AI303" s="35" t="str">
        <f>+IF(Tabla44[[#This Row],[AGRUPACIONES]]=1,SUMIFS(Tabla44[TOTAL APORTES ICBF],Tabla44[ZONA DEFINITIVO],Tabla44[[#This Row],[ZONA DEFINITIVO]])," ")</f>
        <v xml:space="preserve"> </v>
      </c>
      <c r="AJ303" s="38"/>
      <c r="AK303" s="38"/>
      <c r="AL303" s="35"/>
      <c r="AM303" s="35">
        <f>VLOOKUP(Tabla44[[#This Row],[SERVICIO 2025]],$J$2:$V$15,5,0)*Tabla44[[#This Row],[TOTAL COBERTURA]]</f>
        <v>2337200</v>
      </c>
      <c r="AN303" s="35">
        <f>VLOOKUP(Tabla44[[#This Row],[SERVICIO 2025]],$J$2:$V$15,6,0)*Tabla44[[#This Row],[TOTAL COBERTURA]]</f>
        <v>1892050</v>
      </c>
      <c r="AO303" s="35">
        <f>VLOOKUP(Tabla44[[#This Row],[SERVICIO 2025]],$J$2:$V$15,8,0)*Tabla44[[#This Row],[TOTAL COBERTURA]]</f>
        <v>0</v>
      </c>
      <c r="AP303" s="35">
        <f>VLOOKUP(Tabla44[[#This Row],[SERVICIO 2025]],$J$2:$V$15,3,0)*Tabla44[[#This Row],[TOTAL COBERTURA]]*8</f>
        <v>71736000</v>
      </c>
      <c r="AQ303" s="35"/>
      <c r="AR303" s="35">
        <f>SUM(Tabla44[[#This Row],[VALOR FASE PREPARATORIA DE ALISTAMIENTO]:[VALOR RACION PREPARADA]])</f>
        <v>75965250</v>
      </c>
      <c r="AS303" s="35" t="str">
        <f>+IF(Tabla44[[#This Row],[AGRUPACIONES]]=1,SUMIFS(Tabla44[VALOR TOTAL],Tabla44[ZONA DEFINITIVO],Tabla44[[#This Row],[ZONA DEFINITIVO]])," ")</f>
        <v xml:space="preserve"> </v>
      </c>
      <c r="AT303" s="35">
        <f>VLOOKUP(Tabla44[[#This Row],[SERVICIO 2025]],$J$2:$V$15,10,0)*Tabla44[[#This Row],[TOTAL COBERTURA]]*$X$7</f>
        <v>75328400</v>
      </c>
      <c r="AU303" s="39">
        <f>Tabla44[[#This Row],[TOTAL CONTRATO (ICBF+EAS)]]+Tabla44[[#This Row],[VALOR COMPONENTE ALIMENTACION NO ASIGNADO]]</f>
        <v>151293650</v>
      </c>
      <c r="AV30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20720250</v>
      </c>
      <c r="AW303" s="35">
        <f>(VLOOKUP(Tabla44[[#This Row],[SERVICIO 2025]],$J$2:$V$15,3,0)*Tabla44[[#This Row],[TOTAL COBERTURA]])+VLOOKUP(Tabla44[[#This Row],[SERVICIO 2025]],$J$2:$V$15,10,0)*Tabla44[[#This Row],[TOTAL COBERTURA]]</f>
        <v>18383050</v>
      </c>
      <c r="AX303" s="35">
        <f>(VLOOKUP(Tabla44[[#This Row],[SERVICIO 2025]],$J$2:$V$15,3,0)*Tabla44[[#This Row],[TOTAL COBERTURA]])+VLOOKUP(Tabla44[[#This Row],[SERVICIO 2025]],$J$2:$V$15,10,0)*Tabla44[[#This Row],[TOTAL COBERTURA]]</f>
        <v>18383050</v>
      </c>
      <c r="AY303" s="35">
        <f>(VLOOKUP(Tabla44[[#This Row],[SERVICIO 2025]],$J$2:$V$15,3,0)*Tabla44[[#This Row],[TOTAL COBERTURA]])+VLOOKUP(Tabla44[[#This Row],[SERVICIO 2025]],$J$2:$V$15,10,0)*Tabla44[[#This Row],[TOTAL COBERTURA]]</f>
        <v>18383050</v>
      </c>
      <c r="AZ303" s="35">
        <f>(VLOOKUP(Tabla44[[#This Row],[SERVICIO 2025]],$J$2:$V$15,3,0)*Tabla44[[#This Row],[TOTAL COBERTURA]])+VLOOKUP(Tabla44[[#This Row],[SERVICIO 2025]],$J$2:$V$15,10,0)*Tabla44[[#This Row],[TOTAL COBERTURA]]</f>
        <v>18383050</v>
      </c>
      <c r="BA303" s="35">
        <f>(VLOOKUP(Tabla44[[#This Row],[SERVICIO 2025]],$J$2:$V$15,3,0)*Tabla44[[#This Row],[TOTAL COBERTURA]])+VLOOKUP(Tabla44[[#This Row],[SERVICIO 2025]],$J$2:$V$15,10,0)*Tabla44[[#This Row],[TOTAL COBERTURA]]</f>
        <v>18383050</v>
      </c>
      <c r="BB303" s="35">
        <f>(VLOOKUP(Tabla44[[#This Row],[SERVICIO 2025]],$J$2:$V$15,3,0)*Tabla44[[#This Row],[TOTAL COBERTURA]])+VLOOKUP(Tabla44[[#This Row],[SERVICIO 2025]],$J$2:$V$15,10,0)*Tabla44[[#This Row],[TOTAL COBERTURA]]</f>
        <v>18383050</v>
      </c>
      <c r="BC30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20275100</v>
      </c>
      <c r="BD303" s="35">
        <f>SUM(Tabla44[[#This Row],[DESEMBOLSO 1]:[DESEMBOLSO 8]])</f>
        <v>151293650</v>
      </c>
      <c r="BE303" s="12" t="b">
        <f>EXACT(Tabla44[[#This Row],[VALOR ATENCIÓN (8 MESES)]],Tabla44[[#This Row],[VALOR TOTAL]])</f>
        <v>1</v>
      </c>
      <c r="BF303" s="23">
        <f>Tabla44[[#This Row],[VALOR ATENCIÓN (8 MESES)]]-Tabla44[[#This Row],[VALOR TOTAL]]</f>
        <v>0</v>
      </c>
      <c r="BG303" s="12" t="b">
        <f>EXACT(Tabla44[[#This Row],[TOTAL DESEMBOLSOS]],Tabla44[[#This Row],[VALOR TOTAL DEL CONTRATO INCLUIDO EL COMPONENTE DE ALIMENTACIÓN]])</f>
        <v>1</v>
      </c>
      <c r="BH303" s="29">
        <f>Tabla44[[#This Row],[TOTAL DESEMBOLSOS]]-Tabla44[[#This Row],[VALOR TOTAL DEL CONTRATO INCLUIDO EL COMPONENTE DE ALIMENTACIÓN]]</f>
        <v>0</v>
      </c>
      <c r="BI303" t="s">
        <v>98</v>
      </c>
    </row>
    <row r="304" spans="1:61">
      <c r="A304" s="13">
        <v>1995</v>
      </c>
      <c r="B304" s="13"/>
      <c r="C304" s="12" t="s">
        <v>87</v>
      </c>
      <c r="D304" s="12" t="s">
        <v>1293</v>
      </c>
      <c r="E304" s="12" t="s">
        <v>3396</v>
      </c>
      <c r="F304" s="12" t="s">
        <v>14</v>
      </c>
      <c r="G304" s="12" t="s">
        <v>90</v>
      </c>
      <c r="H304" s="12" t="s">
        <v>3401</v>
      </c>
      <c r="I304" s="36">
        <v>564900079931</v>
      </c>
      <c r="J304" s="12" t="s">
        <v>3402</v>
      </c>
      <c r="K304" s="12">
        <v>1</v>
      </c>
      <c r="L304" s="12">
        <v>118</v>
      </c>
      <c r="M304" s="12"/>
      <c r="N304" s="13">
        <v>1995</v>
      </c>
      <c r="O304" s="12" t="s">
        <v>2850</v>
      </c>
      <c r="P304" s="12"/>
      <c r="Q304" s="12"/>
      <c r="R304" s="12" t="s">
        <v>94</v>
      </c>
      <c r="S304" s="12">
        <v>10</v>
      </c>
      <c r="T304" s="12">
        <v>811013275</v>
      </c>
      <c r="U304" s="12" t="s">
        <v>1478</v>
      </c>
      <c r="V304" s="12">
        <f>VLOOKUP(Tabla44[[#This Row],[ZONA DEFINITIVO]],[1]Hoja1!$A$1:$D$125,3,0)</f>
        <v>229941</v>
      </c>
      <c r="W304" s="12">
        <f>VLOOKUP(Tabla44[[#This Row],[ZONA DEFINITIVO]],[1]Hoja1!$A$1:$D$125,2,0)</f>
        <v>17255</v>
      </c>
      <c r="X304" s="12">
        <f>VLOOKUP(Tabla44[[#This Row],[ZONA DEFINITIVO]],[1]Hoja1!$A$1:$D$125,4,0)</f>
        <v>104425</v>
      </c>
      <c r="Y304" s="12" t="str">
        <f>+IF(Tabla44[[#This Row],[AGRUPACIONES]]=1,SUMIFS(Tabla44[UDS],Tabla44[ZONA DEFINITIVO],Tabla44[[#This Row],[ZONA DEFINITIVO]])," ")</f>
        <v xml:space="preserve"> </v>
      </c>
      <c r="Z304" s="12" t="str">
        <f>+IF(Tabla44[[#This Row],[AGRUPACIONES]]=1,SUMIFS(Tabla44[TOTAL COBERTURA],Tabla44[ZONA DEFINITIVO],Tabla44[[#This Row],[ZONA DEFINITIVO]])," ")</f>
        <v xml:space="preserve"> </v>
      </c>
      <c r="AA304" s="12"/>
      <c r="AB304" s="35">
        <v>494284300</v>
      </c>
      <c r="AC304" s="37">
        <v>0</v>
      </c>
      <c r="AD304" s="35">
        <f t="shared" si="5"/>
        <v>0</v>
      </c>
      <c r="AE304" s="12"/>
      <c r="AF304" s="12">
        <f>COUNTIF($A$20:A304,A304)</f>
        <v>3</v>
      </c>
      <c r="AG304" s="38">
        <v>494284300</v>
      </c>
      <c r="AH304" s="38">
        <f>Tabla44[[#This Row],[VALOR CONTRAPARTIDA]]+Tabla44[[#This Row],[TOTAL APORTES ICBF]]</f>
        <v>494284300</v>
      </c>
      <c r="AI304" s="35" t="str">
        <f>+IF(Tabla44[[#This Row],[AGRUPACIONES]]=1,SUMIFS(Tabla44[TOTAL APORTES ICBF],Tabla44[ZONA DEFINITIVO],Tabla44[[#This Row],[ZONA DEFINITIVO]])," ")</f>
        <v xml:space="preserve"> </v>
      </c>
      <c r="AJ304" s="38"/>
      <c r="AK304" s="38"/>
      <c r="AL304" s="35"/>
      <c r="AM304" s="35">
        <f>VLOOKUP(Tabla44[[#This Row],[SERVICIO 2025]],$J$2:$V$15,5,0)*Tabla44[[#This Row],[TOTAL COBERTURA]]</f>
        <v>10400874</v>
      </c>
      <c r="AN304" s="35">
        <f>VLOOKUP(Tabla44[[#This Row],[SERVICIO 2025]],$J$2:$V$15,6,0)*Tabla44[[#This Row],[TOTAL COBERTURA]]</f>
        <v>8855074</v>
      </c>
      <c r="AO304" s="35">
        <f>VLOOKUP(Tabla44[[#This Row],[SERVICIO 2025]],$J$2:$V$15,8,0)*Tabla44[[#This Row],[TOTAL COBERTURA]]</f>
        <v>0</v>
      </c>
      <c r="AP304" s="35">
        <f>VLOOKUP(Tabla44[[#This Row],[SERVICIO 2025]],$J$2:$V$15,3,0)*Tabla44[[#This Row],[TOTAL COBERTURA]]*8</f>
        <v>475028352</v>
      </c>
      <c r="AQ304" s="35"/>
      <c r="AR304" s="35">
        <f>SUM(Tabla44[[#This Row],[VALOR FASE PREPARATORIA DE ALISTAMIENTO]:[VALOR RACION PREPARADA]])</f>
        <v>494284300</v>
      </c>
      <c r="AS304" s="35" t="str">
        <f>+IF(Tabla44[[#This Row],[AGRUPACIONES]]=1,SUMIFS(Tabla44[VALOR TOTAL],Tabla44[ZONA DEFINITIVO],Tabla44[[#This Row],[ZONA DEFINITIVO]])," ")</f>
        <v xml:space="preserve"> </v>
      </c>
      <c r="AT304" s="35">
        <f>VLOOKUP(Tabla44[[#This Row],[SERVICIO 2025]],$J$2:$V$15,10,0)*Tabla44[[#This Row],[TOTAL COBERTURA]]*$X$7</f>
        <v>0</v>
      </c>
      <c r="AU304" s="39">
        <f>Tabla44[[#This Row],[TOTAL CONTRATO (ICBF+EAS)]]+Tabla44[[#This Row],[VALOR COMPONENTE ALIMENTACION NO ASIGNADO]]</f>
        <v>494284300</v>
      </c>
      <c r="AV30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69779418</v>
      </c>
      <c r="AW304" s="35">
        <f>(VLOOKUP(Tabla44[[#This Row],[SERVICIO 2025]],$J$2:$V$15,3,0)*Tabla44[[#This Row],[TOTAL COBERTURA]])+VLOOKUP(Tabla44[[#This Row],[SERVICIO 2025]],$J$2:$V$15,10,0)*Tabla44[[#This Row],[TOTAL COBERTURA]]</f>
        <v>59378544</v>
      </c>
      <c r="AX304" s="35">
        <f>(VLOOKUP(Tabla44[[#This Row],[SERVICIO 2025]],$J$2:$V$15,3,0)*Tabla44[[#This Row],[TOTAL COBERTURA]])+VLOOKUP(Tabla44[[#This Row],[SERVICIO 2025]],$J$2:$V$15,10,0)*Tabla44[[#This Row],[TOTAL COBERTURA]]</f>
        <v>59378544</v>
      </c>
      <c r="AY304" s="35">
        <f>(VLOOKUP(Tabla44[[#This Row],[SERVICIO 2025]],$J$2:$V$15,3,0)*Tabla44[[#This Row],[TOTAL COBERTURA]])+VLOOKUP(Tabla44[[#This Row],[SERVICIO 2025]],$J$2:$V$15,10,0)*Tabla44[[#This Row],[TOTAL COBERTURA]]</f>
        <v>59378544</v>
      </c>
      <c r="AZ304" s="35">
        <f>(VLOOKUP(Tabla44[[#This Row],[SERVICIO 2025]],$J$2:$V$15,3,0)*Tabla44[[#This Row],[TOTAL COBERTURA]])+VLOOKUP(Tabla44[[#This Row],[SERVICIO 2025]],$J$2:$V$15,10,0)*Tabla44[[#This Row],[TOTAL COBERTURA]]</f>
        <v>59378544</v>
      </c>
      <c r="BA304" s="35">
        <f>(VLOOKUP(Tabla44[[#This Row],[SERVICIO 2025]],$J$2:$V$15,3,0)*Tabla44[[#This Row],[TOTAL COBERTURA]])+VLOOKUP(Tabla44[[#This Row],[SERVICIO 2025]],$J$2:$V$15,10,0)*Tabla44[[#This Row],[TOTAL COBERTURA]]</f>
        <v>59378544</v>
      </c>
      <c r="BB304" s="35">
        <f>(VLOOKUP(Tabla44[[#This Row],[SERVICIO 2025]],$J$2:$V$15,3,0)*Tabla44[[#This Row],[TOTAL COBERTURA]])+VLOOKUP(Tabla44[[#This Row],[SERVICIO 2025]],$J$2:$V$15,10,0)*Tabla44[[#This Row],[TOTAL COBERTURA]]</f>
        <v>59378544</v>
      </c>
      <c r="BC30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68233618</v>
      </c>
      <c r="BD304" s="35">
        <f>SUM(Tabla44[[#This Row],[DESEMBOLSO 1]:[DESEMBOLSO 8]])</f>
        <v>494284300</v>
      </c>
      <c r="BE304" s="12" t="b">
        <f>EXACT(Tabla44[[#This Row],[VALOR ATENCIÓN (8 MESES)]],Tabla44[[#This Row],[VALOR TOTAL]])</f>
        <v>1</v>
      </c>
      <c r="BF304" s="23">
        <f>Tabla44[[#This Row],[VALOR ATENCIÓN (8 MESES)]]-Tabla44[[#This Row],[VALOR TOTAL]]</f>
        <v>0</v>
      </c>
      <c r="BG304" s="12" t="b">
        <f>EXACT(Tabla44[[#This Row],[TOTAL DESEMBOLSOS]],Tabla44[[#This Row],[VALOR TOTAL DEL CONTRATO INCLUIDO EL COMPONENTE DE ALIMENTACIÓN]])</f>
        <v>1</v>
      </c>
      <c r="BH304" s="29">
        <f>Tabla44[[#This Row],[TOTAL DESEMBOLSOS]]-Tabla44[[#This Row],[VALOR TOTAL DEL CONTRATO INCLUIDO EL COMPONENTE DE ALIMENTACIÓN]]</f>
        <v>0</v>
      </c>
      <c r="BI304" t="s">
        <v>98</v>
      </c>
    </row>
    <row r="305" spans="1:61">
      <c r="A305" s="13">
        <v>1995</v>
      </c>
      <c r="B305" s="13"/>
      <c r="C305" s="12" t="s">
        <v>87</v>
      </c>
      <c r="D305" s="12" t="s">
        <v>1293</v>
      </c>
      <c r="E305" s="12" t="s">
        <v>3403</v>
      </c>
      <c r="F305" s="12" t="s">
        <v>18</v>
      </c>
      <c r="G305" s="12" t="s">
        <v>90</v>
      </c>
      <c r="H305" s="12" t="s">
        <v>3404</v>
      </c>
      <c r="I305" s="36">
        <v>56521135197</v>
      </c>
      <c r="J305" s="12" t="s">
        <v>3405</v>
      </c>
      <c r="K305" s="12">
        <v>1</v>
      </c>
      <c r="L305" s="12">
        <v>59</v>
      </c>
      <c r="M305" s="12"/>
      <c r="N305" s="13">
        <v>1995</v>
      </c>
      <c r="O305" s="12" t="s">
        <v>2850</v>
      </c>
      <c r="P305" s="12"/>
      <c r="Q305" s="12"/>
      <c r="R305" s="12" t="s">
        <v>94</v>
      </c>
      <c r="S305" s="12">
        <v>10</v>
      </c>
      <c r="T305" s="12">
        <v>811013275</v>
      </c>
      <c r="U305" s="12" t="s">
        <v>1478</v>
      </c>
      <c r="V305" s="12">
        <f>VLOOKUP(Tabla44[[#This Row],[ZONA DEFINITIVO]],[1]Hoja1!$A$1:$D$125,3,0)</f>
        <v>229941</v>
      </c>
      <c r="W305" s="12">
        <f>VLOOKUP(Tabla44[[#This Row],[ZONA DEFINITIVO]],[1]Hoja1!$A$1:$D$125,2,0)</f>
        <v>17255</v>
      </c>
      <c r="X305" s="12">
        <f>VLOOKUP(Tabla44[[#This Row],[ZONA DEFINITIVO]],[1]Hoja1!$A$1:$D$125,4,0)</f>
        <v>104425</v>
      </c>
      <c r="Y305" s="12" t="str">
        <f>+IF(Tabla44[[#This Row],[AGRUPACIONES]]=1,SUMIFS(Tabla44[UDS],Tabla44[ZONA DEFINITIVO],Tabla44[[#This Row],[ZONA DEFINITIVO]])," ")</f>
        <v xml:space="preserve"> </v>
      </c>
      <c r="Z305" s="12" t="str">
        <f>+IF(Tabla44[[#This Row],[AGRUPACIONES]]=1,SUMIFS(Tabla44[TOTAL COBERTURA],Tabla44[ZONA DEFINITIVO],Tabla44[[#This Row],[ZONA DEFINITIVO]])," ")</f>
        <v xml:space="preserve"> </v>
      </c>
      <c r="AA305" s="12"/>
      <c r="AB305" s="35">
        <v>128631387</v>
      </c>
      <c r="AC305" s="37">
        <v>0</v>
      </c>
      <c r="AD305" s="35">
        <f t="shared" si="5"/>
        <v>0</v>
      </c>
      <c r="AE305" s="12"/>
      <c r="AF305" s="12">
        <f>COUNTIF($A$20:A305,A305)</f>
        <v>4</v>
      </c>
      <c r="AG305" s="38">
        <v>128631387</v>
      </c>
      <c r="AH305" s="38">
        <f>Tabla44[[#This Row],[VALOR CONTRAPARTIDA]]+Tabla44[[#This Row],[TOTAL APORTES ICBF]]</f>
        <v>128631387</v>
      </c>
      <c r="AI305" s="35" t="str">
        <f>+IF(Tabla44[[#This Row],[AGRUPACIONES]]=1,SUMIFS(Tabla44[TOTAL APORTES ICBF],Tabla44[ZONA DEFINITIVO],Tabla44[[#This Row],[ZONA DEFINITIVO]])," ")</f>
        <v xml:space="preserve"> </v>
      </c>
      <c r="AJ305" s="38"/>
      <c r="AK305" s="38"/>
      <c r="AL305" s="35"/>
      <c r="AM305" s="35">
        <f>VLOOKUP(Tabla44[[#This Row],[SERVICIO 2025]],$J$2:$V$15,5,0)*Tabla44[[#This Row],[TOTAL COBERTURA]]</f>
        <v>2913184</v>
      </c>
      <c r="AN305" s="35">
        <f>VLOOKUP(Tabla44[[#This Row],[SERVICIO 2025]],$J$2:$V$15,6,0)*Tabla44[[#This Row],[TOTAL COBERTURA]]</f>
        <v>2420711</v>
      </c>
      <c r="AO305" s="35">
        <f>VLOOKUP(Tabla44[[#This Row],[SERVICIO 2025]],$J$2:$V$15,8,0)*Tabla44[[#This Row],[TOTAL COBERTURA]]</f>
        <v>1716900</v>
      </c>
      <c r="AP305" s="35">
        <f>VLOOKUP(Tabla44[[#This Row],[SERVICIO 2025]],$J$2:$V$15,3,0)*Tabla44[[#This Row],[TOTAL COBERTURA]]*8</f>
        <v>121580592</v>
      </c>
      <c r="AQ305" s="35"/>
      <c r="AR305" s="35">
        <f>SUM(Tabla44[[#This Row],[VALOR FASE PREPARATORIA DE ALISTAMIENTO]:[VALOR RACION PREPARADA]])</f>
        <v>128631387</v>
      </c>
      <c r="AS305" s="35" t="str">
        <f>+IF(Tabla44[[#This Row],[AGRUPACIONES]]=1,SUMIFS(Tabla44[VALOR TOTAL],Tabla44[ZONA DEFINITIVO],Tabla44[[#This Row],[ZONA DEFINITIVO]])," ")</f>
        <v xml:space="preserve"> </v>
      </c>
      <c r="AT305" s="35">
        <f>VLOOKUP(Tabla44[[#This Row],[SERVICIO 2025]],$J$2:$V$15,10,0)*Tabla44[[#This Row],[TOTAL COBERTURA]]*$X$7</f>
        <v>85140776</v>
      </c>
      <c r="AU305" s="39">
        <f>Tabla44[[#This Row],[TOTAL CONTRATO (ICBF+EAS)]]+Tabla44[[#This Row],[VALOR COMPONENTE ALIMENTACION NO ASIGNADO]]</f>
        <v>213772163</v>
      </c>
      <c r="AV30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30470255</v>
      </c>
      <c r="AW305" s="35">
        <f>(VLOOKUP(Tabla44[[#This Row],[SERVICIO 2025]],$J$2:$V$15,3,0)*Tabla44[[#This Row],[TOTAL COBERTURA]])+VLOOKUP(Tabla44[[#This Row],[SERVICIO 2025]],$J$2:$V$15,10,0)*Tabla44[[#This Row],[TOTAL COBERTURA]]</f>
        <v>25840171</v>
      </c>
      <c r="AX305" s="35">
        <f>(VLOOKUP(Tabla44[[#This Row],[SERVICIO 2025]],$J$2:$V$15,3,0)*Tabla44[[#This Row],[TOTAL COBERTURA]])+VLOOKUP(Tabla44[[#This Row],[SERVICIO 2025]],$J$2:$V$15,10,0)*Tabla44[[#This Row],[TOTAL COBERTURA]]</f>
        <v>25840171</v>
      </c>
      <c r="AY305" s="35">
        <f>(VLOOKUP(Tabla44[[#This Row],[SERVICIO 2025]],$J$2:$V$15,3,0)*Tabla44[[#This Row],[TOTAL COBERTURA]])+VLOOKUP(Tabla44[[#This Row],[SERVICIO 2025]],$J$2:$V$15,10,0)*Tabla44[[#This Row],[TOTAL COBERTURA]]</f>
        <v>25840171</v>
      </c>
      <c r="AZ305" s="35">
        <f>(VLOOKUP(Tabla44[[#This Row],[SERVICIO 2025]],$J$2:$V$15,3,0)*Tabla44[[#This Row],[TOTAL COBERTURA]])+VLOOKUP(Tabla44[[#This Row],[SERVICIO 2025]],$J$2:$V$15,10,0)*Tabla44[[#This Row],[TOTAL COBERTURA]]</f>
        <v>25840171</v>
      </c>
      <c r="BA305" s="35">
        <f>(VLOOKUP(Tabla44[[#This Row],[SERVICIO 2025]],$J$2:$V$15,3,0)*Tabla44[[#This Row],[TOTAL COBERTURA]])+VLOOKUP(Tabla44[[#This Row],[SERVICIO 2025]],$J$2:$V$15,10,0)*Tabla44[[#This Row],[TOTAL COBERTURA]]</f>
        <v>25840171</v>
      </c>
      <c r="BB305" s="35">
        <f>(VLOOKUP(Tabla44[[#This Row],[SERVICIO 2025]],$J$2:$V$15,3,0)*Tabla44[[#This Row],[TOTAL COBERTURA]])+VLOOKUP(Tabla44[[#This Row],[SERVICIO 2025]],$J$2:$V$15,10,0)*Tabla44[[#This Row],[TOTAL COBERTURA]]</f>
        <v>25840171</v>
      </c>
      <c r="BC30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28260882</v>
      </c>
      <c r="BD305" s="35">
        <f>SUM(Tabla44[[#This Row],[DESEMBOLSO 1]:[DESEMBOLSO 8]])</f>
        <v>213772163</v>
      </c>
      <c r="BE305" s="12" t="b">
        <f>EXACT(Tabla44[[#This Row],[VALOR ATENCIÓN (8 MESES)]],Tabla44[[#This Row],[VALOR TOTAL]])</f>
        <v>1</v>
      </c>
      <c r="BF305" s="23">
        <f>Tabla44[[#This Row],[VALOR ATENCIÓN (8 MESES)]]-Tabla44[[#This Row],[VALOR TOTAL]]</f>
        <v>0</v>
      </c>
      <c r="BG305" s="12" t="b">
        <f>EXACT(Tabla44[[#This Row],[TOTAL DESEMBOLSOS]],Tabla44[[#This Row],[VALOR TOTAL DEL CONTRATO INCLUIDO EL COMPONENTE DE ALIMENTACIÓN]])</f>
        <v>1</v>
      </c>
      <c r="BH305" s="29">
        <f>Tabla44[[#This Row],[TOTAL DESEMBOLSOS]]-Tabla44[[#This Row],[VALOR TOTAL DEL CONTRATO INCLUIDO EL COMPONENTE DE ALIMENTACIÓN]]</f>
        <v>0</v>
      </c>
      <c r="BI305" t="s">
        <v>98</v>
      </c>
    </row>
    <row r="306" spans="1:61">
      <c r="A306" s="13">
        <v>1995</v>
      </c>
      <c r="B306" s="13"/>
      <c r="C306" s="12" t="s">
        <v>87</v>
      </c>
      <c r="D306" s="12" t="s">
        <v>1293</v>
      </c>
      <c r="E306" s="12" t="s">
        <v>3403</v>
      </c>
      <c r="F306" s="12" t="s">
        <v>18</v>
      </c>
      <c r="G306" s="12" t="s">
        <v>90</v>
      </c>
      <c r="H306" s="12" t="s">
        <v>3406</v>
      </c>
      <c r="I306" s="36">
        <v>56521152810</v>
      </c>
      <c r="J306" s="12" t="s">
        <v>3407</v>
      </c>
      <c r="K306" s="12">
        <v>1</v>
      </c>
      <c r="L306" s="12">
        <v>48</v>
      </c>
      <c r="M306" s="12"/>
      <c r="N306" s="13">
        <v>1995</v>
      </c>
      <c r="O306" s="12" t="s">
        <v>2850</v>
      </c>
      <c r="P306" s="12"/>
      <c r="Q306" s="12"/>
      <c r="R306" s="12" t="s">
        <v>94</v>
      </c>
      <c r="S306" s="12">
        <v>10</v>
      </c>
      <c r="T306" s="12">
        <v>811013275</v>
      </c>
      <c r="U306" s="12" t="s">
        <v>1478</v>
      </c>
      <c r="V306" s="12">
        <f>VLOOKUP(Tabla44[[#This Row],[ZONA DEFINITIVO]],[1]Hoja1!$A$1:$D$125,3,0)</f>
        <v>229941</v>
      </c>
      <c r="W306" s="12">
        <f>VLOOKUP(Tabla44[[#This Row],[ZONA DEFINITIVO]],[1]Hoja1!$A$1:$D$125,2,0)</f>
        <v>17255</v>
      </c>
      <c r="X306" s="12">
        <f>VLOOKUP(Tabla44[[#This Row],[ZONA DEFINITIVO]],[1]Hoja1!$A$1:$D$125,4,0)</f>
        <v>104425</v>
      </c>
      <c r="Y306" s="12" t="str">
        <f>+IF(Tabla44[[#This Row],[AGRUPACIONES]]=1,SUMIFS(Tabla44[UDS],Tabla44[ZONA DEFINITIVO],Tabla44[[#This Row],[ZONA DEFINITIVO]])," ")</f>
        <v xml:space="preserve"> </v>
      </c>
      <c r="Z306" s="12" t="str">
        <f>+IF(Tabla44[[#This Row],[AGRUPACIONES]]=1,SUMIFS(Tabla44[TOTAL COBERTURA],Tabla44[ZONA DEFINITIVO],Tabla44[[#This Row],[ZONA DEFINITIVO]])," ")</f>
        <v xml:space="preserve"> </v>
      </c>
      <c r="AA306" s="12"/>
      <c r="AB306" s="35">
        <v>104649264</v>
      </c>
      <c r="AC306" s="37">
        <v>0</v>
      </c>
      <c r="AD306" s="35">
        <f t="shared" si="5"/>
        <v>0</v>
      </c>
      <c r="AE306" s="12"/>
      <c r="AF306" s="12">
        <f>COUNTIF($A$20:A306,A306)</f>
        <v>5</v>
      </c>
      <c r="AG306" s="38">
        <v>104649264</v>
      </c>
      <c r="AH306" s="38">
        <f>Tabla44[[#This Row],[VALOR CONTRAPARTIDA]]+Tabla44[[#This Row],[TOTAL APORTES ICBF]]</f>
        <v>104649264</v>
      </c>
      <c r="AI306" s="35" t="str">
        <f>+IF(Tabla44[[#This Row],[AGRUPACIONES]]=1,SUMIFS(Tabla44[TOTAL APORTES ICBF],Tabla44[ZONA DEFINITIVO],Tabla44[[#This Row],[ZONA DEFINITIVO]])," ")</f>
        <v xml:space="preserve"> </v>
      </c>
      <c r="AJ306" s="38"/>
      <c r="AK306" s="38"/>
      <c r="AL306" s="35"/>
      <c r="AM306" s="35">
        <f>VLOOKUP(Tabla44[[#This Row],[SERVICIO 2025]],$J$2:$V$15,5,0)*Tabla44[[#This Row],[TOTAL COBERTURA]]</f>
        <v>2370048</v>
      </c>
      <c r="AN306" s="35">
        <f>VLOOKUP(Tabla44[[#This Row],[SERVICIO 2025]],$J$2:$V$15,6,0)*Tabla44[[#This Row],[TOTAL COBERTURA]]</f>
        <v>1969392</v>
      </c>
      <c r="AO306" s="35">
        <f>VLOOKUP(Tabla44[[#This Row],[SERVICIO 2025]],$J$2:$V$15,8,0)*Tabla44[[#This Row],[TOTAL COBERTURA]]</f>
        <v>1396800</v>
      </c>
      <c r="AP306" s="35">
        <f>VLOOKUP(Tabla44[[#This Row],[SERVICIO 2025]],$J$2:$V$15,3,0)*Tabla44[[#This Row],[TOTAL COBERTURA]]*8</f>
        <v>98913024</v>
      </c>
      <c r="AQ306" s="35"/>
      <c r="AR306" s="35">
        <f>SUM(Tabla44[[#This Row],[VALOR FASE PREPARATORIA DE ALISTAMIENTO]:[VALOR RACION PREPARADA]])</f>
        <v>104649264</v>
      </c>
      <c r="AS306" s="35" t="str">
        <f>+IF(Tabla44[[#This Row],[AGRUPACIONES]]=1,SUMIFS(Tabla44[VALOR TOTAL],Tabla44[ZONA DEFINITIVO],Tabla44[[#This Row],[ZONA DEFINITIVO]])," ")</f>
        <v xml:space="preserve"> </v>
      </c>
      <c r="AT306" s="35">
        <f>VLOOKUP(Tabla44[[#This Row],[SERVICIO 2025]],$J$2:$V$15,10,0)*Tabla44[[#This Row],[TOTAL COBERTURA]]*$X$7</f>
        <v>69267072</v>
      </c>
      <c r="AU306" s="39">
        <f>Tabla44[[#This Row],[TOTAL CONTRATO (ICBF+EAS)]]+Tabla44[[#This Row],[VALOR COMPONENTE ALIMENTACION NO ASIGNADO]]</f>
        <v>173916336</v>
      </c>
      <c r="AV30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24789360</v>
      </c>
      <c r="AW306" s="35">
        <f>(VLOOKUP(Tabla44[[#This Row],[SERVICIO 2025]],$J$2:$V$15,3,0)*Tabla44[[#This Row],[TOTAL COBERTURA]])+VLOOKUP(Tabla44[[#This Row],[SERVICIO 2025]],$J$2:$V$15,10,0)*Tabla44[[#This Row],[TOTAL COBERTURA]]</f>
        <v>21022512</v>
      </c>
      <c r="AX306" s="35">
        <f>(VLOOKUP(Tabla44[[#This Row],[SERVICIO 2025]],$J$2:$V$15,3,0)*Tabla44[[#This Row],[TOTAL COBERTURA]])+VLOOKUP(Tabla44[[#This Row],[SERVICIO 2025]],$J$2:$V$15,10,0)*Tabla44[[#This Row],[TOTAL COBERTURA]]</f>
        <v>21022512</v>
      </c>
      <c r="AY306" s="35">
        <f>(VLOOKUP(Tabla44[[#This Row],[SERVICIO 2025]],$J$2:$V$15,3,0)*Tabla44[[#This Row],[TOTAL COBERTURA]])+VLOOKUP(Tabla44[[#This Row],[SERVICIO 2025]],$J$2:$V$15,10,0)*Tabla44[[#This Row],[TOTAL COBERTURA]]</f>
        <v>21022512</v>
      </c>
      <c r="AZ306" s="35">
        <f>(VLOOKUP(Tabla44[[#This Row],[SERVICIO 2025]],$J$2:$V$15,3,0)*Tabla44[[#This Row],[TOTAL COBERTURA]])+VLOOKUP(Tabla44[[#This Row],[SERVICIO 2025]],$J$2:$V$15,10,0)*Tabla44[[#This Row],[TOTAL COBERTURA]]</f>
        <v>21022512</v>
      </c>
      <c r="BA306" s="35">
        <f>(VLOOKUP(Tabla44[[#This Row],[SERVICIO 2025]],$J$2:$V$15,3,0)*Tabla44[[#This Row],[TOTAL COBERTURA]])+VLOOKUP(Tabla44[[#This Row],[SERVICIO 2025]],$J$2:$V$15,10,0)*Tabla44[[#This Row],[TOTAL COBERTURA]]</f>
        <v>21022512</v>
      </c>
      <c r="BB306" s="35">
        <f>(VLOOKUP(Tabla44[[#This Row],[SERVICIO 2025]],$J$2:$V$15,3,0)*Tabla44[[#This Row],[TOTAL COBERTURA]])+VLOOKUP(Tabla44[[#This Row],[SERVICIO 2025]],$J$2:$V$15,10,0)*Tabla44[[#This Row],[TOTAL COBERTURA]]</f>
        <v>21022512</v>
      </c>
      <c r="BC30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22991904</v>
      </c>
      <c r="BD306" s="35">
        <f>SUM(Tabla44[[#This Row],[DESEMBOLSO 1]:[DESEMBOLSO 8]])</f>
        <v>173916336</v>
      </c>
      <c r="BE306" s="12" t="b">
        <f>EXACT(Tabla44[[#This Row],[VALOR ATENCIÓN (8 MESES)]],Tabla44[[#This Row],[VALOR TOTAL]])</f>
        <v>1</v>
      </c>
      <c r="BF306" s="23">
        <f>Tabla44[[#This Row],[VALOR ATENCIÓN (8 MESES)]]-Tabla44[[#This Row],[VALOR TOTAL]]</f>
        <v>0</v>
      </c>
      <c r="BG306" s="12" t="b">
        <f>EXACT(Tabla44[[#This Row],[TOTAL DESEMBOLSOS]],Tabla44[[#This Row],[VALOR TOTAL DEL CONTRATO INCLUIDO EL COMPONENTE DE ALIMENTACIÓN]])</f>
        <v>1</v>
      </c>
      <c r="BH306" s="29">
        <f>Tabla44[[#This Row],[TOTAL DESEMBOLSOS]]-Tabla44[[#This Row],[VALOR TOTAL DEL CONTRATO INCLUIDO EL COMPONENTE DE ALIMENTACIÓN]]</f>
        <v>0</v>
      </c>
      <c r="BI306" t="s">
        <v>98</v>
      </c>
    </row>
    <row r="307" spans="1:61">
      <c r="A307" s="13">
        <v>1995</v>
      </c>
      <c r="B307" s="13"/>
      <c r="C307" s="12" t="s">
        <v>87</v>
      </c>
      <c r="D307" s="12" t="s">
        <v>1293</v>
      </c>
      <c r="E307" s="12" t="s">
        <v>3403</v>
      </c>
      <c r="F307" s="12" t="s">
        <v>14</v>
      </c>
      <c r="G307" s="12" t="s">
        <v>90</v>
      </c>
      <c r="H307" s="12" t="s">
        <v>3408</v>
      </c>
      <c r="I307" s="36">
        <v>565200023842</v>
      </c>
      <c r="J307" s="12" t="s">
        <v>3409</v>
      </c>
      <c r="K307" s="12">
        <v>1</v>
      </c>
      <c r="L307" s="12">
        <v>85</v>
      </c>
      <c r="M307" s="12"/>
      <c r="N307" s="13">
        <v>1995</v>
      </c>
      <c r="O307" s="12" t="s">
        <v>2850</v>
      </c>
      <c r="P307" s="12"/>
      <c r="Q307" s="12"/>
      <c r="R307" s="12" t="s">
        <v>94</v>
      </c>
      <c r="S307" s="12">
        <v>10</v>
      </c>
      <c r="T307" s="12">
        <v>811013275</v>
      </c>
      <c r="U307" s="12" t="s">
        <v>1478</v>
      </c>
      <c r="V307" s="12">
        <f>VLOOKUP(Tabla44[[#This Row],[ZONA DEFINITIVO]],[1]Hoja1!$A$1:$D$125,3,0)</f>
        <v>229941</v>
      </c>
      <c r="W307" s="12">
        <f>VLOOKUP(Tabla44[[#This Row],[ZONA DEFINITIVO]],[1]Hoja1!$A$1:$D$125,2,0)</f>
        <v>17255</v>
      </c>
      <c r="X307" s="12">
        <f>VLOOKUP(Tabla44[[#This Row],[ZONA DEFINITIVO]],[1]Hoja1!$A$1:$D$125,4,0)</f>
        <v>104425</v>
      </c>
      <c r="Y307" s="12" t="str">
        <f>+IF(Tabla44[[#This Row],[AGRUPACIONES]]=1,SUMIFS(Tabla44[UDS],Tabla44[ZONA DEFINITIVO],Tabla44[[#This Row],[ZONA DEFINITIVO]])," ")</f>
        <v xml:space="preserve"> </v>
      </c>
      <c r="Z307" s="12" t="str">
        <f>+IF(Tabla44[[#This Row],[AGRUPACIONES]]=1,SUMIFS(Tabla44[TOTAL COBERTURA],Tabla44[ZONA DEFINITIVO],Tabla44[[#This Row],[ZONA DEFINITIVO]])," ")</f>
        <v xml:space="preserve"> </v>
      </c>
      <c r="AA307" s="12"/>
      <c r="AB307" s="35">
        <v>356052250</v>
      </c>
      <c r="AC307" s="37">
        <v>0</v>
      </c>
      <c r="AD307" s="35">
        <f t="shared" si="5"/>
        <v>0</v>
      </c>
      <c r="AE307" s="12"/>
      <c r="AF307" s="12">
        <f>COUNTIF($A$20:A307,A307)</f>
        <v>6</v>
      </c>
      <c r="AG307" s="38">
        <v>356052250</v>
      </c>
      <c r="AH307" s="38">
        <f>Tabla44[[#This Row],[VALOR CONTRAPARTIDA]]+Tabla44[[#This Row],[TOTAL APORTES ICBF]]</f>
        <v>356052250</v>
      </c>
      <c r="AI307" s="35" t="str">
        <f>+IF(Tabla44[[#This Row],[AGRUPACIONES]]=1,SUMIFS(Tabla44[TOTAL APORTES ICBF],Tabla44[ZONA DEFINITIVO],Tabla44[[#This Row],[ZONA DEFINITIVO]])," ")</f>
        <v xml:space="preserve"> </v>
      </c>
      <c r="AJ307" s="38"/>
      <c r="AK307" s="38"/>
      <c r="AL307" s="35"/>
      <c r="AM307" s="35">
        <f>VLOOKUP(Tabla44[[#This Row],[SERVICIO 2025]],$J$2:$V$15,5,0)*Tabla44[[#This Row],[TOTAL COBERTURA]]</f>
        <v>7492155</v>
      </c>
      <c r="AN307" s="35">
        <f>VLOOKUP(Tabla44[[#This Row],[SERVICIO 2025]],$J$2:$V$15,6,0)*Tabla44[[#This Row],[TOTAL COBERTURA]]</f>
        <v>6378655</v>
      </c>
      <c r="AO307" s="35">
        <f>VLOOKUP(Tabla44[[#This Row],[SERVICIO 2025]],$J$2:$V$15,8,0)*Tabla44[[#This Row],[TOTAL COBERTURA]]</f>
        <v>0</v>
      </c>
      <c r="AP307" s="35">
        <f>VLOOKUP(Tabla44[[#This Row],[SERVICIO 2025]],$J$2:$V$15,3,0)*Tabla44[[#This Row],[TOTAL COBERTURA]]*8</f>
        <v>342181440</v>
      </c>
      <c r="AQ307" s="35"/>
      <c r="AR307" s="35">
        <f>SUM(Tabla44[[#This Row],[VALOR FASE PREPARATORIA DE ALISTAMIENTO]:[VALOR RACION PREPARADA]])</f>
        <v>356052250</v>
      </c>
      <c r="AS307" s="35" t="str">
        <f>+IF(Tabla44[[#This Row],[AGRUPACIONES]]=1,SUMIFS(Tabla44[VALOR TOTAL],Tabla44[ZONA DEFINITIVO],Tabla44[[#This Row],[ZONA DEFINITIVO]])," ")</f>
        <v xml:space="preserve"> </v>
      </c>
      <c r="AT307" s="35">
        <f>VLOOKUP(Tabla44[[#This Row],[SERVICIO 2025]],$J$2:$V$15,10,0)*Tabla44[[#This Row],[TOTAL COBERTURA]]*$X$7</f>
        <v>0</v>
      </c>
      <c r="AU307" s="39">
        <f>Tabla44[[#This Row],[TOTAL CONTRATO (ICBF+EAS)]]+Tabla44[[#This Row],[VALOR COMPONENTE ALIMENTACION NO ASIGNADO]]</f>
        <v>356052250</v>
      </c>
      <c r="AV30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50264835</v>
      </c>
      <c r="AW307" s="35">
        <f>(VLOOKUP(Tabla44[[#This Row],[SERVICIO 2025]],$J$2:$V$15,3,0)*Tabla44[[#This Row],[TOTAL COBERTURA]])+VLOOKUP(Tabla44[[#This Row],[SERVICIO 2025]],$J$2:$V$15,10,0)*Tabla44[[#This Row],[TOTAL COBERTURA]]</f>
        <v>42772680</v>
      </c>
      <c r="AX307" s="35">
        <f>(VLOOKUP(Tabla44[[#This Row],[SERVICIO 2025]],$J$2:$V$15,3,0)*Tabla44[[#This Row],[TOTAL COBERTURA]])+VLOOKUP(Tabla44[[#This Row],[SERVICIO 2025]],$J$2:$V$15,10,0)*Tabla44[[#This Row],[TOTAL COBERTURA]]</f>
        <v>42772680</v>
      </c>
      <c r="AY307" s="35">
        <f>(VLOOKUP(Tabla44[[#This Row],[SERVICIO 2025]],$J$2:$V$15,3,0)*Tabla44[[#This Row],[TOTAL COBERTURA]])+VLOOKUP(Tabla44[[#This Row],[SERVICIO 2025]],$J$2:$V$15,10,0)*Tabla44[[#This Row],[TOTAL COBERTURA]]</f>
        <v>42772680</v>
      </c>
      <c r="AZ307" s="35">
        <f>(VLOOKUP(Tabla44[[#This Row],[SERVICIO 2025]],$J$2:$V$15,3,0)*Tabla44[[#This Row],[TOTAL COBERTURA]])+VLOOKUP(Tabla44[[#This Row],[SERVICIO 2025]],$J$2:$V$15,10,0)*Tabla44[[#This Row],[TOTAL COBERTURA]]</f>
        <v>42772680</v>
      </c>
      <c r="BA307" s="35">
        <f>(VLOOKUP(Tabla44[[#This Row],[SERVICIO 2025]],$J$2:$V$15,3,0)*Tabla44[[#This Row],[TOTAL COBERTURA]])+VLOOKUP(Tabla44[[#This Row],[SERVICIO 2025]],$J$2:$V$15,10,0)*Tabla44[[#This Row],[TOTAL COBERTURA]]</f>
        <v>42772680</v>
      </c>
      <c r="BB307" s="35">
        <f>(VLOOKUP(Tabla44[[#This Row],[SERVICIO 2025]],$J$2:$V$15,3,0)*Tabla44[[#This Row],[TOTAL COBERTURA]])+VLOOKUP(Tabla44[[#This Row],[SERVICIO 2025]],$J$2:$V$15,10,0)*Tabla44[[#This Row],[TOTAL COBERTURA]]</f>
        <v>42772680</v>
      </c>
      <c r="BC30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49151335</v>
      </c>
      <c r="BD307" s="35">
        <f>SUM(Tabla44[[#This Row],[DESEMBOLSO 1]:[DESEMBOLSO 8]])</f>
        <v>356052250</v>
      </c>
      <c r="BE307" s="12" t="b">
        <f>EXACT(Tabla44[[#This Row],[VALOR ATENCIÓN (8 MESES)]],Tabla44[[#This Row],[VALOR TOTAL]])</f>
        <v>1</v>
      </c>
      <c r="BF307" s="23">
        <f>Tabla44[[#This Row],[VALOR ATENCIÓN (8 MESES)]]-Tabla44[[#This Row],[VALOR TOTAL]]</f>
        <v>0</v>
      </c>
      <c r="BG307" s="12" t="b">
        <f>EXACT(Tabla44[[#This Row],[TOTAL DESEMBOLSOS]],Tabla44[[#This Row],[VALOR TOTAL DEL CONTRATO INCLUIDO EL COMPONENTE DE ALIMENTACIÓN]])</f>
        <v>1</v>
      </c>
      <c r="BH307" s="29">
        <f>Tabla44[[#This Row],[TOTAL DESEMBOLSOS]]-Tabla44[[#This Row],[VALOR TOTAL DEL CONTRATO INCLUIDO EL COMPONENTE DE ALIMENTACIÓN]]</f>
        <v>0</v>
      </c>
      <c r="BI307" t="s">
        <v>98</v>
      </c>
    </row>
    <row r="308" spans="1:61">
      <c r="A308" s="13">
        <v>1995</v>
      </c>
      <c r="B308" s="13"/>
      <c r="C308" s="12" t="s">
        <v>87</v>
      </c>
      <c r="D308" s="12" t="s">
        <v>1293</v>
      </c>
      <c r="E308" s="12" t="s">
        <v>3403</v>
      </c>
      <c r="F308" s="12" t="s">
        <v>18</v>
      </c>
      <c r="G308" s="12" t="s">
        <v>90</v>
      </c>
      <c r="H308" s="12" t="s">
        <v>3410</v>
      </c>
      <c r="I308" s="36">
        <v>565200059465</v>
      </c>
      <c r="J308" s="12" t="s">
        <v>3411</v>
      </c>
      <c r="K308" s="12">
        <v>1</v>
      </c>
      <c r="L308" s="12">
        <v>47</v>
      </c>
      <c r="M308" s="12"/>
      <c r="N308" s="13">
        <v>1995</v>
      </c>
      <c r="O308" s="12" t="s">
        <v>2850</v>
      </c>
      <c r="P308" s="12"/>
      <c r="Q308" s="12"/>
      <c r="R308" s="12" t="s">
        <v>94</v>
      </c>
      <c r="S308" s="12">
        <v>10</v>
      </c>
      <c r="T308" s="12">
        <v>811013275</v>
      </c>
      <c r="U308" s="12" t="s">
        <v>1478</v>
      </c>
      <c r="V308" s="12">
        <f>VLOOKUP(Tabla44[[#This Row],[ZONA DEFINITIVO]],[1]Hoja1!$A$1:$D$125,3,0)</f>
        <v>229941</v>
      </c>
      <c r="W308" s="12">
        <f>VLOOKUP(Tabla44[[#This Row],[ZONA DEFINITIVO]],[1]Hoja1!$A$1:$D$125,2,0)</f>
        <v>17255</v>
      </c>
      <c r="X308" s="12">
        <f>VLOOKUP(Tabla44[[#This Row],[ZONA DEFINITIVO]],[1]Hoja1!$A$1:$D$125,4,0)</f>
        <v>104425</v>
      </c>
      <c r="Y308" s="12" t="str">
        <f>+IF(Tabla44[[#This Row],[AGRUPACIONES]]=1,SUMIFS(Tabla44[UDS],Tabla44[ZONA DEFINITIVO],Tabla44[[#This Row],[ZONA DEFINITIVO]])," ")</f>
        <v xml:space="preserve"> </v>
      </c>
      <c r="Z308" s="12" t="str">
        <f>+IF(Tabla44[[#This Row],[AGRUPACIONES]]=1,SUMIFS(Tabla44[TOTAL COBERTURA],Tabla44[ZONA DEFINITIVO],Tabla44[[#This Row],[ZONA DEFINITIVO]])," ")</f>
        <v xml:space="preserve"> </v>
      </c>
      <c r="AA308" s="12"/>
      <c r="AB308" s="35">
        <v>102469071</v>
      </c>
      <c r="AC308" s="37">
        <v>0</v>
      </c>
      <c r="AD308" s="35">
        <f t="shared" si="5"/>
        <v>0</v>
      </c>
      <c r="AE308" s="12"/>
      <c r="AF308" s="12">
        <f>COUNTIF($A$20:A308,A308)</f>
        <v>7</v>
      </c>
      <c r="AG308" s="38">
        <v>102469071</v>
      </c>
      <c r="AH308" s="38">
        <f>Tabla44[[#This Row],[VALOR CONTRAPARTIDA]]+Tabla44[[#This Row],[TOTAL APORTES ICBF]]</f>
        <v>102469071</v>
      </c>
      <c r="AI308" s="35" t="str">
        <f>+IF(Tabla44[[#This Row],[AGRUPACIONES]]=1,SUMIFS(Tabla44[TOTAL APORTES ICBF],Tabla44[ZONA DEFINITIVO],Tabla44[[#This Row],[ZONA DEFINITIVO]])," ")</f>
        <v xml:space="preserve"> </v>
      </c>
      <c r="AJ308" s="38"/>
      <c r="AK308" s="38"/>
      <c r="AL308" s="35"/>
      <c r="AM308" s="35">
        <f>VLOOKUP(Tabla44[[#This Row],[SERVICIO 2025]],$J$2:$V$15,5,0)*Tabla44[[#This Row],[TOTAL COBERTURA]]</f>
        <v>2320672</v>
      </c>
      <c r="AN308" s="35">
        <f>VLOOKUP(Tabla44[[#This Row],[SERVICIO 2025]],$J$2:$V$15,6,0)*Tabla44[[#This Row],[TOTAL COBERTURA]]</f>
        <v>1928363</v>
      </c>
      <c r="AO308" s="35">
        <f>VLOOKUP(Tabla44[[#This Row],[SERVICIO 2025]],$J$2:$V$15,8,0)*Tabla44[[#This Row],[TOTAL COBERTURA]]</f>
        <v>1367700</v>
      </c>
      <c r="AP308" s="35">
        <f>VLOOKUP(Tabla44[[#This Row],[SERVICIO 2025]],$J$2:$V$15,3,0)*Tabla44[[#This Row],[TOTAL COBERTURA]]*8</f>
        <v>96852336</v>
      </c>
      <c r="AQ308" s="35"/>
      <c r="AR308" s="35">
        <f>SUM(Tabla44[[#This Row],[VALOR FASE PREPARATORIA DE ALISTAMIENTO]:[VALOR RACION PREPARADA]])</f>
        <v>102469071</v>
      </c>
      <c r="AS308" s="35" t="str">
        <f>+IF(Tabla44[[#This Row],[AGRUPACIONES]]=1,SUMIFS(Tabla44[VALOR TOTAL],Tabla44[ZONA DEFINITIVO],Tabla44[[#This Row],[ZONA DEFINITIVO]])," ")</f>
        <v xml:space="preserve"> </v>
      </c>
      <c r="AT308" s="35">
        <f>VLOOKUP(Tabla44[[#This Row],[SERVICIO 2025]],$J$2:$V$15,10,0)*Tabla44[[#This Row],[TOTAL COBERTURA]]*$X$7</f>
        <v>67824008</v>
      </c>
      <c r="AU308" s="39">
        <f>Tabla44[[#This Row],[TOTAL CONTRATO (ICBF+EAS)]]+Tabla44[[#This Row],[VALOR COMPONENTE ALIMENTACION NO ASIGNADO]]</f>
        <v>170293079</v>
      </c>
      <c r="AV30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24272915</v>
      </c>
      <c r="AW308" s="35">
        <f>(VLOOKUP(Tabla44[[#This Row],[SERVICIO 2025]],$J$2:$V$15,3,0)*Tabla44[[#This Row],[TOTAL COBERTURA]])+VLOOKUP(Tabla44[[#This Row],[SERVICIO 2025]],$J$2:$V$15,10,0)*Tabla44[[#This Row],[TOTAL COBERTURA]]</f>
        <v>20584543</v>
      </c>
      <c r="AX308" s="35">
        <f>(VLOOKUP(Tabla44[[#This Row],[SERVICIO 2025]],$J$2:$V$15,3,0)*Tabla44[[#This Row],[TOTAL COBERTURA]])+VLOOKUP(Tabla44[[#This Row],[SERVICIO 2025]],$J$2:$V$15,10,0)*Tabla44[[#This Row],[TOTAL COBERTURA]]</f>
        <v>20584543</v>
      </c>
      <c r="AY308" s="35">
        <f>(VLOOKUP(Tabla44[[#This Row],[SERVICIO 2025]],$J$2:$V$15,3,0)*Tabla44[[#This Row],[TOTAL COBERTURA]])+VLOOKUP(Tabla44[[#This Row],[SERVICIO 2025]],$J$2:$V$15,10,0)*Tabla44[[#This Row],[TOTAL COBERTURA]]</f>
        <v>20584543</v>
      </c>
      <c r="AZ308" s="35">
        <f>(VLOOKUP(Tabla44[[#This Row],[SERVICIO 2025]],$J$2:$V$15,3,0)*Tabla44[[#This Row],[TOTAL COBERTURA]])+VLOOKUP(Tabla44[[#This Row],[SERVICIO 2025]],$J$2:$V$15,10,0)*Tabla44[[#This Row],[TOTAL COBERTURA]]</f>
        <v>20584543</v>
      </c>
      <c r="BA308" s="35">
        <f>(VLOOKUP(Tabla44[[#This Row],[SERVICIO 2025]],$J$2:$V$15,3,0)*Tabla44[[#This Row],[TOTAL COBERTURA]])+VLOOKUP(Tabla44[[#This Row],[SERVICIO 2025]],$J$2:$V$15,10,0)*Tabla44[[#This Row],[TOTAL COBERTURA]]</f>
        <v>20584543</v>
      </c>
      <c r="BB308" s="35">
        <f>(VLOOKUP(Tabla44[[#This Row],[SERVICIO 2025]],$J$2:$V$15,3,0)*Tabla44[[#This Row],[TOTAL COBERTURA]])+VLOOKUP(Tabla44[[#This Row],[SERVICIO 2025]],$J$2:$V$15,10,0)*Tabla44[[#This Row],[TOTAL COBERTURA]]</f>
        <v>20584543</v>
      </c>
      <c r="BC30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22512906</v>
      </c>
      <c r="BD308" s="35">
        <f>SUM(Tabla44[[#This Row],[DESEMBOLSO 1]:[DESEMBOLSO 8]])</f>
        <v>170293079</v>
      </c>
      <c r="BE308" s="12" t="b">
        <f>EXACT(Tabla44[[#This Row],[VALOR ATENCIÓN (8 MESES)]],Tabla44[[#This Row],[VALOR TOTAL]])</f>
        <v>1</v>
      </c>
      <c r="BF308" s="23">
        <f>Tabla44[[#This Row],[VALOR ATENCIÓN (8 MESES)]]-Tabla44[[#This Row],[VALOR TOTAL]]</f>
        <v>0</v>
      </c>
      <c r="BG308" s="12" t="b">
        <f>EXACT(Tabla44[[#This Row],[TOTAL DESEMBOLSOS]],Tabla44[[#This Row],[VALOR TOTAL DEL CONTRATO INCLUIDO EL COMPONENTE DE ALIMENTACIÓN]])</f>
        <v>1</v>
      </c>
      <c r="BH308" s="29">
        <f>Tabla44[[#This Row],[TOTAL DESEMBOLSOS]]-Tabla44[[#This Row],[VALOR TOTAL DEL CONTRATO INCLUIDO EL COMPONENTE DE ALIMENTACIÓN]]</f>
        <v>0</v>
      </c>
      <c r="BI308" t="s">
        <v>98</v>
      </c>
    </row>
    <row r="309" spans="1:61">
      <c r="A309" s="13">
        <v>1995</v>
      </c>
      <c r="B309" s="13"/>
      <c r="C309" s="12" t="s">
        <v>87</v>
      </c>
      <c r="D309" s="12" t="s">
        <v>1293</v>
      </c>
      <c r="E309" s="12" t="s">
        <v>3412</v>
      </c>
      <c r="F309" s="12" t="s">
        <v>18</v>
      </c>
      <c r="G309" s="12" t="s">
        <v>90</v>
      </c>
      <c r="H309" s="12" t="s">
        <v>3413</v>
      </c>
      <c r="I309" s="36">
        <v>56601116854</v>
      </c>
      <c r="J309" s="12" t="s">
        <v>3414</v>
      </c>
      <c r="K309" s="12">
        <v>1</v>
      </c>
      <c r="L309" s="12">
        <v>50</v>
      </c>
      <c r="M309" s="12"/>
      <c r="N309" s="13">
        <v>1995</v>
      </c>
      <c r="O309" s="12" t="s">
        <v>2850</v>
      </c>
      <c r="P309" s="12"/>
      <c r="Q309" s="12"/>
      <c r="R309" s="12" t="s">
        <v>94</v>
      </c>
      <c r="S309" s="12">
        <v>10</v>
      </c>
      <c r="T309" s="12">
        <v>811013275</v>
      </c>
      <c r="U309" s="12" t="s">
        <v>1478</v>
      </c>
      <c r="V309" s="12">
        <f>VLOOKUP(Tabla44[[#This Row],[ZONA DEFINITIVO]],[1]Hoja1!$A$1:$D$125,3,0)</f>
        <v>229941</v>
      </c>
      <c r="W309" s="12">
        <f>VLOOKUP(Tabla44[[#This Row],[ZONA DEFINITIVO]],[1]Hoja1!$A$1:$D$125,2,0)</f>
        <v>17255</v>
      </c>
      <c r="X309" s="12">
        <f>VLOOKUP(Tabla44[[#This Row],[ZONA DEFINITIVO]],[1]Hoja1!$A$1:$D$125,4,0)</f>
        <v>104425</v>
      </c>
      <c r="Y309" s="12" t="str">
        <f>+IF(Tabla44[[#This Row],[AGRUPACIONES]]=1,SUMIFS(Tabla44[UDS],Tabla44[ZONA DEFINITIVO],Tabla44[[#This Row],[ZONA DEFINITIVO]])," ")</f>
        <v xml:space="preserve"> </v>
      </c>
      <c r="Z309" s="12" t="str">
        <f>+IF(Tabla44[[#This Row],[AGRUPACIONES]]=1,SUMIFS(Tabla44[TOTAL COBERTURA],Tabla44[ZONA DEFINITIVO],Tabla44[[#This Row],[ZONA DEFINITIVO]])," ")</f>
        <v xml:space="preserve"> </v>
      </c>
      <c r="AA309" s="12"/>
      <c r="AB309" s="35">
        <v>109009650</v>
      </c>
      <c r="AC309" s="37">
        <v>0</v>
      </c>
      <c r="AD309" s="35">
        <f t="shared" si="5"/>
        <v>0</v>
      </c>
      <c r="AE309" s="12"/>
      <c r="AF309" s="12">
        <f>COUNTIF($A$20:A309,A309)</f>
        <v>8</v>
      </c>
      <c r="AG309" s="38">
        <v>109009650</v>
      </c>
      <c r="AH309" s="38">
        <f>Tabla44[[#This Row],[VALOR CONTRAPARTIDA]]+Tabla44[[#This Row],[TOTAL APORTES ICBF]]</f>
        <v>109009650</v>
      </c>
      <c r="AI309" s="35" t="str">
        <f>+IF(Tabla44[[#This Row],[AGRUPACIONES]]=1,SUMIFS(Tabla44[TOTAL APORTES ICBF],Tabla44[ZONA DEFINITIVO],Tabla44[[#This Row],[ZONA DEFINITIVO]])," ")</f>
        <v xml:space="preserve"> </v>
      </c>
      <c r="AJ309" s="38"/>
      <c r="AK309" s="38"/>
      <c r="AL309" s="35"/>
      <c r="AM309" s="35">
        <f>VLOOKUP(Tabla44[[#This Row],[SERVICIO 2025]],$J$2:$V$15,5,0)*Tabla44[[#This Row],[TOTAL COBERTURA]]</f>
        <v>2468800</v>
      </c>
      <c r="AN309" s="35">
        <f>VLOOKUP(Tabla44[[#This Row],[SERVICIO 2025]],$J$2:$V$15,6,0)*Tabla44[[#This Row],[TOTAL COBERTURA]]</f>
        <v>2051450</v>
      </c>
      <c r="AO309" s="35">
        <f>VLOOKUP(Tabla44[[#This Row],[SERVICIO 2025]],$J$2:$V$15,8,0)*Tabla44[[#This Row],[TOTAL COBERTURA]]</f>
        <v>1455000</v>
      </c>
      <c r="AP309" s="35">
        <f>VLOOKUP(Tabla44[[#This Row],[SERVICIO 2025]],$J$2:$V$15,3,0)*Tabla44[[#This Row],[TOTAL COBERTURA]]*8</f>
        <v>103034400</v>
      </c>
      <c r="AQ309" s="35"/>
      <c r="AR309" s="35">
        <f>SUM(Tabla44[[#This Row],[VALOR FASE PREPARATORIA DE ALISTAMIENTO]:[VALOR RACION PREPARADA]])</f>
        <v>109009650</v>
      </c>
      <c r="AS309" s="35" t="str">
        <f>+IF(Tabla44[[#This Row],[AGRUPACIONES]]=1,SUMIFS(Tabla44[VALOR TOTAL],Tabla44[ZONA DEFINITIVO],Tabla44[[#This Row],[ZONA DEFINITIVO]])," ")</f>
        <v xml:space="preserve"> </v>
      </c>
      <c r="AT309" s="35">
        <f>VLOOKUP(Tabla44[[#This Row],[SERVICIO 2025]],$J$2:$V$15,10,0)*Tabla44[[#This Row],[TOTAL COBERTURA]]*$X$7</f>
        <v>72153200</v>
      </c>
      <c r="AU309" s="39">
        <f>Tabla44[[#This Row],[TOTAL CONTRATO (ICBF+EAS)]]+Tabla44[[#This Row],[VALOR COMPONENTE ALIMENTACION NO ASIGNADO]]</f>
        <v>181162850</v>
      </c>
      <c r="AV30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25822250</v>
      </c>
      <c r="AW309" s="35">
        <f>(VLOOKUP(Tabla44[[#This Row],[SERVICIO 2025]],$J$2:$V$15,3,0)*Tabla44[[#This Row],[TOTAL COBERTURA]])+VLOOKUP(Tabla44[[#This Row],[SERVICIO 2025]],$J$2:$V$15,10,0)*Tabla44[[#This Row],[TOTAL COBERTURA]]</f>
        <v>21898450</v>
      </c>
      <c r="AX309" s="35">
        <f>(VLOOKUP(Tabla44[[#This Row],[SERVICIO 2025]],$J$2:$V$15,3,0)*Tabla44[[#This Row],[TOTAL COBERTURA]])+VLOOKUP(Tabla44[[#This Row],[SERVICIO 2025]],$J$2:$V$15,10,0)*Tabla44[[#This Row],[TOTAL COBERTURA]]</f>
        <v>21898450</v>
      </c>
      <c r="AY309" s="35">
        <f>(VLOOKUP(Tabla44[[#This Row],[SERVICIO 2025]],$J$2:$V$15,3,0)*Tabla44[[#This Row],[TOTAL COBERTURA]])+VLOOKUP(Tabla44[[#This Row],[SERVICIO 2025]],$J$2:$V$15,10,0)*Tabla44[[#This Row],[TOTAL COBERTURA]]</f>
        <v>21898450</v>
      </c>
      <c r="AZ309" s="35">
        <f>(VLOOKUP(Tabla44[[#This Row],[SERVICIO 2025]],$J$2:$V$15,3,0)*Tabla44[[#This Row],[TOTAL COBERTURA]])+VLOOKUP(Tabla44[[#This Row],[SERVICIO 2025]],$J$2:$V$15,10,0)*Tabla44[[#This Row],[TOTAL COBERTURA]]</f>
        <v>21898450</v>
      </c>
      <c r="BA309" s="35">
        <f>(VLOOKUP(Tabla44[[#This Row],[SERVICIO 2025]],$J$2:$V$15,3,0)*Tabla44[[#This Row],[TOTAL COBERTURA]])+VLOOKUP(Tabla44[[#This Row],[SERVICIO 2025]],$J$2:$V$15,10,0)*Tabla44[[#This Row],[TOTAL COBERTURA]]</f>
        <v>21898450</v>
      </c>
      <c r="BB309" s="35">
        <f>(VLOOKUP(Tabla44[[#This Row],[SERVICIO 2025]],$J$2:$V$15,3,0)*Tabla44[[#This Row],[TOTAL COBERTURA]])+VLOOKUP(Tabla44[[#This Row],[SERVICIO 2025]],$J$2:$V$15,10,0)*Tabla44[[#This Row],[TOTAL COBERTURA]]</f>
        <v>21898450</v>
      </c>
      <c r="BC30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23949900</v>
      </c>
      <c r="BD309" s="35">
        <f>SUM(Tabla44[[#This Row],[DESEMBOLSO 1]:[DESEMBOLSO 8]])</f>
        <v>181162850</v>
      </c>
      <c r="BE309" s="12" t="b">
        <f>EXACT(Tabla44[[#This Row],[VALOR ATENCIÓN (8 MESES)]],Tabla44[[#This Row],[VALOR TOTAL]])</f>
        <v>1</v>
      </c>
      <c r="BF309" s="23">
        <f>Tabla44[[#This Row],[VALOR ATENCIÓN (8 MESES)]]-Tabla44[[#This Row],[VALOR TOTAL]]</f>
        <v>0</v>
      </c>
      <c r="BG309" s="12" t="b">
        <f>EXACT(Tabla44[[#This Row],[TOTAL DESEMBOLSOS]],Tabla44[[#This Row],[VALOR TOTAL DEL CONTRATO INCLUIDO EL COMPONENTE DE ALIMENTACIÓN]])</f>
        <v>1</v>
      </c>
      <c r="BH309" s="29">
        <f>Tabla44[[#This Row],[TOTAL DESEMBOLSOS]]-Tabla44[[#This Row],[VALOR TOTAL DEL CONTRATO INCLUIDO EL COMPONENTE DE ALIMENTACIÓN]]</f>
        <v>0</v>
      </c>
      <c r="BI309" t="s">
        <v>98</v>
      </c>
    </row>
    <row r="310" spans="1:61">
      <c r="A310" s="13">
        <v>1995</v>
      </c>
      <c r="B310" s="13"/>
      <c r="C310" s="12" t="s">
        <v>87</v>
      </c>
      <c r="D310" s="12" t="s">
        <v>1293</v>
      </c>
      <c r="E310" s="12" t="s">
        <v>3412</v>
      </c>
      <c r="F310" s="12" t="s">
        <v>19</v>
      </c>
      <c r="G310" s="12" t="s">
        <v>90</v>
      </c>
      <c r="H310" s="12" t="s">
        <v>2637</v>
      </c>
      <c r="I310" s="36">
        <v>56601116858</v>
      </c>
      <c r="J310" s="12" t="s">
        <v>3415</v>
      </c>
      <c r="K310" s="12">
        <v>1</v>
      </c>
      <c r="L310" s="12">
        <v>49</v>
      </c>
      <c r="M310" s="12"/>
      <c r="N310" s="13">
        <v>1995</v>
      </c>
      <c r="O310" s="12" t="s">
        <v>2850</v>
      </c>
      <c r="P310" s="12"/>
      <c r="Q310" s="12"/>
      <c r="R310" s="12" t="s">
        <v>94</v>
      </c>
      <c r="S310" s="12">
        <v>10</v>
      </c>
      <c r="T310" s="12">
        <v>811013275</v>
      </c>
      <c r="U310" s="12" t="s">
        <v>1478</v>
      </c>
      <c r="V310" s="12">
        <f>VLOOKUP(Tabla44[[#This Row],[ZONA DEFINITIVO]],[1]Hoja1!$A$1:$D$125,3,0)</f>
        <v>229941</v>
      </c>
      <c r="W310" s="12">
        <f>VLOOKUP(Tabla44[[#This Row],[ZONA DEFINITIVO]],[1]Hoja1!$A$1:$D$125,2,0)</f>
        <v>17255</v>
      </c>
      <c r="X310" s="12">
        <f>VLOOKUP(Tabla44[[#This Row],[ZONA DEFINITIVO]],[1]Hoja1!$A$1:$D$125,4,0)</f>
        <v>104425</v>
      </c>
      <c r="Y310" s="12" t="str">
        <f>+IF(Tabla44[[#This Row],[AGRUPACIONES]]=1,SUMIFS(Tabla44[UDS],Tabla44[ZONA DEFINITIVO],Tabla44[[#This Row],[ZONA DEFINITIVO]])," ")</f>
        <v xml:space="preserve"> </v>
      </c>
      <c r="Z310" s="12" t="str">
        <f>+IF(Tabla44[[#This Row],[AGRUPACIONES]]=1,SUMIFS(Tabla44[TOTAL COBERTURA],Tabla44[ZONA DEFINITIVO],Tabla44[[#This Row],[ZONA DEFINITIVO]])," ")</f>
        <v xml:space="preserve"> </v>
      </c>
      <c r="AA310" s="12"/>
      <c r="AB310" s="35">
        <v>110306399</v>
      </c>
      <c r="AC310" s="37">
        <v>0</v>
      </c>
      <c r="AD310" s="35">
        <f t="shared" si="5"/>
        <v>0</v>
      </c>
      <c r="AE310" s="12"/>
      <c r="AF310" s="12">
        <f>COUNTIF($A$20:A310,A310)</f>
        <v>9</v>
      </c>
      <c r="AG310" s="38">
        <v>110306399</v>
      </c>
      <c r="AH310" s="38">
        <f>Tabla44[[#This Row],[VALOR CONTRAPARTIDA]]+Tabla44[[#This Row],[TOTAL APORTES ICBF]]</f>
        <v>110306399</v>
      </c>
      <c r="AI310" s="35" t="str">
        <f>+IF(Tabla44[[#This Row],[AGRUPACIONES]]=1,SUMIFS(Tabla44[TOTAL APORTES ICBF],Tabla44[ZONA DEFINITIVO],Tabla44[[#This Row],[ZONA DEFINITIVO]])," ")</f>
        <v xml:space="preserve"> </v>
      </c>
      <c r="AJ310" s="38"/>
      <c r="AK310" s="38"/>
      <c r="AL310" s="35"/>
      <c r="AM310" s="35">
        <f>VLOOKUP(Tabla44[[#This Row],[SERVICIO 2025]],$J$2:$V$15,5,0)*Tabla44[[#This Row],[TOTAL COBERTURA]]</f>
        <v>2521687</v>
      </c>
      <c r="AN310" s="35">
        <f>VLOOKUP(Tabla44[[#This Row],[SERVICIO 2025]],$J$2:$V$15,6,0)*Tabla44[[#This Row],[TOTAL COBERTURA]]</f>
        <v>2112684</v>
      </c>
      <c r="AO310" s="35">
        <f>VLOOKUP(Tabla44[[#This Row],[SERVICIO 2025]],$J$2:$V$15,8,0)*Tabla44[[#This Row],[TOTAL COBERTURA]]</f>
        <v>1425900</v>
      </c>
      <c r="AP310" s="35">
        <f>VLOOKUP(Tabla44[[#This Row],[SERVICIO 2025]],$J$2:$V$15,3,0)*Tabla44[[#This Row],[TOTAL COBERTURA]]*8</f>
        <v>104246128</v>
      </c>
      <c r="AQ310" s="35"/>
      <c r="AR310" s="35">
        <f>SUM(Tabla44[[#This Row],[VALOR FASE PREPARATORIA DE ALISTAMIENTO]:[VALOR RACION PREPARADA]])</f>
        <v>110306399</v>
      </c>
      <c r="AS310" s="35" t="str">
        <f>+IF(Tabla44[[#This Row],[AGRUPACIONES]]=1,SUMIFS(Tabla44[VALOR TOTAL],Tabla44[ZONA DEFINITIVO],Tabla44[[#This Row],[ZONA DEFINITIVO]])," ")</f>
        <v xml:space="preserve"> </v>
      </c>
      <c r="AT310" s="35">
        <f>VLOOKUP(Tabla44[[#This Row],[SERVICIO 2025]],$J$2:$V$15,10,0)*Tabla44[[#This Row],[TOTAL COBERTURA]]*$X$7</f>
        <v>70710136</v>
      </c>
      <c r="AU310" s="39">
        <f>Tabla44[[#This Row],[TOTAL CONTRATO (ICBF+EAS)]]+Tabla44[[#This Row],[VALOR COMPONENTE ALIMENTACION NO ASIGNADO]]</f>
        <v>181016535</v>
      </c>
      <c r="AV31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25817120</v>
      </c>
      <c r="AW310" s="35">
        <f>(VLOOKUP(Tabla44[[#This Row],[SERVICIO 2025]],$J$2:$V$15,3,0)*Tabla44[[#This Row],[TOTAL COBERTURA]])+VLOOKUP(Tabla44[[#This Row],[SERVICIO 2025]],$J$2:$V$15,10,0)*Tabla44[[#This Row],[TOTAL COBERTURA]]</f>
        <v>21869533</v>
      </c>
      <c r="AX310" s="35">
        <f>(VLOOKUP(Tabla44[[#This Row],[SERVICIO 2025]],$J$2:$V$15,3,0)*Tabla44[[#This Row],[TOTAL COBERTURA]])+VLOOKUP(Tabla44[[#This Row],[SERVICIO 2025]],$J$2:$V$15,10,0)*Tabla44[[#This Row],[TOTAL COBERTURA]]</f>
        <v>21869533</v>
      </c>
      <c r="AY310" s="35">
        <f>(VLOOKUP(Tabla44[[#This Row],[SERVICIO 2025]],$J$2:$V$15,3,0)*Tabla44[[#This Row],[TOTAL COBERTURA]])+VLOOKUP(Tabla44[[#This Row],[SERVICIO 2025]],$J$2:$V$15,10,0)*Tabla44[[#This Row],[TOTAL COBERTURA]]</f>
        <v>21869533</v>
      </c>
      <c r="AZ310" s="35">
        <f>(VLOOKUP(Tabla44[[#This Row],[SERVICIO 2025]],$J$2:$V$15,3,0)*Tabla44[[#This Row],[TOTAL COBERTURA]])+VLOOKUP(Tabla44[[#This Row],[SERVICIO 2025]],$J$2:$V$15,10,0)*Tabla44[[#This Row],[TOTAL COBERTURA]]</f>
        <v>21869533</v>
      </c>
      <c r="BA310" s="35">
        <f>(VLOOKUP(Tabla44[[#This Row],[SERVICIO 2025]],$J$2:$V$15,3,0)*Tabla44[[#This Row],[TOTAL COBERTURA]])+VLOOKUP(Tabla44[[#This Row],[SERVICIO 2025]],$J$2:$V$15,10,0)*Tabla44[[#This Row],[TOTAL COBERTURA]]</f>
        <v>21869533</v>
      </c>
      <c r="BB310" s="35">
        <f>(VLOOKUP(Tabla44[[#This Row],[SERVICIO 2025]],$J$2:$V$15,3,0)*Tabla44[[#This Row],[TOTAL COBERTURA]])+VLOOKUP(Tabla44[[#This Row],[SERVICIO 2025]],$J$2:$V$15,10,0)*Tabla44[[#This Row],[TOTAL COBERTURA]]</f>
        <v>21869533</v>
      </c>
      <c r="BC31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23982217</v>
      </c>
      <c r="BD310" s="35">
        <f>SUM(Tabla44[[#This Row],[DESEMBOLSO 1]:[DESEMBOLSO 8]])</f>
        <v>181016535</v>
      </c>
      <c r="BE310" s="12" t="b">
        <f>EXACT(Tabla44[[#This Row],[VALOR ATENCIÓN (8 MESES)]],Tabla44[[#This Row],[VALOR TOTAL]])</f>
        <v>1</v>
      </c>
      <c r="BF310" s="23">
        <f>Tabla44[[#This Row],[VALOR ATENCIÓN (8 MESES)]]-Tabla44[[#This Row],[VALOR TOTAL]]</f>
        <v>0</v>
      </c>
      <c r="BG310" s="12" t="b">
        <f>EXACT(Tabla44[[#This Row],[TOTAL DESEMBOLSOS]],Tabla44[[#This Row],[VALOR TOTAL DEL CONTRATO INCLUIDO EL COMPONENTE DE ALIMENTACIÓN]])</f>
        <v>1</v>
      </c>
      <c r="BH310" s="29">
        <f>Tabla44[[#This Row],[TOTAL DESEMBOLSOS]]-Tabla44[[#This Row],[VALOR TOTAL DEL CONTRATO INCLUIDO EL COMPONENTE DE ALIMENTACIÓN]]</f>
        <v>0</v>
      </c>
      <c r="BI310" t="s">
        <v>98</v>
      </c>
    </row>
    <row r="311" spans="1:61">
      <c r="A311" s="13">
        <v>1995</v>
      </c>
      <c r="B311" s="13"/>
      <c r="C311" s="12" t="s">
        <v>87</v>
      </c>
      <c r="D311" s="12" t="s">
        <v>1293</v>
      </c>
      <c r="E311" s="12" t="s">
        <v>3412</v>
      </c>
      <c r="F311" s="12" t="s">
        <v>18</v>
      </c>
      <c r="G311" s="12" t="s">
        <v>90</v>
      </c>
      <c r="H311" s="12" t="s">
        <v>1045</v>
      </c>
      <c r="I311" s="36">
        <v>56601116859</v>
      </c>
      <c r="J311" s="12" t="s">
        <v>3416</v>
      </c>
      <c r="K311" s="12">
        <v>1</v>
      </c>
      <c r="L311" s="12">
        <v>50</v>
      </c>
      <c r="M311" s="12"/>
      <c r="N311" s="13">
        <v>1995</v>
      </c>
      <c r="O311" s="12" t="s">
        <v>2850</v>
      </c>
      <c r="P311" s="12"/>
      <c r="Q311" s="12"/>
      <c r="R311" s="12" t="s">
        <v>94</v>
      </c>
      <c r="S311" s="12">
        <v>10</v>
      </c>
      <c r="T311" s="12">
        <v>811013275</v>
      </c>
      <c r="U311" s="12" t="s">
        <v>1478</v>
      </c>
      <c r="V311" s="12">
        <f>VLOOKUP(Tabla44[[#This Row],[ZONA DEFINITIVO]],[1]Hoja1!$A$1:$D$125,3,0)</f>
        <v>229941</v>
      </c>
      <c r="W311" s="12">
        <f>VLOOKUP(Tabla44[[#This Row],[ZONA DEFINITIVO]],[1]Hoja1!$A$1:$D$125,2,0)</f>
        <v>17255</v>
      </c>
      <c r="X311" s="12">
        <f>VLOOKUP(Tabla44[[#This Row],[ZONA DEFINITIVO]],[1]Hoja1!$A$1:$D$125,4,0)</f>
        <v>104425</v>
      </c>
      <c r="Y311" s="12" t="str">
        <f>+IF(Tabla44[[#This Row],[AGRUPACIONES]]=1,SUMIFS(Tabla44[UDS],Tabla44[ZONA DEFINITIVO],Tabla44[[#This Row],[ZONA DEFINITIVO]])," ")</f>
        <v xml:space="preserve"> </v>
      </c>
      <c r="Z311" s="12" t="str">
        <f>+IF(Tabla44[[#This Row],[AGRUPACIONES]]=1,SUMIFS(Tabla44[TOTAL COBERTURA],Tabla44[ZONA DEFINITIVO],Tabla44[[#This Row],[ZONA DEFINITIVO]])," ")</f>
        <v xml:space="preserve"> </v>
      </c>
      <c r="AA311" s="12"/>
      <c r="AB311" s="35">
        <v>109009650</v>
      </c>
      <c r="AC311" s="37">
        <v>0</v>
      </c>
      <c r="AD311" s="35">
        <f t="shared" si="5"/>
        <v>0</v>
      </c>
      <c r="AE311" s="12"/>
      <c r="AF311" s="12">
        <f>COUNTIF($A$20:A311,A311)</f>
        <v>10</v>
      </c>
      <c r="AG311" s="38">
        <v>109009650</v>
      </c>
      <c r="AH311" s="38">
        <f>Tabla44[[#This Row],[VALOR CONTRAPARTIDA]]+Tabla44[[#This Row],[TOTAL APORTES ICBF]]</f>
        <v>109009650</v>
      </c>
      <c r="AI311" s="35" t="str">
        <f>+IF(Tabla44[[#This Row],[AGRUPACIONES]]=1,SUMIFS(Tabla44[TOTAL APORTES ICBF],Tabla44[ZONA DEFINITIVO],Tabla44[[#This Row],[ZONA DEFINITIVO]])," ")</f>
        <v xml:space="preserve"> </v>
      </c>
      <c r="AJ311" s="38"/>
      <c r="AK311" s="38"/>
      <c r="AL311" s="35"/>
      <c r="AM311" s="35">
        <f>VLOOKUP(Tabla44[[#This Row],[SERVICIO 2025]],$J$2:$V$15,5,0)*Tabla44[[#This Row],[TOTAL COBERTURA]]</f>
        <v>2468800</v>
      </c>
      <c r="AN311" s="35">
        <f>VLOOKUP(Tabla44[[#This Row],[SERVICIO 2025]],$J$2:$V$15,6,0)*Tabla44[[#This Row],[TOTAL COBERTURA]]</f>
        <v>2051450</v>
      </c>
      <c r="AO311" s="35">
        <f>VLOOKUP(Tabla44[[#This Row],[SERVICIO 2025]],$J$2:$V$15,8,0)*Tabla44[[#This Row],[TOTAL COBERTURA]]</f>
        <v>1455000</v>
      </c>
      <c r="AP311" s="35">
        <f>VLOOKUP(Tabla44[[#This Row],[SERVICIO 2025]],$J$2:$V$15,3,0)*Tabla44[[#This Row],[TOTAL COBERTURA]]*8</f>
        <v>103034400</v>
      </c>
      <c r="AQ311" s="35"/>
      <c r="AR311" s="35">
        <f>SUM(Tabla44[[#This Row],[VALOR FASE PREPARATORIA DE ALISTAMIENTO]:[VALOR RACION PREPARADA]])</f>
        <v>109009650</v>
      </c>
      <c r="AS311" s="35" t="str">
        <f>+IF(Tabla44[[#This Row],[AGRUPACIONES]]=1,SUMIFS(Tabla44[VALOR TOTAL],Tabla44[ZONA DEFINITIVO],Tabla44[[#This Row],[ZONA DEFINITIVO]])," ")</f>
        <v xml:space="preserve"> </v>
      </c>
      <c r="AT311" s="35">
        <f>VLOOKUP(Tabla44[[#This Row],[SERVICIO 2025]],$J$2:$V$15,10,0)*Tabla44[[#This Row],[TOTAL COBERTURA]]*$X$7</f>
        <v>72153200</v>
      </c>
      <c r="AU311" s="39">
        <f>Tabla44[[#This Row],[TOTAL CONTRATO (ICBF+EAS)]]+Tabla44[[#This Row],[VALOR COMPONENTE ALIMENTACION NO ASIGNADO]]</f>
        <v>181162850</v>
      </c>
      <c r="AV31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25822250</v>
      </c>
      <c r="AW311" s="35">
        <f>(VLOOKUP(Tabla44[[#This Row],[SERVICIO 2025]],$J$2:$V$15,3,0)*Tabla44[[#This Row],[TOTAL COBERTURA]])+VLOOKUP(Tabla44[[#This Row],[SERVICIO 2025]],$J$2:$V$15,10,0)*Tabla44[[#This Row],[TOTAL COBERTURA]]</f>
        <v>21898450</v>
      </c>
      <c r="AX311" s="35">
        <f>(VLOOKUP(Tabla44[[#This Row],[SERVICIO 2025]],$J$2:$V$15,3,0)*Tabla44[[#This Row],[TOTAL COBERTURA]])+VLOOKUP(Tabla44[[#This Row],[SERVICIO 2025]],$J$2:$V$15,10,0)*Tabla44[[#This Row],[TOTAL COBERTURA]]</f>
        <v>21898450</v>
      </c>
      <c r="AY311" s="35">
        <f>(VLOOKUP(Tabla44[[#This Row],[SERVICIO 2025]],$J$2:$V$15,3,0)*Tabla44[[#This Row],[TOTAL COBERTURA]])+VLOOKUP(Tabla44[[#This Row],[SERVICIO 2025]],$J$2:$V$15,10,0)*Tabla44[[#This Row],[TOTAL COBERTURA]]</f>
        <v>21898450</v>
      </c>
      <c r="AZ311" s="35">
        <f>(VLOOKUP(Tabla44[[#This Row],[SERVICIO 2025]],$J$2:$V$15,3,0)*Tabla44[[#This Row],[TOTAL COBERTURA]])+VLOOKUP(Tabla44[[#This Row],[SERVICIO 2025]],$J$2:$V$15,10,0)*Tabla44[[#This Row],[TOTAL COBERTURA]]</f>
        <v>21898450</v>
      </c>
      <c r="BA311" s="35">
        <f>(VLOOKUP(Tabla44[[#This Row],[SERVICIO 2025]],$J$2:$V$15,3,0)*Tabla44[[#This Row],[TOTAL COBERTURA]])+VLOOKUP(Tabla44[[#This Row],[SERVICIO 2025]],$J$2:$V$15,10,0)*Tabla44[[#This Row],[TOTAL COBERTURA]]</f>
        <v>21898450</v>
      </c>
      <c r="BB311" s="35">
        <f>(VLOOKUP(Tabla44[[#This Row],[SERVICIO 2025]],$J$2:$V$15,3,0)*Tabla44[[#This Row],[TOTAL COBERTURA]])+VLOOKUP(Tabla44[[#This Row],[SERVICIO 2025]],$J$2:$V$15,10,0)*Tabla44[[#This Row],[TOTAL COBERTURA]]</f>
        <v>21898450</v>
      </c>
      <c r="BC31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23949900</v>
      </c>
      <c r="BD311" s="35">
        <f>SUM(Tabla44[[#This Row],[DESEMBOLSO 1]:[DESEMBOLSO 8]])</f>
        <v>181162850</v>
      </c>
      <c r="BE311" s="12" t="b">
        <f>EXACT(Tabla44[[#This Row],[VALOR ATENCIÓN (8 MESES)]],Tabla44[[#This Row],[VALOR TOTAL]])</f>
        <v>1</v>
      </c>
      <c r="BF311" s="23">
        <f>Tabla44[[#This Row],[VALOR ATENCIÓN (8 MESES)]]-Tabla44[[#This Row],[VALOR TOTAL]]</f>
        <v>0</v>
      </c>
      <c r="BG311" s="12" t="b">
        <f>EXACT(Tabla44[[#This Row],[TOTAL DESEMBOLSOS]],Tabla44[[#This Row],[VALOR TOTAL DEL CONTRATO INCLUIDO EL COMPONENTE DE ALIMENTACIÓN]])</f>
        <v>1</v>
      </c>
      <c r="BH311" s="29">
        <f>Tabla44[[#This Row],[TOTAL DESEMBOLSOS]]-Tabla44[[#This Row],[VALOR TOTAL DEL CONTRATO INCLUIDO EL COMPONENTE DE ALIMENTACIÓN]]</f>
        <v>0</v>
      </c>
      <c r="BI311" t="s">
        <v>98</v>
      </c>
    </row>
    <row r="312" spans="1:61">
      <c r="A312" s="13">
        <v>1995</v>
      </c>
      <c r="B312" s="13"/>
      <c r="C312" s="12" t="s">
        <v>87</v>
      </c>
      <c r="D312" s="12" t="s">
        <v>1293</v>
      </c>
      <c r="E312" s="12" t="s">
        <v>3412</v>
      </c>
      <c r="F312" s="12" t="s">
        <v>18</v>
      </c>
      <c r="G312" s="12" t="s">
        <v>90</v>
      </c>
      <c r="H312" s="12" t="s">
        <v>3417</v>
      </c>
      <c r="I312" s="36">
        <v>56601116864</v>
      </c>
      <c r="J312" s="12" t="s">
        <v>3418</v>
      </c>
      <c r="K312" s="12">
        <v>1</v>
      </c>
      <c r="L312" s="12">
        <v>50</v>
      </c>
      <c r="M312" s="12"/>
      <c r="N312" s="13">
        <v>1995</v>
      </c>
      <c r="O312" s="12" t="s">
        <v>2850</v>
      </c>
      <c r="P312" s="12"/>
      <c r="Q312" s="12"/>
      <c r="R312" s="12" t="s">
        <v>94</v>
      </c>
      <c r="S312" s="12">
        <v>10</v>
      </c>
      <c r="T312" s="12">
        <v>811013275</v>
      </c>
      <c r="U312" s="12" t="s">
        <v>1478</v>
      </c>
      <c r="V312" s="12">
        <f>VLOOKUP(Tabla44[[#This Row],[ZONA DEFINITIVO]],[1]Hoja1!$A$1:$D$125,3,0)</f>
        <v>229941</v>
      </c>
      <c r="W312" s="12">
        <f>VLOOKUP(Tabla44[[#This Row],[ZONA DEFINITIVO]],[1]Hoja1!$A$1:$D$125,2,0)</f>
        <v>17255</v>
      </c>
      <c r="X312" s="12">
        <f>VLOOKUP(Tabla44[[#This Row],[ZONA DEFINITIVO]],[1]Hoja1!$A$1:$D$125,4,0)</f>
        <v>104425</v>
      </c>
      <c r="Y312" s="12" t="str">
        <f>+IF(Tabla44[[#This Row],[AGRUPACIONES]]=1,SUMIFS(Tabla44[UDS],Tabla44[ZONA DEFINITIVO],Tabla44[[#This Row],[ZONA DEFINITIVO]])," ")</f>
        <v xml:space="preserve"> </v>
      </c>
      <c r="Z312" s="12" t="str">
        <f>+IF(Tabla44[[#This Row],[AGRUPACIONES]]=1,SUMIFS(Tabla44[TOTAL COBERTURA],Tabla44[ZONA DEFINITIVO],Tabla44[[#This Row],[ZONA DEFINITIVO]])," ")</f>
        <v xml:space="preserve"> </v>
      </c>
      <c r="AA312" s="12"/>
      <c r="AB312" s="35">
        <v>109009650</v>
      </c>
      <c r="AC312" s="37">
        <v>0</v>
      </c>
      <c r="AD312" s="35">
        <f t="shared" si="5"/>
        <v>0</v>
      </c>
      <c r="AE312" s="12"/>
      <c r="AF312" s="12">
        <f>COUNTIF($A$20:A312,A312)</f>
        <v>11</v>
      </c>
      <c r="AG312" s="38">
        <v>109009650</v>
      </c>
      <c r="AH312" s="38">
        <f>Tabla44[[#This Row],[VALOR CONTRAPARTIDA]]+Tabla44[[#This Row],[TOTAL APORTES ICBF]]</f>
        <v>109009650</v>
      </c>
      <c r="AI312" s="35" t="str">
        <f>+IF(Tabla44[[#This Row],[AGRUPACIONES]]=1,SUMIFS(Tabla44[TOTAL APORTES ICBF],Tabla44[ZONA DEFINITIVO],Tabla44[[#This Row],[ZONA DEFINITIVO]])," ")</f>
        <v xml:space="preserve"> </v>
      </c>
      <c r="AJ312" s="38"/>
      <c r="AK312" s="38"/>
      <c r="AL312" s="35"/>
      <c r="AM312" s="35">
        <f>VLOOKUP(Tabla44[[#This Row],[SERVICIO 2025]],$J$2:$V$15,5,0)*Tabla44[[#This Row],[TOTAL COBERTURA]]</f>
        <v>2468800</v>
      </c>
      <c r="AN312" s="35">
        <f>VLOOKUP(Tabla44[[#This Row],[SERVICIO 2025]],$J$2:$V$15,6,0)*Tabla44[[#This Row],[TOTAL COBERTURA]]</f>
        <v>2051450</v>
      </c>
      <c r="AO312" s="35">
        <f>VLOOKUP(Tabla44[[#This Row],[SERVICIO 2025]],$J$2:$V$15,8,0)*Tabla44[[#This Row],[TOTAL COBERTURA]]</f>
        <v>1455000</v>
      </c>
      <c r="AP312" s="35">
        <f>VLOOKUP(Tabla44[[#This Row],[SERVICIO 2025]],$J$2:$V$15,3,0)*Tabla44[[#This Row],[TOTAL COBERTURA]]*8</f>
        <v>103034400</v>
      </c>
      <c r="AQ312" s="35"/>
      <c r="AR312" s="35">
        <f>SUM(Tabla44[[#This Row],[VALOR FASE PREPARATORIA DE ALISTAMIENTO]:[VALOR RACION PREPARADA]])</f>
        <v>109009650</v>
      </c>
      <c r="AS312" s="35" t="str">
        <f>+IF(Tabla44[[#This Row],[AGRUPACIONES]]=1,SUMIFS(Tabla44[VALOR TOTAL],Tabla44[ZONA DEFINITIVO],Tabla44[[#This Row],[ZONA DEFINITIVO]])," ")</f>
        <v xml:space="preserve"> </v>
      </c>
      <c r="AT312" s="35">
        <f>VLOOKUP(Tabla44[[#This Row],[SERVICIO 2025]],$J$2:$V$15,10,0)*Tabla44[[#This Row],[TOTAL COBERTURA]]*$X$7</f>
        <v>72153200</v>
      </c>
      <c r="AU312" s="39">
        <f>Tabla44[[#This Row],[TOTAL CONTRATO (ICBF+EAS)]]+Tabla44[[#This Row],[VALOR COMPONENTE ALIMENTACION NO ASIGNADO]]</f>
        <v>181162850</v>
      </c>
      <c r="AV31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25822250</v>
      </c>
      <c r="AW312" s="35">
        <f>(VLOOKUP(Tabla44[[#This Row],[SERVICIO 2025]],$J$2:$V$15,3,0)*Tabla44[[#This Row],[TOTAL COBERTURA]])+VLOOKUP(Tabla44[[#This Row],[SERVICIO 2025]],$J$2:$V$15,10,0)*Tabla44[[#This Row],[TOTAL COBERTURA]]</f>
        <v>21898450</v>
      </c>
      <c r="AX312" s="35">
        <f>(VLOOKUP(Tabla44[[#This Row],[SERVICIO 2025]],$J$2:$V$15,3,0)*Tabla44[[#This Row],[TOTAL COBERTURA]])+VLOOKUP(Tabla44[[#This Row],[SERVICIO 2025]],$J$2:$V$15,10,0)*Tabla44[[#This Row],[TOTAL COBERTURA]]</f>
        <v>21898450</v>
      </c>
      <c r="AY312" s="35">
        <f>(VLOOKUP(Tabla44[[#This Row],[SERVICIO 2025]],$J$2:$V$15,3,0)*Tabla44[[#This Row],[TOTAL COBERTURA]])+VLOOKUP(Tabla44[[#This Row],[SERVICIO 2025]],$J$2:$V$15,10,0)*Tabla44[[#This Row],[TOTAL COBERTURA]]</f>
        <v>21898450</v>
      </c>
      <c r="AZ312" s="35">
        <f>(VLOOKUP(Tabla44[[#This Row],[SERVICIO 2025]],$J$2:$V$15,3,0)*Tabla44[[#This Row],[TOTAL COBERTURA]])+VLOOKUP(Tabla44[[#This Row],[SERVICIO 2025]],$J$2:$V$15,10,0)*Tabla44[[#This Row],[TOTAL COBERTURA]]</f>
        <v>21898450</v>
      </c>
      <c r="BA312" s="35">
        <f>(VLOOKUP(Tabla44[[#This Row],[SERVICIO 2025]],$J$2:$V$15,3,0)*Tabla44[[#This Row],[TOTAL COBERTURA]])+VLOOKUP(Tabla44[[#This Row],[SERVICIO 2025]],$J$2:$V$15,10,0)*Tabla44[[#This Row],[TOTAL COBERTURA]]</f>
        <v>21898450</v>
      </c>
      <c r="BB312" s="35">
        <f>(VLOOKUP(Tabla44[[#This Row],[SERVICIO 2025]],$J$2:$V$15,3,0)*Tabla44[[#This Row],[TOTAL COBERTURA]])+VLOOKUP(Tabla44[[#This Row],[SERVICIO 2025]],$J$2:$V$15,10,0)*Tabla44[[#This Row],[TOTAL COBERTURA]]</f>
        <v>21898450</v>
      </c>
      <c r="BC31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23949900</v>
      </c>
      <c r="BD312" s="35">
        <f>SUM(Tabla44[[#This Row],[DESEMBOLSO 1]:[DESEMBOLSO 8]])</f>
        <v>181162850</v>
      </c>
      <c r="BE312" s="12" t="b">
        <f>EXACT(Tabla44[[#This Row],[VALOR ATENCIÓN (8 MESES)]],Tabla44[[#This Row],[VALOR TOTAL]])</f>
        <v>1</v>
      </c>
      <c r="BF312" s="23">
        <f>Tabla44[[#This Row],[VALOR ATENCIÓN (8 MESES)]]-Tabla44[[#This Row],[VALOR TOTAL]]</f>
        <v>0</v>
      </c>
      <c r="BG312" s="12" t="b">
        <f>EXACT(Tabla44[[#This Row],[TOTAL DESEMBOLSOS]],Tabla44[[#This Row],[VALOR TOTAL DEL CONTRATO INCLUIDO EL COMPONENTE DE ALIMENTACIÓN]])</f>
        <v>1</v>
      </c>
      <c r="BH312" s="29">
        <f>Tabla44[[#This Row],[TOTAL DESEMBOLSOS]]-Tabla44[[#This Row],[VALOR TOTAL DEL CONTRATO INCLUIDO EL COMPONENTE DE ALIMENTACIÓN]]</f>
        <v>0</v>
      </c>
      <c r="BI312" t="s">
        <v>98</v>
      </c>
    </row>
    <row r="313" spans="1:61">
      <c r="A313" s="13">
        <v>1995</v>
      </c>
      <c r="B313" s="13"/>
      <c r="C313" s="12" t="s">
        <v>87</v>
      </c>
      <c r="D313" s="12" t="s">
        <v>1293</v>
      </c>
      <c r="E313" s="12" t="s">
        <v>3412</v>
      </c>
      <c r="F313" s="12" t="s">
        <v>18</v>
      </c>
      <c r="G313" s="12" t="s">
        <v>90</v>
      </c>
      <c r="H313" s="12" t="s">
        <v>3419</v>
      </c>
      <c r="I313" s="36">
        <v>56601136614</v>
      </c>
      <c r="J313" s="12" t="s">
        <v>3420</v>
      </c>
      <c r="K313" s="12">
        <v>1</v>
      </c>
      <c r="L313" s="12">
        <v>50</v>
      </c>
      <c r="M313" s="12"/>
      <c r="N313" s="13">
        <v>1995</v>
      </c>
      <c r="O313" s="12" t="s">
        <v>2850</v>
      </c>
      <c r="P313" s="12"/>
      <c r="Q313" s="12"/>
      <c r="R313" s="12" t="s">
        <v>94</v>
      </c>
      <c r="S313" s="12">
        <v>10</v>
      </c>
      <c r="T313" s="12">
        <v>811013275</v>
      </c>
      <c r="U313" s="12" t="s">
        <v>1478</v>
      </c>
      <c r="V313" s="12">
        <f>VLOOKUP(Tabla44[[#This Row],[ZONA DEFINITIVO]],[1]Hoja1!$A$1:$D$125,3,0)</f>
        <v>229941</v>
      </c>
      <c r="W313" s="12">
        <f>VLOOKUP(Tabla44[[#This Row],[ZONA DEFINITIVO]],[1]Hoja1!$A$1:$D$125,2,0)</f>
        <v>17255</v>
      </c>
      <c r="X313" s="12">
        <f>VLOOKUP(Tabla44[[#This Row],[ZONA DEFINITIVO]],[1]Hoja1!$A$1:$D$125,4,0)</f>
        <v>104425</v>
      </c>
      <c r="Y313" s="12" t="str">
        <f>+IF(Tabla44[[#This Row],[AGRUPACIONES]]=1,SUMIFS(Tabla44[UDS],Tabla44[ZONA DEFINITIVO],Tabla44[[#This Row],[ZONA DEFINITIVO]])," ")</f>
        <v xml:space="preserve"> </v>
      </c>
      <c r="Z313" s="12" t="str">
        <f>+IF(Tabla44[[#This Row],[AGRUPACIONES]]=1,SUMIFS(Tabla44[TOTAL COBERTURA],Tabla44[ZONA DEFINITIVO],Tabla44[[#This Row],[ZONA DEFINITIVO]])," ")</f>
        <v xml:space="preserve"> </v>
      </c>
      <c r="AA313" s="12"/>
      <c r="AB313" s="35">
        <v>109009650</v>
      </c>
      <c r="AC313" s="37">
        <v>0</v>
      </c>
      <c r="AD313" s="35">
        <f t="shared" si="5"/>
        <v>0</v>
      </c>
      <c r="AE313" s="12"/>
      <c r="AF313" s="12">
        <f>COUNTIF($A$20:A313,A313)</f>
        <v>12</v>
      </c>
      <c r="AG313" s="38">
        <v>109009650</v>
      </c>
      <c r="AH313" s="38">
        <f>Tabla44[[#This Row],[VALOR CONTRAPARTIDA]]+Tabla44[[#This Row],[TOTAL APORTES ICBF]]</f>
        <v>109009650</v>
      </c>
      <c r="AI313" s="35" t="str">
        <f>+IF(Tabla44[[#This Row],[AGRUPACIONES]]=1,SUMIFS(Tabla44[TOTAL APORTES ICBF],Tabla44[ZONA DEFINITIVO],Tabla44[[#This Row],[ZONA DEFINITIVO]])," ")</f>
        <v xml:space="preserve"> </v>
      </c>
      <c r="AJ313" s="38"/>
      <c r="AK313" s="38"/>
      <c r="AL313" s="35"/>
      <c r="AM313" s="35">
        <f>VLOOKUP(Tabla44[[#This Row],[SERVICIO 2025]],$J$2:$V$15,5,0)*Tabla44[[#This Row],[TOTAL COBERTURA]]</f>
        <v>2468800</v>
      </c>
      <c r="AN313" s="35">
        <f>VLOOKUP(Tabla44[[#This Row],[SERVICIO 2025]],$J$2:$V$15,6,0)*Tabla44[[#This Row],[TOTAL COBERTURA]]</f>
        <v>2051450</v>
      </c>
      <c r="AO313" s="35">
        <f>VLOOKUP(Tabla44[[#This Row],[SERVICIO 2025]],$J$2:$V$15,8,0)*Tabla44[[#This Row],[TOTAL COBERTURA]]</f>
        <v>1455000</v>
      </c>
      <c r="AP313" s="35">
        <f>VLOOKUP(Tabla44[[#This Row],[SERVICIO 2025]],$J$2:$V$15,3,0)*Tabla44[[#This Row],[TOTAL COBERTURA]]*8</f>
        <v>103034400</v>
      </c>
      <c r="AQ313" s="35"/>
      <c r="AR313" s="35">
        <f>SUM(Tabla44[[#This Row],[VALOR FASE PREPARATORIA DE ALISTAMIENTO]:[VALOR RACION PREPARADA]])</f>
        <v>109009650</v>
      </c>
      <c r="AS313" s="35" t="str">
        <f>+IF(Tabla44[[#This Row],[AGRUPACIONES]]=1,SUMIFS(Tabla44[VALOR TOTAL],Tabla44[ZONA DEFINITIVO],Tabla44[[#This Row],[ZONA DEFINITIVO]])," ")</f>
        <v xml:space="preserve"> </v>
      </c>
      <c r="AT313" s="35">
        <f>VLOOKUP(Tabla44[[#This Row],[SERVICIO 2025]],$J$2:$V$15,10,0)*Tabla44[[#This Row],[TOTAL COBERTURA]]*$X$7</f>
        <v>72153200</v>
      </c>
      <c r="AU313" s="39">
        <f>Tabla44[[#This Row],[TOTAL CONTRATO (ICBF+EAS)]]+Tabla44[[#This Row],[VALOR COMPONENTE ALIMENTACION NO ASIGNADO]]</f>
        <v>181162850</v>
      </c>
      <c r="AV31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25822250</v>
      </c>
      <c r="AW313" s="35">
        <f>(VLOOKUP(Tabla44[[#This Row],[SERVICIO 2025]],$J$2:$V$15,3,0)*Tabla44[[#This Row],[TOTAL COBERTURA]])+VLOOKUP(Tabla44[[#This Row],[SERVICIO 2025]],$J$2:$V$15,10,0)*Tabla44[[#This Row],[TOTAL COBERTURA]]</f>
        <v>21898450</v>
      </c>
      <c r="AX313" s="35">
        <f>(VLOOKUP(Tabla44[[#This Row],[SERVICIO 2025]],$J$2:$V$15,3,0)*Tabla44[[#This Row],[TOTAL COBERTURA]])+VLOOKUP(Tabla44[[#This Row],[SERVICIO 2025]],$J$2:$V$15,10,0)*Tabla44[[#This Row],[TOTAL COBERTURA]]</f>
        <v>21898450</v>
      </c>
      <c r="AY313" s="35">
        <f>(VLOOKUP(Tabla44[[#This Row],[SERVICIO 2025]],$J$2:$V$15,3,0)*Tabla44[[#This Row],[TOTAL COBERTURA]])+VLOOKUP(Tabla44[[#This Row],[SERVICIO 2025]],$J$2:$V$15,10,0)*Tabla44[[#This Row],[TOTAL COBERTURA]]</f>
        <v>21898450</v>
      </c>
      <c r="AZ313" s="35">
        <f>(VLOOKUP(Tabla44[[#This Row],[SERVICIO 2025]],$J$2:$V$15,3,0)*Tabla44[[#This Row],[TOTAL COBERTURA]])+VLOOKUP(Tabla44[[#This Row],[SERVICIO 2025]],$J$2:$V$15,10,0)*Tabla44[[#This Row],[TOTAL COBERTURA]]</f>
        <v>21898450</v>
      </c>
      <c r="BA313" s="35">
        <f>(VLOOKUP(Tabla44[[#This Row],[SERVICIO 2025]],$J$2:$V$15,3,0)*Tabla44[[#This Row],[TOTAL COBERTURA]])+VLOOKUP(Tabla44[[#This Row],[SERVICIO 2025]],$J$2:$V$15,10,0)*Tabla44[[#This Row],[TOTAL COBERTURA]]</f>
        <v>21898450</v>
      </c>
      <c r="BB313" s="35">
        <f>(VLOOKUP(Tabla44[[#This Row],[SERVICIO 2025]],$J$2:$V$15,3,0)*Tabla44[[#This Row],[TOTAL COBERTURA]])+VLOOKUP(Tabla44[[#This Row],[SERVICIO 2025]],$J$2:$V$15,10,0)*Tabla44[[#This Row],[TOTAL COBERTURA]]</f>
        <v>21898450</v>
      </c>
      <c r="BC31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23949900</v>
      </c>
      <c r="BD313" s="35">
        <f>SUM(Tabla44[[#This Row],[DESEMBOLSO 1]:[DESEMBOLSO 8]])</f>
        <v>181162850</v>
      </c>
      <c r="BE313" s="12" t="b">
        <f>EXACT(Tabla44[[#This Row],[VALOR ATENCIÓN (8 MESES)]],Tabla44[[#This Row],[VALOR TOTAL]])</f>
        <v>1</v>
      </c>
      <c r="BF313" s="23">
        <f>Tabla44[[#This Row],[VALOR ATENCIÓN (8 MESES)]]-Tabla44[[#This Row],[VALOR TOTAL]]</f>
        <v>0</v>
      </c>
      <c r="BG313" s="12" t="b">
        <f>EXACT(Tabla44[[#This Row],[TOTAL DESEMBOLSOS]],Tabla44[[#This Row],[VALOR TOTAL DEL CONTRATO INCLUIDO EL COMPONENTE DE ALIMENTACIÓN]])</f>
        <v>1</v>
      </c>
      <c r="BH313" s="29">
        <f>Tabla44[[#This Row],[TOTAL DESEMBOLSOS]]-Tabla44[[#This Row],[VALOR TOTAL DEL CONTRATO INCLUIDO EL COMPONENTE DE ALIMENTACIÓN]]</f>
        <v>0</v>
      </c>
      <c r="BI313" t="s">
        <v>98</v>
      </c>
    </row>
    <row r="314" spans="1:61">
      <c r="A314" s="13">
        <v>1995</v>
      </c>
      <c r="B314" s="13"/>
      <c r="C314" s="12" t="s">
        <v>87</v>
      </c>
      <c r="D314" s="12" t="s">
        <v>1293</v>
      </c>
      <c r="E314" s="12" t="s">
        <v>3412</v>
      </c>
      <c r="F314" s="12" t="s">
        <v>18</v>
      </c>
      <c r="G314" s="12" t="s">
        <v>90</v>
      </c>
      <c r="H314" s="12" t="s">
        <v>600</v>
      </c>
      <c r="I314" s="36">
        <v>56601136625</v>
      </c>
      <c r="J314" s="12" t="s">
        <v>3421</v>
      </c>
      <c r="K314" s="12">
        <v>1</v>
      </c>
      <c r="L314" s="12">
        <v>50</v>
      </c>
      <c r="M314" s="12"/>
      <c r="N314" s="13">
        <v>1995</v>
      </c>
      <c r="O314" s="12" t="s">
        <v>2850</v>
      </c>
      <c r="P314" s="12"/>
      <c r="Q314" s="12"/>
      <c r="R314" s="12" t="s">
        <v>94</v>
      </c>
      <c r="S314" s="12">
        <v>10</v>
      </c>
      <c r="T314" s="12">
        <v>811013275</v>
      </c>
      <c r="U314" s="12" t="s">
        <v>1478</v>
      </c>
      <c r="V314" s="12">
        <f>VLOOKUP(Tabla44[[#This Row],[ZONA DEFINITIVO]],[1]Hoja1!$A$1:$D$125,3,0)</f>
        <v>229941</v>
      </c>
      <c r="W314" s="12">
        <f>VLOOKUP(Tabla44[[#This Row],[ZONA DEFINITIVO]],[1]Hoja1!$A$1:$D$125,2,0)</f>
        <v>17255</v>
      </c>
      <c r="X314" s="12">
        <f>VLOOKUP(Tabla44[[#This Row],[ZONA DEFINITIVO]],[1]Hoja1!$A$1:$D$125,4,0)</f>
        <v>104425</v>
      </c>
      <c r="Y314" s="12" t="str">
        <f>+IF(Tabla44[[#This Row],[AGRUPACIONES]]=1,SUMIFS(Tabla44[UDS],Tabla44[ZONA DEFINITIVO],Tabla44[[#This Row],[ZONA DEFINITIVO]])," ")</f>
        <v xml:space="preserve"> </v>
      </c>
      <c r="Z314" s="12" t="str">
        <f>+IF(Tabla44[[#This Row],[AGRUPACIONES]]=1,SUMIFS(Tabla44[TOTAL COBERTURA],Tabla44[ZONA DEFINITIVO],Tabla44[[#This Row],[ZONA DEFINITIVO]])," ")</f>
        <v xml:space="preserve"> </v>
      </c>
      <c r="AA314" s="12"/>
      <c r="AB314" s="35">
        <v>109009650</v>
      </c>
      <c r="AC314" s="37">
        <v>0</v>
      </c>
      <c r="AD314" s="35">
        <f t="shared" si="5"/>
        <v>0</v>
      </c>
      <c r="AE314" s="12"/>
      <c r="AF314" s="12">
        <f>COUNTIF($A$20:A314,A314)</f>
        <v>13</v>
      </c>
      <c r="AG314" s="38">
        <v>109009650</v>
      </c>
      <c r="AH314" s="38">
        <f>Tabla44[[#This Row],[VALOR CONTRAPARTIDA]]+Tabla44[[#This Row],[TOTAL APORTES ICBF]]</f>
        <v>109009650</v>
      </c>
      <c r="AI314" s="35" t="str">
        <f>+IF(Tabla44[[#This Row],[AGRUPACIONES]]=1,SUMIFS(Tabla44[TOTAL APORTES ICBF],Tabla44[ZONA DEFINITIVO],Tabla44[[#This Row],[ZONA DEFINITIVO]])," ")</f>
        <v xml:space="preserve"> </v>
      </c>
      <c r="AJ314" s="38"/>
      <c r="AK314" s="38"/>
      <c r="AL314" s="35"/>
      <c r="AM314" s="35">
        <f>VLOOKUP(Tabla44[[#This Row],[SERVICIO 2025]],$J$2:$V$15,5,0)*Tabla44[[#This Row],[TOTAL COBERTURA]]</f>
        <v>2468800</v>
      </c>
      <c r="AN314" s="35">
        <f>VLOOKUP(Tabla44[[#This Row],[SERVICIO 2025]],$J$2:$V$15,6,0)*Tabla44[[#This Row],[TOTAL COBERTURA]]</f>
        <v>2051450</v>
      </c>
      <c r="AO314" s="35">
        <f>VLOOKUP(Tabla44[[#This Row],[SERVICIO 2025]],$J$2:$V$15,8,0)*Tabla44[[#This Row],[TOTAL COBERTURA]]</f>
        <v>1455000</v>
      </c>
      <c r="AP314" s="35">
        <f>VLOOKUP(Tabla44[[#This Row],[SERVICIO 2025]],$J$2:$V$15,3,0)*Tabla44[[#This Row],[TOTAL COBERTURA]]*8</f>
        <v>103034400</v>
      </c>
      <c r="AQ314" s="35"/>
      <c r="AR314" s="35">
        <f>SUM(Tabla44[[#This Row],[VALOR FASE PREPARATORIA DE ALISTAMIENTO]:[VALOR RACION PREPARADA]])</f>
        <v>109009650</v>
      </c>
      <c r="AS314" s="35" t="str">
        <f>+IF(Tabla44[[#This Row],[AGRUPACIONES]]=1,SUMIFS(Tabla44[VALOR TOTAL],Tabla44[ZONA DEFINITIVO],Tabla44[[#This Row],[ZONA DEFINITIVO]])," ")</f>
        <v xml:space="preserve"> </v>
      </c>
      <c r="AT314" s="35">
        <f>VLOOKUP(Tabla44[[#This Row],[SERVICIO 2025]],$J$2:$V$15,10,0)*Tabla44[[#This Row],[TOTAL COBERTURA]]*$X$7</f>
        <v>72153200</v>
      </c>
      <c r="AU314" s="39">
        <f>Tabla44[[#This Row],[TOTAL CONTRATO (ICBF+EAS)]]+Tabla44[[#This Row],[VALOR COMPONENTE ALIMENTACION NO ASIGNADO]]</f>
        <v>181162850</v>
      </c>
      <c r="AV31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25822250</v>
      </c>
      <c r="AW314" s="35">
        <f>(VLOOKUP(Tabla44[[#This Row],[SERVICIO 2025]],$J$2:$V$15,3,0)*Tabla44[[#This Row],[TOTAL COBERTURA]])+VLOOKUP(Tabla44[[#This Row],[SERVICIO 2025]],$J$2:$V$15,10,0)*Tabla44[[#This Row],[TOTAL COBERTURA]]</f>
        <v>21898450</v>
      </c>
      <c r="AX314" s="35">
        <f>(VLOOKUP(Tabla44[[#This Row],[SERVICIO 2025]],$J$2:$V$15,3,0)*Tabla44[[#This Row],[TOTAL COBERTURA]])+VLOOKUP(Tabla44[[#This Row],[SERVICIO 2025]],$J$2:$V$15,10,0)*Tabla44[[#This Row],[TOTAL COBERTURA]]</f>
        <v>21898450</v>
      </c>
      <c r="AY314" s="35">
        <f>(VLOOKUP(Tabla44[[#This Row],[SERVICIO 2025]],$J$2:$V$15,3,0)*Tabla44[[#This Row],[TOTAL COBERTURA]])+VLOOKUP(Tabla44[[#This Row],[SERVICIO 2025]],$J$2:$V$15,10,0)*Tabla44[[#This Row],[TOTAL COBERTURA]]</f>
        <v>21898450</v>
      </c>
      <c r="AZ314" s="35">
        <f>(VLOOKUP(Tabla44[[#This Row],[SERVICIO 2025]],$J$2:$V$15,3,0)*Tabla44[[#This Row],[TOTAL COBERTURA]])+VLOOKUP(Tabla44[[#This Row],[SERVICIO 2025]],$J$2:$V$15,10,0)*Tabla44[[#This Row],[TOTAL COBERTURA]]</f>
        <v>21898450</v>
      </c>
      <c r="BA314" s="35">
        <f>(VLOOKUP(Tabla44[[#This Row],[SERVICIO 2025]],$J$2:$V$15,3,0)*Tabla44[[#This Row],[TOTAL COBERTURA]])+VLOOKUP(Tabla44[[#This Row],[SERVICIO 2025]],$J$2:$V$15,10,0)*Tabla44[[#This Row],[TOTAL COBERTURA]]</f>
        <v>21898450</v>
      </c>
      <c r="BB314" s="35">
        <f>(VLOOKUP(Tabla44[[#This Row],[SERVICIO 2025]],$J$2:$V$15,3,0)*Tabla44[[#This Row],[TOTAL COBERTURA]])+VLOOKUP(Tabla44[[#This Row],[SERVICIO 2025]],$J$2:$V$15,10,0)*Tabla44[[#This Row],[TOTAL COBERTURA]]</f>
        <v>21898450</v>
      </c>
      <c r="BC31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23949900</v>
      </c>
      <c r="BD314" s="35">
        <f>SUM(Tabla44[[#This Row],[DESEMBOLSO 1]:[DESEMBOLSO 8]])</f>
        <v>181162850</v>
      </c>
      <c r="BE314" s="12" t="b">
        <f>EXACT(Tabla44[[#This Row],[VALOR ATENCIÓN (8 MESES)]],Tabla44[[#This Row],[VALOR TOTAL]])</f>
        <v>1</v>
      </c>
      <c r="BF314" s="23">
        <f>Tabla44[[#This Row],[VALOR ATENCIÓN (8 MESES)]]-Tabla44[[#This Row],[VALOR TOTAL]]</f>
        <v>0</v>
      </c>
      <c r="BG314" s="12" t="b">
        <f>EXACT(Tabla44[[#This Row],[TOTAL DESEMBOLSOS]],Tabla44[[#This Row],[VALOR TOTAL DEL CONTRATO INCLUIDO EL COMPONENTE DE ALIMENTACIÓN]])</f>
        <v>1</v>
      </c>
      <c r="BH314" s="29">
        <f>Tabla44[[#This Row],[TOTAL DESEMBOLSOS]]-Tabla44[[#This Row],[VALOR TOTAL DEL CONTRATO INCLUIDO EL COMPONENTE DE ALIMENTACIÓN]]</f>
        <v>0</v>
      </c>
      <c r="BI314" t="s">
        <v>98</v>
      </c>
    </row>
    <row r="315" spans="1:61">
      <c r="A315" s="13">
        <v>1995</v>
      </c>
      <c r="B315" s="13"/>
      <c r="C315" s="12" t="s">
        <v>87</v>
      </c>
      <c r="D315" s="12" t="s">
        <v>1293</v>
      </c>
      <c r="E315" s="12" t="s">
        <v>3412</v>
      </c>
      <c r="F315" s="12" t="s">
        <v>18</v>
      </c>
      <c r="G315" s="12" t="s">
        <v>90</v>
      </c>
      <c r="H315" s="12" t="s">
        <v>1282</v>
      </c>
      <c r="I315" s="36">
        <v>56601136627</v>
      </c>
      <c r="J315" s="12" t="s">
        <v>3422</v>
      </c>
      <c r="K315" s="12">
        <v>1</v>
      </c>
      <c r="L315" s="12">
        <v>50</v>
      </c>
      <c r="M315" s="12"/>
      <c r="N315" s="13">
        <v>1995</v>
      </c>
      <c r="O315" s="12" t="s">
        <v>2850</v>
      </c>
      <c r="P315" s="12"/>
      <c r="Q315" s="12"/>
      <c r="R315" s="12" t="s">
        <v>94</v>
      </c>
      <c r="S315" s="12">
        <v>10</v>
      </c>
      <c r="T315" s="12">
        <v>811013275</v>
      </c>
      <c r="U315" s="12" t="s">
        <v>1478</v>
      </c>
      <c r="V315" s="12">
        <f>VLOOKUP(Tabla44[[#This Row],[ZONA DEFINITIVO]],[1]Hoja1!$A$1:$D$125,3,0)</f>
        <v>229941</v>
      </c>
      <c r="W315" s="12">
        <f>VLOOKUP(Tabla44[[#This Row],[ZONA DEFINITIVO]],[1]Hoja1!$A$1:$D$125,2,0)</f>
        <v>17255</v>
      </c>
      <c r="X315" s="12">
        <f>VLOOKUP(Tabla44[[#This Row],[ZONA DEFINITIVO]],[1]Hoja1!$A$1:$D$125,4,0)</f>
        <v>104425</v>
      </c>
      <c r="Y315" s="12" t="str">
        <f>+IF(Tabla44[[#This Row],[AGRUPACIONES]]=1,SUMIFS(Tabla44[UDS],Tabla44[ZONA DEFINITIVO],Tabla44[[#This Row],[ZONA DEFINITIVO]])," ")</f>
        <v xml:space="preserve"> </v>
      </c>
      <c r="Z315" s="12" t="str">
        <f>+IF(Tabla44[[#This Row],[AGRUPACIONES]]=1,SUMIFS(Tabla44[TOTAL COBERTURA],Tabla44[ZONA DEFINITIVO],Tabla44[[#This Row],[ZONA DEFINITIVO]])," ")</f>
        <v xml:space="preserve"> </v>
      </c>
      <c r="AA315" s="12"/>
      <c r="AB315" s="35">
        <v>109009650</v>
      </c>
      <c r="AC315" s="37">
        <v>0</v>
      </c>
      <c r="AD315" s="35">
        <f t="shared" si="5"/>
        <v>0</v>
      </c>
      <c r="AE315" s="12"/>
      <c r="AF315" s="12">
        <f>COUNTIF($A$20:A315,A315)</f>
        <v>14</v>
      </c>
      <c r="AG315" s="38">
        <v>109009650</v>
      </c>
      <c r="AH315" s="38">
        <f>Tabla44[[#This Row],[VALOR CONTRAPARTIDA]]+Tabla44[[#This Row],[TOTAL APORTES ICBF]]</f>
        <v>109009650</v>
      </c>
      <c r="AI315" s="35" t="str">
        <f>+IF(Tabla44[[#This Row],[AGRUPACIONES]]=1,SUMIFS(Tabla44[TOTAL APORTES ICBF],Tabla44[ZONA DEFINITIVO],Tabla44[[#This Row],[ZONA DEFINITIVO]])," ")</f>
        <v xml:space="preserve"> </v>
      </c>
      <c r="AJ315" s="38"/>
      <c r="AK315" s="38"/>
      <c r="AL315" s="35"/>
      <c r="AM315" s="35">
        <f>VLOOKUP(Tabla44[[#This Row],[SERVICIO 2025]],$J$2:$V$15,5,0)*Tabla44[[#This Row],[TOTAL COBERTURA]]</f>
        <v>2468800</v>
      </c>
      <c r="AN315" s="35">
        <f>VLOOKUP(Tabla44[[#This Row],[SERVICIO 2025]],$J$2:$V$15,6,0)*Tabla44[[#This Row],[TOTAL COBERTURA]]</f>
        <v>2051450</v>
      </c>
      <c r="AO315" s="35">
        <f>VLOOKUP(Tabla44[[#This Row],[SERVICIO 2025]],$J$2:$V$15,8,0)*Tabla44[[#This Row],[TOTAL COBERTURA]]</f>
        <v>1455000</v>
      </c>
      <c r="AP315" s="35">
        <f>VLOOKUP(Tabla44[[#This Row],[SERVICIO 2025]],$J$2:$V$15,3,0)*Tabla44[[#This Row],[TOTAL COBERTURA]]*8</f>
        <v>103034400</v>
      </c>
      <c r="AQ315" s="35"/>
      <c r="AR315" s="35">
        <f>SUM(Tabla44[[#This Row],[VALOR FASE PREPARATORIA DE ALISTAMIENTO]:[VALOR RACION PREPARADA]])</f>
        <v>109009650</v>
      </c>
      <c r="AS315" s="35" t="str">
        <f>+IF(Tabla44[[#This Row],[AGRUPACIONES]]=1,SUMIFS(Tabla44[VALOR TOTAL],Tabla44[ZONA DEFINITIVO],Tabla44[[#This Row],[ZONA DEFINITIVO]])," ")</f>
        <v xml:space="preserve"> </v>
      </c>
      <c r="AT315" s="35">
        <f>VLOOKUP(Tabla44[[#This Row],[SERVICIO 2025]],$J$2:$V$15,10,0)*Tabla44[[#This Row],[TOTAL COBERTURA]]*$X$7</f>
        <v>72153200</v>
      </c>
      <c r="AU315" s="39">
        <f>Tabla44[[#This Row],[TOTAL CONTRATO (ICBF+EAS)]]+Tabla44[[#This Row],[VALOR COMPONENTE ALIMENTACION NO ASIGNADO]]</f>
        <v>181162850</v>
      </c>
      <c r="AV31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25822250</v>
      </c>
      <c r="AW315" s="35">
        <f>(VLOOKUP(Tabla44[[#This Row],[SERVICIO 2025]],$J$2:$V$15,3,0)*Tabla44[[#This Row],[TOTAL COBERTURA]])+VLOOKUP(Tabla44[[#This Row],[SERVICIO 2025]],$J$2:$V$15,10,0)*Tabla44[[#This Row],[TOTAL COBERTURA]]</f>
        <v>21898450</v>
      </c>
      <c r="AX315" s="35">
        <f>(VLOOKUP(Tabla44[[#This Row],[SERVICIO 2025]],$J$2:$V$15,3,0)*Tabla44[[#This Row],[TOTAL COBERTURA]])+VLOOKUP(Tabla44[[#This Row],[SERVICIO 2025]],$J$2:$V$15,10,0)*Tabla44[[#This Row],[TOTAL COBERTURA]]</f>
        <v>21898450</v>
      </c>
      <c r="AY315" s="35">
        <f>(VLOOKUP(Tabla44[[#This Row],[SERVICIO 2025]],$J$2:$V$15,3,0)*Tabla44[[#This Row],[TOTAL COBERTURA]])+VLOOKUP(Tabla44[[#This Row],[SERVICIO 2025]],$J$2:$V$15,10,0)*Tabla44[[#This Row],[TOTAL COBERTURA]]</f>
        <v>21898450</v>
      </c>
      <c r="AZ315" s="35">
        <f>(VLOOKUP(Tabla44[[#This Row],[SERVICIO 2025]],$J$2:$V$15,3,0)*Tabla44[[#This Row],[TOTAL COBERTURA]])+VLOOKUP(Tabla44[[#This Row],[SERVICIO 2025]],$J$2:$V$15,10,0)*Tabla44[[#This Row],[TOTAL COBERTURA]]</f>
        <v>21898450</v>
      </c>
      <c r="BA315" s="35">
        <f>(VLOOKUP(Tabla44[[#This Row],[SERVICIO 2025]],$J$2:$V$15,3,0)*Tabla44[[#This Row],[TOTAL COBERTURA]])+VLOOKUP(Tabla44[[#This Row],[SERVICIO 2025]],$J$2:$V$15,10,0)*Tabla44[[#This Row],[TOTAL COBERTURA]]</f>
        <v>21898450</v>
      </c>
      <c r="BB315" s="35">
        <f>(VLOOKUP(Tabla44[[#This Row],[SERVICIO 2025]],$J$2:$V$15,3,0)*Tabla44[[#This Row],[TOTAL COBERTURA]])+VLOOKUP(Tabla44[[#This Row],[SERVICIO 2025]],$J$2:$V$15,10,0)*Tabla44[[#This Row],[TOTAL COBERTURA]]</f>
        <v>21898450</v>
      </c>
      <c r="BC31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23949900</v>
      </c>
      <c r="BD315" s="35">
        <f>SUM(Tabla44[[#This Row],[DESEMBOLSO 1]:[DESEMBOLSO 8]])</f>
        <v>181162850</v>
      </c>
      <c r="BE315" s="12" t="b">
        <f>EXACT(Tabla44[[#This Row],[VALOR ATENCIÓN (8 MESES)]],Tabla44[[#This Row],[VALOR TOTAL]])</f>
        <v>1</v>
      </c>
      <c r="BF315" s="23">
        <f>Tabla44[[#This Row],[VALOR ATENCIÓN (8 MESES)]]-Tabla44[[#This Row],[VALOR TOTAL]]</f>
        <v>0</v>
      </c>
      <c r="BG315" s="12" t="b">
        <f>EXACT(Tabla44[[#This Row],[TOTAL DESEMBOLSOS]],Tabla44[[#This Row],[VALOR TOTAL DEL CONTRATO INCLUIDO EL COMPONENTE DE ALIMENTACIÓN]])</f>
        <v>1</v>
      </c>
      <c r="BH315" s="29">
        <f>Tabla44[[#This Row],[TOTAL DESEMBOLSOS]]-Tabla44[[#This Row],[VALOR TOTAL DEL CONTRATO INCLUIDO EL COMPONENTE DE ALIMENTACIÓN]]</f>
        <v>0</v>
      </c>
      <c r="BI315" t="s">
        <v>98</v>
      </c>
    </row>
    <row r="316" spans="1:61">
      <c r="A316" s="13">
        <v>1995</v>
      </c>
      <c r="B316" s="13"/>
      <c r="C316" s="12" t="s">
        <v>87</v>
      </c>
      <c r="D316" s="12" t="s">
        <v>1293</v>
      </c>
      <c r="E316" s="12" t="s">
        <v>3412</v>
      </c>
      <c r="F316" s="12" t="s">
        <v>14</v>
      </c>
      <c r="G316" s="12" t="s">
        <v>90</v>
      </c>
      <c r="H316" s="12" t="s">
        <v>3423</v>
      </c>
      <c r="I316" s="36">
        <v>566000023783</v>
      </c>
      <c r="J316" s="12" t="s">
        <v>3424</v>
      </c>
      <c r="K316" s="12">
        <v>1</v>
      </c>
      <c r="L316" s="12">
        <v>60</v>
      </c>
      <c r="M316" s="12"/>
      <c r="N316" s="13">
        <v>1995</v>
      </c>
      <c r="O316" s="12" t="s">
        <v>2850</v>
      </c>
      <c r="P316" s="12"/>
      <c r="Q316" s="12"/>
      <c r="R316" s="12" t="s">
        <v>94</v>
      </c>
      <c r="S316" s="12">
        <v>10</v>
      </c>
      <c r="T316" s="12">
        <v>811013275</v>
      </c>
      <c r="U316" s="12" t="s">
        <v>1478</v>
      </c>
      <c r="V316" s="12">
        <f>VLOOKUP(Tabla44[[#This Row],[ZONA DEFINITIVO]],[1]Hoja1!$A$1:$D$125,3,0)</f>
        <v>229941</v>
      </c>
      <c r="W316" s="12">
        <f>VLOOKUP(Tabla44[[#This Row],[ZONA DEFINITIVO]],[1]Hoja1!$A$1:$D$125,2,0)</f>
        <v>17255</v>
      </c>
      <c r="X316" s="12">
        <f>VLOOKUP(Tabla44[[#This Row],[ZONA DEFINITIVO]],[1]Hoja1!$A$1:$D$125,4,0)</f>
        <v>104425</v>
      </c>
      <c r="Y316" s="12" t="str">
        <f>+IF(Tabla44[[#This Row],[AGRUPACIONES]]=1,SUMIFS(Tabla44[UDS],Tabla44[ZONA DEFINITIVO],Tabla44[[#This Row],[ZONA DEFINITIVO]])," ")</f>
        <v xml:space="preserve"> </v>
      </c>
      <c r="Z316" s="12" t="str">
        <f>+IF(Tabla44[[#This Row],[AGRUPACIONES]]=1,SUMIFS(Tabla44[TOTAL COBERTURA],Tabla44[ZONA DEFINITIVO],Tabla44[[#This Row],[ZONA DEFINITIVO]])," ")</f>
        <v xml:space="preserve"> </v>
      </c>
      <c r="AA316" s="12"/>
      <c r="AB316" s="35">
        <v>251331000</v>
      </c>
      <c r="AC316" s="37">
        <v>0</v>
      </c>
      <c r="AD316" s="35">
        <f t="shared" si="5"/>
        <v>0</v>
      </c>
      <c r="AE316" s="12"/>
      <c r="AF316" s="12">
        <f>COUNTIF($A$20:A316,A316)</f>
        <v>15</v>
      </c>
      <c r="AG316" s="38">
        <v>251331000</v>
      </c>
      <c r="AH316" s="38">
        <f>Tabla44[[#This Row],[VALOR CONTRAPARTIDA]]+Tabla44[[#This Row],[TOTAL APORTES ICBF]]</f>
        <v>251331000</v>
      </c>
      <c r="AI316" s="35" t="str">
        <f>+IF(Tabla44[[#This Row],[AGRUPACIONES]]=1,SUMIFS(Tabla44[TOTAL APORTES ICBF],Tabla44[ZONA DEFINITIVO],Tabla44[[#This Row],[ZONA DEFINITIVO]])," ")</f>
        <v xml:space="preserve"> </v>
      </c>
      <c r="AJ316" s="38"/>
      <c r="AK316" s="38"/>
      <c r="AL316" s="35"/>
      <c r="AM316" s="35">
        <f>VLOOKUP(Tabla44[[#This Row],[SERVICIO 2025]],$J$2:$V$15,5,0)*Tabla44[[#This Row],[TOTAL COBERTURA]]</f>
        <v>5288580</v>
      </c>
      <c r="AN316" s="35">
        <f>VLOOKUP(Tabla44[[#This Row],[SERVICIO 2025]],$J$2:$V$15,6,0)*Tabla44[[#This Row],[TOTAL COBERTURA]]</f>
        <v>4502580</v>
      </c>
      <c r="AO316" s="35">
        <f>VLOOKUP(Tabla44[[#This Row],[SERVICIO 2025]],$J$2:$V$15,8,0)*Tabla44[[#This Row],[TOTAL COBERTURA]]</f>
        <v>0</v>
      </c>
      <c r="AP316" s="35">
        <f>VLOOKUP(Tabla44[[#This Row],[SERVICIO 2025]],$J$2:$V$15,3,0)*Tabla44[[#This Row],[TOTAL COBERTURA]]*8</f>
        <v>241539840</v>
      </c>
      <c r="AQ316" s="35"/>
      <c r="AR316" s="35">
        <f>SUM(Tabla44[[#This Row],[VALOR FASE PREPARATORIA DE ALISTAMIENTO]:[VALOR RACION PREPARADA]])</f>
        <v>251331000</v>
      </c>
      <c r="AS316" s="35" t="str">
        <f>+IF(Tabla44[[#This Row],[AGRUPACIONES]]=1,SUMIFS(Tabla44[VALOR TOTAL],Tabla44[ZONA DEFINITIVO],Tabla44[[#This Row],[ZONA DEFINITIVO]])," ")</f>
        <v xml:space="preserve"> </v>
      </c>
      <c r="AT316" s="35">
        <f>VLOOKUP(Tabla44[[#This Row],[SERVICIO 2025]],$J$2:$V$15,10,0)*Tabla44[[#This Row],[TOTAL COBERTURA]]*$X$7</f>
        <v>0</v>
      </c>
      <c r="AU316" s="39">
        <f>Tabla44[[#This Row],[TOTAL CONTRATO (ICBF+EAS)]]+Tabla44[[#This Row],[VALOR COMPONENTE ALIMENTACION NO ASIGNADO]]</f>
        <v>251331000</v>
      </c>
      <c r="AV31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35481060</v>
      </c>
      <c r="AW316" s="35">
        <f>(VLOOKUP(Tabla44[[#This Row],[SERVICIO 2025]],$J$2:$V$15,3,0)*Tabla44[[#This Row],[TOTAL COBERTURA]])+VLOOKUP(Tabla44[[#This Row],[SERVICIO 2025]],$J$2:$V$15,10,0)*Tabla44[[#This Row],[TOTAL COBERTURA]]</f>
        <v>30192480</v>
      </c>
      <c r="AX316" s="35">
        <f>(VLOOKUP(Tabla44[[#This Row],[SERVICIO 2025]],$J$2:$V$15,3,0)*Tabla44[[#This Row],[TOTAL COBERTURA]])+VLOOKUP(Tabla44[[#This Row],[SERVICIO 2025]],$J$2:$V$15,10,0)*Tabla44[[#This Row],[TOTAL COBERTURA]]</f>
        <v>30192480</v>
      </c>
      <c r="AY316" s="35">
        <f>(VLOOKUP(Tabla44[[#This Row],[SERVICIO 2025]],$J$2:$V$15,3,0)*Tabla44[[#This Row],[TOTAL COBERTURA]])+VLOOKUP(Tabla44[[#This Row],[SERVICIO 2025]],$J$2:$V$15,10,0)*Tabla44[[#This Row],[TOTAL COBERTURA]]</f>
        <v>30192480</v>
      </c>
      <c r="AZ316" s="35">
        <f>(VLOOKUP(Tabla44[[#This Row],[SERVICIO 2025]],$J$2:$V$15,3,0)*Tabla44[[#This Row],[TOTAL COBERTURA]])+VLOOKUP(Tabla44[[#This Row],[SERVICIO 2025]],$J$2:$V$15,10,0)*Tabla44[[#This Row],[TOTAL COBERTURA]]</f>
        <v>30192480</v>
      </c>
      <c r="BA316" s="35">
        <f>(VLOOKUP(Tabla44[[#This Row],[SERVICIO 2025]],$J$2:$V$15,3,0)*Tabla44[[#This Row],[TOTAL COBERTURA]])+VLOOKUP(Tabla44[[#This Row],[SERVICIO 2025]],$J$2:$V$15,10,0)*Tabla44[[#This Row],[TOTAL COBERTURA]]</f>
        <v>30192480</v>
      </c>
      <c r="BB316" s="35">
        <f>(VLOOKUP(Tabla44[[#This Row],[SERVICIO 2025]],$J$2:$V$15,3,0)*Tabla44[[#This Row],[TOTAL COBERTURA]])+VLOOKUP(Tabla44[[#This Row],[SERVICIO 2025]],$J$2:$V$15,10,0)*Tabla44[[#This Row],[TOTAL COBERTURA]]</f>
        <v>30192480</v>
      </c>
      <c r="BC31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34695060</v>
      </c>
      <c r="BD316" s="35">
        <f>SUM(Tabla44[[#This Row],[DESEMBOLSO 1]:[DESEMBOLSO 8]])</f>
        <v>251331000</v>
      </c>
      <c r="BE316" s="12" t="b">
        <f>EXACT(Tabla44[[#This Row],[VALOR ATENCIÓN (8 MESES)]],Tabla44[[#This Row],[VALOR TOTAL]])</f>
        <v>1</v>
      </c>
      <c r="BF316" s="23">
        <f>Tabla44[[#This Row],[VALOR ATENCIÓN (8 MESES)]]-Tabla44[[#This Row],[VALOR TOTAL]]</f>
        <v>0</v>
      </c>
      <c r="BG316" s="12" t="b">
        <f>EXACT(Tabla44[[#This Row],[TOTAL DESEMBOLSOS]],Tabla44[[#This Row],[VALOR TOTAL DEL CONTRATO INCLUIDO EL COMPONENTE DE ALIMENTACIÓN]])</f>
        <v>1</v>
      </c>
      <c r="BH316" s="29">
        <f>Tabla44[[#This Row],[TOTAL DESEMBOLSOS]]-Tabla44[[#This Row],[VALOR TOTAL DEL CONTRATO INCLUIDO EL COMPONENTE DE ALIMENTACIÓN]]</f>
        <v>0</v>
      </c>
      <c r="BI316" t="s">
        <v>98</v>
      </c>
    </row>
    <row r="317" spans="1:61">
      <c r="A317" s="13">
        <v>1995</v>
      </c>
      <c r="B317" s="13"/>
      <c r="C317" s="12" t="s">
        <v>87</v>
      </c>
      <c r="D317" s="12" t="s">
        <v>1293</v>
      </c>
      <c r="E317" s="12" t="s">
        <v>3412</v>
      </c>
      <c r="F317" s="12" t="s">
        <v>15</v>
      </c>
      <c r="G317" s="12" t="s">
        <v>90</v>
      </c>
      <c r="H317" s="12" t="s">
        <v>3425</v>
      </c>
      <c r="I317" s="36">
        <v>566000023817</v>
      </c>
      <c r="J317" s="12" t="s">
        <v>3426</v>
      </c>
      <c r="K317" s="12">
        <v>1</v>
      </c>
      <c r="L317" s="12">
        <v>59</v>
      </c>
      <c r="M317" s="12"/>
      <c r="N317" s="13">
        <v>1995</v>
      </c>
      <c r="O317" s="12" t="s">
        <v>2850</v>
      </c>
      <c r="P317" s="12"/>
      <c r="Q317" s="12"/>
      <c r="R317" s="12" t="s">
        <v>94</v>
      </c>
      <c r="S317" s="12">
        <v>10</v>
      </c>
      <c r="T317" s="12">
        <v>811013275</v>
      </c>
      <c r="U317" s="12" t="s">
        <v>1478</v>
      </c>
      <c r="V317" s="12">
        <f>VLOOKUP(Tabla44[[#This Row],[ZONA DEFINITIVO]],[1]Hoja1!$A$1:$D$125,3,0)</f>
        <v>229941</v>
      </c>
      <c r="W317" s="12">
        <f>VLOOKUP(Tabla44[[#This Row],[ZONA DEFINITIVO]],[1]Hoja1!$A$1:$D$125,2,0)</f>
        <v>17255</v>
      </c>
      <c r="X317" s="12">
        <f>VLOOKUP(Tabla44[[#This Row],[ZONA DEFINITIVO]],[1]Hoja1!$A$1:$D$125,4,0)</f>
        <v>104425</v>
      </c>
      <c r="Y317" s="12" t="str">
        <f>+IF(Tabla44[[#This Row],[AGRUPACIONES]]=1,SUMIFS(Tabla44[UDS],Tabla44[ZONA DEFINITIVO],Tabla44[[#This Row],[ZONA DEFINITIVO]])," ")</f>
        <v xml:space="preserve"> </v>
      </c>
      <c r="Z317" s="12" t="str">
        <f>+IF(Tabla44[[#This Row],[AGRUPACIONES]]=1,SUMIFS(Tabla44[TOTAL COBERTURA],Tabla44[ZONA DEFINITIVO],Tabla44[[#This Row],[ZONA DEFINITIVO]])," ")</f>
        <v xml:space="preserve"> </v>
      </c>
      <c r="AA317" s="12"/>
      <c r="AB317" s="35">
        <v>255434718</v>
      </c>
      <c r="AC317" s="37">
        <v>0</v>
      </c>
      <c r="AD317" s="35">
        <f t="shared" si="5"/>
        <v>0</v>
      </c>
      <c r="AE317" s="12"/>
      <c r="AF317" s="12">
        <f>COUNTIF($A$20:A317,A317)</f>
        <v>16</v>
      </c>
      <c r="AG317" s="38">
        <v>255434718</v>
      </c>
      <c r="AH317" s="38">
        <f>Tabla44[[#This Row],[VALOR CONTRAPARTIDA]]+Tabla44[[#This Row],[TOTAL APORTES ICBF]]</f>
        <v>255434718</v>
      </c>
      <c r="AI317" s="35" t="str">
        <f>+IF(Tabla44[[#This Row],[AGRUPACIONES]]=1,SUMIFS(Tabla44[TOTAL APORTES ICBF],Tabla44[ZONA DEFINITIVO],Tabla44[[#This Row],[ZONA DEFINITIVO]])," ")</f>
        <v xml:space="preserve"> </v>
      </c>
      <c r="AJ317" s="38"/>
      <c r="AK317" s="38"/>
      <c r="AL317" s="35"/>
      <c r="AM317" s="35">
        <f>VLOOKUP(Tabla44[[#This Row],[SERVICIO 2025]],$J$2:$V$15,5,0)*Tabla44[[#This Row],[TOTAL COBERTURA]]</f>
        <v>5200437</v>
      </c>
      <c r="AN317" s="35">
        <f>VLOOKUP(Tabla44[[#This Row],[SERVICIO 2025]],$J$2:$V$15,6,0)*Tabla44[[#This Row],[TOTAL COBERTURA]]</f>
        <v>4427537</v>
      </c>
      <c r="AO317" s="35">
        <f>VLOOKUP(Tabla44[[#This Row],[SERVICIO 2025]],$J$2:$V$15,8,0)*Tabla44[[#This Row],[TOTAL COBERTURA]]</f>
        <v>0</v>
      </c>
      <c r="AP317" s="35">
        <f>VLOOKUP(Tabla44[[#This Row],[SERVICIO 2025]],$J$2:$V$15,3,0)*Tabla44[[#This Row],[TOTAL COBERTURA]]*8</f>
        <v>245806744</v>
      </c>
      <c r="AQ317" s="35"/>
      <c r="AR317" s="35">
        <f>SUM(Tabla44[[#This Row],[VALOR FASE PREPARATORIA DE ALISTAMIENTO]:[VALOR RACION PREPARADA]])</f>
        <v>255434718</v>
      </c>
      <c r="AS317" s="35" t="str">
        <f>+IF(Tabla44[[#This Row],[AGRUPACIONES]]=1,SUMIFS(Tabla44[VALOR TOTAL],Tabla44[ZONA DEFINITIVO],Tabla44[[#This Row],[ZONA DEFINITIVO]])," ")</f>
        <v xml:space="preserve"> </v>
      </c>
      <c r="AT317" s="35">
        <f>VLOOKUP(Tabla44[[#This Row],[SERVICIO 2025]],$J$2:$V$15,10,0)*Tabla44[[#This Row],[TOTAL COBERTURA]]*$X$7</f>
        <v>0</v>
      </c>
      <c r="AU317" s="39">
        <f>Tabla44[[#This Row],[TOTAL CONTRATO (ICBF+EAS)]]+Tabla44[[#This Row],[VALOR COMPONENTE ALIMENTACION NO ASIGNADO]]</f>
        <v>255434718</v>
      </c>
      <c r="AV31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35926280</v>
      </c>
      <c r="AW317" s="35">
        <f>(VLOOKUP(Tabla44[[#This Row],[SERVICIO 2025]],$J$2:$V$15,3,0)*Tabla44[[#This Row],[TOTAL COBERTURA]])+VLOOKUP(Tabla44[[#This Row],[SERVICIO 2025]],$J$2:$V$15,10,0)*Tabla44[[#This Row],[TOTAL COBERTURA]]</f>
        <v>30725843</v>
      </c>
      <c r="AX317" s="35">
        <f>(VLOOKUP(Tabla44[[#This Row],[SERVICIO 2025]],$J$2:$V$15,3,0)*Tabla44[[#This Row],[TOTAL COBERTURA]])+VLOOKUP(Tabla44[[#This Row],[SERVICIO 2025]],$J$2:$V$15,10,0)*Tabla44[[#This Row],[TOTAL COBERTURA]]</f>
        <v>30725843</v>
      </c>
      <c r="AY317" s="35">
        <f>(VLOOKUP(Tabla44[[#This Row],[SERVICIO 2025]],$J$2:$V$15,3,0)*Tabla44[[#This Row],[TOTAL COBERTURA]])+VLOOKUP(Tabla44[[#This Row],[SERVICIO 2025]],$J$2:$V$15,10,0)*Tabla44[[#This Row],[TOTAL COBERTURA]]</f>
        <v>30725843</v>
      </c>
      <c r="AZ317" s="35">
        <f>(VLOOKUP(Tabla44[[#This Row],[SERVICIO 2025]],$J$2:$V$15,3,0)*Tabla44[[#This Row],[TOTAL COBERTURA]])+VLOOKUP(Tabla44[[#This Row],[SERVICIO 2025]],$J$2:$V$15,10,0)*Tabla44[[#This Row],[TOTAL COBERTURA]]</f>
        <v>30725843</v>
      </c>
      <c r="BA317" s="35">
        <f>(VLOOKUP(Tabla44[[#This Row],[SERVICIO 2025]],$J$2:$V$15,3,0)*Tabla44[[#This Row],[TOTAL COBERTURA]])+VLOOKUP(Tabla44[[#This Row],[SERVICIO 2025]],$J$2:$V$15,10,0)*Tabla44[[#This Row],[TOTAL COBERTURA]]</f>
        <v>30725843</v>
      </c>
      <c r="BB317" s="35">
        <f>(VLOOKUP(Tabla44[[#This Row],[SERVICIO 2025]],$J$2:$V$15,3,0)*Tabla44[[#This Row],[TOTAL COBERTURA]])+VLOOKUP(Tabla44[[#This Row],[SERVICIO 2025]],$J$2:$V$15,10,0)*Tabla44[[#This Row],[TOTAL COBERTURA]]</f>
        <v>30725843</v>
      </c>
      <c r="BC31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35153380</v>
      </c>
      <c r="BD317" s="35">
        <f>SUM(Tabla44[[#This Row],[DESEMBOLSO 1]:[DESEMBOLSO 8]])</f>
        <v>255434718</v>
      </c>
      <c r="BE317" s="12" t="b">
        <f>EXACT(Tabla44[[#This Row],[VALOR ATENCIÓN (8 MESES)]],Tabla44[[#This Row],[VALOR TOTAL]])</f>
        <v>1</v>
      </c>
      <c r="BF317" s="23">
        <f>Tabla44[[#This Row],[VALOR ATENCIÓN (8 MESES)]]-Tabla44[[#This Row],[VALOR TOTAL]]</f>
        <v>0</v>
      </c>
      <c r="BG317" s="12" t="b">
        <f>EXACT(Tabla44[[#This Row],[TOTAL DESEMBOLSOS]],Tabla44[[#This Row],[VALOR TOTAL DEL CONTRATO INCLUIDO EL COMPONENTE DE ALIMENTACIÓN]])</f>
        <v>1</v>
      </c>
      <c r="BH317" s="29">
        <f>Tabla44[[#This Row],[TOTAL DESEMBOLSOS]]-Tabla44[[#This Row],[VALOR TOTAL DEL CONTRATO INCLUIDO EL COMPONENTE DE ALIMENTACIÓN]]</f>
        <v>0</v>
      </c>
      <c r="BI317" t="s">
        <v>98</v>
      </c>
    </row>
    <row r="318" spans="1:61">
      <c r="A318" s="13">
        <v>1995</v>
      </c>
      <c r="B318" s="13"/>
      <c r="C318" s="12" t="s">
        <v>87</v>
      </c>
      <c r="D318" s="12" t="s">
        <v>1293</v>
      </c>
      <c r="E318" s="12" t="s">
        <v>3412</v>
      </c>
      <c r="F318" s="12" t="s">
        <v>18</v>
      </c>
      <c r="G318" s="12" t="s">
        <v>90</v>
      </c>
      <c r="H318" s="12" t="s">
        <v>3353</v>
      </c>
      <c r="I318" s="36">
        <v>566000100033</v>
      </c>
      <c r="J318" s="12" t="s">
        <v>3427</v>
      </c>
      <c r="K318" s="12">
        <v>1</v>
      </c>
      <c r="L318" s="12">
        <v>50</v>
      </c>
      <c r="M318" s="12"/>
      <c r="N318" s="13">
        <v>1995</v>
      </c>
      <c r="O318" s="12" t="s">
        <v>2850</v>
      </c>
      <c r="P318" s="12"/>
      <c r="Q318" s="12"/>
      <c r="R318" s="12" t="s">
        <v>94</v>
      </c>
      <c r="S318" s="12">
        <v>10</v>
      </c>
      <c r="T318" s="12">
        <v>811013275</v>
      </c>
      <c r="U318" s="12" t="s">
        <v>1478</v>
      </c>
      <c r="V318" s="12">
        <f>VLOOKUP(Tabla44[[#This Row],[ZONA DEFINITIVO]],[1]Hoja1!$A$1:$D$125,3,0)</f>
        <v>229941</v>
      </c>
      <c r="W318" s="12">
        <f>VLOOKUP(Tabla44[[#This Row],[ZONA DEFINITIVO]],[1]Hoja1!$A$1:$D$125,2,0)</f>
        <v>17255</v>
      </c>
      <c r="X318" s="12">
        <f>VLOOKUP(Tabla44[[#This Row],[ZONA DEFINITIVO]],[1]Hoja1!$A$1:$D$125,4,0)</f>
        <v>104425</v>
      </c>
      <c r="Y318" s="12" t="str">
        <f>+IF(Tabla44[[#This Row],[AGRUPACIONES]]=1,SUMIFS(Tabla44[UDS],Tabla44[ZONA DEFINITIVO],Tabla44[[#This Row],[ZONA DEFINITIVO]])," ")</f>
        <v xml:space="preserve"> </v>
      </c>
      <c r="Z318" s="12" t="str">
        <f>+IF(Tabla44[[#This Row],[AGRUPACIONES]]=1,SUMIFS(Tabla44[TOTAL COBERTURA],Tabla44[ZONA DEFINITIVO],Tabla44[[#This Row],[ZONA DEFINITIVO]])," ")</f>
        <v xml:space="preserve"> </v>
      </c>
      <c r="AA318" s="12"/>
      <c r="AB318" s="35">
        <v>109009650</v>
      </c>
      <c r="AC318" s="37">
        <v>0</v>
      </c>
      <c r="AD318" s="35">
        <f t="shared" si="5"/>
        <v>0</v>
      </c>
      <c r="AE318" s="12"/>
      <c r="AF318" s="12">
        <f>COUNTIF($A$20:A318,A318)</f>
        <v>17</v>
      </c>
      <c r="AG318" s="38">
        <v>109009650</v>
      </c>
      <c r="AH318" s="38">
        <f>Tabla44[[#This Row],[VALOR CONTRAPARTIDA]]+Tabla44[[#This Row],[TOTAL APORTES ICBF]]</f>
        <v>109009650</v>
      </c>
      <c r="AI318" s="35" t="str">
        <f>+IF(Tabla44[[#This Row],[AGRUPACIONES]]=1,SUMIFS(Tabla44[TOTAL APORTES ICBF],Tabla44[ZONA DEFINITIVO],Tabla44[[#This Row],[ZONA DEFINITIVO]])," ")</f>
        <v xml:space="preserve"> </v>
      </c>
      <c r="AJ318" s="38"/>
      <c r="AK318" s="38"/>
      <c r="AL318" s="35"/>
      <c r="AM318" s="35">
        <f>VLOOKUP(Tabla44[[#This Row],[SERVICIO 2025]],$J$2:$V$15,5,0)*Tabla44[[#This Row],[TOTAL COBERTURA]]</f>
        <v>2468800</v>
      </c>
      <c r="AN318" s="35">
        <f>VLOOKUP(Tabla44[[#This Row],[SERVICIO 2025]],$J$2:$V$15,6,0)*Tabla44[[#This Row],[TOTAL COBERTURA]]</f>
        <v>2051450</v>
      </c>
      <c r="AO318" s="35">
        <f>VLOOKUP(Tabla44[[#This Row],[SERVICIO 2025]],$J$2:$V$15,8,0)*Tabla44[[#This Row],[TOTAL COBERTURA]]</f>
        <v>1455000</v>
      </c>
      <c r="AP318" s="35">
        <f>VLOOKUP(Tabla44[[#This Row],[SERVICIO 2025]],$J$2:$V$15,3,0)*Tabla44[[#This Row],[TOTAL COBERTURA]]*8</f>
        <v>103034400</v>
      </c>
      <c r="AQ318" s="35"/>
      <c r="AR318" s="35">
        <f>SUM(Tabla44[[#This Row],[VALOR FASE PREPARATORIA DE ALISTAMIENTO]:[VALOR RACION PREPARADA]])</f>
        <v>109009650</v>
      </c>
      <c r="AS318" s="35" t="str">
        <f>+IF(Tabla44[[#This Row],[AGRUPACIONES]]=1,SUMIFS(Tabla44[VALOR TOTAL],Tabla44[ZONA DEFINITIVO],Tabla44[[#This Row],[ZONA DEFINITIVO]])," ")</f>
        <v xml:space="preserve"> </v>
      </c>
      <c r="AT318" s="35">
        <f>VLOOKUP(Tabla44[[#This Row],[SERVICIO 2025]],$J$2:$V$15,10,0)*Tabla44[[#This Row],[TOTAL COBERTURA]]*$X$7</f>
        <v>72153200</v>
      </c>
      <c r="AU318" s="39">
        <f>Tabla44[[#This Row],[TOTAL CONTRATO (ICBF+EAS)]]+Tabla44[[#This Row],[VALOR COMPONENTE ALIMENTACION NO ASIGNADO]]</f>
        <v>181162850</v>
      </c>
      <c r="AV31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25822250</v>
      </c>
      <c r="AW318" s="35">
        <f>(VLOOKUP(Tabla44[[#This Row],[SERVICIO 2025]],$J$2:$V$15,3,0)*Tabla44[[#This Row],[TOTAL COBERTURA]])+VLOOKUP(Tabla44[[#This Row],[SERVICIO 2025]],$J$2:$V$15,10,0)*Tabla44[[#This Row],[TOTAL COBERTURA]]</f>
        <v>21898450</v>
      </c>
      <c r="AX318" s="35">
        <f>(VLOOKUP(Tabla44[[#This Row],[SERVICIO 2025]],$J$2:$V$15,3,0)*Tabla44[[#This Row],[TOTAL COBERTURA]])+VLOOKUP(Tabla44[[#This Row],[SERVICIO 2025]],$J$2:$V$15,10,0)*Tabla44[[#This Row],[TOTAL COBERTURA]]</f>
        <v>21898450</v>
      </c>
      <c r="AY318" s="35">
        <f>(VLOOKUP(Tabla44[[#This Row],[SERVICIO 2025]],$J$2:$V$15,3,0)*Tabla44[[#This Row],[TOTAL COBERTURA]])+VLOOKUP(Tabla44[[#This Row],[SERVICIO 2025]],$J$2:$V$15,10,0)*Tabla44[[#This Row],[TOTAL COBERTURA]]</f>
        <v>21898450</v>
      </c>
      <c r="AZ318" s="35">
        <f>(VLOOKUP(Tabla44[[#This Row],[SERVICIO 2025]],$J$2:$V$15,3,0)*Tabla44[[#This Row],[TOTAL COBERTURA]])+VLOOKUP(Tabla44[[#This Row],[SERVICIO 2025]],$J$2:$V$15,10,0)*Tabla44[[#This Row],[TOTAL COBERTURA]]</f>
        <v>21898450</v>
      </c>
      <c r="BA318" s="35">
        <f>(VLOOKUP(Tabla44[[#This Row],[SERVICIO 2025]],$J$2:$V$15,3,0)*Tabla44[[#This Row],[TOTAL COBERTURA]])+VLOOKUP(Tabla44[[#This Row],[SERVICIO 2025]],$J$2:$V$15,10,0)*Tabla44[[#This Row],[TOTAL COBERTURA]]</f>
        <v>21898450</v>
      </c>
      <c r="BB318" s="35">
        <f>(VLOOKUP(Tabla44[[#This Row],[SERVICIO 2025]],$J$2:$V$15,3,0)*Tabla44[[#This Row],[TOTAL COBERTURA]])+VLOOKUP(Tabla44[[#This Row],[SERVICIO 2025]],$J$2:$V$15,10,0)*Tabla44[[#This Row],[TOTAL COBERTURA]]</f>
        <v>21898450</v>
      </c>
      <c r="BC31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23949900</v>
      </c>
      <c r="BD318" s="35">
        <f>SUM(Tabla44[[#This Row],[DESEMBOLSO 1]:[DESEMBOLSO 8]])</f>
        <v>181162850</v>
      </c>
      <c r="BE318" s="12" t="b">
        <f>EXACT(Tabla44[[#This Row],[VALOR ATENCIÓN (8 MESES)]],Tabla44[[#This Row],[VALOR TOTAL]])</f>
        <v>1</v>
      </c>
      <c r="BF318" s="23">
        <f>Tabla44[[#This Row],[VALOR ATENCIÓN (8 MESES)]]-Tabla44[[#This Row],[VALOR TOTAL]]</f>
        <v>0</v>
      </c>
      <c r="BG318" s="12" t="b">
        <f>EXACT(Tabla44[[#This Row],[TOTAL DESEMBOLSOS]],Tabla44[[#This Row],[VALOR TOTAL DEL CONTRATO INCLUIDO EL COMPONENTE DE ALIMENTACIÓN]])</f>
        <v>1</v>
      </c>
      <c r="BH318" s="29">
        <f>Tabla44[[#This Row],[TOTAL DESEMBOLSOS]]-Tabla44[[#This Row],[VALOR TOTAL DEL CONTRATO INCLUIDO EL COMPONENTE DE ALIMENTACIÓN]]</f>
        <v>0</v>
      </c>
      <c r="BI318" t="s">
        <v>98</v>
      </c>
    </row>
    <row r="319" spans="1:61">
      <c r="A319" s="13">
        <v>1995</v>
      </c>
      <c r="B319" s="13"/>
      <c r="C319" s="12" t="s">
        <v>87</v>
      </c>
      <c r="D319" s="12" t="s">
        <v>1293</v>
      </c>
      <c r="E319" s="12" t="s">
        <v>3396</v>
      </c>
      <c r="F319" s="12" t="s">
        <v>13</v>
      </c>
      <c r="G319" s="12" t="s">
        <v>90</v>
      </c>
      <c r="H319" s="12"/>
      <c r="I319">
        <v>56491115602</v>
      </c>
      <c r="J319" s="12" t="s">
        <v>3428</v>
      </c>
      <c r="K319" s="12">
        <v>1</v>
      </c>
      <c r="L319" s="12">
        <v>90</v>
      </c>
      <c r="M319" s="12"/>
      <c r="N319" s="13">
        <v>1995</v>
      </c>
      <c r="O319" s="12" t="s">
        <v>2850</v>
      </c>
      <c r="P319" s="12"/>
      <c r="Q319" s="12"/>
      <c r="R319" s="12" t="s">
        <v>94</v>
      </c>
      <c r="S319" s="12">
        <v>10</v>
      </c>
      <c r="T319" s="12">
        <v>811013275</v>
      </c>
      <c r="U319" s="12" t="s">
        <v>1478</v>
      </c>
      <c r="V319" s="12">
        <f>VLOOKUP(Tabla44[[#This Row],[ZONA DEFINITIVO]],[1]Hoja1!$A$1:$D$125,3,0)</f>
        <v>229941</v>
      </c>
      <c r="W319" s="12">
        <f>VLOOKUP(Tabla44[[#This Row],[ZONA DEFINITIVO]],[1]Hoja1!$A$1:$D$125,2,0)</f>
        <v>17255</v>
      </c>
      <c r="X319" s="12">
        <f>VLOOKUP(Tabla44[[#This Row],[ZONA DEFINITIVO]],[1]Hoja1!$A$1:$D$125,4,0)</f>
        <v>104425</v>
      </c>
      <c r="Y319" s="12" t="str">
        <f>+IF(Tabla44[[#This Row],[AGRUPACIONES]]=1,SUMIFS(Tabla44[UDS],Tabla44[ZONA DEFINITIVO],Tabla44[[#This Row],[ZONA DEFINITIVO]])," ")</f>
        <v xml:space="preserve"> </v>
      </c>
      <c r="Z319" s="12" t="str">
        <f>+IF(Tabla44[[#This Row],[AGRUPACIONES]]=1,SUMIFS(Tabla44[TOTAL COBERTURA],Tabla44[ZONA DEFINITIVO],Tabla44[[#This Row],[ZONA DEFINITIVO]])," ")</f>
        <v xml:space="preserve"> </v>
      </c>
      <c r="AA319" s="12"/>
      <c r="AB319" s="35">
        <v>266103540</v>
      </c>
      <c r="AC319" s="37">
        <v>0</v>
      </c>
      <c r="AD319" s="35">
        <f t="shared" si="5"/>
        <v>0</v>
      </c>
      <c r="AE319" s="12"/>
      <c r="AF319" s="12">
        <f>COUNTIF($A$20:A319,A319)</f>
        <v>18</v>
      </c>
      <c r="AG319" s="38">
        <v>266103540</v>
      </c>
      <c r="AH319" s="38">
        <f>Tabla44[[#This Row],[VALOR CONTRAPARTIDA]]+Tabla44[[#This Row],[TOTAL APORTES ICBF]]</f>
        <v>266103540</v>
      </c>
      <c r="AI319" s="35" t="str">
        <f>+IF(Tabla44[[#This Row],[AGRUPACIONES]]=1,SUMIFS(Tabla44[TOTAL APORTES ICBF],Tabla44[ZONA DEFINITIVO],Tabla44[[#This Row],[ZONA DEFINITIVO]])," ")</f>
        <v xml:space="preserve"> </v>
      </c>
      <c r="AJ319" s="38"/>
      <c r="AK319" s="38"/>
      <c r="AL319" s="35"/>
      <c r="AM319" s="35">
        <f>VLOOKUP(Tabla44[[#This Row],[SERVICIO 2025]],$J$2:$V$15,5,0)*Tabla44[[#This Row],[TOTAL COBERTURA]]</f>
        <v>7932870</v>
      </c>
      <c r="AN319" s="35">
        <f>VLOOKUP(Tabla44[[#This Row],[SERVICIO 2025]],$J$2:$V$15,6,0)*Tabla44[[#This Row],[TOTAL COBERTURA]]</f>
        <v>6753870</v>
      </c>
      <c r="AO319" s="35">
        <f>VLOOKUP(Tabla44[[#This Row],[SERVICIO 2025]],$J$2:$V$15,8,0)*Tabla44[[#This Row],[TOTAL COBERTURA]]</f>
        <v>0</v>
      </c>
      <c r="AP319" s="35">
        <f>VLOOKUP(Tabla44[[#This Row],[SERVICIO 2025]],$J$2:$V$15,3,0)*Tabla44[[#This Row],[TOTAL COBERTURA]]*8</f>
        <v>251416800</v>
      </c>
      <c r="AQ319" s="35"/>
      <c r="AR319" s="35">
        <f>SUM(Tabla44[[#This Row],[VALOR FASE PREPARATORIA DE ALISTAMIENTO]:[VALOR RACION PREPARADA]])</f>
        <v>266103540</v>
      </c>
      <c r="AS319" s="35" t="str">
        <f>+IF(Tabla44[[#This Row],[AGRUPACIONES]]=1,SUMIFS(Tabla44[VALOR TOTAL],Tabla44[ZONA DEFINITIVO],Tabla44[[#This Row],[ZONA DEFINITIVO]])," ")</f>
        <v xml:space="preserve"> </v>
      </c>
      <c r="AT319" s="35">
        <f>VLOOKUP(Tabla44[[#This Row],[SERVICIO 2025]],$J$2:$V$15,10,0)*Tabla44[[#This Row],[TOTAL COBERTURA]]*$X$7</f>
        <v>110892960</v>
      </c>
      <c r="AU319" s="39">
        <f>Tabla44[[#This Row],[TOTAL CONTRATO (ICBF+EAS)]]+Tabla44[[#This Row],[VALOR COMPONENTE ALIMENTACION NO ASIGNADO]]</f>
        <v>376996500</v>
      </c>
      <c r="AV31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53221590</v>
      </c>
      <c r="AW319" s="35">
        <f>(VLOOKUP(Tabla44[[#This Row],[SERVICIO 2025]],$J$2:$V$15,3,0)*Tabla44[[#This Row],[TOTAL COBERTURA]])+VLOOKUP(Tabla44[[#This Row],[SERVICIO 2025]],$J$2:$V$15,10,0)*Tabla44[[#This Row],[TOTAL COBERTURA]]</f>
        <v>45288720</v>
      </c>
      <c r="AX319" s="35">
        <f>(VLOOKUP(Tabla44[[#This Row],[SERVICIO 2025]],$J$2:$V$15,3,0)*Tabla44[[#This Row],[TOTAL COBERTURA]])+VLOOKUP(Tabla44[[#This Row],[SERVICIO 2025]],$J$2:$V$15,10,0)*Tabla44[[#This Row],[TOTAL COBERTURA]]</f>
        <v>45288720</v>
      </c>
      <c r="AY319" s="35">
        <f>(VLOOKUP(Tabla44[[#This Row],[SERVICIO 2025]],$J$2:$V$15,3,0)*Tabla44[[#This Row],[TOTAL COBERTURA]])+VLOOKUP(Tabla44[[#This Row],[SERVICIO 2025]],$J$2:$V$15,10,0)*Tabla44[[#This Row],[TOTAL COBERTURA]]</f>
        <v>45288720</v>
      </c>
      <c r="AZ319" s="35">
        <f>(VLOOKUP(Tabla44[[#This Row],[SERVICIO 2025]],$J$2:$V$15,3,0)*Tabla44[[#This Row],[TOTAL COBERTURA]])+VLOOKUP(Tabla44[[#This Row],[SERVICIO 2025]],$J$2:$V$15,10,0)*Tabla44[[#This Row],[TOTAL COBERTURA]]</f>
        <v>45288720</v>
      </c>
      <c r="BA319" s="35">
        <f>(VLOOKUP(Tabla44[[#This Row],[SERVICIO 2025]],$J$2:$V$15,3,0)*Tabla44[[#This Row],[TOTAL COBERTURA]])+VLOOKUP(Tabla44[[#This Row],[SERVICIO 2025]],$J$2:$V$15,10,0)*Tabla44[[#This Row],[TOTAL COBERTURA]]</f>
        <v>45288720</v>
      </c>
      <c r="BB319" s="35">
        <f>(VLOOKUP(Tabla44[[#This Row],[SERVICIO 2025]],$J$2:$V$15,3,0)*Tabla44[[#This Row],[TOTAL COBERTURA]])+VLOOKUP(Tabla44[[#This Row],[SERVICIO 2025]],$J$2:$V$15,10,0)*Tabla44[[#This Row],[TOTAL COBERTURA]]</f>
        <v>45288720</v>
      </c>
      <c r="BC31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52042590</v>
      </c>
      <c r="BD319" s="35">
        <f>SUM(Tabla44[[#This Row],[DESEMBOLSO 1]:[DESEMBOLSO 8]])</f>
        <v>376996500</v>
      </c>
      <c r="BE319" s="12" t="b">
        <f>EXACT(Tabla44[[#This Row],[VALOR ATENCIÓN (8 MESES)]],Tabla44[[#This Row],[VALOR TOTAL]])</f>
        <v>1</v>
      </c>
      <c r="BF319" s="23">
        <f>Tabla44[[#This Row],[VALOR ATENCIÓN (8 MESES)]]-Tabla44[[#This Row],[VALOR TOTAL]]</f>
        <v>0</v>
      </c>
      <c r="BG319" s="12" t="b">
        <f>EXACT(Tabla44[[#This Row],[TOTAL DESEMBOLSOS]],Tabla44[[#This Row],[VALOR TOTAL DEL CONTRATO INCLUIDO EL COMPONENTE DE ALIMENTACIÓN]])</f>
        <v>1</v>
      </c>
      <c r="BH319" s="29">
        <f>Tabla44[[#This Row],[TOTAL DESEMBOLSOS]]-Tabla44[[#This Row],[VALOR TOTAL DEL CONTRATO INCLUIDO EL COMPONENTE DE ALIMENTACIÓN]]</f>
        <v>0</v>
      </c>
      <c r="BI319" t="s">
        <v>98</v>
      </c>
    </row>
    <row r="320" spans="1:61">
      <c r="A320" s="13">
        <v>1995</v>
      </c>
      <c r="B320" s="13"/>
      <c r="C320" s="12" t="s">
        <v>87</v>
      </c>
      <c r="D320" s="12" t="s">
        <v>1293</v>
      </c>
      <c r="E320" s="12" t="s">
        <v>3396</v>
      </c>
      <c r="F320" s="12" t="s">
        <v>13</v>
      </c>
      <c r="G320" s="12" t="s">
        <v>90</v>
      </c>
      <c r="H320" s="12"/>
      <c r="I320">
        <v>564900122049</v>
      </c>
      <c r="J320" s="12" t="s">
        <v>3429</v>
      </c>
      <c r="K320" s="12">
        <v>1</v>
      </c>
      <c r="L320" s="12">
        <v>28</v>
      </c>
      <c r="M320" s="12"/>
      <c r="N320" s="13">
        <v>1995</v>
      </c>
      <c r="O320" s="12" t="s">
        <v>2850</v>
      </c>
      <c r="P320" s="12"/>
      <c r="Q320" s="12"/>
      <c r="R320" s="12" t="s">
        <v>94</v>
      </c>
      <c r="S320" s="12">
        <v>10</v>
      </c>
      <c r="T320" s="12">
        <v>811013275</v>
      </c>
      <c r="U320" s="12" t="s">
        <v>1478</v>
      </c>
      <c r="V320" s="12">
        <f>VLOOKUP(Tabla44[[#This Row],[ZONA DEFINITIVO]],[1]Hoja1!$A$1:$D$125,3,0)</f>
        <v>229941</v>
      </c>
      <c r="W320" s="12">
        <f>VLOOKUP(Tabla44[[#This Row],[ZONA DEFINITIVO]],[1]Hoja1!$A$1:$D$125,2,0)</f>
        <v>17255</v>
      </c>
      <c r="X320" s="12">
        <f>VLOOKUP(Tabla44[[#This Row],[ZONA DEFINITIVO]],[1]Hoja1!$A$1:$D$125,4,0)</f>
        <v>104425</v>
      </c>
      <c r="Y320" s="12" t="str">
        <f>+IF(Tabla44[[#This Row],[AGRUPACIONES]]=1,SUMIFS(Tabla44[UDS],Tabla44[ZONA DEFINITIVO],Tabla44[[#This Row],[ZONA DEFINITIVO]])," ")</f>
        <v xml:space="preserve"> </v>
      </c>
      <c r="Z320" s="12" t="str">
        <f>+IF(Tabla44[[#This Row],[AGRUPACIONES]]=1,SUMIFS(Tabla44[TOTAL COBERTURA],Tabla44[ZONA DEFINITIVO],Tabla44[[#This Row],[ZONA DEFINITIVO]])," ")</f>
        <v xml:space="preserve"> </v>
      </c>
      <c r="AA320" s="12"/>
      <c r="AB320" s="35">
        <v>82787768</v>
      </c>
      <c r="AC320" s="37">
        <v>0</v>
      </c>
      <c r="AD320" s="35">
        <f t="shared" si="5"/>
        <v>0</v>
      </c>
      <c r="AE320" s="12"/>
      <c r="AF320" s="12">
        <f>COUNTIF($A$20:A326,A320)</f>
        <v>19</v>
      </c>
      <c r="AG320" s="38">
        <v>82787768</v>
      </c>
      <c r="AH320" s="38">
        <f>Tabla44[[#This Row],[VALOR CONTRAPARTIDA]]+Tabla44[[#This Row],[TOTAL APORTES ICBF]]</f>
        <v>82787768</v>
      </c>
      <c r="AI320" s="35" t="str">
        <f>+IF(Tabla44[[#This Row],[AGRUPACIONES]]=1,SUMIFS(Tabla44[TOTAL APORTES ICBF],Tabla44[ZONA DEFINITIVO],Tabla44[[#This Row],[ZONA DEFINITIVO]])," ")</f>
        <v xml:space="preserve"> </v>
      </c>
      <c r="AJ320" s="38"/>
      <c r="AK320" s="38"/>
      <c r="AL320" s="35"/>
      <c r="AM320" s="35">
        <f>VLOOKUP(Tabla44[[#This Row],[SERVICIO 2025]],$J$2:$V$15,5,0)*Tabla44[[#This Row],[TOTAL COBERTURA]]</f>
        <v>2468004</v>
      </c>
      <c r="AN320" s="35">
        <f>VLOOKUP(Tabla44[[#This Row],[SERVICIO 2025]],$J$2:$V$15,6,0)*Tabla44[[#This Row],[TOTAL COBERTURA]]</f>
        <v>2101204</v>
      </c>
      <c r="AO320" s="35">
        <f>VLOOKUP(Tabla44[[#This Row],[SERVICIO 2025]],$J$2:$V$15,8,0)*Tabla44[[#This Row],[TOTAL COBERTURA]]</f>
        <v>0</v>
      </c>
      <c r="AP320" s="35">
        <f>VLOOKUP(Tabla44[[#This Row],[SERVICIO 2025]],$J$2:$V$15,3,0)*Tabla44[[#This Row],[TOTAL COBERTURA]]*8</f>
        <v>78218560</v>
      </c>
      <c r="AQ320" s="35"/>
      <c r="AR320" s="35">
        <f>SUM(Tabla44[[#This Row],[VALOR FASE PREPARATORIA DE ALISTAMIENTO]:[VALOR RACION PREPARADA]])</f>
        <v>82787768</v>
      </c>
      <c r="AS320" s="35" t="str">
        <f>+IF(Tabla44[[#This Row],[AGRUPACIONES]]=1,SUMIFS(Tabla44[VALOR TOTAL],Tabla44[ZONA DEFINITIVO],Tabla44[[#This Row],[ZONA DEFINITIVO]])," ")</f>
        <v xml:space="preserve"> </v>
      </c>
      <c r="AT320" s="35">
        <f>VLOOKUP(Tabla44[[#This Row],[SERVICIO 2025]],$J$2:$V$15,10,0)*Tabla44[[#This Row],[TOTAL COBERTURA]]*$X$7</f>
        <v>34500032</v>
      </c>
      <c r="AU320" s="39">
        <f>Tabla44[[#This Row],[TOTAL CONTRATO (ICBF+EAS)]]+Tabla44[[#This Row],[VALOR COMPONENTE ALIMENTACION NO ASIGNADO]]</f>
        <v>117287800</v>
      </c>
      <c r="AV32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16557828</v>
      </c>
      <c r="AW320" s="35">
        <f>(VLOOKUP(Tabla44[[#This Row],[SERVICIO 2025]],$J$2:$V$15,3,0)*Tabla44[[#This Row],[TOTAL COBERTURA]])+VLOOKUP(Tabla44[[#This Row],[SERVICIO 2025]],$J$2:$V$15,10,0)*Tabla44[[#This Row],[TOTAL COBERTURA]]</f>
        <v>14089824</v>
      </c>
      <c r="AX320" s="35">
        <f>(VLOOKUP(Tabla44[[#This Row],[SERVICIO 2025]],$J$2:$V$15,3,0)*Tabla44[[#This Row],[TOTAL COBERTURA]])+VLOOKUP(Tabla44[[#This Row],[SERVICIO 2025]],$J$2:$V$15,10,0)*Tabla44[[#This Row],[TOTAL COBERTURA]]</f>
        <v>14089824</v>
      </c>
      <c r="AY320" s="35">
        <f>(VLOOKUP(Tabla44[[#This Row],[SERVICIO 2025]],$J$2:$V$15,3,0)*Tabla44[[#This Row],[TOTAL COBERTURA]])+VLOOKUP(Tabla44[[#This Row],[SERVICIO 2025]],$J$2:$V$15,10,0)*Tabla44[[#This Row],[TOTAL COBERTURA]]</f>
        <v>14089824</v>
      </c>
      <c r="AZ320" s="35">
        <f>(VLOOKUP(Tabla44[[#This Row],[SERVICIO 2025]],$J$2:$V$15,3,0)*Tabla44[[#This Row],[TOTAL COBERTURA]])+VLOOKUP(Tabla44[[#This Row],[SERVICIO 2025]],$J$2:$V$15,10,0)*Tabla44[[#This Row],[TOTAL COBERTURA]]</f>
        <v>14089824</v>
      </c>
      <c r="BA320" s="35">
        <f>(VLOOKUP(Tabla44[[#This Row],[SERVICIO 2025]],$J$2:$V$15,3,0)*Tabla44[[#This Row],[TOTAL COBERTURA]])+VLOOKUP(Tabla44[[#This Row],[SERVICIO 2025]],$J$2:$V$15,10,0)*Tabla44[[#This Row],[TOTAL COBERTURA]]</f>
        <v>14089824</v>
      </c>
      <c r="BB320" s="35">
        <f>(VLOOKUP(Tabla44[[#This Row],[SERVICIO 2025]],$J$2:$V$15,3,0)*Tabla44[[#This Row],[TOTAL COBERTURA]])+VLOOKUP(Tabla44[[#This Row],[SERVICIO 2025]],$J$2:$V$15,10,0)*Tabla44[[#This Row],[TOTAL COBERTURA]]</f>
        <v>14089824</v>
      </c>
      <c r="BC32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16191028</v>
      </c>
      <c r="BD320" s="35">
        <f>SUM(Tabla44[[#This Row],[DESEMBOLSO 1]:[DESEMBOLSO 8]])</f>
        <v>117287800</v>
      </c>
      <c r="BE320" s="12" t="b">
        <f>EXACT(Tabla44[[#This Row],[VALOR ATENCIÓN (8 MESES)]],Tabla44[[#This Row],[VALOR TOTAL]])</f>
        <v>1</v>
      </c>
      <c r="BF320" s="23">
        <f>Tabla44[[#This Row],[VALOR ATENCIÓN (8 MESES)]]-Tabla44[[#This Row],[VALOR TOTAL]]</f>
        <v>0</v>
      </c>
      <c r="BG320" s="12" t="b">
        <f>EXACT(Tabla44[[#This Row],[TOTAL DESEMBOLSOS]],Tabla44[[#This Row],[VALOR TOTAL DEL CONTRATO INCLUIDO EL COMPONENTE DE ALIMENTACIÓN]])</f>
        <v>1</v>
      </c>
      <c r="BH320" s="29">
        <f>Tabla44[[#This Row],[TOTAL DESEMBOLSOS]]-Tabla44[[#This Row],[VALOR TOTAL DEL CONTRATO INCLUIDO EL COMPONENTE DE ALIMENTACIÓN]]</f>
        <v>0</v>
      </c>
      <c r="BI320" t="s">
        <v>98</v>
      </c>
    </row>
    <row r="321" spans="1:61">
      <c r="A321" s="13">
        <v>1999</v>
      </c>
      <c r="B321" s="13"/>
      <c r="C321" s="12" t="s">
        <v>87</v>
      </c>
      <c r="D321" s="12" t="s">
        <v>673</v>
      </c>
      <c r="E321" s="12" t="s">
        <v>3430</v>
      </c>
      <c r="F321" s="12" t="s">
        <v>14</v>
      </c>
      <c r="G321" s="12" t="s">
        <v>90</v>
      </c>
      <c r="H321" s="12" t="s">
        <v>3431</v>
      </c>
      <c r="I321" s="36">
        <v>56701114924</v>
      </c>
      <c r="J321" s="12" t="s">
        <v>3432</v>
      </c>
      <c r="K321" s="12">
        <v>1</v>
      </c>
      <c r="L321" s="12">
        <v>80</v>
      </c>
      <c r="M321" s="12"/>
      <c r="N321" s="13">
        <v>1999</v>
      </c>
      <c r="O321" s="12" t="s">
        <v>2850</v>
      </c>
      <c r="P321" s="12"/>
      <c r="Q321" s="12"/>
      <c r="R321" s="12" t="s">
        <v>94</v>
      </c>
      <c r="S321" s="12">
        <v>10</v>
      </c>
      <c r="T321" s="12">
        <v>811008215</v>
      </c>
      <c r="U321" s="12" t="s">
        <v>3112</v>
      </c>
      <c r="V321" s="12">
        <f>VLOOKUP(Tabla44[[#This Row],[ZONA DEFINITIVO]],[1]Hoja1!$A$1:$D$125,3,0)</f>
        <v>229942</v>
      </c>
      <c r="W321" s="12">
        <f>VLOOKUP(Tabla44[[#This Row],[ZONA DEFINITIVO]],[1]Hoja1!$A$1:$D$125,2,0)</f>
        <v>17261</v>
      </c>
      <c r="X321" s="12">
        <f>VLOOKUP(Tabla44[[#This Row],[ZONA DEFINITIVO]],[1]Hoja1!$A$1:$D$125,4,0)</f>
        <v>104825</v>
      </c>
      <c r="Y321" s="12">
        <f>+IF(Tabla44[[#This Row],[AGRUPACIONES]]=1,SUMIFS(Tabla44[UDS],Tabla44[ZONA DEFINITIVO],Tabla44[[#This Row],[ZONA DEFINITIVO]])," ")</f>
        <v>40</v>
      </c>
      <c r="Z321" s="12">
        <f>+IF(Tabla44[[#This Row],[AGRUPACIONES]]=1,SUMIFS(Tabla44[TOTAL COBERTURA],Tabla44[ZONA DEFINITIVO],Tabla44[[#This Row],[ZONA DEFINITIVO]])," ")</f>
        <v>1075</v>
      </c>
      <c r="AA321" s="12"/>
      <c r="AB321" s="35">
        <v>335108000</v>
      </c>
      <c r="AC321" s="37">
        <v>0</v>
      </c>
      <c r="AD321" s="35">
        <f t="shared" si="5"/>
        <v>0</v>
      </c>
      <c r="AE321" s="12"/>
      <c r="AF321" s="12">
        <f>COUNTIF($A$20:A321,A321)</f>
        <v>1</v>
      </c>
      <c r="AG321" s="38">
        <v>335108000</v>
      </c>
      <c r="AH321" s="38">
        <f>Tabla44[[#This Row],[VALOR CONTRAPARTIDA]]+Tabla44[[#This Row],[TOTAL APORTES ICBF]]</f>
        <v>335108000</v>
      </c>
      <c r="AI321" s="35">
        <f>+IF(Tabla44[[#This Row],[AGRUPACIONES]]=1,SUMIFS(Tabla44[TOTAL APORTES ICBF],Tabla44[ZONA DEFINITIVO],Tabla44[[#This Row],[ZONA DEFINITIVO]])," ")</f>
        <v>2537519085</v>
      </c>
      <c r="AJ321" s="38">
        <f>ROUND(+IF(Tabla44[[#This Row],[AGRUPACIONES]]=1,SUMIFS(Tabla44[VALOR CONTRAPARTIDA],Tabla44[ZONA DEFINITIVO],Tabla44[[#This Row],[ZONA DEFINITIVO]])," "),0)</f>
        <v>0</v>
      </c>
      <c r="AK321" s="38">
        <f>Tabla44[[#This Row],[TOTAL APORTES ICBF AGRUPADO]]+Tabla44[[#This Row],[TOTAL CONTRAPARTIDA AGRUPADO]]</f>
        <v>2537519085</v>
      </c>
      <c r="AL321" s="35">
        <f>Tabla44[[#This Row],[TOTAL APORTES ICBF AGRUPADO]]/$AL$18</f>
        <v>1782.591559536354</v>
      </c>
      <c r="AM321" s="35">
        <f>VLOOKUP(Tabla44[[#This Row],[SERVICIO 2025]],$J$2:$V$15,5,0)*Tabla44[[#This Row],[TOTAL COBERTURA]]</f>
        <v>7051440</v>
      </c>
      <c r="AN321" s="35">
        <f>VLOOKUP(Tabla44[[#This Row],[SERVICIO 2025]],$J$2:$V$15,6,0)*Tabla44[[#This Row],[TOTAL COBERTURA]]</f>
        <v>6003440</v>
      </c>
      <c r="AO321" s="35">
        <f>VLOOKUP(Tabla44[[#This Row],[SERVICIO 2025]],$J$2:$V$15,8,0)*Tabla44[[#This Row],[TOTAL COBERTURA]]</f>
        <v>0</v>
      </c>
      <c r="AP321" s="35">
        <f>VLOOKUP(Tabla44[[#This Row],[SERVICIO 2025]],$J$2:$V$15,3,0)*Tabla44[[#This Row],[TOTAL COBERTURA]]*8</f>
        <v>322053120</v>
      </c>
      <c r="AQ321" s="35"/>
      <c r="AR321" s="35">
        <f>SUM(Tabla44[[#This Row],[VALOR FASE PREPARATORIA DE ALISTAMIENTO]:[VALOR RACION PREPARADA]])</f>
        <v>335108000</v>
      </c>
      <c r="AS321" s="35">
        <f>+IF(Tabla44[[#This Row],[AGRUPACIONES]]=1,SUMIFS(Tabla44[VALOR TOTAL],Tabla44[ZONA DEFINITIVO],Tabla44[[#This Row],[ZONA DEFINITIVO]])," ")</f>
        <v>2537519085</v>
      </c>
      <c r="AT321" s="35">
        <f>VLOOKUP(Tabla44[[#This Row],[SERVICIO 2025]],$J$2:$V$15,10,0)*Tabla44[[#This Row],[TOTAL COBERTURA]]*$X$7</f>
        <v>0</v>
      </c>
      <c r="AU321" s="39">
        <f>Tabla44[[#This Row],[TOTAL CONTRATO (ICBF+EAS)]]+Tabla44[[#This Row],[VALOR COMPONENTE ALIMENTACION NO ASIGNADO]]</f>
        <v>335108000</v>
      </c>
      <c r="AV32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47308080</v>
      </c>
      <c r="AW321" s="35">
        <f>(VLOOKUP(Tabla44[[#This Row],[SERVICIO 2025]],$J$2:$V$15,3,0)*Tabla44[[#This Row],[TOTAL COBERTURA]])+VLOOKUP(Tabla44[[#This Row],[SERVICIO 2025]],$J$2:$V$15,10,0)*Tabla44[[#This Row],[TOTAL COBERTURA]]</f>
        <v>40256640</v>
      </c>
      <c r="AX321" s="35">
        <f>(VLOOKUP(Tabla44[[#This Row],[SERVICIO 2025]],$J$2:$V$15,3,0)*Tabla44[[#This Row],[TOTAL COBERTURA]])+VLOOKUP(Tabla44[[#This Row],[SERVICIO 2025]],$J$2:$V$15,10,0)*Tabla44[[#This Row],[TOTAL COBERTURA]]</f>
        <v>40256640</v>
      </c>
      <c r="AY321" s="35">
        <f>(VLOOKUP(Tabla44[[#This Row],[SERVICIO 2025]],$J$2:$V$15,3,0)*Tabla44[[#This Row],[TOTAL COBERTURA]])+VLOOKUP(Tabla44[[#This Row],[SERVICIO 2025]],$J$2:$V$15,10,0)*Tabla44[[#This Row],[TOTAL COBERTURA]]</f>
        <v>40256640</v>
      </c>
      <c r="AZ321" s="35">
        <f>(VLOOKUP(Tabla44[[#This Row],[SERVICIO 2025]],$J$2:$V$15,3,0)*Tabla44[[#This Row],[TOTAL COBERTURA]])+VLOOKUP(Tabla44[[#This Row],[SERVICIO 2025]],$J$2:$V$15,10,0)*Tabla44[[#This Row],[TOTAL COBERTURA]]</f>
        <v>40256640</v>
      </c>
      <c r="BA321" s="35">
        <f>(VLOOKUP(Tabla44[[#This Row],[SERVICIO 2025]],$J$2:$V$15,3,0)*Tabla44[[#This Row],[TOTAL COBERTURA]])+VLOOKUP(Tabla44[[#This Row],[SERVICIO 2025]],$J$2:$V$15,10,0)*Tabla44[[#This Row],[TOTAL COBERTURA]]</f>
        <v>40256640</v>
      </c>
      <c r="BB321" s="35">
        <f>(VLOOKUP(Tabla44[[#This Row],[SERVICIO 2025]],$J$2:$V$15,3,0)*Tabla44[[#This Row],[TOTAL COBERTURA]])+VLOOKUP(Tabla44[[#This Row],[SERVICIO 2025]],$J$2:$V$15,10,0)*Tabla44[[#This Row],[TOTAL COBERTURA]]</f>
        <v>40256640</v>
      </c>
      <c r="BC32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46260080</v>
      </c>
      <c r="BD321" s="35">
        <f>SUM(Tabla44[[#This Row],[DESEMBOLSO 1]:[DESEMBOLSO 8]])</f>
        <v>335108000</v>
      </c>
      <c r="BE321" s="12" t="b">
        <f>EXACT(Tabla44[[#This Row],[VALOR ATENCIÓN (8 MESES)]],Tabla44[[#This Row],[VALOR TOTAL]])</f>
        <v>1</v>
      </c>
      <c r="BF321" s="23">
        <f>Tabla44[[#This Row],[VALOR ATENCIÓN (8 MESES)]]-Tabla44[[#This Row],[VALOR TOTAL]]</f>
        <v>0</v>
      </c>
      <c r="BG321" s="12" t="b">
        <f>EXACT(Tabla44[[#This Row],[TOTAL DESEMBOLSOS]],Tabla44[[#This Row],[VALOR TOTAL DEL CONTRATO INCLUIDO EL COMPONENTE DE ALIMENTACIÓN]])</f>
        <v>1</v>
      </c>
      <c r="BH321" s="29">
        <f>Tabla44[[#This Row],[TOTAL DESEMBOLSOS]]-Tabla44[[#This Row],[VALOR TOTAL DEL CONTRATO INCLUIDO EL COMPONENTE DE ALIMENTACIÓN]]</f>
        <v>0</v>
      </c>
      <c r="BI321" t="s">
        <v>98</v>
      </c>
    </row>
    <row r="322" spans="1:61">
      <c r="A322" s="13">
        <v>1999</v>
      </c>
      <c r="B322" s="13"/>
      <c r="C322" s="12" t="s">
        <v>87</v>
      </c>
      <c r="D322" s="12" t="s">
        <v>673</v>
      </c>
      <c r="E322" s="12" t="s">
        <v>3430</v>
      </c>
      <c r="F322" s="12" t="s">
        <v>18</v>
      </c>
      <c r="G322" s="12" t="s">
        <v>90</v>
      </c>
      <c r="H322" s="12" t="s">
        <v>1019</v>
      </c>
      <c r="I322" s="36">
        <v>56701117304</v>
      </c>
      <c r="J322" s="12" t="s">
        <v>3433</v>
      </c>
      <c r="K322" s="12">
        <v>1</v>
      </c>
      <c r="L322" s="12">
        <v>14</v>
      </c>
      <c r="M322" s="12"/>
      <c r="N322" s="13">
        <v>1999</v>
      </c>
      <c r="O322" s="12" t="s">
        <v>2850</v>
      </c>
      <c r="P322" s="12"/>
      <c r="Q322" s="12"/>
      <c r="R322" s="12" t="s">
        <v>94</v>
      </c>
      <c r="S322" s="12">
        <v>10</v>
      </c>
      <c r="T322" s="12">
        <v>811008215</v>
      </c>
      <c r="U322" s="12" t="s">
        <v>3112</v>
      </c>
      <c r="V322" s="12">
        <f>VLOOKUP(Tabla44[[#This Row],[ZONA DEFINITIVO]],[1]Hoja1!$A$1:$D$125,3,0)</f>
        <v>229942</v>
      </c>
      <c r="W322" s="12">
        <f>VLOOKUP(Tabla44[[#This Row],[ZONA DEFINITIVO]],[1]Hoja1!$A$1:$D$125,2,0)</f>
        <v>17261</v>
      </c>
      <c r="X322" s="12">
        <f>VLOOKUP(Tabla44[[#This Row],[ZONA DEFINITIVO]],[1]Hoja1!$A$1:$D$125,4,0)</f>
        <v>104825</v>
      </c>
      <c r="Y322" s="12" t="str">
        <f>+IF(Tabla44[[#This Row],[AGRUPACIONES]]=1,SUMIFS(Tabla44[UDS],Tabla44[ZONA DEFINITIVO],Tabla44[[#This Row],[ZONA DEFINITIVO]])," ")</f>
        <v xml:space="preserve"> </v>
      </c>
      <c r="Z322" s="12" t="str">
        <f>+IF(Tabla44[[#This Row],[AGRUPACIONES]]=1,SUMIFS(Tabla44[TOTAL COBERTURA],Tabla44[ZONA DEFINITIVO],Tabla44[[#This Row],[ZONA DEFINITIVO]])," ")</f>
        <v xml:space="preserve"> </v>
      </c>
      <c r="AA322" s="12"/>
      <c r="AB322" s="35">
        <v>30522702</v>
      </c>
      <c r="AC322" s="37">
        <v>0</v>
      </c>
      <c r="AD322" s="35">
        <f t="shared" si="5"/>
        <v>0</v>
      </c>
      <c r="AE322" s="12"/>
      <c r="AF322" s="12">
        <f>COUNTIF($A$20:A322,A322)</f>
        <v>2</v>
      </c>
      <c r="AG322" s="38">
        <v>30522702</v>
      </c>
      <c r="AH322" s="38">
        <f>Tabla44[[#This Row],[VALOR CONTRAPARTIDA]]+Tabla44[[#This Row],[TOTAL APORTES ICBF]]</f>
        <v>30522702</v>
      </c>
      <c r="AI322" s="35" t="str">
        <f>+IF(Tabla44[[#This Row],[AGRUPACIONES]]=1,SUMIFS(Tabla44[TOTAL APORTES ICBF],Tabla44[ZONA DEFINITIVO],Tabla44[[#This Row],[ZONA DEFINITIVO]])," ")</f>
        <v xml:space="preserve"> </v>
      </c>
      <c r="AJ322" s="38"/>
      <c r="AK322" s="38"/>
      <c r="AL322" s="35"/>
      <c r="AM322" s="35">
        <f>VLOOKUP(Tabla44[[#This Row],[SERVICIO 2025]],$J$2:$V$15,5,0)*Tabla44[[#This Row],[TOTAL COBERTURA]]</f>
        <v>691264</v>
      </c>
      <c r="AN322" s="35">
        <f>VLOOKUP(Tabla44[[#This Row],[SERVICIO 2025]],$J$2:$V$15,6,0)*Tabla44[[#This Row],[TOTAL COBERTURA]]</f>
        <v>574406</v>
      </c>
      <c r="AO322" s="35">
        <f>VLOOKUP(Tabla44[[#This Row],[SERVICIO 2025]],$J$2:$V$15,8,0)*Tabla44[[#This Row],[TOTAL COBERTURA]]</f>
        <v>407400</v>
      </c>
      <c r="AP322" s="35">
        <f>VLOOKUP(Tabla44[[#This Row],[SERVICIO 2025]],$J$2:$V$15,3,0)*Tabla44[[#This Row],[TOTAL COBERTURA]]*8</f>
        <v>28849632</v>
      </c>
      <c r="AQ322" s="35"/>
      <c r="AR322" s="35">
        <f>SUM(Tabla44[[#This Row],[VALOR FASE PREPARATORIA DE ALISTAMIENTO]:[VALOR RACION PREPARADA]])</f>
        <v>30522702</v>
      </c>
      <c r="AS322" s="35" t="str">
        <f>+IF(Tabla44[[#This Row],[AGRUPACIONES]]=1,SUMIFS(Tabla44[VALOR TOTAL],Tabla44[ZONA DEFINITIVO],Tabla44[[#This Row],[ZONA DEFINITIVO]])," ")</f>
        <v xml:space="preserve"> </v>
      </c>
      <c r="AT322" s="35">
        <f>VLOOKUP(Tabla44[[#This Row],[SERVICIO 2025]],$J$2:$V$15,10,0)*Tabla44[[#This Row],[TOTAL COBERTURA]]*$X$7</f>
        <v>20202896</v>
      </c>
      <c r="AU322" s="39">
        <f>Tabla44[[#This Row],[TOTAL CONTRATO (ICBF+EAS)]]+Tabla44[[#This Row],[VALOR COMPONENTE ALIMENTACION NO ASIGNADO]]</f>
        <v>50725598</v>
      </c>
      <c r="AV32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322" s="35">
        <f>(VLOOKUP(Tabla44[[#This Row],[SERVICIO 2025]],$J$2:$V$15,3,0)*Tabla44[[#This Row],[TOTAL COBERTURA]])+VLOOKUP(Tabla44[[#This Row],[SERVICIO 2025]],$J$2:$V$15,10,0)*Tabla44[[#This Row],[TOTAL COBERTURA]]</f>
        <v>6131566</v>
      </c>
      <c r="AX322" s="35">
        <f>(VLOOKUP(Tabla44[[#This Row],[SERVICIO 2025]],$J$2:$V$15,3,0)*Tabla44[[#This Row],[TOTAL COBERTURA]])+VLOOKUP(Tabla44[[#This Row],[SERVICIO 2025]],$J$2:$V$15,10,0)*Tabla44[[#This Row],[TOTAL COBERTURA]]</f>
        <v>6131566</v>
      </c>
      <c r="AY322" s="35">
        <f>(VLOOKUP(Tabla44[[#This Row],[SERVICIO 2025]],$J$2:$V$15,3,0)*Tabla44[[#This Row],[TOTAL COBERTURA]])+VLOOKUP(Tabla44[[#This Row],[SERVICIO 2025]],$J$2:$V$15,10,0)*Tabla44[[#This Row],[TOTAL COBERTURA]]</f>
        <v>6131566</v>
      </c>
      <c r="AZ322" s="35">
        <f>(VLOOKUP(Tabla44[[#This Row],[SERVICIO 2025]],$J$2:$V$15,3,0)*Tabla44[[#This Row],[TOTAL COBERTURA]])+VLOOKUP(Tabla44[[#This Row],[SERVICIO 2025]],$J$2:$V$15,10,0)*Tabla44[[#This Row],[TOTAL COBERTURA]]</f>
        <v>6131566</v>
      </c>
      <c r="BA322" s="35">
        <f>(VLOOKUP(Tabla44[[#This Row],[SERVICIO 2025]],$J$2:$V$15,3,0)*Tabla44[[#This Row],[TOTAL COBERTURA]])+VLOOKUP(Tabla44[[#This Row],[SERVICIO 2025]],$J$2:$V$15,10,0)*Tabla44[[#This Row],[TOTAL COBERTURA]]</f>
        <v>6131566</v>
      </c>
      <c r="BB322" s="35">
        <f>(VLOOKUP(Tabla44[[#This Row],[SERVICIO 2025]],$J$2:$V$15,3,0)*Tabla44[[#This Row],[TOTAL COBERTURA]])+VLOOKUP(Tabla44[[#This Row],[SERVICIO 2025]],$J$2:$V$15,10,0)*Tabla44[[#This Row],[TOTAL COBERTURA]]</f>
        <v>6131566</v>
      </c>
      <c r="BC32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322" s="35">
        <f>SUM(Tabla44[[#This Row],[DESEMBOLSO 1]:[DESEMBOLSO 8]])</f>
        <v>50725598</v>
      </c>
      <c r="BE322" s="12" t="b">
        <f>EXACT(Tabla44[[#This Row],[VALOR ATENCIÓN (8 MESES)]],Tabla44[[#This Row],[VALOR TOTAL]])</f>
        <v>1</v>
      </c>
      <c r="BF322" s="23">
        <f>Tabla44[[#This Row],[VALOR ATENCIÓN (8 MESES)]]-Tabla44[[#This Row],[VALOR TOTAL]]</f>
        <v>0</v>
      </c>
      <c r="BG322" s="12" t="b">
        <f>EXACT(Tabla44[[#This Row],[TOTAL DESEMBOLSOS]],Tabla44[[#This Row],[VALOR TOTAL DEL CONTRATO INCLUIDO EL COMPONENTE DE ALIMENTACIÓN]])</f>
        <v>1</v>
      </c>
      <c r="BH322" s="29">
        <f>Tabla44[[#This Row],[TOTAL DESEMBOLSOS]]-Tabla44[[#This Row],[VALOR TOTAL DEL CONTRATO INCLUIDO EL COMPONENTE DE ALIMENTACIÓN]]</f>
        <v>0</v>
      </c>
      <c r="BI322" t="s">
        <v>98</v>
      </c>
    </row>
    <row r="323" spans="1:61">
      <c r="A323" s="13">
        <v>1999</v>
      </c>
      <c r="B323" s="13"/>
      <c r="C323" s="12" t="s">
        <v>87</v>
      </c>
      <c r="D323" s="12" t="s">
        <v>673</v>
      </c>
      <c r="E323" s="12" t="s">
        <v>3430</v>
      </c>
      <c r="F323" s="12" t="s">
        <v>18</v>
      </c>
      <c r="G323" s="12" t="s">
        <v>90</v>
      </c>
      <c r="H323" s="12" t="s">
        <v>3434</v>
      </c>
      <c r="I323" s="36">
        <v>56701117329</v>
      </c>
      <c r="J323" s="12" t="s">
        <v>3435</v>
      </c>
      <c r="K323" s="12">
        <v>1</v>
      </c>
      <c r="L323" s="12">
        <v>12</v>
      </c>
      <c r="M323" s="12"/>
      <c r="N323" s="13">
        <v>1999</v>
      </c>
      <c r="O323" s="12" t="s">
        <v>2850</v>
      </c>
      <c r="P323" s="12"/>
      <c r="Q323" s="12"/>
      <c r="R323" s="12" t="s">
        <v>94</v>
      </c>
      <c r="S323" s="12">
        <v>10</v>
      </c>
      <c r="T323" s="12">
        <v>811008215</v>
      </c>
      <c r="U323" s="12" t="s">
        <v>3112</v>
      </c>
      <c r="V323" s="12">
        <f>VLOOKUP(Tabla44[[#This Row],[ZONA DEFINITIVO]],[1]Hoja1!$A$1:$D$125,3,0)</f>
        <v>229942</v>
      </c>
      <c r="W323" s="12">
        <f>VLOOKUP(Tabla44[[#This Row],[ZONA DEFINITIVO]],[1]Hoja1!$A$1:$D$125,2,0)</f>
        <v>17261</v>
      </c>
      <c r="X323" s="12">
        <f>VLOOKUP(Tabla44[[#This Row],[ZONA DEFINITIVO]],[1]Hoja1!$A$1:$D$125,4,0)</f>
        <v>104825</v>
      </c>
      <c r="Y323" s="12" t="str">
        <f>+IF(Tabla44[[#This Row],[AGRUPACIONES]]=1,SUMIFS(Tabla44[UDS],Tabla44[ZONA DEFINITIVO],Tabla44[[#This Row],[ZONA DEFINITIVO]])," ")</f>
        <v xml:space="preserve"> </v>
      </c>
      <c r="Z323" s="12" t="str">
        <f>+IF(Tabla44[[#This Row],[AGRUPACIONES]]=1,SUMIFS(Tabla44[TOTAL COBERTURA],Tabla44[ZONA DEFINITIVO],Tabla44[[#This Row],[ZONA DEFINITIVO]])," ")</f>
        <v xml:space="preserve"> </v>
      </c>
      <c r="AA323" s="12"/>
      <c r="AB323" s="35">
        <v>26162316</v>
      </c>
      <c r="AC323" s="37">
        <v>0</v>
      </c>
      <c r="AD323" s="35">
        <f t="shared" si="5"/>
        <v>0</v>
      </c>
      <c r="AE323" s="12"/>
      <c r="AF323" s="12">
        <f>COUNTIF($A$20:A323,A323)</f>
        <v>3</v>
      </c>
      <c r="AG323" s="38">
        <v>26162316</v>
      </c>
      <c r="AH323" s="38">
        <f>Tabla44[[#This Row],[VALOR CONTRAPARTIDA]]+Tabla44[[#This Row],[TOTAL APORTES ICBF]]</f>
        <v>26162316</v>
      </c>
      <c r="AI323" s="35" t="str">
        <f>+IF(Tabla44[[#This Row],[AGRUPACIONES]]=1,SUMIFS(Tabla44[TOTAL APORTES ICBF],Tabla44[ZONA DEFINITIVO],Tabla44[[#This Row],[ZONA DEFINITIVO]])," ")</f>
        <v xml:space="preserve"> </v>
      </c>
      <c r="AJ323" s="38"/>
      <c r="AK323" s="38"/>
      <c r="AL323" s="35"/>
      <c r="AM323" s="35">
        <f>VLOOKUP(Tabla44[[#This Row],[SERVICIO 2025]],$J$2:$V$15,5,0)*Tabla44[[#This Row],[TOTAL COBERTURA]]</f>
        <v>592512</v>
      </c>
      <c r="AN323" s="35">
        <f>VLOOKUP(Tabla44[[#This Row],[SERVICIO 2025]],$J$2:$V$15,6,0)*Tabla44[[#This Row],[TOTAL COBERTURA]]</f>
        <v>492348</v>
      </c>
      <c r="AO323" s="35">
        <f>VLOOKUP(Tabla44[[#This Row],[SERVICIO 2025]],$J$2:$V$15,8,0)*Tabla44[[#This Row],[TOTAL COBERTURA]]</f>
        <v>349200</v>
      </c>
      <c r="AP323" s="35">
        <f>VLOOKUP(Tabla44[[#This Row],[SERVICIO 2025]],$J$2:$V$15,3,0)*Tabla44[[#This Row],[TOTAL COBERTURA]]*8</f>
        <v>24728256</v>
      </c>
      <c r="AQ323" s="35"/>
      <c r="AR323" s="35">
        <f>SUM(Tabla44[[#This Row],[VALOR FASE PREPARATORIA DE ALISTAMIENTO]:[VALOR RACION PREPARADA]])</f>
        <v>26162316</v>
      </c>
      <c r="AS323" s="35" t="str">
        <f>+IF(Tabla44[[#This Row],[AGRUPACIONES]]=1,SUMIFS(Tabla44[VALOR TOTAL],Tabla44[ZONA DEFINITIVO],Tabla44[[#This Row],[ZONA DEFINITIVO]])," ")</f>
        <v xml:space="preserve"> </v>
      </c>
      <c r="AT323" s="35">
        <f>VLOOKUP(Tabla44[[#This Row],[SERVICIO 2025]],$J$2:$V$15,10,0)*Tabla44[[#This Row],[TOTAL COBERTURA]]*$X$7</f>
        <v>17316768</v>
      </c>
      <c r="AU323" s="39">
        <f>Tabla44[[#This Row],[TOTAL CONTRATO (ICBF+EAS)]]+Tabla44[[#This Row],[VALOR COMPONENTE ALIMENTACION NO ASIGNADO]]</f>
        <v>43479084</v>
      </c>
      <c r="AV32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323" s="35">
        <f>(VLOOKUP(Tabla44[[#This Row],[SERVICIO 2025]],$J$2:$V$15,3,0)*Tabla44[[#This Row],[TOTAL COBERTURA]])+VLOOKUP(Tabla44[[#This Row],[SERVICIO 2025]],$J$2:$V$15,10,0)*Tabla44[[#This Row],[TOTAL COBERTURA]]</f>
        <v>5255628</v>
      </c>
      <c r="AX323" s="35">
        <f>(VLOOKUP(Tabla44[[#This Row],[SERVICIO 2025]],$J$2:$V$15,3,0)*Tabla44[[#This Row],[TOTAL COBERTURA]])+VLOOKUP(Tabla44[[#This Row],[SERVICIO 2025]],$J$2:$V$15,10,0)*Tabla44[[#This Row],[TOTAL COBERTURA]]</f>
        <v>5255628</v>
      </c>
      <c r="AY323" s="35">
        <f>(VLOOKUP(Tabla44[[#This Row],[SERVICIO 2025]],$J$2:$V$15,3,0)*Tabla44[[#This Row],[TOTAL COBERTURA]])+VLOOKUP(Tabla44[[#This Row],[SERVICIO 2025]],$J$2:$V$15,10,0)*Tabla44[[#This Row],[TOTAL COBERTURA]]</f>
        <v>5255628</v>
      </c>
      <c r="AZ323" s="35">
        <f>(VLOOKUP(Tabla44[[#This Row],[SERVICIO 2025]],$J$2:$V$15,3,0)*Tabla44[[#This Row],[TOTAL COBERTURA]])+VLOOKUP(Tabla44[[#This Row],[SERVICIO 2025]],$J$2:$V$15,10,0)*Tabla44[[#This Row],[TOTAL COBERTURA]]</f>
        <v>5255628</v>
      </c>
      <c r="BA323" s="35">
        <f>(VLOOKUP(Tabla44[[#This Row],[SERVICIO 2025]],$J$2:$V$15,3,0)*Tabla44[[#This Row],[TOTAL COBERTURA]])+VLOOKUP(Tabla44[[#This Row],[SERVICIO 2025]],$J$2:$V$15,10,0)*Tabla44[[#This Row],[TOTAL COBERTURA]]</f>
        <v>5255628</v>
      </c>
      <c r="BB323" s="35">
        <f>(VLOOKUP(Tabla44[[#This Row],[SERVICIO 2025]],$J$2:$V$15,3,0)*Tabla44[[#This Row],[TOTAL COBERTURA]])+VLOOKUP(Tabla44[[#This Row],[SERVICIO 2025]],$J$2:$V$15,10,0)*Tabla44[[#This Row],[TOTAL COBERTURA]]</f>
        <v>5255628</v>
      </c>
      <c r="BC32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323" s="35">
        <f>SUM(Tabla44[[#This Row],[DESEMBOLSO 1]:[DESEMBOLSO 8]])</f>
        <v>43479084</v>
      </c>
      <c r="BE323" s="12" t="b">
        <f>EXACT(Tabla44[[#This Row],[VALOR ATENCIÓN (8 MESES)]],Tabla44[[#This Row],[VALOR TOTAL]])</f>
        <v>1</v>
      </c>
      <c r="BF323" s="23">
        <f>Tabla44[[#This Row],[VALOR ATENCIÓN (8 MESES)]]-Tabla44[[#This Row],[VALOR TOTAL]]</f>
        <v>0</v>
      </c>
      <c r="BG323" s="12" t="b">
        <f>EXACT(Tabla44[[#This Row],[TOTAL DESEMBOLSOS]],Tabla44[[#This Row],[VALOR TOTAL DEL CONTRATO INCLUIDO EL COMPONENTE DE ALIMENTACIÓN]])</f>
        <v>1</v>
      </c>
      <c r="BH323" s="29">
        <f>Tabla44[[#This Row],[TOTAL DESEMBOLSOS]]-Tabla44[[#This Row],[VALOR TOTAL DEL CONTRATO INCLUIDO EL COMPONENTE DE ALIMENTACIÓN]]</f>
        <v>0</v>
      </c>
      <c r="BI323" t="s">
        <v>98</v>
      </c>
    </row>
    <row r="324" spans="1:61">
      <c r="A324" s="13">
        <v>1999</v>
      </c>
      <c r="B324" s="13"/>
      <c r="C324" s="12" t="s">
        <v>87</v>
      </c>
      <c r="D324" s="12" t="s">
        <v>673</v>
      </c>
      <c r="E324" s="12" t="s">
        <v>3430</v>
      </c>
      <c r="F324" s="12" t="s">
        <v>18</v>
      </c>
      <c r="G324" s="12" t="s">
        <v>90</v>
      </c>
      <c r="H324" s="12" t="s">
        <v>3436</v>
      </c>
      <c r="I324" s="36">
        <v>56701137242</v>
      </c>
      <c r="J324" s="12" t="s">
        <v>3437</v>
      </c>
      <c r="K324" s="12">
        <v>1</v>
      </c>
      <c r="L324" s="12">
        <v>15</v>
      </c>
      <c r="M324" s="12"/>
      <c r="N324" s="13">
        <v>1999</v>
      </c>
      <c r="O324" s="12" t="s">
        <v>2850</v>
      </c>
      <c r="P324" s="12"/>
      <c r="Q324" s="12"/>
      <c r="R324" s="12" t="s">
        <v>94</v>
      </c>
      <c r="S324" s="12">
        <v>10</v>
      </c>
      <c r="T324" s="12">
        <v>811008215</v>
      </c>
      <c r="U324" s="12" t="s">
        <v>3112</v>
      </c>
      <c r="V324" s="12">
        <f>VLOOKUP(Tabla44[[#This Row],[ZONA DEFINITIVO]],[1]Hoja1!$A$1:$D$125,3,0)</f>
        <v>229942</v>
      </c>
      <c r="W324" s="12">
        <f>VLOOKUP(Tabla44[[#This Row],[ZONA DEFINITIVO]],[1]Hoja1!$A$1:$D$125,2,0)</f>
        <v>17261</v>
      </c>
      <c r="X324" s="12">
        <f>VLOOKUP(Tabla44[[#This Row],[ZONA DEFINITIVO]],[1]Hoja1!$A$1:$D$125,4,0)</f>
        <v>104825</v>
      </c>
      <c r="Y324" s="12" t="str">
        <f>+IF(Tabla44[[#This Row],[AGRUPACIONES]]=1,SUMIFS(Tabla44[UDS],Tabla44[ZONA DEFINITIVO],Tabla44[[#This Row],[ZONA DEFINITIVO]])," ")</f>
        <v xml:space="preserve"> </v>
      </c>
      <c r="Z324" s="12" t="str">
        <f>+IF(Tabla44[[#This Row],[AGRUPACIONES]]=1,SUMIFS(Tabla44[TOTAL COBERTURA],Tabla44[ZONA DEFINITIVO],Tabla44[[#This Row],[ZONA DEFINITIVO]])," ")</f>
        <v xml:space="preserve"> </v>
      </c>
      <c r="AA324" s="12"/>
      <c r="AB324" s="35">
        <v>32702895</v>
      </c>
      <c r="AC324" s="37">
        <v>0</v>
      </c>
      <c r="AD324" s="35">
        <f t="shared" si="5"/>
        <v>0</v>
      </c>
      <c r="AE324" s="12"/>
      <c r="AF324" s="12">
        <f>COUNTIF($A$20:A324,A324)</f>
        <v>4</v>
      </c>
      <c r="AG324" s="38">
        <v>32702895</v>
      </c>
      <c r="AH324" s="38">
        <f>Tabla44[[#This Row],[VALOR CONTRAPARTIDA]]+Tabla44[[#This Row],[TOTAL APORTES ICBF]]</f>
        <v>32702895</v>
      </c>
      <c r="AI324" s="35" t="str">
        <f>+IF(Tabla44[[#This Row],[AGRUPACIONES]]=1,SUMIFS(Tabla44[TOTAL APORTES ICBF],Tabla44[ZONA DEFINITIVO],Tabla44[[#This Row],[ZONA DEFINITIVO]])," ")</f>
        <v xml:space="preserve"> </v>
      </c>
      <c r="AJ324" s="38"/>
      <c r="AK324" s="38"/>
      <c r="AL324" s="35"/>
      <c r="AM324" s="35">
        <f>VLOOKUP(Tabla44[[#This Row],[SERVICIO 2025]],$J$2:$V$15,5,0)*Tabla44[[#This Row],[TOTAL COBERTURA]]</f>
        <v>740640</v>
      </c>
      <c r="AN324" s="35">
        <f>VLOOKUP(Tabla44[[#This Row],[SERVICIO 2025]],$J$2:$V$15,6,0)*Tabla44[[#This Row],[TOTAL COBERTURA]]</f>
        <v>615435</v>
      </c>
      <c r="AO324" s="35">
        <f>VLOOKUP(Tabla44[[#This Row],[SERVICIO 2025]],$J$2:$V$15,8,0)*Tabla44[[#This Row],[TOTAL COBERTURA]]</f>
        <v>436500</v>
      </c>
      <c r="AP324" s="35">
        <f>VLOOKUP(Tabla44[[#This Row],[SERVICIO 2025]],$J$2:$V$15,3,0)*Tabla44[[#This Row],[TOTAL COBERTURA]]*8</f>
        <v>30910320</v>
      </c>
      <c r="AQ324" s="35"/>
      <c r="AR324" s="35">
        <f>SUM(Tabla44[[#This Row],[VALOR FASE PREPARATORIA DE ALISTAMIENTO]:[VALOR RACION PREPARADA]])</f>
        <v>32702895</v>
      </c>
      <c r="AS324" s="35" t="str">
        <f>+IF(Tabla44[[#This Row],[AGRUPACIONES]]=1,SUMIFS(Tabla44[VALOR TOTAL],Tabla44[ZONA DEFINITIVO],Tabla44[[#This Row],[ZONA DEFINITIVO]])," ")</f>
        <v xml:space="preserve"> </v>
      </c>
      <c r="AT324" s="35">
        <f>VLOOKUP(Tabla44[[#This Row],[SERVICIO 2025]],$J$2:$V$15,10,0)*Tabla44[[#This Row],[TOTAL COBERTURA]]*$X$7</f>
        <v>21645960</v>
      </c>
      <c r="AU324" s="39">
        <f>Tabla44[[#This Row],[TOTAL CONTRATO (ICBF+EAS)]]+Tabla44[[#This Row],[VALOR COMPONENTE ALIMENTACION NO ASIGNADO]]</f>
        <v>54348855</v>
      </c>
      <c r="AV32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324" s="35">
        <f>(VLOOKUP(Tabla44[[#This Row],[SERVICIO 2025]],$J$2:$V$15,3,0)*Tabla44[[#This Row],[TOTAL COBERTURA]])+VLOOKUP(Tabla44[[#This Row],[SERVICIO 2025]],$J$2:$V$15,10,0)*Tabla44[[#This Row],[TOTAL COBERTURA]]</f>
        <v>6569535</v>
      </c>
      <c r="AX324" s="35">
        <f>(VLOOKUP(Tabla44[[#This Row],[SERVICIO 2025]],$J$2:$V$15,3,0)*Tabla44[[#This Row],[TOTAL COBERTURA]])+VLOOKUP(Tabla44[[#This Row],[SERVICIO 2025]],$J$2:$V$15,10,0)*Tabla44[[#This Row],[TOTAL COBERTURA]]</f>
        <v>6569535</v>
      </c>
      <c r="AY324" s="35">
        <f>(VLOOKUP(Tabla44[[#This Row],[SERVICIO 2025]],$J$2:$V$15,3,0)*Tabla44[[#This Row],[TOTAL COBERTURA]])+VLOOKUP(Tabla44[[#This Row],[SERVICIO 2025]],$J$2:$V$15,10,0)*Tabla44[[#This Row],[TOTAL COBERTURA]]</f>
        <v>6569535</v>
      </c>
      <c r="AZ324" s="35">
        <f>(VLOOKUP(Tabla44[[#This Row],[SERVICIO 2025]],$J$2:$V$15,3,0)*Tabla44[[#This Row],[TOTAL COBERTURA]])+VLOOKUP(Tabla44[[#This Row],[SERVICIO 2025]],$J$2:$V$15,10,0)*Tabla44[[#This Row],[TOTAL COBERTURA]]</f>
        <v>6569535</v>
      </c>
      <c r="BA324" s="35">
        <f>(VLOOKUP(Tabla44[[#This Row],[SERVICIO 2025]],$J$2:$V$15,3,0)*Tabla44[[#This Row],[TOTAL COBERTURA]])+VLOOKUP(Tabla44[[#This Row],[SERVICIO 2025]],$J$2:$V$15,10,0)*Tabla44[[#This Row],[TOTAL COBERTURA]]</f>
        <v>6569535</v>
      </c>
      <c r="BB324" s="35">
        <f>(VLOOKUP(Tabla44[[#This Row],[SERVICIO 2025]],$J$2:$V$15,3,0)*Tabla44[[#This Row],[TOTAL COBERTURA]])+VLOOKUP(Tabla44[[#This Row],[SERVICIO 2025]],$J$2:$V$15,10,0)*Tabla44[[#This Row],[TOTAL COBERTURA]]</f>
        <v>6569535</v>
      </c>
      <c r="BC32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324" s="35">
        <f>SUM(Tabla44[[#This Row],[DESEMBOLSO 1]:[DESEMBOLSO 8]])</f>
        <v>54348855</v>
      </c>
      <c r="BE324" s="12" t="b">
        <f>EXACT(Tabla44[[#This Row],[VALOR ATENCIÓN (8 MESES)]],Tabla44[[#This Row],[VALOR TOTAL]])</f>
        <v>1</v>
      </c>
      <c r="BF324" s="23">
        <f>Tabla44[[#This Row],[VALOR ATENCIÓN (8 MESES)]]-Tabla44[[#This Row],[VALOR TOTAL]]</f>
        <v>0</v>
      </c>
      <c r="BG324" s="12" t="b">
        <f>EXACT(Tabla44[[#This Row],[TOTAL DESEMBOLSOS]],Tabla44[[#This Row],[VALOR TOTAL DEL CONTRATO INCLUIDO EL COMPONENTE DE ALIMENTACIÓN]])</f>
        <v>1</v>
      </c>
      <c r="BH324" s="29">
        <f>Tabla44[[#This Row],[TOTAL DESEMBOLSOS]]-Tabla44[[#This Row],[VALOR TOTAL DEL CONTRATO INCLUIDO EL COMPONENTE DE ALIMENTACIÓN]]</f>
        <v>0</v>
      </c>
      <c r="BI324" t="s">
        <v>98</v>
      </c>
    </row>
    <row r="325" spans="1:61">
      <c r="A325" s="13">
        <v>1999</v>
      </c>
      <c r="B325" s="13"/>
      <c r="C325" s="12" t="s">
        <v>87</v>
      </c>
      <c r="D325" s="12" t="s">
        <v>673</v>
      </c>
      <c r="E325" s="12" t="s">
        <v>3430</v>
      </c>
      <c r="F325" s="12" t="s">
        <v>18</v>
      </c>
      <c r="G325" s="12" t="s">
        <v>90</v>
      </c>
      <c r="H325" s="12" t="s">
        <v>3438</v>
      </c>
      <c r="I325" s="36">
        <v>56701137244</v>
      </c>
      <c r="J325" s="12" t="s">
        <v>3439</v>
      </c>
      <c r="K325" s="12">
        <v>1</v>
      </c>
      <c r="L325" s="12">
        <v>62</v>
      </c>
      <c r="M325" s="12"/>
      <c r="N325" s="13">
        <v>1999</v>
      </c>
      <c r="O325" s="12" t="s">
        <v>2850</v>
      </c>
      <c r="P325" s="12"/>
      <c r="Q325" s="12"/>
      <c r="R325" s="12" t="s">
        <v>94</v>
      </c>
      <c r="S325" s="12">
        <v>10</v>
      </c>
      <c r="T325" s="12">
        <v>811008215</v>
      </c>
      <c r="U325" s="12" t="s">
        <v>3112</v>
      </c>
      <c r="V325" s="12">
        <f>VLOOKUP(Tabla44[[#This Row],[ZONA DEFINITIVO]],[1]Hoja1!$A$1:$D$125,3,0)</f>
        <v>229942</v>
      </c>
      <c r="W325" s="12">
        <f>VLOOKUP(Tabla44[[#This Row],[ZONA DEFINITIVO]],[1]Hoja1!$A$1:$D$125,2,0)</f>
        <v>17261</v>
      </c>
      <c r="X325" s="12">
        <f>VLOOKUP(Tabla44[[#This Row],[ZONA DEFINITIVO]],[1]Hoja1!$A$1:$D$125,4,0)</f>
        <v>104825</v>
      </c>
      <c r="Y325" s="12" t="str">
        <f>+IF(Tabla44[[#This Row],[AGRUPACIONES]]=1,SUMIFS(Tabla44[UDS],Tabla44[ZONA DEFINITIVO],Tabla44[[#This Row],[ZONA DEFINITIVO]])," ")</f>
        <v xml:space="preserve"> </v>
      </c>
      <c r="Z325" s="12" t="str">
        <f>+IF(Tabla44[[#This Row],[AGRUPACIONES]]=1,SUMIFS(Tabla44[TOTAL COBERTURA],Tabla44[ZONA DEFINITIVO],Tabla44[[#This Row],[ZONA DEFINITIVO]])," ")</f>
        <v xml:space="preserve"> </v>
      </c>
      <c r="AA325" s="12"/>
      <c r="AB325" s="35">
        <v>135171966</v>
      </c>
      <c r="AC325" s="37">
        <v>0</v>
      </c>
      <c r="AD325" s="35">
        <f t="shared" si="5"/>
        <v>0</v>
      </c>
      <c r="AE325" s="12"/>
      <c r="AF325" s="12">
        <f>COUNTIF($A$20:A325,A325)</f>
        <v>5</v>
      </c>
      <c r="AG325" s="38">
        <v>135171966</v>
      </c>
      <c r="AH325" s="38">
        <f>Tabla44[[#This Row],[VALOR CONTRAPARTIDA]]+Tabla44[[#This Row],[TOTAL APORTES ICBF]]</f>
        <v>135171966</v>
      </c>
      <c r="AI325" s="35" t="str">
        <f>+IF(Tabla44[[#This Row],[AGRUPACIONES]]=1,SUMIFS(Tabla44[TOTAL APORTES ICBF],Tabla44[ZONA DEFINITIVO],Tabla44[[#This Row],[ZONA DEFINITIVO]])," ")</f>
        <v xml:space="preserve"> </v>
      </c>
      <c r="AJ325" s="38"/>
      <c r="AK325" s="38"/>
      <c r="AL325" s="35"/>
      <c r="AM325" s="35">
        <f>VLOOKUP(Tabla44[[#This Row],[SERVICIO 2025]],$J$2:$V$15,5,0)*Tabla44[[#This Row],[TOTAL COBERTURA]]</f>
        <v>3061312</v>
      </c>
      <c r="AN325" s="35">
        <f>VLOOKUP(Tabla44[[#This Row],[SERVICIO 2025]],$J$2:$V$15,6,0)*Tabla44[[#This Row],[TOTAL COBERTURA]]</f>
        <v>2543798</v>
      </c>
      <c r="AO325" s="35">
        <f>VLOOKUP(Tabla44[[#This Row],[SERVICIO 2025]],$J$2:$V$15,8,0)*Tabla44[[#This Row],[TOTAL COBERTURA]]</f>
        <v>1804200</v>
      </c>
      <c r="AP325" s="35">
        <f>VLOOKUP(Tabla44[[#This Row],[SERVICIO 2025]],$J$2:$V$15,3,0)*Tabla44[[#This Row],[TOTAL COBERTURA]]*8</f>
        <v>127762656</v>
      </c>
      <c r="AQ325" s="35"/>
      <c r="AR325" s="35">
        <f>SUM(Tabla44[[#This Row],[VALOR FASE PREPARATORIA DE ALISTAMIENTO]:[VALOR RACION PREPARADA]])</f>
        <v>135171966</v>
      </c>
      <c r="AS325" s="35" t="str">
        <f>+IF(Tabla44[[#This Row],[AGRUPACIONES]]=1,SUMIFS(Tabla44[VALOR TOTAL],Tabla44[ZONA DEFINITIVO],Tabla44[[#This Row],[ZONA DEFINITIVO]])," ")</f>
        <v xml:space="preserve"> </v>
      </c>
      <c r="AT325" s="35">
        <f>VLOOKUP(Tabla44[[#This Row],[SERVICIO 2025]],$J$2:$V$15,10,0)*Tabla44[[#This Row],[TOTAL COBERTURA]]*$X$7</f>
        <v>89469968</v>
      </c>
      <c r="AU325" s="39">
        <f>Tabla44[[#This Row],[TOTAL CONTRATO (ICBF+EAS)]]+Tabla44[[#This Row],[VALOR COMPONENTE ALIMENTACION NO ASIGNADO]]</f>
        <v>224641934</v>
      </c>
      <c r="AV32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32019590</v>
      </c>
      <c r="AW325" s="35">
        <f>(VLOOKUP(Tabla44[[#This Row],[SERVICIO 2025]],$J$2:$V$15,3,0)*Tabla44[[#This Row],[TOTAL COBERTURA]])+VLOOKUP(Tabla44[[#This Row],[SERVICIO 2025]],$J$2:$V$15,10,0)*Tabla44[[#This Row],[TOTAL COBERTURA]]</f>
        <v>27154078</v>
      </c>
      <c r="AX325" s="35">
        <f>(VLOOKUP(Tabla44[[#This Row],[SERVICIO 2025]],$J$2:$V$15,3,0)*Tabla44[[#This Row],[TOTAL COBERTURA]])+VLOOKUP(Tabla44[[#This Row],[SERVICIO 2025]],$J$2:$V$15,10,0)*Tabla44[[#This Row],[TOTAL COBERTURA]]</f>
        <v>27154078</v>
      </c>
      <c r="AY325" s="35">
        <f>(VLOOKUP(Tabla44[[#This Row],[SERVICIO 2025]],$J$2:$V$15,3,0)*Tabla44[[#This Row],[TOTAL COBERTURA]])+VLOOKUP(Tabla44[[#This Row],[SERVICIO 2025]],$J$2:$V$15,10,0)*Tabla44[[#This Row],[TOTAL COBERTURA]]</f>
        <v>27154078</v>
      </c>
      <c r="AZ325" s="35">
        <f>(VLOOKUP(Tabla44[[#This Row],[SERVICIO 2025]],$J$2:$V$15,3,0)*Tabla44[[#This Row],[TOTAL COBERTURA]])+VLOOKUP(Tabla44[[#This Row],[SERVICIO 2025]],$J$2:$V$15,10,0)*Tabla44[[#This Row],[TOTAL COBERTURA]]</f>
        <v>27154078</v>
      </c>
      <c r="BA325" s="35">
        <f>(VLOOKUP(Tabla44[[#This Row],[SERVICIO 2025]],$J$2:$V$15,3,0)*Tabla44[[#This Row],[TOTAL COBERTURA]])+VLOOKUP(Tabla44[[#This Row],[SERVICIO 2025]],$J$2:$V$15,10,0)*Tabla44[[#This Row],[TOTAL COBERTURA]]</f>
        <v>27154078</v>
      </c>
      <c r="BB325" s="35">
        <f>(VLOOKUP(Tabla44[[#This Row],[SERVICIO 2025]],$J$2:$V$15,3,0)*Tabla44[[#This Row],[TOTAL COBERTURA]])+VLOOKUP(Tabla44[[#This Row],[SERVICIO 2025]],$J$2:$V$15,10,0)*Tabla44[[#This Row],[TOTAL COBERTURA]]</f>
        <v>27154078</v>
      </c>
      <c r="BC32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29697876</v>
      </c>
      <c r="BD325" s="35">
        <f>SUM(Tabla44[[#This Row],[DESEMBOLSO 1]:[DESEMBOLSO 8]])</f>
        <v>224641934</v>
      </c>
      <c r="BE325" s="12" t="b">
        <f>EXACT(Tabla44[[#This Row],[VALOR ATENCIÓN (8 MESES)]],Tabla44[[#This Row],[VALOR TOTAL]])</f>
        <v>1</v>
      </c>
      <c r="BF325" s="23">
        <f>Tabla44[[#This Row],[VALOR ATENCIÓN (8 MESES)]]-Tabla44[[#This Row],[VALOR TOTAL]]</f>
        <v>0</v>
      </c>
      <c r="BG325" s="12" t="b">
        <f>EXACT(Tabla44[[#This Row],[TOTAL DESEMBOLSOS]],Tabla44[[#This Row],[VALOR TOTAL DEL CONTRATO INCLUIDO EL COMPONENTE DE ALIMENTACIÓN]])</f>
        <v>1</v>
      </c>
      <c r="BH325" s="29">
        <f>Tabla44[[#This Row],[TOTAL DESEMBOLSOS]]-Tabla44[[#This Row],[VALOR TOTAL DEL CONTRATO INCLUIDO EL COMPONENTE DE ALIMENTACIÓN]]</f>
        <v>0</v>
      </c>
      <c r="BI325" t="s">
        <v>98</v>
      </c>
    </row>
    <row r="326" spans="1:61">
      <c r="A326" s="13">
        <v>1999</v>
      </c>
      <c r="B326" s="13"/>
      <c r="C326" s="12" t="s">
        <v>87</v>
      </c>
      <c r="D326" s="12" t="s">
        <v>673</v>
      </c>
      <c r="E326" s="12" t="s">
        <v>3430</v>
      </c>
      <c r="F326" s="12" t="s">
        <v>18</v>
      </c>
      <c r="G326" s="12" t="s">
        <v>90</v>
      </c>
      <c r="H326" s="12" t="s">
        <v>3440</v>
      </c>
      <c r="I326" s="36">
        <v>56701137247</v>
      </c>
      <c r="J326" s="12" t="s">
        <v>3441</v>
      </c>
      <c r="K326" s="12">
        <v>1</v>
      </c>
      <c r="L326" s="12">
        <v>22</v>
      </c>
      <c r="M326" s="12"/>
      <c r="N326" s="13">
        <v>1999</v>
      </c>
      <c r="O326" s="12" t="s">
        <v>2850</v>
      </c>
      <c r="P326" s="12"/>
      <c r="Q326" s="12"/>
      <c r="R326" s="12" t="s">
        <v>94</v>
      </c>
      <c r="S326" s="12">
        <v>10</v>
      </c>
      <c r="T326" s="12">
        <v>811008215</v>
      </c>
      <c r="U326" s="12" t="s">
        <v>3112</v>
      </c>
      <c r="V326" s="12">
        <f>VLOOKUP(Tabla44[[#This Row],[ZONA DEFINITIVO]],[1]Hoja1!$A$1:$D$125,3,0)</f>
        <v>229942</v>
      </c>
      <c r="W326" s="12">
        <f>VLOOKUP(Tabla44[[#This Row],[ZONA DEFINITIVO]],[1]Hoja1!$A$1:$D$125,2,0)</f>
        <v>17261</v>
      </c>
      <c r="X326" s="12">
        <f>VLOOKUP(Tabla44[[#This Row],[ZONA DEFINITIVO]],[1]Hoja1!$A$1:$D$125,4,0)</f>
        <v>104825</v>
      </c>
      <c r="Y326" s="12" t="str">
        <f>+IF(Tabla44[[#This Row],[AGRUPACIONES]]=1,SUMIFS(Tabla44[UDS],Tabla44[ZONA DEFINITIVO],Tabla44[[#This Row],[ZONA DEFINITIVO]])," ")</f>
        <v xml:space="preserve"> </v>
      </c>
      <c r="Z326" s="12" t="str">
        <f>+IF(Tabla44[[#This Row],[AGRUPACIONES]]=1,SUMIFS(Tabla44[TOTAL COBERTURA],Tabla44[ZONA DEFINITIVO],Tabla44[[#This Row],[ZONA DEFINITIVO]])," ")</f>
        <v xml:space="preserve"> </v>
      </c>
      <c r="AA326" s="12"/>
      <c r="AB326" s="35">
        <v>47964246</v>
      </c>
      <c r="AC326" s="37">
        <v>0</v>
      </c>
      <c r="AD326" s="35">
        <f t="shared" si="5"/>
        <v>0</v>
      </c>
      <c r="AE326" s="12"/>
      <c r="AF326" s="12">
        <f>COUNTIF($A$20:A326,A326)</f>
        <v>6</v>
      </c>
      <c r="AG326" s="38">
        <v>47964246</v>
      </c>
      <c r="AH326" s="38">
        <f>Tabla44[[#This Row],[VALOR CONTRAPARTIDA]]+Tabla44[[#This Row],[TOTAL APORTES ICBF]]</f>
        <v>47964246</v>
      </c>
      <c r="AI326" s="35" t="str">
        <f>+IF(Tabla44[[#This Row],[AGRUPACIONES]]=1,SUMIFS(Tabla44[TOTAL APORTES ICBF],Tabla44[ZONA DEFINITIVO],Tabla44[[#This Row],[ZONA DEFINITIVO]])," ")</f>
        <v xml:space="preserve"> </v>
      </c>
      <c r="AJ326" s="38"/>
      <c r="AK326" s="38"/>
      <c r="AL326" s="35"/>
      <c r="AM326" s="35">
        <f>VLOOKUP(Tabla44[[#This Row],[SERVICIO 2025]],$J$2:$V$15,5,0)*Tabla44[[#This Row],[TOTAL COBERTURA]]</f>
        <v>1086272</v>
      </c>
      <c r="AN326" s="35">
        <f>VLOOKUP(Tabla44[[#This Row],[SERVICIO 2025]],$J$2:$V$15,6,0)*Tabla44[[#This Row],[TOTAL COBERTURA]]</f>
        <v>902638</v>
      </c>
      <c r="AO326" s="35">
        <f>VLOOKUP(Tabla44[[#This Row],[SERVICIO 2025]],$J$2:$V$15,8,0)*Tabla44[[#This Row],[TOTAL COBERTURA]]</f>
        <v>640200</v>
      </c>
      <c r="AP326" s="35">
        <f>VLOOKUP(Tabla44[[#This Row],[SERVICIO 2025]],$J$2:$V$15,3,0)*Tabla44[[#This Row],[TOTAL COBERTURA]]*8</f>
        <v>45335136</v>
      </c>
      <c r="AQ326" s="35"/>
      <c r="AR326" s="35">
        <f>SUM(Tabla44[[#This Row],[VALOR FASE PREPARATORIA DE ALISTAMIENTO]:[VALOR RACION PREPARADA]])</f>
        <v>47964246</v>
      </c>
      <c r="AS326" s="35" t="str">
        <f>+IF(Tabla44[[#This Row],[AGRUPACIONES]]=1,SUMIFS(Tabla44[VALOR TOTAL],Tabla44[ZONA DEFINITIVO],Tabla44[[#This Row],[ZONA DEFINITIVO]])," ")</f>
        <v xml:space="preserve"> </v>
      </c>
      <c r="AT326" s="35">
        <f>VLOOKUP(Tabla44[[#This Row],[SERVICIO 2025]],$J$2:$V$15,10,0)*Tabla44[[#This Row],[TOTAL COBERTURA]]*$X$7</f>
        <v>31747408</v>
      </c>
      <c r="AU326" s="39">
        <f>Tabla44[[#This Row],[TOTAL CONTRATO (ICBF+EAS)]]+Tabla44[[#This Row],[VALOR COMPONENTE ALIMENTACION NO ASIGNADO]]</f>
        <v>79711654</v>
      </c>
      <c r="AV32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11361790</v>
      </c>
      <c r="AW326" s="35">
        <f>(VLOOKUP(Tabla44[[#This Row],[SERVICIO 2025]],$J$2:$V$15,3,0)*Tabla44[[#This Row],[TOTAL COBERTURA]])+VLOOKUP(Tabla44[[#This Row],[SERVICIO 2025]],$J$2:$V$15,10,0)*Tabla44[[#This Row],[TOTAL COBERTURA]]</f>
        <v>9635318</v>
      </c>
      <c r="AX326" s="35">
        <f>(VLOOKUP(Tabla44[[#This Row],[SERVICIO 2025]],$J$2:$V$15,3,0)*Tabla44[[#This Row],[TOTAL COBERTURA]])+VLOOKUP(Tabla44[[#This Row],[SERVICIO 2025]],$J$2:$V$15,10,0)*Tabla44[[#This Row],[TOTAL COBERTURA]]</f>
        <v>9635318</v>
      </c>
      <c r="AY326" s="35">
        <f>(VLOOKUP(Tabla44[[#This Row],[SERVICIO 2025]],$J$2:$V$15,3,0)*Tabla44[[#This Row],[TOTAL COBERTURA]])+VLOOKUP(Tabla44[[#This Row],[SERVICIO 2025]],$J$2:$V$15,10,0)*Tabla44[[#This Row],[TOTAL COBERTURA]]</f>
        <v>9635318</v>
      </c>
      <c r="AZ326" s="35">
        <f>(VLOOKUP(Tabla44[[#This Row],[SERVICIO 2025]],$J$2:$V$15,3,0)*Tabla44[[#This Row],[TOTAL COBERTURA]])+VLOOKUP(Tabla44[[#This Row],[SERVICIO 2025]],$J$2:$V$15,10,0)*Tabla44[[#This Row],[TOTAL COBERTURA]]</f>
        <v>9635318</v>
      </c>
      <c r="BA326" s="35">
        <f>(VLOOKUP(Tabla44[[#This Row],[SERVICIO 2025]],$J$2:$V$15,3,0)*Tabla44[[#This Row],[TOTAL COBERTURA]])+VLOOKUP(Tabla44[[#This Row],[SERVICIO 2025]],$J$2:$V$15,10,0)*Tabla44[[#This Row],[TOTAL COBERTURA]]</f>
        <v>9635318</v>
      </c>
      <c r="BB326" s="35">
        <f>(VLOOKUP(Tabla44[[#This Row],[SERVICIO 2025]],$J$2:$V$15,3,0)*Tabla44[[#This Row],[TOTAL COBERTURA]])+VLOOKUP(Tabla44[[#This Row],[SERVICIO 2025]],$J$2:$V$15,10,0)*Tabla44[[#This Row],[TOTAL COBERTURA]]</f>
        <v>9635318</v>
      </c>
      <c r="BC32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10537956</v>
      </c>
      <c r="BD326" s="35">
        <f>SUM(Tabla44[[#This Row],[DESEMBOLSO 1]:[DESEMBOLSO 8]])</f>
        <v>79711654</v>
      </c>
      <c r="BE326" s="12" t="b">
        <f>EXACT(Tabla44[[#This Row],[VALOR ATENCIÓN (8 MESES)]],Tabla44[[#This Row],[VALOR TOTAL]])</f>
        <v>1</v>
      </c>
      <c r="BF326" s="23">
        <f>Tabla44[[#This Row],[VALOR ATENCIÓN (8 MESES)]]-Tabla44[[#This Row],[VALOR TOTAL]]</f>
        <v>0</v>
      </c>
      <c r="BG326" s="12" t="b">
        <f>EXACT(Tabla44[[#This Row],[TOTAL DESEMBOLSOS]],Tabla44[[#This Row],[VALOR TOTAL DEL CONTRATO INCLUIDO EL COMPONENTE DE ALIMENTACIÓN]])</f>
        <v>1</v>
      </c>
      <c r="BH326" s="29">
        <f>Tabla44[[#This Row],[TOTAL DESEMBOLSOS]]-Tabla44[[#This Row],[VALOR TOTAL DEL CONTRATO INCLUIDO EL COMPONENTE DE ALIMENTACIÓN]]</f>
        <v>0</v>
      </c>
      <c r="BI326" t="s">
        <v>98</v>
      </c>
    </row>
    <row r="327" spans="1:61">
      <c r="A327" s="13">
        <v>1999</v>
      </c>
      <c r="B327" s="13"/>
      <c r="C327" s="12" t="s">
        <v>87</v>
      </c>
      <c r="D327" s="12" t="s">
        <v>673</v>
      </c>
      <c r="E327" s="12" t="s">
        <v>3430</v>
      </c>
      <c r="F327" s="12" t="s">
        <v>18</v>
      </c>
      <c r="G327" s="12" t="s">
        <v>90</v>
      </c>
      <c r="H327" s="12" t="s">
        <v>3442</v>
      </c>
      <c r="I327" s="36">
        <v>56701137258</v>
      </c>
      <c r="J327" s="12" t="s">
        <v>3443</v>
      </c>
      <c r="K327" s="12">
        <v>1</v>
      </c>
      <c r="L327" s="12">
        <v>17</v>
      </c>
      <c r="M327" s="12"/>
      <c r="N327" s="13">
        <v>1999</v>
      </c>
      <c r="O327" s="12" t="s">
        <v>2850</v>
      </c>
      <c r="P327" s="12"/>
      <c r="Q327" s="12"/>
      <c r="R327" s="12" t="s">
        <v>94</v>
      </c>
      <c r="S327" s="12">
        <v>10</v>
      </c>
      <c r="T327" s="12">
        <v>811008215</v>
      </c>
      <c r="U327" s="12" t="s">
        <v>3112</v>
      </c>
      <c r="V327" s="12">
        <f>VLOOKUP(Tabla44[[#This Row],[ZONA DEFINITIVO]],[1]Hoja1!$A$1:$D$125,3,0)</f>
        <v>229942</v>
      </c>
      <c r="W327" s="12">
        <f>VLOOKUP(Tabla44[[#This Row],[ZONA DEFINITIVO]],[1]Hoja1!$A$1:$D$125,2,0)</f>
        <v>17261</v>
      </c>
      <c r="X327" s="12">
        <f>VLOOKUP(Tabla44[[#This Row],[ZONA DEFINITIVO]],[1]Hoja1!$A$1:$D$125,4,0)</f>
        <v>104825</v>
      </c>
      <c r="Y327" s="12" t="str">
        <f>+IF(Tabla44[[#This Row],[AGRUPACIONES]]=1,SUMIFS(Tabla44[UDS],Tabla44[ZONA DEFINITIVO],Tabla44[[#This Row],[ZONA DEFINITIVO]])," ")</f>
        <v xml:space="preserve"> </v>
      </c>
      <c r="Z327" s="12" t="str">
        <f>+IF(Tabla44[[#This Row],[AGRUPACIONES]]=1,SUMIFS(Tabla44[TOTAL COBERTURA],Tabla44[ZONA DEFINITIVO],Tabla44[[#This Row],[ZONA DEFINITIVO]])," ")</f>
        <v xml:space="preserve"> </v>
      </c>
      <c r="AA327" s="12"/>
      <c r="AB327" s="35">
        <v>37063281</v>
      </c>
      <c r="AC327" s="37">
        <v>0</v>
      </c>
      <c r="AD327" s="35">
        <f t="shared" si="5"/>
        <v>0</v>
      </c>
      <c r="AE327" s="12"/>
      <c r="AF327" s="12">
        <f>COUNTIF($A$20:A327,A327)</f>
        <v>7</v>
      </c>
      <c r="AG327" s="38">
        <v>37063281</v>
      </c>
      <c r="AH327" s="38">
        <f>Tabla44[[#This Row],[VALOR CONTRAPARTIDA]]+Tabla44[[#This Row],[TOTAL APORTES ICBF]]</f>
        <v>37063281</v>
      </c>
      <c r="AI327" s="35" t="str">
        <f>+IF(Tabla44[[#This Row],[AGRUPACIONES]]=1,SUMIFS(Tabla44[TOTAL APORTES ICBF],Tabla44[ZONA DEFINITIVO],Tabla44[[#This Row],[ZONA DEFINITIVO]])," ")</f>
        <v xml:space="preserve"> </v>
      </c>
      <c r="AJ327" s="38"/>
      <c r="AK327" s="38"/>
      <c r="AL327" s="35"/>
      <c r="AM327" s="35">
        <f>VLOOKUP(Tabla44[[#This Row],[SERVICIO 2025]],$J$2:$V$15,5,0)*Tabla44[[#This Row],[TOTAL COBERTURA]]</f>
        <v>839392</v>
      </c>
      <c r="AN327" s="35">
        <f>VLOOKUP(Tabla44[[#This Row],[SERVICIO 2025]],$J$2:$V$15,6,0)*Tabla44[[#This Row],[TOTAL COBERTURA]]</f>
        <v>697493</v>
      </c>
      <c r="AO327" s="35">
        <f>VLOOKUP(Tabla44[[#This Row],[SERVICIO 2025]],$J$2:$V$15,8,0)*Tabla44[[#This Row],[TOTAL COBERTURA]]</f>
        <v>494700</v>
      </c>
      <c r="AP327" s="35">
        <f>VLOOKUP(Tabla44[[#This Row],[SERVICIO 2025]],$J$2:$V$15,3,0)*Tabla44[[#This Row],[TOTAL COBERTURA]]*8</f>
        <v>35031696</v>
      </c>
      <c r="AQ327" s="35"/>
      <c r="AR327" s="35">
        <f>SUM(Tabla44[[#This Row],[VALOR FASE PREPARATORIA DE ALISTAMIENTO]:[VALOR RACION PREPARADA]])</f>
        <v>37063281</v>
      </c>
      <c r="AS327" s="35" t="str">
        <f>+IF(Tabla44[[#This Row],[AGRUPACIONES]]=1,SUMIFS(Tabla44[VALOR TOTAL],Tabla44[ZONA DEFINITIVO],Tabla44[[#This Row],[ZONA DEFINITIVO]])," ")</f>
        <v xml:space="preserve"> </v>
      </c>
      <c r="AT327" s="35">
        <f>VLOOKUP(Tabla44[[#This Row],[SERVICIO 2025]],$J$2:$V$15,10,0)*Tabla44[[#This Row],[TOTAL COBERTURA]]*$X$7</f>
        <v>24532088</v>
      </c>
      <c r="AU327" s="39">
        <f>Tabla44[[#This Row],[TOTAL CONTRATO (ICBF+EAS)]]+Tabla44[[#This Row],[VALOR COMPONENTE ALIMENTACION NO ASIGNADO]]</f>
        <v>61595369</v>
      </c>
      <c r="AV32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327" s="35">
        <f>(VLOOKUP(Tabla44[[#This Row],[SERVICIO 2025]],$J$2:$V$15,3,0)*Tabla44[[#This Row],[TOTAL COBERTURA]])+VLOOKUP(Tabla44[[#This Row],[SERVICIO 2025]],$J$2:$V$15,10,0)*Tabla44[[#This Row],[TOTAL COBERTURA]]</f>
        <v>7445473</v>
      </c>
      <c r="AX327" s="35">
        <f>(VLOOKUP(Tabla44[[#This Row],[SERVICIO 2025]],$J$2:$V$15,3,0)*Tabla44[[#This Row],[TOTAL COBERTURA]])+VLOOKUP(Tabla44[[#This Row],[SERVICIO 2025]],$J$2:$V$15,10,0)*Tabla44[[#This Row],[TOTAL COBERTURA]]</f>
        <v>7445473</v>
      </c>
      <c r="AY327" s="35">
        <f>(VLOOKUP(Tabla44[[#This Row],[SERVICIO 2025]],$J$2:$V$15,3,0)*Tabla44[[#This Row],[TOTAL COBERTURA]])+VLOOKUP(Tabla44[[#This Row],[SERVICIO 2025]],$J$2:$V$15,10,0)*Tabla44[[#This Row],[TOTAL COBERTURA]]</f>
        <v>7445473</v>
      </c>
      <c r="AZ327" s="35">
        <f>(VLOOKUP(Tabla44[[#This Row],[SERVICIO 2025]],$J$2:$V$15,3,0)*Tabla44[[#This Row],[TOTAL COBERTURA]])+VLOOKUP(Tabla44[[#This Row],[SERVICIO 2025]],$J$2:$V$15,10,0)*Tabla44[[#This Row],[TOTAL COBERTURA]]</f>
        <v>7445473</v>
      </c>
      <c r="BA327" s="35">
        <f>(VLOOKUP(Tabla44[[#This Row],[SERVICIO 2025]],$J$2:$V$15,3,0)*Tabla44[[#This Row],[TOTAL COBERTURA]])+VLOOKUP(Tabla44[[#This Row],[SERVICIO 2025]],$J$2:$V$15,10,0)*Tabla44[[#This Row],[TOTAL COBERTURA]]</f>
        <v>7445473</v>
      </c>
      <c r="BB327" s="35">
        <f>(VLOOKUP(Tabla44[[#This Row],[SERVICIO 2025]],$J$2:$V$15,3,0)*Tabla44[[#This Row],[TOTAL COBERTURA]])+VLOOKUP(Tabla44[[#This Row],[SERVICIO 2025]],$J$2:$V$15,10,0)*Tabla44[[#This Row],[TOTAL COBERTURA]]</f>
        <v>7445473</v>
      </c>
      <c r="BC32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327" s="35">
        <f>SUM(Tabla44[[#This Row],[DESEMBOLSO 1]:[DESEMBOLSO 8]])</f>
        <v>61595369</v>
      </c>
      <c r="BE327" s="12" t="b">
        <f>EXACT(Tabla44[[#This Row],[VALOR ATENCIÓN (8 MESES)]],Tabla44[[#This Row],[VALOR TOTAL]])</f>
        <v>1</v>
      </c>
      <c r="BF327" s="23">
        <f>Tabla44[[#This Row],[VALOR ATENCIÓN (8 MESES)]]-Tabla44[[#This Row],[VALOR TOTAL]]</f>
        <v>0</v>
      </c>
      <c r="BG327" s="12" t="b">
        <f>EXACT(Tabla44[[#This Row],[TOTAL DESEMBOLSOS]],Tabla44[[#This Row],[VALOR TOTAL DEL CONTRATO INCLUIDO EL COMPONENTE DE ALIMENTACIÓN]])</f>
        <v>1</v>
      </c>
      <c r="BH327" s="29">
        <f>Tabla44[[#This Row],[TOTAL DESEMBOLSOS]]-Tabla44[[#This Row],[VALOR TOTAL DEL CONTRATO INCLUIDO EL COMPONENTE DE ALIMENTACIÓN]]</f>
        <v>0</v>
      </c>
      <c r="BI327" t="s">
        <v>98</v>
      </c>
    </row>
    <row r="328" spans="1:61">
      <c r="A328" s="13">
        <v>1999</v>
      </c>
      <c r="B328" s="13"/>
      <c r="C328" s="12" t="s">
        <v>87</v>
      </c>
      <c r="D328" s="12" t="s">
        <v>673</v>
      </c>
      <c r="E328" s="12" t="s">
        <v>3430</v>
      </c>
      <c r="F328" s="12" t="s">
        <v>18</v>
      </c>
      <c r="G328" s="12" t="s">
        <v>90</v>
      </c>
      <c r="H328" s="12" t="s">
        <v>3444</v>
      </c>
      <c r="I328" s="36">
        <v>56701137259</v>
      </c>
      <c r="J328" s="12" t="s">
        <v>3445</v>
      </c>
      <c r="K328" s="12">
        <v>1</v>
      </c>
      <c r="L328" s="12">
        <v>8</v>
      </c>
      <c r="M328" s="12"/>
      <c r="N328" s="13">
        <v>1999</v>
      </c>
      <c r="O328" s="12" t="s">
        <v>2850</v>
      </c>
      <c r="P328" s="12"/>
      <c r="Q328" s="12"/>
      <c r="R328" s="12" t="s">
        <v>94</v>
      </c>
      <c r="S328" s="12">
        <v>10</v>
      </c>
      <c r="T328" s="12">
        <v>811008215</v>
      </c>
      <c r="U328" s="12" t="s">
        <v>3112</v>
      </c>
      <c r="V328" s="12">
        <f>VLOOKUP(Tabla44[[#This Row],[ZONA DEFINITIVO]],[1]Hoja1!$A$1:$D$125,3,0)</f>
        <v>229942</v>
      </c>
      <c r="W328" s="12">
        <f>VLOOKUP(Tabla44[[#This Row],[ZONA DEFINITIVO]],[1]Hoja1!$A$1:$D$125,2,0)</f>
        <v>17261</v>
      </c>
      <c r="X328" s="12">
        <f>VLOOKUP(Tabla44[[#This Row],[ZONA DEFINITIVO]],[1]Hoja1!$A$1:$D$125,4,0)</f>
        <v>104825</v>
      </c>
      <c r="Y328" s="12" t="str">
        <f>+IF(Tabla44[[#This Row],[AGRUPACIONES]]=1,SUMIFS(Tabla44[UDS],Tabla44[ZONA DEFINITIVO],Tabla44[[#This Row],[ZONA DEFINITIVO]])," ")</f>
        <v xml:space="preserve"> </v>
      </c>
      <c r="Z328" s="12" t="str">
        <f>+IF(Tabla44[[#This Row],[AGRUPACIONES]]=1,SUMIFS(Tabla44[TOTAL COBERTURA],Tabla44[ZONA DEFINITIVO],Tabla44[[#This Row],[ZONA DEFINITIVO]])," ")</f>
        <v xml:space="preserve"> </v>
      </c>
      <c r="AA328" s="12"/>
      <c r="AB328" s="35">
        <v>17441544</v>
      </c>
      <c r="AC328" s="37">
        <v>0</v>
      </c>
      <c r="AD328" s="35">
        <f t="shared" si="5"/>
        <v>0</v>
      </c>
      <c r="AE328" s="12"/>
      <c r="AF328" s="12">
        <f>COUNTIF($A$20:A328,A328)</f>
        <v>8</v>
      </c>
      <c r="AG328" s="38">
        <v>17441544</v>
      </c>
      <c r="AH328" s="38">
        <f>Tabla44[[#This Row],[VALOR CONTRAPARTIDA]]+Tabla44[[#This Row],[TOTAL APORTES ICBF]]</f>
        <v>17441544</v>
      </c>
      <c r="AI328" s="35" t="str">
        <f>+IF(Tabla44[[#This Row],[AGRUPACIONES]]=1,SUMIFS(Tabla44[TOTAL APORTES ICBF],Tabla44[ZONA DEFINITIVO],Tabla44[[#This Row],[ZONA DEFINITIVO]])," ")</f>
        <v xml:space="preserve"> </v>
      </c>
      <c r="AJ328" s="38"/>
      <c r="AK328" s="38"/>
      <c r="AL328" s="35"/>
      <c r="AM328" s="35">
        <f>VLOOKUP(Tabla44[[#This Row],[SERVICIO 2025]],$J$2:$V$15,5,0)*Tabla44[[#This Row],[TOTAL COBERTURA]]</f>
        <v>395008</v>
      </c>
      <c r="AN328" s="35">
        <f>VLOOKUP(Tabla44[[#This Row],[SERVICIO 2025]],$J$2:$V$15,6,0)*Tabla44[[#This Row],[TOTAL COBERTURA]]</f>
        <v>328232</v>
      </c>
      <c r="AO328" s="35">
        <f>VLOOKUP(Tabla44[[#This Row],[SERVICIO 2025]],$J$2:$V$15,8,0)*Tabla44[[#This Row],[TOTAL COBERTURA]]</f>
        <v>232800</v>
      </c>
      <c r="AP328" s="35">
        <f>VLOOKUP(Tabla44[[#This Row],[SERVICIO 2025]],$J$2:$V$15,3,0)*Tabla44[[#This Row],[TOTAL COBERTURA]]*8</f>
        <v>16485504</v>
      </c>
      <c r="AQ328" s="35"/>
      <c r="AR328" s="35">
        <f>SUM(Tabla44[[#This Row],[VALOR FASE PREPARATORIA DE ALISTAMIENTO]:[VALOR RACION PREPARADA]])</f>
        <v>17441544</v>
      </c>
      <c r="AS328" s="35" t="str">
        <f>+IF(Tabla44[[#This Row],[AGRUPACIONES]]=1,SUMIFS(Tabla44[VALOR TOTAL],Tabla44[ZONA DEFINITIVO],Tabla44[[#This Row],[ZONA DEFINITIVO]])," ")</f>
        <v xml:space="preserve"> </v>
      </c>
      <c r="AT328" s="35">
        <f>VLOOKUP(Tabla44[[#This Row],[SERVICIO 2025]],$J$2:$V$15,10,0)*Tabla44[[#This Row],[TOTAL COBERTURA]]*$X$7</f>
        <v>11544512</v>
      </c>
      <c r="AU328" s="39">
        <f>Tabla44[[#This Row],[TOTAL CONTRATO (ICBF+EAS)]]+Tabla44[[#This Row],[VALOR COMPONENTE ALIMENTACION NO ASIGNADO]]</f>
        <v>28986056</v>
      </c>
      <c r="AV32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4131560</v>
      </c>
      <c r="AW328" s="35">
        <f>(VLOOKUP(Tabla44[[#This Row],[SERVICIO 2025]],$J$2:$V$15,3,0)*Tabla44[[#This Row],[TOTAL COBERTURA]])+VLOOKUP(Tabla44[[#This Row],[SERVICIO 2025]],$J$2:$V$15,10,0)*Tabla44[[#This Row],[TOTAL COBERTURA]]</f>
        <v>3503752</v>
      </c>
      <c r="AX328" s="35">
        <f>(VLOOKUP(Tabla44[[#This Row],[SERVICIO 2025]],$J$2:$V$15,3,0)*Tabla44[[#This Row],[TOTAL COBERTURA]])+VLOOKUP(Tabla44[[#This Row],[SERVICIO 2025]],$J$2:$V$15,10,0)*Tabla44[[#This Row],[TOTAL COBERTURA]]</f>
        <v>3503752</v>
      </c>
      <c r="AY328" s="35">
        <f>(VLOOKUP(Tabla44[[#This Row],[SERVICIO 2025]],$J$2:$V$15,3,0)*Tabla44[[#This Row],[TOTAL COBERTURA]])+VLOOKUP(Tabla44[[#This Row],[SERVICIO 2025]],$J$2:$V$15,10,0)*Tabla44[[#This Row],[TOTAL COBERTURA]]</f>
        <v>3503752</v>
      </c>
      <c r="AZ328" s="35">
        <f>(VLOOKUP(Tabla44[[#This Row],[SERVICIO 2025]],$J$2:$V$15,3,0)*Tabla44[[#This Row],[TOTAL COBERTURA]])+VLOOKUP(Tabla44[[#This Row],[SERVICIO 2025]],$J$2:$V$15,10,0)*Tabla44[[#This Row],[TOTAL COBERTURA]]</f>
        <v>3503752</v>
      </c>
      <c r="BA328" s="35">
        <f>(VLOOKUP(Tabla44[[#This Row],[SERVICIO 2025]],$J$2:$V$15,3,0)*Tabla44[[#This Row],[TOTAL COBERTURA]])+VLOOKUP(Tabla44[[#This Row],[SERVICIO 2025]],$J$2:$V$15,10,0)*Tabla44[[#This Row],[TOTAL COBERTURA]]</f>
        <v>3503752</v>
      </c>
      <c r="BB328" s="35">
        <f>(VLOOKUP(Tabla44[[#This Row],[SERVICIO 2025]],$J$2:$V$15,3,0)*Tabla44[[#This Row],[TOTAL COBERTURA]])+VLOOKUP(Tabla44[[#This Row],[SERVICIO 2025]],$J$2:$V$15,10,0)*Tabla44[[#This Row],[TOTAL COBERTURA]]</f>
        <v>3503752</v>
      </c>
      <c r="BC32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3831984</v>
      </c>
      <c r="BD328" s="35">
        <f>SUM(Tabla44[[#This Row],[DESEMBOLSO 1]:[DESEMBOLSO 8]])</f>
        <v>28986056</v>
      </c>
      <c r="BE328" s="12" t="b">
        <f>EXACT(Tabla44[[#This Row],[VALOR ATENCIÓN (8 MESES)]],Tabla44[[#This Row],[VALOR TOTAL]])</f>
        <v>1</v>
      </c>
      <c r="BF328" s="23">
        <f>Tabla44[[#This Row],[VALOR ATENCIÓN (8 MESES)]]-Tabla44[[#This Row],[VALOR TOTAL]]</f>
        <v>0</v>
      </c>
      <c r="BG328" s="12" t="b">
        <f>EXACT(Tabla44[[#This Row],[TOTAL DESEMBOLSOS]],Tabla44[[#This Row],[VALOR TOTAL DEL CONTRATO INCLUIDO EL COMPONENTE DE ALIMENTACIÓN]])</f>
        <v>1</v>
      </c>
      <c r="BH328" s="29">
        <f>Tabla44[[#This Row],[TOTAL DESEMBOLSOS]]-Tabla44[[#This Row],[VALOR TOTAL DEL CONTRATO INCLUIDO EL COMPONENTE DE ALIMENTACIÓN]]</f>
        <v>0</v>
      </c>
      <c r="BI328" t="s">
        <v>98</v>
      </c>
    </row>
    <row r="329" spans="1:61">
      <c r="A329" s="13">
        <v>1999</v>
      </c>
      <c r="B329" s="13"/>
      <c r="C329" s="12" t="s">
        <v>87</v>
      </c>
      <c r="D329" s="12" t="s">
        <v>673</v>
      </c>
      <c r="E329" s="12" t="s">
        <v>3430</v>
      </c>
      <c r="F329" s="12" t="s">
        <v>18</v>
      </c>
      <c r="G329" s="12" t="s">
        <v>90</v>
      </c>
      <c r="H329" s="12" t="s">
        <v>3446</v>
      </c>
      <c r="I329" s="36">
        <v>56701137261</v>
      </c>
      <c r="J329" s="12" t="s">
        <v>3447</v>
      </c>
      <c r="K329" s="12">
        <v>1</v>
      </c>
      <c r="L329" s="12">
        <v>12</v>
      </c>
      <c r="M329" s="12"/>
      <c r="N329" s="13">
        <v>1999</v>
      </c>
      <c r="O329" s="12" t="s">
        <v>2850</v>
      </c>
      <c r="P329" s="12"/>
      <c r="Q329" s="12"/>
      <c r="R329" s="12" t="s">
        <v>94</v>
      </c>
      <c r="S329" s="12">
        <v>10</v>
      </c>
      <c r="T329" s="12">
        <v>811008215</v>
      </c>
      <c r="U329" s="12" t="s">
        <v>3112</v>
      </c>
      <c r="V329" s="12">
        <f>VLOOKUP(Tabla44[[#This Row],[ZONA DEFINITIVO]],[1]Hoja1!$A$1:$D$125,3,0)</f>
        <v>229942</v>
      </c>
      <c r="W329" s="12">
        <f>VLOOKUP(Tabla44[[#This Row],[ZONA DEFINITIVO]],[1]Hoja1!$A$1:$D$125,2,0)</f>
        <v>17261</v>
      </c>
      <c r="X329" s="12">
        <f>VLOOKUP(Tabla44[[#This Row],[ZONA DEFINITIVO]],[1]Hoja1!$A$1:$D$125,4,0)</f>
        <v>104825</v>
      </c>
      <c r="Y329" s="12" t="str">
        <f>+IF(Tabla44[[#This Row],[AGRUPACIONES]]=1,SUMIFS(Tabla44[UDS],Tabla44[ZONA DEFINITIVO],Tabla44[[#This Row],[ZONA DEFINITIVO]])," ")</f>
        <v xml:space="preserve"> </v>
      </c>
      <c r="Z329" s="12" t="str">
        <f>+IF(Tabla44[[#This Row],[AGRUPACIONES]]=1,SUMIFS(Tabla44[TOTAL COBERTURA],Tabla44[ZONA DEFINITIVO],Tabla44[[#This Row],[ZONA DEFINITIVO]])," ")</f>
        <v xml:space="preserve"> </v>
      </c>
      <c r="AA329" s="12"/>
      <c r="AB329" s="35">
        <v>26162316</v>
      </c>
      <c r="AC329" s="37">
        <v>0</v>
      </c>
      <c r="AD329" s="35">
        <f t="shared" si="5"/>
        <v>0</v>
      </c>
      <c r="AE329" s="12"/>
      <c r="AF329" s="12">
        <f>COUNTIF($A$20:A329,A329)</f>
        <v>9</v>
      </c>
      <c r="AG329" s="38">
        <v>26162316</v>
      </c>
      <c r="AH329" s="38">
        <f>Tabla44[[#This Row],[VALOR CONTRAPARTIDA]]+Tabla44[[#This Row],[TOTAL APORTES ICBF]]</f>
        <v>26162316</v>
      </c>
      <c r="AI329" s="35" t="str">
        <f>+IF(Tabla44[[#This Row],[AGRUPACIONES]]=1,SUMIFS(Tabla44[TOTAL APORTES ICBF],Tabla44[ZONA DEFINITIVO],Tabla44[[#This Row],[ZONA DEFINITIVO]])," ")</f>
        <v xml:space="preserve"> </v>
      </c>
      <c r="AJ329" s="38"/>
      <c r="AK329" s="38"/>
      <c r="AL329" s="35"/>
      <c r="AM329" s="35">
        <f>VLOOKUP(Tabla44[[#This Row],[SERVICIO 2025]],$J$2:$V$15,5,0)*Tabla44[[#This Row],[TOTAL COBERTURA]]</f>
        <v>592512</v>
      </c>
      <c r="AN329" s="35">
        <f>VLOOKUP(Tabla44[[#This Row],[SERVICIO 2025]],$J$2:$V$15,6,0)*Tabla44[[#This Row],[TOTAL COBERTURA]]</f>
        <v>492348</v>
      </c>
      <c r="AO329" s="35">
        <f>VLOOKUP(Tabla44[[#This Row],[SERVICIO 2025]],$J$2:$V$15,8,0)*Tabla44[[#This Row],[TOTAL COBERTURA]]</f>
        <v>349200</v>
      </c>
      <c r="AP329" s="35">
        <f>VLOOKUP(Tabla44[[#This Row],[SERVICIO 2025]],$J$2:$V$15,3,0)*Tabla44[[#This Row],[TOTAL COBERTURA]]*8</f>
        <v>24728256</v>
      </c>
      <c r="AQ329" s="35"/>
      <c r="AR329" s="35">
        <f>SUM(Tabla44[[#This Row],[VALOR FASE PREPARATORIA DE ALISTAMIENTO]:[VALOR RACION PREPARADA]])</f>
        <v>26162316</v>
      </c>
      <c r="AS329" s="35" t="str">
        <f>+IF(Tabla44[[#This Row],[AGRUPACIONES]]=1,SUMIFS(Tabla44[VALOR TOTAL],Tabla44[ZONA DEFINITIVO],Tabla44[[#This Row],[ZONA DEFINITIVO]])," ")</f>
        <v xml:space="preserve"> </v>
      </c>
      <c r="AT329" s="35">
        <f>VLOOKUP(Tabla44[[#This Row],[SERVICIO 2025]],$J$2:$V$15,10,0)*Tabla44[[#This Row],[TOTAL COBERTURA]]*$X$7</f>
        <v>17316768</v>
      </c>
      <c r="AU329" s="39">
        <f>Tabla44[[#This Row],[TOTAL CONTRATO (ICBF+EAS)]]+Tabla44[[#This Row],[VALOR COMPONENTE ALIMENTACION NO ASIGNADO]]</f>
        <v>43479084</v>
      </c>
      <c r="AV32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329" s="35">
        <f>(VLOOKUP(Tabla44[[#This Row],[SERVICIO 2025]],$J$2:$V$15,3,0)*Tabla44[[#This Row],[TOTAL COBERTURA]])+VLOOKUP(Tabla44[[#This Row],[SERVICIO 2025]],$J$2:$V$15,10,0)*Tabla44[[#This Row],[TOTAL COBERTURA]]</f>
        <v>5255628</v>
      </c>
      <c r="AX329" s="35">
        <f>(VLOOKUP(Tabla44[[#This Row],[SERVICIO 2025]],$J$2:$V$15,3,0)*Tabla44[[#This Row],[TOTAL COBERTURA]])+VLOOKUP(Tabla44[[#This Row],[SERVICIO 2025]],$J$2:$V$15,10,0)*Tabla44[[#This Row],[TOTAL COBERTURA]]</f>
        <v>5255628</v>
      </c>
      <c r="AY329" s="35">
        <f>(VLOOKUP(Tabla44[[#This Row],[SERVICIO 2025]],$J$2:$V$15,3,0)*Tabla44[[#This Row],[TOTAL COBERTURA]])+VLOOKUP(Tabla44[[#This Row],[SERVICIO 2025]],$J$2:$V$15,10,0)*Tabla44[[#This Row],[TOTAL COBERTURA]]</f>
        <v>5255628</v>
      </c>
      <c r="AZ329" s="35">
        <f>(VLOOKUP(Tabla44[[#This Row],[SERVICIO 2025]],$J$2:$V$15,3,0)*Tabla44[[#This Row],[TOTAL COBERTURA]])+VLOOKUP(Tabla44[[#This Row],[SERVICIO 2025]],$J$2:$V$15,10,0)*Tabla44[[#This Row],[TOTAL COBERTURA]]</f>
        <v>5255628</v>
      </c>
      <c r="BA329" s="35">
        <f>(VLOOKUP(Tabla44[[#This Row],[SERVICIO 2025]],$J$2:$V$15,3,0)*Tabla44[[#This Row],[TOTAL COBERTURA]])+VLOOKUP(Tabla44[[#This Row],[SERVICIO 2025]],$J$2:$V$15,10,0)*Tabla44[[#This Row],[TOTAL COBERTURA]]</f>
        <v>5255628</v>
      </c>
      <c r="BB329" s="35">
        <f>(VLOOKUP(Tabla44[[#This Row],[SERVICIO 2025]],$J$2:$V$15,3,0)*Tabla44[[#This Row],[TOTAL COBERTURA]])+VLOOKUP(Tabla44[[#This Row],[SERVICIO 2025]],$J$2:$V$15,10,0)*Tabla44[[#This Row],[TOTAL COBERTURA]]</f>
        <v>5255628</v>
      </c>
      <c r="BC32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329" s="35">
        <f>SUM(Tabla44[[#This Row],[DESEMBOLSO 1]:[DESEMBOLSO 8]])</f>
        <v>43479084</v>
      </c>
      <c r="BE329" s="12" t="b">
        <f>EXACT(Tabla44[[#This Row],[VALOR ATENCIÓN (8 MESES)]],Tabla44[[#This Row],[VALOR TOTAL]])</f>
        <v>1</v>
      </c>
      <c r="BF329" s="23">
        <f>Tabla44[[#This Row],[VALOR ATENCIÓN (8 MESES)]]-Tabla44[[#This Row],[VALOR TOTAL]]</f>
        <v>0</v>
      </c>
      <c r="BG329" s="12" t="b">
        <f>EXACT(Tabla44[[#This Row],[TOTAL DESEMBOLSOS]],Tabla44[[#This Row],[VALOR TOTAL DEL CONTRATO INCLUIDO EL COMPONENTE DE ALIMENTACIÓN]])</f>
        <v>1</v>
      </c>
      <c r="BH329" s="29">
        <f>Tabla44[[#This Row],[TOTAL DESEMBOLSOS]]-Tabla44[[#This Row],[VALOR TOTAL DEL CONTRATO INCLUIDO EL COMPONENTE DE ALIMENTACIÓN]]</f>
        <v>0</v>
      </c>
      <c r="BI329" t="s">
        <v>98</v>
      </c>
    </row>
    <row r="330" spans="1:61">
      <c r="A330" s="13">
        <v>1999</v>
      </c>
      <c r="B330" s="13"/>
      <c r="C330" s="12" t="s">
        <v>87</v>
      </c>
      <c r="D330" s="12" t="s">
        <v>673</v>
      </c>
      <c r="E330" s="12" t="s">
        <v>3430</v>
      </c>
      <c r="F330" s="12" t="s">
        <v>18</v>
      </c>
      <c r="G330" s="12" t="s">
        <v>90</v>
      </c>
      <c r="H330" s="12" t="s">
        <v>3448</v>
      </c>
      <c r="I330" s="36">
        <v>56701137264</v>
      </c>
      <c r="J330" s="12" t="s">
        <v>3449</v>
      </c>
      <c r="K330" s="12">
        <v>1</v>
      </c>
      <c r="L330" s="12">
        <v>33</v>
      </c>
      <c r="M330" s="12"/>
      <c r="N330" s="13">
        <v>1999</v>
      </c>
      <c r="O330" s="12" t="s">
        <v>2850</v>
      </c>
      <c r="P330" s="12"/>
      <c r="Q330" s="12"/>
      <c r="R330" s="12" t="s">
        <v>94</v>
      </c>
      <c r="S330" s="12">
        <v>10</v>
      </c>
      <c r="T330" s="12">
        <v>811008215</v>
      </c>
      <c r="U330" s="12" t="s">
        <v>3112</v>
      </c>
      <c r="V330" s="12">
        <f>VLOOKUP(Tabla44[[#This Row],[ZONA DEFINITIVO]],[1]Hoja1!$A$1:$D$125,3,0)</f>
        <v>229942</v>
      </c>
      <c r="W330" s="12">
        <f>VLOOKUP(Tabla44[[#This Row],[ZONA DEFINITIVO]],[1]Hoja1!$A$1:$D$125,2,0)</f>
        <v>17261</v>
      </c>
      <c r="X330" s="12">
        <f>VLOOKUP(Tabla44[[#This Row],[ZONA DEFINITIVO]],[1]Hoja1!$A$1:$D$125,4,0)</f>
        <v>104825</v>
      </c>
      <c r="Y330" s="12" t="str">
        <f>+IF(Tabla44[[#This Row],[AGRUPACIONES]]=1,SUMIFS(Tabla44[UDS],Tabla44[ZONA DEFINITIVO],Tabla44[[#This Row],[ZONA DEFINITIVO]])," ")</f>
        <v xml:space="preserve"> </v>
      </c>
      <c r="Z330" s="12" t="str">
        <f>+IF(Tabla44[[#This Row],[AGRUPACIONES]]=1,SUMIFS(Tabla44[TOTAL COBERTURA],Tabla44[ZONA DEFINITIVO],Tabla44[[#This Row],[ZONA DEFINITIVO]])," ")</f>
        <v xml:space="preserve"> </v>
      </c>
      <c r="AA330" s="12"/>
      <c r="AB330" s="35">
        <v>71946369</v>
      </c>
      <c r="AC330" s="37">
        <v>0</v>
      </c>
      <c r="AD330" s="35">
        <f t="shared" si="5"/>
        <v>0</v>
      </c>
      <c r="AE330" s="12"/>
      <c r="AF330" s="12">
        <f>COUNTIF($A$20:A330,A330)</f>
        <v>10</v>
      </c>
      <c r="AG330" s="38">
        <v>71946369</v>
      </c>
      <c r="AH330" s="38">
        <f>Tabla44[[#This Row],[VALOR CONTRAPARTIDA]]+Tabla44[[#This Row],[TOTAL APORTES ICBF]]</f>
        <v>71946369</v>
      </c>
      <c r="AI330" s="35" t="str">
        <f>+IF(Tabla44[[#This Row],[AGRUPACIONES]]=1,SUMIFS(Tabla44[TOTAL APORTES ICBF],Tabla44[ZONA DEFINITIVO],Tabla44[[#This Row],[ZONA DEFINITIVO]])," ")</f>
        <v xml:space="preserve"> </v>
      </c>
      <c r="AJ330" s="38"/>
      <c r="AK330" s="38"/>
      <c r="AL330" s="35"/>
      <c r="AM330" s="35">
        <f>VLOOKUP(Tabla44[[#This Row],[SERVICIO 2025]],$J$2:$V$15,5,0)*Tabla44[[#This Row],[TOTAL COBERTURA]]</f>
        <v>1629408</v>
      </c>
      <c r="AN330" s="35">
        <f>VLOOKUP(Tabla44[[#This Row],[SERVICIO 2025]],$J$2:$V$15,6,0)*Tabla44[[#This Row],[TOTAL COBERTURA]]</f>
        <v>1353957</v>
      </c>
      <c r="AO330" s="35">
        <f>VLOOKUP(Tabla44[[#This Row],[SERVICIO 2025]],$J$2:$V$15,8,0)*Tabla44[[#This Row],[TOTAL COBERTURA]]</f>
        <v>960300</v>
      </c>
      <c r="AP330" s="35">
        <f>VLOOKUP(Tabla44[[#This Row],[SERVICIO 2025]],$J$2:$V$15,3,0)*Tabla44[[#This Row],[TOTAL COBERTURA]]*8</f>
        <v>68002704</v>
      </c>
      <c r="AQ330" s="35"/>
      <c r="AR330" s="35">
        <f>SUM(Tabla44[[#This Row],[VALOR FASE PREPARATORIA DE ALISTAMIENTO]:[VALOR RACION PREPARADA]])</f>
        <v>71946369</v>
      </c>
      <c r="AS330" s="35" t="str">
        <f>+IF(Tabla44[[#This Row],[AGRUPACIONES]]=1,SUMIFS(Tabla44[VALOR TOTAL],Tabla44[ZONA DEFINITIVO],Tabla44[[#This Row],[ZONA DEFINITIVO]])," ")</f>
        <v xml:space="preserve"> </v>
      </c>
      <c r="AT330" s="35">
        <f>VLOOKUP(Tabla44[[#This Row],[SERVICIO 2025]],$J$2:$V$15,10,0)*Tabla44[[#This Row],[TOTAL COBERTURA]]*$X$7</f>
        <v>47621112</v>
      </c>
      <c r="AU330" s="39">
        <f>Tabla44[[#This Row],[TOTAL CONTRATO (ICBF+EAS)]]+Tabla44[[#This Row],[VALOR COMPONENTE ALIMENTACION NO ASIGNADO]]</f>
        <v>119567481</v>
      </c>
      <c r="AV33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17042685</v>
      </c>
      <c r="AW330" s="35">
        <f>(VLOOKUP(Tabla44[[#This Row],[SERVICIO 2025]],$J$2:$V$15,3,0)*Tabla44[[#This Row],[TOTAL COBERTURA]])+VLOOKUP(Tabla44[[#This Row],[SERVICIO 2025]],$J$2:$V$15,10,0)*Tabla44[[#This Row],[TOTAL COBERTURA]]</f>
        <v>14452977</v>
      </c>
      <c r="AX330" s="35">
        <f>(VLOOKUP(Tabla44[[#This Row],[SERVICIO 2025]],$J$2:$V$15,3,0)*Tabla44[[#This Row],[TOTAL COBERTURA]])+VLOOKUP(Tabla44[[#This Row],[SERVICIO 2025]],$J$2:$V$15,10,0)*Tabla44[[#This Row],[TOTAL COBERTURA]]</f>
        <v>14452977</v>
      </c>
      <c r="AY330" s="35">
        <f>(VLOOKUP(Tabla44[[#This Row],[SERVICIO 2025]],$J$2:$V$15,3,0)*Tabla44[[#This Row],[TOTAL COBERTURA]])+VLOOKUP(Tabla44[[#This Row],[SERVICIO 2025]],$J$2:$V$15,10,0)*Tabla44[[#This Row],[TOTAL COBERTURA]]</f>
        <v>14452977</v>
      </c>
      <c r="AZ330" s="35">
        <f>(VLOOKUP(Tabla44[[#This Row],[SERVICIO 2025]],$J$2:$V$15,3,0)*Tabla44[[#This Row],[TOTAL COBERTURA]])+VLOOKUP(Tabla44[[#This Row],[SERVICIO 2025]],$J$2:$V$15,10,0)*Tabla44[[#This Row],[TOTAL COBERTURA]]</f>
        <v>14452977</v>
      </c>
      <c r="BA330" s="35">
        <f>(VLOOKUP(Tabla44[[#This Row],[SERVICIO 2025]],$J$2:$V$15,3,0)*Tabla44[[#This Row],[TOTAL COBERTURA]])+VLOOKUP(Tabla44[[#This Row],[SERVICIO 2025]],$J$2:$V$15,10,0)*Tabla44[[#This Row],[TOTAL COBERTURA]]</f>
        <v>14452977</v>
      </c>
      <c r="BB330" s="35">
        <f>(VLOOKUP(Tabla44[[#This Row],[SERVICIO 2025]],$J$2:$V$15,3,0)*Tabla44[[#This Row],[TOTAL COBERTURA]])+VLOOKUP(Tabla44[[#This Row],[SERVICIO 2025]],$J$2:$V$15,10,0)*Tabla44[[#This Row],[TOTAL COBERTURA]]</f>
        <v>14452977</v>
      </c>
      <c r="BC33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15806934</v>
      </c>
      <c r="BD330" s="35">
        <f>SUM(Tabla44[[#This Row],[DESEMBOLSO 1]:[DESEMBOLSO 8]])</f>
        <v>119567481</v>
      </c>
      <c r="BE330" s="12" t="b">
        <f>EXACT(Tabla44[[#This Row],[VALOR ATENCIÓN (8 MESES)]],Tabla44[[#This Row],[VALOR TOTAL]])</f>
        <v>1</v>
      </c>
      <c r="BF330" s="23">
        <f>Tabla44[[#This Row],[VALOR ATENCIÓN (8 MESES)]]-Tabla44[[#This Row],[VALOR TOTAL]]</f>
        <v>0</v>
      </c>
      <c r="BG330" s="12" t="b">
        <f>EXACT(Tabla44[[#This Row],[TOTAL DESEMBOLSOS]],Tabla44[[#This Row],[VALOR TOTAL DEL CONTRATO INCLUIDO EL COMPONENTE DE ALIMENTACIÓN]])</f>
        <v>1</v>
      </c>
      <c r="BH330" s="29">
        <f>Tabla44[[#This Row],[TOTAL DESEMBOLSOS]]-Tabla44[[#This Row],[VALOR TOTAL DEL CONTRATO INCLUIDO EL COMPONENTE DE ALIMENTACIÓN]]</f>
        <v>0</v>
      </c>
      <c r="BI330" t="s">
        <v>98</v>
      </c>
    </row>
    <row r="331" spans="1:61">
      <c r="A331" s="13">
        <v>1999</v>
      </c>
      <c r="B331" s="13"/>
      <c r="C331" s="12" t="s">
        <v>87</v>
      </c>
      <c r="D331" s="12" t="s">
        <v>673</v>
      </c>
      <c r="E331" s="12" t="s">
        <v>3430</v>
      </c>
      <c r="F331" s="12" t="s">
        <v>18</v>
      </c>
      <c r="G331" s="12" t="s">
        <v>90</v>
      </c>
      <c r="H331" s="12" t="s">
        <v>3450</v>
      </c>
      <c r="I331" s="36">
        <v>56701137266</v>
      </c>
      <c r="J331" s="12" t="s">
        <v>3451</v>
      </c>
      <c r="K331" s="12">
        <v>1</v>
      </c>
      <c r="L331" s="12">
        <v>20</v>
      </c>
      <c r="M331" s="12"/>
      <c r="N331" s="13">
        <v>1999</v>
      </c>
      <c r="O331" s="12" t="s">
        <v>2850</v>
      </c>
      <c r="P331" s="12"/>
      <c r="Q331" s="12"/>
      <c r="R331" s="12" t="s">
        <v>94</v>
      </c>
      <c r="S331" s="12">
        <v>10</v>
      </c>
      <c r="T331" s="12">
        <v>811008215</v>
      </c>
      <c r="U331" s="12" t="s">
        <v>3112</v>
      </c>
      <c r="V331" s="12">
        <f>VLOOKUP(Tabla44[[#This Row],[ZONA DEFINITIVO]],[1]Hoja1!$A$1:$D$125,3,0)</f>
        <v>229942</v>
      </c>
      <c r="W331" s="12">
        <f>VLOOKUP(Tabla44[[#This Row],[ZONA DEFINITIVO]],[1]Hoja1!$A$1:$D$125,2,0)</f>
        <v>17261</v>
      </c>
      <c r="X331" s="12">
        <f>VLOOKUP(Tabla44[[#This Row],[ZONA DEFINITIVO]],[1]Hoja1!$A$1:$D$125,4,0)</f>
        <v>104825</v>
      </c>
      <c r="Y331" s="12" t="str">
        <f>+IF(Tabla44[[#This Row],[AGRUPACIONES]]=1,SUMIFS(Tabla44[UDS],Tabla44[ZONA DEFINITIVO],Tabla44[[#This Row],[ZONA DEFINITIVO]])," ")</f>
        <v xml:space="preserve"> </v>
      </c>
      <c r="Z331" s="12" t="str">
        <f>+IF(Tabla44[[#This Row],[AGRUPACIONES]]=1,SUMIFS(Tabla44[TOTAL COBERTURA],Tabla44[ZONA DEFINITIVO],Tabla44[[#This Row],[ZONA DEFINITIVO]])," ")</f>
        <v xml:space="preserve"> </v>
      </c>
      <c r="AA331" s="12"/>
      <c r="AB331" s="35">
        <v>43603860</v>
      </c>
      <c r="AC331" s="37">
        <v>0</v>
      </c>
      <c r="AD331" s="35">
        <f t="shared" si="5"/>
        <v>0</v>
      </c>
      <c r="AE331" s="12"/>
      <c r="AF331" s="12">
        <f>COUNTIF($A$20:A331,A331)</f>
        <v>11</v>
      </c>
      <c r="AG331" s="38">
        <v>43603860</v>
      </c>
      <c r="AH331" s="38">
        <f>Tabla44[[#This Row],[VALOR CONTRAPARTIDA]]+Tabla44[[#This Row],[TOTAL APORTES ICBF]]</f>
        <v>43603860</v>
      </c>
      <c r="AI331" s="35" t="str">
        <f>+IF(Tabla44[[#This Row],[AGRUPACIONES]]=1,SUMIFS(Tabla44[TOTAL APORTES ICBF],Tabla44[ZONA DEFINITIVO],Tabla44[[#This Row],[ZONA DEFINITIVO]])," ")</f>
        <v xml:space="preserve"> </v>
      </c>
      <c r="AJ331" s="38"/>
      <c r="AK331" s="38"/>
      <c r="AL331" s="35"/>
      <c r="AM331" s="35">
        <f>VLOOKUP(Tabla44[[#This Row],[SERVICIO 2025]],$J$2:$V$15,5,0)*Tabla44[[#This Row],[TOTAL COBERTURA]]</f>
        <v>987520</v>
      </c>
      <c r="AN331" s="35">
        <f>VLOOKUP(Tabla44[[#This Row],[SERVICIO 2025]],$J$2:$V$15,6,0)*Tabla44[[#This Row],[TOTAL COBERTURA]]</f>
        <v>820580</v>
      </c>
      <c r="AO331" s="35">
        <f>VLOOKUP(Tabla44[[#This Row],[SERVICIO 2025]],$J$2:$V$15,8,0)*Tabla44[[#This Row],[TOTAL COBERTURA]]</f>
        <v>582000</v>
      </c>
      <c r="AP331" s="35">
        <f>VLOOKUP(Tabla44[[#This Row],[SERVICIO 2025]],$J$2:$V$15,3,0)*Tabla44[[#This Row],[TOTAL COBERTURA]]*8</f>
        <v>41213760</v>
      </c>
      <c r="AQ331" s="35"/>
      <c r="AR331" s="35">
        <f>SUM(Tabla44[[#This Row],[VALOR FASE PREPARATORIA DE ALISTAMIENTO]:[VALOR RACION PREPARADA]])</f>
        <v>43603860</v>
      </c>
      <c r="AS331" s="35" t="str">
        <f>+IF(Tabla44[[#This Row],[AGRUPACIONES]]=1,SUMIFS(Tabla44[VALOR TOTAL],Tabla44[ZONA DEFINITIVO],Tabla44[[#This Row],[ZONA DEFINITIVO]])," ")</f>
        <v xml:space="preserve"> </v>
      </c>
      <c r="AT331" s="35">
        <f>VLOOKUP(Tabla44[[#This Row],[SERVICIO 2025]],$J$2:$V$15,10,0)*Tabla44[[#This Row],[TOTAL COBERTURA]]*$X$7</f>
        <v>28861280</v>
      </c>
      <c r="AU331" s="39">
        <f>Tabla44[[#This Row],[TOTAL CONTRATO (ICBF+EAS)]]+Tabla44[[#This Row],[VALOR COMPONENTE ALIMENTACION NO ASIGNADO]]</f>
        <v>72465140</v>
      </c>
      <c r="AV33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331" s="35">
        <f>(VLOOKUP(Tabla44[[#This Row],[SERVICIO 2025]],$J$2:$V$15,3,0)*Tabla44[[#This Row],[TOTAL COBERTURA]])+VLOOKUP(Tabla44[[#This Row],[SERVICIO 2025]],$J$2:$V$15,10,0)*Tabla44[[#This Row],[TOTAL COBERTURA]]</f>
        <v>8759380</v>
      </c>
      <c r="AX331" s="35">
        <f>(VLOOKUP(Tabla44[[#This Row],[SERVICIO 2025]],$J$2:$V$15,3,0)*Tabla44[[#This Row],[TOTAL COBERTURA]])+VLOOKUP(Tabla44[[#This Row],[SERVICIO 2025]],$J$2:$V$15,10,0)*Tabla44[[#This Row],[TOTAL COBERTURA]]</f>
        <v>8759380</v>
      </c>
      <c r="AY331" s="35">
        <f>(VLOOKUP(Tabla44[[#This Row],[SERVICIO 2025]],$J$2:$V$15,3,0)*Tabla44[[#This Row],[TOTAL COBERTURA]])+VLOOKUP(Tabla44[[#This Row],[SERVICIO 2025]],$J$2:$V$15,10,0)*Tabla44[[#This Row],[TOTAL COBERTURA]]</f>
        <v>8759380</v>
      </c>
      <c r="AZ331" s="35">
        <f>(VLOOKUP(Tabla44[[#This Row],[SERVICIO 2025]],$J$2:$V$15,3,0)*Tabla44[[#This Row],[TOTAL COBERTURA]])+VLOOKUP(Tabla44[[#This Row],[SERVICIO 2025]],$J$2:$V$15,10,0)*Tabla44[[#This Row],[TOTAL COBERTURA]]</f>
        <v>8759380</v>
      </c>
      <c r="BA331" s="35">
        <f>(VLOOKUP(Tabla44[[#This Row],[SERVICIO 2025]],$J$2:$V$15,3,0)*Tabla44[[#This Row],[TOTAL COBERTURA]])+VLOOKUP(Tabla44[[#This Row],[SERVICIO 2025]],$J$2:$V$15,10,0)*Tabla44[[#This Row],[TOTAL COBERTURA]]</f>
        <v>8759380</v>
      </c>
      <c r="BB331" s="35">
        <f>(VLOOKUP(Tabla44[[#This Row],[SERVICIO 2025]],$J$2:$V$15,3,0)*Tabla44[[#This Row],[TOTAL COBERTURA]])+VLOOKUP(Tabla44[[#This Row],[SERVICIO 2025]],$J$2:$V$15,10,0)*Tabla44[[#This Row],[TOTAL COBERTURA]]</f>
        <v>8759380</v>
      </c>
      <c r="BC33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331" s="35">
        <f>SUM(Tabla44[[#This Row],[DESEMBOLSO 1]:[DESEMBOLSO 8]])</f>
        <v>72465140</v>
      </c>
      <c r="BE331" s="12" t="b">
        <f>EXACT(Tabla44[[#This Row],[VALOR ATENCIÓN (8 MESES)]],Tabla44[[#This Row],[VALOR TOTAL]])</f>
        <v>1</v>
      </c>
      <c r="BF331" s="23">
        <f>Tabla44[[#This Row],[VALOR ATENCIÓN (8 MESES)]]-Tabla44[[#This Row],[VALOR TOTAL]]</f>
        <v>0</v>
      </c>
      <c r="BG331" s="12" t="b">
        <f>EXACT(Tabla44[[#This Row],[TOTAL DESEMBOLSOS]],Tabla44[[#This Row],[VALOR TOTAL DEL CONTRATO INCLUIDO EL COMPONENTE DE ALIMENTACIÓN]])</f>
        <v>1</v>
      </c>
      <c r="BH331" s="29">
        <f>Tabla44[[#This Row],[TOTAL DESEMBOLSOS]]-Tabla44[[#This Row],[VALOR TOTAL DEL CONTRATO INCLUIDO EL COMPONENTE DE ALIMENTACIÓN]]</f>
        <v>0</v>
      </c>
      <c r="BI331" t="s">
        <v>98</v>
      </c>
    </row>
    <row r="332" spans="1:61">
      <c r="A332" s="13">
        <v>1999</v>
      </c>
      <c r="B332" s="13"/>
      <c r="C332" s="12" t="s">
        <v>87</v>
      </c>
      <c r="D332" s="12" t="s">
        <v>673</v>
      </c>
      <c r="E332" s="12" t="s">
        <v>3430</v>
      </c>
      <c r="F332" s="12" t="s">
        <v>18</v>
      </c>
      <c r="G332" s="12" t="s">
        <v>90</v>
      </c>
      <c r="H332" s="12" t="s">
        <v>3452</v>
      </c>
      <c r="I332" s="36">
        <v>56701137268</v>
      </c>
      <c r="J332" s="12" t="s">
        <v>3453</v>
      </c>
      <c r="K332" s="12">
        <v>1</v>
      </c>
      <c r="L332" s="12">
        <v>15</v>
      </c>
      <c r="M332" s="12"/>
      <c r="N332" s="13">
        <v>1999</v>
      </c>
      <c r="O332" s="12" t="s">
        <v>2850</v>
      </c>
      <c r="P332" s="12"/>
      <c r="Q332" s="12"/>
      <c r="R332" s="12" t="s">
        <v>94</v>
      </c>
      <c r="S332" s="12">
        <v>10</v>
      </c>
      <c r="T332" s="12">
        <v>811008215</v>
      </c>
      <c r="U332" s="12" t="s">
        <v>3112</v>
      </c>
      <c r="V332" s="12">
        <f>VLOOKUP(Tabla44[[#This Row],[ZONA DEFINITIVO]],[1]Hoja1!$A$1:$D$125,3,0)</f>
        <v>229942</v>
      </c>
      <c r="W332" s="12">
        <f>VLOOKUP(Tabla44[[#This Row],[ZONA DEFINITIVO]],[1]Hoja1!$A$1:$D$125,2,0)</f>
        <v>17261</v>
      </c>
      <c r="X332" s="12">
        <f>VLOOKUP(Tabla44[[#This Row],[ZONA DEFINITIVO]],[1]Hoja1!$A$1:$D$125,4,0)</f>
        <v>104825</v>
      </c>
      <c r="Y332" s="12" t="str">
        <f>+IF(Tabla44[[#This Row],[AGRUPACIONES]]=1,SUMIFS(Tabla44[UDS],Tabla44[ZONA DEFINITIVO],Tabla44[[#This Row],[ZONA DEFINITIVO]])," ")</f>
        <v xml:space="preserve"> </v>
      </c>
      <c r="Z332" s="12" t="str">
        <f>+IF(Tabla44[[#This Row],[AGRUPACIONES]]=1,SUMIFS(Tabla44[TOTAL COBERTURA],Tabla44[ZONA DEFINITIVO],Tabla44[[#This Row],[ZONA DEFINITIVO]])," ")</f>
        <v xml:space="preserve"> </v>
      </c>
      <c r="AA332" s="12"/>
      <c r="AB332" s="35">
        <v>32702895</v>
      </c>
      <c r="AC332" s="37">
        <v>0</v>
      </c>
      <c r="AD332" s="35">
        <f t="shared" si="5"/>
        <v>0</v>
      </c>
      <c r="AE332" s="12"/>
      <c r="AF332" s="12">
        <f>COUNTIF($A$20:A332,A332)</f>
        <v>12</v>
      </c>
      <c r="AG332" s="38">
        <v>32702895</v>
      </c>
      <c r="AH332" s="38">
        <f>Tabla44[[#This Row],[VALOR CONTRAPARTIDA]]+Tabla44[[#This Row],[TOTAL APORTES ICBF]]</f>
        <v>32702895</v>
      </c>
      <c r="AI332" s="35" t="str">
        <f>+IF(Tabla44[[#This Row],[AGRUPACIONES]]=1,SUMIFS(Tabla44[TOTAL APORTES ICBF],Tabla44[ZONA DEFINITIVO],Tabla44[[#This Row],[ZONA DEFINITIVO]])," ")</f>
        <v xml:space="preserve"> </v>
      </c>
      <c r="AJ332" s="38"/>
      <c r="AK332" s="38"/>
      <c r="AL332" s="35"/>
      <c r="AM332" s="35">
        <f>VLOOKUP(Tabla44[[#This Row],[SERVICIO 2025]],$J$2:$V$15,5,0)*Tabla44[[#This Row],[TOTAL COBERTURA]]</f>
        <v>740640</v>
      </c>
      <c r="AN332" s="35">
        <f>VLOOKUP(Tabla44[[#This Row],[SERVICIO 2025]],$J$2:$V$15,6,0)*Tabla44[[#This Row],[TOTAL COBERTURA]]</f>
        <v>615435</v>
      </c>
      <c r="AO332" s="35">
        <f>VLOOKUP(Tabla44[[#This Row],[SERVICIO 2025]],$J$2:$V$15,8,0)*Tabla44[[#This Row],[TOTAL COBERTURA]]</f>
        <v>436500</v>
      </c>
      <c r="AP332" s="35">
        <f>VLOOKUP(Tabla44[[#This Row],[SERVICIO 2025]],$J$2:$V$15,3,0)*Tabla44[[#This Row],[TOTAL COBERTURA]]*8</f>
        <v>30910320</v>
      </c>
      <c r="AQ332" s="35"/>
      <c r="AR332" s="35">
        <f>SUM(Tabla44[[#This Row],[VALOR FASE PREPARATORIA DE ALISTAMIENTO]:[VALOR RACION PREPARADA]])</f>
        <v>32702895</v>
      </c>
      <c r="AS332" s="35" t="str">
        <f>+IF(Tabla44[[#This Row],[AGRUPACIONES]]=1,SUMIFS(Tabla44[VALOR TOTAL],Tabla44[ZONA DEFINITIVO],Tabla44[[#This Row],[ZONA DEFINITIVO]])," ")</f>
        <v xml:space="preserve"> </v>
      </c>
      <c r="AT332" s="35">
        <f>VLOOKUP(Tabla44[[#This Row],[SERVICIO 2025]],$J$2:$V$15,10,0)*Tabla44[[#This Row],[TOTAL COBERTURA]]*$X$7</f>
        <v>21645960</v>
      </c>
      <c r="AU332" s="39">
        <f>Tabla44[[#This Row],[TOTAL CONTRATO (ICBF+EAS)]]+Tabla44[[#This Row],[VALOR COMPONENTE ALIMENTACION NO ASIGNADO]]</f>
        <v>54348855</v>
      </c>
      <c r="AV33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332" s="35">
        <f>(VLOOKUP(Tabla44[[#This Row],[SERVICIO 2025]],$J$2:$V$15,3,0)*Tabla44[[#This Row],[TOTAL COBERTURA]])+VLOOKUP(Tabla44[[#This Row],[SERVICIO 2025]],$J$2:$V$15,10,0)*Tabla44[[#This Row],[TOTAL COBERTURA]]</f>
        <v>6569535</v>
      </c>
      <c r="AX332" s="35">
        <f>(VLOOKUP(Tabla44[[#This Row],[SERVICIO 2025]],$J$2:$V$15,3,0)*Tabla44[[#This Row],[TOTAL COBERTURA]])+VLOOKUP(Tabla44[[#This Row],[SERVICIO 2025]],$J$2:$V$15,10,0)*Tabla44[[#This Row],[TOTAL COBERTURA]]</f>
        <v>6569535</v>
      </c>
      <c r="AY332" s="35">
        <f>(VLOOKUP(Tabla44[[#This Row],[SERVICIO 2025]],$J$2:$V$15,3,0)*Tabla44[[#This Row],[TOTAL COBERTURA]])+VLOOKUP(Tabla44[[#This Row],[SERVICIO 2025]],$J$2:$V$15,10,0)*Tabla44[[#This Row],[TOTAL COBERTURA]]</f>
        <v>6569535</v>
      </c>
      <c r="AZ332" s="35">
        <f>(VLOOKUP(Tabla44[[#This Row],[SERVICIO 2025]],$J$2:$V$15,3,0)*Tabla44[[#This Row],[TOTAL COBERTURA]])+VLOOKUP(Tabla44[[#This Row],[SERVICIO 2025]],$J$2:$V$15,10,0)*Tabla44[[#This Row],[TOTAL COBERTURA]]</f>
        <v>6569535</v>
      </c>
      <c r="BA332" s="35">
        <f>(VLOOKUP(Tabla44[[#This Row],[SERVICIO 2025]],$J$2:$V$15,3,0)*Tabla44[[#This Row],[TOTAL COBERTURA]])+VLOOKUP(Tabla44[[#This Row],[SERVICIO 2025]],$J$2:$V$15,10,0)*Tabla44[[#This Row],[TOTAL COBERTURA]]</f>
        <v>6569535</v>
      </c>
      <c r="BB332" s="35">
        <f>(VLOOKUP(Tabla44[[#This Row],[SERVICIO 2025]],$J$2:$V$15,3,0)*Tabla44[[#This Row],[TOTAL COBERTURA]])+VLOOKUP(Tabla44[[#This Row],[SERVICIO 2025]],$J$2:$V$15,10,0)*Tabla44[[#This Row],[TOTAL COBERTURA]]</f>
        <v>6569535</v>
      </c>
      <c r="BC33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332" s="35">
        <f>SUM(Tabla44[[#This Row],[DESEMBOLSO 1]:[DESEMBOLSO 8]])</f>
        <v>54348855</v>
      </c>
      <c r="BE332" s="12" t="b">
        <f>EXACT(Tabla44[[#This Row],[VALOR ATENCIÓN (8 MESES)]],Tabla44[[#This Row],[VALOR TOTAL]])</f>
        <v>1</v>
      </c>
      <c r="BF332" s="23">
        <f>Tabla44[[#This Row],[VALOR ATENCIÓN (8 MESES)]]-Tabla44[[#This Row],[VALOR TOTAL]]</f>
        <v>0</v>
      </c>
      <c r="BG332" s="12" t="b">
        <f>EXACT(Tabla44[[#This Row],[TOTAL DESEMBOLSOS]],Tabla44[[#This Row],[VALOR TOTAL DEL CONTRATO INCLUIDO EL COMPONENTE DE ALIMENTACIÓN]])</f>
        <v>1</v>
      </c>
      <c r="BH332" s="29">
        <f>Tabla44[[#This Row],[TOTAL DESEMBOLSOS]]-Tabla44[[#This Row],[VALOR TOTAL DEL CONTRATO INCLUIDO EL COMPONENTE DE ALIMENTACIÓN]]</f>
        <v>0</v>
      </c>
      <c r="BI332" t="s">
        <v>98</v>
      </c>
    </row>
    <row r="333" spans="1:61">
      <c r="A333" s="21">
        <v>1999</v>
      </c>
      <c r="B333" s="21"/>
      <c r="C333" s="22" t="s">
        <v>87</v>
      </c>
      <c r="D333" s="22" t="s">
        <v>673</v>
      </c>
      <c r="E333" s="22" t="s">
        <v>3430</v>
      </c>
      <c r="F333" s="22" t="s">
        <v>18</v>
      </c>
      <c r="G333" s="12" t="s">
        <v>90</v>
      </c>
      <c r="H333" s="22" t="s">
        <v>3454</v>
      </c>
      <c r="I333" s="36">
        <v>56701137955</v>
      </c>
      <c r="J333" s="22" t="s">
        <v>3455</v>
      </c>
      <c r="K333" s="12">
        <v>1</v>
      </c>
      <c r="L333" s="22">
        <v>13</v>
      </c>
      <c r="M333" s="22"/>
      <c r="N333" s="21">
        <v>1999</v>
      </c>
      <c r="O333" s="22" t="s">
        <v>2850</v>
      </c>
      <c r="P333" s="22"/>
      <c r="Q333" s="22"/>
      <c r="R333" s="12" t="s">
        <v>94</v>
      </c>
      <c r="S333" s="12">
        <v>10</v>
      </c>
      <c r="T333" s="12">
        <v>811008215</v>
      </c>
      <c r="U333" s="12" t="s">
        <v>3112</v>
      </c>
      <c r="V333" s="22">
        <f>VLOOKUP(Tabla44[[#This Row],[ZONA DEFINITIVO]],[1]Hoja1!$A$1:$D$125,3,0)</f>
        <v>229942</v>
      </c>
      <c r="W333" s="22">
        <f>VLOOKUP(Tabla44[[#This Row],[ZONA DEFINITIVO]],[1]Hoja1!$A$1:$D$125,2,0)</f>
        <v>17261</v>
      </c>
      <c r="X333" s="22">
        <f>VLOOKUP(Tabla44[[#This Row],[ZONA DEFINITIVO]],[1]Hoja1!$A$1:$D$125,4,0)</f>
        <v>104825</v>
      </c>
      <c r="Y333" s="22" t="str">
        <f>+IF(Tabla44[[#This Row],[AGRUPACIONES]]=1,SUMIFS(Tabla44[UDS],Tabla44[ZONA DEFINITIVO],Tabla44[[#This Row],[ZONA DEFINITIVO]])," ")</f>
        <v xml:space="preserve"> </v>
      </c>
      <c r="Z333" s="22" t="str">
        <f>+IF(Tabla44[[#This Row],[AGRUPACIONES]]=1,SUMIFS(Tabla44[TOTAL COBERTURA],Tabla44[ZONA DEFINITIVO],Tabla44[[#This Row],[ZONA DEFINITIVO]])," ")</f>
        <v xml:space="preserve"> </v>
      </c>
      <c r="AA333" s="22"/>
      <c r="AB333" s="40">
        <v>28342509</v>
      </c>
      <c r="AC333" s="37">
        <v>0</v>
      </c>
      <c r="AD333" s="40">
        <f t="shared" si="5"/>
        <v>0</v>
      </c>
      <c r="AE333" s="22"/>
      <c r="AF333" s="12">
        <f>COUNTIF($A$20:A333,A333)</f>
        <v>13</v>
      </c>
      <c r="AG333" s="41">
        <v>28342509</v>
      </c>
      <c r="AH333" s="41">
        <f>Tabla44[[#This Row],[VALOR CONTRAPARTIDA]]+Tabla44[[#This Row],[TOTAL APORTES ICBF]]</f>
        <v>28342509</v>
      </c>
      <c r="AI333" s="40" t="str">
        <f>+IF(Tabla44[[#This Row],[AGRUPACIONES]]=1,SUMIFS(Tabla44[TOTAL APORTES ICBF],Tabla44[ZONA DEFINITIVO],Tabla44[[#This Row],[ZONA DEFINITIVO]])," ")</f>
        <v xml:space="preserve"> </v>
      </c>
      <c r="AJ333" s="41"/>
      <c r="AK333" s="41"/>
      <c r="AL333" s="40"/>
      <c r="AM333" s="40">
        <f>VLOOKUP(Tabla44[[#This Row],[SERVICIO 2025]],$J$2:$V$15,5,0)*Tabla44[[#This Row],[TOTAL COBERTURA]]</f>
        <v>641888</v>
      </c>
      <c r="AN333" s="40">
        <f>VLOOKUP(Tabla44[[#This Row],[SERVICIO 2025]],$J$2:$V$15,6,0)*Tabla44[[#This Row],[TOTAL COBERTURA]]</f>
        <v>533377</v>
      </c>
      <c r="AO333" s="40">
        <f>VLOOKUP(Tabla44[[#This Row],[SERVICIO 2025]],$J$2:$V$15,8,0)*Tabla44[[#This Row],[TOTAL COBERTURA]]</f>
        <v>378300</v>
      </c>
      <c r="AP333" s="40">
        <f>VLOOKUP(Tabla44[[#This Row],[SERVICIO 2025]],$J$2:$V$15,3,0)*Tabla44[[#This Row],[TOTAL COBERTURA]]*8</f>
        <v>26788944</v>
      </c>
      <c r="AQ333" s="40"/>
      <c r="AR333" s="40">
        <f>SUM(Tabla44[[#This Row],[VALOR FASE PREPARATORIA DE ALISTAMIENTO]:[VALOR RACION PREPARADA]])</f>
        <v>28342509</v>
      </c>
      <c r="AS333" s="40" t="str">
        <f>+IF(Tabla44[[#This Row],[AGRUPACIONES]]=1,SUMIFS(Tabla44[VALOR TOTAL],Tabla44[ZONA DEFINITIVO],Tabla44[[#This Row],[ZONA DEFINITIVO]])," ")</f>
        <v xml:space="preserve"> </v>
      </c>
      <c r="AT333" s="35">
        <f>VLOOKUP(Tabla44[[#This Row],[SERVICIO 2025]],$J$2:$V$15,10,0)*Tabla44[[#This Row],[TOTAL COBERTURA]]*$X$7</f>
        <v>18759832</v>
      </c>
      <c r="AU333" s="42">
        <f>Tabla44[[#This Row],[TOTAL CONTRATO (ICBF+EAS)]]+Tabla44[[#This Row],[VALOR COMPONENTE ALIMENTACION NO ASIGNADO]]</f>
        <v>47102341</v>
      </c>
      <c r="AV33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333" s="35">
        <f>(VLOOKUP(Tabla44[[#This Row],[SERVICIO 2025]],$J$2:$V$15,3,0)*Tabla44[[#This Row],[TOTAL COBERTURA]])+VLOOKUP(Tabla44[[#This Row],[SERVICIO 2025]],$J$2:$V$15,10,0)*Tabla44[[#This Row],[TOTAL COBERTURA]]</f>
        <v>5693597</v>
      </c>
      <c r="AX333" s="40">
        <f>(VLOOKUP(Tabla44[[#This Row],[SERVICIO 2025]],$J$2:$V$15,3,0)*Tabla44[[#This Row],[TOTAL COBERTURA]])+VLOOKUP(Tabla44[[#This Row],[SERVICIO 2025]],$J$2:$V$15,10,0)*Tabla44[[#This Row],[TOTAL COBERTURA]]</f>
        <v>5693597</v>
      </c>
      <c r="AY333" s="40">
        <f>(VLOOKUP(Tabla44[[#This Row],[SERVICIO 2025]],$J$2:$V$15,3,0)*Tabla44[[#This Row],[TOTAL COBERTURA]])+VLOOKUP(Tabla44[[#This Row],[SERVICIO 2025]],$J$2:$V$15,10,0)*Tabla44[[#This Row],[TOTAL COBERTURA]]</f>
        <v>5693597</v>
      </c>
      <c r="AZ333" s="40">
        <f>(VLOOKUP(Tabla44[[#This Row],[SERVICIO 2025]],$J$2:$V$15,3,0)*Tabla44[[#This Row],[TOTAL COBERTURA]])+VLOOKUP(Tabla44[[#This Row],[SERVICIO 2025]],$J$2:$V$15,10,0)*Tabla44[[#This Row],[TOTAL COBERTURA]]</f>
        <v>5693597</v>
      </c>
      <c r="BA333" s="40">
        <f>(VLOOKUP(Tabla44[[#This Row],[SERVICIO 2025]],$J$2:$V$15,3,0)*Tabla44[[#This Row],[TOTAL COBERTURA]])+VLOOKUP(Tabla44[[#This Row],[SERVICIO 2025]],$J$2:$V$15,10,0)*Tabla44[[#This Row],[TOTAL COBERTURA]]</f>
        <v>5693597</v>
      </c>
      <c r="BB333" s="40">
        <f>(VLOOKUP(Tabla44[[#This Row],[SERVICIO 2025]],$J$2:$V$15,3,0)*Tabla44[[#This Row],[TOTAL COBERTURA]])+VLOOKUP(Tabla44[[#This Row],[SERVICIO 2025]],$J$2:$V$15,10,0)*Tabla44[[#This Row],[TOTAL COBERTURA]]</f>
        <v>5693597</v>
      </c>
      <c r="BC333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333" s="40">
        <f>SUM(Tabla44[[#This Row],[DESEMBOLSO 1]:[DESEMBOLSO 8]])</f>
        <v>47102341</v>
      </c>
      <c r="BE333" s="22" t="b">
        <f>EXACT(Tabla44[[#This Row],[VALOR ATENCIÓN (8 MESES)]],Tabla44[[#This Row],[VALOR TOTAL]])</f>
        <v>1</v>
      </c>
      <c r="BF333" s="28">
        <f>Tabla44[[#This Row],[VALOR ATENCIÓN (8 MESES)]]-Tabla44[[#This Row],[VALOR TOTAL]]</f>
        <v>0</v>
      </c>
      <c r="BG333" s="22" t="b">
        <f>EXACT(Tabla44[[#This Row],[TOTAL DESEMBOLSOS]],Tabla44[[#This Row],[VALOR TOTAL DEL CONTRATO INCLUIDO EL COMPONENTE DE ALIMENTACIÓN]])</f>
        <v>1</v>
      </c>
      <c r="BH333" s="29">
        <f>Tabla44[[#This Row],[TOTAL DESEMBOLSOS]]-Tabla44[[#This Row],[VALOR TOTAL DEL CONTRATO INCLUIDO EL COMPONENTE DE ALIMENTACIÓN]]</f>
        <v>0</v>
      </c>
      <c r="BI333" t="s">
        <v>98</v>
      </c>
    </row>
    <row r="334" spans="1:61">
      <c r="A334" s="13">
        <v>1999</v>
      </c>
      <c r="B334" s="13"/>
      <c r="C334" s="12" t="s">
        <v>87</v>
      </c>
      <c r="D334" s="12" t="s">
        <v>673</v>
      </c>
      <c r="E334" s="12" t="s">
        <v>3430</v>
      </c>
      <c r="F334" s="12" t="s">
        <v>18</v>
      </c>
      <c r="G334" s="12" t="s">
        <v>90</v>
      </c>
      <c r="H334" s="12" t="s">
        <v>290</v>
      </c>
      <c r="I334" s="36">
        <v>56701148644</v>
      </c>
      <c r="J334" s="12" t="s">
        <v>3456</v>
      </c>
      <c r="K334" s="12">
        <v>1</v>
      </c>
      <c r="L334" s="12">
        <v>7</v>
      </c>
      <c r="M334" s="12"/>
      <c r="N334" s="13">
        <v>1999</v>
      </c>
      <c r="O334" s="12" t="s">
        <v>2850</v>
      </c>
      <c r="P334" s="12"/>
      <c r="Q334" s="12"/>
      <c r="R334" s="12" t="s">
        <v>94</v>
      </c>
      <c r="S334" s="12">
        <v>10</v>
      </c>
      <c r="T334" s="12">
        <v>811008215</v>
      </c>
      <c r="U334" s="12" t="s">
        <v>3112</v>
      </c>
      <c r="V334" s="12">
        <f>VLOOKUP(Tabla44[[#This Row],[ZONA DEFINITIVO]],[1]Hoja1!$A$1:$D$125,3,0)</f>
        <v>229942</v>
      </c>
      <c r="W334" s="12">
        <f>VLOOKUP(Tabla44[[#This Row],[ZONA DEFINITIVO]],[1]Hoja1!$A$1:$D$125,2,0)</f>
        <v>17261</v>
      </c>
      <c r="X334" s="12">
        <f>VLOOKUP(Tabla44[[#This Row],[ZONA DEFINITIVO]],[1]Hoja1!$A$1:$D$125,4,0)</f>
        <v>104825</v>
      </c>
      <c r="Y334" s="12" t="str">
        <f>+IF(Tabla44[[#This Row],[AGRUPACIONES]]=1,SUMIFS(Tabla44[UDS],Tabla44[ZONA DEFINITIVO],Tabla44[[#This Row],[ZONA DEFINITIVO]])," ")</f>
        <v xml:space="preserve"> </v>
      </c>
      <c r="Z334" s="12" t="str">
        <f>+IF(Tabla44[[#This Row],[AGRUPACIONES]]=1,SUMIFS(Tabla44[TOTAL COBERTURA],Tabla44[ZONA DEFINITIVO],Tabla44[[#This Row],[ZONA DEFINITIVO]])," ")</f>
        <v xml:space="preserve"> </v>
      </c>
      <c r="AA334" s="12"/>
      <c r="AB334" s="35">
        <v>15261351</v>
      </c>
      <c r="AC334" s="37">
        <v>0</v>
      </c>
      <c r="AD334" s="35">
        <f t="shared" si="5"/>
        <v>0</v>
      </c>
      <c r="AE334" s="12"/>
      <c r="AF334" s="12">
        <f>COUNTIF($A$20:A334,A334)</f>
        <v>14</v>
      </c>
      <c r="AG334" s="38">
        <v>15261351</v>
      </c>
      <c r="AH334" s="38">
        <f>Tabla44[[#This Row],[VALOR CONTRAPARTIDA]]+Tabla44[[#This Row],[TOTAL APORTES ICBF]]</f>
        <v>15261351</v>
      </c>
      <c r="AI334" s="35" t="str">
        <f>+IF(Tabla44[[#This Row],[AGRUPACIONES]]=1,SUMIFS(Tabla44[TOTAL APORTES ICBF],Tabla44[ZONA DEFINITIVO],Tabla44[[#This Row],[ZONA DEFINITIVO]])," ")</f>
        <v xml:space="preserve"> </v>
      </c>
      <c r="AJ334" s="38"/>
      <c r="AK334" s="38"/>
      <c r="AL334" s="35"/>
      <c r="AM334" s="35">
        <f>VLOOKUP(Tabla44[[#This Row],[SERVICIO 2025]],$J$2:$V$15,5,0)*Tabla44[[#This Row],[TOTAL COBERTURA]]</f>
        <v>345632</v>
      </c>
      <c r="AN334" s="35">
        <f>VLOOKUP(Tabla44[[#This Row],[SERVICIO 2025]],$J$2:$V$15,6,0)*Tabla44[[#This Row],[TOTAL COBERTURA]]</f>
        <v>287203</v>
      </c>
      <c r="AO334" s="35">
        <f>VLOOKUP(Tabla44[[#This Row],[SERVICIO 2025]],$J$2:$V$15,8,0)*Tabla44[[#This Row],[TOTAL COBERTURA]]</f>
        <v>203700</v>
      </c>
      <c r="AP334" s="35">
        <f>VLOOKUP(Tabla44[[#This Row],[SERVICIO 2025]],$J$2:$V$15,3,0)*Tabla44[[#This Row],[TOTAL COBERTURA]]*8</f>
        <v>14424816</v>
      </c>
      <c r="AQ334" s="35"/>
      <c r="AR334" s="35">
        <f>SUM(Tabla44[[#This Row],[VALOR FASE PREPARATORIA DE ALISTAMIENTO]:[VALOR RACION PREPARADA]])</f>
        <v>15261351</v>
      </c>
      <c r="AS334" s="35" t="str">
        <f>+IF(Tabla44[[#This Row],[AGRUPACIONES]]=1,SUMIFS(Tabla44[VALOR TOTAL],Tabla44[ZONA DEFINITIVO],Tabla44[[#This Row],[ZONA DEFINITIVO]])," ")</f>
        <v xml:space="preserve"> </v>
      </c>
      <c r="AT334" s="35">
        <f>VLOOKUP(Tabla44[[#This Row],[SERVICIO 2025]],$J$2:$V$15,10,0)*Tabla44[[#This Row],[TOTAL COBERTURA]]*$X$7</f>
        <v>10101448</v>
      </c>
      <c r="AU334" s="39">
        <f>Tabla44[[#This Row],[TOTAL CONTRATO (ICBF+EAS)]]+Tabla44[[#This Row],[VALOR COMPONENTE ALIMENTACION NO ASIGNADO]]</f>
        <v>25362799</v>
      </c>
      <c r="AV33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3615115</v>
      </c>
      <c r="AW334" s="35">
        <f>(VLOOKUP(Tabla44[[#This Row],[SERVICIO 2025]],$J$2:$V$15,3,0)*Tabla44[[#This Row],[TOTAL COBERTURA]])+VLOOKUP(Tabla44[[#This Row],[SERVICIO 2025]],$J$2:$V$15,10,0)*Tabla44[[#This Row],[TOTAL COBERTURA]]</f>
        <v>3065783</v>
      </c>
      <c r="AX334" s="35">
        <f>(VLOOKUP(Tabla44[[#This Row],[SERVICIO 2025]],$J$2:$V$15,3,0)*Tabla44[[#This Row],[TOTAL COBERTURA]])+VLOOKUP(Tabla44[[#This Row],[SERVICIO 2025]],$J$2:$V$15,10,0)*Tabla44[[#This Row],[TOTAL COBERTURA]]</f>
        <v>3065783</v>
      </c>
      <c r="AY334" s="35">
        <f>(VLOOKUP(Tabla44[[#This Row],[SERVICIO 2025]],$J$2:$V$15,3,0)*Tabla44[[#This Row],[TOTAL COBERTURA]])+VLOOKUP(Tabla44[[#This Row],[SERVICIO 2025]],$J$2:$V$15,10,0)*Tabla44[[#This Row],[TOTAL COBERTURA]]</f>
        <v>3065783</v>
      </c>
      <c r="AZ334" s="35">
        <f>(VLOOKUP(Tabla44[[#This Row],[SERVICIO 2025]],$J$2:$V$15,3,0)*Tabla44[[#This Row],[TOTAL COBERTURA]])+VLOOKUP(Tabla44[[#This Row],[SERVICIO 2025]],$J$2:$V$15,10,0)*Tabla44[[#This Row],[TOTAL COBERTURA]]</f>
        <v>3065783</v>
      </c>
      <c r="BA334" s="35">
        <f>(VLOOKUP(Tabla44[[#This Row],[SERVICIO 2025]],$J$2:$V$15,3,0)*Tabla44[[#This Row],[TOTAL COBERTURA]])+VLOOKUP(Tabla44[[#This Row],[SERVICIO 2025]],$J$2:$V$15,10,0)*Tabla44[[#This Row],[TOTAL COBERTURA]]</f>
        <v>3065783</v>
      </c>
      <c r="BB334" s="35">
        <f>(VLOOKUP(Tabla44[[#This Row],[SERVICIO 2025]],$J$2:$V$15,3,0)*Tabla44[[#This Row],[TOTAL COBERTURA]])+VLOOKUP(Tabla44[[#This Row],[SERVICIO 2025]],$J$2:$V$15,10,0)*Tabla44[[#This Row],[TOTAL COBERTURA]]</f>
        <v>3065783</v>
      </c>
      <c r="BC33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3352986</v>
      </c>
      <c r="BD334" s="35">
        <f>SUM(Tabla44[[#This Row],[DESEMBOLSO 1]:[DESEMBOLSO 8]])</f>
        <v>25362799</v>
      </c>
      <c r="BE334" s="12" t="b">
        <f>EXACT(Tabla44[[#This Row],[VALOR ATENCIÓN (8 MESES)]],Tabla44[[#This Row],[VALOR TOTAL]])</f>
        <v>1</v>
      </c>
      <c r="BF334" s="23">
        <f>Tabla44[[#This Row],[VALOR ATENCIÓN (8 MESES)]]-Tabla44[[#This Row],[VALOR TOTAL]]</f>
        <v>0</v>
      </c>
      <c r="BG334" s="12" t="b">
        <f>EXACT(Tabla44[[#This Row],[TOTAL DESEMBOLSOS]],Tabla44[[#This Row],[VALOR TOTAL DEL CONTRATO INCLUIDO EL COMPONENTE DE ALIMENTACIÓN]])</f>
        <v>1</v>
      </c>
      <c r="BH334" s="29">
        <f>Tabla44[[#This Row],[TOTAL DESEMBOLSOS]]-Tabla44[[#This Row],[VALOR TOTAL DEL CONTRATO INCLUIDO EL COMPONENTE DE ALIMENTACIÓN]]</f>
        <v>0</v>
      </c>
      <c r="BI334" t="s">
        <v>98</v>
      </c>
    </row>
    <row r="335" spans="1:61">
      <c r="A335" s="13">
        <v>1999</v>
      </c>
      <c r="B335" s="13"/>
      <c r="C335" s="12" t="s">
        <v>87</v>
      </c>
      <c r="D335" s="12" t="s">
        <v>673</v>
      </c>
      <c r="E335" s="12" t="s">
        <v>3430</v>
      </c>
      <c r="F335" s="12" t="s">
        <v>18</v>
      </c>
      <c r="G335" s="12" t="s">
        <v>90</v>
      </c>
      <c r="H335" s="12" t="s">
        <v>3457</v>
      </c>
      <c r="I335" s="36">
        <v>56701150384</v>
      </c>
      <c r="J335" s="12" t="s">
        <v>3458</v>
      </c>
      <c r="K335" s="12">
        <v>1</v>
      </c>
      <c r="L335" s="12">
        <v>21</v>
      </c>
      <c r="M335" s="12"/>
      <c r="N335" s="13">
        <v>1999</v>
      </c>
      <c r="O335" s="12" t="s">
        <v>2850</v>
      </c>
      <c r="P335" s="12"/>
      <c r="Q335" s="12"/>
      <c r="R335" s="12" t="s">
        <v>94</v>
      </c>
      <c r="S335" s="12">
        <v>10</v>
      </c>
      <c r="T335" s="12">
        <v>811008215</v>
      </c>
      <c r="U335" s="12" t="s">
        <v>3112</v>
      </c>
      <c r="V335" s="12">
        <f>VLOOKUP(Tabla44[[#This Row],[ZONA DEFINITIVO]],[1]Hoja1!$A$1:$D$125,3,0)</f>
        <v>229942</v>
      </c>
      <c r="W335" s="12">
        <f>VLOOKUP(Tabla44[[#This Row],[ZONA DEFINITIVO]],[1]Hoja1!$A$1:$D$125,2,0)</f>
        <v>17261</v>
      </c>
      <c r="X335" s="12">
        <f>VLOOKUP(Tabla44[[#This Row],[ZONA DEFINITIVO]],[1]Hoja1!$A$1:$D$125,4,0)</f>
        <v>104825</v>
      </c>
      <c r="Y335" s="12" t="str">
        <f>+IF(Tabla44[[#This Row],[AGRUPACIONES]]=1,SUMIFS(Tabla44[UDS],Tabla44[ZONA DEFINITIVO],Tabla44[[#This Row],[ZONA DEFINITIVO]])," ")</f>
        <v xml:space="preserve"> </v>
      </c>
      <c r="Z335" s="12" t="str">
        <f>+IF(Tabla44[[#This Row],[AGRUPACIONES]]=1,SUMIFS(Tabla44[TOTAL COBERTURA],Tabla44[ZONA DEFINITIVO],Tabla44[[#This Row],[ZONA DEFINITIVO]])," ")</f>
        <v xml:space="preserve"> </v>
      </c>
      <c r="AA335" s="12"/>
      <c r="AB335" s="35">
        <v>45784053</v>
      </c>
      <c r="AC335" s="37">
        <v>0</v>
      </c>
      <c r="AD335" s="35">
        <f t="shared" si="5"/>
        <v>0</v>
      </c>
      <c r="AE335" s="12"/>
      <c r="AF335" s="12">
        <f>COUNTIF($A$20:A335,A335)</f>
        <v>15</v>
      </c>
      <c r="AG335" s="38">
        <v>45784053</v>
      </c>
      <c r="AH335" s="38">
        <f>Tabla44[[#This Row],[VALOR CONTRAPARTIDA]]+Tabla44[[#This Row],[TOTAL APORTES ICBF]]</f>
        <v>45784053</v>
      </c>
      <c r="AI335" s="35" t="str">
        <f>+IF(Tabla44[[#This Row],[AGRUPACIONES]]=1,SUMIFS(Tabla44[TOTAL APORTES ICBF],Tabla44[ZONA DEFINITIVO],Tabla44[[#This Row],[ZONA DEFINITIVO]])," ")</f>
        <v xml:space="preserve"> </v>
      </c>
      <c r="AJ335" s="38"/>
      <c r="AK335" s="38"/>
      <c r="AL335" s="35"/>
      <c r="AM335" s="35">
        <f>VLOOKUP(Tabla44[[#This Row],[SERVICIO 2025]],$J$2:$V$15,5,0)*Tabla44[[#This Row],[TOTAL COBERTURA]]</f>
        <v>1036896</v>
      </c>
      <c r="AN335" s="35">
        <f>VLOOKUP(Tabla44[[#This Row],[SERVICIO 2025]],$J$2:$V$15,6,0)*Tabla44[[#This Row],[TOTAL COBERTURA]]</f>
        <v>861609</v>
      </c>
      <c r="AO335" s="35">
        <f>VLOOKUP(Tabla44[[#This Row],[SERVICIO 2025]],$J$2:$V$15,8,0)*Tabla44[[#This Row],[TOTAL COBERTURA]]</f>
        <v>611100</v>
      </c>
      <c r="AP335" s="35">
        <f>VLOOKUP(Tabla44[[#This Row],[SERVICIO 2025]],$J$2:$V$15,3,0)*Tabla44[[#This Row],[TOTAL COBERTURA]]*8</f>
        <v>43274448</v>
      </c>
      <c r="AQ335" s="35"/>
      <c r="AR335" s="35">
        <f>SUM(Tabla44[[#This Row],[VALOR FASE PREPARATORIA DE ALISTAMIENTO]:[VALOR RACION PREPARADA]])</f>
        <v>45784053</v>
      </c>
      <c r="AS335" s="35" t="str">
        <f>+IF(Tabla44[[#This Row],[AGRUPACIONES]]=1,SUMIFS(Tabla44[VALOR TOTAL],Tabla44[ZONA DEFINITIVO],Tabla44[[#This Row],[ZONA DEFINITIVO]])," ")</f>
        <v xml:space="preserve"> </v>
      </c>
      <c r="AT335" s="35">
        <f>VLOOKUP(Tabla44[[#This Row],[SERVICIO 2025]],$J$2:$V$15,10,0)*Tabla44[[#This Row],[TOTAL COBERTURA]]*$X$7</f>
        <v>30304344</v>
      </c>
      <c r="AU335" s="39">
        <f>Tabla44[[#This Row],[TOTAL CONTRATO (ICBF+EAS)]]+Tabla44[[#This Row],[VALOR COMPONENTE ALIMENTACION NO ASIGNADO]]</f>
        <v>76088397</v>
      </c>
      <c r="AV33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10845345</v>
      </c>
      <c r="AW335" s="35">
        <f>(VLOOKUP(Tabla44[[#This Row],[SERVICIO 2025]],$J$2:$V$15,3,0)*Tabla44[[#This Row],[TOTAL COBERTURA]])+VLOOKUP(Tabla44[[#This Row],[SERVICIO 2025]],$J$2:$V$15,10,0)*Tabla44[[#This Row],[TOTAL COBERTURA]]</f>
        <v>9197349</v>
      </c>
      <c r="AX335" s="35">
        <f>(VLOOKUP(Tabla44[[#This Row],[SERVICIO 2025]],$J$2:$V$15,3,0)*Tabla44[[#This Row],[TOTAL COBERTURA]])+VLOOKUP(Tabla44[[#This Row],[SERVICIO 2025]],$J$2:$V$15,10,0)*Tabla44[[#This Row],[TOTAL COBERTURA]]</f>
        <v>9197349</v>
      </c>
      <c r="AY335" s="35">
        <f>(VLOOKUP(Tabla44[[#This Row],[SERVICIO 2025]],$J$2:$V$15,3,0)*Tabla44[[#This Row],[TOTAL COBERTURA]])+VLOOKUP(Tabla44[[#This Row],[SERVICIO 2025]],$J$2:$V$15,10,0)*Tabla44[[#This Row],[TOTAL COBERTURA]]</f>
        <v>9197349</v>
      </c>
      <c r="AZ335" s="35">
        <f>(VLOOKUP(Tabla44[[#This Row],[SERVICIO 2025]],$J$2:$V$15,3,0)*Tabla44[[#This Row],[TOTAL COBERTURA]])+VLOOKUP(Tabla44[[#This Row],[SERVICIO 2025]],$J$2:$V$15,10,0)*Tabla44[[#This Row],[TOTAL COBERTURA]]</f>
        <v>9197349</v>
      </c>
      <c r="BA335" s="35">
        <f>(VLOOKUP(Tabla44[[#This Row],[SERVICIO 2025]],$J$2:$V$15,3,0)*Tabla44[[#This Row],[TOTAL COBERTURA]])+VLOOKUP(Tabla44[[#This Row],[SERVICIO 2025]],$J$2:$V$15,10,0)*Tabla44[[#This Row],[TOTAL COBERTURA]]</f>
        <v>9197349</v>
      </c>
      <c r="BB335" s="35">
        <f>(VLOOKUP(Tabla44[[#This Row],[SERVICIO 2025]],$J$2:$V$15,3,0)*Tabla44[[#This Row],[TOTAL COBERTURA]])+VLOOKUP(Tabla44[[#This Row],[SERVICIO 2025]],$J$2:$V$15,10,0)*Tabla44[[#This Row],[TOTAL COBERTURA]]</f>
        <v>9197349</v>
      </c>
      <c r="BC33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10058958</v>
      </c>
      <c r="BD335" s="35">
        <f>SUM(Tabla44[[#This Row],[DESEMBOLSO 1]:[DESEMBOLSO 8]])</f>
        <v>76088397</v>
      </c>
      <c r="BE335" s="12" t="b">
        <f>EXACT(Tabla44[[#This Row],[VALOR ATENCIÓN (8 MESES)]],Tabla44[[#This Row],[VALOR TOTAL]])</f>
        <v>1</v>
      </c>
      <c r="BF335" s="23">
        <f>Tabla44[[#This Row],[VALOR ATENCIÓN (8 MESES)]]-Tabla44[[#This Row],[VALOR TOTAL]]</f>
        <v>0</v>
      </c>
      <c r="BG335" s="12" t="b">
        <f>EXACT(Tabla44[[#This Row],[TOTAL DESEMBOLSOS]],Tabla44[[#This Row],[VALOR TOTAL DEL CONTRATO INCLUIDO EL COMPONENTE DE ALIMENTACIÓN]])</f>
        <v>1</v>
      </c>
      <c r="BH335" s="29">
        <f>Tabla44[[#This Row],[TOTAL DESEMBOLSOS]]-Tabla44[[#This Row],[VALOR TOTAL DEL CONTRATO INCLUIDO EL COMPONENTE DE ALIMENTACIÓN]]</f>
        <v>0</v>
      </c>
      <c r="BI335" t="s">
        <v>98</v>
      </c>
    </row>
    <row r="336" spans="1:61">
      <c r="A336" s="13">
        <v>1999</v>
      </c>
      <c r="B336" s="13"/>
      <c r="C336" s="12" t="s">
        <v>87</v>
      </c>
      <c r="D336" s="12" t="s">
        <v>673</v>
      </c>
      <c r="E336" s="12" t="s">
        <v>3430</v>
      </c>
      <c r="F336" s="12" t="s">
        <v>18</v>
      </c>
      <c r="G336" s="12" t="s">
        <v>90</v>
      </c>
      <c r="H336" s="12" t="s">
        <v>3459</v>
      </c>
      <c r="I336" s="36">
        <v>56701150385</v>
      </c>
      <c r="J336" s="12" t="s">
        <v>3460</v>
      </c>
      <c r="K336" s="12">
        <v>1</v>
      </c>
      <c r="L336" s="12">
        <v>14</v>
      </c>
      <c r="M336" s="12"/>
      <c r="N336" s="13">
        <v>1999</v>
      </c>
      <c r="O336" s="12" t="s">
        <v>2850</v>
      </c>
      <c r="P336" s="12"/>
      <c r="Q336" s="12"/>
      <c r="R336" s="12" t="s">
        <v>94</v>
      </c>
      <c r="S336" s="12">
        <v>10</v>
      </c>
      <c r="T336" s="12">
        <v>811008215</v>
      </c>
      <c r="U336" s="12" t="s">
        <v>3112</v>
      </c>
      <c r="V336" s="12">
        <f>VLOOKUP(Tabla44[[#This Row],[ZONA DEFINITIVO]],[1]Hoja1!$A$1:$D$125,3,0)</f>
        <v>229942</v>
      </c>
      <c r="W336" s="12">
        <f>VLOOKUP(Tabla44[[#This Row],[ZONA DEFINITIVO]],[1]Hoja1!$A$1:$D$125,2,0)</f>
        <v>17261</v>
      </c>
      <c r="X336" s="12">
        <f>VLOOKUP(Tabla44[[#This Row],[ZONA DEFINITIVO]],[1]Hoja1!$A$1:$D$125,4,0)</f>
        <v>104825</v>
      </c>
      <c r="Y336" s="12" t="str">
        <f>+IF(Tabla44[[#This Row],[AGRUPACIONES]]=1,SUMIFS(Tabla44[UDS],Tabla44[ZONA DEFINITIVO],Tabla44[[#This Row],[ZONA DEFINITIVO]])," ")</f>
        <v xml:space="preserve"> </v>
      </c>
      <c r="Z336" s="12" t="str">
        <f>+IF(Tabla44[[#This Row],[AGRUPACIONES]]=1,SUMIFS(Tabla44[TOTAL COBERTURA],Tabla44[ZONA DEFINITIVO],Tabla44[[#This Row],[ZONA DEFINITIVO]])," ")</f>
        <v xml:space="preserve"> </v>
      </c>
      <c r="AA336" s="12"/>
      <c r="AB336" s="35">
        <v>30522702</v>
      </c>
      <c r="AC336" s="37">
        <v>0</v>
      </c>
      <c r="AD336" s="35">
        <f t="shared" si="5"/>
        <v>0</v>
      </c>
      <c r="AE336" s="12"/>
      <c r="AF336" s="12">
        <f>COUNTIF($A$20:A336,A336)</f>
        <v>16</v>
      </c>
      <c r="AG336" s="38">
        <v>30522702</v>
      </c>
      <c r="AH336" s="38">
        <f>Tabla44[[#This Row],[VALOR CONTRAPARTIDA]]+Tabla44[[#This Row],[TOTAL APORTES ICBF]]</f>
        <v>30522702</v>
      </c>
      <c r="AI336" s="35" t="str">
        <f>+IF(Tabla44[[#This Row],[AGRUPACIONES]]=1,SUMIFS(Tabla44[TOTAL APORTES ICBF],Tabla44[ZONA DEFINITIVO],Tabla44[[#This Row],[ZONA DEFINITIVO]])," ")</f>
        <v xml:space="preserve"> </v>
      </c>
      <c r="AJ336" s="38"/>
      <c r="AK336" s="38"/>
      <c r="AL336" s="35"/>
      <c r="AM336" s="35">
        <f>VLOOKUP(Tabla44[[#This Row],[SERVICIO 2025]],$J$2:$V$15,5,0)*Tabla44[[#This Row],[TOTAL COBERTURA]]</f>
        <v>691264</v>
      </c>
      <c r="AN336" s="35">
        <f>VLOOKUP(Tabla44[[#This Row],[SERVICIO 2025]],$J$2:$V$15,6,0)*Tabla44[[#This Row],[TOTAL COBERTURA]]</f>
        <v>574406</v>
      </c>
      <c r="AO336" s="35">
        <f>VLOOKUP(Tabla44[[#This Row],[SERVICIO 2025]],$J$2:$V$15,8,0)*Tabla44[[#This Row],[TOTAL COBERTURA]]</f>
        <v>407400</v>
      </c>
      <c r="AP336" s="35">
        <f>VLOOKUP(Tabla44[[#This Row],[SERVICIO 2025]],$J$2:$V$15,3,0)*Tabla44[[#This Row],[TOTAL COBERTURA]]*8</f>
        <v>28849632</v>
      </c>
      <c r="AQ336" s="35"/>
      <c r="AR336" s="35">
        <f>SUM(Tabla44[[#This Row],[VALOR FASE PREPARATORIA DE ALISTAMIENTO]:[VALOR RACION PREPARADA]])</f>
        <v>30522702</v>
      </c>
      <c r="AS336" s="35" t="str">
        <f>+IF(Tabla44[[#This Row],[AGRUPACIONES]]=1,SUMIFS(Tabla44[VALOR TOTAL],Tabla44[ZONA DEFINITIVO],Tabla44[[#This Row],[ZONA DEFINITIVO]])," ")</f>
        <v xml:space="preserve"> </v>
      </c>
      <c r="AT336" s="35">
        <f>VLOOKUP(Tabla44[[#This Row],[SERVICIO 2025]],$J$2:$V$15,10,0)*Tabla44[[#This Row],[TOTAL COBERTURA]]*$X$7</f>
        <v>20202896</v>
      </c>
      <c r="AU336" s="39">
        <f>Tabla44[[#This Row],[TOTAL CONTRATO (ICBF+EAS)]]+Tabla44[[#This Row],[VALOR COMPONENTE ALIMENTACION NO ASIGNADO]]</f>
        <v>50725598</v>
      </c>
      <c r="AV33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336" s="35">
        <f>(VLOOKUP(Tabla44[[#This Row],[SERVICIO 2025]],$J$2:$V$15,3,0)*Tabla44[[#This Row],[TOTAL COBERTURA]])+VLOOKUP(Tabla44[[#This Row],[SERVICIO 2025]],$J$2:$V$15,10,0)*Tabla44[[#This Row],[TOTAL COBERTURA]]</f>
        <v>6131566</v>
      </c>
      <c r="AX336" s="35">
        <f>(VLOOKUP(Tabla44[[#This Row],[SERVICIO 2025]],$J$2:$V$15,3,0)*Tabla44[[#This Row],[TOTAL COBERTURA]])+VLOOKUP(Tabla44[[#This Row],[SERVICIO 2025]],$J$2:$V$15,10,0)*Tabla44[[#This Row],[TOTAL COBERTURA]]</f>
        <v>6131566</v>
      </c>
      <c r="AY336" s="35">
        <f>(VLOOKUP(Tabla44[[#This Row],[SERVICIO 2025]],$J$2:$V$15,3,0)*Tabla44[[#This Row],[TOTAL COBERTURA]])+VLOOKUP(Tabla44[[#This Row],[SERVICIO 2025]],$J$2:$V$15,10,0)*Tabla44[[#This Row],[TOTAL COBERTURA]]</f>
        <v>6131566</v>
      </c>
      <c r="AZ336" s="35">
        <f>(VLOOKUP(Tabla44[[#This Row],[SERVICIO 2025]],$J$2:$V$15,3,0)*Tabla44[[#This Row],[TOTAL COBERTURA]])+VLOOKUP(Tabla44[[#This Row],[SERVICIO 2025]],$J$2:$V$15,10,0)*Tabla44[[#This Row],[TOTAL COBERTURA]]</f>
        <v>6131566</v>
      </c>
      <c r="BA336" s="35">
        <f>(VLOOKUP(Tabla44[[#This Row],[SERVICIO 2025]],$J$2:$V$15,3,0)*Tabla44[[#This Row],[TOTAL COBERTURA]])+VLOOKUP(Tabla44[[#This Row],[SERVICIO 2025]],$J$2:$V$15,10,0)*Tabla44[[#This Row],[TOTAL COBERTURA]]</f>
        <v>6131566</v>
      </c>
      <c r="BB336" s="35">
        <f>(VLOOKUP(Tabla44[[#This Row],[SERVICIO 2025]],$J$2:$V$15,3,0)*Tabla44[[#This Row],[TOTAL COBERTURA]])+VLOOKUP(Tabla44[[#This Row],[SERVICIO 2025]],$J$2:$V$15,10,0)*Tabla44[[#This Row],[TOTAL COBERTURA]]</f>
        <v>6131566</v>
      </c>
      <c r="BC33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336" s="35">
        <f>SUM(Tabla44[[#This Row],[DESEMBOLSO 1]:[DESEMBOLSO 8]])</f>
        <v>50725598</v>
      </c>
      <c r="BE336" s="12" t="b">
        <f>EXACT(Tabla44[[#This Row],[VALOR ATENCIÓN (8 MESES)]],Tabla44[[#This Row],[VALOR TOTAL]])</f>
        <v>1</v>
      </c>
      <c r="BF336" s="23">
        <f>Tabla44[[#This Row],[VALOR ATENCIÓN (8 MESES)]]-Tabla44[[#This Row],[VALOR TOTAL]]</f>
        <v>0</v>
      </c>
      <c r="BG336" s="12" t="b">
        <f>EXACT(Tabla44[[#This Row],[TOTAL DESEMBOLSOS]],Tabla44[[#This Row],[VALOR TOTAL DEL CONTRATO INCLUIDO EL COMPONENTE DE ALIMENTACIÓN]])</f>
        <v>1</v>
      </c>
      <c r="BH336" s="29">
        <f>Tabla44[[#This Row],[TOTAL DESEMBOLSOS]]-Tabla44[[#This Row],[VALOR TOTAL DEL CONTRATO INCLUIDO EL COMPONENTE DE ALIMENTACIÓN]]</f>
        <v>0</v>
      </c>
      <c r="BI336" t="s">
        <v>98</v>
      </c>
    </row>
    <row r="337" spans="1:61">
      <c r="A337" s="13">
        <v>1999</v>
      </c>
      <c r="B337" s="13"/>
      <c r="C337" s="12" t="s">
        <v>87</v>
      </c>
      <c r="D337" s="12" t="s">
        <v>673</v>
      </c>
      <c r="E337" s="12" t="s">
        <v>3430</v>
      </c>
      <c r="F337" s="12" t="s">
        <v>18</v>
      </c>
      <c r="G337" s="12" t="s">
        <v>90</v>
      </c>
      <c r="H337" s="12" t="s">
        <v>3269</v>
      </c>
      <c r="I337" s="36">
        <v>56701151175</v>
      </c>
      <c r="J337" s="12" t="s">
        <v>3461</v>
      </c>
      <c r="K337" s="12">
        <v>1</v>
      </c>
      <c r="L337" s="12">
        <v>10</v>
      </c>
      <c r="M337" s="12"/>
      <c r="N337" s="13">
        <v>1999</v>
      </c>
      <c r="O337" s="12" t="s">
        <v>2850</v>
      </c>
      <c r="P337" s="12"/>
      <c r="Q337" s="12"/>
      <c r="R337" s="12" t="s">
        <v>94</v>
      </c>
      <c r="S337" s="12">
        <v>10</v>
      </c>
      <c r="T337" s="12">
        <v>811008215</v>
      </c>
      <c r="U337" s="12" t="s">
        <v>3112</v>
      </c>
      <c r="V337" s="12">
        <f>VLOOKUP(Tabla44[[#This Row],[ZONA DEFINITIVO]],[1]Hoja1!$A$1:$D$125,3,0)</f>
        <v>229942</v>
      </c>
      <c r="W337" s="12">
        <f>VLOOKUP(Tabla44[[#This Row],[ZONA DEFINITIVO]],[1]Hoja1!$A$1:$D$125,2,0)</f>
        <v>17261</v>
      </c>
      <c r="X337" s="12">
        <f>VLOOKUP(Tabla44[[#This Row],[ZONA DEFINITIVO]],[1]Hoja1!$A$1:$D$125,4,0)</f>
        <v>104825</v>
      </c>
      <c r="Y337" s="12" t="str">
        <f>+IF(Tabla44[[#This Row],[AGRUPACIONES]]=1,SUMIFS(Tabla44[UDS],Tabla44[ZONA DEFINITIVO],Tabla44[[#This Row],[ZONA DEFINITIVO]])," ")</f>
        <v xml:space="preserve"> </v>
      </c>
      <c r="Z337" s="12" t="str">
        <f>+IF(Tabla44[[#This Row],[AGRUPACIONES]]=1,SUMIFS(Tabla44[TOTAL COBERTURA],Tabla44[ZONA DEFINITIVO],Tabla44[[#This Row],[ZONA DEFINITIVO]])," ")</f>
        <v xml:space="preserve"> </v>
      </c>
      <c r="AA337" s="12"/>
      <c r="AB337" s="35">
        <v>21801930</v>
      </c>
      <c r="AC337" s="37">
        <v>0</v>
      </c>
      <c r="AD337" s="35">
        <f t="shared" si="5"/>
        <v>0</v>
      </c>
      <c r="AE337" s="12"/>
      <c r="AF337" s="12">
        <f>COUNTIF($A$20:A337,A337)</f>
        <v>17</v>
      </c>
      <c r="AG337" s="38">
        <v>21801930</v>
      </c>
      <c r="AH337" s="38">
        <f>Tabla44[[#This Row],[VALOR CONTRAPARTIDA]]+Tabla44[[#This Row],[TOTAL APORTES ICBF]]</f>
        <v>21801930</v>
      </c>
      <c r="AI337" s="35" t="str">
        <f>+IF(Tabla44[[#This Row],[AGRUPACIONES]]=1,SUMIFS(Tabla44[TOTAL APORTES ICBF],Tabla44[ZONA DEFINITIVO],Tabla44[[#This Row],[ZONA DEFINITIVO]])," ")</f>
        <v xml:space="preserve"> </v>
      </c>
      <c r="AJ337" s="38"/>
      <c r="AK337" s="38"/>
      <c r="AL337" s="35"/>
      <c r="AM337" s="35">
        <f>VLOOKUP(Tabla44[[#This Row],[SERVICIO 2025]],$J$2:$V$15,5,0)*Tabla44[[#This Row],[TOTAL COBERTURA]]</f>
        <v>493760</v>
      </c>
      <c r="AN337" s="35">
        <f>VLOOKUP(Tabla44[[#This Row],[SERVICIO 2025]],$J$2:$V$15,6,0)*Tabla44[[#This Row],[TOTAL COBERTURA]]</f>
        <v>410290</v>
      </c>
      <c r="AO337" s="35">
        <f>VLOOKUP(Tabla44[[#This Row],[SERVICIO 2025]],$J$2:$V$15,8,0)*Tabla44[[#This Row],[TOTAL COBERTURA]]</f>
        <v>291000</v>
      </c>
      <c r="AP337" s="35">
        <f>VLOOKUP(Tabla44[[#This Row],[SERVICIO 2025]],$J$2:$V$15,3,0)*Tabla44[[#This Row],[TOTAL COBERTURA]]*8</f>
        <v>20606880</v>
      </c>
      <c r="AQ337" s="35"/>
      <c r="AR337" s="35">
        <f>SUM(Tabla44[[#This Row],[VALOR FASE PREPARATORIA DE ALISTAMIENTO]:[VALOR RACION PREPARADA]])</f>
        <v>21801930</v>
      </c>
      <c r="AS337" s="35" t="str">
        <f>+IF(Tabla44[[#This Row],[AGRUPACIONES]]=1,SUMIFS(Tabla44[VALOR TOTAL],Tabla44[ZONA DEFINITIVO],Tabla44[[#This Row],[ZONA DEFINITIVO]])," ")</f>
        <v xml:space="preserve"> </v>
      </c>
      <c r="AT337" s="35">
        <f>VLOOKUP(Tabla44[[#This Row],[SERVICIO 2025]],$J$2:$V$15,10,0)*Tabla44[[#This Row],[TOTAL COBERTURA]]*$X$7</f>
        <v>14430640</v>
      </c>
      <c r="AU337" s="39">
        <f>Tabla44[[#This Row],[TOTAL CONTRATO (ICBF+EAS)]]+Tabla44[[#This Row],[VALOR COMPONENTE ALIMENTACION NO ASIGNADO]]</f>
        <v>36232570</v>
      </c>
      <c r="AV33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337" s="35">
        <f>(VLOOKUP(Tabla44[[#This Row],[SERVICIO 2025]],$J$2:$V$15,3,0)*Tabla44[[#This Row],[TOTAL COBERTURA]])+VLOOKUP(Tabla44[[#This Row],[SERVICIO 2025]],$J$2:$V$15,10,0)*Tabla44[[#This Row],[TOTAL COBERTURA]]</f>
        <v>4379690</v>
      </c>
      <c r="AX337" s="35">
        <f>(VLOOKUP(Tabla44[[#This Row],[SERVICIO 2025]],$J$2:$V$15,3,0)*Tabla44[[#This Row],[TOTAL COBERTURA]])+VLOOKUP(Tabla44[[#This Row],[SERVICIO 2025]],$J$2:$V$15,10,0)*Tabla44[[#This Row],[TOTAL COBERTURA]]</f>
        <v>4379690</v>
      </c>
      <c r="AY337" s="35">
        <f>(VLOOKUP(Tabla44[[#This Row],[SERVICIO 2025]],$J$2:$V$15,3,0)*Tabla44[[#This Row],[TOTAL COBERTURA]])+VLOOKUP(Tabla44[[#This Row],[SERVICIO 2025]],$J$2:$V$15,10,0)*Tabla44[[#This Row],[TOTAL COBERTURA]]</f>
        <v>4379690</v>
      </c>
      <c r="AZ337" s="35">
        <f>(VLOOKUP(Tabla44[[#This Row],[SERVICIO 2025]],$J$2:$V$15,3,0)*Tabla44[[#This Row],[TOTAL COBERTURA]])+VLOOKUP(Tabla44[[#This Row],[SERVICIO 2025]],$J$2:$V$15,10,0)*Tabla44[[#This Row],[TOTAL COBERTURA]]</f>
        <v>4379690</v>
      </c>
      <c r="BA337" s="35">
        <f>(VLOOKUP(Tabla44[[#This Row],[SERVICIO 2025]],$J$2:$V$15,3,0)*Tabla44[[#This Row],[TOTAL COBERTURA]])+VLOOKUP(Tabla44[[#This Row],[SERVICIO 2025]],$J$2:$V$15,10,0)*Tabla44[[#This Row],[TOTAL COBERTURA]]</f>
        <v>4379690</v>
      </c>
      <c r="BB337" s="35">
        <f>(VLOOKUP(Tabla44[[#This Row],[SERVICIO 2025]],$J$2:$V$15,3,0)*Tabla44[[#This Row],[TOTAL COBERTURA]])+VLOOKUP(Tabla44[[#This Row],[SERVICIO 2025]],$J$2:$V$15,10,0)*Tabla44[[#This Row],[TOTAL COBERTURA]]</f>
        <v>4379690</v>
      </c>
      <c r="BC33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337" s="35">
        <f>SUM(Tabla44[[#This Row],[DESEMBOLSO 1]:[DESEMBOLSO 8]])</f>
        <v>36232570</v>
      </c>
      <c r="BE337" s="12" t="b">
        <f>EXACT(Tabla44[[#This Row],[VALOR ATENCIÓN (8 MESES)]],Tabla44[[#This Row],[VALOR TOTAL]])</f>
        <v>1</v>
      </c>
      <c r="BF337" s="23">
        <f>Tabla44[[#This Row],[VALOR ATENCIÓN (8 MESES)]]-Tabla44[[#This Row],[VALOR TOTAL]]</f>
        <v>0</v>
      </c>
      <c r="BG337" s="12" t="b">
        <f>EXACT(Tabla44[[#This Row],[TOTAL DESEMBOLSOS]],Tabla44[[#This Row],[VALOR TOTAL DEL CONTRATO INCLUIDO EL COMPONENTE DE ALIMENTACIÓN]])</f>
        <v>1</v>
      </c>
      <c r="BH337" s="29">
        <f>Tabla44[[#This Row],[TOTAL DESEMBOLSOS]]-Tabla44[[#This Row],[VALOR TOTAL DEL CONTRATO INCLUIDO EL COMPONENTE DE ALIMENTACIÓN]]</f>
        <v>0</v>
      </c>
      <c r="BI337" t="s">
        <v>98</v>
      </c>
    </row>
    <row r="338" spans="1:61">
      <c r="A338" s="13">
        <v>1999</v>
      </c>
      <c r="B338" s="13"/>
      <c r="C338" s="12" t="s">
        <v>87</v>
      </c>
      <c r="D338" s="12" t="s">
        <v>673</v>
      </c>
      <c r="E338" s="12" t="s">
        <v>3430</v>
      </c>
      <c r="F338" s="12" t="s">
        <v>18</v>
      </c>
      <c r="G338" s="12" t="s">
        <v>90</v>
      </c>
      <c r="H338" s="12" t="s">
        <v>3462</v>
      </c>
      <c r="I338" s="36">
        <v>56701152036</v>
      </c>
      <c r="J338" s="12" t="s">
        <v>3463</v>
      </c>
      <c r="K338" s="12">
        <v>1</v>
      </c>
      <c r="L338" s="12">
        <v>13</v>
      </c>
      <c r="M338" s="12"/>
      <c r="N338" s="13">
        <v>1999</v>
      </c>
      <c r="O338" s="12" t="s">
        <v>2850</v>
      </c>
      <c r="P338" s="12"/>
      <c r="Q338" s="12"/>
      <c r="R338" s="12" t="s">
        <v>94</v>
      </c>
      <c r="S338" s="12">
        <v>10</v>
      </c>
      <c r="T338" s="12">
        <v>811008215</v>
      </c>
      <c r="U338" s="12" t="s">
        <v>3112</v>
      </c>
      <c r="V338" s="12">
        <f>VLOOKUP(Tabla44[[#This Row],[ZONA DEFINITIVO]],[1]Hoja1!$A$1:$D$125,3,0)</f>
        <v>229942</v>
      </c>
      <c r="W338" s="12">
        <f>VLOOKUP(Tabla44[[#This Row],[ZONA DEFINITIVO]],[1]Hoja1!$A$1:$D$125,2,0)</f>
        <v>17261</v>
      </c>
      <c r="X338" s="12">
        <f>VLOOKUP(Tabla44[[#This Row],[ZONA DEFINITIVO]],[1]Hoja1!$A$1:$D$125,4,0)</f>
        <v>104825</v>
      </c>
      <c r="Y338" s="12" t="str">
        <f>+IF(Tabla44[[#This Row],[AGRUPACIONES]]=1,SUMIFS(Tabla44[UDS],Tabla44[ZONA DEFINITIVO],Tabla44[[#This Row],[ZONA DEFINITIVO]])," ")</f>
        <v xml:space="preserve"> </v>
      </c>
      <c r="Z338" s="12" t="str">
        <f>+IF(Tabla44[[#This Row],[AGRUPACIONES]]=1,SUMIFS(Tabla44[TOTAL COBERTURA],Tabla44[ZONA DEFINITIVO],Tabla44[[#This Row],[ZONA DEFINITIVO]])," ")</f>
        <v xml:space="preserve"> </v>
      </c>
      <c r="AA338" s="12"/>
      <c r="AB338" s="35">
        <v>28342509</v>
      </c>
      <c r="AC338" s="37">
        <v>0</v>
      </c>
      <c r="AD338" s="35">
        <f t="shared" si="5"/>
        <v>0</v>
      </c>
      <c r="AE338" s="12"/>
      <c r="AF338" s="12">
        <f>COUNTIF($A$20:A338,A338)</f>
        <v>18</v>
      </c>
      <c r="AG338" s="38">
        <v>28342509</v>
      </c>
      <c r="AH338" s="38">
        <f>Tabla44[[#This Row],[VALOR CONTRAPARTIDA]]+Tabla44[[#This Row],[TOTAL APORTES ICBF]]</f>
        <v>28342509</v>
      </c>
      <c r="AI338" s="35" t="str">
        <f>+IF(Tabla44[[#This Row],[AGRUPACIONES]]=1,SUMIFS(Tabla44[TOTAL APORTES ICBF],Tabla44[ZONA DEFINITIVO],Tabla44[[#This Row],[ZONA DEFINITIVO]])," ")</f>
        <v xml:space="preserve"> </v>
      </c>
      <c r="AJ338" s="38"/>
      <c r="AK338" s="38"/>
      <c r="AL338" s="35"/>
      <c r="AM338" s="35">
        <f>VLOOKUP(Tabla44[[#This Row],[SERVICIO 2025]],$J$2:$V$15,5,0)*Tabla44[[#This Row],[TOTAL COBERTURA]]</f>
        <v>641888</v>
      </c>
      <c r="AN338" s="35">
        <f>VLOOKUP(Tabla44[[#This Row],[SERVICIO 2025]],$J$2:$V$15,6,0)*Tabla44[[#This Row],[TOTAL COBERTURA]]</f>
        <v>533377</v>
      </c>
      <c r="AO338" s="35">
        <f>VLOOKUP(Tabla44[[#This Row],[SERVICIO 2025]],$J$2:$V$15,8,0)*Tabla44[[#This Row],[TOTAL COBERTURA]]</f>
        <v>378300</v>
      </c>
      <c r="AP338" s="35">
        <f>VLOOKUP(Tabla44[[#This Row],[SERVICIO 2025]],$J$2:$V$15,3,0)*Tabla44[[#This Row],[TOTAL COBERTURA]]*8</f>
        <v>26788944</v>
      </c>
      <c r="AQ338" s="35"/>
      <c r="AR338" s="35">
        <f>SUM(Tabla44[[#This Row],[VALOR FASE PREPARATORIA DE ALISTAMIENTO]:[VALOR RACION PREPARADA]])</f>
        <v>28342509</v>
      </c>
      <c r="AS338" s="35" t="str">
        <f>+IF(Tabla44[[#This Row],[AGRUPACIONES]]=1,SUMIFS(Tabla44[VALOR TOTAL],Tabla44[ZONA DEFINITIVO],Tabla44[[#This Row],[ZONA DEFINITIVO]])," ")</f>
        <v xml:space="preserve"> </v>
      </c>
      <c r="AT338" s="35">
        <f>VLOOKUP(Tabla44[[#This Row],[SERVICIO 2025]],$J$2:$V$15,10,0)*Tabla44[[#This Row],[TOTAL COBERTURA]]*$X$7</f>
        <v>18759832</v>
      </c>
      <c r="AU338" s="39">
        <f>Tabla44[[#This Row],[TOTAL CONTRATO (ICBF+EAS)]]+Tabla44[[#This Row],[VALOR COMPONENTE ALIMENTACION NO ASIGNADO]]</f>
        <v>47102341</v>
      </c>
      <c r="AV33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338" s="35">
        <f>(VLOOKUP(Tabla44[[#This Row],[SERVICIO 2025]],$J$2:$V$15,3,0)*Tabla44[[#This Row],[TOTAL COBERTURA]])+VLOOKUP(Tabla44[[#This Row],[SERVICIO 2025]],$J$2:$V$15,10,0)*Tabla44[[#This Row],[TOTAL COBERTURA]]</f>
        <v>5693597</v>
      </c>
      <c r="AX338" s="35">
        <f>(VLOOKUP(Tabla44[[#This Row],[SERVICIO 2025]],$J$2:$V$15,3,0)*Tabla44[[#This Row],[TOTAL COBERTURA]])+VLOOKUP(Tabla44[[#This Row],[SERVICIO 2025]],$J$2:$V$15,10,0)*Tabla44[[#This Row],[TOTAL COBERTURA]]</f>
        <v>5693597</v>
      </c>
      <c r="AY338" s="35">
        <f>(VLOOKUP(Tabla44[[#This Row],[SERVICIO 2025]],$J$2:$V$15,3,0)*Tabla44[[#This Row],[TOTAL COBERTURA]])+VLOOKUP(Tabla44[[#This Row],[SERVICIO 2025]],$J$2:$V$15,10,0)*Tabla44[[#This Row],[TOTAL COBERTURA]]</f>
        <v>5693597</v>
      </c>
      <c r="AZ338" s="35">
        <f>(VLOOKUP(Tabla44[[#This Row],[SERVICIO 2025]],$J$2:$V$15,3,0)*Tabla44[[#This Row],[TOTAL COBERTURA]])+VLOOKUP(Tabla44[[#This Row],[SERVICIO 2025]],$J$2:$V$15,10,0)*Tabla44[[#This Row],[TOTAL COBERTURA]]</f>
        <v>5693597</v>
      </c>
      <c r="BA338" s="35">
        <f>(VLOOKUP(Tabla44[[#This Row],[SERVICIO 2025]],$J$2:$V$15,3,0)*Tabla44[[#This Row],[TOTAL COBERTURA]])+VLOOKUP(Tabla44[[#This Row],[SERVICIO 2025]],$J$2:$V$15,10,0)*Tabla44[[#This Row],[TOTAL COBERTURA]]</f>
        <v>5693597</v>
      </c>
      <c r="BB338" s="35">
        <f>(VLOOKUP(Tabla44[[#This Row],[SERVICIO 2025]],$J$2:$V$15,3,0)*Tabla44[[#This Row],[TOTAL COBERTURA]])+VLOOKUP(Tabla44[[#This Row],[SERVICIO 2025]],$J$2:$V$15,10,0)*Tabla44[[#This Row],[TOTAL COBERTURA]]</f>
        <v>5693597</v>
      </c>
      <c r="BC33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338" s="35">
        <f>SUM(Tabla44[[#This Row],[DESEMBOLSO 1]:[DESEMBOLSO 8]])</f>
        <v>47102341</v>
      </c>
      <c r="BE338" s="12" t="b">
        <f>EXACT(Tabla44[[#This Row],[VALOR ATENCIÓN (8 MESES)]],Tabla44[[#This Row],[VALOR TOTAL]])</f>
        <v>1</v>
      </c>
      <c r="BF338" s="23">
        <f>Tabla44[[#This Row],[VALOR ATENCIÓN (8 MESES)]]-Tabla44[[#This Row],[VALOR TOTAL]]</f>
        <v>0</v>
      </c>
      <c r="BG338" s="12" t="b">
        <f>EXACT(Tabla44[[#This Row],[TOTAL DESEMBOLSOS]],Tabla44[[#This Row],[VALOR TOTAL DEL CONTRATO INCLUIDO EL COMPONENTE DE ALIMENTACIÓN]])</f>
        <v>1</v>
      </c>
      <c r="BH338" s="29">
        <f>Tabla44[[#This Row],[TOTAL DESEMBOLSOS]]-Tabla44[[#This Row],[VALOR TOTAL DEL CONTRATO INCLUIDO EL COMPONENTE DE ALIMENTACIÓN]]</f>
        <v>0</v>
      </c>
      <c r="BI338" t="s">
        <v>98</v>
      </c>
    </row>
    <row r="339" spans="1:61">
      <c r="A339" s="13">
        <v>1999</v>
      </c>
      <c r="B339" s="13"/>
      <c r="C339" s="12" t="s">
        <v>87</v>
      </c>
      <c r="D339" s="12" t="s">
        <v>673</v>
      </c>
      <c r="E339" s="12" t="s">
        <v>3430</v>
      </c>
      <c r="F339" s="12" t="s">
        <v>18</v>
      </c>
      <c r="G339" s="12" t="s">
        <v>90</v>
      </c>
      <c r="H339" s="12" t="s">
        <v>3464</v>
      </c>
      <c r="I339" s="36">
        <v>56701152037</v>
      </c>
      <c r="J339" s="12" t="s">
        <v>3465</v>
      </c>
      <c r="K339" s="12">
        <v>1</v>
      </c>
      <c r="L339" s="12">
        <v>86</v>
      </c>
      <c r="M339" s="12"/>
      <c r="N339" s="13">
        <v>1999</v>
      </c>
      <c r="O339" s="12" t="s">
        <v>2850</v>
      </c>
      <c r="P339" s="12"/>
      <c r="Q339" s="12"/>
      <c r="R339" s="12" t="s">
        <v>94</v>
      </c>
      <c r="S339" s="12">
        <v>10</v>
      </c>
      <c r="T339" s="12">
        <v>811008215</v>
      </c>
      <c r="U339" s="12" t="s">
        <v>3112</v>
      </c>
      <c r="V339" s="12">
        <f>VLOOKUP(Tabla44[[#This Row],[ZONA DEFINITIVO]],[1]Hoja1!$A$1:$D$125,3,0)</f>
        <v>229942</v>
      </c>
      <c r="W339" s="12">
        <f>VLOOKUP(Tabla44[[#This Row],[ZONA DEFINITIVO]],[1]Hoja1!$A$1:$D$125,2,0)</f>
        <v>17261</v>
      </c>
      <c r="X339" s="12">
        <f>VLOOKUP(Tabla44[[#This Row],[ZONA DEFINITIVO]],[1]Hoja1!$A$1:$D$125,4,0)</f>
        <v>104825</v>
      </c>
      <c r="Y339" s="12" t="str">
        <f>+IF(Tabla44[[#This Row],[AGRUPACIONES]]=1,SUMIFS(Tabla44[UDS],Tabla44[ZONA DEFINITIVO],Tabla44[[#This Row],[ZONA DEFINITIVO]])," ")</f>
        <v xml:space="preserve"> </v>
      </c>
      <c r="Z339" s="12" t="str">
        <f>+IF(Tabla44[[#This Row],[AGRUPACIONES]]=1,SUMIFS(Tabla44[TOTAL COBERTURA],Tabla44[ZONA DEFINITIVO],Tabla44[[#This Row],[ZONA DEFINITIVO]])," ")</f>
        <v xml:space="preserve"> </v>
      </c>
      <c r="AA339" s="12"/>
      <c r="AB339" s="35">
        <v>187496598</v>
      </c>
      <c r="AC339" s="37">
        <v>0</v>
      </c>
      <c r="AD339" s="35">
        <f t="shared" si="5"/>
        <v>0</v>
      </c>
      <c r="AE339" s="12"/>
      <c r="AF339" s="12">
        <f>COUNTIF($A$20:A339,A339)</f>
        <v>19</v>
      </c>
      <c r="AG339" s="38">
        <v>187496598</v>
      </c>
      <c r="AH339" s="38">
        <f>Tabla44[[#This Row],[VALOR CONTRAPARTIDA]]+Tabla44[[#This Row],[TOTAL APORTES ICBF]]</f>
        <v>187496598</v>
      </c>
      <c r="AI339" s="35" t="str">
        <f>+IF(Tabla44[[#This Row],[AGRUPACIONES]]=1,SUMIFS(Tabla44[TOTAL APORTES ICBF],Tabla44[ZONA DEFINITIVO],Tabla44[[#This Row],[ZONA DEFINITIVO]])," ")</f>
        <v xml:space="preserve"> </v>
      </c>
      <c r="AJ339" s="38"/>
      <c r="AK339" s="38"/>
      <c r="AL339" s="35"/>
      <c r="AM339" s="35">
        <f>VLOOKUP(Tabla44[[#This Row],[SERVICIO 2025]],$J$2:$V$15,5,0)*Tabla44[[#This Row],[TOTAL COBERTURA]]</f>
        <v>4246336</v>
      </c>
      <c r="AN339" s="35">
        <f>VLOOKUP(Tabla44[[#This Row],[SERVICIO 2025]],$J$2:$V$15,6,0)*Tabla44[[#This Row],[TOTAL COBERTURA]]</f>
        <v>3528494</v>
      </c>
      <c r="AO339" s="35">
        <f>VLOOKUP(Tabla44[[#This Row],[SERVICIO 2025]],$J$2:$V$15,8,0)*Tabla44[[#This Row],[TOTAL COBERTURA]]</f>
        <v>2502600</v>
      </c>
      <c r="AP339" s="35">
        <f>VLOOKUP(Tabla44[[#This Row],[SERVICIO 2025]],$J$2:$V$15,3,0)*Tabla44[[#This Row],[TOTAL COBERTURA]]*8</f>
        <v>177219168</v>
      </c>
      <c r="AQ339" s="35"/>
      <c r="AR339" s="35">
        <f>SUM(Tabla44[[#This Row],[VALOR FASE PREPARATORIA DE ALISTAMIENTO]:[VALOR RACION PREPARADA]])</f>
        <v>187496598</v>
      </c>
      <c r="AS339" s="35" t="str">
        <f>+IF(Tabla44[[#This Row],[AGRUPACIONES]]=1,SUMIFS(Tabla44[VALOR TOTAL],Tabla44[ZONA DEFINITIVO],Tabla44[[#This Row],[ZONA DEFINITIVO]])," ")</f>
        <v xml:space="preserve"> </v>
      </c>
      <c r="AT339" s="35">
        <f>VLOOKUP(Tabla44[[#This Row],[SERVICIO 2025]],$J$2:$V$15,10,0)*Tabla44[[#This Row],[TOTAL COBERTURA]]*$X$7</f>
        <v>124103504</v>
      </c>
      <c r="AU339" s="39">
        <f>Tabla44[[#This Row],[TOTAL CONTRATO (ICBF+EAS)]]+Tabla44[[#This Row],[VALOR COMPONENTE ALIMENTACION NO ASIGNADO]]</f>
        <v>311600102</v>
      </c>
      <c r="AV33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44414270</v>
      </c>
      <c r="AW339" s="35">
        <f>(VLOOKUP(Tabla44[[#This Row],[SERVICIO 2025]],$J$2:$V$15,3,0)*Tabla44[[#This Row],[TOTAL COBERTURA]])+VLOOKUP(Tabla44[[#This Row],[SERVICIO 2025]],$J$2:$V$15,10,0)*Tabla44[[#This Row],[TOTAL COBERTURA]]</f>
        <v>37665334</v>
      </c>
      <c r="AX339" s="35">
        <f>(VLOOKUP(Tabla44[[#This Row],[SERVICIO 2025]],$J$2:$V$15,3,0)*Tabla44[[#This Row],[TOTAL COBERTURA]])+VLOOKUP(Tabla44[[#This Row],[SERVICIO 2025]],$J$2:$V$15,10,0)*Tabla44[[#This Row],[TOTAL COBERTURA]]</f>
        <v>37665334</v>
      </c>
      <c r="AY339" s="35">
        <f>(VLOOKUP(Tabla44[[#This Row],[SERVICIO 2025]],$J$2:$V$15,3,0)*Tabla44[[#This Row],[TOTAL COBERTURA]])+VLOOKUP(Tabla44[[#This Row],[SERVICIO 2025]],$J$2:$V$15,10,0)*Tabla44[[#This Row],[TOTAL COBERTURA]]</f>
        <v>37665334</v>
      </c>
      <c r="AZ339" s="35">
        <f>(VLOOKUP(Tabla44[[#This Row],[SERVICIO 2025]],$J$2:$V$15,3,0)*Tabla44[[#This Row],[TOTAL COBERTURA]])+VLOOKUP(Tabla44[[#This Row],[SERVICIO 2025]],$J$2:$V$15,10,0)*Tabla44[[#This Row],[TOTAL COBERTURA]]</f>
        <v>37665334</v>
      </c>
      <c r="BA339" s="35">
        <f>(VLOOKUP(Tabla44[[#This Row],[SERVICIO 2025]],$J$2:$V$15,3,0)*Tabla44[[#This Row],[TOTAL COBERTURA]])+VLOOKUP(Tabla44[[#This Row],[SERVICIO 2025]],$J$2:$V$15,10,0)*Tabla44[[#This Row],[TOTAL COBERTURA]]</f>
        <v>37665334</v>
      </c>
      <c r="BB339" s="35">
        <f>(VLOOKUP(Tabla44[[#This Row],[SERVICIO 2025]],$J$2:$V$15,3,0)*Tabla44[[#This Row],[TOTAL COBERTURA]])+VLOOKUP(Tabla44[[#This Row],[SERVICIO 2025]],$J$2:$V$15,10,0)*Tabla44[[#This Row],[TOTAL COBERTURA]]</f>
        <v>37665334</v>
      </c>
      <c r="BC33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41193828</v>
      </c>
      <c r="BD339" s="35">
        <f>SUM(Tabla44[[#This Row],[DESEMBOLSO 1]:[DESEMBOLSO 8]])</f>
        <v>311600102</v>
      </c>
      <c r="BE339" s="12" t="b">
        <f>EXACT(Tabla44[[#This Row],[VALOR ATENCIÓN (8 MESES)]],Tabla44[[#This Row],[VALOR TOTAL]])</f>
        <v>1</v>
      </c>
      <c r="BF339" s="23">
        <f>Tabla44[[#This Row],[VALOR ATENCIÓN (8 MESES)]]-Tabla44[[#This Row],[VALOR TOTAL]]</f>
        <v>0</v>
      </c>
      <c r="BG339" s="12" t="b">
        <f>EXACT(Tabla44[[#This Row],[TOTAL DESEMBOLSOS]],Tabla44[[#This Row],[VALOR TOTAL DEL CONTRATO INCLUIDO EL COMPONENTE DE ALIMENTACIÓN]])</f>
        <v>1</v>
      </c>
      <c r="BH339" s="29">
        <f>Tabla44[[#This Row],[TOTAL DESEMBOLSOS]]-Tabla44[[#This Row],[VALOR TOTAL DEL CONTRATO INCLUIDO EL COMPONENTE DE ALIMENTACIÓN]]</f>
        <v>0</v>
      </c>
      <c r="BI339" t="s">
        <v>98</v>
      </c>
    </row>
    <row r="340" spans="1:61">
      <c r="A340" s="13">
        <v>1999</v>
      </c>
      <c r="B340" s="13"/>
      <c r="C340" s="12" t="s">
        <v>87</v>
      </c>
      <c r="D340" s="12" t="s">
        <v>673</v>
      </c>
      <c r="E340" s="12" t="s">
        <v>3430</v>
      </c>
      <c r="F340" s="12" t="s">
        <v>18</v>
      </c>
      <c r="G340" s="12" t="s">
        <v>90</v>
      </c>
      <c r="H340" s="12" t="s">
        <v>490</v>
      </c>
      <c r="I340" s="36">
        <v>56701152038</v>
      </c>
      <c r="J340" s="12" t="s">
        <v>3466</v>
      </c>
      <c r="K340" s="12">
        <v>1</v>
      </c>
      <c r="L340" s="12">
        <v>14</v>
      </c>
      <c r="M340" s="12"/>
      <c r="N340" s="13">
        <v>1999</v>
      </c>
      <c r="O340" s="12" t="s">
        <v>2850</v>
      </c>
      <c r="P340" s="12"/>
      <c r="Q340" s="12"/>
      <c r="R340" s="12" t="s">
        <v>94</v>
      </c>
      <c r="S340" s="12">
        <v>10</v>
      </c>
      <c r="T340" s="12">
        <v>811008215</v>
      </c>
      <c r="U340" s="12" t="s">
        <v>3112</v>
      </c>
      <c r="V340" s="12">
        <f>VLOOKUP(Tabla44[[#This Row],[ZONA DEFINITIVO]],[1]Hoja1!$A$1:$D$125,3,0)</f>
        <v>229942</v>
      </c>
      <c r="W340" s="12">
        <f>VLOOKUP(Tabla44[[#This Row],[ZONA DEFINITIVO]],[1]Hoja1!$A$1:$D$125,2,0)</f>
        <v>17261</v>
      </c>
      <c r="X340" s="12">
        <f>VLOOKUP(Tabla44[[#This Row],[ZONA DEFINITIVO]],[1]Hoja1!$A$1:$D$125,4,0)</f>
        <v>104825</v>
      </c>
      <c r="Y340" s="12" t="str">
        <f>+IF(Tabla44[[#This Row],[AGRUPACIONES]]=1,SUMIFS(Tabla44[UDS],Tabla44[ZONA DEFINITIVO],Tabla44[[#This Row],[ZONA DEFINITIVO]])," ")</f>
        <v xml:space="preserve"> </v>
      </c>
      <c r="Z340" s="12" t="str">
        <f>+IF(Tabla44[[#This Row],[AGRUPACIONES]]=1,SUMIFS(Tabla44[TOTAL COBERTURA],Tabla44[ZONA DEFINITIVO],Tabla44[[#This Row],[ZONA DEFINITIVO]])," ")</f>
        <v xml:space="preserve"> </v>
      </c>
      <c r="AA340" s="12"/>
      <c r="AB340" s="35">
        <v>30522702</v>
      </c>
      <c r="AC340" s="37">
        <v>0</v>
      </c>
      <c r="AD340" s="35">
        <f t="shared" ref="AD340:AD403" si="6">AB340*AC340</f>
        <v>0</v>
      </c>
      <c r="AE340" s="12"/>
      <c r="AF340" s="12">
        <f>COUNTIF($A$20:A340,A340)</f>
        <v>20</v>
      </c>
      <c r="AG340" s="38">
        <v>30522702</v>
      </c>
      <c r="AH340" s="38">
        <f>Tabla44[[#This Row],[VALOR CONTRAPARTIDA]]+Tabla44[[#This Row],[TOTAL APORTES ICBF]]</f>
        <v>30522702</v>
      </c>
      <c r="AI340" s="35" t="str">
        <f>+IF(Tabla44[[#This Row],[AGRUPACIONES]]=1,SUMIFS(Tabla44[TOTAL APORTES ICBF],Tabla44[ZONA DEFINITIVO],Tabla44[[#This Row],[ZONA DEFINITIVO]])," ")</f>
        <v xml:space="preserve"> </v>
      </c>
      <c r="AJ340" s="38"/>
      <c r="AK340" s="38"/>
      <c r="AL340" s="35"/>
      <c r="AM340" s="35">
        <f>VLOOKUP(Tabla44[[#This Row],[SERVICIO 2025]],$J$2:$V$15,5,0)*Tabla44[[#This Row],[TOTAL COBERTURA]]</f>
        <v>691264</v>
      </c>
      <c r="AN340" s="35">
        <f>VLOOKUP(Tabla44[[#This Row],[SERVICIO 2025]],$J$2:$V$15,6,0)*Tabla44[[#This Row],[TOTAL COBERTURA]]</f>
        <v>574406</v>
      </c>
      <c r="AO340" s="35">
        <f>VLOOKUP(Tabla44[[#This Row],[SERVICIO 2025]],$J$2:$V$15,8,0)*Tabla44[[#This Row],[TOTAL COBERTURA]]</f>
        <v>407400</v>
      </c>
      <c r="AP340" s="35">
        <f>VLOOKUP(Tabla44[[#This Row],[SERVICIO 2025]],$J$2:$V$15,3,0)*Tabla44[[#This Row],[TOTAL COBERTURA]]*8</f>
        <v>28849632</v>
      </c>
      <c r="AQ340" s="35"/>
      <c r="AR340" s="35">
        <f>SUM(Tabla44[[#This Row],[VALOR FASE PREPARATORIA DE ALISTAMIENTO]:[VALOR RACION PREPARADA]])</f>
        <v>30522702</v>
      </c>
      <c r="AS340" s="35" t="str">
        <f>+IF(Tabla44[[#This Row],[AGRUPACIONES]]=1,SUMIFS(Tabla44[VALOR TOTAL],Tabla44[ZONA DEFINITIVO],Tabla44[[#This Row],[ZONA DEFINITIVO]])," ")</f>
        <v xml:space="preserve"> </v>
      </c>
      <c r="AT340" s="35">
        <f>VLOOKUP(Tabla44[[#This Row],[SERVICIO 2025]],$J$2:$V$15,10,0)*Tabla44[[#This Row],[TOTAL COBERTURA]]*$X$7</f>
        <v>20202896</v>
      </c>
      <c r="AU340" s="39">
        <f>Tabla44[[#This Row],[TOTAL CONTRATO (ICBF+EAS)]]+Tabla44[[#This Row],[VALOR COMPONENTE ALIMENTACION NO ASIGNADO]]</f>
        <v>50725598</v>
      </c>
      <c r="AV34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340" s="35">
        <f>(VLOOKUP(Tabla44[[#This Row],[SERVICIO 2025]],$J$2:$V$15,3,0)*Tabla44[[#This Row],[TOTAL COBERTURA]])+VLOOKUP(Tabla44[[#This Row],[SERVICIO 2025]],$J$2:$V$15,10,0)*Tabla44[[#This Row],[TOTAL COBERTURA]]</f>
        <v>6131566</v>
      </c>
      <c r="AX340" s="35">
        <f>(VLOOKUP(Tabla44[[#This Row],[SERVICIO 2025]],$J$2:$V$15,3,0)*Tabla44[[#This Row],[TOTAL COBERTURA]])+VLOOKUP(Tabla44[[#This Row],[SERVICIO 2025]],$J$2:$V$15,10,0)*Tabla44[[#This Row],[TOTAL COBERTURA]]</f>
        <v>6131566</v>
      </c>
      <c r="AY340" s="35">
        <f>(VLOOKUP(Tabla44[[#This Row],[SERVICIO 2025]],$J$2:$V$15,3,0)*Tabla44[[#This Row],[TOTAL COBERTURA]])+VLOOKUP(Tabla44[[#This Row],[SERVICIO 2025]],$J$2:$V$15,10,0)*Tabla44[[#This Row],[TOTAL COBERTURA]]</f>
        <v>6131566</v>
      </c>
      <c r="AZ340" s="35">
        <f>(VLOOKUP(Tabla44[[#This Row],[SERVICIO 2025]],$J$2:$V$15,3,0)*Tabla44[[#This Row],[TOTAL COBERTURA]])+VLOOKUP(Tabla44[[#This Row],[SERVICIO 2025]],$J$2:$V$15,10,0)*Tabla44[[#This Row],[TOTAL COBERTURA]]</f>
        <v>6131566</v>
      </c>
      <c r="BA340" s="35">
        <f>(VLOOKUP(Tabla44[[#This Row],[SERVICIO 2025]],$J$2:$V$15,3,0)*Tabla44[[#This Row],[TOTAL COBERTURA]])+VLOOKUP(Tabla44[[#This Row],[SERVICIO 2025]],$J$2:$V$15,10,0)*Tabla44[[#This Row],[TOTAL COBERTURA]]</f>
        <v>6131566</v>
      </c>
      <c r="BB340" s="35">
        <f>(VLOOKUP(Tabla44[[#This Row],[SERVICIO 2025]],$J$2:$V$15,3,0)*Tabla44[[#This Row],[TOTAL COBERTURA]])+VLOOKUP(Tabla44[[#This Row],[SERVICIO 2025]],$J$2:$V$15,10,0)*Tabla44[[#This Row],[TOTAL COBERTURA]]</f>
        <v>6131566</v>
      </c>
      <c r="BC34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340" s="35">
        <f>SUM(Tabla44[[#This Row],[DESEMBOLSO 1]:[DESEMBOLSO 8]])</f>
        <v>50725598</v>
      </c>
      <c r="BE340" s="12" t="b">
        <f>EXACT(Tabla44[[#This Row],[VALOR ATENCIÓN (8 MESES)]],Tabla44[[#This Row],[VALOR TOTAL]])</f>
        <v>1</v>
      </c>
      <c r="BF340" s="23">
        <f>Tabla44[[#This Row],[VALOR ATENCIÓN (8 MESES)]]-Tabla44[[#This Row],[VALOR TOTAL]]</f>
        <v>0</v>
      </c>
      <c r="BG340" s="12" t="b">
        <f>EXACT(Tabla44[[#This Row],[TOTAL DESEMBOLSOS]],Tabla44[[#This Row],[VALOR TOTAL DEL CONTRATO INCLUIDO EL COMPONENTE DE ALIMENTACIÓN]])</f>
        <v>1</v>
      </c>
      <c r="BH340" s="29">
        <f>Tabla44[[#This Row],[TOTAL DESEMBOLSOS]]-Tabla44[[#This Row],[VALOR TOTAL DEL CONTRATO INCLUIDO EL COMPONENTE DE ALIMENTACIÓN]]</f>
        <v>0</v>
      </c>
      <c r="BI340" t="s">
        <v>98</v>
      </c>
    </row>
    <row r="341" spans="1:61">
      <c r="A341" s="13">
        <v>1999</v>
      </c>
      <c r="B341" s="13"/>
      <c r="C341" s="12" t="s">
        <v>87</v>
      </c>
      <c r="D341" s="12" t="s">
        <v>673</v>
      </c>
      <c r="E341" s="12" t="s">
        <v>3430</v>
      </c>
      <c r="F341" s="12" t="s">
        <v>18</v>
      </c>
      <c r="G341" s="12" t="s">
        <v>90</v>
      </c>
      <c r="H341" s="12" t="s">
        <v>3467</v>
      </c>
      <c r="I341" s="36">
        <v>56701152191</v>
      </c>
      <c r="J341" s="12" t="s">
        <v>3468</v>
      </c>
      <c r="K341" s="12">
        <v>1</v>
      </c>
      <c r="L341" s="12">
        <v>19</v>
      </c>
      <c r="M341" s="12"/>
      <c r="N341" s="13">
        <v>1999</v>
      </c>
      <c r="O341" s="12" t="s">
        <v>2850</v>
      </c>
      <c r="P341" s="12"/>
      <c r="Q341" s="12"/>
      <c r="R341" s="12" t="s">
        <v>94</v>
      </c>
      <c r="S341" s="12">
        <v>10</v>
      </c>
      <c r="T341" s="12">
        <v>811008215</v>
      </c>
      <c r="U341" s="12" t="s">
        <v>3112</v>
      </c>
      <c r="V341" s="12">
        <f>VLOOKUP(Tabla44[[#This Row],[ZONA DEFINITIVO]],[1]Hoja1!$A$1:$D$125,3,0)</f>
        <v>229942</v>
      </c>
      <c r="W341" s="12">
        <f>VLOOKUP(Tabla44[[#This Row],[ZONA DEFINITIVO]],[1]Hoja1!$A$1:$D$125,2,0)</f>
        <v>17261</v>
      </c>
      <c r="X341" s="12">
        <f>VLOOKUP(Tabla44[[#This Row],[ZONA DEFINITIVO]],[1]Hoja1!$A$1:$D$125,4,0)</f>
        <v>104825</v>
      </c>
      <c r="Y341" s="12" t="str">
        <f>+IF(Tabla44[[#This Row],[AGRUPACIONES]]=1,SUMIFS(Tabla44[UDS],Tabla44[ZONA DEFINITIVO],Tabla44[[#This Row],[ZONA DEFINITIVO]])," ")</f>
        <v xml:space="preserve"> </v>
      </c>
      <c r="Z341" s="12" t="str">
        <f>+IF(Tabla44[[#This Row],[AGRUPACIONES]]=1,SUMIFS(Tabla44[TOTAL COBERTURA],Tabla44[ZONA DEFINITIVO],Tabla44[[#This Row],[ZONA DEFINITIVO]])," ")</f>
        <v xml:space="preserve"> </v>
      </c>
      <c r="AA341" s="12"/>
      <c r="AB341" s="35">
        <v>41423667</v>
      </c>
      <c r="AC341" s="37">
        <v>0</v>
      </c>
      <c r="AD341" s="35">
        <f t="shared" si="6"/>
        <v>0</v>
      </c>
      <c r="AE341" s="12"/>
      <c r="AF341" s="12">
        <f>COUNTIF($A$20:A341,A341)</f>
        <v>21</v>
      </c>
      <c r="AG341" s="38">
        <v>41423667</v>
      </c>
      <c r="AH341" s="38">
        <f>Tabla44[[#This Row],[VALOR CONTRAPARTIDA]]+Tabla44[[#This Row],[TOTAL APORTES ICBF]]</f>
        <v>41423667</v>
      </c>
      <c r="AI341" s="35" t="str">
        <f>+IF(Tabla44[[#This Row],[AGRUPACIONES]]=1,SUMIFS(Tabla44[TOTAL APORTES ICBF],Tabla44[ZONA DEFINITIVO],Tabla44[[#This Row],[ZONA DEFINITIVO]])," ")</f>
        <v xml:space="preserve"> </v>
      </c>
      <c r="AJ341" s="38"/>
      <c r="AK341" s="38"/>
      <c r="AL341" s="35"/>
      <c r="AM341" s="35">
        <f>VLOOKUP(Tabla44[[#This Row],[SERVICIO 2025]],$J$2:$V$15,5,0)*Tabla44[[#This Row],[TOTAL COBERTURA]]</f>
        <v>938144</v>
      </c>
      <c r="AN341" s="35">
        <f>VLOOKUP(Tabla44[[#This Row],[SERVICIO 2025]],$J$2:$V$15,6,0)*Tabla44[[#This Row],[TOTAL COBERTURA]]</f>
        <v>779551</v>
      </c>
      <c r="AO341" s="35">
        <f>VLOOKUP(Tabla44[[#This Row],[SERVICIO 2025]],$J$2:$V$15,8,0)*Tabla44[[#This Row],[TOTAL COBERTURA]]</f>
        <v>552900</v>
      </c>
      <c r="AP341" s="35">
        <f>VLOOKUP(Tabla44[[#This Row],[SERVICIO 2025]],$J$2:$V$15,3,0)*Tabla44[[#This Row],[TOTAL COBERTURA]]*8</f>
        <v>39153072</v>
      </c>
      <c r="AQ341" s="35"/>
      <c r="AR341" s="35">
        <f>SUM(Tabla44[[#This Row],[VALOR FASE PREPARATORIA DE ALISTAMIENTO]:[VALOR RACION PREPARADA]])</f>
        <v>41423667</v>
      </c>
      <c r="AS341" s="35" t="str">
        <f>+IF(Tabla44[[#This Row],[AGRUPACIONES]]=1,SUMIFS(Tabla44[VALOR TOTAL],Tabla44[ZONA DEFINITIVO],Tabla44[[#This Row],[ZONA DEFINITIVO]])," ")</f>
        <v xml:space="preserve"> </v>
      </c>
      <c r="AT341" s="35">
        <f>VLOOKUP(Tabla44[[#This Row],[SERVICIO 2025]],$J$2:$V$15,10,0)*Tabla44[[#This Row],[TOTAL COBERTURA]]*$X$7</f>
        <v>27418216</v>
      </c>
      <c r="AU341" s="39">
        <f>Tabla44[[#This Row],[TOTAL CONTRATO (ICBF+EAS)]]+Tabla44[[#This Row],[VALOR COMPONENTE ALIMENTACION NO ASIGNADO]]</f>
        <v>68841883</v>
      </c>
      <c r="AV34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9812455</v>
      </c>
      <c r="AW341" s="35">
        <f>(VLOOKUP(Tabla44[[#This Row],[SERVICIO 2025]],$J$2:$V$15,3,0)*Tabla44[[#This Row],[TOTAL COBERTURA]])+VLOOKUP(Tabla44[[#This Row],[SERVICIO 2025]],$J$2:$V$15,10,0)*Tabla44[[#This Row],[TOTAL COBERTURA]]</f>
        <v>8321411</v>
      </c>
      <c r="AX341" s="35">
        <f>(VLOOKUP(Tabla44[[#This Row],[SERVICIO 2025]],$J$2:$V$15,3,0)*Tabla44[[#This Row],[TOTAL COBERTURA]])+VLOOKUP(Tabla44[[#This Row],[SERVICIO 2025]],$J$2:$V$15,10,0)*Tabla44[[#This Row],[TOTAL COBERTURA]]</f>
        <v>8321411</v>
      </c>
      <c r="AY341" s="35">
        <f>(VLOOKUP(Tabla44[[#This Row],[SERVICIO 2025]],$J$2:$V$15,3,0)*Tabla44[[#This Row],[TOTAL COBERTURA]])+VLOOKUP(Tabla44[[#This Row],[SERVICIO 2025]],$J$2:$V$15,10,0)*Tabla44[[#This Row],[TOTAL COBERTURA]]</f>
        <v>8321411</v>
      </c>
      <c r="AZ341" s="35">
        <f>(VLOOKUP(Tabla44[[#This Row],[SERVICIO 2025]],$J$2:$V$15,3,0)*Tabla44[[#This Row],[TOTAL COBERTURA]])+VLOOKUP(Tabla44[[#This Row],[SERVICIO 2025]],$J$2:$V$15,10,0)*Tabla44[[#This Row],[TOTAL COBERTURA]]</f>
        <v>8321411</v>
      </c>
      <c r="BA341" s="35">
        <f>(VLOOKUP(Tabla44[[#This Row],[SERVICIO 2025]],$J$2:$V$15,3,0)*Tabla44[[#This Row],[TOTAL COBERTURA]])+VLOOKUP(Tabla44[[#This Row],[SERVICIO 2025]],$J$2:$V$15,10,0)*Tabla44[[#This Row],[TOTAL COBERTURA]]</f>
        <v>8321411</v>
      </c>
      <c r="BB341" s="35">
        <f>(VLOOKUP(Tabla44[[#This Row],[SERVICIO 2025]],$J$2:$V$15,3,0)*Tabla44[[#This Row],[TOTAL COBERTURA]])+VLOOKUP(Tabla44[[#This Row],[SERVICIO 2025]],$J$2:$V$15,10,0)*Tabla44[[#This Row],[TOTAL COBERTURA]]</f>
        <v>8321411</v>
      </c>
      <c r="BC34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9100962</v>
      </c>
      <c r="BD341" s="35">
        <f>SUM(Tabla44[[#This Row],[DESEMBOLSO 1]:[DESEMBOLSO 8]])</f>
        <v>68841883</v>
      </c>
      <c r="BE341" s="12" t="b">
        <f>EXACT(Tabla44[[#This Row],[VALOR ATENCIÓN (8 MESES)]],Tabla44[[#This Row],[VALOR TOTAL]])</f>
        <v>1</v>
      </c>
      <c r="BF341" s="23">
        <f>Tabla44[[#This Row],[VALOR ATENCIÓN (8 MESES)]]-Tabla44[[#This Row],[VALOR TOTAL]]</f>
        <v>0</v>
      </c>
      <c r="BG341" s="12" t="b">
        <f>EXACT(Tabla44[[#This Row],[TOTAL DESEMBOLSOS]],Tabla44[[#This Row],[VALOR TOTAL DEL CONTRATO INCLUIDO EL COMPONENTE DE ALIMENTACIÓN]])</f>
        <v>1</v>
      </c>
      <c r="BH341" s="29">
        <f>Tabla44[[#This Row],[TOTAL DESEMBOLSOS]]-Tabla44[[#This Row],[VALOR TOTAL DEL CONTRATO INCLUIDO EL COMPONENTE DE ALIMENTACIÓN]]</f>
        <v>0</v>
      </c>
      <c r="BI341" t="s">
        <v>98</v>
      </c>
    </row>
    <row r="342" spans="1:61">
      <c r="A342" s="13">
        <v>1999</v>
      </c>
      <c r="B342" s="13"/>
      <c r="C342" s="12" t="s">
        <v>87</v>
      </c>
      <c r="D342" s="12" t="s">
        <v>673</v>
      </c>
      <c r="E342" s="12" t="s">
        <v>3430</v>
      </c>
      <c r="F342" s="12" t="s">
        <v>18</v>
      </c>
      <c r="G342" s="12" t="s">
        <v>90</v>
      </c>
      <c r="H342" s="12" t="s">
        <v>3469</v>
      </c>
      <c r="I342" s="36">
        <v>56701152199</v>
      </c>
      <c r="J342" s="12" t="s">
        <v>3470</v>
      </c>
      <c r="K342" s="12">
        <v>1</v>
      </c>
      <c r="L342" s="12">
        <v>44</v>
      </c>
      <c r="M342" s="12"/>
      <c r="N342" s="13">
        <v>1999</v>
      </c>
      <c r="O342" s="12" t="s">
        <v>2850</v>
      </c>
      <c r="P342" s="12"/>
      <c r="Q342" s="12"/>
      <c r="R342" s="12" t="s">
        <v>94</v>
      </c>
      <c r="S342" s="12">
        <v>10</v>
      </c>
      <c r="T342" s="12">
        <v>811008215</v>
      </c>
      <c r="U342" s="12" t="s">
        <v>3112</v>
      </c>
      <c r="V342" s="12">
        <f>VLOOKUP(Tabla44[[#This Row],[ZONA DEFINITIVO]],[1]Hoja1!$A$1:$D$125,3,0)</f>
        <v>229942</v>
      </c>
      <c r="W342" s="12">
        <f>VLOOKUP(Tabla44[[#This Row],[ZONA DEFINITIVO]],[1]Hoja1!$A$1:$D$125,2,0)</f>
        <v>17261</v>
      </c>
      <c r="X342" s="12">
        <f>VLOOKUP(Tabla44[[#This Row],[ZONA DEFINITIVO]],[1]Hoja1!$A$1:$D$125,4,0)</f>
        <v>104825</v>
      </c>
      <c r="Y342" s="12" t="str">
        <f>+IF(Tabla44[[#This Row],[AGRUPACIONES]]=1,SUMIFS(Tabla44[UDS],Tabla44[ZONA DEFINITIVO],Tabla44[[#This Row],[ZONA DEFINITIVO]])," ")</f>
        <v xml:space="preserve"> </v>
      </c>
      <c r="Z342" s="12" t="str">
        <f>+IF(Tabla44[[#This Row],[AGRUPACIONES]]=1,SUMIFS(Tabla44[TOTAL COBERTURA],Tabla44[ZONA DEFINITIVO],Tabla44[[#This Row],[ZONA DEFINITIVO]])," ")</f>
        <v xml:space="preserve"> </v>
      </c>
      <c r="AA342" s="12"/>
      <c r="AB342" s="35">
        <v>95928492</v>
      </c>
      <c r="AC342" s="37">
        <v>0</v>
      </c>
      <c r="AD342" s="35">
        <f t="shared" si="6"/>
        <v>0</v>
      </c>
      <c r="AE342" s="12"/>
      <c r="AF342" s="12">
        <f>COUNTIF($A$20:A342,A342)</f>
        <v>22</v>
      </c>
      <c r="AG342" s="38">
        <v>95928492</v>
      </c>
      <c r="AH342" s="38">
        <f>Tabla44[[#This Row],[VALOR CONTRAPARTIDA]]+Tabla44[[#This Row],[TOTAL APORTES ICBF]]</f>
        <v>95928492</v>
      </c>
      <c r="AI342" s="35" t="str">
        <f>+IF(Tabla44[[#This Row],[AGRUPACIONES]]=1,SUMIFS(Tabla44[TOTAL APORTES ICBF],Tabla44[ZONA DEFINITIVO],Tabla44[[#This Row],[ZONA DEFINITIVO]])," ")</f>
        <v xml:space="preserve"> </v>
      </c>
      <c r="AJ342" s="38"/>
      <c r="AK342" s="38"/>
      <c r="AL342" s="35"/>
      <c r="AM342" s="35">
        <f>VLOOKUP(Tabla44[[#This Row],[SERVICIO 2025]],$J$2:$V$15,5,0)*Tabla44[[#This Row],[TOTAL COBERTURA]]</f>
        <v>2172544</v>
      </c>
      <c r="AN342" s="35">
        <f>VLOOKUP(Tabla44[[#This Row],[SERVICIO 2025]],$J$2:$V$15,6,0)*Tabla44[[#This Row],[TOTAL COBERTURA]]</f>
        <v>1805276</v>
      </c>
      <c r="AO342" s="35">
        <f>VLOOKUP(Tabla44[[#This Row],[SERVICIO 2025]],$J$2:$V$15,8,0)*Tabla44[[#This Row],[TOTAL COBERTURA]]</f>
        <v>1280400</v>
      </c>
      <c r="AP342" s="35">
        <f>VLOOKUP(Tabla44[[#This Row],[SERVICIO 2025]],$J$2:$V$15,3,0)*Tabla44[[#This Row],[TOTAL COBERTURA]]*8</f>
        <v>90670272</v>
      </c>
      <c r="AQ342" s="35"/>
      <c r="AR342" s="35">
        <f>SUM(Tabla44[[#This Row],[VALOR FASE PREPARATORIA DE ALISTAMIENTO]:[VALOR RACION PREPARADA]])</f>
        <v>95928492</v>
      </c>
      <c r="AS342" s="35" t="str">
        <f>+IF(Tabla44[[#This Row],[AGRUPACIONES]]=1,SUMIFS(Tabla44[VALOR TOTAL],Tabla44[ZONA DEFINITIVO],Tabla44[[#This Row],[ZONA DEFINITIVO]])," ")</f>
        <v xml:space="preserve"> </v>
      </c>
      <c r="AT342" s="35">
        <f>VLOOKUP(Tabla44[[#This Row],[SERVICIO 2025]],$J$2:$V$15,10,0)*Tabla44[[#This Row],[TOTAL COBERTURA]]*$X$7</f>
        <v>63494816</v>
      </c>
      <c r="AU342" s="39">
        <f>Tabla44[[#This Row],[TOTAL CONTRATO (ICBF+EAS)]]+Tabla44[[#This Row],[VALOR COMPONENTE ALIMENTACION NO ASIGNADO]]</f>
        <v>159423308</v>
      </c>
      <c r="AV34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22723580</v>
      </c>
      <c r="AW342" s="35">
        <f>(VLOOKUP(Tabla44[[#This Row],[SERVICIO 2025]],$J$2:$V$15,3,0)*Tabla44[[#This Row],[TOTAL COBERTURA]])+VLOOKUP(Tabla44[[#This Row],[SERVICIO 2025]],$J$2:$V$15,10,0)*Tabla44[[#This Row],[TOTAL COBERTURA]]</f>
        <v>19270636</v>
      </c>
      <c r="AX342" s="35">
        <f>(VLOOKUP(Tabla44[[#This Row],[SERVICIO 2025]],$J$2:$V$15,3,0)*Tabla44[[#This Row],[TOTAL COBERTURA]])+VLOOKUP(Tabla44[[#This Row],[SERVICIO 2025]],$J$2:$V$15,10,0)*Tabla44[[#This Row],[TOTAL COBERTURA]]</f>
        <v>19270636</v>
      </c>
      <c r="AY342" s="35">
        <f>(VLOOKUP(Tabla44[[#This Row],[SERVICIO 2025]],$J$2:$V$15,3,0)*Tabla44[[#This Row],[TOTAL COBERTURA]])+VLOOKUP(Tabla44[[#This Row],[SERVICIO 2025]],$J$2:$V$15,10,0)*Tabla44[[#This Row],[TOTAL COBERTURA]]</f>
        <v>19270636</v>
      </c>
      <c r="AZ342" s="35">
        <f>(VLOOKUP(Tabla44[[#This Row],[SERVICIO 2025]],$J$2:$V$15,3,0)*Tabla44[[#This Row],[TOTAL COBERTURA]])+VLOOKUP(Tabla44[[#This Row],[SERVICIO 2025]],$J$2:$V$15,10,0)*Tabla44[[#This Row],[TOTAL COBERTURA]]</f>
        <v>19270636</v>
      </c>
      <c r="BA342" s="35">
        <f>(VLOOKUP(Tabla44[[#This Row],[SERVICIO 2025]],$J$2:$V$15,3,0)*Tabla44[[#This Row],[TOTAL COBERTURA]])+VLOOKUP(Tabla44[[#This Row],[SERVICIO 2025]],$J$2:$V$15,10,0)*Tabla44[[#This Row],[TOTAL COBERTURA]]</f>
        <v>19270636</v>
      </c>
      <c r="BB342" s="35">
        <f>(VLOOKUP(Tabla44[[#This Row],[SERVICIO 2025]],$J$2:$V$15,3,0)*Tabla44[[#This Row],[TOTAL COBERTURA]])+VLOOKUP(Tabla44[[#This Row],[SERVICIO 2025]],$J$2:$V$15,10,0)*Tabla44[[#This Row],[TOTAL COBERTURA]]</f>
        <v>19270636</v>
      </c>
      <c r="BC34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21075912</v>
      </c>
      <c r="BD342" s="35">
        <f>SUM(Tabla44[[#This Row],[DESEMBOLSO 1]:[DESEMBOLSO 8]])</f>
        <v>159423308</v>
      </c>
      <c r="BE342" s="12" t="b">
        <f>EXACT(Tabla44[[#This Row],[VALOR ATENCIÓN (8 MESES)]],Tabla44[[#This Row],[VALOR TOTAL]])</f>
        <v>1</v>
      </c>
      <c r="BF342" s="23">
        <f>Tabla44[[#This Row],[VALOR ATENCIÓN (8 MESES)]]-Tabla44[[#This Row],[VALOR TOTAL]]</f>
        <v>0</v>
      </c>
      <c r="BG342" s="12" t="b">
        <f>EXACT(Tabla44[[#This Row],[TOTAL DESEMBOLSOS]],Tabla44[[#This Row],[VALOR TOTAL DEL CONTRATO INCLUIDO EL COMPONENTE DE ALIMENTACIÓN]])</f>
        <v>1</v>
      </c>
      <c r="BH342" s="29">
        <f>Tabla44[[#This Row],[TOTAL DESEMBOLSOS]]-Tabla44[[#This Row],[VALOR TOTAL DEL CONTRATO INCLUIDO EL COMPONENTE DE ALIMENTACIÓN]]</f>
        <v>0</v>
      </c>
      <c r="BI342" t="s">
        <v>98</v>
      </c>
    </row>
    <row r="343" spans="1:61">
      <c r="A343" s="21">
        <v>1999</v>
      </c>
      <c r="B343" s="21"/>
      <c r="C343" s="22" t="s">
        <v>87</v>
      </c>
      <c r="D343" s="22" t="s">
        <v>673</v>
      </c>
      <c r="E343" s="22" t="s">
        <v>3430</v>
      </c>
      <c r="F343" s="22" t="s">
        <v>18</v>
      </c>
      <c r="G343" s="12" t="s">
        <v>90</v>
      </c>
      <c r="H343" s="22" t="s">
        <v>3471</v>
      </c>
      <c r="I343" s="36">
        <v>56701152972</v>
      </c>
      <c r="J343" s="22" t="s">
        <v>3472</v>
      </c>
      <c r="K343" s="12">
        <v>1</v>
      </c>
      <c r="L343" s="22">
        <v>17</v>
      </c>
      <c r="M343" s="22"/>
      <c r="N343" s="21">
        <v>1999</v>
      </c>
      <c r="O343" s="22" t="s">
        <v>2850</v>
      </c>
      <c r="P343" s="22"/>
      <c r="Q343" s="22"/>
      <c r="R343" s="12" t="s">
        <v>94</v>
      </c>
      <c r="S343" s="12">
        <v>10</v>
      </c>
      <c r="T343" s="12">
        <v>811008215</v>
      </c>
      <c r="U343" s="12" t="s">
        <v>3112</v>
      </c>
      <c r="V343" s="22">
        <f>VLOOKUP(Tabla44[[#This Row],[ZONA DEFINITIVO]],[1]Hoja1!$A$1:$D$125,3,0)</f>
        <v>229942</v>
      </c>
      <c r="W343" s="22">
        <f>VLOOKUP(Tabla44[[#This Row],[ZONA DEFINITIVO]],[1]Hoja1!$A$1:$D$125,2,0)</f>
        <v>17261</v>
      </c>
      <c r="X343" s="22">
        <f>VLOOKUP(Tabla44[[#This Row],[ZONA DEFINITIVO]],[1]Hoja1!$A$1:$D$125,4,0)</f>
        <v>104825</v>
      </c>
      <c r="Y343" s="22" t="str">
        <f>+IF(Tabla44[[#This Row],[AGRUPACIONES]]=1,SUMIFS(Tabla44[UDS],Tabla44[ZONA DEFINITIVO],Tabla44[[#This Row],[ZONA DEFINITIVO]])," ")</f>
        <v xml:space="preserve"> </v>
      </c>
      <c r="Z343" s="22" t="str">
        <f>+IF(Tabla44[[#This Row],[AGRUPACIONES]]=1,SUMIFS(Tabla44[TOTAL COBERTURA],Tabla44[ZONA DEFINITIVO],Tabla44[[#This Row],[ZONA DEFINITIVO]])," ")</f>
        <v xml:space="preserve"> </v>
      </c>
      <c r="AA343" s="22"/>
      <c r="AB343" s="40">
        <v>37063281</v>
      </c>
      <c r="AC343" s="37">
        <v>0</v>
      </c>
      <c r="AD343" s="40">
        <f t="shared" si="6"/>
        <v>0</v>
      </c>
      <c r="AE343" s="22"/>
      <c r="AF343" s="12">
        <f>COUNTIF($A$20:A343,A343)</f>
        <v>23</v>
      </c>
      <c r="AG343" s="41">
        <v>37063281</v>
      </c>
      <c r="AH343" s="41">
        <f>Tabla44[[#This Row],[VALOR CONTRAPARTIDA]]+Tabla44[[#This Row],[TOTAL APORTES ICBF]]</f>
        <v>37063281</v>
      </c>
      <c r="AI343" s="40" t="str">
        <f>+IF(Tabla44[[#This Row],[AGRUPACIONES]]=1,SUMIFS(Tabla44[TOTAL APORTES ICBF],Tabla44[ZONA DEFINITIVO],Tabla44[[#This Row],[ZONA DEFINITIVO]])," ")</f>
        <v xml:space="preserve"> </v>
      </c>
      <c r="AJ343" s="41"/>
      <c r="AK343" s="41"/>
      <c r="AL343" s="40"/>
      <c r="AM343" s="40">
        <f>VLOOKUP(Tabla44[[#This Row],[SERVICIO 2025]],$J$2:$V$15,5,0)*Tabla44[[#This Row],[TOTAL COBERTURA]]</f>
        <v>839392</v>
      </c>
      <c r="AN343" s="40">
        <f>VLOOKUP(Tabla44[[#This Row],[SERVICIO 2025]],$J$2:$V$15,6,0)*Tabla44[[#This Row],[TOTAL COBERTURA]]</f>
        <v>697493</v>
      </c>
      <c r="AO343" s="40">
        <f>VLOOKUP(Tabla44[[#This Row],[SERVICIO 2025]],$J$2:$V$15,8,0)*Tabla44[[#This Row],[TOTAL COBERTURA]]</f>
        <v>494700</v>
      </c>
      <c r="AP343" s="40">
        <f>VLOOKUP(Tabla44[[#This Row],[SERVICIO 2025]],$J$2:$V$15,3,0)*Tabla44[[#This Row],[TOTAL COBERTURA]]*8</f>
        <v>35031696</v>
      </c>
      <c r="AQ343" s="40"/>
      <c r="AR343" s="40">
        <f>SUM(Tabla44[[#This Row],[VALOR FASE PREPARATORIA DE ALISTAMIENTO]:[VALOR RACION PREPARADA]])</f>
        <v>37063281</v>
      </c>
      <c r="AS343" s="40" t="str">
        <f>+IF(Tabla44[[#This Row],[AGRUPACIONES]]=1,SUMIFS(Tabla44[VALOR TOTAL],Tabla44[ZONA DEFINITIVO],Tabla44[[#This Row],[ZONA DEFINITIVO]])," ")</f>
        <v xml:space="preserve"> </v>
      </c>
      <c r="AT343" s="35">
        <f>VLOOKUP(Tabla44[[#This Row],[SERVICIO 2025]],$J$2:$V$15,10,0)*Tabla44[[#This Row],[TOTAL COBERTURA]]*$X$7</f>
        <v>24532088</v>
      </c>
      <c r="AU343" s="42">
        <f>Tabla44[[#This Row],[TOTAL CONTRATO (ICBF+EAS)]]+Tabla44[[#This Row],[VALOR COMPONENTE ALIMENTACION NO ASIGNADO]]</f>
        <v>61595369</v>
      </c>
      <c r="AV34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343" s="35">
        <f>(VLOOKUP(Tabla44[[#This Row],[SERVICIO 2025]],$J$2:$V$15,3,0)*Tabla44[[#This Row],[TOTAL COBERTURA]])+VLOOKUP(Tabla44[[#This Row],[SERVICIO 2025]],$J$2:$V$15,10,0)*Tabla44[[#This Row],[TOTAL COBERTURA]]</f>
        <v>7445473</v>
      </c>
      <c r="AX343" s="40">
        <f>(VLOOKUP(Tabla44[[#This Row],[SERVICIO 2025]],$J$2:$V$15,3,0)*Tabla44[[#This Row],[TOTAL COBERTURA]])+VLOOKUP(Tabla44[[#This Row],[SERVICIO 2025]],$J$2:$V$15,10,0)*Tabla44[[#This Row],[TOTAL COBERTURA]]</f>
        <v>7445473</v>
      </c>
      <c r="AY343" s="40">
        <f>(VLOOKUP(Tabla44[[#This Row],[SERVICIO 2025]],$J$2:$V$15,3,0)*Tabla44[[#This Row],[TOTAL COBERTURA]])+VLOOKUP(Tabla44[[#This Row],[SERVICIO 2025]],$J$2:$V$15,10,0)*Tabla44[[#This Row],[TOTAL COBERTURA]]</f>
        <v>7445473</v>
      </c>
      <c r="AZ343" s="40">
        <f>(VLOOKUP(Tabla44[[#This Row],[SERVICIO 2025]],$J$2:$V$15,3,0)*Tabla44[[#This Row],[TOTAL COBERTURA]])+VLOOKUP(Tabla44[[#This Row],[SERVICIO 2025]],$J$2:$V$15,10,0)*Tabla44[[#This Row],[TOTAL COBERTURA]]</f>
        <v>7445473</v>
      </c>
      <c r="BA343" s="40">
        <f>(VLOOKUP(Tabla44[[#This Row],[SERVICIO 2025]],$J$2:$V$15,3,0)*Tabla44[[#This Row],[TOTAL COBERTURA]])+VLOOKUP(Tabla44[[#This Row],[SERVICIO 2025]],$J$2:$V$15,10,0)*Tabla44[[#This Row],[TOTAL COBERTURA]]</f>
        <v>7445473</v>
      </c>
      <c r="BB343" s="40">
        <f>(VLOOKUP(Tabla44[[#This Row],[SERVICIO 2025]],$J$2:$V$15,3,0)*Tabla44[[#This Row],[TOTAL COBERTURA]])+VLOOKUP(Tabla44[[#This Row],[SERVICIO 2025]],$J$2:$V$15,10,0)*Tabla44[[#This Row],[TOTAL COBERTURA]]</f>
        <v>7445473</v>
      </c>
      <c r="BC343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343" s="40">
        <f>SUM(Tabla44[[#This Row],[DESEMBOLSO 1]:[DESEMBOLSO 8]])</f>
        <v>61595369</v>
      </c>
      <c r="BE343" s="22" t="b">
        <f>EXACT(Tabla44[[#This Row],[VALOR ATENCIÓN (8 MESES)]],Tabla44[[#This Row],[VALOR TOTAL]])</f>
        <v>1</v>
      </c>
      <c r="BF343" s="28">
        <f>Tabla44[[#This Row],[VALOR ATENCIÓN (8 MESES)]]-Tabla44[[#This Row],[VALOR TOTAL]]</f>
        <v>0</v>
      </c>
      <c r="BG343" s="22" t="b">
        <f>EXACT(Tabla44[[#This Row],[TOTAL DESEMBOLSOS]],Tabla44[[#This Row],[VALOR TOTAL DEL CONTRATO INCLUIDO EL COMPONENTE DE ALIMENTACIÓN]])</f>
        <v>1</v>
      </c>
      <c r="BH343" s="29">
        <f>Tabla44[[#This Row],[TOTAL DESEMBOLSOS]]-Tabla44[[#This Row],[VALOR TOTAL DEL CONTRATO INCLUIDO EL COMPONENTE DE ALIMENTACIÓN]]</f>
        <v>0</v>
      </c>
      <c r="BI343" t="s">
        <v>98</v>
      </c>
    </row>
    <row r="344" spans="1:61">
      <c r="A344" s="13">
        <v>1999</v>
      </c>
      <c r="B344" s="13"/>
      <c r="C344" s="12" t="s">
        <v>87</v>
      </c>
      <c r="D344" s="12" t="s">
        <v>673</v>
      </c>
      <c r="E344" s="12" t="s">
        <v>3430</v>
      </c>
      <c r="F344" s="12" t="s">
        <v>18</v>
      </c>
      <c r="G344" s="12" t="s">
        <v>90</v>
      </c>
      <c r="H344" s="12" t="s">
        <v>3473</v>
      </c>
      <c r="I344" s="36">
        <v>56701153100</v>
      </c>
      <c r="J344" s="12" t="s">
        <v>3474</v>
      </c>
      <c r="K344" s="12">
        <v>1</v>
      </c>
      <c r="L344" s="12">
        <v>15</v>
      </c>
      <c r="M344" s="12"/>
      <c r="N344" s="13">
        <v>1999</v>
      </c>
      <c r="O344" s="12" t="s">
        <v>2850</v>
      </c>
      <c r="P344" s="12"/>
      <c r="Q344" s="12"/>
      <c r="R344" s="12" t="s">
        <v>94</v>
      </c>
      <c r="S344" s="12">
        <v>10</v>
      </c>
      <c r="T344" s="12">
        <v>811008215</v>
      </c>
      <c r="U344" s="12" t="s">
        <v>3112</v>
      </c>
      <c r="V344" s="12">
        <f>VLOOKUP(Tabla44[[#This Row],[ZONA DEFINITIVO]],[1]Hoja1!$A$1:$D$125,3,0)</f>
        <v>229942</v>
      </c>
      <c r="W344" s="12">
        <f>VLOOKUP(Tabla44[[#This Row],[ZONA DEFINITIVO]],[1]Hoja1!$A$1:$D$125,2,0)</f>
        <v>17261</v>
      </c>
      <c r="X344" s="12">
        <f>VLOOKUP(Tabla44[[#This Row],[ZONA DEFINITIVO]],[1]Hoja1!$A$1:$D$125,4,0)</f>
        <v>104825</v>
      </c>
      <c r="Y344" s="12" t="str">
        <f>+IF(Tabla44[[#This Row],[AGRUPACIONES]]=1,SUMIFS(Tabla44[UDS],Tabla44[ZONA DEFINITIVO],Tabla44[[#This Row],[ZONA DEFINITIVO]])," ")</f>
        <v xml:space="preserve"> </v>
      </c>
      <c r="Z344" s="12" t="str">
        <f>+IF(Tabla44[[#This Row],[AGRUPACIONES]]=1,SUMIFS(Tabla44[TOTAL COBERTURA],Tabla44[ZONA DEFINITIVO],Tabla44[[#This Row],[ZONA DEFINITIVO]])," ")</f>
        <v xml:space="preserve"> </v>
      </c>
      <c r="AA344" s="12"/>
      <c r="AB344" s="35">
        <v>32702895</v>
      </c>
      <c r="AC344" s="37">
        <v>0</v>
      </c>
      <c r="AD344" s="35">
        <f t="shared" si="6"/>
        <v>0</v>
      </c>
      <c r="AE344" s="12"/>
      <c r="AF344" s="12">
        <f>COUNTIF($A$20:A344,A344)</f>
        <v>24</v>
      </c>
      <c r="AG344" s="38">
        <v>32702895</v>
      </c>
      <c r="AH344" s="38">
        <f>Tabla44[[#This Row],[VALOR CONTRAPARTIDA]]+Tabla44[[#This Row],[TOTAL APORTES ICBF]]</f>
        <v>32702895</v>
      </c>
      <c r="AI344" s="35" t="str">
        <f>+IF(Tabla44[[#This Row],[AGRUPACIONES]]=1,SUMIFS(Tabla44[TOTAL APORTES ICBF],Tabla44[ZONA DEFINITIVO],Tabla44[[#This Row],[ZONA DEFINITIVO]])," ")</f>
        <v xml:space="preserve"> </v>
      </c>
      <c r="AJ344" s="38"/>
      <c r="AK344" s="38"/>
      <c r="AL344" s="35"/>
      <c r="AM344" s="35">
        <f>VLOOKUP(Tabla44[[#This Row],[SERVICIO 2025]],$J$2:$V$15,5,0)*Tabla44[[#This Row],[TOTAL COBERTURA]]</f>
        <v>740640</v>
      </c>
      <c r="AN344" s="35">
        <f>VLOOKUP(Tabla44[[#This Row],[SERVICIO 2025]],$J$2:$V$15,6,0)*Tabla44[[#This Row],[TOTAL COBERTURA]]</f>
        <v>615435</v>
      </c>
      <c r="AO344" s="35">
        <f>VLOOKUP(Tabla44[[#This Row],[SERVICIO 2025]],$J$2:$V$15,8,0)*Tabla44[[#This Row],[TOTAL COBERTURA]]</f>
        <v>436500</v>
      </c>
      <c r="AP344" s="35">
        <f>VLOOKUP(Tabla44[[#This Row],[SERVICIO 2025]],$J$2:$V$15,3,0)*Tabla44[[#This Row],[TOTAL COBERTURA]]*8</f>
        <v>30910320</v>
      </c>
      <c r="AQ344" s="35"/>
      <c r="AR344" s="35">
        <f>SUM(Tabla44[[#This Row],[VALOR FASE PREPARATORIA DE ALISTAMIENTO]:[VALOR RACION PREPARADA]])</f>
        <v>32702895</v>
      </c>
      <c r="AS344" s="35" t="str">
        <f>+IF(Tabla44[[#This Row],[AGRUPACIONES]]=1,SUMIFS(Tabla44[VALOR TOTAL],Tabla44[ZONA DEFINITIVO],Tabla44[[#This Row],[ZONA DEFINITIVO]])," ")</f>
        <v xml:space="preserve"> </v>
      </c>
      <c r="AT344" s="35">
        <f>VLOOKUP(Tabla44[[#This Row],[SERVICIO 2025]],$J$2:$V$15,10,0)*Tabla44[[#This Row],[TOTAL COBERTURA]]*$X$7</f>
        <v>21645960</v>
      </c>
      <c r="AU344" s="39">
        <f>Tabla44[[#This Row],[TOTAL CONTRATO (ICBF+EAS)]]+Tabla44[[#This Row],[VALOR COMPONENTE ALIMENTACION NO ASIGNADO]]</f>
        <v>54348855</v>
      </c>
      <c r="AV34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344" s="35">
        <f>(VLOOKUP(Tabla44[[#This Row],[SERVICIO 2025]],$J$2:$V$15,3,0)*Tabla44[[#This Row],[TOTAL COBERTURA]])+VLOOKUP(Tabla44[[#This Row],[SERVICIO 2025]],$J$2:$V$15,10,0)*Tabla44[[#This Row],[TOTAL COBERTURA]]</f>
        <v>6569535</v>
      </c>
      <c r="AX344" s="35">
        <f>(VLOOKUP(Tabla44[[#This Row],[SERVICIO 2025]],$J$2:$V$15,3,0)*Tabla44[[#This Row],[TOTAL COBERTURA]])+VLOOKUP(Tabla44[[#This Row],[SERVICIO 2025]],$J$2:$V$15,10,0)*Tabla44[[#This Row],[TOTAL COBERTURA]]</f>
        <v>6569535</v>
      </c>
      <c r="AY344" s="35">
        <f>(VLOOKUP(Tabla44[[#This Row],[SERVICIO 2025]],$J$2:$V$15,3,0)*Tabla44[[#This Row],[TOTAL COBERTURA]])+VLOOKUP(Tabla44[[#This Row],[SERVICIO 2025]],$J$2:$V$15,10,0)*Tabla44[[#This Row],[TOTAL COBERTURA]]</f>
        <v>6569535</v>
      </c>
      <c r="AZ344" s="35">
        <f>(VLOOKUP(Tabla44[[#This Row],[SERVICIO 2025]],$J$2:$V$15,3,0)*Tabla44[[#This Row],[TOTAL COBERTURA]])+VLOOKUP(Tabla44[[#This Row],[SERVICIO 2025]],$J$2:$V$15,10,0)*Tabla44[[#This Row],[TOTAL COBERTURA]]</f>
        <v>6569535</v>
      </c>
      <c r="BA344" s="35">
        <f>(VLOOKUP(Tabla44[[#This Row],[SERVICIO 2025]],$J$2:$V$15,3,0)*Tabla44[[#This Row],[TOTAL COBERTURA]])+VLOOKUP(Tabla44[[#This Row],[SERVICIO 2025]],$J$2:$V$15,10,0)*Tabla44[[#This Row],[TOTAL COBERTURA]]</f>
        <v>6569535</v>
      </c>
      <c r="BB344" s="35">
        <f>(VLOOKUP(Tabla44[[#This Row],[SERVICIO 2025]],$J$2:$V$15,3,0)*Tabla44[[#This Row],[TOTAL COBERTURA]])+VLOOKUP(Tabla44[[#This Row],[SERVICIO 2025]],$J$2:$V$15,10,0)*Tabla44[[#This Row],[TOTAL COBERTURA]]</f>
        <v>6569535</v>
      </c>
      <c r="BC34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344" s="35">
        <f>SUM(Tabla44[[#This Row],[DESEMBOLSO 1]:[DESEMBOLSO 8]])</f>
        <v>54348855</v>
      </c>
      <c r="BE344" s="12" t="b">
        <f>EXACT(Tabla44[[#This Row],[VALOR ATENCIÓN (8 MESES)]],Tabla44[[#This Row],[VALOR TOTAL]])</f>
        <v>1</v>
      </c>
      <c r="BF344" s="23">
        <f>Tabla44[[#This Row],[VALOR ATENCIÓN (8 MESES)]]-Tabla44[[#This Row],[VALOR TOTAL]]</f>
        <v>0</v>
      </c>
      <c r="BG344" s="12" t="b">
        <f>EXACT(Tabla44[[#This Row],[TOTAL DESEMBOLSOS]],Tabla44[[#This Row],[VALOR TOTAL DEL CONTRATO INCLUIDO EL COMPONENTE DE ALIMENTACIÓN]])</f>
        <v>1</v>
      </c>
      <c r="BH344" s="29">
        <f>Tabla44[[#This Row],[TOTAL DESEMBOLSOS]]-Tabla44[[#This Row],[VALOR TOTAL DEL CONTRATO INCLUIDO EL COMPONENTE DE ALIMENTACIÓN]]</f>
        <v>0</v>
      </c>
      <c r="BI344" t="s">
        <v>98</v>
      </c>
    </row>
    <row r="345" spans="1:61">
      <c r="A345" s="13">
        <v>1999</v>
      </c>
      <c r="B345" s="13"/>
      <c r="C345" s="12" t="s">
        <v>87</v>
      </c>
      <c r="D345" s="12" t="s">
        <v>673</v>
      </c>
      <c r="E345" s="12" t="s">
        <v>3430</v>
      </c>
      <c r="F345" s="12" t="s">
        <v>18</v>
      </c>
      <c r="G345" s="12" t="s">
        <v>90</v>
      </c>
      <c r="H345" s="12" t="s">
        <v>3475</v>
      </c>
      <c r="I345" s="36">
        <v>56701153101</v>
      </c>
      <c r="J345" s="12" t="s">
        <v>3476</v>
      </c>
      <c r="K345" s="12">
        <v>1</v>
      </c>
      <c r="L345" s="12">
        <v>17</v>
      </c>
      <c r="M345" s="12"/>
      <c r="N345" s="13">
        <v>1999</v>
      </c>
      <c r="O345" s="12" t="s">
        <v>2850</v>
      </c>
      <c r="P345" s="12"/>
      <c r="Q345" s="12"/>
      <c r="R345" s="12" t="s">
        <v>94</v>
      </c>
      <c r="S345" s="12">
        <v>10</v>
      </c>
      <c r="T345" s="12">
        <v>811008215</v>
      </c>
      <c r="U345" s="12" t="s">
        <v>3112</v>
      </c>
      <c r="V345" s="12">
        <f>VLOOKUP(Tabla44[[#This Row],[ZONA DEFINITIVO]],[1]Hoja1!$A$1:$D$125,3,0)</f>
        <v>229942</v>
      </c>
      <c r="W345" s="12">
        <f>VLOOKUP(Tabla44[[#This Row],[ZONA DEFINITIVO]],[1]Hoja1!$A$1:$D$125,2,0)</f>
        <v>17261</v>
      </c>
      <c r="X345" s="12">
        <f>VLOOKUP(Tabla44[[#This Row],[ZONA DEFINITIVO]],[1]Hoja1!$A$1:$D$125,4,0)</f>
        <v>104825</v>
      </c>
      <c r="Y345" s="12" t="str">
        <f>+IF(Tabla44[[#This Row],[AGRUPACIONES]]=1,SUMIFS(Tabla44[UDS],Tabla44[ZONA DEFINITIVO],Tabla44[[#This Row],[ZONA DEFINITIVO]])," ")</f>
        <v xml:space="preserve"> </v>
      </c>
      <c r="Z345" s="12" t="str">
        <f>+IF(Tabla44[[#This Row],[AGRUPACIONES]]=1,SUMIFS(Tabla44[TOTAL COBERTURA],Tabla44[ZONA DEFINITIVO],Tabla44[[#This Row],[ZONA DEFINITIVO]])," ")</f>
        <v xml:space="preserve"> </v>
      </c>
      <c r="AA345" s="12"/>
      <c r="AB345" s="35">
        <v>37063281</v>
      </c>
      <c r="AC345" s="37">
        <v>0</v>
      </c>
      <c r="AD345" s="35">
        <f t="shared" si="6"/>
        <v>0</v>
      </c>
      <c r="AE345" s="12"/>
      <c r="AF345" s="12">
        <f>COUNTIF($A$20:A345,A345)</f>
        <v>25</v>
      </c>
      <c r="AG345" s="38">
        <v>37063281</v>
      </c>
      <c r="AH345" s="38">
        <f>Tabla44[[#This Row],[VALOR CONTRAPARTIDA]]+Tabla44[[#This Row],[TOTAL APORTES ICBF]]</f>
        <v>37063281</v>
      </c>
      <c r="AI345" s="35" t="str">
        <f>+IF(Tabla44[[#This Row],[AGRUPACIONES]]=1,SUMIFS(Tabla44[TOTAL APORTES ICBF],Tabla44[ZONA DEFINITIVO],Tabla44[[#This Row],[ZONA DEFINITIVO]])," ")</f>
        <v xml:space="preserve"> </v>
      </c>
      <c r="AJ345" s="38"/>
      <c r="AK345" s="38"/>
      <c r="AL345" s="35"/>
      <c r="AM345" s="35">
        <f>VLOOKUP(Tabla44[[#This Row],[SERVICIO 2025]],$J$2:$V$15,5,0)*Tabla44[[#This Row],[TOTAL COBERTURA]]</f>
        <v>839392</v>
      </c>
      <c r="AN345" s="35">
        <f>VLOOKUP(Tabla44[[#This Row],[SERVICIO 2025]],$J$2:$V$15,6,0)*Tabla44[[#This Row],[TOTAL COBERTURA]]</f>
        <v>697493</v>
      </c>
      <c r="AO345" s="35">
        <f>VLOOKUP(Tabla44[[#This Row],[SERVICIO 2025]],$J$2:$V$15,8,0)*Tabla44[[#This Row],[TOTAL COBERTURA]]</f>
        <v>494700</v>
      </c>
      <c r="AP345" s="35">
        <f>VLOOKUP(Tabla44[[#This Row],[SERVICIO 2025]],$J$2:$V$15,3,0)*Tabla44[[#This Row],[TOTAL COBERTURA]]*8</f>
        <v>35031696</v>
      </c>
      <c r="AQ345" s="35"/>
      <c r="AR345" s="35">
        <f>SUM(Tabla44[[#This Row],[VALOR FASE PREPARATORIA DE ALISTAMIENTO]:[VALOR RACION PREPARADA]])</f>
        <v>37063281</v>
      </c>
      <c r="AS345" s="35" t="str">
        <f>+IF(Tabla44[[#This Row],[AGRUPACIONES]]=1,SUMIFS(Tabla44[VALOR TOTAL],Tabla44[ZONA DEFINITIVO],Tabla44[[#This Row],[ZONA DEFINITIVO]])," ")</f>
        <v xml:space="preserve"> </v>
      </c>
      <c r="AT345" s="35">
        <f>VLOOKUP(Tabla44[[#This Row],[SERVICIO 2025]],$J$2:$V$15,10,0)*Tabla44[[#This Row],[TOTAL COBERTURA]]*$X$7</f>
        <v>24532088</v>
      </c>
      <c r="AU345" s="39">
        <f>Tabla44[[#This Row],[TOTAL CONTRATO (ICBF+EAS)]]+Tabla44[[#This Row],[VALOR COMPONENTE ALIMENTACION NO ASIGNADO]]</f>
        <v>61595369</v>
      </c>
      <c r="AV34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345" s="35">
        <f>(VLOOKUP(Tabla44[[#This Row],[SERVICIO 2025]],$J$2:$V$15,3,0)*Tabla44[[#This Row],[TOTAL COBERTURA]])+VLOOKUP(Tabla44[[#This Row],[SERVICIO 2025]],$J$2:$V$15,10,0)*Tabla44[[#This Row],[TOTAL COBERTURA]]</f>
        <v>7445473</v>
      </c>
      <c r="AX345" s="35">
        <f>(VLOOKUP(Tabla44[[#This Row],[SERVICIO 2025]],$J$2:$V$15,3,0)*Tabla44[[#This Row],[TOTAL COBERTURA]])+VLOOKUP(Tabla44[[#This Row],[SERVICIO 2025]],$J$2:$V$15,10,0)*Tabla44[[#This Row],[TOTAL COBERTURA]]</f>
        <v>7445473</v>
      </c>
      <c r="AY345" s="35">
        <f>(VLOOKUP(Tabla44[[#This Row],[SERVICIO 2025]],$J$2:$V$15,3,0)*Tabla44[[#This Row],[TOTAL COBERTURA]])+VLOOKUP(Tabla44[[#This Row],[SERVICIO 2025]],$J$2:$V$15,10,0)*Tabla44[[#This Row],[TOTAL COBERTURA]]</f>
        <v>7445473</v>
      </c>
      <c r="AZ345" s="35">
        <f>(VLOOKUP(Tabla44[[#This Row],[SERVICIO 2025]],$J$2:$V$15,3,0)*Tabla44[[#This Row],[TOTAL COBERTURA]])+VLOOKUP(Tabla44[[#This Row],[SERVICIO 2025]],$J$2:$V$15,10,0)*Tabla44[[#This Row],[TOTAL COBERTURA]]</f>
        <v>7445473</v>
      </c>
      <c r="BA345" s="35">
        <f>(VLOOKUP(Tabla44[[#This Row],[SERVICIO 2025]],$J$2:$V$15,3,0)*Tabla44[[#This Row],[TOTAL COBERTURA]])+VLOOKUP(Tabla44[[#This Row],[SERVICIO 2025]],$J$2:$V$15,10,0)*Tabla44[[#This Row],[TOTAL COBERTURA]]</f>
        <v>7445473</v>
      </c>
      <c r="BB345" s="35">
        <f>(VLOOKUP(Tabla44[[#This Row],[SERVICIO 2025]],$J$2:$V$15,3,0)*Tabla44[[#This Row],[TOTAL COBERTURA]])+VLOOKUP(Tabla44[[#This Row],[SERVICIO 2025]],$J$2:$V$15,10,0)*Tabla44[[#This Row],[TOTAL COBERTURA]]</f>
        <v>7445473</v>
      </c>
      <c r="BC34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345" s="35">
        <f>SUM(Tabla44[[#This Row],[DESEMBOLSO 1]:[DESEMBOLSO 8]])</f>
        <v>61595369</v>
      </c>
      <c r="BE345" s="12" t="b">
        <f>EXACT(Tabla44[[#This Row],[VALOR ATENCIÓN (8 MESES)]],Tabla44[[#This Row],[VALOR TOTAL]])</f>
        <v>1</v>
      </c>
      <c r="BF345" s="23">
        <f>Tabla44[[#This Row],[VALOR ATENCIÓN (8 MESES)]]-Tabla44[[#This Row],[VALOR TOTAL]]</f>
        <v>0</v>
      </c>
      <c r="BG345" s="12" t="b">
        <f>EXACT(Tabla44[[#This Row],[TOTAL DESEMBOLSOS]],Tabla44[[#This Row],[VALOR TOTAL DEL CONTRATO INCLUIDO EL COMPONENTE DE ALIMENTACIÓN]])</f>
        <v>1</v>
      </c>
      <c r="BH345" s="29">
        <f>Tabla44[[#This Row],[TOTAL DESEMBOLSOS]]-Tabla44[[#This Row],[VALOR TOTAL DEL CONTRATO INCLUIDO EL COMPONENTE DE ALIMENTACIÓN]]</f>
        <v>0</v>
      </c>
      <c r="BI345" t="s">
        <v>98</v>
      </c>
    </row>
    <row r="346" spans="1:61">
      <c r="A346" s="13">
        <v>1999</v>
      </c>
      <c r="B346" s="13"/>
      <c r="C346" s="12" t="s">
        <v>87</v>
      </c>
      <c r="D346" s="12" t="s">
        <v>673</v>
      </c>
      <c r="E346" s="12" t="s">
        <v>3430</v>
      </c>
      <c r="F346" s="12" t="s">
        <v>14</v>
      </c>
      <c r="G346" s="12" t="s">
        <v>90</v>
      </c>
      <c r="H346" s="12" t="s">
        <v>3477</v>
      </c>
      <c r="I346" s="36">
        <v>567000054610</v>
      </c>
      <c r="J346" s="12" t="s">
        <v>850</v>
      </c>
      <c r="K346" s="12">
        <v>1</v>
      </c>
      <c r="L346" s="12">
        <v>100</v>
      </c>
      <c r="M346" s="12"/>
      <c r="N346" s="13">
        <v>1999</v>
      </c>
      <c r="O346" s="12" t="s">
        <v>2850</v>
      </c>
      <c r="P346" s="12"/>
      <c r="Q346" s="12"/>
      <c r="R346" s="12" t="s">
        <v>94</v>
      </c>
      <c r="S346" s="12">
        <v>10</v>
      </c>
      <c r="T346" s="12">
        <v>811008215</v>
      </c>
      <c r="U346" s="12" t="s">
        <v>3112</v>
      </c>
      <c r="V346" s="12">
        <f>VLOOKUP(Tabla44[[#This Row],[ZONA DEFINITIVO]],[1]Hoja1!$A$1:$D$125,3,0)</f>
        <v>229942</v>
      </c>
      <c r="W346" s="12">
        <f>VLOOKUP(Tabla44[[#This Row],[ZONA DEFINITIVO]],[1]Hoja1!$A$1:$D$125,2,0)</f>
        <v>17261</v>
      </c>
      <c r="X346" s="12">
        <f>VLOOKUP(Tabla44[[#This Row],[ZONA DEFINITIVO]],[1]Hoja1!$A$1:$D$125,4,0)</f>
        <v>104825</v>
      </c>
      <c r="Y346" s="12" t="str">
        <f>+IF(Tabla44[[#This Row],[AGRUPACIONES]]=1,SUMIFS(Tabla44[UDS],Tabla44[ZONA DEFINITIVO],Tabla44[[#This Row],[ZONA DEFINITIVO]])," ")</f>
        <v xml:space="preserve"> </v>
      </c>
      <c r="Z346" s="12" t="str">
        <f>+IF(Tabla44[[#This Row],[AGRUPACIONES]]=1,SUMIFS(Tabla44[TOTAL COBERTURA],Tabla44[ZONA DEFINITIVO],Tabla44[[#This Row],[ZONA DEFINITIVO]])," ")</f>
        <v xml:space="preserve"> </v>
      </c>
      <c r="AA346" s="12"/>
      <c r="AB346" s="35">
        <v>418885000</v>
      </c>
      <c r="AC346" s="37">
        <v>0</v>
      </c>
      <c r="AD346" s="35">
        <f t="shared" si="6"/>
        <v>0</v>
      </c>
      <c r="AE346" s="12"/>
      <c r="AF346" s="12">
        <f>COUNTIF($A$20:A346,A346)</f>
        <v>26</v>
      </c>
      <c r="AG346" s="38">
        <v>418885000</v>
      </c>
      <c r="AH346" s="38">
        <f>Tabla44[[#This Row],[VALOR CONTRAPARTIDA]]+Tabla44[[#This Row],[TOTAL APORTES ICBF]]</f>
        <v>418885000</v>
      </c>
      <c r="AI346" s="35" t="str">
        <f>+IF(Tabla44[[#This Row],[AGRUPACIONES]]=1,SUMIFS(Tabla44[TOTAL APORTES ICBF],Tabla44[ZONA DEFINITIVO],Tabla44[[#This Row],[ZONA DEFINITIVO]])," ")</f>
        <v xml:space="preserve"> </v>
      </c>
      <c r="AJ346" s="38"/>
      <c r="AK346" s="38"/>
      <c r="AL346" s="35"/>
      <c r="AM346" s="35">
        <f>VLOOKUP(Tabla44[[#This Row],[SERVICIO 2025]],$J$2:$V$15,5,0)*Tabla44[[#This Row],[TOTAL COBERTURA]]</f>
        <v>8814300</v>
      </c>
      <c r="AN346" s="35">
        <f>VLOOKUP(Tabla44[[#This Row],[SERVICIO 2025]],$J$2:$V$15,6,0)*Tabla44[[#This Row],[TOTAL COBERTURA]]</f>
        <v>7504300</v>
      </c>
      <c r="AO346" s="35">
        <f>VLOOKUP(Tabla44[[#This Row],[SERVICIO 2025]],$J$2:$V$15,8,0)*Tabla44[[#This Row],[TOTAL COBERTURA]]</f>
        <v>0</v>
      </c>
      <c r="AP346" s="35">
        <f>VLOOKUP(Tabla44[[#This Row],[SERVICIO 2025]],$J$2:$V$15,3,0)*Tabla44[[#This Row],[TOTAL COBERTURA]]*8</f>
        <v>402566400</v>
      </c>
      <c r="AQ346" s="35"/>
      <c r="AR346" s="35">
        <f>SUM(Tabla44[[#This Row],[VALOR FASE PREPARATORIA DE ALISTAMIENTO]:[VALOR RACION PREPARADA]])</f>
        <v>418885000</v>
      </c>
      <c r="AS346" s="35" t="str">
        <f>+IF(Tabla44[[#This Row],[AGRUPACIONES]]=1,SUMIFS(Tabla44[VALOR TOTAL],Tabla44[ZONA DEFINITIVO],Tabla44[[#This Row],[ZONA DEFINITIVO]])," ")</f>
        <v xml:space="preserve"> </v>
      </c>
      <c r="AT346" s="35">
        <f>VLOOKUP(Tabla44[[#This Row],[SERVICIO 2025]],$J$2:$V$15,10,0)*Tabla44[[#This Row],[TOTAL COBERTURA]]*$X$7</f>
        <v>0</v>
      </c>
      <c r="AU346" s="39">
        <f>Tabla44[[#This Row],[TOTAL CONTRATO (ICBF+EAS)]]+Tabla44[[#This Row],[VALOR COMPONENTE ALIMENTACION NO ASIGNADO]]</f>
        <v>418885000</v>
      </c>
      <c r="AV34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59135100</v>
      </c>
      <c r="AW346" s="35">
        <f>(VLOOKUP(Tabla44[[#This Row],[SERVICIO 2025]],$J$2:$V$15,3,0)*Tabla44[[#This Row],[TOTAL COBERTURA]])+VLOOKUP(Tabla44[[#This Row],[SERVICIO 2025]],$J$2:$V$15,10,0)*Tabla44[[#This Row],[TOTAL COBERTURA]]</f>
        <v>50320800</v>
      </c>
      <c r="AX346" s="35">
        <f>(VLOOKUP(Tabla44[[#This Row],[SERVICIO 2025]],$J$2:$V$15,3,0)*Tabla44[[#This Row],[TOTAL COBERTURA]])+VLOOKUP(Tabla44[[#This Row],[SERVICIO 2025]],$J$2:$V$15,10,0)*Tabla44[[#This Row],[TOTAL COBERTURA]]</f>
        <v>50320800</v>
      </c>
      <c r="AY346" s="35">
        <f>(VLOOKUP(Tabla44[[#This Row],[SERVICIO 2025]],$J$2:$V$15,3,0)*Tabla44[[#This Row],[TOTAL COBERTURA]])+VLOOKUP(Tabla44[[#This Row],[SERVICIO 2025]],$J$2:$V$15,10,0)*Tabla44[[#This Row],[TOTAL COBERTURA]]</f>
        <v>50320800</v>
      </c>
      <c r="AZ346" s="35">
        <f>(VLOOKUP(Tabla44[[#This Row],[SERVICIO 2025]],$J$2:$V$15,3,0)*Tabla44[[#This Row],[TOTAL COBERTURA]])+VLOOKUP(Tabla44[[#This Row],[SERVICIO 2025]],$J$2:$V$15,10,0)*Tabla44[[#This Row],[TOTAL COBERTURA]]</f>
        <v>50320800</v>
      </c>
      <c r="BA346" s="35">
        <f>(VLOOKUP(Tabla44[[#This Row],[SERVICIO 2025]],$J$2:$V$15,3,0)*Tabla44[[#This Row],[TOTAL COBERTURA]])+VLOOKUP(Tabla44[[#This Row],[SERVICIO 2025]],$J$2:$V$15,10,0)*Tabla44[[#This Row],[TOTAL COBERTURA]]</f>
        <v>50320800</v>
      </c>
      <c r="BB346" s="35">
        <f>(VLOOKUP(Tabla44[[#This Row],[SERVICIO 2025]],$J$2:$V$15,3,0)*Tabla44[[#This Row],[TOTAL COBERTURA]])+VLOOKUP(Tabla44[[#This Row],[SERVICIO 2025]],$J$2:$V$15,10,0)*Tabla44[[#This Row],[TOTAL COBERTURA]]</f>
        <v>50320800</v>
      </c>
      <c r="BC34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57825100</v>
      </c>
      <c r="BD346" s="35">
        <f>SUM(Tabla44[[#This Row],[DESEMBOLSO 1]:[DESEMBOLSO 8]])</f>
        <v>418885000</v>
      </c>
      <c r="BE346" s="12" t="b">
        <f>EXACT(Tabla44[[#This Row],[VALOR ATENCIÓN (8 MESES)]],Tabla44[[#This Row],[VALOR TOTAL]])</f>
        <v>1</v>
      </c>
      <c r="BF346" s="23">
        <f>Tabla44[[#This Row],[VALOR ATENCIÓN (8 MESES)]]-Tabla44[[#This Row],[VALOR TOTAL]]</f>
        <v>0</v>
      </c>
      <c r="BG346" s="12" t="b">
        <f>EXACT(Tabla44[[#This Row],[TOTAL DESEMBOLSOS]],Tabla44[[#This Row],[VALOR TOTAL DEL CONTRATO INCLUIDO EL COMPONENTE DE ALIMENTACIÓN]])</f>
        <v>1</v>
      </c>
      <c r="BH346" s="29">
        <f>Tabla44[[#This Row],[TOTAL DESEMBOLSOS]]-Tabla44[[#This Row],[VALOR TOTAL DEL CONTRATO INCLUIDO EL COMPONENTE DE ALIMENTACIÓN]]</f>
        <v>0</v>
      </c>
      <c r="BI346" t="s">
        <v>98</v>
      </c>
    </row>
    <row r="347" spans="1:61">
      <c r="A347" s="13">
        <v>1999</v>
      </c>
      <c r="B347" s="13"/>
      <c r="C347" s="12" t="s">
        <v>87</v>
      </c>
      <c r="D347" s="12" t="s">
        <v>673</v>
      </c>
      <c r="E347" s="12" t="s">
        <v>3430</v>
      </c>
      <c r="F347" s="12" t="s">
        <v>14</v>
      </c>
      <c r="G347" s="12" t="s">
        <v>90</v>
      </c>
      <c r="H347" s="12" t="s">
        <v>3478</v>
      </c>
      <c r="I347" s="36">
        <v>567000110898</v>
      </c>
      <c r="J347" s="12" t="s">
        <v>3479</v>
      </c>
      <c r="K347" s="12">
        <v>1</v>
      </c>
      <c r="L347" s="12">
        <v>30</v>
      </c>
      <c r="M347" s="12"/>
      <c r="N347" s="13">
        <v>1999</v>
      </c>
      <c r="O347" s="12" t="s">
        <v>2850</v>
      </c>
      <c r="P347" s="12"/>
      <c r="Q347" s="12"/>
      <c r="R347" s="12" t="s">
        <v>94</v>
      </c>
      <c r="S347" s="12">
        <v>10</v>
      </c>
      <c r="T347" s="12">
        <v>811008215</v>
      </c>
      <c r="U347" s="12" t="s">
        <v>3112</v>
      </c>
      <c r="V347" s="12">
        <f>VLOOKUP(Tabla44[[#This Row],[ZONA DEFINITIVO]],[1]Hoja1!$A$1:$D$125,3,0)</f>
        <v>229942</v>
      </c>
      <c r="W347" s="12">
        <f>VLOOKUP(Tabla44[[#This Row],[ZONA DEFINITIVO]],[1]Hoja1!$A$1:$D$125,2,0)</f>
        <v>17261</v>
      </c>
      <c r="X347" s="12">
        <f>VLOOKUP(Tabla44[[#This Row],[ZONA DEFINITIVO]],[1]Hoja1!$A$1:$D$125,4,0)</f>
        <v>104825</v>
      </c>
      <c r="Y347" s="12" t="str">
        <f>+IF(Tabla44[[#This Row],[AGRUPACIONES]]=1,SUMIFS(Tabla44[UDS],Tabla44[ZONA DEFINITIVO],Tabla44[[#This Row],[ZONA DEFINITIVO]])," ")</f>
        <v xml:space="preserve"> </v>
      </c>
      <c r="Z347" s="12" t="str">
        <f>+IF(Tabla44[[#This Row],[AGRUPACIONES]]=1,SUMIFS(Tabla44[TOTAL COBERTURA],Tabla44[ZONA DEFINITIVO],Tabla44[[#This Row],[ZONA DEFINITIVO]])," ")</f>
        <v xml:space="preserve"> </v>
      </c>
      <c r="AA347" s="12"/>
      <c r="AB347" s="35">
        <v>125665500</v>
      </c>
      <c r="AC347" s="37">
        <v>0</v>
      </c>
      <c r="AD347" s="35">
        <f t="shared" si="6"/>
        <v>0</v>
      </c>
      <c r="AE347" s="12"/>
      <c r="AF347" s="12">
        <f>COUNTIF($A$20:A347,A347)</f>
        <v>27</v>
      </c>
      <c r="AG347" s="38">
        <v>125665500</v>
      </c>
      <c r="AH347" s="38">
        <f>Tabla44[[#This Row],[VALOR CONTRAPARTIDA]]+Tabla44[[#This Row],[TOTAL APORTES ICBF]]</f>
        <v>125665500</v>
      </c>
      <c r="AI347" s="35" t="str">
        <f>+IF(Tabla44[[#This Row],[AGRUPACIONES]]=1,SUMIFS(Tabla44[TOTAL APORTES ICBF],Tabla44[ZONA DEFINITIVO],Tabla44[[#This Row],[ZONA DEFINITIVO]])," ")</f>
        <v xml:space="preserve"> </v>
      </c>
      <c r="AJ347" s="38"/>
      <c r="AK347" s="38"/>
      <c r="AL347" s="35"/>
      <c r="AM347" s="35">
        <f>VLOOKUP(Tabla44[[#This Row],[SERVICIO 2025]],$J$2:$V$15,5,0)*Tabla44[[#This Row],[TOTAL COBERTURA]]</f>
        <v>2644290</v>
      </c>
      <c r="AN347" s="35">
        <f>VLOOKUP(Tabla44[[#This Row],[SERVICIO 2025]],$J$2:$V$15,6,0)*Tabla44[[#This Row],[TOTAL COBERTURA]]</f>
        <v>2251290</v>
      </c>
      <c r="AO347" s="35">
        <f>VLOOKUP(Tabla44[[#This Row],[SERVICIO 2025]],$J$2:$V$15,8,0)*Tabla44[[#This Row],[TOTAL COBERTURA]]</f>
        <v>0</v>
      </c>
      <c r="AP347" s="35">
        <f>VLOOKUP(Tabla44[[#This Row],[SERVICIO 2025]],$J$2:$V$15,3,0)*Tabla44[[#This Row],[TOTAL COBERTURA]]*8</f>
        <v>120769920</v>
      </c>
      <c r="AQ347" s="35"/>
      <c r="AR347" s="35">
        <f>SUM(Tabla44[[#This Row],[VALOR FASE PREPARATORIA DE ALISTAMIENTO]:[VALOR RACION PREPARADA]])</f>
        <v>125665500</v>
      </c>
      <c r="AS347" s="35" t="str">
        <f>+IF(Tabla44[[#This Row],[AGRUPACIONES]]=1,SUMIFS(Tabla44[VALOR TOTAL],Tabla44[ZONA DEFINITIVO],Tabla44[[#This Row],[ZONA DEFINITIVO]])," ")</f>
        <v xml:space="preserve"> </v>
      </c>
      <c r="AT347" s="35">
        <f>VLOOKUP(Tabla44[[#This Row],[SERVICIO 2025]],$J$2:$V$15,10,0)*Tabla44[[#This Row],[TOTAL COBERTURA]]*$X$7</f>
        <v>0</v>
      </c>
      <c r="AU347" s="39">
        <f>Tabla44[[#This Row],[TOTAL CONTRATO (ICBF+EAS)]]+Tabla44[[#This Row],[VALOR COMPONENTE ALIMENTACION NO ASIGNADO]]</f>
        <v>125665500</v>
      </c>
      <c r="AV34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17740530</v>
      </c>
      <c r="AW347" s="35">
        <f>(VLOOKUP(Tabla44[[#This Row],[SERVICIO 2025]],$J$2:$V$15,3,0)*Tabla44[[#This Row],[TOTAL COBERTURA]])+VLOOKUP(Tabla44[[#This Row],[SERVICIO 2025]],$J$2:$V$15,10,0)*Tabla44[[#This Row],[TOTAL COBERTURA]]</f>
        <v>15096240</v>
      </c>
      <c r="AX347" s="35">
        <f>(VLOOKUP(Tabla44[[#This Row],[SERVICIO 2025]],$J$2:$V$15,3,0)*Tabla44[[#This Row],[TOTAL COBERTURA]])+VLOOKUP(Tabla44[[#This Row],[SERVICIO 2025]],$J$2:$V$15,10,0)*Tabla44[[#This Row],[TOTAL COBERTURA]]</f>
        <v>15096240</v>
      </c>
      <c r="AY347" s="35">
        <f>(VLOOKUP(Tabla44[[#This Row],[SERVICIO 2025]],$J$2:$V$15,3,0)*Tabla44[[#This Row],[TOTAL COBERTURA]])+VLOOKUP(Tabla44[[#This Row],[SERVICIO 2025]],$J$2:$V$15,10,0)*Tabla44[[#This Row],[TOTAL COBERTURA]]</f>
        <v>15096240</v>
      </c>
      <c r="AZ347" s="35">
        <f>(VLOOKUP(Tabla44[[#This Row],[SERVICIO 2025]],$J$2:$V$15,3,0)*Tabla44[[#This Row],[TOTAL COBERTURA]])+VLOOKUP(Tabla44[[#This Row],[SERVICIO 2025]],$J$2:$V$15,10,0)*Tabla44[[#This Row],[TOTAL COBERTURA]]</f>
        <v>15096240</v>
      </c>
      <c r="BA347" s="35">
        <f>(VLOOKUP(Tabla44[[#This Row],[SERVICIO 2025]],$J$2:$V$15,3,0)*Tabla44[[#This Row],[TOTAL COBERTURA]])+VLOOKUP(Tabla44[[#This Row],[SERVICIO 2025]],$J$2:$V$15,10,0)*Tabla44[[#This Row],[TOTAL COBERTURA]]</f>
        <v>15096240</v>
      </c>
      <c r="BB347" s="35">
        <f>(VLOOKUP(Tabla44[[#This Row],[SERVICIO 2025]],$J$2:$V$15,3,0)*Tabla44[[#This Row],[TOTAL COBERTURA]])+VLOOKUP(Tabla44[[#This Row],[SERVICIO 2025]],$J$2:$V$15,10,0)*Tabla44[[#This Row],[TOTAL COBERTURA]]</f>
        <v>15096240</v>
      </c>
      <c r="BC34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17347530</v>
      </c>
      <c r="BD347" s="35">
        <f>SUM(Tabla44[[#This Row],[DESEMBOLSO 1]:[DESEMBOLSO 8]])</f>
        <v>125665500</v>
      </c>
      <c r="BE347" s="12" t="b">
        <f>EXACT(Tabla44[[#This Row],[VALOR ATENCIÓN (8 MESES)]],Tabla44[[#This Row],[VALOR TOTAL]])</f>
        <v>1</v>
      </c>
      <c r="BF347" s="23">
        <f>Tabla44[[#This Row],[VALOR ATENCIÓN (8 MESES)]]-Tabla44[[#This Row],[VALOR TOTAL]]</f>
        <v>0</v>
      </c>
      <c r="BG347" s="12" t="b">
        <f>EXACT(Tabla44[[#This Row],[TOTAL DESEMBOLSOS]],Tabla44[[#This Row],[VALOR TOTAL DEL CONTRATO INCLUIDO EL COMPONENTE DE ALIMENTACIÓN]])</f>
        <v>1</v>
      </c>
      <c r="BH347" s="29">
        <f>Tabla44[[#This Row],[TOTAL DESEMBOLSOS]]-Tabla44[[#This Row],[VALOR TOTAL DEL CONTRATO INCLUIDO EL COMPONENTE DE ALIMENTACIÓN]]</f>
        <v>0</v>
      </c>
      <c r="BI347" t="s">
        <v>98</v>
      </c>
    </row>
    <row r="348" spans="1:61">
      <c r="A348" s="13">
        <v>1999</v>
      </c>
      <c r="B348" s="13"/>
      <c r="C348" s="12" t="s">
        <v>87</v>
      </c>
      <c r="D348" s="12" t="s">
        <v>673</v>
      </c>
      <c r="E348" s="12" t="s">
        <v>3480</v>
      </c>
      <c r="F348" s="12" t="s">
        <v>21</v>
      </c>
      <c r="G348" s="12" t="s">
        <v>90</v>
      </c>
      <c r="H348" s="12" t="s">
        <v>3481</v>
      </c>
      <c r="I348" s="36">
        <v>56901118974</v>
      </c>
      <c r="J348" s="12" t="s">
        <v>3482</v>
      </c>
      <c r="K348" s="12">
        <v>1</v>
      </c>
      <c r="L348" s="12">
        <v>34</v>
      </c>
      <c r="M348" s="12"/>
      <c r="N348" s="13">
        <v>1999</v>
      </c>
      <c r="O348" s="12" t="s">
        <v>2850</v>
      </c>
      <c r="P348" s="12"/>
      <c r="Q348" s="12"/>
      <c r="R348" s="12" t="s">
        <v>94</v>
      </c>
      <c r="S348" s="12">
        <v>10</v>
      </c>
      <c r="T348" s="12">
        <v>811008215</v>
      </c>
      <c r="U348" s="12" t="s">
        <v>3112</v>
      </c>
      <c r="V348" s="12">
        <f>VLOOKUP(Tabla44[[#This Row],[ZONA DEFINITIVO]],[1]Hoja1!$A$1:$D$125,3,0)</f>
        <v>229942</v>
      </c>
      <c r="W348" s="12">
        <f>VLOOKUP(Tabla44[[#This Row],[ZONA DEFINITIVO]],[1]Hoja1!$A$1:$D$125,2,0)</f>
        <v>17261</v>
      </c>
      <c r="X348" s="12">
        <f>VLOOKUP(Tabla44[[#This Row],[ZONA DEFINITIVO]],[1]Hoja1!$A$1:$D$125,4,0)</f>
        <v>104825</v>
      </c>
      <c r="Y348" s="12" t="str">
        <f>+IF(Tabla44[[#This Row],[AGRUPACIONES]]=1,SUMIFS(Tabla44[UDS],Tabla44[ZONA DEFINITIVO],Tabla44[[#This Row],[ZONA DEFINITIVO]])," ")</f>
        <v xml:space="preserve"> </v>
      </c>
      <c r="Z348" s="12" t="str">
        <f>+IF(Tabla44[[#This Row],[AGRUPACIONES]]=1,SUMIFS(Tabla44[TOTAL COBERTURA],Tabla44[ZONA DEFINITIVO],Tabla44[[#This Row],[ZONA DEFINITIVO]])," ")</f>
        <v xml:space="preserve"> </v>
      </c>
      <c r="AA348" s="12"/>
      <c r="AB348" s="35">
        <v>51656370</v>
      </c>
      <c r="AC348" s="37">
        <v>0</v>
      </c>
      <c r="AD348" s="35">
        <f t="shared" si="6"/>
        <v>0</v>
      </c>
      <c r="AE348" s="12"/>
      <c r="AF348" s="12">
        <f>COUNTIF($A$20:A348,A348)</f>
        <v>28</v>
      </c>
      <c r="AG348" s="38">
        <v>51656370</v>
      </c>
      <c r="AH348" s="38">
        <f>Tabla44[[#This Row],[VALOR CONTRAPARTIDA]]+Tabla44[[#This Row],[TOTAL APORTES ICBF]]</f>
        <v>51656370</v>
      </c>
      <c r="AI348" s="35" t="str">
        <f>+IF(Tabla44[[#This Row],[AGRUPACIONES]]=1,SUMIFS(Tabla44[TOTAL APORTES ICBF],Tabla44[ZONA DEFINITIVO],Tabla44[[#This Row],[ZONA DEFINITIVO]])," ")</f>
        <v xml:space="preserve"> </v>
      </c>
      <c r="AJ348" s="38"/>
      <c r="AK348" s="38"/>
      <c r="AL348" s="35"/>
      <c r="AM348" s="35">
        <f>VLOOKUP(Tabla44[[#This Row],[SERVICIO 2025]],$J$2:$V$15,5,0)*Tabla44[[#This Row],[TOTAL COBERTURA]]</f>
        <v>1589296</v>
      </c>
      <c r="AN348" s="35">
        <f>VLOOKUP(Tabla44[[#This Row],[SERVICIO 2025]],$J$2:$V$15,6,0)*Tabla44[[#This Row],[TOTAL COBERTURA]]</f>
        <v>1286594</v>
      </c>
      <c r="AO348" s="35">
        <f>VLOOKUP(Tabla44[[#This Row],[SERVICIO 2025]],$J$2:$V$15,8,0)*Tabla44[[#This Row],[TOTAL COBERTURA]]</f>
        <v>0</v>
      </c>
      <c r="AP348" s="35">
        <f>VLOOKUP(Tabla44[[#This Row],[SERVICIO 2025]],$J$2:$V$15,3,0)*Tabla44[[#This Row],[TOTAL COBERTURA]]*8</f>
        <v>48780480</v>
      </c>
      <c r="AQ348" s="35"/>
      <c r="AR348" s="35">
        <f>SUM(Tabla44[[#This Row],[VALOR FASE PREPARATORIA DE ALISTAMIENTO]:[VALOR RACION PREPARADA]])</f>
        <v>51656370</v>
      </c>
      <c r="AS348" s="35" t="str">
        <f>+IF(Tabla44[[#This Row],[AGRUPACIONES]]=1,SUMIFS(Tabla44[VALOR TOTAL],Tabla44[ZONA DEFINITIVO],Tabla44[[#This Row],[ZONA DEFINITIVO]])," ")</f>
        <v xml:space="preserve"> </v>
      </c>
      <c r="AT348" s="35">
        <f>VLOOKUP(Tabla44[[#This Row],[SERVICIO 2025]],$J$2:$V$15,10,0)*Tabla44[[#This Row],[TOTAL COBERTURA]]*$X$7</f>
        <v>51223312</v>
      </c>
      <c r="AU348" s="39">
        <f>Tabla44[[#This Row],[TOTAL CONTRATO (ICBF+EAS)]]+Tabla44[[#This Row],[VALOR COMPONENTE ALIMENTACION NO ASIGNADO]]</f>
        <v>102879682</v>
      </c>
      <c r="AV34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14089770</v>
      </c>
      <c r="AW348" s="35">
        <f>(VLOOKUP(Tabla44[[#This Row],[SERVICIO 2025]],$J$2:$V$15,3,0)*Tabla44[[#This Row],[TOTAL COBERTURA]])+VLOOKUP(Tabla44[[#This Row],[SERVICIO 2025]],$J$2:$V$15,10,0)*Tabla44[[#This Row],[TOTAL COBERTURA]]</f>
        <v>12500474</v>
      </c>
      <c r="AX348" s="35">
        <f>(VLOOKUP(Tabla44[[#This Row],[SERVICIO 2025]],$J$2:$V$15,3,0)*Tabla44[[#This Row],[TOTAL COBERTURA]])+VLOOKUP(Tabla44[[#This Row],[SERVICIO 2025]],$J$2:$V$15,10,0)*Tabla44[[#This Row],[TOTAL COBERTURA]]</f>
        <v>12500474</v>
      </c>
      <c r="AY348" s="35">
        <f>(VLOOKUP(Tabla44[[#This Row],[SERVICIO 2025]],$J$2:$V$15,3,0)*Tabla44[[#This Row],[TOTAL COBERTURA]])+VLOOKUP(Tabla44[[#This Row],[SERVICIO 2025]],$J$2:$V$15,10,0)*Tabla44[[#This Row],[TOTAL COBERTURA]]</f>
        <v>12500474</v>
      </c>
      <c r="AZ348" s="35">
        <f>(VLOOKUP(Tabla44[[#This Row],[SERVICIO 2025]],$J$2:$V$15,3,0)*Tabla44[[#This Row],[TOTAL COBERTURA]])+VLOOKUP(Tabla44[[#This Row],[SERVICIO 2025]],$J$2:$V$15,10,0)*Tabla44[[#This Row],[TOTAL COBERTURA]]</f>
        <v>12500474</v>
      </c>
      <c r="BA348" s="35">
        <f>(VLOOKUP(Tabla44[[#This Row],[SERVICIO 2025]],$J$2:$V$15,3,0)*Tabla44[[#This Row],[TOTAL COBERTURA]])+VLOOKUP(Tabla44[[#This Row],[SERVICIO 2025]],$J$2:$V$15,10,0)*Tabla44[[#This Row],[TOTAL COBERTURA]]</f>
        <v>12500474</v>
      </c>
      <c r="BB348" s="35">
        <f>(VLOOKUP(Tabla44[[#This Row],[SERVICIO 2025]],$J$2:$V$15,3,0)*Tabla44[[#This Row],[TOTAL COBERTURA]])+VLOOKUP(Tabla44[[#This Row],[SERVICIO 2025]],$J$2:$V$15,10,0)*Tabla44[[#This Row],[TOTAL COBERTURA]]</f>
        <v>12500474</v>
      </c>
      <c r="BC34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13787068</v>
      </c>
      <c r="BD348" s="35">
        <f>SUM(Tabla44[[#This Row],[DESEMBOLSO 1]:[DESEMBOLSO 8]])</f>
        <v>102879682</v>
      </c>
      <c r="BE348" s="12" t="b">
        <f>EXACT(Tabla44[[#This Row],[VALOR ATENCIÓN (8 MESES)]],Tabla44[[#This Row],[VALOR TOTAL]])</f>
        <v>1</v>
      </c>
      <c r="BF348" s="23">
        <f>Tabla44[[#This Row],[VALOR ATENCIÓN (8 MESES)]]-Tabla44[[#This Row],[VALOR TOTAL]]</f>
        <v>0</v>
      </c>
      <c r="BG348" s="12" t="b">
        <f>EXACT(Tabla44[[#This Row],[TOTAL DESEMBOLSOS]],Tabla44[[#This Row],[VALOR TOTAL DEL CONTRATO INCLUIDO EL COMPONENTE DE ALIMENTACIÓN]])</f>
        <v>1</v>
      </c>
      <c r="BH348" s="29">
        <f>Tabla44[[#This Row],[TOTAL DESEMBOLSOS]]-Tabla44[[#This Row],[VALOR TOTAL DEL CONTRATO INCLUIDO EL COMPONENTE DE ALIMENTACIÓN]]</f>
        <v>0</v>
      </c>
      <c r="BI348" t="s">
        <v>98</v>
      </c>
    </row>
    <row r="349" spans="1:61">
      <c r="A349" s="13">
        <v>1999</v>
      </c>
      <c r="B349" s="13"/>
      <c r="C349" s="12" t="s">
        <v>87</v>
      </c>
      <c r="D349" s="12" t="s">
        <v>673</v>
      </c>
      <c r="E349" s="12" t="s">
        <v>3480</v>
      </c>
      <c r="F349" s="12" t="s">
        <v>21</v>
      </c>
      <c r="G349" s="12" t="s">
        <v>90</v>
      </c>
      <c r="H349" s="12" t="s">
        <v>3483</v>
      </c>
      <c r="I349" s="36">
        <v>56901118975</v>
      </c>
      <c r="J349" s="12" t="s">
        <v>3484</v>
      </c>
      <c r="K349" s="12">
        <v>1</v>
      </c>
      <c r="L349" s="12">
        <v>19</v>
      </c>
      <c r="M349" s="12"/>
      <c r="N349" s="13">
        <v>1999</v>
      </c>
      <c r="O349" s="12" t="s">
        <v>2850</v>
      </c>
      <c r="P349" s="12"/>
      <c r="Q349" s="12"/>
      <c r="R349" s="12" t="s">
        <v>94</v>
      </c>
      <c r="S349" s="12">
        <v>10</v>
      </c>
      <c r="T349" s="12">
        <v>811008215</v>
      </c>
      <c r="U349" s="12" t="s">
        <v>3112</v>
      </c>
      <c r="V349" s="12">
        <f>VLOOKUP(Tabla44[[#This Row],[ZONA DEFINITIVO]],[1]Hoja1!$A$1:$D$125,3,0)</f>
        <v>229942</v>
      </c>
      <c r="W349" s="12">
        <f>VLOOKUP(Tabla44[[#This Row],[ZONA DEFINITIVO]],[1]Hoja1!$A$1:$D$125,2,0)</f>
        <v>17261</v>
      </c>
      <c r="X349" s="12">
        <f>VLOOKUP(Tabla44[[#This Row],[ZONA DEFINITIVO]],[1]Hoja1!$A$1:$D$125,4,0)</f>
        <v>104825</v>
      </c>
      <c r="Y349" s="12" t="str">
        <f>+IF(Tabla44[[#This Row],[AGRUPACIONES]]=1,SUMIFS(Tabla44[UDS],Tabla44[ZONA DEFINITIVO],Tabla44[[#This Row],[ZONA DEFINITIVO]])," ")</f>
        <v xml:space="preserve"> </v>
      </c>
      <c r="Z349" s="12" t="str">
        <f>+IF(Tabla44[[#This Row],[AGRUPACIONES]]=1,SUMIFS(Tabla44[TOTAL COBERTURA],Tabla44[ZONA DEFINITIVO],Tabla44[[#This Row],[ZONA DEFINITIVO]])," ")</f>
        <v xml:space="preserve"> </v>
      </c>
      <c r="AA349" s="12"/>
      <c r="AB349" s="35">
        <v>28866795</v>
      </c>
      <c r="AC349" s="37">
        <v>0</v>
      </c>
      <c r="AD349" s="35">
        <f t="shared" si="6"/>
        <v>0</v>
      </c>
      <c r="AE349" s="12"/>
      <c r="AF349" s="12">
        <f>COUNTIF($A$20:A349,A349)</f>
        <v>29</v>
      </c>
      <c r="AG349" s="38">
        <v>28866795</v>
      </c>
      <c r="AH349" s="38">
        <f>Tabla44[[#This Row],[VALOR CONTRAPARTIDA]]+Tabla44[[#This Row],[TOTAL APORTES ICBF]]</f>
        <v>28866795</v>
      </c>
      <c r="AI349" s="35" t="str">
        <f>+IF(Tabla44[[#This Row],[AGRUPACIONES]]=1,SUMIFS(Tabla44[TOTAL APORTES ICBF],Tabla44[ZONA DEFINITIVO],Tabla44[[#This Row],[ZONA DEFINITIVO]])," ")</f>
        <v xml:space="preserve"> </v>
      </c>
      <c r="AJ349" s="38"/>
      <c r="AK349" s="38"/>
      <c r="AL349" s="35"/>
      <c r="AM349" s="35">
        <f>VLOOKUP(Tabla44[[#This Row],[SERVICIO 2025]],$J$2:$V$15,5,0)*Tabla44[[#This Row],[TOTAL COBERTURA]]</f>
        <v>888136</v>
      </c>
      <c r="AN349" s="35">
        <f>VLOOKUP(Tabla44[[#This Row],[SERVICIO 2025]],$J$2:$V$15,6,0)*Tabla44[[#This Row],[TOTAL COBERTURA]]</f>
        <v>718979</v>
      </c>
      <c r="AO349" s="35">
        <f>VLOOKUP(Tabla44[[#This Row],[SERVICIO 2025]],$J$2:$V$15,8,0)*Tabla44[[#This Row],[TOTAL COBERTURA]]</f>
        <v>0</v>
      </c>
      <c r="AP349" s="35">
        <f>VLOOKUP(Tabla44[[#This Row],[SERVICIO 2025]],$J$2:$V$15,3,0)*Tabla44[[#This Row],[TOTAL COBERTURA]]*8</f>
        <v>27259680</v>
      </c>
      <c r="AQ349" s="35"/>
      <c r="AR349" s="35">
        <f>SUM(Tabla44[[#This Row],[VALOR FASE PREPARATORIA DE ALISTAMIENTO]:[VALOR RACION PREPARADA]])</f>
        <v>28866795</v>
      </c>
      <c r="AS349" s="35" t="str">
        <f>+IF(Tabla44[[#This Row],[AGRUPACIONES]]=1,SUMIFS(Tabla44[VALOR TOTAL],Tabla44[ZONA DEFINITIVO],Tabla44[[#This Row],[ZONA DEFINITIVO]])," ")</f>
        <v xml:space="preserve"> </v>
      </c>
      <c r="AT349" s="35">
        <f>VLOOKUP(Tabla44[[#This Row],[SERVICIO 2025]],$J$2:$V$15,10,0)*Tabla44[[#This Row],[TOTAL COBERTURA]]*$X$7</f>
        <v>28624792</v>
      </c>
      <c r="AU349" s="39">
        <f>Tabla44[[#This Row],[TOTAL CONTRATO (ICBF+EAS)]]+Tabla44[[#This Row],[VALOR COMPONENTE ALIMENTACION NO ASIGNADO]]</f>
        <v>57491587</v>
      </c>
      <c r="AV34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7873695</v>
      </c>
      <c r="AW349" s="35">
        <f>(VLOOKUP(Tabla44[[#This Row],[SERVICIO 2025]],$J$2:$V$15,3,0)*Tabla44[[#This Row],[TOTAL COBERTURA]])+VLOOKUP(Tabla44[[#This Row],[SERVICIO 2025]],$J$2:$V$15,10,0)*Tabla44[[#This Row],[TOTAL COBERTURA]]</f>
        <v>6985559</v>
      </c>
      <c r="AX349" s="35">
        <f>(VLOOKUP(Tabla44[[#This Row],[SERVICIO 2025]],$J$2:$V$15,3,0)*Tabla44[[#This Row],[TOTAL COBERTURA]])+VLOOKUP(Tabla44[[#This Row],[SERVICIO 2025]],$J$2:$V$15,10,0)*Tabla44[[#This Row],[TOTAL COBERTURA]]</f>
        <v>6985559</v>
      </c>
      <c r="AY349" s="35">
        <f>(VLOOKUP(Tabla44[[#This Row],[SERVICIO 2025]],$J$2:$V$15,3,0)*Tabla44[[#This Row],[TOTAL COBERTURA]])+VLOOKUP(Tabla44[[#This Row],[SERVICIO 2025]],$J$2:$V$15,10,0)*Tabla44[[#This Row],[TOTAL COBERTURA]]</f>
        <v>6985559</v>
      </c>
      <c r="AZ349" s="35">
        <f>(VLOOKUP(Tabla44[[#This Row],[SERVICIO 2025]],$J$2:$V$15,3,0)*Tabla44[[#This Row],[TOTAL COBERTURA]])+VLOOKUP(Tabla44[[#This Row],[SERVICIO 2025]],$J$2:$V$15,10,0)*Tabla44[[#This Row],[TOTAL COBERTURA]]</f>
        <v>6985559</v>
      </c>
      <c r="BA349" s="35">
        <f>(VLOOKUP(Tabla44[[#This Row],[SERVICIO 2025]],$J$2:$V$15,3,0)*Tabla44[[#This Row],[TOTAL COBERTURA]])+VLOOKUP(Tabla44[[#This Row],[SERVICIO 2025]],$J$2:$V$15,10,0)*Tabla44[[#This Row],[TOTAL COBERTURA]]</f>
        <v>6985559</v>
      </c>
      <c r="BB349" s="35">
        <f>(VLOOKUP(Tabla44[[#This Row],[SERVICIO 2025]],$J$2:$V$15,3,0)*Tabla44[[#This Row],[TOTAL COBERTURA]])+VLOOKUP(Tabla44[[#This Row],[SERVICIO 2025]],$J$2:$V$15,10,0)*Tabla44[[#This Row],[TOTAL COBERTURA]]</f>
        <v>6985559</v>
      </c>
      <c r="BC34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7704538</v>
      </c>
      <c r="BD349" s="35">
        <f>SUM(Tabla44[[#This Row],[DESEMBOLSO 1]:[DESEMBOLSO 8]])</f>
        <v>57491587</v>
      </c>
      <c r="BE349" s="12" t="b">
        <f>EXACT(Tabla44[[#This Row],[VALOR ATENCIÓN (8 MESES)]],Tabla44[[#This Row],[VALOR TOTAL]])</f>
        <v>1</v>
      </c>
      <c r="BF349" s="23">
        <f>Tabla44[[#This Row],[VALOR ATENCIÓN (8 MESES)]]-Tabla44[[#This Row],[VALOR TOTAL]]</f>
        <v>0</v>
      </c>
      <c r="BG349" s="12" t="b">
        <f>EXACT(Tabla44[[#This Row],[TOTAL DESEMBOLSOS]],Tabla44[[#This Row],[VALOR TOTAL DEL CONTRATO INCLUIDO EL COMPONENTE DE ALIMENTACIÓN]])</f>
        <v>1</v>
      </c>
      <c r="BH349" s="29">
        <f>Tabla44[[#This Row],[TOTAL DESEMBOLSOS]]-Tabla44[[#This Row],[VALOR TOTAL DEL CONTRATO INCLUIDO EL COMPONENTE DE ALIMENTACIÓN]]</f>
        <v>0</v>
      </c>
      <c r="BI349" t="s">
        <v>98</v>
      </c>
    </row>
    <row r="350" spans="1:61">
      <c r="A350" s="13">
        <v>1999</v>
      </c>
      <c r="B350" s="13"/>
      <c r="C350" s="12" t="s">
        <v>87</v>
      </c>
      <c r="D350" s="12" t="s">
        <v>673</v>
      </c>
      <c r="E350" s="12" t="s">
        <v>3480</v>
      </c>
      <c r="F350" s="12" t="s">
        <v>21</v>
      </c>
      <c r="G350" s="12" t="s">
        <v>90</v>
      </c>
      <c r="H350" s="12" t="s">
        <v>3485</v>
      </c>
      <c r="I350" s="36">
        <v>56901118977</v>
      </c>
      <c r="J350" s="12" t="s">
        <v>3486</v>
      </c>
      <c r="K350" s="12">
        <v>1</v>
      </c>
      <c r="L350" s="12">
        <v>15</v>
      </c>
      <c r="M350" s="12"/>
      <c r="N350" s="13">
        <v>1999</v>
      </c>
      <c r="O350" s="12" t="s">
        <v>2850</v>
      </c>
      <c r="P350" s="12"/>
      <c r="Q350" s="12"/>
      <c r="R350" s="12" t="s">
        <v>94</v>
      </c>
      <c r="S350" s="12">
        <v>10</v>
      </c>
      <c r="T350" s="12">
        <v>811008215</v>
      </c>
      <c r="U350" s="12" t="s">
        <v>3112</v>
      </c>
      <c r="V350" s="12">
        <f>VLOOKUP(Tabla44[[#This Row],[ZONA DEFINITIVO]],[1]Hoja1!$A$1:$D$125,3,0)</f>
        <v>229942</v>
      </c>
      <c r="W350" s="12">
        <f>VLOOKUP(Tabla44[[#This Row],[ZONA DEFINITIVO]],[1]Hoja1!$A$1:$D$125,2,0)</f>
        <v>17261</v>
      </c>
      <c r="X350" s="12">
        <f>VLOOKUP(Tabla44[[#This Row],[ZONA DEFINITIVO]],[1]Hoja1!$A$1:$D$125,4,0)</f>
        <v>104825</v>
      </c>
      <c r="Y350" s="12" t="str">
        <f>+IF(Tabla44[[#This Row],[AGRUPACIONES]]=1,SUMIFS(Tabla44[UDS],Tabla44[ZONA DEFINITIVO],Tabla44[[#This Row],[ZONA DEFINITIVO]])," ")</f>
        <v xml:space="preserve"> </v>
      </c>
      <c r="Z350" s="12" t="str">
        <f>+IF(Tabla44[[#This Row],[AGRUPACIONES]]=1,SUMIFS(Tabla44[TOTAL COBERTURA],Tabla44[ZONA DEFINITIVO],Tabla44[[#This Row],[ZONA DEFINITIVO]])," ")</f>
        <v xml:space="preserve"> </v>
      </c>
      <c r="AA350" s="12"/>
      <c r="AB350" s="35">
        <v>22789575</v>
      </c>
      <c r="AC350" s="37">
        <v>0</v>
      </c>
      <c r="AD350" s="35">
        <f t="shared" si="6"/>
        <v>0</v>
      </c>
      <c r="AE350" s="12"/>
      <c r="AF350" s="12">
        <f>COUNTIF($A$20:A350,A350)</f>
        <v>30</v>
      </c>
      <c r="AG350" s="38">
        <v>22789575</v>
      </c>
      <c r="AH350" s="38">
        <f>Tabla44[[#This Row],[VALOR CONTRAPARTIDA]]+Tabla44[[#This Row],[TOTAL APORTES ICBF]]</f>
        <v>22789575</v>
      </c>
      <c r="AI350" s="35" t="str">
        <f>+IF(Tabla44[[#This Row],[AGRUPACIONES]]=1,SUMIFS(Tabla44[TOTAL APORTES ICBF],Tabla44[ZONA DEFINITIVO],Tabla44[[#This Row],[ZONA DEFINITIVO]])," ")</f>
        <v xml:space="preserve"> </v>
      </c>
      <c r="AJ350" s="38"/>
      <c r="AK350" s="38"/>
      <c r="AL350" s="35"/>
      <c r="AM350" s="35">
        <f>VLOOKUP(Tabla44[[#This Row],[SERVICIO 2025]],$J$2:$V$15,5,0)*Tabla44[[#This Row],[TOTAL COBERTURA]]</f>
        <v>701160</v>
      </c>
      <c r="AN350" s="35">
        <f>VLOOKUP(Tabla44[[#This Row],[SERVICIO 2025]],$J$2:$V$15,6,0)*Tabla44[[#This Row],[TOTAL COBERTURA]]</f>
        <v>567615</v>
      </c>
      <c r="AO350" s="35">
        <f>VLOOKUP(Tabla44[[#This Row],[SERVICIO 2025]],$J$2:$V$15,8,0)*Tabla44[[#This Row],[TOTAL COBERTURA]]</f>
        <v>0</v>
      </c>
      <c r="AP350" s="35">
        <f>VLOOKUP(Tabla44[[#This Row],[SERVICIO 2025]],$J$2:$V$15,3,0)*Tabla44[[#This Row],[TOTAL COBERTURA]]*8</f>
        <v>21520800</v>
      </c>
      <c r="AQ350" s="35"/>
      <c r="AR350" s="35">
        <f>SUM(Tabla44[[#This Row],[VALOR FASE PREPARATORIA DE ALISTAMIENTO]:[VALOR RACION PREPARADA]])</f>
        <v>22789575</v>
      </c>
      <c r="AS350" s="35" t="str">
        <f>+IF(Tabla44[[#This Row],[AGRUPACIONES]]=1,SUMIFS(Tabla44[VALOR TOTAL],Tabla44[ZONA DEFINITIVO],Tabla44[[#This Row],[ZONA DEFINITIVO]])," ")</f>
        <v xml:space="preserve"> </v>
      </c>
      <c r="AT350" s="35">
        <f>VLOOKUP(Tabla44[[#This Row],[SERVICIO 2025]],$J$2:$V$15,10,0)*Tabla44[[#This Row],[TOTAL COBERTURA]]*$X$7</f>
        <v>22598520</v>
      </c>
      <c r="AU350" s="39">
        <f>Tabla44[[#This Row],[TOTAL CONTRATO (ICBF+EAS)]]+Tabla44[[#This Row],[VALOR COMPONENTE ALIMENTACION NO ASIGNADO]]</f>
        <v>45388095</v>
      </c>
      <c r="AV35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6216075</v>
      </c>
      <c r="AW350" s="35">
        <f>(VLOOKUP(Tabla44[[#This Row],[SERVICIO 2025]],$J$2:$V$15,3,0)*Tabla44[[#This Row],[TOTAL COBERTURA]])+VLOOKUP(Tabla44[[#This Row],[SERVICIO 2025]],$J$2:$V$15,10,0)*Tabla44[[#This Row],[TOTAL COBERTURA]]</f>
        <v>5514915</v>
      </c>
      <c r="AX350" s="35">
        <f>(VLOOKUP(Tabla44[[#This Row],[SERVICIO 2025]],$J$2:$V$15,3,0)*Tabla44[[#This Row],[TOTAL COBERTURA]])+VLOOKUP(Tabla44[[#This Row],[SERVICIO 2025]],$J$2:$V$15,10,0)*Tabla44[[#This Row],[TOTAL COBERTURA]]</f>
        <v>5514915</v>
      </c>
      <c r="AY350" s="35">
        <f>(VLOOKUP(Tabla44[[#This Row],[SERVICIO 2025]],$J$2:$V$15,3,0)*Tabla44[[#This Row],[TOTAL COBERTURA]])+VLOOKUP(Tabla44[[#This Row],[SERVICIO 2025]],$J$2:$V$15,10,0)*Tabla44[[#This Row],[TOTAL COBERTURA]]</f>
        <v>5514915</v>
      </c>
      <c r="AZ350" s="35">
        <f>(VLOOKUP(Tabla44[[#This Row],[SERVICIO 2025]],$J$2:$V$15,3,0)*Tabla44[[#This Row],[TOTAL COBERTURA]])+VLOOKUP(Tabla44[[#This Row],[SERVICIO 2025]],$J$2:$V$15,10,0)*Tabla44[[#This Row],[TOTAL COBERTURA]]</f>
        <v>5514915</v>
      </c>
      <c r="BA350" s="35">
        <f>(VLOOKUP(Tabla44[[#This Row],[SERVICIO 2025]],$J$2:$V$15,3,0)*Tabla44[[#This Row],[TOTAL COBERTURA]])+VLOOKUP(Tabla44[[#This Row],[SERVICIO 2025]],$J$2:$V$15,10,0)*Tabla44[[#This Row],[TOTAL COBERTURA]]</f>
        <v>5514915</v>
      </c>
      <c r="BB350" s="35">
        <f>(VLOOKUP(Tabla44[[#This Row],[SERVICIO 2025]],$J$2:$V$15,3,0)*Tabla44[[#This Row],[TOTAL COBERTURA]])+VLOOKUP(Tabla44[[#This Row],[SERVICIO 2025]],$J$2:$V$15,10,0)*Tabla44[[#This Row],[TOTAL COBERTURA]]</f>
        <v>5514915</v>
      </c>
      <c r="BC35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6082530</v>
      </c>
      <c r="BD350" s="35">
        <f>SUM(Tabla44[[#This Row],[DESEMBOLSO 1]:[DESEMBOLSO 8]])</f>
        <v>45388095</v>
      </c>
      <c r="BE350" s="12" t="b">
        <f>EXACT(Tabla44[[#This Row],[VALOR ATENCIÓN (8 MESES)]],Tabla44[[#This Row],[VALOR TOTAL]])</f>
        <v>1</v>
      </c>
      <c r="BF350" s="23">
        <f>Tabla44[[#This Row],[VALOR ATENCIÓN (8 MESES)]]-Tabla44[[#This Row],[VALOR TOTAL]]</f>
        <v>0</v>
      </c>
      <c r="BG350" s="12" t="b">
        <f>EXACT(Tabla44[[#This Row],[TOTAL DESEMBOLSOS]],Tabla44[[#This Row],[VALOR TOTAL DEL CONTRATO INCLUIDO EL COMPONENTE DE ALIMENTACIÓN]])</f>
        <v>1</v>
      </c>
      <c r="BH350" s="29">
        <f>Tabla44[[#This Row],[TOTAL DESEMBOLSOS]]-Tabla44[[#This Row],[VALOR TOTAL DEL CONTRATO INCLUIDO EL COMPONENTE DE ALIMENTACIÓN]]</f>
        <v>0</v>
      </c>
      <c r="BI350" t="s">
        <v>98</v>
      </c>
    </row>
    <row r="351" spans="1:61">
      <c r="A351" s="13">
        <v>1999</v>
      </c>
      <c r="B351" s="13"/>
      <c r="C351" s="12" t="s">
        <v>87</v>
      </c>
      <c r="D351" s="12" t="s">
        <v>673</v>
      </c>
      <c r="E351" s="12" t="s">
        <v>3480</v>
      </c>
      <c r="F351" s="12" t="s">
        <v>21</v>
      </c>
      <c r="G351" s="12" t="s">
        <v>90</v>
      </c>
      <c r="H351" s="12" t="s">
        <v>3485</v>
      </c>
      <c r="I351" s="36">
        <v>56901118979</v>
      </c>
      <c r="J351" s="12" t="s">
        <v>3487</v>
      </c>
      <c r="K351" s="12">
        <v>1</v>
      </c>
      <c r="L351" s="12">
        <v>16</v>
      </c>
      <c r="M351" s="12"/>
      <c r="N351" s="13">
        <v>1999</v>
      </c>
      <c r="O351" s="12" t="s">
        <v>2850</v>
      </c>
      <c r="P351" s="12"/>
      <c r="Q351" s="12"/>
      <c r="R351" s="12" t="s">
        <v>94</v>
      </c>
      <c r="S351" s="12">
        <v>10</v>
      </c>
      <c r="T351" s="12">
        <v>811008215</v>
      </c>
      <c r="U351" s="12" t="s">
        <v>3112</v>
      </c>
      <c r="V351" s="12">
        <f>VLOOKUP(Tabla44[[#This Row],[ZONA DEFINITIVO]],[1]Hoja1!$A$1:$D$125,3,0)</f>
        <v>229942</v>
      </c>
      <c r="W351" s="12">
        <f>VLOOKUP(Tabla44[[#This Row],[ZONA DEFINITIVO]],[1]Hoja1!$A$1:$D$125,2,0)</f>
        <v>17261</v>
      </c>
      <c r="X351" s="12">
        <f>VLOOKUP(Tabla44[[#This Row],[ZONA DEFINITIVO]],[1]Hoja1!$A$1:$D$125,4,0)</f>
        <v>104825</v>
      </c>
      <c r="Y351" s="12" t="str">
        <f>+IF(Tabla44[[#This Row],[AGRUPACIONES]]=1,SUMIFS(Tabla44[UDS],Tabla44[ZONA DEFINITIVO],Tabla44[[#This Row],[ZONA DEFINITIVO]])," ")</f>
        <v xml:space="preserve"> </v>
      </c>
      <c r="Z351" s="12" t="str">
        <f>+IF(Tabla44[[#This Row],[AGRUPACIONES]]=1,SUMIFS(Tabla44[TOTAL COBERTURA],Tabla44[ZONA DEFINITIVO],Tabla44[[#This Row],[ZONA DEFINITIVO]])," ")</f>
        <v xml:space="preserve"> </v>
      </c>
      <c r="AA351" s="12"/>
      <c r="AB351" s="35">
        <v>24308880</v>
      </c>
      <c r="AC351" s="37">
        <v>0</v>
      </c>
      <c r="AD351" s="35">
        <f t="shared" si="6"/>
        <v>0</v>
      </c>
      <c r="AE351" s="12"/>
      <c r="AF351" s="12">
        <f>COUNTIF($A$20:A351,A351)</f>
        <v>31</v>
      </c>
      <c r="AG351" s="38">
        <v>24308880</v>
      </c>
      <c r="AH351" s="38">
        <f>Tabla44[[#This Row],[VALOR CONTRAPARTIDA]]+Tabla44[[#This Row],[TOTAL APORTES ICBF]]</f>
        <v>24308880</v>
      </c>
      <c r="AI351" s="35" t="str">
        <f>+IF(Tabla44[[#This Row],[AGRUPACIONES]]=1,SUMIFS(Tabla44[TOTAL APORTES ICBF],Tabla44[ZONA DEFINITIVO],Tabla44[[#This Row],[ZONA DEFINITIVO]])," ")</f>
        <v xml:space="preserve"> </v>
      </c>
      <c r="AJ351" s="38"/>
      <c r="AK351" s="38"/>
      <c r="AL351" s="35"/>
      <c r="AM351" s="35">
        <f>VLOOKUP(Tabla44[[#This Row],[SERVICIO 2025]],$J$2:$V$15,5,0)*Tabla44[[#This Row],[TOTAL COBERTURA]]</f>
        <v>747904</v>
      </c>
      <c r="AN351" s="35">
        <f>VLOOKUP(Tabla44[[#This Row],[SERVICIO 2025]],$J$2:$V$15,6,0)*Tabla44[[#This Row],[TOTAL COBERTURA]]</f>
        <v>605456</v>
      </c>
      <c r="AO351" s="35">
        <f>VLOOKUP(Tabla44[[#This Row],[SERVICIO 2025]],$J$2:$V$15,8,0)*Tabla44[[#This Row],[TOTAL COBERTURA]]</f>
        <v>0</v>
      </c>
      <c r="AP351" s="35">
        <f>VLOOKUP(Tabla44[[#This Row],[SERVICIO 2025]],$J$2:$V$15,3,0)*Tabla44[[#This Row],[TOTAL COBERTURA]]*8</f>
        <v>22955520</v>
      </c>
      <c r="AQ351" s="35"/>
      <c r="AR351" s="35">
        <f>SUM(Tabla44[[#This Row],[VALOR FASE PREPARATORIA DE ALISTAMIENTO]:[VALOR RACION PREPARADA]])</f>
        <v>24308880</v>
      </c>
      <c r="AS351" s="35" t="str">
        <f>+IF(Tabla44[[#This Row],[AGRUPACIONES]]=1,SUMIFS(Tabla44[VALOR TOTAL],Tabla44[ZONA DEFINITIVO],Tabla44[[#This Row],[ZONA DEFINITIVO]])," ")</f>
        <v xml:space="preserve"> </v>
      </c>
      <c r="AT351" s="35">
        <f>VLOOKUP(Tabla44[[#This Row],[SERVICIO 2025]],$J$2:$V$15,10,0)*Tabla44[[#This Row],[TOTAL COBERTURA]]*$X$7</f>
        <v>24105088</v>
      </c>
      <c r="AU351" s="39">
        <f>Tabla44[[#This Row],[TOTAL CONTRATO (ICBF+EAS)]]+Tabla44[[#This Row],[VALOR COMPONENTE ALIMENTACION NO ASIGNADO]]</f>
        <v>48413968</v>
      </c>
      <c r="AV35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6630480</v>
      </c>
      <c r="AW351" s="35">
        <f>(VLOOKUP(Tabla44[[#This Row],[SERVICIO 2025]],$J$2:$V$15,3,0)*Tabla44[[#This Row],[TOTAL COBERTURA]])+VLOOKUP(Tabla44[[#This Row],[SERVICIO 2025]],$J$2:$V$15,10,0)*Tabla44[[#This Row],[TOTAL COBERTURA]]</f>
        <v>5882576</v>
      </c>
      <c r="AX351" s="35">
        <f>(VLOOKUP(Tabla44[[#This Row],[SERVICIO 2025]],$J$2:$V$15,3,0)*Tabla44[[#This Row],[TOTAL COBERTURA]])+VLOOKUP(Tabla44[[#This Row],[SERVICIO 2025]],$J$2:$V$15,10,0)*Tabla44[[#This Row],[TOTAL COBERTURA]]</f>
        <v>5882576</v>
      </c>
      <c r="AY351" s="35">
        <f>(VLOOKUP(Tabla44[[#This Row],[SERVICIO 2025]],$J$2:$V$15,3,0)*Tabla44[[#This Row],[TOTAL COBERTURA]])+VLOOKUP(Tabla44[[#This Row],[SERVICIO 2025]],$J$2:$V$15,10,0)*Tabla44[[#This Row],[TOTAL COBERTURA]]</f>
        <v>5882576</v>
      </c>
      <c r="AZ351" s="35">
        <f>(VLOOKUP(Tabla44[[#This Row],[SERVICIO 2025]],$J$2:$V$15,3,0)*Tabla44[[#This Row],[TOTAL COBERTURA]])+VLOOKUP(Tabla44[[#This Row],[SERVICIO 2025]],$J$2:$V$15,10,0)*Tabla44[[#This Row],[TOTAL COBERTURA]]</f>
        <v>5882576</v>
      </c>
      <c r="BA351" s="35">
        <f>(VLOOKUP(Tabla44[[#This Row],[SERVICIO 2025]],$J$2:$V$15,3,0)*Tabla44[[#This Row],[TOTAL COBERTURA]])+VLOOKUP(Tabla44[[#This Row],[SERVICIO 2025]],$J$2:$V$15,10,0)*Tabla44[[#This Row],[TOTAL COBERTURA]]</f>
        <v>5882576</v>
      </c>
      <c r="BB351" s="35">
        <f>(VLOOKUP(Tabla44[[#This Row],[SERVICIO 2025]],$J$2:$V$15,3,0)*Tabla44[[#This Row],[TOTAL COBERTURA]])+VLOOKUP(Tabla44[[#This Row],[SERVICIO 2025]],$J$2:$V$15,10,0)*Tabla44[[#This Row],[TOTAL COBERTURA]]</f>
        <v>5882576</v>
      </c>
      <c r="BC35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6488032</v>
      </c>
      <c r="BD351" s="35">
        <f>SUM(Tabla44[[#This Row],[DESEMBOLSO 1]:[DESEMBOLSO 8]])</f>
        <v>48413968</v>
      </c>
      <c r="BE351" s="12" t="b">
        <f>EXACT(Tabla44[[#This Row],[VALOR ATENCIÓN (8 MESES)]],Tabla44[[#This Row],[VALOR TOTAL]])</f>
        <v>1</v>
      </c>
      <c r="BF351" s="23">
        <f>Tabla44[[#This Row],[VALOR ATENCIÓN (8 MESES)]]-Tabla44[[#This Row],[VALOR TOTAL]]</f>
        <v>0</v>
      </c>
      <c r="BG351" s="12" t="b">
        <f>EXACT(Tabla44[[#This Row],[TOTAL DESEMBOLSOS]],Tabla44[[#This Row],[VALOR TOTAL DEL CONTRATO INCLUIDO EL COMPONENTE DE ALIMENTACIÓN]])</f>
        <v>1</v>
      </c>
      <c r="BH351" s="29">
        <f>Tabla44[[#This Row],[TOTAL DESEMBOLSOS]]-Tabla44[[#This Row],[VALOR TOTAL DEL CONTRATO INCLUIDO EL COMPONENTE DE ALIMENTACIÓN]]</f>
        <v>0</v>
      </c>
      <c r="BI351" t="s">
        <v>98</v>
      </c>
    </row>
    <row r="352" spans="1:61">
      <c r="A352" s="13">
        <v>1999</v>
      </c>
      <c r="B352" s="13"/>
      <c r="C352" s="12" t="s">
        <v>87</v>
      </c>
      <c r="D352" s="12" t="s">
        <v>673</v>
      </c>
      <c r="E352" s="12" t="s">
        <v>3480</v>
      </c>
      <c r="F352" s="12" t="s">
        <v>21</v>
      </c>
      <c r="G352" s="12" t="s">
        <v>90</v>
      </c>
      <c r="H352" s="12" t="s">
        <v>3488</v>
      </c>
      <c r="I352" s="36">
        <v>56901136132</v>
      </c>
      <c r="J352" s="12" t="s">
        <v>3489</v>
      </c>
      <c r="K352" s="12">
        <v>1</v>
      </c>
      <c r="L352" s="12">
        <v>12</v>
      </c>
      <c r="M352" s="12"/>
      <c r="N352" s="13">
        <v>1999</v>
      </c>
      <c r="O352" s="12" t="s">
        <v>2850</v>
      </c>
      <c r="P352" s="12"/>
      <c r="Q352" s="12"/>
      <c r="R352" s="12" t="s">
        <v>94</v>
      </c>
      <c r="S352" s="12">
        <v>10</v>
      </c>
      <c r="T352" s="12">
        <v>811008215</v>
      </c>
      <c r="U352" s="12" t="s">
        <v>3112</v>
      </c>
      <c r="V352" s="12">
        <f>VLOOKUP(Tabla44[[#This Row],[ZONA DEFINITIVO]],[1]Hoja1!$A$1:$D$125,3,0)</f>
        <v>229942</v>
      </c>
      <c r="W352" s="12">
        <f>VLOOKUP(Tabla44[[#This Row],[ZONA DEFINITIVO]],[1]Hoja1!$A$1:$D$125,2,0)</f>
        <v>17261</v>
      </c>
      <c r="X352" s="12">
        <f>VLOOKUP(Tabla44[[#This Row],[ZONA DEFINITIVO]],[1]Hoja1!$A$1:$D$125,4,0)</f>
        <v>104825</v>
      </c>
      <c r="Y352" s="12" t="str">
        <f>+IF(Tabla44[[#This Row],[AGRUPACIONES]]=1,SUMIFS(Tabla44[UDS],Tabla44[ZONA DEFINITIVO],Tabla44[[#This Row],[ZONA DEFINITIVO]])," ")</f>
        <v xml:space="preserve"> </v>
      </c>
      <c r="Z352" s="12" t="str">
        <f>+IF(Tabla44[[#This Row],[AGRUPACIONES]]=1,SUMIFS(Tabla44[TOTAL COBERTURA],Tabla44[ZONA DEFINITIVO],Tabla44[[#This Row],[ZONA DEFINITIVO]])," ")</f>
        <v xml:space="preserve"> </v>
      </c>
      <c r="AA352" s="12"/>
      <c r="AB352" s="35">
        <v>18231660</v>
      </c>
      <c r="AC352" s="37">
        <v>0</v>
      </c>
      <c r="AD352" s="35">
        <f t="shared" si="6"/>
        <v>0</v>
      </c>
      <c r="AE352" s="12"/>
      <c r="AF352" s="12">
        <f>COUNTIF($A$20:A352,A352)</f>
        <v>32</v>
      </c>
      <c r="AG352" s="38">
        <v>18231660</v>
      </c>
      <c r="AH352" s="38">
        <f>Tabla44[[#This Row],[VALOR CONTRAPARTIDA]]+Tabla44[[#This Row],[TOTAL APORTES ICBF]]</f>
        <v>18231660</v>
      </c>
      <c r="AI352" s="35" t="str">
        <f>+IF(Tabla44[[#This Row],[AGRUPACIONES]]=1,SUMIFS(Tabla44[TOTAL APORTES ICBF],Tabla44[ZONA DEFINITIVO],Tabla44[[#This Row],[ZONA DEFINITIVO]])," ")</f>
        <v xml:space="preserve"> </v>
      </c>
      <c r="AJ352" s="38"/>
      <c r="AK352" s="38"/>
      <c r="AL352" s="35"/>
      <c r="AM352" s="35">
        <f>VLOOKUP(Tabla44[[#This Row],[SERVICIO 2025]],$J$2:$V$15,5,0)*Tabla44[[#This Row],[TOTAL COBERTURA]]</f>
        <v>560928</v>
      </c>
      <c r="AN352" s="35">
        <f>VLOOKUP(Tabla44[[#This Row],[SERVICIO 2025]],$J$2:$V$15,6,0)*Tabla44[[#This Row],[TOTAL COBERTURA]]</f>
        <v>454092</v>
      </c>
      <c r="AO352" s="35">
        <f>VLOOKUP(Tabla44[[#This Row],[SERVICIO 2025]],$J$2:$V$15,8,0)*Tabla44[[#This Row],[TOTAL COBERTURA]]</f>
        <v>0</v>
      </c>
      <c r="AP352" s="35">
        <f>VLOOKUP(Tabla44[[#This Row],[SERVICIO 2025]],$J$2:$V$15,3,0)*Tabla44[[#This Row],[TOTAL COBERTURA]]*8</f>
        <v>17216640</v>
      </c>
      <c r="AQ352" s="35"/>
      <c r="AR352" s="35">
        <f>SUM(Tabla44[[#This Row],[VALOR FASE PREPARATORIA DE ALISTAMIENTO]:[VALOR RACION PREPARADA]])</f>
        <v>18231660</v>
      </c>
      <c r="AS352" s="35" t="str">
        <f>+IF(Tabla44[[#This Row],[AGRUPACIONES]]=1,SUMIFS(Tabla44[VALOR TOTAL],Tabla44[ZONA DEFINITIVO],Tabla44[[#This Row],[ZONA DEFINITIVO]])," ")</f>
        <v xml:space="preserve"> </v>
      </c>
      <c r="AT352" s="35">
        <f>VLOOKUP(Tabla44[[#This Row],[SERVICIO 2025]],$J$2:$V$15,10,0)*Tabla44[[#This Row],[TOTAL COBERTURA]]*$X$7</f>
        <v>18078816</v>
      </c>
      <c r="AU352" s="39">
        <f>Tabla44[[#This Row],[TOTAL CONTRATO (ICBF+EAS)]]+Tabla44[[#This Row],[VALOR COMPONENTE ALIMENTACION NO ASIGNADO]]</f>
        <v>36310476</v>
      </c>
      <c r="AV35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4972860</v>
      </c>
      <c r="AW352" s="35">
        <f>(VLOOKUP(Tabla44[[#This Row],[SERVICIO 2025]],$J$2:$V$15,3,0)*Tabla44[[#This Row],[TOTAL COBERTURA]])+VLOOKUP(Tabla44[[#This Row],[SERVICIO 2025]],$J$2:$V$15,10,0)*Tabla44[[#This Row],[TOTAL COBERTURA]]</f>
        <v>4411932</v>
      </c>
      <c r="AX352" s="35">
        <f>(VLOOKUP(Tabla44[[#This Row],[SERVICIO 2025]],$J$2:$V$15,3,0)*Tabla44[[#This Row],[TOTAL COBERTURA]])+VLOOKUP(Tabla44[[#This Row],[SERVICIO 2025]],$J$2:$V$15,10,0)*Tabla44[[#This Row],[TOTAL COBERTURA]]</f>
        <v>4411932</v>
      </c>
      <c r="AY352" s="35">
        <f>(VLOOKUP(Tabla44[[#This Row],[SERVICIO 2025]],$J$2:$V$15,3,0)*Tabla44[[#This Row],[TOTAL COBERTURA]])+VLOOKUP(Tabla44[[#This Row],[SERVICIO 2025]],$J$2:$V$15,10,0)*Tabla44[[#This Row],[TOTAL COBERTURA]]</f>
        <v>4411932</v>
      </c>
      <c r="AZ352" s="35">
        <f>(VLOOKUP(Tabla44[[#This Row],[SERVICIO 2025]],$J$2:$V$15,3,0)*Tabla44[[#This Row],[TOTAL COBERTURA]])+VLOOKUP(Tabla44[[#This Row],[SERVICIO 2025]],$J$2:$V$15,10,0)*Tabla44[[#This Row],[TOTAL COBERTURA]]</f>
        <v>4411932</v>
      </c>
      <c r="BA352" s="35">
        <f>(VLOOKUP(Tabla44[[#This Row],[SERVICIO 2025]],$J$2:$V$15,3,0)*Tabla44[[#This Row],[TOTAL COBERTURA]])+VLOOKUP(Tabla44[[#This Row],[SERVICIO 2025]],$J$2:$V$15,10,0)*Tabla44[[#This Row],[TOTAL COBERTURA]]</f>
        <v>4411932</v>
      </c>
      <c r="BB352" s="35">
        <f>(VLOOKUP(Tabla44[[#This Row],[SERVICIO 2025]],$J$2:$V$15,3,0)*Tabla44[[#This Row],[TOTAL COBERTURA]])+VLOOKUP(Tabla44[[#This Row],[SERVICIO 2025]],$J$2:$V$15,10,0)*Tabla44[[#This Row],[TOTAL COBERTURA]]</f>
        <v>4411932</v>
      </c>
      <c r="BC35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4866024</v>
      </c>
      <c r="BD352" s="35">
        <f>SUM(Tabla44[[#This Row],[DESEMBOLSO 1]:[DESEMBOLSO 8]])</f>
        <v>36310476</v>
      </c>
      <c r="BE352" s="12" t="b">
        <f>EXACT(Tabla44[[#This Row],[VALOR ATENCIÓN (8 MESES)]],Tabla44[[#This Row],[VALOR TOTAL]])</f>
        <v>1</v>
      </c>
      <c r="BF352" s="23">
        <f>Tabla44[[#This Row],[VALOR ATENCIÓN (8 MESES)]]-Tabla44[[#This Row],[VALOR TOTAL]]</f>
        <v>0</v>
      </c>
      <c r="BG352" s="12" t="b">
        <f>EXACT(Tabla44[[#This Row],[TOTAL DESEMBOLSOS]],Tabla44[[#This Row],[VALOR TOTAL DEL CONTRATO INCLUIDO EL COMPONENTE DE ALIMENTACIÓN]])</f>
        <v>1</v>
      </c>
      <c r="BH352" s="29">
        <f>Tabla44[[#This Row],[TOTAL DESEMBOLSOS]]-Tabla44[[#This Row],[VALOR TOTAL DEL CONTRATO INCLUIDO EL COMPONENTE DE ALIMENTACIÓN]]</f>
        <v>0</v>
      </c>
      <c r="BI352" t="s">
        <v>98</v>
      </c>
    </row>
    <row r="353" spans="1:61">
      <c r="A353" s="13">
        <v>1999</v>
      </c>
      <c r="B353" s="13"/>
      <c r="C353" s="12" t="s">
        <v>87</v>
      </c>
      <c r="D353" s="12" t="s">
        <v>673</v>
      </c>
      <c r="E353" s="12" t="s">
        <v>3480</v>
      </c>
      <c r="F353" s="12" t="s">
        <v>21</v>
      </c>
      <c r="G353" s="12" t="s">
        <v>90</v>
      </c>
      <c r="H353" s="12" t="s">
        <v>3490</v>
      </c>
      <c r="I353" s="36">
        <v>56901136135</v>
      </c>
      <c r="J353" s="12" t="s">
        <v>3491</v>
      </c>
      <c r="K353" s="12">
        <v>1</v>
      </c>
      <c r="L353" s="12">
        <v>12</v>
      </c>
      <c r="M353" s="12"/>
      <c r="N353" s="13">
        <v>1999</v>
      </c>
      <c r="O353" s="12" t="s">
        <v>2850</v>
      </c>
      <c r="P353" s="12"/>
      <c r="Q353" s="12"/>
      <c r="R353" s="12" t="s">
        <v>94</v>
      </c>
      <c r="S353" s="12">
        <v>10</v>
      </c>
      <c r="T353" s="12">
        <v>811008215</v>
      </c>
      <c r="U353" s="12" t="s">
        <v>3112</v>
      </c>
      <c r="V353" s="12">
        <f>VLOOKUP(Tabla44[[#This Row],[ZONA DEFINITIVO]],[1]Hoja1!$A$1:$D$125,3,0)</f>
        <v>229942</v>
      </c>
      <c r="W353" s="12">
        <f>VLOOKUP(Tabla44[[#This Row],[ZONA DEFINITIVO]],[1]Hoja1!$A$1:$D$125,2,0)</f>
        <v>17261</v>
      </c>
      <c r="X353" s="12">
        <f>VLOOKUP(Tabla44[[#This Row],[ZONA DEFINITIVO]],[1]Hoja1!$A$1:$D$125,4,0)</f>
        <v>104825</v>
      </c>
      <c r="Y353" s="12" t="str">
        <f>+IF(Tabla44[[#This Row],[AGRUPACIONES]]=1,SUMIFS(Tabla44[UDS],Tabla44[ZONA DEFINITIVO],Tabla44[[#This Row],[ZONA DEFINITIVO]])," ")</f>
        <v xml:space="preserve"> </v>
      </c>
      <c r="Z353" s="12" t="str">
        <f>+IF(Tabla44[[#This Row],[AGRUPACIONES]]=1,SUMIFS(Tabla44[TOTAL COBERTURA],Tabla44[ZONA DEFINITIVO],Tabla44[[#This Row],[ZONA DEFINITIVO]])," ")</f>
        <v xml:space="preserve"> </v>
      </c>
      <c r="AA353" s="12"/>
      <c r="AB353" s="35">
        <v>18231660</v>
      </c>
      <c r="AC353" s="37">
        <v>0</v>
      </c>
      <c r="AD353" s="35">
        <f t="shared" si="6"/>
        <v>0</v>
      </c>
      <c r="AE353" s="12"/>
      <c r="AF353" s="12">
        <f>COUNTIF($A$20:A353,A353)</f>
        <v>33</v>
      </c>
      <c r="AG353" s="38">
        <v>18231660</v>
      </c>
      <c r="AH353" s="38">
        <f>Tabla44[[#This Row],[VALOR CONTRAPARTIDA]]+Tabla44[[#This Row],[TOTAL APORTES ICBF]]</f>
        <v>18231660</v>
      </c>
      <c r="AI353" s="35" t="str">
        <f>+IF(Tabla44[[#This Row],[AGRUPACIONES]]=1,SUMIFS(Tabla44[TOTAL APORTES ICBF],Tabla44[ZONA DEFINITIVO],Tabla44[[#This Row],[ZONA DEFINITIVO]])," ")</f>
        <v xml:space="preserve"> </v>
      </c>
      <c r="AJ353" s="38"/>
      <c r="AK353" s="38"/>
      <c r="AL353" s="35"/>
      <c r="AM353" s="35">
        <f>VLOOKUP(Tabla44[[#This Row],[SERVICIO 2025]],$J$2:$V$15,5,0)*Tabla44[[#This Row],[TOTAL COBERTURA]]</f>
        <v>560928</v>
      </c>
      <c r="AN353" s="35">
        <f>VLOOKUP(Tabla44[[#This Row],[SERVICIO 2025]],$J$2:$V$15,6,0)*Tabla44[[#This Row],[TOTAL COBERTURA]]</f>
        <v>454092</v>
      </c>
      <c r="AO353" s="35">
        <f>VLOOKUP(Tabla44[[#This Row],[SERVICIO 2025]],$J$2:$V$15,8,0)*Tabla44[[#This Row],[TOTAL COBERTURA]]</f>
        <v>0</v>
      </c>
      <c r="AP353" s="35">
        <f>VLOOKUP(Tabla44[[#This Row],[SERVICIO 2025]],$J$2:$V$15,3,0)*Tabla44[[#This Row],[TOTAL COBERTURA]]*8</f>
        <v>17216640</v>
      </c>
      <c r="AQ353" s="35"/>
      <c r="AR353" s="35">
        <f>SUM(Tabla44[[#This Row],[VALOR FASE PREPARATORIA DE ALISTAMIENTO]:[VALOR RACION PREPARADA]])</f>
        <v>18231660</v>
      </c>
      <c r="AS353" s="35" t="str">
        <f>+IF(Tabla44[[#This Row],[AGRUPACIONES]]=1,SUMIFS(Tabla44[VALOR TOTAL],Tabla44[ZONA DEFINITIVO],Tabla44[[#This Row],[ZONA DEFINITIVO]])," ")</f>
        <v xml:space="preserve"> </v>
      </c>
      <c r="AT353" s="35">
        <f>VLOOKUP(Tabla44[[#This Row],[SERVICIO 2025]],$J$2:$V$15,10,0)*Tabla44[[#This Row],[TOTAL COBERTURA]]*$X$7</f>
        <v>18078816</v>
      </c>
      <c r="AU353" s="39">
        <f>Tabla44[[#This Row],[TOTAL CONTRATO (ICBF+EAS)]]+Tabla44[[#This Row],[VALOR COMPONENTE ALIMENTACION NO ASIGNADO]]</f>
        <v>36310476</v>
      </c>
      <c r="AV35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4972860</v>
      </c>
      <c r="AW353" s="35">
        <f>(VLOOKUP(Tabla44[[#This Row],[SERVICIO 2025]],$J$2:$V$15,3,0)*Tabla44[[#This Row],[TOTAL COBERTURA]])+VLOOKUP(Tabla44[[#This Row],[SERVICIO 2025]],$J$2:$V$15,10,0)*Tabla44[[#This Row],[TOTAL COBERTURA]]</f>
        <v>4411932</v>
      </c>
      <c r="AX353" s="35">
        <f>(VLOOKUP(Tabla44[[#This Row],[SERVICIO 2025]],$J$2:$V$15,3,0)*Tabla44[[#This Row],[TOTAL COBERTURA]])+VLOOKUP(Tabla44[[#This Row],[SERVICIO 2025]],$J$2:$V$15,10,0)*Tabla44[[#This Row],[TOTAL COBERTURA]]</f>
        <v>4411932</v>
      </c>
      <c r="AY353" s="35">
        <f>(VLOOKUP(Tabla44[[#This Row],[SERVICIO 2025]],$J$2:$V$15,3,0)*Tabla44[[#This Row],[TOTAL COBERTURA]])+VLOOKUP(Tabla44[[#This Row],[SERVICIO 2025]],$J$2:$V$15,10,0)*Tabla44[[#This Row],[TOTAL COBERTURA]]</f>
        <v>4411932</v>
      </c>
      <c r="AZ353" s="35">
        <f>(VLOOKUP(Tabla44[[#This Row],[SERVICIO 2025]],$J$2:$V$15,3,0)*Tabla44[[#This Row],[TOTAL COBERTURA]])+VLOOKUP(Tabla44[[#This Row],[SERVICIO 2025]],$J$2:$V$15,10,0)*Tabla44[[#This Row],[TOTAL COBERTURA]]</f>
        <v>4411932</v>
      </c>
      <c r="BA353" s="35">
        <f>(VLOOKUP(Tabla44[[#This Row],[SERVICIO 2025]],$J$2:$V$15,3,0)*Tabla44[[#This Row],[TOTAL COBERTURA]])+VLOOKUP(Tabla44[[#This Row],[SERVICIO 2025]],$J$2:$V$15,10,0)*Tabla44[[#This Row],[TOTAL COBERTURA]]</f>
        <v>4411932</v>
      </c>
      <c r="BB353" s="35">
        <f>(VLOOKUP(Tabla44[[#This Row],[SERVICIO 2025]],$J$2:$V$15,3,0)*Tabla44[[#This Row],[TOTAL COBERTURA]])+VLOOKUP(Tabla44[[#This Row],[SERVICIO 2025]],$J$2:$V$15,10,0)*Tabla44[[#This Row],[TOTAL COBERTURA]]</f>
        <v>4411932</v>
      </c>
      <c r="BC35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4866024</v>
      </c>
      <c r="BD353" s="35">
        <f>SUM(Tabla44[[#This Row],[DESEMBOLSO 1]:[DESEMBOLSO 8]])</f>
        <v>36310476</v>
      </c>
      <c r="BE353" s="12" t="b">
        <f>EXACT(Tabla44[[#This Row],[VALOR ATENCIÓN (8 MESES)]],Tabla44[[#This Row],[VALOR TOTAL]])</f>
        <v>1</v>
      </c>
      <c r="BF353" s="23">
        <f>Tabla44[[#This Row],[VALOR ATENCIÓN (8 MESES)]]-Tabla44[[#This Row],[VALOR TOTAL]]</f>
        <v>0</v>
      </c>
      <c r="BG353" s="12" t="b">
        <f>EXACT(Tabla44[[#This Row],[TOTAL DESEMBOLSOS]],Tabla44[[#This Row],[VALOR TOTAL DEL CONTRATO INCLUIDO EL COMPONENTE DE ALIMENTACIÓN]])</f>
        <v>1</v>
      </c>
      <c r="BH353" s="29">
        <f>Tabla44[[#This Row],[TOTAL DESEMBOLSOS]]-Tabla44[[#This Row],[VALOR TOTAL DEL CONTRATO INCLUIDO EL COMPONENTE DE ALIMENTACIÓN]]</f>
        <v>0</v>
      </c>
      <c r="BI353" t="s">
        <v>98</v>
      </c>
    </row>
    <row r="354" spans="1:61">
      <c r="A354" s="13">
        <v>1999</v>
      </c>
      <c r="B354" s="13"/>
      <c r="C354" s="12" t="s">
        <v>87</v>
      </c>
      <c r="D354" s="12" t="s">
        <v>673</v>
      </c>
      <c r="E354" s="12" t="s">
        <v>3480</v>
      </c>
      <c r="F354" s="12" t="s">
        <v>21</v>
      </c>
      <c r="G354" s="12" t="s">
        <v>90</v>
      </c>
      <c r="H354" s="12" t="s">
        <v>3492</v>
      </c>
      <c r="I354" s="36">
        <v>56901136136</v>
      </c>
      <c r="J354" s="12" t="s">
        <v>3493</v>
      </c>
      <c r="K354" s="12">
        <v>1</v>
      </c>
      <c r="L354" s="12">
        <v>7</v>
      </c>
      <c r="M354" s="12"/>
      <c r="N354" s="13">
        <v>1999</v>
      </c>
      <c r="O354" s="12" t="s">
        <v>2850</v>
      </c>
      <c r="P354" s="12"/>
      <c r="Q354" s="12"/>
      <c r="R354" s="12" t="s">
        <v>94</v>
      </c>
      <c r="S354" s="12">
        <v>10</v>
      </c>
      <c r="T354" s="12">
        <v>811008215</v>
      </c>
      <c r="U354" s="12" t="s">
        <v>3112</v>
      </c>
      <c r="V354" s="12">
        <f>VLOOKUP(Tabla44[[#This Row],[ZONA DEFINITIVO]],[1]Hoja1!$A$1:$D$125,3,0)</f>
        <v>229942</v>
      </c>
      <c r="W354" s="12">
        <f>VLOOKUP(Tabla44[[#This Row],[ZONA DEFINITIVO]],[1]Hoja1!$A$1:$D$125,2,0)</f>
        <v>17261</v>
      </c>
      <c r="X354" s="12">
        <f>VLOOKUP(Tabla44[[#This Row],[ZONA DEFINITIVO]],[1]Hoja1!$A$1:$D$125,4,0)</f>
        <v>104825</v>
      </c>
      <c r="Y354" s="12" t="str">
        <f>+IF(Tabla44[[#This Row],[AGRUPACIONES]]=1,SUMIFS(Tabla44[UDS],Tabla44[ZONA DEFINITIVO],Tabla44[[#This Row],[ZONA DEFINITIVO]])," ")</f>
        <v xml:space="preserve"> </v>
      </c>
      <c r="Z354" s="12" t="str">
        <f>+IF(Tabla44[[#This Row],[AGRUPACIONES]]=1,SUMIFS(Tabla44[TOTAL COBERTURA],Tabla44[ZONA DEFINITIVO],Tabla44[[#This Row],[ZONA DEFINITIVO]])," ")</f>
        <v xml:space="preserve"> </v>
      </c>
      <c r="AA354" s="12"/>
      <c r="AB354" s="35">
        <v>10635135</v>
      </c>
      <c r="AC354" s="37">
        <v>0</v>
      </c>
      <c r="AD354" s="35">
        <f t="shared" si="6"/>
        <v>0</v>
      </c>
      <c r="AE354" s="12"/>
      <c r="AF354" s="12">
        <f>COUNTIF($A$20:A354,A354)</f>
        <v>34</v>
      </c>
      <c r="AG354" s="38">
        <v>10635135</v>
      </c>
      <c r="AH354" s="38">
        <f>Tabla44[[#This Row],[VALOR CONTRAPARTIDA]]+Tabla44[[#This Row],[TOTAL APORTES ICBF]]</f>
        <v>10635135</v>
      </c>
      <c r="AI354" s="35" t="str">
        <f>+IF(Tabla44[[#This Row],[AGRUPACIONES]]=1,SUMIFS(Tabla44[TOTAL APORTES ICBF],Tabla44[ZONA DEFINITIVO],Tabla44[[#This Row],[ZONA DEFINITIVO]])," ")</f>
        <v xml:space="preserve"> </v>
      </c>
      <c r="AJ354" s="38"/>
      <c r="AK354" s="38"/>
      <c r="AL354" s="35"/>
      <c r="AM354" s="35">
        <f>VLOOKUP(Tabla44[[#This Row],[SERVICIO 2025]],$J$2:$V$15,5,0)*Tabla44[[#This Row],[TOTAL COBERTURA]]</f>
        <v>327208</v>
      </c>
      <c r="AN354" s="35">
        <f>VLOOKUP(Tabla44[[#This Row],[SERVICIO 2025]],$J$2:$V$15,6,0)*Tabla44[[#This Row],[TOTAL COBERTURA]]</f>
        <v>264887</v>
      </c>
      <c r="AO354" s="35">
        <f>VLOOKUP(Tabla44[[#This Row],[SERVICIO 2025]],$J$2:$V$15,8,0)*Tabla44[[#This Row],[TOTAL COBERTURA]]</f>
        <v>0</v>
      </c>
      <c r="AP354" s="35">
        <f>VLOOKUP(Tabla44[[#This Row],[SERVICIO 2025]],$J$2:$V$15,3,0)*Tabla44[[#This Row],[TOTAL COBERTURA]]*8</f>
        <v>10043040</v>
      </c>
      <c r="AQ354" s="35"/>
      <c r="AR354" s="35">
        <f>SUM(Tabla44[[#This Row],[VALOR FASE PREPARATORIA DE ALISTAMIENTO]:[VALOR RACION PREPARADA]])</f>
        <v>10635135</v>
      </c>
      <c r="AS354" s="35" t="str">
        <f>+IF(Tabla44[[#This Row],[AGRUPACIONES]]=1,SUMIFS(Tabla44[VALOR TOTAL],Tabla44[ZONA DEFINITIVO],Tabla44[[#This Row],[ZONA DEFINITIVO]])," ")</f>
        <v xml:space="preserve"> </v>
      </c>
      <c r="AT354" s="35">
        <f>VLOOKUP(Tabla44[[#This Row],[SERVICIO 2025]],$J$2:$V$15,10,0)*Tabla44[[#This Row],[TOTAL COBERTURA]]*$X$7</f>
        <v>10545976</v>
      </c>
      <c r="AU354" s="39">
        <f>Tabla44[[#This Row],[TOTAL CONTRATO (ICBF+EAS)]]+Tabla44[[#This Row],[VALOR COMPONENTE ALIMENTACION NO ASIGNADO]]</f>
        <v>21181111</v>
      </c>
      <c r="AV35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2900835</v>
      </c>
      <c r="AW354" s="35">
        <f>(VLOOKUP(Tabla44[[#This Row],[SERVICIO 2025]],$J$2:$V$15,3,0)*Tabla44[[#This Row],[TOTAL COBERTURA]])+VLOOKUP(Tabla44[[#This Row],[SERVICIO 2025]],$J$2:$V$15,10,0)*Tabla44[[#This Row],[TOTAL COBERTURA]]</f>
        <v>2573627</v>
      </c>
      <c r="AX354" s="35">
        <f>(VLOOKUP(Tabla44[[#This Row],[SERVICIO 2025]],$J$2:$V$15,3,0)*Tabla44[[#This Row],[TOTAL COBERTURA]])+VLOOKUP(Tabla44[[#This Row],[SERVICIO 2025]],$J$2:$V$15,10,0)*Tabla44[[#This Row],[TOTAL COBERTURA]]</f>
        <v>2573627</v>
      </c>
      <c r="AY354" s="35">
        <f>(VLOOKUP(Tabla44[[#This Row],[SERVICIO 2025]],$J$2:$V$15,3,0)*Tabla44[[#This Row],[TOTAL COBERTURA]])+VLOOKUP(Tabla44[[#This Row],[SERVICIO 2025]],$J$2:$V$15,10,0)*Tabla44[[#This Row],[TOTAL COBERTURA]]</f>
        <v>2573627</v>
      </c>
      <c r="AZ354" s="35">
        <f>(VLOOKUP(Tabla44[[#This Row],[SERVICIO 2025]],$J$2:$V$15,3,0)*Tabla44[[#This Row],[TOTAL COBERTURA]])+VLOOKUP(Tabla44[[#This Row],[SERVICIO 2025]],$J$2:$V$15,10,0)*Tabla44[[#This Row],[TOTAL COBERTURA]]</f>
        <v>2573627</v>
      </c>
      <c r="BA354" s="35">
        <f>(VLOOKUP(Tabla44[[#This Row],[SERVICIO 2025]],$J$2:$V$15,3,0)*Tabla44[[#This Row],[TOTAL COBERTURA]])+VLOOKUP(Tabla44[[#This Row],[SERVICIO 2025]],$J$2:$V$15,10,0)*Tabla44[[#This Row],[TOTAL COBERTURA]]</f>
        <v>2573627</v>
      </c>
      <c r="BB354" s="35">
        <f>(VLOOKUP(Tabla44[[#This Row],[SERVICIO 2025]],$J$2:$V$15,3,0)*Tabla44[[#This Row],[TOTAL COBERTURA]])+VLOOKUP(Tabla44[[#This Row],[SERVICIO 2025]],$J$2:$V$15,10,0)*Tabla44[[#This Row],[TOTAL COBERTURA]]</f>
        <v>2573627</v>
      </c>
      <c r="BC35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2838514</v>
      </c>
      <c r="BD354" s="35">
        <f>SUM(Tabla44[[#This Row],[DESEMBOLSO 1]:[DESEMBOLSO 8]])</f>
        <v>21181111</v>
      </c>
      <c r="BE354" s="12" t="b">
        <f>EXACT(Tabla44[[#This Row],[VALOR ATENCIÓN (8 MESES)]],Tabla44[[#This Row],[VALOR TOTAL]])</f>
        <v>1</v>
      </c>
      <c r="BF354" s="23">
        <f>Tabla44[[#This Row],[VALOR ATENCIÓN (8 MESES)]]-Tabla44[[#This Row],[VALOR TOTAL]]</f>
        <v>0</v>
      </c>
      <c r="BG354" s="12" t="b">
        <f>EXACT(Tabla44[[#This Row],[TOTAL DESEMBOLSOS]],Tabla44[[#This Row],[VALOR TOTAL DEL CONTRATO INCLUIDO EL COMPONENTE DE ALIMENTACIÓN]])</f>
        <v>1</v>
      </c>
      <c r="BH354" s="29">
        <f>Tabla44[[#This Row],[TOTAL DESEMBOLSOS]]-Tabla44[[#This Row],[VALOR TOTAL DEL CONTRATO INCLUIDO EL COMPONENTE DE ALIMENTACIÓN]]</f>
        <v>0</v>
      </c>
      <c r="BI354" t="s">
        <v>98</v>
      </c>
    </row>
    <row r="355" spans="1:61">
      <c r="A355" s="13">
        <v>1999</v>
      </c>
      <c r="B355" s="13"/>
      <c r="C355" s="12" t="s">
        <v>87</v>
      </c>
      <c r="D355" s="12" t="s">
        <v>673</v>
      </c>
      <c r="E355" s="12" t="s">
        <v>3480</v>
      </c>
      <c r="F355" s="12" t="s">
        <v>21</v>
      </c>
      <c r="G355" s="12" t="s">
        <v>90</v>
      </c>
      <c r="H355" s="12" t="s">
        <v>2200</v>
      </c>
      <c r="I355" s="36">
        <v>56901136139</v>
      </c>
      <c r="J355" s="12" t="s">
        <v>3494</v>
      </c>
      <c r="K355" s="12">
        <v>1</v>
      </c>
      <c r="L355" s="12">
        <v>8</v>
      </c>
      <c r="M355" s="12"/>
      <c r="N355" s="13">
        <v>1999</v>
      </c>
      <c r="O355" s="12" t="s">
        <v>2850</v>
      </c>
      <c r="P355" s="12"/>
      <c r="Q355" s="12"/>
      <c r="R355" s="12" t="s">
        <v>94</v>
      </c>
      <c r="S355" s="12">
        <v>10</v>
      </c>
      <c r="T355" s="12">
        <v>811008215</v>
      </c>
      <c r="U355" s="12" t="s">
        <v>3112</v>
      </c>
      <c r="V355" s="12">
        <f>VLOOKUP(Tabla44[[#This Row],[ZONA DEFINITIVO]],[1]Hoja1!$A$1:$D$125,3,0)</f>
        <v>229942</v>
      </c>
      <c r="W355" s="12">
        <f>VLOOKUP(Tabla44[[#This Row],[ZONA DEFINITIVO]],[1]Hoja1!$A$1:$D$125,2,0)</f>
        <v>17261</v>
      </c>
      <c r="X355" s="12">
        <f>VLOOKUP(Tabla44[[#This Row],[ZONA DEFINITIVO]],[1]Hoja1!$A$1:$D$125,4,0)</f>
        <v>104825</v>
      </c>
      <c r="Y355" s="12" t="str">
        <f>+IF(Tabla44[[#This Row],[AGRUPACIONES]]=1,SUMIFS(Tabla44[UDS],Tabla44[ZONA DEFINITIVO],Tabla44[[#This Row],[ZONA DEFINITIVO]])," ")</f>
        <v xml:space="preserve"> </v>
      </c>
      <c r="Z355" s="12" t="str">
        <f>+IF(Tabla44[[#This Row],[AGRUPACIONES]]=1,SUMIFS(Tabla44[TOTAL COBERTURA],Tabla44[ZONA DEFINITIVO],Tabla44[[#This Row],[ZONA DEFINITIVO]])," ")</f>
        <v xml:space="preserve"> </v>
      </c>
      <c r="AA355" s="12"/>
      <c r="AB355" s="35">
        <v>12154440</v>
      </c>
      <c r="AC355" s="37">
        <v>0</v>
      </c>
      <c r="AD355" s="35">
        <f t="shared" si="6"/>
        <v>0</v>
      </c>
      <c r="AE355" s="12"/>
      <c r="AF355" s="12">
        <f>COUNTIF($A$20:A355,A355)</f>
        <v>35</v>
      </c>
      <c r="AG355" s="38">
        <v>12154440</v>
      </c>
      <c r="AH355" s="38">
        <f>Tabla44[[#This Row],[VALOR CONTRAPARTIDA]]+Tabla44[[#This Row],[TOTAL APORTES ICBF]]</f>
        <v>12154440</v>
      </c>
      <c r="AI355" s="35" t="str">
        <f>+IF(Tabla44[[#This Row],[AGRUPACIONES]]=1,SUMIFS(Tabla44[TOTAL APORTES ICBF],Tabla44[ZONA DEFINITIVO],Tabla44[[#This Row],[ZONA DEFINITIVO]])," ")</f>
        <v xml:space="preserve"> </v>
      </c>
      <c r="AJ355" s="38"/>
      <c r="AK355" s="38"/>
      <c r="AL355" s="35"/>
      <c r="AM355" s="35">
        <f>VLOOKUP(Tabla44[[#This Row],[SERVICIO 2025]],$J$2:$V$15,5,0)*Tabla44[[#This Row],[TOTAL COBERTURA]]</f>
        <v>373952</v>
      </c>
      <c r="AN355" s="35">
        <f>VLOOKUP(Tabla44[[#This Row],[SERVICIO 2025]],$J$2:$V$15,6,0)*Tabla44[[#This Row],[TOTAL COBERTURA]]</f>
        <v>302728</v>
      </c>
      <c r="AO355" s="35">
        <f>VLOOKUP(Tabla44[[#This Row],[SERVICIO 2025]],$J$2:$V$15,8,0)*Tabla44[[#This Row],[TOTAL COBERTURA]]</f>
        <v>0</v>
      </c>
      <c r="AP355" s="35">
        <f>VLOOKUP(Tabla44[[#This Row],[SERVICIO 2025]],$J$2:$V$15,3,0)*Tabla44[[#This Row],[TOTAL COBERTURA]]*8</f>
        <v>11477760</v>
      </c>
      <c r="AQ355" s="35"/>
      <c r="AR355" s="35">
        <f>SUM(Tabla44[[#This Row],[VALOR FASE PREPARATORIA DE ALISTAMIENTO]:[VALOR RACION PREPARADA]])</f>
        <v>12154440</v>
      </c>
      <c r="AS355" s="35" t="str">
        <f>+IF(Tabla44[[#This Row],[AGRUPACIONES]]=1,SUMIFS(Tabla44[VALOR TOTAL],Tabla44[ZONA DEFINITIVO],Tabla44[[#This Row],[ZONA DEFINITIVO]])," ")</f>
        <v xml:space="preserve"> </v>
      </c>
      <c r="AT355" s="35">
        <f>VLOOKUP(Tabla44[[#This Row],[SERVICIO 2025]],$J$2:$V$15,10,0)*Tabla44[[#This Row],[TOTAL COBERTURA]]*$X$7</f>
        <v>12052544</v>
      </c>
      <c r="AU355" s="39">
        <f>Tabla44[[#This Row],[TOTAL CONTRATO (ICBF+EAS)]]+Tabla44[[#This Row],[VALOR COMPONENTE ALIMENTACION NO ASIGNADO]]</f>
        <v>24206984</v>
      </c>
      <c r="AV35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3315240</v>
      </c>
      <c r="AW355" s="35">
        <f>(VLOOKUP(Tabla44[[#This Row],[SERVICIO 2025]],$J$2:$V$15,3,0)*Tabla44[[#This Row],[TOTAL COBERTURA]])+VLOOKUP(Tabla44[[#This Row],[SERVICIO 2025]],$J$2:$V$15,10,0)*Tabla44[[#This Row],[TOTAL COBERTURA]]</f>
        <v>2941288</v>
      </c>
      <c r="AX355" s="35">
        <f>(VLOOKUP(Tabla44[[#This Row],[SERVICIO 2025]],$J$2:$V$15,3,0)*Tabla44[[#This Row],[TOTAL COBERTURA]])+VLOOKUP(Tabla44[[#This Row],[SERVICIO 2025]],$J$2:$V$15,10,0)*Tabla44[[#This Row],[TOTAL COBERTURA]]</f>
        <v>2941288</v>
      </c>
      <c r="AY355" s="35">
        <f>(VLOOKUP(Tabla44[[#This Row],[SERVICIO 2025]],$J$2:$V$15,3,0)*Tabla44[[#This Row],[TOTAL COBERTURA]])+VLOOKUP(Tabla44[[#This Row],[SERVICIO 2025]],$J$2:$V$15,10,0)*Tabla44[[#This Row],[TOTAL COBERTURA]]</f>
        <v>2941288</v>
      </c>
      <c r="AZ355" s="35">
        <f>(VLOOKUP(Tabla44[[#This Row],[SERVICIO 2025]],$J$2:$V$15,3,0)*Tabla44[[#This Row],[TOTAL COBERTURA]])+VLOOKUP(Tabla44[[#This Row],[SERVICIO 2025]],$J$2:$V$15,10,0)*Tabla44[[#This Row],[TOTAL COBERTURA]]</f>
        <v>2941288</v>
      </c>
      <c r="BA355" s="35">
        <f>(VLOOKUP(Tabla44[[#This Row],[SERVICIO 2025]],$J$2:$V$15,3,0)*Tabla44[[#This Row],[TOTAL COBERTURA]])+VLOOKUP(Tabla44[[#This Row],[SERVICIO 2025]],$J$2:$V$15,10,0)*Tabla44[[#This Row],[TOTAL COBERTURA]]</f>
        <v>2941288</v>
      </c>
      <c r="BB355" s="35">
        <f>(VLOOKUP(Tabla44[[#This Row],[SERVICIO 2025]],$J$2:$V$15,3,0)*Tabla44[[#This Row],[TOTAL COBERTURA]])+VLOOKUP(Tabla44[[#This Row],[SERVICIO 2025]],$J$2:$V$15,10,0)*Tabla44[[#This Row],[TOTAL COBERTURA]]</f>
        <v>2941288</v>
      </c>
      <c r="BC35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3244016</v>
      </c>
      <c r="BD355" s="35">
        <f>SUM(Tabla44[[#This Row],[DESEMBOLSO 1]:[DESEMBOLSO 8]])</f>
        <v>24206984</v>
      </c>
      <c r="BE355" s="12" t="b">
        <f>EXACT(Tabla44[[#This Row],[VALOR ATENCIÓN (8 MESES)]],Tabla44[[#This Row],[VALOR TOTAL]])</f>
        <v>1</v>
      </c>
      <c r="BF355" s="23">
        <f>Tabla44[[#This Row],[VALOR ATENCIÓN (8 MESES)]]-Tabla44[[#This Row],[VALOR TOTAL]]</f>
        <v>0</v>
      </c>
      <c r="BG355" s="12" t="b">
        <f>EXACT(Tabla44[[#This Row],[TOTAL DESEMBOLSOS]],Tabla44[[#This Row],[VALOR TOTAL DEL CONTRATO INCLUIDO EL COMPONENTE DE ALIMENTACIÓN]])</f>
        <v>1</v>
      </c>
      <c r="BH355" s="29">
        <f>Tabla44[[#This Row],[TOTAL DESEMBOLSOS]]-Tabla44[[#This Row],[VALOR TOTAL DEL CONTRATO INCLUIDO EL COMPONENTE DE ALIMENTACIÓN]]</f>
        <v>0</v>
      </c>
      <c r="BI355" t="s">
        <v>98</v>
      </c>
    </row>
    <row r="356" spans="1:61">
      <c r="A356" s="13">
        <v>1999</v>
      </c>
      <c r="B356" s="13"/>
      <c r="C356" s="12" t="s">
        <v>87</v>
      </c>
      <c r="D356" s="12" t="s">
        <v>673</v>
      </c>
      <c r="E356" s="12" t="s">
        <v>3480</v>
      </c>
      <c r="F356" s="12" t="s">
        <v>21</v>
      </c>
      <c r="G356" s="12" t="s">
        <v>90</v>
      </c>
      <c r="H356" s="12" t="s">
        <v>3495</v>
      </c>
      <c r="I356" s="36">
        <v>56901148716</v>
      </c>
      <c r="J356" s="12" t="s">
        <v>3496</v>
      </c>
      <c r="K356" s="12">
        <v>1</v>
      </c>
      <c r="L356" s="12">
        <v>7</v>
      </c>
      <c r="M356" s="12"/>
      <c r="N356" s="13">
        <v>1999</v>
      </c>
      <c r="O356" s="12" t="s">
        <v>2850</v>
      </c>
      <c r="P356" s="12"/>
      <c r="Q356" s="12"/>
      <c r="R356" s="12" t="s">
        <v>94</v>
      </c>
      <c r="S356" s="12">
        <v>10</v>
      </c>
      <c r="T356" s="12">
        <v>811008215</v>
      </c>
      <c r="U356" s="12" t="s">
        <v>3112</v>
      </c>
      <c r="V356" s="12">
        <f>VLOOKUP(Tabla44[[#This Row],[ZONA DEFINITIVO]],[1]Hoja1!$A$1:$D$125,3,0)</f>
        <v>229942</v>
      </c>
      <c r="W356" s="12">
        <f>VLOOKUP(Tabla44[[#This Row],[ZONA DEFINITIVO]],[1]Hoja1!$A$1:$D$125,2,0)</f>
        <v>17261</v>
      </c>
      <c r="X356" s="12">
        <f>VLOOKUP(Tabla44[[#This Row],[ZONA DEFINITIVO]],[1]Hoja1!$A$1:$D$125,4,0)</f>
        <v>104825</v>
      </c>
      <c r="Y356" s="12" t="str">
        <f>+IF(Tabla44[[#This Row],[AGRUPACIONES]]=1,SUMIFS(Tabla44[UDS],Tabla44[ZONA DEFINITIVO],Tabla44[[#This Row],[ZONA DEFINITIVO]])," ")</f>
        <v xml:space="preserve"> </v>
      </c>
      <c r="Z356" s="12" t="str">
        <f>+IF(Tabla44[[#This Row],[AGRUPACIONES]]=1,SUMIFS(Tabla44[TOTAL COBERTURA],Tabla44[ZONA DEFINITIVO],Tabla44[[#This Row],[ZONA DEFINITIVO]])," ")</f>
        <v xml:space="preserve"> </v>
      </c>
      <c r="AA356" s="12"/>
      <c r="AB356" s="35">
        <v>10635135</v>
      </c>
      <c r="AC356" s="37">
        <v>0</v>
      </c>
      <c r="AD356" s="35">
        <f t="shared" si="6"/>
        <v>0</v>
      </c>
      <c r="AE356" s="12"/>
      <c r="AF356" s="12">
        <f>COUNTIF($A$20:A356,A356)</f>
        <v>36</v>
      </c>
      <c r="AG356" s="38">
        <v>10635135</v>
      </c>
      <c r="AH356" s="38">
        <f>Tabla44[[#This Row],[VALOR CONTRAPARTIDA]]+Tabla44[[#This Row],[TOTAL APORTES ICBF]]</f>
        <v>10635135</v>
      </c>
      <c r="AI356" s="35" t="str">
        <f>+IF(Tabla44[[#This Row],[AGRUPACIONES]]=1,SUMIFS(Tabla44[TOTAL APORTES ICBF],Tabla44[ZONA DEFINITIVO],Tabla44[[#This Row],[ZONA DEFINITIVO]])," ")</f>
        <v xml:space="preserve"> </v>
      </c>
      <c r="AJ356" s="38"/>
      <c r="AK356" s="38"/>
      <c r="AL356" s="35"/>
      <c r="AM356" s="35">
        <f>VLOOKUP(Tabla44[[#This Row],[SERVICIO 2025]],$J$2:$V$15,5,0)*Tabla44[[#This Row],[TOTAL COBERTURA]]</f>
        <v>327208</v>
      </c>
      <c r="AN356" s="35">
        <f>VLOOKUP(Tabla44[[#This Row],[SERVICIO 2025]],$J$2:$V$15,6,0)*Tabla44[[#This Row],[TOTAL COBERTURA]]</f>
        <v>264887</v>
      </c>
      <c r="AO356" s="35">
        <f>VLOOKUP(Tabla44[[#This Row],[SERVICIO 2025]],$J$2:$V$15,8,0)*Tabla44[[#This Row],[TOTAL COBERTURA]]</f>
        <v>0</v>
      </c>
      <c r="AP356" s="35">
        <f>VLOOKUP(Tabla44[[#This Row],[SERVICIO 2025]],$J$2:$V$15,3,0)*Tabla44[[#This Row],[TOTAL COBERTURA]]*8</f>
        <v>10043040</v>
      </c>
      <c r="AQ356" s="35"/>
      <c r="AR356" s="35">
        <f>SUM(Tabla44[[#This Row],[VALOR FASE PREPARATORIA DE ALISTAMIENTO]:[VALOR RACION PREPARADA]])</f>
        <v>10635135</v>
      </c>
      <c r="AS356" s="35" t="str">
        <f>+IF(Tabla44[[#This Row],[AGRUPACIONES]]=1,SUMIFS(Tabla44[VALOR TOTAL],Tabla44[ZONA DEFINITIVO],Tabla44[[#This Row],[ZONA DEFINITIVO]])," ")</f>
        <v xml:space="preserve"> </v>
      </c>
      <c r="AT356" s="35">
        <f>VLOOKUP(Tabla44[[#This Row],[SERVICIO 2025]],$J$2:$V$15,10,0)*Tabla44[[#This Row],[TOTAL COBERTURA]]*$X$7</f>
        <v>10545976</v>
      </c>
      <c r="AU356" s="39">
        <f>Tabla44[[#This Row],[TOTAL CONTRATO (ICBF+EAS)]]+Tabla44[[#This Row],[VALOR COMPONENTE ALIMENTACION NO ASIGNADO]]</f>
        <v>21181111</v>
      </c>
      <c r="AV35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2900835</v>
      </c>
      <c r="AW356" s="35">
        <f>(VLOOKUP(Tabla44[[#This Row],[SERVICIO 2025]],$J$2:$V$15,3,0)*Tabla44[[#This Row],[TOTAL COBERTURA]])+VLOOKUP(Tabla44[[#This Row],[SERVICIO 2025]],$J$2:$V$15,10,0)*Tabla44[[#This Row],[TOTAL COBERTURA]]</f>
        <v>2573627</v>
      </c>
      <c r="AX356" s="35">
        <f>(VLOOKUP(Tabla44[[#This Row],[SERVICIO 2025]],$J$2:$V$15,3,0)*Tabla44[[#This Row],[TOTAL COBERTURA]])+VLOOKUP(Tabla44[[#This Row],[SERVICIO 2025]],$J$2:$V$15,10,0)*Tabla44[[#This Row],[TOTAL COBERTURA]]</f>
        <v>2573627</v>
      </c>
      <c r="AY356" s="35">
        <f>(VLOOKUP(Tabla44[[#This Row],[SERVICIO 2025]],$J$2:$V$15,3,0)*Tabla44[[#This Row],[TOTAL COBERTURA]])+VLOOKUP(Tabla44[[#This Row],[SERVICIO 2025]],$J$2:$V$15,10,0)*Tabla44[[#This Row],[TOTAL COBERTURA]]</f>
        <v>2573627</v>
      </c>
      <c r="AZ356" s="35">
        <f>(VLOOKUP(Tabla44[[#This Row],[SERVICIO 2025]],$J$2:$V$15,3,0)*Tabla44[[#This Row],[TOTAL COBERTURA]])+VLOOKUP(Tabla44[[#This Row],[SERVICIO 2025]],$J$2:$V$15,10,0)*Tabla44[[#This Row],[TOTAL COBERTURA]]</f>
        <v>2573627</v>
      </c>
      <c r="BA356" s="35">
        <f>(VLOOKUP(Tabla44[[#This Row],[SERVICIO 2025]],$J$2:$V$15,3,0)*Tabla44[[#This Row],[TOTAL COBERTURA]])+VLOOKUP(Tabla44[[#This Row],[SERVICIO 2025]],$J$2:$V$15,10,0)*Tabla44[[#This Row],[TOTAL COBERTURA]]</f>
        <v>2573627</v>
      </c>
      <c r="BB356" s="35">
        <f>(VLOOKUP(Tabla44[[#This Row],[SERVICIO 2025]],$J$2:$V$15,3,0)*Tabla44[[#This Row],[TOTAL COBERTURA]])+VLOOKUP(Tabla44[[#This Row],[SERVICIO 2025]],$J$2:$V$15,10,0)*Tabla44[[#This Row],[TOTAL COBERTURA]]</f>
        <v>2573627</v>
      </c>
      <c r="BC35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2838514</v>
      </c>
      <c r="BD356" s="35">
        <f>SUM(Tabla44[[#This Row],[DESEMBOLSO 1]:[DESEMBOLSO 8]])</f>
        <v>21181111</v>
      </c>
      <c r="BE356" s="12" t="b">
        <f>EXACT(Tabla44[[#This Row],[VALOR ATENCIÓN (8 MESES)]],Tabla44[[#This Row],[VALOR TOTAL]])</f>
        <v>1</v>
      </c>
      <c r="BF356" s="23">
        <f>Tabla44[[#This Row],[VALOR ATENCIÓN (8 MESES)]]-Tabla44[[#This Row],[VALOR TOTAL]]</f>
        <v>0</v>
      </c>
      <c r="BG356" s="12" t="b">
        <f>EXACT(Tabla44[[#This Row],[TOTAL DESEMBOLSOS]],Tabla44[[#This Row],[VALOR TOTAL DEL CONTRATO INCLUIDO EL COMPONENTE DE ALIMENTACIÓN]])</f>
        <v>1</v>
      </c>
      <c r="BH356" s="29">
        <f>Tabla44[[#This Row],[TOTAL DESEMBOLSOS]]-Tabla44[[#This Row],[VALOR TOTAL DEL CONTRATO INCLUIDO EL COMPONENTE DE ALIMENTACIÓN]]</f>
        <v>0</v>
      </c>
      <c r="BI356" t="s">
        <v>98</v>
      </c>
    </row>
    <row r="357" spans="1:61">
      <c r="A357" s="13">
        <v>1999</v>
      </c>
      <c r="B357" s="13"/>
      <c r="C357" s="12" t="s">
        <v>87</v>
      </c>
      <c r="D357" s="12" t="s">
        <v>673</v>
      </c>
      <c r="E357" s="12" t="s">
        <v>3480</v>
      </c>
      <c r="F357" s="12" t="s">
        <v>21</v>
      </c>
      <c r="G357" s="12" t="s">
        <v>90</v>
      </c>
      <c r="H357" s="12" t="s">
        <v>3497</v>
      </c>
      <c r="I357" s="36">
        <v>56901153188</v>
      </c>
      <c r="J357" s="12" t="s">
        <v>3498</v>
      </c>
      <c r="K357" s="12">
        <v>1</v>
      </c>
      <c r="L357" s="12">
        <v>44</v>
      </c>
      <c r="M357" s="12"/>
      <c r="N357" s="13">
        <v>1999</v>
      </c>
      <c r="O357" s="12" t="s">
        <v>2850</v>
      </c>
      <c r="P357" s="12"/>
      <c r="Q357" s="12"/>
      <c r="R357" s="12" t="s">
        <v>94</v>
      </c>
      <c r="S357" s="12">
        <v>10</v>
      </c>
      <c r="T357" s="12">
        <v>811008215</v>
      </c>
      <c r="U357" s="12" t="s">
        <v>3112</v>
      </c>
      <c r="V357" s="12">
        <f>VLOOKUP(Tabla44[[#This Row],[ZONA DEFINITIVO]],[1]Hoja1!$A$1:$D$125,3,0)</f>
        <v>229942</v>
      </c>
      <c r="W357" s="12">
        <f>VLOOKUP(Tabla44[[#This Row],[ZONA DEFINITIVO]],[1]Hoja1!$A$1:$D$125,2,0)</f>
        <v>17261</v>
      </c>
      <c r="X357" s="12">
        <f>VLOOKUP(Tabla44[[#This Row],[ZONA DEFINITIVO]],[1]Hoja1!$A$1:$D$125,4,0)</f>
        <v>104825</v>
      </c>
      <c r="Y357" s="12" t="str">
        <f>+IF(Tabla44[[#This Row],[AGRUPACIONES]]=1,SUMIFS(Tabla44[UDS],Tabla44[ZONA DEFINITIVO],Tabla44[[#This Row],[ZONA DEFINITIVO]])," ")</f>
        <v xml:space="preserve"> </v>
      </c>
      <c r="Z357" s="12" t="str">
        <f>+IF(Tabla44[[#This Row],[AGRUPACIONES]]=1,SUMIFS(Tabla44[TOTAL COBERTURA],Tabla44[ZONA DEFINITIVO],Tabla44[[#This Row],[ZONA DEFINITIVO]])," ")</f>
        <v xml:space="preserve"> </v>
      </c>
      <c r="AA357" s="12"/>
      <c r="AB357" s="35">
        <v>66849420</v>
      </c>
      <c r="AC357" s="37">
        <v>0</v>
      </c>
      <c r="AD357" s="35">
        <f t="shared" si="6"/>
        <v>0</v>
      </c>
      <c r="AE357" s="12"/>
      <c r="AF357" s="12">
        <f>COUNTIF($A$20:A357,A357)</f>
        <v>37</v>
      </c>
      <c r="AG357" s="38">
        <v>66849420</v>
      </c>
      <c r="AH357" s="38">
        <f>Tabla44[[#This Row],[VALOR CONTRAPARTIDA]]+Tabla44[[#This Row],[TOTAL APORTES ICBF]]</f>
        <v>66849420</v>
      </c>
      <c r="AI357" s="35" t="str">
        <f>+IF(Tabla44[[#This Row],[AGRUPACIONES]]=1,SUMIFS(Tabla44[TOTAL APORTES ICBF],Tabla44[ZONA DEFINITIVO],Tabla44[[#This Row],[ZONA DEFINITIVO]])," ")</f>
        <v xml:space="preserve"> </v>
      </c>
      <c r="AJ357" s="38"/>
      <c r="AK357" s="38"/>
      <c r="AL357" s="35"/>
      <c r="AM357" s="35">
        <f>VLOOKUP(Tabla44[[#This Row],[SERVICIO 2025]],$J$2:$V$15,5,0)*Tabla44[[#This Row],[TOTAL COBERTURA]]</f>
        <v>2056736</v>
      </c>
      <c r="AN357" s="35">
        <f>VLOOKUP(Tabla44[[#This Row],[SERVICIO 2025]],$J$2:$V$15,6,0)*Tabla44[[#This Row],[TOTAL COBERTURA]]</f>
        <v>1665004</v>
      </c>
      <c r="AO357" s="35">
        <f>VLOOKUP(Tabla44[[#This Row],[SERVICIO 2025]],$J$2:$V$15,8,0)*Tabla44[[#This Row],[TOTAL COBERTURA]]</f>
        <v>0</v>
      </c>
      <c r="AP357" s="35">
        <f>VLOOKUP(Tabla44[[#This Row],[SERVICIO 2025]],$J$2:$V$15,3,0)*Tabla44[[#This Row],[TOTAL COBERTURA]]*8</f>
        <v>63127680</v>
      </c>
      <c r="AQ357" s="35"/>
      <c r="AR357" s="35">
        <f>SUM(Tabla44[[#This Row],[VALOR FASE PREPARATORIA DE ALISTAMIENTO]:[VALOR RACION PREPARADA]])</f>
        <v>66849420</v>
      </c>
      <c r="AS357" s="35" t="str">
        <f>+IF(Tabla44[[#This Row],[AGRUPACIONES]]=1,SUMIFS(Tabla44[VALOR TOTAL],Tabla44[ZONA DEFINITIVO],Tabla44[[#This Row],[ZONA DEFINITIVO]])," ")</f>
        <v xml:space="preserve"> </v>
      </c>
      <c r="AT357" s="35">
        <f>VLOOKUP(Tabla44[[#This Row],[SERVICIO 2025]],$J$2:$V$15,10,0)*Tabla44[[#This Row],[TOTAL COBERTURA]]*$X$7</f>
        <v>66288992</v>
      </c>
      <c r="AU357" s="39">
        <f>Tabla44[[#This Row],[TOTAL CONTRATO (ICBF+EAS)]]+Tabla44[[#This Row],[VALOR COMPONENTE ALIMENTACION NO ASIGNADO]]</f>
        <v>133138412</v>
      </c>
      <c r="AV35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18233820</v>
      </c>
      <c r="AW357" s="35">
        <f>(VLOOKUP(Tabla44[[#This Row],[SERVICIO 2025]],$J$2:$V$15,3,0)*Tabla44[[#This Row],[TOTAL COBERTURA]])+VLOOKUP(Tabla44[[#This Row],[SERVICIO 2025]],$J$2:$V$15,10,0)*Tabla44[[#This Row],[TOTAL COBERTURA]]</f>
        <v>16177084</v>
      </c>
      <c r="AX357" s="35">
        <f>(VLOOKUP(Tabla44[[#This Row],[SERVICIO 2025]],$J$2:$V$15,3,0)*Tabla44[[#This Row],[TOTAL COBERTURA]])+VLOOKUP(Tabla44[[#This Row],[SERVICIO 2025]],$J$2:$V$15,10,0)*Tabla44[[#This Row],[TOTAL COBERTURA]]</f>
        <v>16177084</v>
      </c>
      <c r="AY357" s="35">
        <f>(VLOOKUP(Tabla44[[#This Row],[SERVICIO 2025]],$J$2:$V$15,3,0)*Tabla44[[#This Row],[TOTAL COBERTURA]])+VLOOKUP(Tabla44[[#This Row],[SERVICIO 2025]],$J$2:$V$15,10,0)*Tabla44[[#This Row],[TOTAL COBERTURA]]</f>
        <v>16177084</v>
      </c>
      <c r="AZ357" s="35">
        <f>(VLOOKUP(Tabla44[[#This Row],[SERVICIO 2025]],$J$2:$V$15,3,0)*Tabla44[[#This Row],[TOTAL COBERTURA]])+VLOOKUP(Tabla44[[#This Row],[SERVICIO 2025]],$J$2:$V$15,10,0)*Tabla44[[#This Row],[TOTAL COBERTURA]]</f>
        <v>16177084</v>
      </c>
      <c r="BA357" s="35">
        <f>(VLOOKUP(Tabla44[[#This Row],[SERVICIO 2025]],$J$2:$V$15,3,0)*Tabla44[[#This Row],[TOTAL COBERTURA]])+VLOOKUP(Tabla44[[#This Row],[SERVICIO 2025]],$J$2:$V$15,10,0)*Tabla44[[#This Row],[TOTAL COBERTURA]]</f>
        <v>16177084</v>
      </c>
      <c r="BB357" s="35">
        <f>(VLOOKUP(Tabla44[[#This Row],[SERVICIO 2025]],$J$2:$V$15,3,0)*Tabla44[[#This Row],[TOTAL COBERTURA]])+VLOOKUP(Tabla44[[#This Row],[SERVICIO 2025]],$J$2:$V$15,10,0)*Tabla44[[#This Row],[TOTAL COBERTURA]]</f>
        <v>16177084</v>
      </c>
      <c r="BC35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17842088</v>
      </c>
      <c r="BD357" s="35">
        <f>SUM(Tabla44[[#This Row],[DESEMBOLSO 1]:[DESEMBOLSO 8]])</f>
        <v>133138412</v>
      </c>
      <c r="BE357" s="12" t="b">
        <f>EXACT(Tabla44[[#This Row],[VALOR ATENCIÓN (8 MESES)]],Tabla44[[#This Row],[VALOR TOTAL]])</f>
        <v>1</v>
      </c>
      <c r="BF357" s="23">
        <f>Tabla44[[#This Row],[VALOR ATENCIÓN (8 MESES)]]-Tabla44[[#This Row],[VALOR TOTAL]]</f>
        <v>0</v>
      </c>
      <c r="BG357" s="12" t="b">
        <f>EXACT(Tabla44[[#This Row],[TOTAL DESEMBOLSOS]],Tabla44[[#This Row],[VALOR TOTAL DEL CONTRATO INCLUIDO EL COMPONENTE DE ALIMENTACIÓN]])</f>
        <v>1</v>
      </c>
      <c r="BH357" s="29">
        <f>Tabla44[[#This Row],[TOTAL DESEMBOLSOS]]-Tabla44[[#This Row],[VALOR TOTAL DEL CONTRATO INCLUIDO EL COMPONENTE DE ALIMENTACIÓN]]</f>
        <v>0</v>
      </c>
      <c r="BI357" t="s">
        <v>98</v>
      </c>
    </row>
    <row r="358" spans="1:61">
      <c r="A358" s="13">
        <v>1999</v>
      </c>
      <c r="B358" s="13"/>
      <c r="C358" s="12" t="s">
        <v>87</v>
      </c>
      <c r="D358" s="12" t="s">
        <v>673</v>
      </c>
      <c r="E358" s="12" t="s">
        <v>3480</v>
      </c>
      <c r="F358" s="12" t="s">
        <v>21</v>
      </c>
      <c r="G358" s="12" t="s">
        <v>90</v>
      </c>
      <c r="H358" s="12" t="s">
        <v>3499</v>
      </c>
      <c r="I358" s="36">
        <v>56901153413</v>
      </c>
      <c r="J358" s="12" t="s">
        <v>3500</v>
      </c>
      <c r="K358" s="12">
        <v>1</v>
      </c>
      <c r="L358" s="12">
        <v>31</v>
      </c>
      <c r="M358" s="12"/>
      <c r="N358" s="13">
        <v>1999</v>
      </c>
      <c r="O358" s="12" t="s">
        <v>2850</v>
      </c>
      <c r="P358" s="12"/>
      <c r="Q358" s="12"/>
      <c r="R358" s="12" t="s">
        <v>94</v>
      </c>
      <c r="S358" s="12">
        <v>10</v>
      </c>
      <c r="T358" s="12">
        <v>811008215</v>
      </c>
      <c r="U358" s="12" t="s">
        <v>3112</v>
      </c>
      <c r="V358" s="12">
        <f>VLOOKUP(Tabla44[[#This Row],[ZONA DEFINITIVO]],[1]Hoja1!$A$1:$D$125,3,0)</f>
        <v>229942</v>
      </c>
      <c r="W358" s="12">
        <f>VLOOKUP(Tabla44[[#This Row],[ZONA DEFINITIVO]],[1]Hoja1!$A$1:$D$125,2,0)</f>
        <v>17261</v>
      </c>
      <c r="X358" s="12">
        <f>VLOOKUP(Tabla44[[#This Row],[ZONA DEFINITIVO]],[1]Hoja1!$A$1:$D$125,4,0)</f>
        <v>104825</v>
      </c>
      <c r="Y358" s="12" t="str">
        <f>+IF(Tabla44[[#This Row],[AGRUPACIONES]]=1,SUMIFS(Tabla44[UDS],Tabla44[ZONA DEFINITIVO],Tabla44[[#This Row],[ZONA DEFINITIVO]])," ")</f>
        <v xml:space="preserve"> </v>
      </c>
      <c r="Z358" s="12" t="str">
        <f>+IF(Tabla44[[#This Row],[AGRUPACIONES]]=1,SUMIFS(Tabla44[TOTAL COBERTURA],Tabla44[ZONA DEFINITIVO],Tabla44[[#This Row],[ZONA DEFINITIVO]])," ")</f>
        <v xml:space="preserve"> </v>
      </c>
      <c r="AA358" s="12"/>
      <c r="AB358" s="35">
        <v>47098455</v>
      </c>
      <c r="AC358" s="37">
        <v>0</v>
      </c>
      <c r="AD358" s="35">
        <f t="shared" si="6"/>
        <v>0</v>
      </c>
      <c r="AE358" s="12"/>
      <c r="AF358" s="12">
        <f>COUNTIF($A$20:A358,A358)</f>
        <v>38</v>
      </c>
      <c r="AG358" s="38">
        <v>47098455</v>
      </c>
      <c r="AH358" s="38">
        <f>Tabla44[[#This Row],[VALOR CONTRAPARTIDA]]+Tabla44[[#This Row],[TOTAL APORTES ICBF]]</f>
        <v>47098455</v>
      </c>
      <c r="AI358" s="35" t="str">
        <f>+IF(Tabla44[[#This Row],[AGRUPACIONES]]=1,SUMIFS(Tabla44[TOTAL APORTES ICBF],Tabla44[ZONA DEFINITIVO],Tabla44[[#This Row],[ZONA DEFINITIVO]])," ")</f>
        <v xml:space="preserve"> </v>
      </c>
      <c r="AJ358" s="38"/>
      <c r="AK358" s="38"/>
      <c r="AL358" s="35"/>
      <c r="AM358" s="35">
        <f>VLOOKUP(Tabla44[[#This Row],[SERVICIO 2025]],$J$2:$V$15,5,0)*Tabla44[[#This Row],[TOTAL COBERTURA]]</f>
        <v>1449064</v>
      </c>
      <c r="AN358" s="35">
        <f>VLOOKUP(Tabla44[[#This Row],[SERVICIO 2025]],$J$2:$V$15,6,0)*Tabla44[[#This Row],[TOTAL COBERTURA]]</f>
        <v>1173071</v>
      </c>
      <c r="AO358" s="35">
        <f>VLOOKUP(Tabla44[[#This Row],[SERVICIO 2025]],$J$2:$V$15,8,0)*Tabla44[[#This Row],[TOTAL COBERTURA]]</f>
        <v>0</v>
      </c>
      <c r="AP358" s="35">
        <f>VLOOKUP(Tabla44[[#This Row],[SERVICIO 2025]],$J$2:$V$15,3,0)*Tabla44[[#This Row],[TOTAL COBERTURA]]*8</f>
        <v>44476320</v>
      </c>
      <c r="AQ358" s="35"/>
      <c r="AR358" s="35">
        <f>SUM(Tabla44[[#This Row],[VALOR FASE PREPARATORIA DE ALISTAMIENTO]:[VALOR RACION PREPARADA]])</f>
        <v>47098455</v>
      </c>
      <c r="AS358" s="35" t="str">
        <f>+IF(Tabla44[[#This Row],[AGRUPACIONES]]=1,SUMIFS(Tabla44[VALOR TOTAL],Tabla44[ZONA DEFINITIVO],Tabla44[[#This Row],[ZONA DEFINITIVO]])," ")</f>
        <v xml:space="preserve"> </v>
      </c>
      <c r="AT358" s="35">
        <f>VLOOKUP(Tabla44[[#This Row],[SERVICIO 2025]],$J$2:$V$15,10,0)*Tabla44[[#This Row],[TOTAL COBERTURA]]*$X$7</f>
        <v>46703608</v>
      </c>
      <c r="AU358" s="39">
        <f>Tabla44[[#This Row],[TOTAL CONTRATO (ICBF+EAS)]]+Tabla44[[#This Row],[VALOR COMPONENTE ALIMENTACION NO ASIGNADO]]</f>
        <v>93802063</v>
      </c>
      <c r="AV35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12846555</v>
      </c>
      <c r="AW358" s="35">
        <f>(VLOOKUP(Tabla44[[#This Row],[SERVICIO 2025]],$J$2:$V$15,3,0)*Tabla44[[#This Row],[TOTAL COBERTURA]])+VLOOKUP(Tabla44[[#This Row],[SERVICIO 2025]],$J$2:$V$15,10,0)*Tabla44[[#This Row],[TOTAL COBERTURA]]</f>
        <v>11397491</v>
      </c>
      <c r="AX358" s="35">
        <f>(VLOOKUP(Tabla44[[#This Row],[SERVICIO 2025]],$J$2:$V$15,3,0)*Tabla44[[#This Row],[TOTAL COBERTURA]])+VLOOKUP(Tabla44[[#This Row],[SERVICIO 2025]],$J$2:$V$15,10,0)*Tabla44[[#This Row],[TOTAL COBERTURA]]</f>
        <v>11397491</v>
      </c>
      <c r="AY358" s="35">
        <f>(VLOOKUP(Tabla44[[#This Row],[SERVICIO 2025]],$J$2:$V$15,3,0)*Tabla44[[#This Row],[TOTAL COBERTURA]])+VLOOKUP(Tabla44[[#This Row],[SERVICIO 2025]],$J$2:$V$15,10,0)*Tabla44[[#This Row],[TOTAL COBERTURA]]</f>
        <v>11397491</v>
      </c>
      <c r="AZ358" s="35">
        <f>(VLOOKUP(Tabla44[[#This Row],[SERVICIO 2025]],$J$2:$V$15,3,0)*Tabla44[[#This Row],[TOTAL COBERTURA]])+VLOOKUP(Tabla44[[#This Row],[SERVICIO 2025]],$J$2:$V$15,10,0)*Tabla44[[#This Row],[TOTAL COBERTURA]]</f>
        <v>11397491</v>
      </c>
      <c r="BA358" s="35">
        <f>(VLOOKUP(Tabla44[[#This Row],[SERVICIO 2025]],$J$2:$V$15,3,0)*Tabla44[[#This Row],[TOTAL COBERTURA]])+VLOOKUP(Tabla44[[#This Row],[SERVICIO 2025]],$J$2:$V$15,10,0)*Tabla44[[#This Row],[TOTAL COBERTURA]]</f>
        <v>11397491</v>
      </c>
      <c r="BB358" s="35">
        <f>(VLOOKUP(Tabla44[[#This Row],[SERVICIO 2025]],$J$2:$V$15,3,0)*Tabla44[[#This Row],[TOTAL COBERTURA]])+VLOOKUP(Tabla44[[#This Row],[SERVICIO 2025]],$J$2:$V$15,10,0)*Tabla44[[#This Row],[TOTAL COBERTURA]]</f>
        <v>11397491</v>
      </c>
      <c r="BC35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12570562</v>
      </c>
      <c r="BD358" s="35">
        <f>SUM(Tabla44[[#This Row],[DESEMBOLSO 1]:[DESEMBOLSO 8]])</f>
        <v>93802063</v>
      </c>
      <c r="BE358" s="12" t="b">
        <f>EXACT(Tabla44[[#This Row],[VALOR ATENCIÓN (8 MESES)]],Tabla44[[#This Row],[VALOR TOTAL]])</f>
        <v>1</v>
      </c>
      <c r="BF358" s="23">
        <f>Tabla44[[#This Row],[VALOR ATENCIÓN (8 MESES)]]-Tabla44[[#This Row],[VALOR TOTAL]]</f>
        <v>0</v>
      </c>
      <c r="BG358" s="12" t="b">
        <f>EXACT(Tabla44[[#This Row],[TOTAL DESEMBOLSOS]],Tabla44[[#This Row],[VALOR TOTAL DEL CONTRATO INCLUIDO EL COMPONENTE DE ALIMENTACIÓN]])</f>
        <v>1</v>
      </c>
      <c r="BH358" s="29">
        <f>Tabla44[[#This Row],[TOTAL DESEMBOLSOS]]-Tabla44[[#This Row],[VALOR TOTAL DEL CONTRATO INCLUIDO EL COMPONENTE DE ALIMENTACIÓN]]</f>
        <v>0</v>
      </c>
      <c r="BI358" t="s">
        <v>98</v>
      </c>
    </row>
    <row r="359" spans="1:61">
      <c r="A359" s="13">
        <v>1999</v>
      </c>
      <c r="B359" s="13"/>
      <c r="C359" s="12" t="s">
        <v>87</v>
      </c>
      <c r="D359" s="12" t="s">
        <v>673</v>
      </c>
      <c r="E359" s="12" t="s">
        <v>3480</v>
      </c>
      <c r="F359" s="12" t="s">
        <v>21</v>
      </c>
      <c r="G359" s="12" t="s">
        <v>90</v>
      </c>
      <c r="H359" s="12" t="s">
        <v>3501</v>
      </c>
      <c r="I359" s="36">
        <v>56901153414</v>
      </c>
      <c r="J359" s="12" t="s">
        <v>3502</v>
      </c>
      <c r="K359" s="12">
        <v>1</v>
      </c>
      <c r="L359" s="12">
        <v>18</v>
      </c>
      <c r="M359" s="12"/>
      <c r="N359" s="13">
        <v>1999</v>
      </c>
      <c r="O359" s="12" t="s">
        <v>2850</v>
      </c>
      <c r="P359" s="12"/>
      <c r="Q359" s="12"/>
      <c r="R359" s="12" t="s">
        <v>94</v>
      </c>
      <c r="S359" s="12">
        <v>10</v>
      </c>
      <c r="T359" s="12">
        <v>811008215</v>
      </c>
      <c r="U359" s="12" t="s">
        <v>3112</v>
      </c>
      <c r="V359" s="12">
        <f>VLOOKUP(Tabla44[[#This Row],[ZONA DEFINITIVO]],[1]Hoja1!$A$1:$D$125,3,0)</f>
        <v>229942</v>
      </c>
      <c r="W359" s="12">
        <f>VLOOKUP(Tabla44[[#This Row],[ZONA DEFINITIVO]],[1]Hoja1!$A$1:$D$125,2,0)</f>
        <v>17261</v>
      </c>
      <c r="X359" s="12">
        <f>VLOOKUP(Tabla44[[#This Row],[ZONA DEFINITIVO]],[1]Hoja1!$A$1:$D$125,4,0)</f>
        <v>104825</v>
      </c>
      <c r="Y359" s="12" t="str">
        <f>+IF(Tabla44[[#This Row],[AGRUPACIONES]]=1,SUMIFS(Tabla44[UDS],Tabla44[ZONA DEFINITIVO],Tabla44[[#This Row],[ZONA DEFINITIVO]])," ")</f>
        <v xml:space="preserve"> </v>
      </c>
      <c r="Z359" s="12" t="str">
        <f>+IF(Tabla44[[#This Row],[AGRUPACIONES]]=1,SUMIFS(Tabla44[TOTAL COBERTURA],Tabla44[ZONA DEFINITIVO],Tabla44[[#This Row],[ZONA DEFINITIVO]])," ")</f>
        <v xml:space="preserve"> </v>
      </c>
      <c r="AA359" s="12"/>
      <c r="AB359" s="35">
        <v>27347490</v>
      </c>
      <c r="AC359" s="37">
        <v>0</v>
      </c>
      <c r="AD359" s="35">
        <f t="shared" si="6"/>
        <v>0</v>
      </c>
      <c r="AE359" s="12"/>
      <c r="AF359" s="12">
        <f>COUNTIF($A$20:A359,A359)</f>
        <v>39</v>
      </c>
      <c r="AG359" s="38">
        <v>27347490</v>
      </c>
      <c r="AH359" s="38">
        <f>Tabla44[[#This Row],[VALOR CONTRAPARTIDA]]+Tabla44[[#This Row],[TOTAL APORTES ICBF]]</f>
        <v>27347490</v>
      </c>
      <c r="AI359" s="35" t="str">
        <f>+IF(Tabla44[[#This Row],[AGRUPACIONES]]=1,SUMIFS(Tabla44[TOTAL APORTES ICBF],Tabla44[ZONA DEFINITIVO],Tabla44[[#This Row],[ZONA DEFINITIVO]])," ")</f>
        <v xml:space="preserve"> </v>
      </c>
      <c r="AJ359" s="38"/>
      <c r="AK359" s="38"/>
      <c r="AL359" s="35"/>
      <c r="AM359" s="35">
        <f>VLOOKUP(Tabla44[[#This Row],[SERVICIO 2025]],$J$2:$V$15,5,0)*Tabla44[[#This Row],[TOTAL COBERTURA]]</f>
        <v>841392</v>
      </c>
      <c r="AN359" s="35">
        <f>VLOOKUP(Tabla44[[#This Row],[SERVICIO 2025]],$J$2:$V$15,6,0)*Tabla44[[#This Row],[TOTAL COBERTURA]]</f>
        <v>681138</v>
      </c>
      <c r="AO359" s="35">
        <f>VLOOKUP(Tabla44[[#This Row],[SERVICIO 2025]],$J$2:$V$15,8,0)*Tabla44[[#This Row],[TOTAL COBERTURA]]</f>
        <v>0</v>
      </c>
      <c r="AP359" s="35">
        <f>VLOOKUP(Tabla44[[#This Row],[SERVICIO 2025]],$J$2:$V$15,3,0)*Tabla44[[#This Row],[TOTAL COBERTURA]]*8</f>
        <v>25824960</v>
      </c>
      <c r="AQ359" s="35"/>
      <c r="AR359" s="35">
        <f>SUM(Tabla44[[#This Row],[VALOR FASE PREPARATORIA DE ALISTAMIENTO]:[VALOR RACION PREPARADA]])</f>
        <v>27347490</v>
      </c>
      <c r="AS359" s="35" t="str">
        <f>+IF(Tabla44[[#This Row],[AGRUPACIONES]]=1,SUMIFS(Tabla44[VALOR TOTAL],Tabla44[ZONA DEFINITIVO],Tabla44[[#This Row],[ZONA DEFINITIVO]])," ")</f>
        <v xml:space="preserve"> </v>
      </c>
      <c r="AT359" s="35">
        <f>VLOOKUP(Tabla44[[#This Row],[SERVICIO 2025]],$J$2:$V$15,10,0)*Tabla44[[#This Row],[TOTAL COBERTURA]]*$X$7</f>
        <v>27118224</v>
      </c>
      <c r="AU359" s="39">
        <f>Tabla44[[#This Row],[TOTAL CONTRATO (ICBF+EAS)]]+Tabla44[[#This Row],[VALOR COMPONENTE ALIMENTACION NO ASIGNADO]]</f>
        <v>54465714</v>
      </c>
      <c r="AV35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7459290</v>
      </c>
      <c r="AW359" s="35">
        <f>(VLOOKUP(Tabla44[[#This Row],[SERVICIO 2025]],$J$2:$V$15,3,0)*Tabla44[[#This Row],[TOTAL COBERTURA]])+VLOOKUP(Tabla44[[#This Row],[SERVICIO 2025]],$J$2:$V$15,10,0)*Tabla44[[#This Row],[TOTAL COBERTURA]]</f>
        <v>6617898</v>
      </c>
      <c r="AX359" s="35">
        <f>(VLOOKUP(Tabla44[[#This Row],[SERVICIO 2025]],$J$2:$V$15,3,0)*Tabla44[[#This Row],[TOTAL COBERTURA]])+VLOOKUP(Tabla44[[#This Row],[SERVICIO 2025]],$J$2:$V$15,10,0)*Tabla44[[#This Row],[TOTAL COBERTURA]]</f>
        <v>6617898</v>
      </c>
      <c r="AY359" s="35">
        <f>(VLOOKUP(Tabla44[[#This Row],[SERVICIO 2025]],$J$2:$V$15,3,0)*Tabla44[[#This Row],[TOTAL COBERTURA]])+VLOOKUP(Tabla44[[#This Row],[SERVICIO 2025]],$J$2:$V$15,10,0)*Tabla44[[#This Row],[TOTAL COBERTURA]]</f>
        <v>6617898</v>
      </c>
      <c r="AZ359" s="35">
        <f>(VLOOKUP(Tabla44[[#This Row],[SERVICIO 2025]],$J$2:$V$15,3,0)*Tabla44[[#This Row],[TOTAL COBERTURA]])+VLOOKUP(Tabla44[[#This Row],[SERVICIO 2025]],$J$2:$V$15,10,0)*Tabla44[[#This Row],[TOTAL COBERTURA]]</f>
        <v>6617898</v>
      </c>
      <c r="BA359" s="35">
        <f>(VLOOKUP(Tabla44[[#This Row],[SERVICIO 2025]],$J$2:$V$15,3,0)*Tabla44[[#This Row],[TOTAL COBERTURA]])+VLOOKUP(Tabla44[[#This Row],[SERVICIO 2025]],$J$2:$V$15,10,0)*Tabla44[[#This Row],[TOTAL COBERTURA]]</f>
        <v>6617898</v>
      </c>
      <c r="BB359" s="35">
        <f>(VLOOKUP(Tabla44[[#This Row],[SERVICIO 2025]],$J$2:$V$15,3,0)*Tabla44[[#This Row],[TOTAL COBERTURA]])+VLOOKUP(Tabla44[[#This Row],[SERVICIO 2025]],$J$2:$V$15,10,0)*Tabla44[[#This Row],[TOTAL COBERTURA]]</f>
        <v>6617898</v>
      </c>
      <c r="BC35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7299036</v>
      </c>
      <c r="BD359" s="35">
        <f>SUM(Tabla44[[#This Row],[DESEMBOLSO 1]:[DESEMBOLSO 8]])</f>
        <v>54465714</v>
      </c>
      <c r="BE359" s="12" t="b">
        <f>EXACT(Tabla44[[#This Row],[VALOR ATENCIÓN (8 MESES)]],Tabla44[[#This Row],[VALOR TOTAL]])</f>
        <v>1</v>
      </c>
      <c r="BF359" s="23">
        <f>Tabla44[[#This Row],[VALOR ATENCIÓN (8 MESES)]]-Tabla44[[#This Row],[VALOR TOTAL]]</f>
        <v>0</v>
      </c>
      <c r="BG359" s="12" t="b">
        <f>EXACT(Tabla44[[#This Row],[TOTAL DESEMBOLSOS]],Tabla44[[#This Row],[VALOR TOTAL DEL CONTRATO INCLUIDO EL COMPONENTE DE ALIMENTACIÓN]])</f>
        <v>1</v>
      </c>
      <c r="BH359" s="29">
        <f>Tabla44[[#This Row],[TOTAL DESEMBOLSOS]]-Tabla44[[#This Row],[VALOR TOTAL DEL CONTRATO INCLUIDO EL COMPONENTE DE ALIMENTACIÓN]]</f>
        <v>0</v>
      </c>
      <c r="BI359" t="s">
        <v>98</v>
      </c>
    </row>
    <row r="360" spans="1:61">
      <c r="A360" s="13">
        <v>1999</v>
      </c>
      <c r="B360" s="13"/>
      <c r="C360" s="12" t="s">
        <v>87</v>
      </c>
      <c r="D360" s="12" t="s">
        <v>673</v>
      </c>
      <c r="E360" s="12" t="s">
        <v>3480</v>
      </c>
      <c r="F360" s="12" t="s">
        <v>21</v>
      </c>
      <c r="G360" s="12" t="s">
        <v>90</v>
      </c>
      <c r="H360" s="12" t="s">
        <v>3503</v>
      </c>
      <c r="I360" s="36">
        <v>56901153415</v>
      </c>
      <c r="J360" s="12" t="s">
        <v>3504</v>
      </c>
      <c r="K360" s="12">
        <v>1</v>
      </c>
      <c r="L360" s="12">
        <v>122</v>
      </c>
      <c r="M360" s="12"/>
      <c r="N360" s="13">
        <v>1999</v>
      </c>
      <c r="O360" s="12" t="s">
        <v>2850</v>
      </c>
      <c r="P360" s="12"/>
      <c r="Q360" s="12"/>
      <c r="R360" s="12" t="s">
        <v>94</v>
      </c>
      <c r="S360" s="12">
        <v>10</v>
      </c>
      <c r="T360" s="12">
        <v>811008215</v>
      </c>
      <c r="U360" s="12" t="s">
        <v>3112</v>
      </c>
      <c r="V360" s="12">
        <f>VLOOKUP(Tabla44[[#This Row],[ZONA DEFINITIVO]],[1]Hoja1!$A$1:$D$125,3,0)</f>
        <v>229942</v>
      </c>
      <c r="W360" s="12">
        <f>VLOOKUP(Tabla44[[#This Row],[ZONA DEFINITIVO]],[1]Hoja1!$A$1:$D$125,2,0)</f>
        <v>17261</v>
      </c>
      <c r="X360" s="12">
        <f>VLOOKUP(Tabla44[[#This Row],[ZONA DEFINITIVO]],[1]Hoja1!$A$1:$D$125,4,0)</f>
        <v>104825</v>
      </c>
      <c r="Y360" s="12" t="str">
        <f>+IF(Tabla44[[#This Row],[AGRUPACIONES]]=1,SUMIFS(Tabla44[UDS],Tabla44[ZONA DEFINITIVO],Tabla44[[#This Row],[ZONA DEFINITIVO]])," ")</f>
        <v xml:space="preserve"> </v>
      </c>
      <c r="Z360" s="12" t="str">
        <f>+IF(Tabla44[[#This Row],[AGRUPACIONES]]=1,SUMIFS(Tabla44[TOTAL COBERTURA],Tabla44[ZONA DEFINITIVO],Tabla44[[#This Row],[ZONA DEFINITIVO]])," ")</f>
        <v xml:space="preserve"> </v>
      </c>
      <c r="AA360" s="12"/>
      <c r="AB360" s="35">
        <v>185355210</v>
      </c>
      <c r="AC360" s="37">
        <v>0</v>
      </c>
      <c r="AD360" s="35">
        <f t="shared" si="6"/>
        <v>0</v>
      </c>
      <c r="AE360" s="12"/>
      <c r="AF360" s="12">
        <f>COUNTIF($A$20:A360,A360)</f>
        <v>40</v>
      </c>
      <c r="AG360" s="38">
        <v>185355210</v>
      </c>
      <c r="AH360" s="38">
        <f>Tabla44[[#This Row],[VALOR CONTRAPARTIDA]]+Tabla44[[#This Row],[TOTAL APORTES ICBF]]</f>
        <v>185355210</v>
      </c>
      <c r="AI360" s="35" t="str">
        <f>+IF(Tabla44[[#This Row],[AGRUPACIONES]]=1,SUMIFS(Tabla44[TOTAL APORTES ICBF],Tabla44[ZONA DEFINITIVO],Tabla44[[#This Row],[ZONA DEFINITIVO]])," ")</f>
        <v xml:space="preserve"> </v>
      </c>
      <c r="AJ360" s="38"/>
      <c r="AK360" s="38"/>
      <c r="AL360" s="35"/>
      <c r="AM360" s="35">
        <f>VLOOKUP(Tabla44[[#This Row],[SERVICIO 2025]],$J$2:$V$15,5,0)*Tabla44[[#This Row],[TOTAL COBERTURA]]</f>
        <v>5702768</v>
      </c>
      <c r="AN360" s="35">
        <f>VLOOKUP(Tabla44[[#This Row],[SERVICIO 2025]],$J$2:$V$15,6,0)*Tabla44[[#This Row],[TOTAL COBERTURA]]</f>
        <v>4616602</v>
      </c>
      <c r="AO360" s="35">
        <f>VLOOKUP(Tabla44[[#This Row],[SERVICIO 2025]],$J$2:$V$15,8,0)*Tabla44[[#This Row],[TOTAL COBERTURA]]</f>
        <v>0</v>
      </c>
      <c r="AP360" s="35">
        <f>VLOOKUP(Tabla44[[#This Row],[SERVICIO 2025]],$J$2:$V$15,3,0)*Tabla44[[#This Row],[TOTAL COBERTURA]]*8</f>
        <v>175035840</v>
      </c>
      <c r="AQ360" s="35"/>
      <c r="AR360" s="35">
        <f>SUM(Tabla44[[#This Row],[VALOR FASE PREPARATORIA DE ALISTAMIENTO]:[VALOR RACION PREPARADA]])</f>
        <v>185355210</v>
      </c>
      <c r="AS360" s="35" t="str">
        <f>+IF(Tabla44[[#This Row],[AGRUPACIONES]]=1,SUMIFS(Tabla44[VALOR TOTAL],Tabla44[ZONA DEFINITIVO],Tabla44[[#This Row],[ZONA DEFINITIVO]])," ")</f>
        <v xml:space="preserve"> </v>
      </c>
      <c r="AT360" s="35">
        <f>VLOOKUP(Tabla44[[#This Row],[SERVICIO 2025]],$J$2:$V$15,10,0)*Tabla44[[#This Row],[TOTAL COBERTURA]]*$X$7</f>
        <v>183801296</v>
      </c>
      <c r="AU360" s="39">
        <f>Tabla44[[#This Row],[TOTAL CONTRATO (ICBF+EAS)]]+Tabla44[[#This Row],[VALOR COMPONENTE ALIMENTACION NO ASIGNADO]]</f>
        <v>369156506</v>
      </c>
      <c r="AV36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50557410</v>
      </c>
      <c r="AW360" s="35">
        <f>(VLOOKUP(Tabla44[[#This Row],[SERVICIO 2025]],$J$2:$V$15,3,0)*Tabla44[[#This Row],[TOTAL COBERTURA]])+VLOOKUP(Tabla44[[#This Row],[SERVICIO 2025]],$J$2:$V$15,10,0)*Tabla44[[#This Row],[TOTAL COBERTURA]]</f>
        <v>44854642</v>
      </c>
      <c r="AX360" s="35">
        <f>(VLOOKUP(Tabla44[[#This Row],[SERVICIO 2025]],$J$2:$V$15,3,0)*Tabla44[[#This Row],[TOTAL COBERTURA]])+VLOOKUP(Tabla44[[#This Row],[SERVICIO 2025]],$J$2:$V$15,10,0)*Tabla44[[#This Row],[TOTAL COBERTURA]]</f>
        <v>44854642</v>
      </c>
      <c r="AY360" s="35">
        <f>(VLOOKUP(Tabla44[[#This Row],[SERVICIO 2025]],$J$2:$V$15,3,0)*Tabla44[[#This Row],[TOTAL COBERTURA]])+VLOOKUP(Tabla44[[#This Row],[SERVICIO 2025]],$J$2:$V$15,10,0)*Tabla44[[#This Row],[TOTAL COBERTURA]]</f>
        <v>44854642</v>
      </c>
      <c r="AZ360" s="35">
        <f>(VLOOKUP(Tabla44[[#This Row],[SERVICIO 2025]],$J$2:$V$15,3,0)*Tabla44[[#This Row],[TOTAL COBERTURA]])+VLOOKUP(Tabla44[[#This Row],[SERVICIO 2025]],$J$2:$V$15,10,0)*Tabla44[[#This Row],[TOTAL COBERTURA]]</f>
        <v>44854642</v>
      </c>
      <c r="BA360" s="35">
        <f>(VLOOKUP(Tabla44[[#This Row],[SERVICIO 2025]],$J$2:$V$15,3,0)*Tabla44[[#This Row],[TOTAL COBERTURA]])+VLOOKUP(Tabla44[[#This Row],[SERVICIO 2025]],$J$2:$V$15,10,0)*Tabla44[[#This Row],[TOTAL COBERTURA]]</f>
        <v>44854642</v>
      </c>
      <c r="BB360" s="35">
        <f>(VLOOKUP(Tabla44[[#This Row],[SERVICIO 2025]],$J$2:$V$15,3,0)*Tabla44[[#This Row],[TOTAL COBERTURA]])+VLOOKUP(Tabla44[[#This Row],[SERVICIO 2025]],$J$2:$V$15,10,0)*Tabla44[[#This Row],[TOTAL COBERTURA]]</f>
        <v>44854642</v>
      </c>
      <c r="BC36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49471244</v>
      </c>
      <c r="BD360" s="35">
        <f>SUM(Tabla44[[#This Row],[DESEMBOLSO 1]:[DESEMBOLSO 8]])</f>
        <v>369156506</v>
      </c>
      <c r="BE360" s="12" t="b">
        <f>EXACT(Tabla44[[#This Row],[VALOR ATENCIÓN (8 MESES)]],Tabla44[[#This Row],[VALOR TOTAL]])</f>
        <v>1</v>
      </c>
      <c r="BF360" s="23">
        <f>Tabla44[[#This Row],[VALOR ATENCIÓN (8 MESES)]]-Tabla44[[#This Row],[VALOR TOTAL]]</f>
        <v>0</v>
      </c>
      <c r="BG360" s="12" t="b">
        <f>EXACT(Tabla44[[#This Row],[TOTAL DESEMBOLSOS]],Tabla44[[#This Row],[VALOR TOTAL DEL CONTRATO INCLUIDO EL COMPONENTE DE ALIMENTACIÓN]])</f>
        <v>1</v>
      </c>
      <c r="BH360" s="29">
        <f>Tabla44[[#This Row],[TOTAL DESEMBOLSOS]]-Tabla44[[#This Row],[VALOR TOTAL DEL CONTRATO INCLUIDO EL COMPONENTE DE ALIMENTACIÓN]]</f>
        <v>0</v>
      </c>
      <c r="BI360" t="s">
        <v>98</v>
      </c>
    </row>
    <row r="361" spans="1:61">
      <c r="A361" s="13">
        <v>2008</v>
      </c>
      <c r="B361" s="13"/>
      <c r="C361" s="12" t="s">
        <v>87</v>
      </c>
      <c r="D361" s="12" t="s">
        <v>987</v>
      </c>
      <c r="E361" s="12" t="s">
        <v>3505</v>
      </c>
      <c r="F361" s="12" t="s">
        <v>15</v>
      </c>
      <c r="G361" s="12" t="s">
        <v>90</v>
      </c>
      <c r="H361" s="12" t="s">
        <v>3506</v>
      </c>
      <c r="I361" s="36">
        <v>549500104331</v>
      </c>
      <c r="J361" s="12" t="s">
        <v>3507</v>
      </c>
      <c r="K361" s="12">
        <v>1</v>
      </c>
      <c r="L361" s="12">
        <v>40</v>
      </c>
      <c r="M361" s="12"/>
      <c r="N361" s="13">
        <v>2008</v>
      </c>
      <c r="O361" s="12" t="s">
        <v>2850</v>
      </c>
      <c r="P361" s="12"/>
      <c r="Q361" s="12"/>
      <c r="R361" s="12" t="s">
        <v>94</v>
      </c>
      <c r="S361" s="12">
        <v>10</v>
      </c>
      <c r="T361" s="12">
        <v>830508092</v>
      </c>
      <c r="U361" s="12" t="s">
        <v>584</v>
      </c>
      <c r="V361" s="12">
        <f>VLOOKUP(Tabla44[[#This Row],[ZONA DEFINITIVO]],[1]Hoja1!$A$1:$D$125,3,0)</f>
        <v>229943</v>
      </c>
      <c r="W361" s="12">
        <f>VLOOKUP(Tabla44[[#This Row],[ZONA DEFINITIVO]],[1]Hoja1!$A$1:$D$125,2,0)</f>
        <v>17264</v>
      </c>
      <c r="X361" s="12">
        <f>VLOOKUP(Tabla44[[#This Row],[ZONA DEFINITIVO]],[1]Hoja1!$A$1:$D$125,4,0)</f>
        <v>105025</v>
      </c>
      <c r="Y361" s="12">
        <f>+IF(Tabla44[[#This Row],[AGRUPACIONES]]=1,SUMIFS(Tabla44[UDS],Tabla44[ZONA DEFINITIVO],Tabla44[[#This Row],[ZONA DEFINITIVO]])," ")</f>
        <v>12</v>
      </c>
      <c r="Z361" s="12">
        <f>+IF(Tabla44[[#This Row],[AGRUPACIONES]]=1,SUMIFS(Tabla44[TOTAL COBERTURA],Tabla44[ZONA DEFINITIVO],Tabla44[[#This Row],[ZONA DEFINITIVO]])," ")</f>
        <v>988</v>
      </c>
      <c r="AA361" s="12"/>
      <c r="AB361" s="35">
        <v>173176080</v>
      </c>
      <c r="AC361" s="37">
        <v>0</v>
      </c>
      <c r="AD361" s="35">
        <f t="shared" si="6"/>
        <v>0</v>
      </c>
      <c r="AE361" s="12"/>
      <c r="AF361" s="12">
        <f>COUNTIF($A$20:A361,A361)</f>
        <v>1</v>
      </c>
      <c r="AG361" s="38">
        <v>173176080</v>
      </c>
      <c r="AH361" s="38">
        <f>Tabla44[[#This Row],[VALOR CONTRAPARTIDA]]+Tabla44[[#This Row],[TOTAL APORTES ICBF]]</f>
        <v>173176080</v>
      </c>
      <c r="AI361" s="35">
        <f>+IF(Tabla44[[#This Row],[AGRUPACIONES]]=1,SUMIFS(Tabla44[TOTAL APORTES ICBF],Tabla44[ZONA DEFINITIVO],Tabla44[[#This Row],[ZONA DEFINITIVO]])," ")</f>
        <v>3245444369</v>
      </c>
      <c r="AJ361" s="38">
        <f>ROUND(+IF(Tabla44[[#This Row],[AGRUPACIONES]]=1,SUMIFS(Tabla44[VALOR CONTRAPARTIDA],Tabla44[ZONA DEFINITIVO],Tabla44[[#This Row],[ZONA DEFINITIVO]])," "),0)</f>
        <v>0</v>
      </c>
      <c r="AK361" s="38">
        <f>Tabla44[[#This Row],[TOTAL APORTES ICBF AGRUPADO]]+Tabla44[[#This Row],[TOTAL CONTRAPARTIDA AGRUPADO]]</f>
        <v>3245444369</v>
      </c>
      <c r="AL361" s="35">
        <f>Tabla44[[#This Row],[TOTAL APORTES ICBF AGRUPADO]]/$AL$18</f>
        <v>2279.9047200561995</v>
      </c>
      <c r="AM361" s="35">
        <f>VLOOKUP(Tabla44[[#This Row],[SERVICIO 2025]],$J$2:$V$15,5,0)*Tabla44[[#This Row],[TOTAL COBERTURA]]</f>
        <v>3525720</v>
      </c>
      <c r="AN361" s="35">
        <f>VLOOKUP(Tabla44[[#This Row],[SERVICIO 2025]],$J$2:$V$15,6,0)*Tabla44[[#This Row],[TOTAL COBERTURA]]</f>
        <v>3001720</v>
      </c>
      <c r="AO361" s="35">
        <f>VLOOKUP(Tabla44[[#This Row],[SERVICIO 2025]],$J$2:$V$15,8,0)*Tabla44[[#This Row],[TOTAL COBERTURA]]</f>
        <v>0</v>
      </c>
      <c r="AP361" s="35">
        <f>VLOOKUP(Tabla44[[#This Row],[SERVICIO 2025]],$J$2:$V$15,3,0)*Tabla44[[#This Row],[TOTAL COBERTURA]]*8</f>
        <v>166648640</v>
      </c>
      <c r="AQ361" s="35"/>
      <c r="AR361" s="35">
        <f>SUM(Tabla44[[#This Row],[VALOR FASE PREPARATORIA DE ALISTAMIENTO]:[VALOR RACION PREPARADA]])</f>
        <v>173176080</v>
      </c>
      <c r="AS361" s="35">
        <f>+IF(Tabla44[[#This Row],[AGRUPACIONES]]=1,SUMIFS(Tabla44[VALOR TOTAL],Tabla44[ZONA DEFINITIVO],Tabla44[[#This Row],[ZONA DEFINITIVO]])," ")</f>
        <v>3245444369</v>
      </c>
      <c r="AT361" s="35">
        <f>VLOOKUP(Tabla44[[#This Row],[SERVICIO 2025]],$J$2:$V$15,10,0)*Tabla44[[#This Row],[TOTAL COBERTURA]]*$X$7</f>
        <v>0</v>
      </c>
      <c r="AU361" s="39">
        <f>Tabla44[[#This Row],[TOTAL CONTRATO (ICBF+EAS)]]+Tabla44[[#This Row],[VALOR COMPONENTE ALIMENTACION NO ASIGNADO]]</f>
        <v>173176080</v>
      </c>
      <c r="AV36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24356800</v>
      </c>
      <c r="AW361" s="35">
        <f>(VLOOKUP(Tabla44[[#This Row],[SERVICIO 2025]],$J$2:$V$15,3,0)*Tabla44[[#This Row],[TOTAL COBERTURA]])+VLOOKUP(Tabla44[[#This Row],[SERVICIO 2025]],$J$2:$V$15,10,0)*Tabla44[[#This Row],[TOTAL COBERTURA]]</f>
        <v>20831080</v>
      </c>
      <c r="AX361" s="35">
        <f>(VLOOKUP(Tabla44[[#This Row],[SERVICIO 2025]],$J$2:$V$15,3,0)*Tabla44[[#This Row],[TOTAL COBERTURA]])+VLOOKUP(Tabla44[[#This Row],[SERVICIO 2025]],$J$2:$V$15,10,0)*Tabla44[[#This Row],[TOTAL COBERTURA]]</f>
        <v>20831080</v>
      </c>
      <c r="AY361" s="35">
        <f>(VLOOKUP(Tabla44[[#This Row],[SERVICIO 2025]],$J$2:$V$15,3,0)*Tabla44[[#This Row],[TOTAL COBERTURA]])+VLOOKUP(Tabla44[[#This Row],[SERVICIO 2025]],$J$2:$V$15,10,0)*Tabla44[[#This Row],[TOTAL COBERTURA]]</f>
        <v>20831080</v>
      </c>
      <c r="AZ361" s="35">
        <f>(VLOOKUP(Tabla44[[#This Row],[SERVICIO 2025]],$J$2:$V$15,3,0)*Tabla44[[#This Row],[TOTAL COBERTURA]])+VLOOKUP(Tabla44[[#This Row],[SERVICIO 2025]],$J$2:$V$15,10,0)*Tabla44[[#This Row],[TOTAL COBERTURA]]</f>
        <v>20831080</v>
      </c>
      <c r="BA361" s="35">
        <f>(VLOOKUP(Tabla44[[#This Row],[SERVICIO 2025]],$J$2:$V$15,3,0)*Tabla44[[#This Row],[TOTAL COBERTURA]])+VLOOKUP(Tabla44[[#This Row],[SERVICIO 2025]],$J$2:$V$15,10,0)*Tabla44[[#This Row],[TOTAL COBERTURA]]</f>
        <v>20831080</v>
      </c>
      <c r="BB361" s="35">
        <f>(VLOOKUP(Tabla44[[#This Row],[SERVICIO 2025]],$J$2:$V$15,3,0)*Tabla44[[#This Row],[TOTAL COBERTURA]])+VLOOKUP(Tabla44[[#This Row],[SERVICIO 2025]],$J$2:$V$15,10,0)*Tabla44[[#This Row],[TOTAL COBERTURA]]</f>
        <v>20831080</v>
      </c>
      <c r="BC36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23832800</v>
      </c>
      <c r="BD361" s="35">
        <f>SUM(Tabla44[[#This Row],[DESEMBOLSO 1]:[DESEMBOLSO 8]])</f>
        <v>173176080</v>
      </c>
      <c r="BE361" s="12" t="b">
        <f>EXACT(Tabla44[[#This Row],[VALOR ATENCIÓN (8 MESES)]],Tabla44[[#This Row],[VALOR TOTAL]])</f>
        <v>1</v>
      </c>
      <c r="BF361" s="23">
        <f>Tabla44[[#This Row],[VALOR ATENCIÓN (8 MESES)]]-Tabla44[[#This Row],[VALOR TOTAL]]</f>
        <v>0</v>
      </c>
      <c r="BG361" s="12" t="b">
        <f>EXACT(Tabla44[[#This Row],[TOTAL DESEMBOLSOS]],Tabla44[[#This Row],[VALOR TOTAL DEL CONTRATO INCLUIDO EL COMPONENTE DE ALIMENTACIÓN]])</f>
        <v>1</v>
      </c>
      <c r="BH361" s="29">
        <f>Tabla44[[#This Row],[TOTAL DESEMBOLSOS]]-Tabla44[[#This Row],[VALOR TOTAL DEL CONTRATO INCLUIDO EL COMPONENTE DE ALIMENTACIÓN]]</f>
        <v>0</v>
      </c>
      <c r="BI361" t="s">
        <v>98</v>
      </c>
    </row>
    <row r="362" spans="1:61">
      <c r="A362" s="13">
        <v>2008</v>
      </c>
      <c r="B362" s="13"/>
      <c r="C362" s="12" t="s">
        <v>87</v>
      </c>
      <c r="D362" s="12" t="s">
        <v>987</v>
      </c>
      <c r="E362" s="12" t="s">
        <v>3505</v>
      </c>
      <c r="F362" s="12" t="s">
        <v>15</v>
      </c>
      <c r="G362" s="12" t="s">
        <v>90</v>
      </c>
      <c r="H362" s="12" t="s">
        <v>3508</v>
      </c>
      <c r="I362" s="36">
        <v>549500105935</v>
      </c>
      <c r="J362" s="12" t="s">
        <v>3509</v>
      </c>
      <c r="K362" s="12">
        <v>1</v>
      </c>
      <c r="L362" s="12">
        <v>141</v>
      </c>
      <c r="M362" s="12"/>
      <c r="N362" s="13">
        <v>2008</v>
      </c>
      <c r="O362" s="12" t="s">
        <v>2850</v>
      </c>
      <c r="P362" s="12"/>
      <c r="Q362" s="12"/>
      <c r="R362" s="12" t="s">
        <v>94</v>
      </c>
      <c r="S362" s="12">
        <v>10</v>
      </c>
      <c r="T362" s="12">
        <v>830508092</v>
      </c>
      <c r="U362" s="12" t="s">
        <v>584</v>
      </c>
      <c r="V362" s="12">
        <f>VLOOKUP(Tabla44[[#This Row],[ZONA DEFINITIVO]],[1]Hoja1!$A$1:$D$125,3,0)</f>
        <v>229943</v>
      </c>
      <c r="W362" s="12">
        <f>VLOOKUP(Tabla44[[#This Row],[ZONA DEFINITIVO]],[1]Hoja1!$A$1:$D$125,2,0)</f>
        <v>17264</v>
      </c>
      <c r="X362" s="12">
        <f>VLOOKUP(Tabla44[[#This Row],[ZONA DEFINITIVO]],[1]Hoja1!$A$1:$D$125,4,0)</f>
        <v>105025</v>
      </c>
      <c r="Y362" s="12" t="str">
        <f>+IF(Tabla44[[#This Row],[AGRUPACIONES]]=1,SUMIFS(Tabla44[UDS],Tabla44[ZONA DEFINITIVO],Tabla44[[#This Row],[ZONA DEFINITIVO]])," ")</f>
        <v xml:space="preserve"> </v>
      </c>
      <c r="Z362" s="12" t="str">
        <f>+IF(Tabla44[[#This Row],[AGRUPACIONES]]=1,SUMIFS(Tabla44[TOTAL COBERTURA],Tabla44[ZONA DEFINITIVO],Tabla44[[#This Row],[ZONA DEFINITIVO]])," ")</f>
        <v xml:space="preserve"> </v>
      </c>
      <c r="AA362" s="12"/>
      <c r="AB362" s="35">
        <v>610445682</v>
      </c>
      <c r="AC362" s="37">
        <v>0</v>
      </c>
      <c r="AD362" s="35">
        <f t="shared" si="6"/>
        <v>0</v>
      </c>
      <c r="AE362" s="12"/>
      <c r="AF362" s="12">
        <f>COUNTIF($A$20:A362,A362)</f>
        <v>2</v>
      </c>
      <c r="AG362" s="38">
        <v>610445682</v>
      </c>
      <c r="AH362" s="38">
        <f>Tabla44[[#This Row],[VALOR CONTRAPARTIDA]]+Tabla44[[#This Row],[TOTAL APORTES ICBF]]</f>
        <v>610445682</v>
      </c>
      <c r="AI362" s="35" t="str">
        <f>+IF(Tabla44[[#This Row],[AGRUPACIONES]]=1,SUMIFS(Tabla44[TOTAL APORTES ICBF],Tabla44[ZONA DEFINITIVO],Tabla44[[#This Row],[ZONA DEFINITIVO]])," ")</f>
        <v xml:space="preserve"> </v>
      </c>
      <c r="AJ362" s="38"/>
      <c r="AK362" s="38"/>
      <c r="AL362" s="35"/>
      <c r="AM362" s="35">
        <f>VLOOKUP(Tabla44[[#This Row],[SERVICIO 2025]],$J$2:$V$15,5,0)*Tabla44[[#This Row],[TOTAL COBERTURA]]</f>
        <v>12428163</v>
      </c>
      <c r="AN362" s="35">
        <f>VLOOKUP(Tabla44[[#This Row],[SERVICIO 2025]],$J$2:$V$15,6,0)*Tabla44[[#This Row],[TOTAL COBERTURA]]</f>
        <v>10581063</v>
      </c>
      <c r="AO362" s="35">
        <f>VLOOKUP(Tabla44[[#This Row],[SERVICIO 2025]],$J$2:$V$15,8,0)*Tabla44[[#This Row],[TOTAL COBERTURA]]</f>
        <v>0</v>
      </c>
      <c r="AP362" s="35">
        <f>VLOOKUP(Tabla44[[#This Row],[SERVICIO 2025]],$J$2:$V$15,3,0)*Tabla44[[#This Row],[TOTAL COBERTURA]]*8</f>
        <v>587436456</v>
      </c>
      <c r="AQ362" s="35"/>
      <c r="AR362" s="35">
        <f>SUM(Tabla44[[#This Row],[VALOR FASE PREPARATORIA DE ALISTAMIENTO]:[VALOR RACION PREPARADA]])</f>
        <v>610445682</v>
      </c>
      <c r="AS362" s="35" t="str">
        <f>+IF(Tabla44[[#This Row],[AGRUPACIONES]]=1,SUMIFS(Tabla44[VALOR TOTAL],Tabla44[ZONA DEFINITIVO],Tabla44[[#This Row],[ZONA DEFINITIVO]])," ")</f>
        <v xml:space="preserve"> </v>
      </c>
      <c r="AT362" s="35">
        <f>VLOOKUP(Tabla44[[#This Row],[SERVICIO 2025]],$J$2:$V$15,10,0)*Tabla44[[#This Row],[TOTAL COBERTURA]]*$X$7</f>
        <v>0</v>
      </c>
      <c r="AU362" s="39">
        <f>Tabla44[[#This Row],[TOTAL CONTRATO (ICBF+EAS)]]+Tabla44[[#This Row],[VALOR COMPONENTE ALIMENTACION NO ASIGNADO]]</f>
        <v>610445682</v>
      </c>
      <c r="AV36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85857720</v>
      </c>
      <c r="AW362" s="35">
        <f>(VLOOKUP(Tabla44[[#This Row],[SERVICIO 2025]],$J$2:$V$15,3,0)*Tabla44[[#This Row],[TOTAL COBERTURA]])+VLOOKUP(Tabla44[[#This Row],[SERVICIO 2025]],$J$2:$V$15,10,0)*Tabla44[[#This Row],[TOTAL COBERTURA]]</f>
        <v>73429557</v>
      </c>
      <c r="AX362" s="35">
        <f>(VLOOKUP(Tabla44[[#This Row],[SERVICIO 2025]],$J$2:$V$15,3,0)*Tabla44[[#This Row],[TOTAL COBERTURA]])+VLOOKUP(Tabla44[[#This Row],[SERVICIO 2025]],$J$2:$V$15,10,0)*Tabla44[[#This Row],[TOTAL COBERTURA]]</f>
        <v>73429557</v>
      </c>
      <c r="AY362" s="35">
        <f>(VLOOKUP(Tabla44[[#This Row],[SERVICIO 2025]],$J$2:$V$15,3,0)*Tabla44[[#This Row],[TOTAL COBERTURA]])+VLOOKUP(Tabla44[[#This Row],[SERVICIO 2025]],$J$2:$V$15,10,0)*Tabla44[[#This Row],[TOTAL COBERTURA]]</f>
        <v>73429557</v>
      </c>
      <c r="AZ362" s="35">
        <f>(VLOOKUP(Tabla44[[#This Row],[SERVICIO 2025]],$J$2:$V$15,3,0)*Tabla44[[#This Row],[TOTAL COBERTURA]])+VLOOKUP(Tabla44[[#This Row],[SERVICIO 2025]],$J$2:$V$15,10,0)*Tabla44[[#This Row],[TOTAL COBERTURA]]</f>
        <v>73429557</v>
      </c>
      <c r="BA362" s="35">
        <f>(VLOOKUP(Tabla44[[#This Row],[SERVICIO 2025]],$J$2:$V$15,3,0)*Tabla44[[#This Row],[TOTAL COBERTURA]])+VLOOKUP(Tabla44[[#This Row],[SERVICIO 2025]],$J$2:$V$15,10,0)*Tabla44[[#This Row],[TOTAL COBERTURA]]</f>
        <v>73429557</v>
      </c>
      <c r="BB362" s="35">
        <f>(VLOOKUP(Tabla44[[#This Row],[SERVICIO 2025]],$J$2:$V$15,3,0)*Tabla44[[#This Row],[TOTAL COBERTURA]])+VLOOKUP(Tabla44[[#This Row],[SERVICIO 2025]],$J$2:$V$15,10,0)*Tabla44[[#This Row],[TOTAL COBERTURA]]</f>
        <v>73429557</v>
      </c>
      <c r="BC36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84010620</v>
      </c>
      <c r="BD362" s="35">
        <f>SUM(Tabla44[[#This Row],[DESEMBOLSO 1]:[DESEMBOLSO 8]])</f>
        <v>610445682</v>
      </c>
      <c r="BE362" s="12" t="b">
        <f>EXACT(Tabla44[[#This Row],[VALOR ATENCIÓN (8 MESES)]],Tabla44[[#This Row],[VALOR TOTAL]])</f>
        <v>1</v>
      </c>
      <c r="BF362" s="23">
        <f>Tabla44[[#This Row],[VALOR ATENCIÓN (8 MESES)]]-Tabla44[[#This Row],[VALOR TOTAL]]</f>
        <v>0</v>
      </c>
      <c r="BG362" s="12" t="b">
        <f>EXACT(Tabla44[[#This Row],[TOTAL DESEMBOLSOS]],Tabla44[[#This Row],[VALOR TOTAL DEL CONTRATO INCLUIDO EL COMPONENTE DE ALIMENTACIÓN]])</f>
        <v>1</v>
      </c>
      <c r="BH362" s="29">
        <f>Tabla44[[#This Row],[TOTAL DESEMBOLSOS]]-Tabla44[[#This Row],[VALOR TOTAL DEL CONTRATO INCLUIDO EL COMPONENTE DE ALIMENTACIÓN]]</f>
        <v>0</v>
      </c>
      <c r="BI362" t="s">
        <v>98</v>
      </c>
    </row>
    <row r="363" spans="1:61">
      <c r="A363" s="13">
        <v>2008</v>
      </c>
      <c r="B363" s="13"/>
      <c r="C363" s="12" t="s">
        <v>87</v>
      </c>
      <c r="D363" s="12" t="s">
        <v>987</v>
      </c>
      <c r="E363" s="12" t="s">
        <v>3510</v>
      </c>
      <c r="F363" s="12" t="s">
        <v>13</v>
      </c>
      <c r="G363" s="12" t="s">
        <v>90</v>
      </c>
      <c r="H363" s="12" t="s">
        <v>3511</v>
      </c>
      <c r="I363" s="36">
        <v>57901119484</v>
      </c>
      <c r="J363" s="12" t="s">
        <v>3512</v>
      </c>
      <c r="K363" s="12">
        <v>1</v>
      </c>
      <c r="L363" s="12">
        <v>89</v>
      </c>
      <c r="M363" s="12"/>
      <c r="N363" s="13">
        <v>2008</v>
      </c>
      <c r="O363" s="12" t="s">
        <v>2850</v>
      </c>
      <c r="P363" s="12"/>
      <c r="Q363" s="12"/>
      <c r="R363" s="12" t="s">
        <v>94</v>
      </c>
      <c r="S363" s="12">
        <v>10</v>
      </c>
      <c r="T363" s="12">
        <v>830508092</v>
      </c>
      <c r="U363" s="12" t="s">
        <v>584</v>
      </c>
      <c r="V363" s="12">
        <f>VLOOKUP(Tabla44[[#This Row],[ZONA DEFINITIVO]],[1]Hoja1!$A$1:$D$125,3,0)</f>
        <v>229943</v>
      </c>
      <c r="W363" s="12">
        <f>VLOOKUP(Tabla44[[#This Row],[ZONA DEFINITIVO]],[1]Hoja1!$A$1:$D$125,2,0)</f>
        <v>17264</v>
      </c>
      <c r="X363" s="12">
        <f>VLOOKUP(Tabla44[[#This Row],[ZONA DEFINITIVO]],[1]Hoja1!$A$1:$D$125,4,0)</f>
        <v>105025</v>
      </c>
      <c r="Y363" s="12" t="str">
        <f>+IF(Tabla44[[#This Row],[AGRUPACIONES]]=1,SUMIFS(Tabla44[UDS],Tabla44[ZONA DEFINITIVO],Tabla44[[#This Row],[ZONA DEFINITIVO]])," ")</f>
        <v xml:space="preserve"> </v>
      </c>
      <c r="Z363" s="12" t="str">
        <f>+IF(Tabla44[[#This Row],[AGRUPACIONES]]=1,SUMIFS(Tabla44[TOTAL COBERTURA],Tabla44[ZONA DEFINITIVO],Tabla44[[#This Row],[ZONA DEFINITIVO]])," ")</f>
        <v xml:space="preserve"> </v>
      </c>
      <c r="AA363" s="12"/>
      <c r="AB363" s="35">
        <v>263146834</v>
      </c>
      <c r="AC363" s="37">
        <v>0</v>
      </c>
      <c r="AD363" s="35">
        <f t="shared" si="6"/>
        <v>0</v>
      </c>
      <c r="AE363" s="12"/>
      <c r="AF363" s="12">
        <f>COUNTIF($A$20:A363,A363)</f>
        <v>3</v>
      </c>
      <c r="AG363" s="38">
        <v>263146834</v>
      </c>
      <c r="AH363" s="38">
        <f>Tabla44[[#This Row],[VALOR CONTRAPARTIDA]]+Tabla44[[#This Row],[TOTAL APORTES ICBF]]</f>
        <v>263146834</v>
      </c>
      <c r="AI363" s="35" t="str">
        <f>+IF(Tabla44[[#This Row],[AGRUPACIONES]]=1,SUMIFS(Tabla44[TOTAL APORTES ICBF],Tabla44[ZONA DEFINITIVO],Tabla44[[#This Row],[ZONA DEFINITIVO]])," ")</f>
        <v xml:space="preserve"> </v>
      </c>
      <c r="AJ363" s="38"/>
      <c r="AK363" s="38"/>
      <c r="AL363" s="35"/>
      <c r="AM363" s="35">
        <f>VLOOKUP(Tabla44[[#This Row],[SERVICIO 2025]],$J$2:$V$15,5,0)*Tabla44[[#This Row],[TOTAL COBERTURA]]</f>
        <v>7844727</v>
      </c>
      <c r="AN363" s="35">
        <f>VLOOKUP(Tabla44[[#This Row],[SERVICIO 2025]],$J$2:$V$15,6,0)*Tabla44[[#This Row],[TOTAL COBERTURA]]</f>
        <v>6678827</v>
      </c>
      <c r="AO363" s="35">
        <f>VLOOKUP(Tabla44[[#This Row],[SERVICIO 2025]],$J$2:$V$15,8,0)*Tabla44[[#This Row],[TOTAL COBERTURA]]</f>
        <v>0</v>
      </c>
      <c r="AP363" s="35">
        <f>VLOOKUP(Tabla44[[#This Row],[SERVICIO 2025]],$J$2:$V$15,3,0)*Tabla44[[#This Row],[TOTAL COBERTURA]]*8</f>
        <v>248623280</v>
      </c>
      <c r="AQ363" s="35"/>
      <c r="AR363" s="35">
        <f>SUM(Tabla44[[#This Row],[VALOR FASE PREPARATORIA DE ALISTAMIENTO]:[VALOR RACION PREPARADA]])</f>
        <v>263146834</v>
      </c>
      <c r="AS363" s="35" t="str">
        <f>+IF(Tabla44[[#This Row],[AGRUPACIONES]]=1,SUMIFS(Tabla44[VALOR TOTAL],Tabla44[ZONA DEFINITIVO],Tabla44[[#This Row],[ZONA DEFINITIVO]])," ")</f>
        <v xml:space="preserve"> </v>
      </c>
      <c r="AT363" s="35">
        <f>VLOOKUP(Tabla44[[#This Row],[SERVICIO 2025]],$J$2:$V$15,10,0)*Tabla44[[#This Row],[TOTAL COBERTURA]]*$X$7</f>
        <v>109660816</v>
      </c>
      <c r="AU363" s="39">
        <f>Tabla44[[#This Row],[TOTAL CONTRATO (ICBF+EAS)]]+Tabla44[[#This Row],[VALOR COMPONENTE ALIMENTACION NO ASIGNADO]]</f>
        <v>372807650</v>
      </c>
      <c r="AV36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52630239</v>
      </c>
      <c r="AW363" s="35">
        <f>(VLOOKUP(Tabla44[[#This Row],[SERVICIO 2025]],$J$2:$V$15,3,0)*Tabla44[[#This Row],[TOTAL COBERTURA]])+VLOOKUP(Tabla44[[#This Row],[SERVICIO 2025]],$J$2:$V$15,10,0)*Tabla44[[#This Row],[TOTAL COBERTURA]]</f>
        <v>44785512</v>
      </c>
      <c r="AX363" s="35">
        <f>(VLOOKUP(Tabla44[[#This Row],[SERVICIO 2025]],$J$2:$V$15,3,0)*Tabla44[[#This Row],[TOTAL COBERTURA]])+VLOOKUP(Tabla44[[#This Row],[SERVICIO 2025]],$J$2:$V$15,10,0)*Tabla44[[#This Row],[TOTAL COBERTURA]]</f>
        <v>44785512</v>
      </c>
      <c r="AY363" s="35">
        <f>(VLOOKUP(Tabla44[[#This Row],[SERVICIO 2025]],$J$2:$V$15,3,0)*Tabla44[[#This Row],[TOTAL COBERTURA]])+VLOOKUP(Tabla44[[#This Row],[SERVICIO 2025]],$J$2:$V$15,10,0)*Tabla44[[#This Row],[TOTAL COBERTURA]]</f>
        <v>44785512</v>
      </c>
      <c r="AZ363" s="35">
        <f>(VLOOKUP(Tabla44[[#This Row],[SERVICIO 2025]],$J$2:$V$15,3,0)*Tabla44[[#This Row],[TOTAL COBERTURA]])+VLOOKUP(Tabla44[[#This Row],[SERVICIO 2025]],$J$2:$V$15,10,0)*Tabla44[[#This Row],[TOTAL COBERTURA]]</f>
        <v>44785512</v>
      </c>
      <c r="BA363" s="35">
        <f>(VLOOKUP(Tabla44[[#This Row],[SERVICIO 2025]],$J$2:$V$15,3,0)*Tabla44[[#This Row],[TOTAL COBERTURA]])+VLOOKUP(Tabla44[[#This Row],[SERVICIO 2025]],$J$2:$V$15,10,0)*Tabla44[[#This Row],[TOTAL COBERTURA]]</f>
        <v>44785512</v>
      </c>
      <c r="BB363" s="35">
        <f>(VLOOKUP(Tabla44[[#This Row],[SERVICIO 2025]],$J$2:$V$15,3,0)*Tabla44[[#This Row],[TOTAL COBERTURA]])+VLOOKUP(Tabla44[[#This Row],[SERVICIO 2025]],$J$2:$V$15,10,0)*Tabla44[[#This Row],[TOTAL COBERTURA]]</f>
        <v>44785512</v>
      </c>
      <c r="BC36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51464339</v>
      </c>
      <c r="BD363" s="35">
        <f>SUM(Tabla44[[#This Row],[DESEMBOLSO 1]:[DESEMBOLSO 8]])</f>
        <v>372807650</v>
      </c>
      <c r="BE363" s="12" t="b">
        <f>EXACT(Tabla44[[#This Row],[VALOR ATENCIÓN (8 MESES)]],Tabla44[[#This Row],[VALOR TOTAL]])</f>
        <v>1</v>
      </c>
      <c r="BF363" s="23">
        <f>Tabla44[[#This Row],[VALOR ATENCIÓN (8 MESES)]]-Tabla44[[#This Row],[VALOR TOTAL]]</f>
        <v>0</v>
      </c>
      <c r="BG363" s="12" t="b">
        <f>EXACT(Tabla44[[#This Row],[TOTAL DESEMBOLSOS]],Tabla44[[#This Row],[VALOR TOTAL DEL CONTRATO INCLUIDO EL COMPONENTE DE ALIMENTACIÓN]])</f>
        <v>1</v>
      </c>
      <c r="BH363" s="29">
        <f>Tabla44[[#This Row],[TOTAL DESEMBOLSOS]]-Tabla44[[#This Row],[VALOR TOTAL DEL CONTRATO INCLUIDO EL COMPONENTE DE ALIMENTACIÓN]]</f>
        <v>0</v>
      </c>
      <c r="BI363" t="s">
        <v>98</v>
      </c>
    </row>
    <row r="364" spans="1:61">
      <c r="A364" s="13">
        <v>2008</v>
      </c>
      <c r="B364" s="13"/>
      <c r="C364" s="12" t="s">
        <v>87</v>
      </c>
      <c r="D364" s="12" t="s">
        <v>987</v>
      </c>
      <c r="E364" s="12" t="s">
        <v>3510</v>
      </c>
      <c r="F364" s="12" t="s">
        <v>13</v>
      </c>
      <c r="G364" s="12" t="s">
        <v>90</v>
      </c>
      <c r="H364" s="12" t="s">
        <v>3513</v>
      </c>
      <c r="I364" s="36">
        <v>57901119489</v>
      </c>
      <c r="J364" s="12" t="s">
        <v>3514</v>
      </c>
      <c r="K364" s="12">
        <v>1</v>
      </c>
      <c r="L364" s="12">
        <v>52</v>
      </c>
      <c r="M364" s="12"/>
      <c r="N364" s="13">
        <v>2008</v>
      </c>
      <c r="O364" s="12" t="s">
        <v>2850</v>
      </c>
      <c r="P364" s="12"/>
      <c r="Q364" s="12"/>
      <c r="R364" s="12" t="s">
        <v>94</v>
      </c>
      <c r="S364" s="12">
        <v>10</v>
      </c>
      <c r="T364" s="12">
        <v>830508092</v>
      </c>
      <c r="U364" s="12" t="s">
        <v>584</v>
      </c>
      <c r="V364" s="12">
        <f>VLOOKUP(Tabla44[[#This Row],[ZONA DEFINITIVO]],[1]Hoja1!$A$1:$D$125,3,0)</f>
        <v>229943</v>
      </c>
      <c r="W364" s="12">
        <f>VLOOKUP(Tabla44[[#This Row],[ZONA DEFINITIVO]],[1]Hoja1!$A$1:$D$125,2,0)</f>
        <v>17264</v>
      </c>
      <c r="X364" s="12">
        <f>VLOOKUP(Tabla44[[#This Row],[ZONA DEFINITIVO]],[1]Hoja1!$A$1:$D$125,4,0)</f>
        <v>105025</v>
      </c>
      <c r="Y364" s="12" t="str">
        <f>+IF(Tabla44[[#This Row],[AGRUPACIONES]]=1,SUMIFS(Tabla44[UDS],Tabla44[ZONA DEFINITIVO],Tabla44[[#This Row],[ZONA DEFINITIVO]])," ")</f>
        <v xml:space="preserve"> </v>
      </c>
      <c r="Z364" s="12" t="str">
        <f>+IF(Tabla44[[#This Row],[AGRUPACIONES]]=1,SUMIFS(Tabla44[TOTAL COBERTURA],Tabla44[ZONA DEFINITIVO],Tabla44[[#This Row],[ZONA DEFINITIVO]])," ")</f>
        <v xml:space="preserve"> </v>
      </c>
      <c r="AA364" s="12"/>
      <c r="AB364" s="35">
        <v>153748712</v>
      </c>
      <c r="AC364" s="37">
        <v>0</v>
      </c>
      <c r="AD364" s="35">
        <f t="shared" si="6"/>
        <v>0</v>
      </c>
      <c r="AE364" s="12"/>
      <c r="AF364" s="12">
        <f>COUNTIF($A$20:A364,A364)</f>
        <v>4</v>
      </c>
      <c r="AG364" s="38">
        <v>153748712</v>
      </c>
      <c r="AH364" s="38">
        <f>Tabla44[[#This Row],[VALOR CONTRAPARTIDA]]+Tabla44[[#This Row],[TOTAL APORTES ICBF]]</f>
        <v>153748712</v>
      </c>
      <c r="AI364" s="35" t="str">
        <f>+IF(Tabla44[[#This Row],[AGRUPACIONES]]=1,SUMIFS(Tabla44[TOTAL APORTES ICBF],Tabla44[ZONA DEFINITIVO],Tabla44[[#This Row],[ZONA DEFINITIVO]])," ")</f>
        <v xml:space="preserve"> </v>
      </c>
      <c r="AJ364" s="38"/>
      <c r="AK364" s="38"/>
      <c r="AL364" s="35"/>
      <c r="AM364" s="35">
        <f>VLOOKUP(Tabla44[[#This Row],[SERVICIO 2025]],$J$2:$V$15,5,0)*Tabla44[[#This Row],[TOTAL COBERTURA]]</f>
        <v>4583436</v>
      </c>
      <c r="AN364" s="35">
        <f>VLOOKUP(Tabla44[[#This Row],[SERVICIO 2025]],$J$2:$V$15,6,0)*Tabla44[[#This Row],[TOTAL COBERTURA]]</f>
        <v>3902236</v>
      </c>
      <c r="AO364" s="35">
        <f>VLOOKUP(Tabla44[[#This Row],[SERVICIO 2025]],$J$2:$V$15,8,0)*Tabla44[[#This Row],[TOTAL COBERTURA]]</f>
        <v>0</v>
      </c>
      <c r="AP364" s="35">
        <f>VLOOKUP(Tabla44[[#This Row],[SERVICIO 2025]],$J$2:$V$15,3,0)*Tabla44[[#This Row],[TOTAL COBERTURA]]*8</f>
        <v>145263040</v>
      </c>
      <c r="AQ364" s="35"/>
      <c r="AR364" s="35">
        <f>SUM(Tabla44[[#This Row],[VALOR FASE PREPARATORIA DE ALISTAMIENTO]:[VALOR RACION PREPARADA]])</f>
        <v>153748712</v>
      </c>
      <c r="AS364" s="35" t="str">
        <f>+IF(Tabla44[[#This Row],[AGRUPACIONES]]=1,SUMIFS(Tabla44[VALOR TOTAL],Tabla44[ZONA DEFINITIVO],Tabla44[[#This Row],[ZONA DEFINITIVO]])," ")</f>
        <v xml:space="preserve"> </v>
      </c>
      <c r="AT364" s="35">
        <f>VLOOKUP(Tabla44[[#This Row],[SERVICIO 2025]],$J$2:$V$15,10,0)*Tabla44[[#This Row],[TOTAL COBERTURA]]*$X$7</f>
        <v>64071488</v>
      </c>
      <c r="AU364" s="39">
        <f>Tabla44[[#This Row],[TOTAL CONTRATO (ICBF+EAS)]]+Tabla44[[#This Row],[VALOR COMPONENTE ALIMENTACION NO ASIGNADO]]</f>
        <v>217820200</v>
      </c>
      <c r="AV36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30750252</v>
      </c>
      <c r="AW364" s="35">
        <f>(VLOOKUP(Tabla44[[#This Row],[SERVICIO 2025]],$J$2:$V$15,3,0)*Tabla44[[#This Row],[TOTAL COBERTURA]])+VLOOKUP(Tabla44[[#This Row],[SERVICIO 2025]],$J$2:$V$15,10,0)*Tabla44[[#This Row],[TOTAL COBERTURA]]</f>
        <v>26166816</v>
      </c>
      <c r="AX364" s="35">
        <f>(VLOOKUP(Tabla44[[#This Row],[SERVICIO 2025]],$J$2:$V$15,3,0)*Tabla44[[#This Row],[TOTAL COBERTURA]])+VLOOKUP(Tabla44[[#This Row],[SERVICIO 2025]],$J$2:$V$15,10,0)*Tabla44[[#This Row],[TOTAL COBERTURA]]</f>
        <v>26166816</v>
      </c>
      <c r="AY364" s="35">
        <f>(VLOOKUP(Tabla44[[#This Row],[SERVICIO 2025]],$J$2:$V$15,3,0)*Tabla44[[#This Row],[TOTAL COBERTURA]])+VLOOKUP(Tabla44[[#This Row],[SERVICIO 2025]],$J$2:$V$15,10,0)*Tabla44[[#This Row],[TOTAL COBERTURA]]</f>
        <v>26166816</v>
      </c>
      <c r="AZ364" s="35">
        <f>(VLOOKUP(Tabla44[[#This Row],[SERVICIO 2025]],$J$2:$V$15,3,0)*Tabla44[[#This Row],[TOTAL COBERTURA]])+VLOOKUP(Tabla44[[#This Row],[SERVICIO 2025]],$J$2:$V$15,10,0)*Tabla44[[#This Row],[TOTAL COBERTURA]]</f>
        <v>26166816</v>
      </c>
      <c r="BA364" s="35">
        <f>(VLOOKUP(Tabla44[[#This Row],[SERVICIO 2025]],$J$2:$V$15,3,0)*Tabla44[[#This Row],[TOTAL COBERTURA]])+VLOOKUP(Tabla44[[#This Row],[SERVICIO 2025]],$J$2:$V$15,10,0)*Tabla44[[#This Row],[TOTAL COBERTURA]]</f>
        <v>26166816</v>
      </c>
      <c r="BB364" s="35">
        <f>(VLOOKUP(Tabla44[[#This Row],[SERVICIO 2025]],$J$2:$V$15,3,0)*Tabla44[[#This Row],[TOTAL COBERTURA]])+VLOOKUP(Tabla44[[#This Row],[SERVICIO 2025]],$J$2:$V$15,10,0)*Tabla44[[#This Row],[TOTAL COBERTURA]]</f>
        <v>26166816</v>
      </c>
      <c r="BC36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30069052</v>
      </c>
      <c r="BD364" s="35">
        <f>SUM(Tabla44[[#This Row],[DESEMBOLSO 1]:[DESEMBOLSO 8]])</f>
        <v>217820200</v>
      </c>
      <c r="BE364" s="12" t="b">
        <f>EXACT(Tabla44[[#This Row],[VALOR ATENCIÓN (8 MESES)]],Tabla44[[#This Row],[VALOR TOTAL]])</f>
        <v>1</v>
      </c>
      <c r="BF364" s="23">
        <f>Tabla44[[#This Row],[VALOR ATENCIÓN (8 MESES)]]-Tabla44[[#This Row],[VALOR TOTAL]]</f>
        <v>0</v>
      </c>
      <c r="BG364" s="12" t="b">
        <f>EXACT(Tabla44[[#This Row],[TOTAL DESEMBOLSOS]],Tabla44[[#This Row],[VALOR TOTAL DEL CONTRATO INCLUIDO EL COMPONENTE DE ALIMENTACIÓN]])</f>
        <v>1</v>
      </c>
      <c r="BH364" s="29">
        <f>Tabla44[[#This Row],[TOTAL DESEMBOLSOS]]-Tabla44[[#This Row],[VALOR TOTAL DEL CONTRATO INCLUIDO EL COMPONENTE DE ALIMENTACIÓN]]</f>
        <v>0</v>
      </c>
      <c r="BI364" t="s">
        <v>98</v>
      </c>
    </row>
    <row r="365" spans="1:61">
      <c r="A365" s="13">
        <v>2008</v>
      </c>
      <c r="B365" s="13"/>
      <c r="C365" s="12" t="s">
        <v>87</v>
      </c>
      <c r="D365" s="12" t="s">
        <v>987</v>
      </c>
      <c r="E365" s="12" t="s">
        <v>3510</v>
      </c>
      <c r="F365" s="12" t="s">
        <v>13</v>
      </c>
      <c r="G365" s="12" t="s">
        <v>90</v>
      </c>
      <c r="H365" s="12" t="s">
        <v>3515</v>
      </c>
      <c r="I365" s="36">
        <v>57901127218</v>
      </c>
      <c r="J365" s="12" t="s">
        <v>3516</v>
      </c>
      <c r="K365" s="12">
        <v>1</v>
      </c>
      <c r="L365" s="12">
        <v>26</v>
      </c>
      <c r="M365" s="12"/>
      <c r="N365" s="13">
        <v>2008</v>
      </c>
      <c r="O365" s="12" t="s">
        <v>2850</v>
      </c>
      <c r="P365" s="12"/>
      <c r="Q365" s="12"/>
      <c r="R365" s="12" t="s">
        <v>94</v>
      </c>
      <c r="S365" s="12">
        <v>10</v>
      </c>
      <c r="T365" s="12">
        <v>830508092</v>
      </c>
      <c r="U365" s="12" t="s">
        <v>584</v>
      </c>
      <c r="V365" s="12">
        <f>VLOOKUP(Tabla44[[#This Row],[ZONA DEFINITIVO]],[1]Hoja1!$A$1:$D$125,3,0)</f>
        <v>229943</v>
      </c>
      <c r="W365" s="12">
        <f>VLOOKUP(Tabla44[[#This Row],[ZONA DEFINITIVO]],[1]Hoja1!$A$1:$D$125,2,0)</f>
        <v>17264</v>
      </c>
      <c r="X365" s="12">
        <f>VLOOKUP(Tabla44[[#This Row],[ZONA DEFINITIVO]],[1]Hoja1!$A$1:$D$125,4,0)</f>
        <v>105025</v>
      </c>
      <c r="Y365" s="12" t="str">
        <f>+IF(Tabla44[[#This Row],[AGRUPACIONES]]=1,SUMIFS(Tabla44[UDS],Tabla44[ZONA DEFINITIVO],Tabla44[[#This Row],[ZONA DEFINITIVO]])," ")</f>
        <v xml:space="preserve"> </v>
      </c>
      <c r="Z365" s="12" t="str">
        <f>+IF(Tabla44[[#This Row],[AGRUPACIONES]]=1,SUMIFS(Tabla44[TOTAL COBERTURA],Tabla44[ZONA DEFINITIVO],Tabla44[[#This Row],[ZONA DEFINITIVO]])," ")</f>
        <v xml:space="preserve"> </v>
      </c>
      <c r="AA365" s="12"/>
      <c r="AB365" s="35">
        <v>76874356</v>
      </c>
      <c r="AC365" s="37">
        <v>0</v>
      </c>
      <c r="AD365" s="35">
        <f t="shared" si="6"/>
        <v>0</v>
      </c>
      <c r="AE365" s="12"/>
      <c r="AF365" s="12">
        <f>COUNTIF($A$20:A365,A365)</f>
        <v>5</v>
      </c>
      <c r="AG365" s="38">
        <v>76874356</v>
      </c>
      <c r="AH365" s="38">
        <f>Tabla44[[#This Row],[VALOR CONTRAPARTIDA]]+Tabla44[[#This Row],[TOTAL APORTES ICBF]]</f>
        <v>76874356</v>
      </c>
      <c r="AI365" s="35" t="str">
        <f>+IF(Tabla44[[#This Row],[AGRUPACIONES]]=1,SUMIFS(Tabla44[TOTAL APORTES ICBF],Tabla44[ZONA DEFINITIVO],Tabla44[[#This Row],[ZONA DEFINITIVO]])," ")</f>
        <v xml:space="preserve"> </v>
      </c>
      <c r="AJ365" s="38"/>
      <c r="AK365" s="38"/>
      <c r="AL365" s="35"/>
      <c r="AM365" s="35">
        <f>VLOOKUP(Tabla44[[#This Row],[SERVICIO 2025]],$J$2:$V$15,5,0)*Tabla44[[#This Row],[TOTAL COBERTURA]]</f>
        <v>2291718</v>
      </c>
      <c r="AN365" s="35">
        <f>VLOOKUP(Tabla44[[#This Row],[SERVICIO 2025]],$J$2:$V$15,6,0)*Tabla44[[#This Row],[TOTAL COBERTURA]]</f>
        <v>1951118</v>
      </c>
      <c r="AO365" s="35">
        <f>VLOOKUP(Tabla44[[#This Row],[SERVICIO 2025]],$J$2:$V$15,8,0)*Tabla44[[#This Row],[TOTAL COBERTURA]]</f>
        <v>0</v>
      </c>
      <c r="AP365" s="35">
        <f>VLOOKUP(Tabla44[[#This Row],[SERVICIO 2025]],$J$2:$V$15,3,0)*Tabla44[[#This Row],[TOTAL COBERTURA]]*8</f>
        <v>72631520</v>
      </c>
      <c r="AQ365" s="35"/>
      <c r="AR365" s="35">
        <f>SUM(Tabla44[[#This Row],[VALOR FASE PREPARATORIA DE ALISTAMIENTO]:[VALOR RACION PREPARADA]])</f>
        <v>76874356</v>
      </c>
      <c r="AS365" s="35" t="str">
        <f>+IF(Tabla44[[#This Row],[AGRUPACIONES]]=1,SUMIFS(Tabla44[VALOR TOTAL],Tabla44[ZONA DEFINITIVO],Tabla44[[#This Row],[ZONA DEFINITIVO]])," ")</f>
        <v xml:space="preserve"> </v>
      </c>
      <c r="AT365" s="35">
        <f>VLOOKUP(Tabla44[[#This Row],[SERVICIO 2025]],$J$2:$V$15,10,0)*Tabla44[[#This Row],[TOTAL COBERTURA]]*$X$7</f>
        <v>32035744</v>
      </c>
      <c r="AU365" s="39">
        <f>Tabla44[[#This Row],[TOTAL CONTRATO (ICBF+EAS)]]+Tabla44[[#This Row],[VALOR COMPONENTE ALIMENTACION NO ASIGNADO]]</f>
        <v>108910100</v>
      </c>
      <c r="AV36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15375126</v>
      </c>
      <c r="AW365" s="35">
        <f>(VLOOKUP(Tabla44[[#This Row],[SERVICIO 2025]],$J$2:$V$15,3,0)*Tabla44[[#This Row],[TOTAL COBERTURA]])+VLOOKUP(Tabla44[[#This Row],[SERVICIO 2025]],$J$2:$V$15,10,0)*Tabla44[[#This Row],[TOTAL COBERTURA]]</f>
        <v>13083408</v>
      </c>
      <c r="AX365" s="35">
        <f>(VLOOKUP(Tabla44[[#This Row],[SERVICIO 2025]],$J$2:$V$15,3,0)*Tabla44[[#This Row],[TOTAL COBERTURA]])+VLOOKUP(Tabla44[[#This Row],[SERVICIO 2025]],$J$2:$V$15,10,0)*Tabla44[[#This Row],[TOTAL COBERTURA]]</f>
        <v>13083408</v>
      </c>
      <c r="AY365" s="35">
        <f>(VLOOKUP(Tabla44[[#This Row],[SERVICIO 2025]],$J$2:$V$15,3,0)*Tabla44[[#This Row],[TOTAL COBERTURA]])+VLOOKUP(Tabla44[[#This Row],[SERVICIO 2025]],$J$2:$V$15,10,0)*Tabla44[[#This Row],[TOTAL COBERTURA]]</f>
        <v>13083408</v>
      </c>
      <c r="AZ365" s="35">
        <f>(VLOOKUP(Tabla44[[#This Row],[SERVICIO 2025]],$J$2:$V$15,3,0)*Tabla44[[#This Row],[TOTAL COBERTURA]])+VLOOKUP(Tabla44[[#This Row],[SERVICIO 2025]],$J$2:$V$15,10,0)*Tabla44[[#This Row],[TOTAL COBERTURA]]</f>
        <v>13083408</v>
      </c>
      <c r="BA365" s="35">
        <f>(VLOOKUP(Tabla44[[#This Row],[SERVICIO 2025]],$J$2:$V$15,3,0)*Tabla44[[#This Row],[TOTAL COBERTURA]])+VLOOKUP(Tabla44[[#This Row],[SERVICIO 2025]],$J$2:$V$15,10,0)*Tabla44[[#This Row],[TOTAL COBERTURA]]</f>
        <v>13083408</v>
      </c>
      <c r="BB365" s="35">
        <f>(VLOOKUP(Tabla44[[#This Row],[SERVICIO 2025]],$J$2:$V$15,3,0)*Tabla44[[#This Row],[TOTAL COBERTURA]])+VLOOKUP(Tabla44[[#This Row],[SERVICIO 2025]],$J$2:$V$15,10,0)*Tabla44[[#This Row],[TOTAL COBERTURA]]</f>
        <v>13083408</v>
      </c>
      <c r="BC36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15034526</v>
      </c>
      <c r="BD365" s="35">
        <f>SUM(Tabla44[[#This Row],[DESEMBOLSO 1]:[DESEMBOLSO 8]])</f>
        <v>108910100</v>
      </c>
      <c r="BE365" s="12" t="b">
        <f>EXACT(Tabla44[[#This Row],[VALOR ATENCIÓN (8 MESES)]],Tabla44[[#This Row],[VALOR TOTAL]])</f>
        <v>1</v>
      </c>
      <c r="BF365" s="23">
        <f>Tabla44[[#This Row],[VALOR ATENCIÓN (8 MESES)]]-Tabla44[[#This Row],[VALOR TOTAL]]</f>
        <v>0</v>
      </c>
      <c r="BG365" s="12" t="b">
        <f>EXACT(Tabla44[[#This Row],[TOTAL DESEMBOLSOS]],Tabla44[[#This Row],[VALOR TOTAL DEL CONTRATO INCLUIDO EL COMPONENTE DE ALIMENTACIÓN]])</f>
        <v>1</v>
      </c>
      <c r="BH365" s="29">
        <f>Tabla44[[#This Row],[TOTAL DESEMBOLSOS]]-Tabla44[[#This Row],[VALOR TOTAL DEL CONTRATO INCLUIDO EL COMPONENTE DE ALIMENTACIÓN]]</f>
        <v>0</v>
      </c>
      <c r="BI365" t="s">
        <v>98</v>
      </c>
    </row>
    <row r="366" spans="1:61">
      <c r="A366" s="13">
        <v>2008</v>
      </c>
      <c r="B366" s="13"/>
      <c r="C366" s="12" t="s">
        <v>87</v>
      </c>
      <c r="D366" s="12" t="s">
        <v>987</v>
      </c>
      <c r="E366" s="12" t="s">
        <v>3510</v>
      </c>
      <c r="F366" s="12" t="s">
        <v>13</v>
      </c>
      <c r="G366" s="12" t="s">
        <v>90</v>
      </c>
      <c r="H366" s="12" t="s">
        <v>3517</v>
      </c>
      <c r="I366" s="36">
        <v>57901136284</v>
      </c>
      <c r="J366" s="12" t="s">
        <v>3518</v>
      </c>
      <c r="K366" s="12">
        <v>1</v>
      </c>
      <c r="L366" s="12">
        <v>57</v>
      </c>
      <c r="M366" s="12"/>
      <c r="N366" s="13">
        <v>2008</v>
      </c>
      <c r="O366" s="12" t="s">
        <v>2850</v>
      </c>
      <c r="P366" s="12"/>
      <c r="Q366" s="12"/>
      <c r="R366" s="12" t="s">
        <v>94</v>
      </c>
      <c r="S366" s="12">
        <v>10</v>
      </c>
      <c r="T366" s="12">
        <v>830508092</v>
      </c>
      <c r="U366" s="12" t="s">
        <v>584</v>
      </c>
      <c r="V366" s="12">
        <f>VLOOKUP(Tabla44[[#This Row],[ZONA DEFINITIVO]],[1]Hoja1!$A$1:$D$125,3,0)</f>
        <v>229943</v>
      </c>
      <c r="W366" s="12">
        <f>VLOOKUP(Tabla44[[#This Row],[ZONA DEFINITIVO]],[1]Hoja1!$A$1:$D$125,2,0)</f>
        <v>17264</v>
      </c>
      <c r="X366" s="12">
        <f>VLOOKUP(Tabla44[[#This Row],[ZONA DEFINITIVO]],[1]Hoja1!$A$1:$D$125,4,0)</f>
        <v>105025</v>
      </c>
      <c r="Y366" s="12" t="str">
        <f>+IF(Tabla44[[#This Row],[AGRUPACIONES]]=1,SUMIFS(Tabla44[UDS],Tabla44[ZONA DEFINITIVO],Tabla44[[#This Row],[ZONA DEFINITIVO]])," ")</f>
        <v xml:space="preserve"> </v>
      </c>
      <c r="Z366" s="12" t="str">
        <f>+IF(Tabla44[[#This Row],[AGRUPACIONES]]=1,SUMIFS(Tabla44[TOTAL COBERTURA],Tabla44[ZONA DEFINITIVO],Tabla44[[#This Row],[ZONA DEFINITIVO]])," ")</f>
        <v xml:space="preserve"> </v>
      </c>
      <c r="AA366" s="12"/>
      <c r="AB366" s="35">
        <v>168532242</v>
      </c>
      <c r="AC366" s="37">
        <v>0</v>
      </c>
      <c r="AD366" s="35">
        <f t="shared" si="6"/>
        <v>0</v>
      </c>
      <c r="AE366" s="12"/>
      <c r="AF366" s="12">
        <f>COUNTIF($A$20:A366,A366)</f>
        <v>6</v>
      </c>
      <c r="AG366" s="38">
        <v>168532242</v>
      </c>
      <c r="AH366" s="38">
        <f>Tabla44[[#This Row],[VALOR CONTRAPARTIDA]]+Tabla44[[#This Row],[TOTAL APORTES ICBF]]</f>
        <v>168532242</v>
      </c>
      <c r="AI366" s="35" t="str">
        <f>+IF(Tabla44[[#This Row],[AGRUPACIONES]]=1,SUMIFS(Tabla44[TOTAL APORTES ICBF],Tabla44[ZONA DEFINITIVO],Tabla44[[#This Row],[ZONA DEFINITIVO]])," ")</f>
        <v xml:space="preserve"> </v>
      </c>
      <c r="AJ366" s="38"/>
      <c r="AK366" s="38"/>
      <c r="AL366" s="35"/>
      <c r="AM366" s="35">
        <f>VLOOKUP(Tabla44[[#This Row],[SERVICIO 2025]],$J$2:$V$15,5,0)*Tabla44[[#This Row],[TOTAL COBERTURA]]</f>
        <v>5024151</v>
      </c>
      <c r="AN366" s="35">
        <f>VLOOKUP(Tabla44[[#This Row],[SERVICIO 2025]],$J$2:$V$15,6,0)*Tabla44[[#This Row],[TOTAL COBERTURA]]</f>
        <v>4277451</v>
      </c>
      <c r="AO366" s="35">
        <f>VLOOKUP(Tabla44[[#This Row],[SERVICIO 2025]],$J$2:$V$15,8,0)*Tabla44[[#This Row],[TOTAL COBERTURA]]</f>
        <v>0</v>
      </c>
      <c r="AP366" s="35">
        <f>VLOOKUP(Tabla44[[#This Row],[SERVICIO 2025]],$J$2:$V$15,3,0)*Tabla44[[#This Row],[TOTAL COBERTURA]]*8</f>
        <v>159230640</v>
      </c>
      <c r="AQ366" s="35"/>
      <c r="AR366" s="35">
        <f>SUM(Tabla44[[#This Row],[VALOR FASE PREPARATORIA DE ALISTAMIENTO]:[VALOR RACION PREPARADA]])</f>
        <v>168532242</v>
      </c>
      <c r="AS366" s="35" t="str">
        <f>+IF(Tabla44[[#This Row],[AGRUPACIONES]]=1,SUMIFS(Tabla44[VALOR TOTAL],Tabla44[ZONA DEFINITIVO],Tabla44[[#This Row],[ZONA DEFINITIVO]])," ")</f>
        <v xml:space="preserve"> </v>
      </c>
      <c r="AT366" s="35">
        <f>VLOOKUP(Tabla44[[#This Row],[SERVICIO 2025]],$J$2:$V$15,10,0)*Tabla44[[#This Row],[TOTAL COBERTURA]]*$X$7</f>
        <v>70232208</v>
      </c>
      <c r="AU366" s="39">
        <f>Tabla44[[#This Row],[TOTAL CONTRATO (ICBF+EAS)]]+Tabla44[[#This Row],[VALOR COMPONENTE ALIMENTACION NO ASIGNADO]]</f>
        <v>238764450</v>
      </c>
      <c r="AV36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33707007</v>
      </c>
      <c r="AW366" s="35">
        <f>(VLOOKUP(Tabla44[[#This Row],[SERVICIO 2025]],$J$2:$V$15,3,0)*Tabla44[[#This Row],[TOTAL COBERTURA]])+VLOOKUP(Tabla44[[#This Row],[SERVICIO 2025]],$J$2:$V$15,10,0)*Tabla44[[#This Row],[TOTAL COBERTURA]]</f>
        <v>28682856</v>
      </c>
      <c r="AX366" s="35">
        <f>(VLOOKUP(Tabla44[[#This Row],[SERVICIO 2025]],$J$2:$V$15,3,0)*Tabla44[[#This Row],[TOTAL COBERTURA]])+VLOOKUP(Tabla44[[#This Row],[SERVICIO 2025]],$J$2:$V$15,10,0)*Tabla44[[#This Row],[TOTAL COBERTURA]]</f>
        <v>28682856</v>
      </c>
      <c r="AY366" s="35">
        <f>(VLOOKUP(Tabla44[[#This Row],[SERVICIO 2025]],$J$2:$V$15,3,0)*Tabla44[[#This Row],[TOTAL COBERTURA]])+VLOOKUP(Tabla44[[#This Row],[SERVICIO 2025]],$J$2:$V$15,10,0)*Tabla44[[#This Row],[TOTAL COBERTURA]]</f>
        <v>28682856</v>
      </c>
      <c r="AZ366" s="35">
        <f>(VLOOKUP(Tabla44[[#This Row],[SERVICIO 2025]],$J$2:$V$15,3,0)*Tabla44[[#This Row],[TOTAL COBERTURA]])+VLOOKUP(Tabla44[[#This Row],[SERVICIO 2025]],$J$2:$V$15,10,0)*Tabla44[[#This Row],[TOTAL COBERTURA]]</f>
        <v>28682856</v>
      </c>
      <c r="BA366" s="35">
        <f>(VLOOKUP(Tabla44[[#This Row],[SERVICIO 2025]],$J$2:$V$15,3,0)*Tabla44[[#This Row],[TOTAL COBERTURA]])+VLOOKUP(Tabla44[[#This Row],[SERVICIO 2025]],$J$2:$V$15,10,0)*Tabla44[[#This Row],[TOTAL COBERTURA]]</f>
        <v>28682856</v>
      </c>
      <c r="BB366" s="35">
        <f>(VLOOKUP(Tabla44[[#This Row],[SERVICIO 2025]],$J$2:$V$15,3,0)*Tabla44[[#This Row],[TOTAL COBERTURA]])+VLOOKUP(Tabla44[[#This Row],[SERVICIO 2025]],$J$2:$V$15,10,0)*Tabla44[[#This Row],[TOTAL COBERTURA]]</f>
        <v>28682856</v>
      </c>
      <c r="BC36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32960307</v>
      </c>
      <c r="BD366" s="35">
        <f>SUM(Tabla44[[#This Row],[DESEMBOLSO 1]:[DESEMBOLSO 8]])</f>
        <v>238764450</v>
      </c>
      <c r="BE366" s="12" t="b">
        <f>EXACT(Tabla44[[#This Row],[VALOR ATENCIÓN (8 MESES)]],Tabla44[[#This Row],[VALOR TOTAL]])</f>
        <v>1</v>
      </c>
      <c r="BF366" s="23">
        <f>Tabla44[[#This Row],[VALOR ATENCIÓN (8 MESES)]]-Tabla44[[#This Row],[VALOR TOTAL]]</f>
        <v>0</v>
      </c>
      <c r="BG366" s="12" t="b">
        <f>EXACT(Tabla44[[#This Row],[TOTAL DESEMBOLSOS]],Tabla44[[#This Row],[VALOR TOTAL DEL CONTRATO INCLUIDO EL COMPONENTE DE ALIMENTACIÓN]])</f>
        <v>1</v>
      </c>
      <c r="BH366" s="29">
        <f>Tabla44[[#This Row],[TOTAL DESEMBOLSOS]]-Tabla44[[#This Row],[VALOR TOTAL DEL CONTRATO INCLUIDO EL COMPONENTE DE ALIMENTACIÓN]]</f>
        <v>0</v>
      </c>
      <c r="BI366" t="s">
        <v>98</v>
      </c>
    </row>
    <row r="367" spans="1:61">
      <c r="A367" s="13">
        <v>2008</v>
      </c>
      <c r="B367" s="13"/>
      <c r="C367" s="12" t="s">
        <v>87</v>
      </c>
      <c r="D367" s="12" t="s">
        <v>987</v>
      </c>
      <c r="E367" s="12" t="s">
        <v>3510</v>
      </c>
      <c r="F367" s="12" t="s">
        <v>19</v>
      </c>
      <c r="G367" s="12" t="s">
        <v>90</v>
      </c>
      <c r="H367" s="12" t="s">
        <v>3519</v>
      </c>
      <c r="I367" s="36">
        <v>57901148720</v>
      </c>
      <c r="J367" s="12" t="s">
        <v>3520</v>
      </c>
      <c r="K367" s="12">
        <v>1</v>
      </c>
      <c r="L367" s="12">
        <v>165</v>
      </c>
      <c r="M367" s="12"/>
      <c r="N367" s="13">
        <v>2008</v>
      </c>
      <c r="O367" s="12" t="s">
        <v>2850</v>
      </c>
      <c r="P367" s="12"/>
      <c r="Q367" s="12"/>
      <c r="R367" s="12" t="s">
        <v>94</v>
      </c>
      <c r="S367" s="12">
        <v>10</v>
      </c>
      <c r="T367" s="12">
        <v>830508092</v>
      </c>
      <c r="U367" s="12" t="s">
        <v>584</v>
      </c>
      <c r="V367" s="12">
        <f>VLOOKUP(Tabla44[[#This Row],[ZONA DEFINITIVO]],[1]Hoja1!$A$1:$D$125,3,0)</f>
        <v>229943</v>
      </c>
      <c r="W367" s="12">
        <f>VLOOKUP(Tabla44[[#This Row],[ZONA DEFINITIVO]],[1]Hoja1!$A$1:$D$125,2,0)</f>
        <v>17264</v>
      </c>
      <c r="X367" s="12">
        <f>VLOOKUP(Tabla44[[#This Row],[ZONA DEFINITIVO]],[1]Hoja1!$A$1:$D$125,4,0)</f>
        <v>105025</v>
      </c>
      <c r="Y367" s="12" t="str">
        <f>+IF(Tabla44[[#This Row],[AGRUPACIONES]]=1,SUMIFS(Tabla44[UDS],Tabla44[ZONA DEFINITIVO],Tabla44[[#This Row],[ZONA DEFINITIVO]])," ")</f>
        <v xml:space="preserve"> </v>
      </c>
      <c r="Z367" s="12" t="str">
        <f>+IF(Tabla44[[#This Row],[AGRUPACIONES]]=1,SUMIFS(Tabla44[TOTAL COBERTURA],Tabla44[ZONA DEFINITIVO],Tabla44[[#This Row],[ZONA DEFINITIVO]])," ")</f>
        <v xml:space="preserve"> </v>
      </c>
      <c r="AA367" s="12"/>
      <c r="AB367" s="35">
        <v>371439915</v>
      </c>
      <c r="AC367" s="37">
        <v>0</v>
      </c>
      <c r="AD367" s="35">
        <f t="shared" si="6"/>
        <v>0</v>
      </c>
      <c r="AE367" s="12"/>
      <c r="AF367" s="12">
        <f>COUNTIF($A$20:A367,A367)</f>
        <v>7</v>
      </c>
      <c r="AG367" s="38">
        <v>371439915</v>
      </c>
      <c r="AH367" s="38">
        <f>Tabla44[[#This Row],[VALOR CONTRAPARTIDA]]+Tabla44[[#This Row],[TOTAL APORTES ICBF]]</f>
        <v>371439915</v>
      </c>
      <c r="AI367" s="35" t="str">
        <f>+IF(Tabla44[[#This Row],[AGRUPACIONES]]=1,SUMIFS(Tabla44[TOTAL APORTES ICBF],Tabla44[ZONA DEFINITIVO],Tabla44[[#This Row],[ZONA DEFINITIVO]])," ")</f>
        <v xml:space="preserve"> </v>
      </c>
      <c r="AJ367" s="38"/>
      <c r="AK367" s="38"/>
      <c r="AL367" s="35"/>
      <c r="AM367" s="35">
        <f>VLOOKUP(Tabla44[[#This Row],[SERVICIO 2025]],$J$2:$V$15,5,0)*Tabla44[[#This Row],[TOTAL COBERTURA]]</f>
        <v>8491395</v>
      </c>
      <c r="AN367" s="35">
        <f>VLOOKUP(Tabla44[[#This Row],[SERVICIO 2025]],$J$2:$V$15,6,0)*Tabla44[[#This Row],[TOTAL COBERTURA]]</f>
        <v>7114140</v>
      </c>
      <c r="AO367" s="35">
        <f>VLOOKUP(Tabla44[[#This Row],[SERVICIO 2025]],$J$2:$V$15,8,0)*Tabla44[[#This Row],[TOTAL COBERTURA]]</f>
        <v>4801500</v>
      </c>
      <c r="AP367" s="35">
        <f>VLOOKUP(Tabla44[[#This Row],[SERVICIO 2025]],$J$2:$V$15,3,0)*Tabla44[[#This Row],[TOTAL COBERTURA]]*8</f>
        <v>351032880</v>
      </c>
      <c r="AQ367" s="35"/>
      <c r="AR367" s="35">
        <f>SUM(Tabla44[[#This Row],[VALOR FASE PREPARATORIA DE ALISTAMIENTO]:[VALOR RACION PREPARADA]])</f>
        <v>371439915</v>
      </c>
      <c r="AS367" s="35" t="str">
        <f>+IF(Tabla44[[#This Row],[AGRUPACIONES]]=1,SUMIFS(Tabla44[VALOR TOTAL],Tabla44[ZONA DEFINITIVO],Tabla44[[#This Row],[ZONA DEFINITIVO]])," ")</f>
        <v xml:space="preserve"> </v>
      </c>
      <c r="AT367" s="35">
        <f>VLOOKUP(Tabla44[[#This Row],[SERVICIO 2025]],$J$2:$V$15,10,0)*Tabla44[[#This Row],[TOTAL COBERTURA]]*$X$7</f>
        <v>238105560</v>
      </c>
      <c r="AU367" s="39">
        <f>Tabla44[[#This Row],[TOTAL CONTRATO (ICBF+EAS)]]+Tabla44[[#This Row],[VALOR COMPONENTE ALIMENTACION NO ASIGNADO]]</f>
        <v>609545475</v>
      </c>
      <c r="AV36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86935200</v>
      </c>
      <c r="AW367" s="35">
        <f>(VLOOKUP(Tabla44[[#This Row],[SERVICIO 2025]],$J$2:$V$15,3,0)*Tabla44[[#This Row],[TOTAL COBERTURA]])+VLOOKUP(Tabla44[[#This Row],[SERVICIO 2025]],$J$2:$V$15,10,0)*Tabla44[[#This Row],[TOTAL COBERTURA]]</f>
        <v>73642305</v>
      </c>
      <c r="AX367" s="35">
        <f>(VLOOKUP(Tabla44[[#This Row],[SERVICIO 2025]],$J$2:$V$15,3,0)*Tabla44[[#This Row],[TOTAL COBERTURA]])+VLOOKUP(Tabla44[[#This Row],[SERVICIO 2025]],$J$2:$V$15,10,0)*Tabla44[[#This Row],[TOTAL COBERTURA]]</f>
        <v>73642305</v>
      </c>
      <c r="AY367" s="35">
        <f>(VLOOKUP(Tabla44[[#This Row],[SERVICIO 2025]],$J$2:$V$15,3,0)*Tabla44[[#This Row],[TOTAL COBERTURA]])+VLOOKUP(Tabla44[[#This Row],[SERVICIO 2025]],$J$2:$V$15,10,0)*Tabla44[[#This Row],[TOTAL COBERTURA]]</f>
        <v>73642305</v>
      </c>
      <c r="AZ367" s="35">
        <f>(VLOOKUP(Tabla44[[#This Row],[SERVICIO 2025]],$J$2:$V$15,3,0)*Tabla44[[#This Row],[TOTAL COBERTURA]])+VLOOKUP(Tabla44[[#This Row],[SERVICIO 2025]],$J$2:$V$15,10,0)*Tabla44[[#This Row],[TOTAL COBERTURA]]</f>
        <v>73642305</v>
      </c>
      <c r="BA367" s="35">
        <f>(VLOOKUP(Tabla44[[#This Row],[SERVICIO 2025]],$J$2:$V$15,3,0)*Tabla44[[#This Row],[TOTAL COBERTURA]])+VLOOKUP(Tabla44[[#This Row],[SERVICIO 2025]],$J$2:$V$15,10,0)*Tabla44[[#This Row],[TOTAL COBERTURA]]</f>
        <v>73642305</v>
      </c>
      <c r="BB367" s="35">
        <f>(VLOOKUP(Tabla44[[#This Row],[SERVICIO 2025]],$J$2:$V$15,3,0)*Tabla44[[#This Row],[TOTAL COBERTURA]])+VLOOKUP(Tabla44[[#This Row],[SERVICIO 2025]],$J$2:$V$15,10,0)*Tabla44[[#This Row],[TOTAL COBERTURA]]</f>
        <v>73642305</v>
      </c>
      <c r="BC36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80756445</v>
      </c>
      <c r="BD367" s="35">
        <f>SUM(Tabla44[[#This Row],[DESEMBOLSO 1]:[DESEMBOLSO 8]])</f>
        <v>609545475</v>
      </c>
      <c r="BE367" s="12" t="b">
        <f>EXACT(Tabla44[[#This Row],[VALOR ATENCIÓN (8 MESES)]],Tabla44[[#This Row],[VALOR TOTAL]])</f>
        <v>1</v>
      </c>
      <c r="BF367" s="23">
        <f>Tabla44[[#This Row],[VALOR ATENCIÓN (8 MESES)]]-Tabla44[[#This Row],[VALOR TOTAL]]</f>
        <v>0</v>
      </c>
      <c r="BG367" s="12" t="b">
        <f>EXACT(Tabla44[[#This Row],[TOTAL DESEMBOLSOS]],Tabla44[[#This Row],[VALOR TOTAL DEL CONTRATO INCLUIDO EL COMPONENTE DE ALIMENTACIÓN]])</f>
        <v>1</v>
      </c>
      <c r="BH367" s="29">
        <f>Tabla44[[#This Row],[TOTAL DESEMBOLSOS]]-Tabla44[[#This Row],[VALOR TOTAL DEL CONTRATO INCLUIDO EL COMPONENTE DE ALIMENTACIÓN]]</f>
        <v>0</v>
      </c>
      <c r="BI367" t="s">
        <v>98</v>
      </c>
    </row>
    <row r="368" spans="1:61">
      <c r="A368" s="13">
        <v>2008</v>
      </c>
      <c r="B368" s="13"/>
      <c r="C368" s="12" t="s">
        <v>87</v>
      </c>
      <c r="D368" s="12" t="s">
        <v>987</v>
      </c>
      <c r="E368" s="12" t="s">
        <v>3510</v>
      </c>
      <c r="F368" s="12" t="s">
        <v>13</v>
      </c>
      <c r="G368" s="12" t="s">
        <v>90</v>
      </c>
      <c r="H368" s="12" t="s">
        <v>3521</v>
      </c>
      <c r="I368" s="36">
        <v>579000051606</v>
      </c>
      <c r="J368" s="12" t="s">
        <v>3522</v>
      </c>
      <c r="K368" s="12">
        <v>1</v>
      </c>
      <c r="L368" s="12">
        <v>38</v>
      </c>
      <c r="M368" s="12"/>
      <c r="N368" s="13">
        <v>2008</v>
      </c>
      <c r="O368" s="12" t="s">
        <v>2850</v>
      </c>
      <c r="P368" s="12"/>
      <c r="Q368" s="12"/>
      <c r="R368" s="12" t="s">
        <v>94</v>
      </c>
      <c r="S368" s="12">
        <v>10</v>
      </c>
      <c r="T368" s="12">
        <v>830508092</v>
      </c>
      <c r="U368" s="12" t="s">
        <v>584</v>
      </c>
      <c r="V368" s="12">
        <f>VLOOKUP(Tabla44[[#This Row],[ZONA DEFINITIVO]],[1]Hoja1!$A$1:$D$125,3,0)</f>
        <v>229943</v>
      </c>
      <c r="W368" s="12">
        <f>VLOOKUP(Tabla44[[#This Row],[ZONA DEFINITIVO]],[1]Hoja1!$A$1:$D$125,2,0)</f>
        <v>17264</v>
      </c>
      <c r="X368" s="12">
        <f>VLOOKUP(Tabla44[[#This Row],[ZONA DEFINITIVO]],[1]Hoja1!$A$1:$D$125,4,0)</f>
        <v>105025</v>
      </c>
      <c r="Y368" s="12" t="str">
        <f>+IF(Tabla44[[#This Row],[AGRUPACIONES]]=1,SUMIFS(Tabla44[UDS],Tabla44[ZONA DEFINITIVO],Tabla44[[#This Row],[ZONA DEFINITIVO]])," ")</f>
        <v xml:space="preserve"> </v>
      </c>
      <c r="Z368" s="12" t="str">
        <f>+IF(Tabla44[[#This Row],[AGRUPACIONES]]=1,SUMIFS(Tabla44[TOTAL COBERTURA],Tabla44[ZONA DEFINITIVO],Tabla44[[#This Row],[ZONA DEFINITIVO]])," ")</f>
        <v xml:space="preserve"> </v>
      </c>
      <c r="AA368" s="12"/>
      <c r="AB368" s="35">
        <v>112354828</v>
      </c>
      <c r="AC368" s="37">
        <v>0</v>
      </c>
      <c r="AD368" s="35">
        <f t="shared" si="6"/>
        <v>0</v>
      </c>
      <c r="AE368" s="12"/>
      <c r="AF368" s="12">
        <f>COUNTIF($A$20:A368,A368)</f>
        <v>8</v>
      </c>
      <c r="AG368" s="38">
        <v>112354828</v>
      </c>
      <c r="AH368" s="38">
        <f>Tabla44[[#This Row],[VALOR CONTRAPARTIDA]]+Tabla44[[#This Row],[TOTAL APORTES ICBF]]</f>
        <v>112354828</v>
      </c>
      <c r="AI368" s="35" t="str">
        <f>+IF(Tabla44[[#This Row],[AGRUPACIONES]]=1,SUMIFS(Tabla44[TOTAL APORTES ICBF],Tabla44[ZONA DEFINITIVO],Tabla44[[#This Row],[ZONA DEFINITIVO]])," ")</f>
        <v xml:space="preserve"> </v>
      </c>
      <c r="AJ368" s="38"/>
      <c r="AK368" s="38"/>
      <c r="AL368" s="35"/>
      <c r="AM368" s="35">
        <f>VLOOKUP(Tabla44[[#This Row],[SERVICIO 2025]],$J$2:$V$15,5,0)*Tabla44[[#This Row],[TOTAL COBERTURA]]</f>
        <v>3349434</v>
      </c>
      <c r="AN368" s="35">
        <f>VLOOKUP(Tabla44[[#This Row],[SERVICIO 2025]],$J$2:$V$15,6,0)*Tabla44[[#This Row],[TOTAL COBERTURA]]</f>
        <v>2851634</v>
      </c>
      <c r="AO368" s="35">
        <f>VLOOKUP(Tabla44[[#This Row],[SERVICIO 2025]],$J$2:$V$15,8,0)*Tabla44[[#This Row],[TOTAL COBERTURA]]</f>
        <v>0</v>
      </c>
      <c r="AP368" s="35">
        <f>VLOOKUP(Tabla44[[#This Row],[SERVICIO 2025]],$J$2:$V$15,3,0)*Tabla44[[#This Row],[TOTAL COBERTURA]]*8</f>
        <v>106153760</v>
      </c>
      <c r="AQ368" s="35"/>
      <c r="AR368" s="35">
        <f>SUM(Tabla44[[#This Row],[VALOR FASE PREPARATORIA DE ALISTAMIENTO]:[VALOR RACION PREPARADA]])</f>
        <v>112354828</v>
      </c>
      <c r="AS368" s="35" t="str">
        <f>+IF(Tabla44[[#This Row],[AGRUPACIONES]]=1,SUMIFS(Tabla44[VALOR TOTAL],Tabla44[ZONA DEFINITIVO],Tabla44[[#This Row],[ZONA DEFINITIVO]])," ")</f>
        <v xml:space="preserve"> </v>
      </c>
      <c r="AT368" s="35">
        <f>VLOOKUP(Tabla44[[#This Row],[SERVICIO 2025]],$J$2:$V$15,10,0)*Tabla44[[#This Row],[TOTAL COBERTURA]]*$X$7</f>
        <v>46821472</v>
      </c>
      <c r="AU368" s="39">
        <f>Tabla44[[#This Row],[TOTAL CONTRATO (ICBF+EAS)]]+Tabla44[[#This Row],[VALOR COMPONENTE ALIMENTACION NO ASIGNADO]]</f>
        <v>159176300</v>
      </c>
      <c r="AV36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22471338</v>
      </c>
      <c r="AW368" s="35">
        <f>(VLOOKUP(Tabla44[[#This Row],[SERVICIO 2025]],$J$2:$V$15,3,0)*Tabla44[[#This Row],[TOTAL COBERTURA]])+VLOOKUP(Tabla44[[#This Row],[SERVICIO 2025]],$J$2:$V$15,10,0)*Tabla44[[#This Row],[TOTAL COBERTURA]]</f>
        <v>19121904</v>
      </c>
      <c r="AX368" s="35">
        <f>(VLOOKUP(Tabla44[[#This Row],[SERVICIO 2025]],$J$2:$V$15,3,0)*Tabla44[[#This Row],[TOTAL COBERTURA]])+VLOOKUP(Tabla44[[#This Row],[SERVICIO 2025]],$J$2:$V$15,10,0)*Tabla44[[#This Row],[TOTAL COBERTURA]]</f>
        <v>19121904</v>
      </c>
      <c r="AY368" s="35">
        <f>(VLOOKUP(Tabla44[[#This Row],[SERVICIO 2025]],$J$2:$V$15,3,0)*Tabla44[[#This Row],[TOTAL COBERTURA]])+VLOOKUP(Tabla44[[#This Row],[SERVICIO 2025]],$J$2:$V$15,10,0)*Tabla44[[#This Row],[TOTAL COBERTURA]]</f>
        <v>19121904</v>
      </c>
      <c r="AZ368" s="35">
        <f>(VLOOKUP(Tabla44[[#This Row],[SERVICIO 2025]],$J$2:$V$15,3,0)*Tabla44[[#This Row],[TOTAL COBERTURA]])+VLOOKUP(Tabla44[[#This Row],[SERVICIO 2025]],$J$2:$V$15,10,0)*Tabla44[[#This Row],[TOTAL COBERTURA]]</f>
        <v>19121904</v>
      </c>
      <c r="BA368" s="35">
        <f>(VLOOKUP(Tabla44[[#This Row],[SERVICIO 2025]],$J$2:$V$15,3,0)*Tabla44[[#This Row],[TOTAL COBERTURA]])+VLOOKUP(Tabla44[[#This Row],[SERVICIO 2025]],$J$2:$V$15,10,0)*Tabla44[[#This Row],[TOTAL COBERTURA]]</f>
        <v>19121904</v>
      </c>
      <c r="BB368" s="35">
        <f>(VLOOKUP(Tabla44[[#This Row],[SERVICIO 2025]],$J$2:$V$15,3,0)*Tabla44[[#This Row],[TOTAL COBERTURA]])+VLOOKUP(Tabla44[[#This Row],[SERVICIO 2025]],$J$2:$V$15,10,0)*Tabla44[[#This Row],[TOTAL COBERTURA]]</f>
        <v>19121904</v>
      </c>
      <c r="BC36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21973538</v>
      </c>
      <c r="BD368" s="35">
        <f>SUM(Tabla44[[#This Row],[DESEMBOLSO 1]:[DESEMBOLSO 8]])</f>
        <v>159176300</v>
      </c>
      <c r="BE368" s="12" t="b">
        <f>EXACT(Tabla44[[#This Row],[VALOR ATENCIÓN (8 MESES)]],Tabla44[[#This Row],[VALOR TOTAL]])</f>
        <v>1</v>
      </c>
      <c r="BF368" s="23">
        <f>Tabla44[[#This Row],[VALOR ATENCIÓN (8 MESES)]]-Tabla44[[#This Row],[VALOR TOTAL]]</f>
        <v>0</v>
      </c>
      <c r="BG368" s="12" t="b">
        <f>EXACT(Tabla44[[#This Row],[TOTAL DESEMBOLSOS]],Tabla44[[#This Row],[VALOR TOTAL DEL CONTRATO INCLUIDO EL COMPONENTE DE ALIMENTACIÓN]])</f>
        <v>1</v>
      </c>
      <c r="BH368" s="29">
        <f>Tabla44[[#This Row],[TOTAL DESEMBOLSOS]]-Tabla44[[#This Row],[VALOR TOTAL DEL CONTRATO INCLUIDO EL COMPONENTE DE ALIMENTACIÓN]]</f>
        <v>0</v>
      </c>
      <c r="BI368" t="s">
        <v>98</v>
      </c>
    </row>
    <row r="369" spans="1:61">
      <c r="A369" s="13">
        <v>2008</v>
      </c>
      <c r="B369" s="13"/>
      <c r="C369" s="12" t="s">
        <v>87</v>
      </c>
      <c r="D369" s="12" t="s">
        <v>987</v>
      </c>
      <c r="E369" s="12" t="s">
        <v>3510</v>
      </c>
      <c r="F369" s="12" t="s">
        <v>13</v>
      </c>
      <c r="G369" s="12" t="s">
        <v>90</v>
      </c>
      <c r="H369" s="12" t="s">
        <v>3523</v>
      </c>
      <c r="I369" s="36">
        <v>579000068474</v>
      </c>
      <c r="J369" s="12" t="s">
        <v>3524</v>
      </c>
      <c r="K369" s="12">
        <v>1</v>
      </c>
      <c r="L369" s="12">
        <v>124</v>
      </c>
      <c r="M369" s="12"/>
      <c r="N369" s="13">
        <v>2008</v>
      </c>
      <c r="O369" s="12" t="s">
        <v>2850</v>
      </c>
      <c r="P369" s="12"/>
      <c r="Q369" s="12"/>
      <c r="R369" s="12" t="s">
        <v>94</v>
      </c>
      <c r="S369" s="12">
        <v>10</v>
      </c>
      <c r="T369" s="12">
        <v>830508092</v>
      </c>
      <c r="U369" s="12" t="s">
        <v>584</v>
      </c>
      <c r="V369" s="12">
        <f>VLOOKUP(Tabla44[[#This Row],[ZONA DEFINITIVO]],[1]Hoja1!$A$1:$D$125,3,0)</f>
        <v>229943</v>
      </c>
      <c r="W369" s="12">
        <f>VLOOKUP(Tabla44[[#This Row],[ZONA DEFINITIVO]],[1]Hoja1!$A$1:$D$125,2,0)</f>
        <v>17264</v>
      </c>
      <c r="X369" s="12">
        <f>VLOOKUP(Tabla44[[#This Row],[ZONA DEFINITIVO]],[1]Hoja1!$A$1:$D$125,4,0)</f>
        <v>105025</v>
      </c>
      <c r="Y369" s="12" t="str">
        <f>+IF(Tabla44[[#This Row],[AGRUPACIONES]]=1,SUMIFS(Tabla44[UDS],Tabla44[ZONA DEFINITIVO],Tabla44[[#This Row],[ZONA DEFINITIVO]])," ")</f>
        <v xml:space="preserve"> </v>
      </c>
      <c r="Z369" s="12" t="str">
        <f>+IF(Tabla44[[#This Row],[AGRUPACIONES]]=1,SUMIFS(Tabla44[TOTAL COBERTURA],Tabla44[ZONA DEFINITIVO],Tabla44[[#This Row],[ZONA DEFINITIVO]])," ")</f>
        <v xml:space="preserve"> </v>
      </c>
      <c r="AA369" s="12"/>
      <c r="AB369" s="35">
        <v>366631544</v>
      </c>
      <c r="AC369" s="37">
        <v>0</v>
      </c>
      <c r="AD369" s="35">
        <f t="shared" si="6"/>
        <v>0</v>
      </c>
      <c r="AE369" s="12"/>
      <c r="AF369" s="12">
        <f>COUNTIF($A$20:A369,A369)</f>
        <v>9</v>
      </c>
      <c r="AG369" s="38">
        <v>366631544</v>
      </c>
      <c r="AH369" s="38">
        <f>Tabla44[[#This Row],[VALOR CONTRAPARTIDA]]+Tabla44[[#This Row],[TOTAL APORTES ICBF]]</f>
        <v>366631544</v>
      </c>
      <c r="AI369" s="35" t="str">
        <f>+IF(Tabla44[[#This Row],[AGRUPACIONES]]=1,SUMIFS(Tabla44[TOTAL APORTES ICBF],Tabla44[ZONA DEFINITIVO],Tabla44[[#This Row],[ZONA DEFINITIVO]])," ")</f>
        <v xml:space="preserve"> </v>
      </c>
      <c r="AJ369" s="38"/>
      <c r="AK369" s="38"/>
      <c r="AL369" s="35"/>
      <c r="AM369" s="35">
        <f>VLOOKUP(Tabla44[[#This Row],[SERVICIO 2025]],$J$2:$V$15,5,0)*Tabla44[[#This Row],[TOTAL COBERTURA]]</f>
        <v>10929732</v>
      </c>
      <c r="AN369" s="35">
        <f>VLOOKUP(Tabla44[[#This Row],[SERVICIO 2025]],$J$2:$V$15,6,0)*Tabla44[[#This Row],[TOTAL COBERTURA]]</f>
        <v>9305332</v>
      </c>
      <c r="AO369" s="35">
        <f>VLOOKUP(Tabla44[[#This Row],[SERVICIO 2025]],$J$2:$V$15,8,0)*Tabla44[[#This Row],[TOTAL COBERTURA]]</f>
        <v>0</v>
      </c>
      <c r="AP369" s="35">
        <f>VLOOKUP(Tabla44[[#This Row],[SERVICIO 2025]],$J$2:$V$15,3,0)*Tabla44[[#This Row],[TOTAL COBERTURA]]*8</f>
        <v>346396480</v>
      </c>
      <c r="AQ369" s="35"/>
      <c r="AR369" s="35">
        <f>SUM(Tabla44[[#This Row],[VALOR FASE PREPARATORIA DE ALISTAMIENTO]:[VALOR RACION PREPARADA]])</f>
        <v>366631544</v>
      </c>
      <c r="AS369" s="35" t="str">
        <f>+IF(Tabla44[[#This Row],[AGRUPACIONES]]=1,SUMIFS(Tabla44[VALOR TOTAL],Tabla44[ZONA DEFINITIVO],Tabla44[[#This Row],[ZONA DEFINITIVO]])," ")</f>
        <v xml:space="preserve"> </v>
      </c>
      <c r="AT369" s="35">
        <f>VLOOKUP(Tabla44[[#This Row],[SERVICIO 2025]],$J$2:$V$15,10,0)*Tabla44[[#This Row],[TOTAL COBERTURA]]*$X$7</f>
        <v>152785856</v>
      </c>
      <c r="AU369" s="39">
        <f>Tabla44[[#This Row],[TOTAL CONTRATO (ICBF+EAS)]]+Tabla44[[#This Row],[VALOR COMPONENTE ALIMENTACION NO ASIGNADO]]</f>
        <v>519417400</v>
      </c>
      <c r="AV36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73327524</v>
      </c>
      <c r="AW369" s="35">
        <f>(VLOOKUP(Tabla44[[#This Row],[SERVICIO 2025]],$J$2:$V$15,3,0)*Tabla44[[#This Row],[TOTAL COBERTURA]])+VLOOKUP(Tabla44[[#This Row],[SERVICIO 2025]],$J$2:$V$15,10,0)*Tabla44[[#This Row],[TOTAL COBERTURA]]</f>
        <v>62397792</v>
      </c>
      <c r="AX369" s="35">
        <f>(VLOOKUP(Tabla44[[#This Row],[SERVICIO 2025]],$J$2:$V$15,3,0)*Tabla44[[#This Row],[TOTAL COBERTURA]])+VLOOKUP(Tabla44[[#This Row],[SERVICIO 2025]],$J$2:$V$15,10,0)*Tabla44[[#This Row],[TOTAL COBERTURA]]</f>
        <v>62397792</v>
      </c>
      <c r="AY369" s="35">
        <f>(VLOOKUP(Tabla44[[#This Row],[SERVICIO 2025]],$J$2:$V$15,3,0)*Tabla44[[#This Row],[TOTAL COBERTURA]])+VLOOKUP(Tabla44[[#This Row],[SERVICIO 2025]],$J$2:$V$15,10,0)*Tabla44[[#This Row],[TOTAL COBERTURA]]</f>
        <v>62397792</v>
      </c>
      <c r="AZ369" s="35">
        <f>(VLOOKUP(Tabla44[[#This Row],[SERVICIO 2025]],$J$2:$V$15,3,0)*Tabla44[[#This Row],[TOTAL COBERTURA]])+VLOOKUP(Tabla44[[#This Row],[SERVICIO 2025]],$J$2:$V$15,10,0)*Tabla44[[#This Row],[TOTAL COBERTURA]]</f>
        <v>62397792</v>
      </c>
      <c r="BA369" s="35">
        <f>(VLOOKUP(Tabla44[[#This Row],[SERVICIO 2025]],$J$2:$V$15,3,0)*Tabla44[[#This Row],[TOTAL COBERTURA]])+VLOOKUP(Tabla44[[#This Row],[SERVICIO 2025]],$J$2:$V$15,10,0)*Tabla44[[#This Row],[TOTAL COBERTURA]]</f>
        <v>62397792</v>
      </c>
      <c r="BB369" s="35">
        <f>(VLOOKUP(Tabla44[[#This Row],[SERVICIO 2025]],$J$2:$V$15,3,0)*Tabla44[[#This Row],[TOTAL COBERTURA]])+VLOOKUP(Tabla44[[#This Row],[SERVICIO 2025]],$J$2:$V$15,10,0)*Tabla44[[#This Row],[TOTAL COBERTURA]]</f>
        <v>62397792</v>
      </c>
      <c r="BC36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71703124</v>
      </c>
      <c r="BD369" s="35">
        <f>SUM(Tabla44[[#This Row],[DESEMBOLSO 1]:[DESEMBOLSO 8]])</f>
        <v>519417400</v>
      </c>
      <c r="BE369" s="12" t="b">
        <f>EXACT(Tabla44[[#This Row],[VALOR ATENCIÓN (8 MESES)]],Tabla44[[#This Row],[VALOR TOTAL]])</f>
        <v>1</v>
      </c>
      <c r="BF369" s="23">
        <f>Tabla44[[#This Row],[VALOR ATENCIÓN (8 MESES)]]-Tabla44[[#This Row],[VALOR TOTAL]]</f>
        <v>0</v>
      </c>
      <c r="BG369" s="12" t="b">
        <f>EXACT(Tabla44[[#This Row],[TOTAL DESEMBOLSOS]],Tabla44[[#This Row],[VALOR TOTAL DEL CONTRATO INCLUIDO EL COMPONENTE DE ALIMENTACIÓN]])</f>
        <v>1</v>
      </c>
      <c r="BH369" s="29">
        <f>Tabla44[[#This Row],[TOTAL DESEMBOLSOS]]-Tabla44[[#This Row],[VALOR TOTAL DEL CONTRATO INCLUIDO EL COMPONENTE DE ALIMENTACIÓN]]</f>
        <v>0</v>
      </c>
      <c r="BI369" t="s">
        <v>98</v>
      </c>
    </row>
    <row r="370" spans="1:61">
      <c r="A370" s="21">
        <v>2008</v>
      </c>
      <c r="B370" s="21"/>
      <c r="C370" s="22" t="s">
        <v>87</v>
      </c>
      <c r="D370" s="22" t="s">
        <v>987</v>
      </c>
      <c r="E370" s="22" t="s">
        <v>3510</v>
      </c>
      <c r="F370" s="22" t="s">
        <v>13</v>
      </c>
      <c r="G370" s="12" t="s">
        <v>90</v>
      </c>
      <c r="H370" s="22" t="s">
        <v>3525</v>
      </c>
      <c r="I370" s="36">
        <v>579000068814</v>
      </c>
      <c r="J370" s="22" t="s">
        <v>3526</v>
      </c>
      <c r="K370" s="12">
        <v>1</v>
      </c>
      <c r="L370" s="22">
        <v>76</v>
      </c>
      <c r="M370" s="22"/>
      <c r="N370" s="21">
        <v>2008</v>
      </c>
      <c r="O370" s="22" t="s">
        <v>2850</v>
      </c>
      <c r="P370" s="22"/>
      <c r="Q370" s="22"/>
      <c r="R370" s="12" t="s">
        <v>94</v>
      </c>
      <c r="S370" s="12">
        <v>10</v>
      </c>
      <c r="T370" s="12">
        <v>830508092</v>
      </c>
      <c r="U370" s="12" t="s">
        <v>584</v>
      </c>
      <c r="V370" s="22">
        <f>VLOOKUP(Tabla44[[#This Row],[ZONA DEFINITIVO]],[1]Hoja1!$A$1:$D$125,3,0)</f>
        <v>229943</v>
      </c>
      <c r="W370" s="22">
        <f>VLOOKUP(Tabla44[[#This Row],[ZONA DEFINITIVO]],[1]Hoja1!$A$1:$D$125,2,0)</f>
        <v>17264</v>
      </c>
      <c r="X370" s="22">
        <f>VLOOKUP(Tabla44[[#This Row],[ZONA DEFINITIVO]],[1]Hoja1!$A$1:$D$125,4,0)</f>
        <v>105025</v>
      </c>
      <c r="Y370" s="22" t="str">
        <f>+IF(Tabla44[[#This Row],[AGRUPACIONES]]=1,SUMIFS(Tabla44[UDS],Tabla44[ZONA DEFINITIVO],Tabla44[[#This Row],[ZONA DEFINITIVO]])," ")</f>
        <v xml:space="preserve"> </v>
      </c>
      <c r="Z370" s="22" t="str">
        <f>+IF(Tabla44[[#This Row],[AGRUPACIONES]]=1,SUMIFS(Tabla44[TOTAL COBERTURA],Tabla44[ZONA DEFINITIVO],Tabla44[[#This Row],[ZONA DEFINITIVO]])," ")</f>
        <v xml:space="preserve"> </v>
      </c>
      <c r="AA370" s="22"/>
      <c r="AB370" s="40">
        <v>224709656</v>
      </c>
      <c r="AC370" s="37">
        <v>0</v>
      </c>
      <c r="AD370" s="40">
        <f t="shared" si="6"/>
        <v>0</v>
      </c>
      <c r="AE370" s="22"/>
      <c r="AF370" s="12">
        <f>COUNTIF($A$20:A370,A370)</f>
        <v>10</v>
      </c>
      <c r="AG370" s="41">
        <v>224709656</v>
      </c>
      <c r="AH370" s="41">
        <f>Tabla44[[#This Row],[VALOR CONTRAPARTIDA]]+Tabla44[[#This Row],[TOTAL APORTES ICBF]]</f>
        <v>224709656</v>
      </c>
      <c r="AI370" s="40" t="str">
        <f>+IF(Tabla44[[#This Row],[AGRUPACIONES]]=1,SUMIFS(Tabla44[TOTAL APORTES ICBF],Tabla44[ZONA DEFINITIVO],Tabla44[[#This Row],[ZONA DEFINITIVO]])," ")</f>
        <v xml:space="preserve"> </v>
      </c>
      <c r="AJ370" s="41"/>
      <c r="AK370" s="41"/>
      <c r="AL370" s="40"/>
      <c r="AM370" s="40">
        <f>VLOOKUP(Tabla44[[#This Row],[SERVICIO 2025]],$J$2:$V$15,5,0)*Tabla44[[#This Row],[TOTAL COBERTURA]]</f>
        <v>6698868</v>
      </c>
      <c r="AN370" s="40">
        <f>VLOOKUP(Tabla44[[#This Row],[SERVICIO 2025]],$J$2:$V$15,6,0)*Tabla44[[#This Row],[TOTAL COBERTURA]]</f>
        <v>5703268</v>
      </c>
      <c r="AO370" s="40">
        <f>VLOOKUP(Tabla44[[#This Row],[SERVICIO 2025]],$J$2:$V$15,8,0)*Tabla44[[#This Row],[TOTAL COBERTURA]]</f>
        <v>0</v>
      </c>
      <c r="AP370" s="40">
        <f>VLOOKUP(Tabla44[[#This Row],[SERVICIO 2025]],$J$2:$V$15,3,0)*Tabla44[[#This Row],[TOTAL COBERTURA]]*8</f>
        <v>212307520</v>
      </c>
      <c r="AQ370" s="40"/>
      <c r="AR370" s="40">
        <f>SUM(Tabla44[[#This Row],[VALOR FASE PREPARATORIA DE ALISTAMIENTO]:[VALOR RACION PREPARADA]])</f>
        <v>224709656</v>
      </c>
      <c r="AS370" s="40" t="str">
        <f>+IF(Tabla44[[#This Row],[AGRUPACIONES]]=1,SUMIFS(Tabla44[VALOR TOTAL],Tabla44[ZONA DEFINITIVO],Tabla44[[#This Row],[ZONA DEFINITIVO]])," ")</f>
        <v xml:space="preserve"> </v>
      </c>
      <c r="AT370" s="35">
        <f>VLOOKUP(Tabla44[[#This Row],[SERVICIO 2025]],$J$2:$V$15,10,0)*Tabla44[[#This Row],[TOTAL COBERTURA]]*$X$7</f>
        <v>93642944</v>
      </c>
      <c r="AU370" s="42">
        <f>Tabla44[[#This Row],[TOTAL CONTRATO (ICBF+EAS)]]+Tabla44[[#This Row],[VALOR COMPONENTE ALIMENTACION NO ASIGNADO]]</f>
        <v>318352600</v>
      </c>
      <c r="AV37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44942676</v>
      </c>
      <c r="AW370" s="35">
        <f>(VLOOKUP(Tabla44[[#This Row],[SERVICIO 2025]],$J$2:$V$15,3,0)*Tabla44[[#This Row],[TOTAL COBERTURA]])+VLOOKUP(Tabla44[[#This Row],[SERVICIO 2025]],$J$2:$V$15,10,0)*Tabla44[[#This Row],[TOTAL COBERTURA]]</f>
        <v>38243808</v>
      </c>
      <c r="AX370" s="40">
        <f>(VLOOKUP(Tabla44[[#This Row],[SERVICIO 2025]],$J$2:$V$15,3,0)*Tabla44[[#This Row],[TOTAL COBERTURA]])+VLOOKUP(Tabla44[[#This Row],[SERVICIO 2025]],$J$2:$V$15,10,0)*Tabla44[[#This Row],[TOTAL COBERTURA]]</f>
        <v>38243808</v>
      </c>
      <c r="AY370" s="40">
        <f>(VLOOKUP(Tabla44[[#This Row],[SERVICIO 2025]],$J$2:$V$15,3,0)*Tabla44[[#This Row],[TOTAL COBERTURA]])+VLOOKUP(Tabla44[[#This Row],[SERVICIO 2025]],$J$2:$V$15,10,0)*Tabla44[[#This Row],[TOTAL COBERTURA]]</f>
        <v>38243808</v>
      </c>
      <c r="AZ370" s="40">
        <f>(VLOOKUP(Tabla44[[#This Row],[SERVICIO 2025]],$J$2:$V$15,3,0)*Tabla44[[#This Row],[TOTAL COBERTURA]])+VLOOKUP(Tabla44[[#This Row],[SERVICIO 2025]],$J$2:$V$15,10,0)*Tabla44[[#This Row],[TOTAL COBERTURA]]</f>
        <v>38243808</v>
      </c>
      <c r="BA370" s="40">
        <f>(VLOOKUP(Tabla44[[#This Row],[SERVICIO 2025]],$J$2:$V$15,3,0)*Tabla44[[#This Row],[TOTAL COBERTURA]])+VLOOKUP(Tabla44[[#This Row],[SERVICIO 2025]],$J$2:$V$15,10,0)*Tabla44[[#This Row],[TOTAL COBERTURA]]</f>
        <v>38243808</v>
      </c>
      <c r="BB370" s="40">
        <f>(VLOOKUP(Tabla44[[#This Row],[SERVICIO 2025]],$J$2:$V$15,3,0)*Tabla44[[#This Row],[TOTAL COBERTURA]])+VLOOKUP(Tabla44[[#This Row],[SERVICIO 2025]],$J$2:$V$15,10,0)*Tabla44[[#This Row],[TOTAL COBERTURA]]</f>
        <v>38243808</v>
      </c>
      <c r="BC370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43947076</v>
      </c>
      <c r="BD370" s="40">
        <f>SUM(Tabla44[[#This Row],[DESEMBOLSO 1]:[DESEMBOLSO 8]])</f>
        <v>318352600</v>
      </c>
      <c r="BE370" s="22" t="b">
        <f>EXACT(Tabla44[[#This Row],[VALOR ATENCIÓN (8 MESES)]],Tabla44[[#This Row],[VALOR TOTAL]])</f>
        <v>1</v>
      </c>
      <c r="BF370" s="28">
        <f>Tabla44[[#This Row],[VALOR ATENCIÓN (8 MESES)]]-Tabla44[[#This Row],[VALOR TOTAL]]</f>
        <v>0</v>
      </c>
      <c r="BG370" s="22" t="b">
        <f>EXACT(Tabla44[[#This Row],[TOTAL DESEMBOLSOS]],Tabla44[[#This Row],[VALOR TOTAL DEL CONTRATO INCLUIDO EL COMPONENTE DE ALIMENTACIÓN]])</f>
        <v>1</v>
      </c>
      <c r="BH370" s="29">
        <f>Tabla44[[#This Row],[TOTAL DESEMBOLSOS]]-Tabla44[[#This Row],[VALOR TOTAL DEL CONTRATO INCLUIDO EL COMPONENTE DE ALIMENTACIÓN]]</f>
        <v>0</v>
      </c>
      <c r="BI370" t="s">
        <v>98</v>
      </c>
    </row>
    <row r="371" spans="1:61">
      <c r="A371" s="13">
        <v>2008</v>
      </c>
      <c r="B371" s="13"/>
      <c r="C371" s="12" t="s">
        <v>87</v>
      </c>
      <c r="D371" s="12" t="s">
        <v>987</v>
      </c>
      <c r="E371" s="12" t="s">
        <v>3510</v>
      </c>
      <c r="F371" s="12" t="s">
        <v>15</v>
      </c>
      <c r="G371" s="12" t="s">
        <v>90</v>
      </c>
      <c r="H371" s="12" t="s">
        <v>3527</v>
      </c>
      <c r="I371" s="36">
        <v>579000109434</v>
      </c>
      <c r="J371" s="12" t="s">
        <v>3528</v>
      </c>
      <c r="K371" s="12">
        <v>1</v>
      </c>
      <c r="L371" s="12">
        <v>140</v>
      </c>
      <c r="M371" s="12"/>
      <c r="N371" s="13">
        <v>2008</v>
      </c>
      <c r="O371" s="12" t="s">
        <v>2850</v>
      </c>
      <c r="P371" s="12"/>
      <c r="Q371" s="12"/>
      <c r="R371" s="12" t="s">
        <v>94</v>
      </c>
      <c r="S371" s="12">
        <v>10</v>
      </c>
      <c r="T371" s="12">
        <v>830508092</v>
      </c>
      <c r="U371" s="12" t="s">
        <v>584</v>
      </c>
      <c r="V371" s="12">
        <f>VLOOKUP(Tabla44[[#This Row],[ZONA DEFINITIVO]],[1]Hoja1!$A$1:$D$125,3,0)</f>
        <v>229943</v>
      </c>
      <c r="W371" s="12">
        <f>VLOOKUP(Tabla44[[#This Row],[ZONA DEFINITIVO]],[1]Hoja1!$A$1:$D$125,2,0)</f>
        <v>17264</v>
      </c>
      <c r="X371" s="12">
        <f>VLOOKUP(Tabla44[[#This Row],[ZONA DEFINITIVO]],[1]Hoja1!$A$1:$D$125,4,0)</f>
        <v>105025</v>
      </c>
      <c r="Y371" s="12" t="str">
        <f>+IF(Tabla44[[#This Row],[AGRUPACIONES]]=1,SUMIFS(Tabla44[UDS],Tabla44[ZONA DEFINITIVO],Tabla44[[#This Row],[ZONA DEFINITIVO]])," ")</f>
        <v xml:space="preserve"> </v>
      </c>
      <c r="Z371" s="12" t="str">
        <f>+IF(Tabla44[[#This Row],[AGRUPACIONES]]=1,SUMIFS(Tabla44[TOTAL COBERTURA],Tabla44[ZONA DEFINITIVO],Tabla44[[#This Row],[ZONA DEFINITIVO]])," ")</f>
        <v xml:space="preserve"> </v>
      </c>
      <c r="AA371" s="12"/>
      <c r="AB371" s="35">
        <v>606116280</v>
      </c>
      <c r="AC371" s="37">
        <v>0</v>
      </c>
      <c r="AD371" s="35">
        <f t="shared" si="6"/>
        <v>0</v>
      </c>
      <c r="AE371" s="12"/>
      <c r="AF371" s="12">
        <f>COUNTIF($A$20:A371,A371)</f>
        <v>11</v>
      </c>
      <c r="AG371" s="38">
        <v>606116280</v>
      </c>
      <c r="AH371" s="38">
        <f>Tabla44[[#This Row],[VALOR CONTRAPARTIDA]]+Tabla44[[#This Row],[TOTAL APORTES ICBF]]</f>
        <v>606116280</v>
      </c>
      <c r="AI371" s="35" t="str">
        <f>+IF(Tabla44[[#This Row],[AGRUPACIONES]]=1,SUMIFS(Tabla44[TOTAL APORTES ICBF],Tabla44[ZONA DEFINITIVO],Tabla44[[#This Row],[ZONA DEFINITIVO]])," ")</f>
        <v xml:space="preserve"> </v>
      </c>
      <c r="AJ371" s="38"/>
      <c r="AK371" s="38"/>
      <c r="AL371" s="35"/>
      <c r="AM371" s="35">
        <f>VLOOKUP(Tabla44[[#This Row],[SERVICIO 2025]],$J$2:$V$15,5,0)*Tabla44[[#This Row],[TOTAL COBERTURA]]</f>
        <v>12340020</v>
      </c>
      <c r="AN371" s="35">
        <f>VLOOKUP(Tabla44[[#This Row],[SERVICIO 2025]],$J$2:$V$15,6,0)*Tabla44[[#This Row],[TOTAL COBERTURA]]</f>
        <v>10506020</v>
      </c>
      <c r="AO371" s="35">
        <f>VLOOKUP(Tabla44[[#This Row],[SERVICIO 2025]],$J$2:$V$15,8,0)*Tabla44[[#This Row],[TOTAL COBERTURA]]</f>
        <v>0</v>
      </c>
      <c r="AP371" s="35">
        <f>VLOOKUP(Tabla44[[#This Row],[SERVICIO 2025]],$J$2:$V$15,3,0)*Tabla44[[#This Row],[TOTAL COBERTURA]]*8</f>
        <v>583270240</v>
      </c>
      <c r="AQ371" s="35"/>
      <c r="AR371" s="35">
        <f>SUM(Tabla44[[#This Row],[VALOR FASE PREPARATORIA DE ALISTAMIENTO]:[VALOR RACION PREPARADA]])</f>
        <v>606116280</v>
      </c>
      <c r="AS371" s="35" t="str">
        <f>+IF(Tabla44[[#This Row],[AGRUPACIONES]]=1,SUMIFS(Tabla44[VALOR TOTAL],Tabla44[ZONA DEFINITIVO],Tabla44[[#This Row],[ZONA DEFINITIVO]])," ")</f>
        <v xml:space="preserve"> </v>
      </c>
      <c r="AT371" s="35">
        <f>VLOOKUP(Tabla44[[#This Row],[SERVICIO 2025]],$J$2:$V$15,10,0)*Tabla44[[#This Row],[TOTAL COBERTURA]]*$X$7</f>
        <v>0</v>
      </c>
      <c r="AU371" s="39">
        <f>Tabla44[[#This Row],[TOTAL CONTRATO (ICBF+EAS)]]+Tabla44[[#This Row],[VALOR COMPONENTE ALIMENTACION NO ASIGNADO]]</f>
        <v>606116280</v>
      </c>
      <c r="AV37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85248800</v>
      </c>
      <c r="AW371" s="35">
        <f>(VLOOKUP(Tabla44[[#This Row],[SERVICIO 2025]],$J$2:$V$15,3,0)*Tabla44[[#This Row],[TOTAL COBERTURA]])+VLOOKUP(Tabla44[[#This Row],[SERVICIO 2025]],$J$2:$V$15,10,0)*Tabla44[[#This Row],[TOTAL COBERTURA]]</f>
        <v>72908780</v>
      </c>
      <c r="AX371" s="35">
        <f>(VLOOKUP(Tabla44[[#This Row],[SERVICIO 2025]],$J$2:$V$15,3,0)*Tabla44[[#This Row],[TOTAL COBERTURA]])+VLOOKUP(Tabla44[[#This Row],[SERVICIO 2025]],$J$2:$V$15,10,0)*Tabla44[[#This Row],[TOTAL COBERTURA]]</f>
        <v>72908780</v>
      </c>
      <c r="AY371" s="35">
        <f>(VLOOKUP(Tabla44[[#This Row],[SERVICIO 2025]],$J$2:$V$15,3,0)*Tabla44[[#This Row],[TOTAL COBERTURA]])+VLOOKUP(Tabla44[[#This Row],[SERVICIO 2025]],$J$2:$V$15,10,0)*Tabla44[[#This Row],[TOTAL COBERTURA]]</f>
        <v>72908780</v>
      </c>
      <c r="AZ371" s="35">
        <f>(VLOOKUP(Tabla44[[#This Row],[SERVICIO 2025]],$J$2:$V$15,3,0)*Tabla44[[#This Row],[TOTAL COBERTURA]])+VLOOKUP(Tabla44[[#This Row],[SERVICIO 2025]],$J$2:$V$15,10,0)*Tabla44[[#This Row],[TOTAL COBERTURA]]</f>
        <v>72908780</v>
      </c>
      <c r="BA371" s="35">
        <f>(VLOOKUP(Tabla44[[#This Row],[SERVICIO 2025]],$J$2:$V$15,3,0)*Tabla44[[#This Row],[TOTAL COBERTURA]])+VLOOKUP(Tabla44[[#This Row],[SERVICIO 2025]],$J$2:$V$15,10,0)*Tabla44[[#This Row],[TOTAL COBERTURA]]</f>
        <v>72908780</v>
      </c>
      <c r="BB371" s="35">
        <f>(VLOOKUP(Tabla44[[#This Row],[SERVICIO 2025]],$J$2:$V$15,3,0)*Tabla44[[#This Row],[TOTAL COBERTURA]])+VLOOKUP(Tabla44[[#This Row],[SERVICIO 2025]],$J$2:$V$15,10,0)*Tabla44[[#This Row],[TOTAL COBERTURA]]</f>
        <v>72908780</v>
      </c>
      <c r="BC37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83414800</v>
      </c>
      <c r="BD371" s="35">
        <f>SUM(Tabla44[[#This Row],[DESEMBOLSO 1]:[DESEMBOLSO 8]])</f>
        <v>606116280</v>
      </c>
      <c r="BE371" s="12" t="b">
        <f>EXACT(Tabla44[[#This Row],[VALOR ATENCIÓN (8 MESES)]],Tabla44[[#This Row],[VALOR TOTAL]])</f>
        <v>1</v>
      </c>
      <c r="BF371" s="23">
        <f>Tabla44[[#This Row],[VALOR ATENCIÓN (8 MESES)]]-Tabla44[[#This Row],[VALOR TOTAL]]</f>
        <v>0</v>
      </c>
      <c r="BG371" s="12" t="b">
        <f>EXACT(Tabla44[[#This Row],[TOTAL DESEMBOLSOS]],Tabla44[[#This Row],[VALOR TOTAL DEL CONTRATO INCLUIDO EL COMPONENTE DE ALIMENTACIÓN]])</f>
        <v>1</v>
      </c>
      <c r="BH371" s="29">
        <f>Tabla44[[#This Row],[TOTAL DESEMBOLSOS]]-Tabla44[[#This Row],[VALOR TOTAL DEL CONTRATO INCLUIDO EL COMPONENTE DE ALIMENTACIÓN]]</f>
        <v>0</v>
      </c>
      <c r="BI371" t="s">
        <v>98</v>
      </c>
    </row>
    <row r="372" spans="1:61">
      <c r="A372" s="13">
        <v>2008</v>
      </c>
      <c r="B372" s="13"/>
      <c r="C372" s="12" t="s">
        <v>87</v>
      </c>
      <c r="D372" s="12" t="s">
        <v>987</v>
      </c>
      <c r="E372" s="12" t="s">
        <v>3510</v>
      </c>
      <c r="F372" s="12" t="s">
        <v>13</v>
      </c>
      <c r="G372" s="12" t="s">
        <v>90</v>
      </c>
      <c r="H372" s="12" t="s">
        <v>3529</v>
      </c>
      <c r="I372" s="36">
        <v>579000121081</v>
      </c>
      <c r="J372" s="12" t="s">
        <v>3530</v>
      </c>
      <c r="K372" s="12">
        <v>1</v>
      </c>
      <c r="L372" s="12">
        <v>40</v>
      </c>
      <c r="M372" s="12"/>
      <c r="N372" s="13">
        <v>2008</v>
      </c>
      <c r="O372" s="12" t="s">
        <v>2850</v>
      </c>
      <c r="P372" s="12"/>
      <c r="Q372" s="12"/>
      <c r="R372" s="12" t="s">
        <v>94</v>
      </c>
      <c r="S372" s="12">
        <v>10</v>
      </c>
      <c r="T372" s="12">
        <v>830508092</v>
      </c>
      <c r="U372" s="12" t="s">
        <v>584</v>
      </c>
      <c r="V372" s="12">
        <f>VLOOKUP(Tabla44[[#This Row],[ZONA DEFINITIVO]],[1]Hoja1!$A$1:$D$125,3,0)</f>
        <v>229943</v>
      </c>
      <c r="W372" s="12">
        <f>VLOOKUP(Tabla44[[#This Row],[ZONA DEFINITIVO]],[1]Hoja1!$A$1:$D$125,2,0)</f>
        <v>17264</v>
      </c>
      <c r="X372" s="12">
        <f>VLOOKUP(Tabla44[[#This Row],[ZONA DEFINITIVO]],[1]Hoja1!$A$1:$D$125,4,0)</f>
        <v>105025</v>
      </c>
      <c r="Y372" s="12" t="str">
        <f>+IF(Tabla44[[#This Row],[AGRUPACIONES]]=1,SUMIFS(Tabla44[UDS],Tabla44[ZONA DEFINITIVO],Tabla44[[#This Row],[ZONA DEFINITIVO]])," ")</f>
        <v xml:space="preserve"> </v>
      </c>
      <c r="Z372" s="12" t="str">
        <f>+IF(Tabla44[[#This Row],[AGRUPACIONES]]=1,SUMIFS(Tabla44[TOTAL COBERTURA],Tabla44[ZONA DEFINITIVO],Tabla44[[#This Row],[ZONA DEFINITIVO]])," ")</f>
        <v xml:space="preserve"> </v>
      </c>
      <c r="AA372" s="12"/>
      <c r="AB372" s="35">
        <v>118268240</v>
      </c>
      <c r="AC372" s="37">
        <v>0</v>
      </c>
      <c r="AD372" s="35">
        <f t="shared" si="6"/>
        <v>0</v>
      </c>
      <c r="AE372" s="12"/>
      <c r="AF372" s="12">
        <f>COUNTIF($A$20:A372,A372)</f>
        <v>12</v>
      </c>
      <c r="AG372" s="38">
        <v>118268240</v>
      </c>
      <c r="AH372" s="38">
        <f>Tabla44[[#This Row],[VALOR CONTRAPARTIDA]]+Tabla44[[#This Row],[TOTAL APORTES ICBF]]</f>
        <v>118268240</v>
      </c>
      <c r="AI372" s="35" t="str">
        <f>+IF(Tabla44[[#This Row],[AGRUPACIONES]]=1,SUMIFS(Tabla44[TOTAL APORTES ICBF],Tabla44[ZONA DEFINITIVO],Tabla44[[#This Row],[ZONA DEFINITIVO]])," ")</f>
        <v xml:space="preserve"> </v>
      </c>
      <c r="AJ372" s="38"/>
      <c r="AK372" s="38"/>
      <c r="AL372" s="35"/>
      <c r="AM372" s="35">
        <f>VLOOKUP(Tabla44[[#This Row],[SERVICIO 2025]],$J$2:$V$15,5,0)*Tabla44[[#This Row],[TOTAL COBERTURA]]</f>
        <v>3525720</v>
      </c>
      <c r="AN372" s="35">
        <f>VLOOKUP(Tabla44[[#This Row],[SERVICIO 2025]],$J$2:$V$15,6,0)*Tabla44[[#This Row],[TOTAL COBERTURA]]</f>
        <v>3001720</v>
      </c>
      <c r="AO372" s="35">
        <f>VLOOKUP(Tabla44[[#This Row],[SERVICIO 2025]],$J$2:$V$15,8,0)*Tabla44[[#This Row],[TOTAL COBERTURA]]</f>
        <v>0</v>
      </c>
      <c r="AP372" s="35">
        <f>VLOOKUP(Tabla44[[#This Row],[SERVICIO 2025]],$J$2:$V$15,3,0)*Tabla44[[#This Row],[TOTAL COBERTURA]]*8</f>
        <v>111740800</v>
      </c>
      <c r="AQ372" s="35"/>
      <c r="AR372" s="35">
        <f>SUM(Tabla44[[#This Row],[VALOR FASE PREPARATORIA DE ALISTAMIENTO]:[VALOR RACION PREPARADA]])</f>
        <v>118268240</v>
      </c>
      <c r="AS372" s="35" t="str">
        <f>+IF(Tabla44[[#This Row],[AGRUPACIONES]]=1,SUMIFS(Tabla44[VALOR TOTAL],Tabla44[ZONA DEFINITIVO],Tabla44[[#This Row],[ZONA DEFINITIVO]])," ")</f>
        <v xml:space="preserve"> </v>
      </c>
      <c r="AT372" s="35">
        <f>VLOOKUP(Tabla44[[#This Row],[SERVICIO 2025]],$J$2:$V$15,10,0)*Tabla44[[#This Row],[TOTAL COBERTURA]]*$X$7</f>
        <v>49285760</v>
      </c>
      <c r="AU372" s="39">
        <f>Tabla44[[#This Row],[TOTAL CONTRATO (ICBF+EAS)]]+Tabla44[[#This Row],[VALOR COMPONENTE ALIMENTACION NO ASIGNADO]]</f>
        <v>167554000</v>
      </c>
      <c r="AV37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23654040</v>
      </c>
      <c r="AW372" s="35">
        <f>(VLOOKUP(Tabla44[[#This Row],[SERVICIO 2025]],$J$2:$V$15,3,0)*Tabla44[[#This Row],[TOTAL COBERTURA]])+VLOOKUP(Tabla44[[#This Row],[SERVICIO 2025]],$J$2:$V$15,10,0)*Tabla44[[#This Row],[TOTAL COBERTURA]]</f>
        <v>20128320</v>
      </c>
      <c r="AX372" s="35">
        <f>(VLOOKUP(Tabla44[[#This Row],[SERVICIO 2025]],$J$2:$V$15,3,0)*Tabla44[[#This Row],[TOTAL COBERTURA]])+VLOOKUP(Tabla44[[#This Row],[SERVICIO 2025]],$J$2:$V$15,10,0)*Tabla44[[#This Row],[TOTAL COBERTURA]]</f>
        <v>20128320</v>
      </c>
      <c r="AY372" s="35">
        <f>(VLOOKUP(Tabla44[[#This Row],[SERVICIO 2025]],$J$2:$V$15,3,0)*Tabla44[[#This Row],[TOTAL COBERTURA]])+VLOOKUP(Tabla44[[#This Row],[SERVICIO 2025]],$J$2:$V$15,10,0)*Tabla44[[#This Row],[TOTAL COBERTURA]]</f>
        <v>20128320</v>
      </c>
      <c r="AZ372" s="35">
        <f>(VLOOKUP(Tabla44[[#This Row],[SERVICIO 2025]],$J$2:$V$15,3,0)*Tabla44[[#This Row],[TOTAL COBERTURA]])+VLOOKUP(Tabla44[[#This Row],[SERVICIO 2025]],$J$2:$V$15,10,0)*Tabla44[[#This Row],[TOTAL COBERTURA]]</f>
        <v>20128320</v>
      </c>
      <c r="BA372" s="35">
        <f>(VLOOKUP(Tabla44[[#This Row],[SERVICIO 2025]],$J$2:$V$15,3,0)*Tabla44[[#This Row],[TOTAL COBERTURA]])+VLOOKUP(Tabla44[[#This Row],[SERVICIO 2025]],$J$2:$V$15,10,0)*Tabla44[[#This Row],[TOTAL COBERTURA]]</f>
        <v>20128320</v>
      </c>
      <c r="BB372" s="35">
        <f>(VLOOKUP(Tabla44[[#This Row],[SERVICIO 2025]],$J$2:$V$15,3,0)*Tabla44[[#This Row],[TOTAL COBERTURA]])+VLOOKUP(Tabla44[[#This Row],[SERVICIO 2025]],$J$2:$V$15,10,0)*Tabla44[[#This Row],[TOTAL COBERTURA]]</f>
        <v>20128320</v>
      </c>
      <c r="BC37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23130040</v>
      </c>
      <c r="BD372" s="35">
        <f>SUM(Tabla44[[#This Row],[DESEMBOLSO 1]:[DESEMBOLSO 8]])</f>
        <v>167554000</v>
      </c>
      <c r="BE372" s="12" t="b">
        <f>EXACT(Tabla44[[#This Row],[VALOR ATENCIÓN (8 MESES)]],Tabla44[[#This Row],[VALOR TOTAL]])</f>
        <v>1</v>
      </c>
      <c r="BF372" s="23">
        <f>Tabla44[[#This Row],[VALOR ATENCIÓN (8 MESES)]]-Tabla44[[#This Row],[VALOR TOTAL]]</f>
        <v>0</v>
      </c>
      <c r="BG372" s="12" t="b">
        <f>EXACT(Tabla44[[#This Row],[TOTAL DESEMBOLSOS]],Tabla44[[#This Row],[VALOR TOTAL DEL CONTRATO INCLUIDO EL COMPONENTE DE ALIMENTACIÓN]])</f>
        <v>1</v>
      </c>
      <c r="BH372" s="29">
        <f>Tabla44[[#This Row],[TOTAL DESEMBOLSOS]]-Tabla44[[#This Row],[VALOR TOTAL DEL CONTRATO INCLUIDO EL COMPONENTE DE ALIMENTACIÓN]]</f>
        <v>0</v>
      </c>
      <c r="BI372" t="s">
        <v>98</v>
      </c>
    </row>
    <row r="373" spans="1:61">
      <c r="A373" s="13">
        <v>2017</v>
      </c>
      <c r="B373" s="13"/>
      <c r="C373" s="12" t="s">
        <v>87</v>
      </c>
      <c r="D373" s="12" t="s">
        <v>1628</v>
      </c>
      <c r="E373" s="12" t="s">
        <v>3531</v>
      </c>
      <c r="F373" s="12" t="s">
        <v>18</v>
      </c>
      <c r="G373" s="12" t="s">
        <v>90</v>
      </c>
      <c r="H373" s="12" t="s">
        <v>3532</v>
      </c>
      <c r="I373" s="36">
        <v>51071137695</v>
      </c>
      <c r="J373" s="12" t="s">
        <v>3533</v>
      </c>
      <c r="K373" s="12">
        <v>1</v>
      </c>
      <c r="L373" s="12">
        <v>8</v>
      </c>
      <c r="M373" s="12"/>
      <c r="N373" s="13">
        <v>2017</v>
      </c>
      <c r="O373" s="12" t="s">
        <v>2850</v>
      </c>
      <c r="P373" s="12"/>
      <c r="Q373" s="12"/>
      <c r="R373" s="12" t="s">
        <v>94</v>
      </c>
      <c r="S373" s="12">
        <v>10</v>
      </c>
      <c r="T373" s="12">
        <v>818001449</v>
      </c>
      <c r="U373" s="12" t="s">
        <v>3247</v>
      </c>
      <c r="V373" s="12">
        <f>VLOOKUP(Tabla44[[#This Row],[ZONA DEFINITIVO]],[1]Hoja1!$A$1:$D$125,3,0)</f>
        <v>229944</v>
      </c>
      <c r="W373" s="12">
        <f>VLOOKUP(Tabla44[[#This Row],[ZONA DEFINITIVO]],[1]Hoja1!$A$1:$D$125,2,0)</f>
        <v>17258</v>
      </c>
      <c r="X373" s="12">
        <f>VLOOKUP(Tabla44[[#This Row],[ZONA DEFINITIVO]],[1]Hoja1!$A$1:$D$125,4,0)</f>
        <v>104725</v>
      </c>
      <c r="Y373" s="12">
        <f>+IF(Tabla44[[#This Row],[AGRUPACIONES]]=1,SUMIFS(Tabla44[UDS],Tabla44[ZONA DEFINITIVO],Tabla44[[#This Row],[ZONA DEFINITIVO]])," ")</f>
        <v>31</v>
      </c>
      <c r="Z373" s="12">
        <f>+IF(Tabla44[[#This Row],[AGRUPACIONES]]=1,SUMIFS(Tabla44[TOTAL COBERTURA],Tabla44[ZONA DEFINITIVO],Tabla44[[#This Row],[ZONA DEFINITIVO]])," ")</f>
        <v>707</v>
      </c>
      <c r="AA373" s="12"/>
      <c r="AB373" s="35">
        <v>17441544</v>
      </c>
      <c r="AC373" s="37">
        <v>0</v>
      </c>
      <c r="AD373" s="35">
        <f t="shared" si="6"/>
        <v>0</v>
      </c>
      <c r="AE373" s="12"/>
      <c r="AF373" s="12">
        <f>COUNTIF($A$20:A373,A373)</f>
        <v>1</v>
      </c>
      <c r="AG373" s="38">
        <v>17441544</v>
      </c>
      <c r="AH373" s="38">
        <f>Tabla44[[#This Row],[VALOR CONTRAPARTIDA]]+Tabla44[[#This Row],[TOTAL APORTES ICBF]]</f>
        <v>17441544</v>
      </c>
      <c r="AI373" s="35">
        <f>+IF(Tabla44[[#This Row],[AGRUPACIONES]]=1,SUMIFS(Tabla44[TOTAL APORTES ICBF],Tabla44[ZONA DEFINITIVO],Tabla44[[#This Row],[ZONA DEFINITIVO]])," ")</f>
        <v>1600995203</v>
      </c>
      <c r="AJ373" s="38">
        <f>ROUND(+IF(Tabla44[[#This Row],[AGRUPACIONES]]=1,SUMIFS(Tabla44[VALOR CONTRAPARTIDA],Tabla44[ZONA DEFINITIVO],Tabla44[[#This Row],[ZONA DEFINITIVO]])," "),0)</f>
        <v>0</v>
      </c>
      <c r="AK373" s="38">
        <f>Tabla44[[#This Row],[TOTAL APORTES ICBF AGRUPADO]]+Tabla44[[#This Row],[TOTAL CONTRAPARTIDA AGRUPADO]]</f>
        <v>1600995203</v>
      </c>
      <c r="AL373" s="35">
        <f>Tabla44[[#This Row],[TOTAL APORTES ICBF AGRUPADO]]/$AL$18</f>
        <v>1124.6892890762206</v>
      </c>
      <c r="AM373" s="35">
        <f>VLOOKUP(Tabla44[[#This Row],[SERVICIO 2025]],$J$2:$V$15,5,0)*Tabla44[[#This Row],[TOTAL COBERTURA]]</f>
        <v>395008</v>
      </c>
      <c r="AN373" s="35">
        <f>VLOOKUP(Tabla44[[#This Row],[SERVICIO 2025]],$J$2:$V$15,6,0)*Tabla44[[#This Row],[TOTAL COBERTURA]]</f>
        <v>328232</v>
      </c>
      <c r="AO373" s="35">
        <f>VLOOKUP(Tabla44[[#This Row],[SERVICIO 2025]],$J$2:$V$15,8,0)*Tabla44[[#This Row],[TOTAL COBERTURA]]</f>
        <v>232800</v>
      </c>
      <c r="AP373" s="35">
        <f>VLOOKUP(Tabla44[[#This Row],[SERVICIO 2025]],$J$2:$V$15,3,0)*Tabla44[[#This Row],[TOTAL COBERTURA]]*8</f>
        <v>16485504</v>
      </c>
      <c r="AQ373" s="35"/>
      <c r="AR373" s="35">
        <f>SUM(Tabla44[[#This Row],[VALOR FASE PREPARATORIA DE ALISTAMIENTO]:[VALOR RACION PREPARADA]])</f>
        <v>17441544</v>
      </c>
      <c r="AS373" s="35">
        <f>+IF(Tabla44[[#This Row],[AGRUPACIONES]]=1,SUMIFS(Tabla44[VALOR TOTAL],Tabla44[ZONA DEFINITIVO],Tabla44[[#This Row],[ZONA DEFINITIVO]])," ")</f>
        <v>1600995203</v>
      </c>
      <c r="AT373" s="35">
        <f>VLOOKUP(Tabla44[[#This Row],[SERVICIO 2025]],$J$2:$V$15,10,0)*Tabla44[[#This Row],[TOTAL COBERTURA]]*$X$7</f>
        <v>11544512</v>
      </c>
      <c r="AU373" s="39">
        <f>Tabla44[[#This Row],[TOTAL CONTRATO (ICBF+EAS)]]+Tabla44[[#This Row],[VALOR COMPONENTE ALIMENTACION NO ASIGNADO]]</f>
        <v>28986056</v>
      </c>
      <c r="AV37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4131560</v>
      </c>
      <c r="AW373" s="35">
        <f>(VLOOKUP(Tabla44[[#This Row],[SERVICIO 2025]],$J$2:$V$15,3,0)*Tabla44[[#This Row],[TOTAL COBERTURA]])+VLOOKUP(Tabla44[[#This Row],[SERVICIO 2025]],$J$2:$V$15,10,0)*Tabla44[[#This Row],[TOTAL COBERTURA]]</f>
        <v>3503752</v>
      </c>
      <c r="AX373" s="35">
        <f>(VLOOKUP(Tabla44[[#This Row],[SERVICIO 2025]],$J$2:$V$15,3,0)*Tabla44[[#This Row],[TOTAL COBERTURA]])+VLOOKUP(Tabla44[[#This Row],[SERVICIO 2025]],$J$2:$V$15,10,0)*Tabla44[[#This Row],[TOTAL COBERTURA]]</f>
        <v>3503752</v>
      </c>
      <c r="AY373" s="35">
        <f>(VLOOKUP(Tabla44[[#This Row],[SERVICIO 2025]],$J$2:$V$15,3,0)*Tabla44[[#This Row],[TOTAL COBERTURA]])+VLOOKUP(Tabla44[[#This Row],[SERVICIO 2025]],$J$2:$V$15,10,0)*Tabla44[[#This Row],[TOTAL COBERTURA]]</f>
        <v>3503752</v>
      </c>
      <c r="AZ373" s="35">
        <f>(VLOOKUP(Tabla44[[#This Row],[SERVICIO 2025]],$J$2:$V$15,3,0)*Tabla44[[#This Row],[TOTAL COBERTURA]])+VLOOKUP(Tabla44[[#This Row],[SERVICIO 2025]],$J$2:$V$15,10,0)*Tabla44[[#This Row],[TOTAL COBERTURA]]</f>
        <v>3503752</v>
      </c>
      <c r="BA373" s="35">
        <f>(VLOOKUP(Tabla44[[#This Row],[SERVICIO 2025]],$J$2:$V$15,3,0)*Tabla44[[#This Row],[TOTAL COBERTURA]])+VLOOKUP(Tabla44[[#This Row],[SERVICIO 2025]],$J$2:$V$15,10,0)*Tabla44[[#This Row],[TOTAL COBERTURA]]</f>
        <v>3503752</v>
      </c>
      <c r="BB373" s="35">
        <f>(VLOOKUP(Tabla44[[#This Row],[SERVICIO 2025]],$J$2:$V$15,3,0)*Tabla44[[#This Row],[TOTAL COBERTURA]])+VLOOKUP(Tabla44[[#This Row],[SERVICIO 2025]],$J$2:$V$15,10,0)*Tabla44[[#This Row],[TOTAL COBERTURA]]</f>
        <v>3503752</v>
      </c>
      <c r="BC37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3831984</v>
      </c>
      <c r="BD373" s="35">
        <f>SUM(Tabla44[[#This Row],[DESEMBOLSO 1]:[DESEMBOLSO 8]])</f>
        <v>28986056</v>
      </c>
      <c r="BE373" s="12" t="b">
        <f>EXACT(Tabla44[[#This Row],[VALOR ATENCIÓN (8 MESES)]],Tabla44[[#This Row],[VALOR TOTAL]])</f>
        <v>1</v>
      </c>
      <c r="BF373" s="23">
        <f>Tabla44[[#This Row],[VALOR ATENCIÓN (8 MESES)]]-Tabla44[[#This Row],[VALOR TOTAL]]</f>
        <v>0</v>
      </c>
      <c r="BG373" s="12" t="b">
        <f>EXACT(Tabla44[[#This Row],[TOTAL DESEMBOLSOS]],Tabla44[[#This Row],[VALOR TOTAL DEL CONTRATO INCLUIDO EL COMPONENTE DE ALIMENTACIÓN]])</f>
        <v>1</v>
      </c>
      <c r="BH373" s="29">
        <f>Tabla44[[#This Row],[TOTAL DESEMBOLSOS]]-Tabla44[[#This Row],[VALOR TOTAL DEL CONTRATO INCLUIDO EL COMPONENTE DE ALIMENTACIÓN]]</f>
        <v>0</v>
      </c>
      <c r="BI373" t="s">
        <v>98</v>
      </c>
    </row>
    <row r="374" spans="1:61">
      <c r="A374" s="13">
        <v>2017</v>
      </c>
      <c r="B374" s="13"/>
      <c r="C374" s="12" t="s">
        <v>87</v>
      </c>
      <c r="D374" s="12" t="s">
        <v>1628</v>
      </c>
      <c r="E374" s="12" t="s">
        <v>3531</v>
      </c>
      <c r="F374" s="12" t="s">
        <v>18</v>
      </c>
      <c r="G374" s="12" t="s">
        <v>90</v>
      </c>
      <c r="H374" s="12" t="s">
        <v>3534</v>
      </c>
      <c r="I374" s="36">
        <v>51071137705</v>
      </c>
      <c r="J374" s="12" t="s">
        <v>3535</v>
      </c>
      <c r="K374" s="12">
        <v>1</v>
      </c>
      <c r="L374" s="12">
        <v>14</v>
      </c>
      <c r="M374" s="12"/>
      <c r="N374" s="13">
        <v>2017</v>
      </c>
      <c r="O374" s="12" t="s">
        <v>2850</v>
      </c>
      <c r="P374" s="12"/>
      <c r="Q374" s="12"/>
      <c r="R374" s="12" t="s">
        <v>94</v>
      </c>
      <c r="S374" s="12">
        <v>10</v>
      </c>
      <c r="T374" s="12">
        <v>818001449</v>
      </c>
      <c r="U374" s="12" t="s">
        <v>3247</v>
      </c>
      <c r="V374" s="12">
        <f>VLOOKUP(Tabla44[[#This Row],[ZONA DEFINITIVO]],[1]Hoja1!$A$1:$D$125,3,0)</f>
        <v>229944</v>
      </c>
      <c r="W374" s="12">
        <f>VLOOKUP(Tabla44[[#This Row],[ZONA DEFINITIVO]],[1]Hoja1!$A$1:$D$125,2,0)</f>
        <v>17258</v>
      </c>
      <c r="X374" s="12">
        <f>VLOOKUP(Tabla44[[#This Row],[ZONA DEFINITIVO]],[1]Hoja1!$A$1:$D$125,4,0)</f>
        <v>104725</v>
      </c>
      <c r="Y374" s="12" t="str">
        <f>+IF(Tabla44[[#This Row],[AGRUPACIONES]]=1,SUMIFS(Tabla44[UDS],Tabla44[ZONA DEFINITIVO],Tabla44[[#This Row],[ZONA DEFINITIVO]])," ")</f>
        <v xml:space="preserve"> </v>
      </c>
      <c r="Z374" s="12" t="str">
        <f>+IF(Tabla44[[#This Row],[AGRUPACIONES]]=1,SUMIFS(Tabla44[TOTAL COBERTURA],Tabla44[ZONA DEFINITIVO],Tabla44[[#This Row],[ZONA DEFINITIVO]])," ")</f>
        <v xml:space="preserve"> </v>
      </c>
      <c r="AA374" s="12"/>
      <c r="AB374" s="35">
        <v>30522702</v>
      </c>
      <c r="AC374" s="37">
        <v>0</v>
      </c>
      <c r="AD374" s="35">
        <f t="shared" si="6"/>
        <v>0</v>
      </c>
      <c r="AE374" s="12"/>
      <c r="AF374" s="12">
        <f>COUNTIF($A$20:A374,A374)</f>
        <v>2</v>
      </c>
      <c r="AG374" s="38">
        <v>30522702</v>
      </c>
      <c r="AH374" s="38">
        <f>Tabla44[[#This Row],[VALOR CONTRAPARTIDA]]+Tabla44[[#This Row],[TOTAL APORTES ICBF]]</f>
        <v>30522702</v>
      </c>
      <c r="AI374" s="35" t="str">
        <f>+IF(Tabla44[[#This Row],[AGRUPACIONES]]=1,SUMIFS(Tabla44[TOTAL APORTES ICBF],Tabla44[ZONA DEFINITIVO],Tabla44[[#This Row],[ZONA DEFINITIVO]])," ")</f>
        <v xml:space="preserve"> </v>
      </c>
      <c r="AJ374" s="38"/>
      <c r="AK374" s="38"/>
      <c r="AL374" s="35"/>
      <c r="AM374" s="35">
        <f>VLOOKUP(Tabla44[[#This Row],[SERVICIO 2025]],$J$2:$V$15,5,0)*Tabla44[[#This Row],[TOTAL COBERTURA]]</f>
        <v>691264</v>
      </c>
      <c r="AN374" s="35">
        <f>VLOOKUP(Tabla44[[#This Row],[SERVICIO 2025]],$J$2:$V$15,6,0)*Tabla44[[#This Row],[TOTAL COBERTURA]]</f>
        <v>574406</v>
      </c>
      <c r="AO374" s="35">
        <f>VLOOKUP(Tabla44[[#This Row],[SERVICIO 2025]],$J$2:$V$15,8,0)*Tabla44[[#This Row],[TOTAL COBERTURA]]</f>
        <v>407400</v>
      </c>
      <c r="AP374" s="35">
        <f>VLOOKUP(Tabla44[[#This Row],[SERVICIO 2025]],$J$2:$V$15,3,0)*Tabla44[[#This Row],[TOTAL COBERTURA]]*8</f>
        <v>28849632</v>
      </c>
      <c r="AQ374" s="35"/>
      <c r="AR374" s="35">
        <f>SUM(Tabla44[[#This Row],[VALOR FASE PREPARATORIA DE ALISTAMIENTO]:[VALOR RACION PREPARADA]])</f>
        <v>30522702</v>
      </c>
      <c r="AS374" s="35" t="str">
        <f>+IF(Tabla44[[#This Row],[AGRUPACIONES]]=1,SUMIFS(Tabla44[VALOR TOTAL],Tabla44[ZONA DEFINITIVO],Tabla44[[#This Row],[ZONA DEFINITIVO]])," ")</f>
        <v xml:space="preserve"> </v>
      </c>
      <c r="AT374" s="35">
        <f>VLOOKUP(Tabla44[[#This Row],[SERVICIO 2025]],$J$2:$V$15,10,0)*Tabla44[[#This Row],[TOTAL COBERTURA]]*$X$7</f>
        <v>20202896</v>
      </c>
      <c r="AU374" s="39">
        <f>Tabla44[[#This Row],[TOTAL CONTRATO (ICBF+EAS)]]+Tabla44[[#This Row],[VALOR COMPONENTE ALIMENTACION NO ASIGNADO]]</f>
        <v>50725598</v>
      </c>
      <c r="AV37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374" s="35">
        <f>(VLOOKUP(Tabla44[[#This Row],[SERVICIO 2025]],$J$2:$V$15,3,0)*Tabla44[[#This Row],[TOTAL COBERTURA]])+VLOOKUP(Tabla44[[#This Row],[SERVICIO 2025]],$J$2:$V$15,10,0)*Tabla44[[#This Row],[TOTAL COBERTURA]]</f>
        <v>6131566</v>
      </c>
      <c r="AX374" s="35">
        <f>(VLOOKUP(Tabla44[[#This Row],[SERVICIO 2025]],$J$2:$V$15,3,0)*Tabla44[[#This Row],[TOTAL COBERTURA]])+VLOOKUP(Tabla44[[#This Row],[SERVICIO 2025]],$J$2:$V$15,10,0)*Tabla44[[#This Row],[TOTAL COBERTURA]]</f>
        <v>6131566</v>
      </c>
      <c r="AY374" s="35">
        <f>(VLOOKUP(Tabla44[[#This Row],[SERVICIO 2025]],$J$2:$V$15,3,0)*Tabla44[[#This Row],[TOTAL COBERTURA]])+VLOOKUP(Tabla44[[#This Row],[SERVICIO 2025]],$J$2:$V$15,10,0)*Tabla44[[#This Row],[TOTAL COBERTURA]]</f>
        <v>6131566</v>
      </c>
      <c r="AZ374" s="35">
        <f>(VLOOKUP(Tabla44[[#This Row],[SERVICIO 2025]],$J$2:$V$15,3,0)*Tabla44[[#This Row],[TOTAL COBERTURA]])+VLOOKUP(Tabla44[[#This Row],[SERVICIO 2025]],$J$2:$V$15,10,0)*Tabla44[[#This Row],[TOTAL COBERTURA]]</f>
        <v>6131566</v>
      </c>
      <c r="BA374" s="35">
        <f>(VLOOKUP(Tabla44[[#This Row],[SERVICIO 2025]],$J$2:$V$15,3,0)*Tabla44[[#This Row],[TOTAL COBERTURA]])+VLOOKUP(Tabla44[[#This Row],[SERVICIO 2025]],$J$2:$V$15,10,0)*Tabla44[[#This Row],[TOTAL COBERTURA]]</f>
        <v>6131566</v>
      </c>
      <c r="BB374" s="35">
        <f>(VLOOKUP(Tabla44[[#This Row],[SERVICIO 2025]],$J$2:$V$15,3,0)*Tabla44[[#This Row],[TOTAL COBERTURA]])+VLOOKUP(Tabla44[[#This Row],[SERVICIO 2025]],$J$2:$V$15,10,0)*Tabla44[[#This Row],[TOTAL COBERTURA]]</f>
        <v>6131566</v>
      </c>
      <c r="BC37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374" s="35">
        <f>SUM(Tabla44[[#This Row],[DESEMBOLSO 1]:[DESEMBOLSO 8]])</f>
        <v>50725598</v>
      </c>
      <c r="BE374" s="12" t="b">
        <f>EXACT(Tabla44[[#This Row],[VALOR ATENCIÓN (8 MESES)]],Tabla44[[#This Row],[VALOR TOTAL]])</f>
        <v>1</v>
      </c>
      <c r="BF374" s="23">
        <f>Tabla44[[#This Row],[VALOR ATENCIÓN (8 MESES)]]-Tabla44[[#This Row],[VALOR TOTAL]]</f>
        <v>0</v>
      </c>
      <c r="BG374" s="12" t="b">
        <f>EXACT(Tabla44[[#This Row],[TOTAL DESEMBOLSOS]],Tabla44[[#This Row],[VALOR TOTAL DEL CONTRATO INCLUIDO EL COMPONENTE DE ALIMENTACIÓN]])</f>
        <v>1</v>
      </c>
      <c r="BH374" s="29">
        <f>Tabla44[[#This Row],[TOTAL DESEMBOLSOS]]-Tabla44[[#This Row],[VALOR TOTAL DEL CONTRATO INCLUIDO EL COMPONENTE DE ALIMENTACIÓN]]</f>
        <v>0</v>
      </c>
      <c r="BI374" t="s">
        <v>98</v>
      </c>
    </row>
    <row r="375" spans="1:61">
      <c r="A375" s="13">
        <v>2017</v>
      </c>
      <c r="B375" s="13"/>
      <c r="C375" s="12" t="s">
        <v>87</v>
      </c>
      <c r="D375" s="12" t="s">
        <v>1628</v>
      </c>
      <c r="E375" s="12" t="s">
        <v>3531</v>
      </c>
      <c r="F375" s="12" t="s">
        <v>18</v>
      </c>
      <c r="G375" s="12" t="s">
        <v>90</v>
      </c>
      <c r="H375" s="12" t="s">
        <v>3536</v>
      </c>
      <c r="I375" s="36">
        <v>51071137719</v>
      </c>
      <c r="J375" s="12" t="s">
        <v>3537</v>
      </c>
      <c r="K375" s="12">
        <v>1</v>
      </c>
      <c r="L375" s="12">
        <v>11</v>
      </c>
      <c r="M375" s="12"/>
      <c r="N375" s="13">
        <v>2017</v>
      </c>
      <c r="O375" s="12" t="s">
        <v>2850</v>
      </c>
      <c r="P375" s="12"/>
      <c r="Q375" s="12"/>
      <c r="R375" s="12" t="s">
        <v>94</v>
      </c>
      <c r="S375" s="12">
        <v>10</v>
      </c>
      <c r="T375" s="12">
        <v>818001449</v>
      </c>
      <c r="U375" s="12" t="s">
        <v>3247</v>
      </c>
      <c r="V375" s="12">
        <f>VLOOKUP(Tabla44[[#This Row],[ZONA DEFINITIVO]],[1]Hoja1!$A$1:$D$125,3,0)</f>
        <v>229944</v>
      </c>
      <c r="W375" s="12">
        <f>VLOOKUP(Tabla44[[#This Row],[ZONA DEFINITIVO]],[1]Hoja1!$A$1:$D$125,2,0)</f>
        <v>17258</v>
      </c>
      <c r="X375" s="12">
        <f>VLOOKUP(Tabla44[[#This Row],[ZONA DEFINITIVO]],[1]Hoja1!$A$1:$D$125,4,0)</f>
        <v>104725</v>
      </c>
      <c r="Y375" s="12" t="str">
        <f>+IF(Tabla44[[#This Row],[AGRUPACIONES]]=1,SUMIFS(Tabla44[UDS],Tabla44[ZONA DEFINITIVO],Tabla44[[#This Row],[ZONA DEFINITIVO]])," ")</f>
        <v xml:space="preserve"> </v>
      </c>
      <c r="Z375" s="12" t="str">
        <f>+IF(Tabla44[[#This Row],[AGRUPACIONES]]=1,SUMIFS(Tabla44[TOTAL COBERTURA],Tabla44[ZONA DEFINITIVO],Tabla44[[#This Row],[ZONA DEFINITIVO]])," ")</f>
        <v xml:space="preserve"> </v>
      </c>
      <c r="AA375" s="12"/>
      <c r="AB375" s="35">
        <v>23982123</v>
      </c>
      <c r="AC375" s="37">
        <v>0</v>
      </c>
      <c r="AD375" s="35">
        <f t="shared" si="6"/>
        <v>0</v>
      </c>
      <c r="AE375" s="12"/>
      <c r="AF375" s="12">
        <f>COUNTIF($A$20:A375,A375)</f>
        <v>3</v>
      </c>
      <c r="AG375" s="38">
        <v>23982123</v>
      </c>
      <c r="AH375" s="38">
        <f>Tabla44[[#This Row],[VALOR CONTRAPARTIDA]]+Tabla44[[#This Row],[TOTAL APORTES ICBF]]</f>
        <v>23982123</v>
      </c>
      <c r="AI375" s="35" t="str">
        <f>+IF(Tabla44[[#This Row],[AGRUPACIONES]]=1,SUMIFS(Tabla44[TOTAL APORTES ICBF],Tabla44[ZONA DEFINITIVO],Tabla44[[#This Row],[ZONA DEFINITIVO]])," ")</f>
        <v xml:space="preserve"> </v>
      </c>
      <c r="AJ375" s="38"/>
      <c r="AK375" s="38"/>
      <c r="AL375" s="35"/>
      <c r="AM375" s="35">
        <f>VLOOKUP(Tabla44[[#This Row],[SERVICIO 2025]],$J$2:$V$15,5,0)*Tabla44[[#This Row],[TOTAL COBERTURA]]</f>
        <v>543136</v>
      </c>
      <c r="AN375" s="35">
        <f>VLOOKUP(Tabla44[[#This Row],[SERVICIO 2025]],$J$2:$V$15,6,0)*Tabla44[[#This Row],[TOTAL COBERTURA]]</f>
        <v>451319</v>
      </c>
      <c r="AO375" s="35">
        <f>VLOOKUP(Tabla44[[#This Row],[SERVICIO 2025]],$J$2:$V$15,8,0)*Tabla44[[#This Row],[TOTAL COBERTURA]]</f>
        <v>320100</v>
      </c>
      <c r="AP375" s="35">
        <f>VLOOKUP(Tabla44[[#This Row],[SERVICIO 2025]],$J$2:$V$15,3,0)*Tabla44[[#This Row],[TOTAL COBERTURA]]*8</f>
        <v>22667568</v>
      </c>
      <c r="AQ375" s="35"/>
      <c r="AR375" s="35">
        <f>SUM(Tabla44[[#This Row],[VALOR FASE PREPARATORIA DE ALISTAMIENTO]:[VALOR RACION PREPARADA]])</f>
        <v>23982123</v>
      </c>
      <c r="AS375" s="35" t="str">
        <f>+IF(Tabla44[[#This Row],[AGRUPACIONES]]=1,SUMIFS(Tabla44[VALOR TOTAL],Tabla44[ZONA DEFINITIVO],Tabla44[[#This Row],[ZONA DEFINITIVO]])," ")</f>
        <v xml:space="preserve"> </v>
      </c>
      <c r="AT375" s="35">
        <f>VLOOKUP(Tabla44[[#This Row],[SERVICIO 2025]],$J$2:$V$15,10,0)*Tabla44[[#This Row],[TOTAL COBERTURA]]*$X$7</f>
        <v>15873704</v>
      </c>
      <c r="AU375" s="39">
        <f>Tabla44[[#This Row],[TOTAL CONTRATO (ICBF+EAS)]]+Tabla44[[#This Row],[VALOR COMPONENTE ALIMENTACION NO ASIGNADO]]</f>
        <v>39855827</v>
      </c>
      <c r="AV37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375" s="35">
        <f>(VLOOKUP(Tabla44[[#This Row],[SERVICIO 2025]],$J$2:$V$15,3,0)*Tabla44[[#This Row],[TOTAL COBERTURA]])+VLOOKUP(Tabla44[[#This Row],[SERVICIO 2025]],$J$2:$V$15,10,0)*Tabla44[[#This Row],[TOTAL COBERTURA]]</f>
        <v>4817659</v>
      </c>
      <c r="AX375" s="35">
        <f>(VLOOKUP(Tabla44[[#This Row],[SERVICIO 2025]],$J$2:$V$15,3,0)*Tabla44[[#This Row],[TOTAL COBERTURA]])+VLOOKUP(Tabla44[[#This Row],[SERVICIO 2025]],$J$2:$V$15,10,0)*Tabla44[[#This Row],[TOTAL COBERTURA]]</f>
        <v>4817659</v>
      </c>
      <c r="AY375" s="35">
        <f>(VLOOKUP(Tabla44[[#This Row],[SERVICIO 2025]],$J$2:$V$15,3,0)*Tabla44[[#This Row],[TOTAL COBERTURA]])+VLOOKUP(Tabla44[[#This Row],[SERVICIO 2025]],$J$2:$V$15,10,0)*Tabla44[[#This Row],[TOTAL COBERTURA]]</f>
        <v>4817659</v>
      </c>
      <c r="AZ375" s="35">
        <f>(VLOOKUP(Tabla44[[#This Row],[SERVICIO 2025]],$J$2:$V$15,3,0)*Tabla44[[#This Row],[TOTAL COBERTURA]])+VLOOKUP(Tabla44[[#This Row],[SERVICIO 2025]],$J$2:$V$15,10,0)*Tabla44[[#This Row],[TOTAL COBERTURA]]</f>
        <v>4817659</v>
      </c>
      <c r="BA375" s="35">
        <f>(VLOOKUP(Tabla44[[#This Row],[SERVICIO 2025]],$J$2:$V$15,3,0)*Tabla44[[#This Row],[TOTAL COBERTURA]])+VLOOKUP(Tabla44[[#This Row],[SERVICIO 2025]],$J$2:$V$15,10,0)*Tabla44[[#This Row],[TOTAL COBERTURA]]</f>
        <v>4817659</v>
      </c>
      <c r="BB375" s="35">
        <f>(VLOOKUP(Tabla44[[#This Row],[SERVICIO 2025]],$J$2:$V$15,3,0)*Tabla44[[#This Row],[TOTAL COBERTURA]])+VLOOKUP(Tabla44[[#This Row],[SERVICIO 2025]],$J$2:$V$15,10,0)*Tabla44[[#This Row],[TOTAL COBERTURA]]</f>
        <v>4817659</v>
      </c>
      <c r="BC37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375" s="35">
        <f>SUM(Tabla44[[#This Row],[DESEMBOLSO 1]:[DESEMBOLSO 8]])</f>
        <v>39855827</v>
      </c>
      <c r="BE375" s="12" t="b">
        <f>EXACT(Tabla44[[#This Row],[VALOR ATENCIÓN (8 MESES)]],Tabla44[[#This Row],[VALOR TOTAL]])</f>
        <v>1</v>
      </c>
      <c r="BF375" s="23">
        <f>Tabla44[[#This Row],[VALOR ATENCIÓN (8 MESES)]]-Tabla44[[#This Row],[VALOR TOTAL]]</f>
        <v>0</v>
      </c>
      <c r="BG375" s="12" t="b">
        <f>EXACT(Tabla44[[#This Row],[TOTAL DESEMBOLSOS]],Tabla44[[#This Row],[VALOR TOTAL DEL CONTRATO INCLUIDO EL COMPONENTE DE ALIMENTACIÓN]])</f>
        <v>1</v>
      </c>
      <c r="BH375" s="29">
        <f>Tabla44[[#This Row],[TOTAL DESEMBOLSOS]]-Tabla44[[#This Row],[VALOR TOTAL DEL CONTRATO INCLUIDO EL COMPONENTE DE ALIMENTACIÓN]]</f>
        <v>0</v>
      </c>
      <c r="BI375" t="s">
        <v>98</v>
      </c>
    </row>
    <row r="376" spans="1:61">
      <c r="A376" s="13">
        <v>2017</v>
      </c>
      <c r="B376" s="13"/>
      <c r="C376" s="12" t="s">
        <v>87</v>
      </c>
      <c r="D376" s="12" t="s">
        <v>1628</v>
      </c>
      <c r="E376" s="12" t="s">
        <v>3531</v>
      </c>
      <c r="F376" s="12" t="s">
        <v>18</v>
      </c>
      <c r="G376" s="12" t="s">
        <v>90</v>
      </c>
      <c r="H376" s="12" t="s">
        <v>3538</v>
      </c>
      <c r="I376" s="36">
        <v>51071137723</v>
      </c>
      <c r="J376" s="12" t="s">
        <v>3539</v>
      </c>
      <c r="K376" s="12">
        <v>1</v>
      </c>
      <c r="L376" s="12">
        <v>18</v>
      </c>
      <c r="M376" s="12"/>
      <c r="N376" s="13">
        <v>2017</v>
      </c>
      <c r="O376" s="12" t="s">
        <v>2850</v>
      </c>
      <c r="P376" s="12"/>
      <c r="Q376" s="12"/>
      <c r="R376" s="12" t="s">
        <v>94</v>
      </c>
      <c r="S376" s="12">
        <v>10</v>
      </c>
      <c r="T376" s="12">
        <v>818001449</v>
      </c>
      <c r="U376" s="12" t="s">
        <v>3247</v>
      </c>
      <c r="V376" s="12">
        <f>VLOOKUP(Tabla44[[#This Row],[ZONA DEFINITIVO]],[1]Hoja1!$A$1:$D$125,3,0)</f>
        <v>229944</v>
      </c>
      <c r="W376" s="12">
        <f>VLOOKUP(Tabla44[[#This Row],[ZONA DEFINITIVO]],[1]Hoja1!$A$1:$D$125,2,0)</f>
        <v>17258</v>
      </c>
      <c r="X376" s="12">
        <f>VLOOKUP(Tabla44[[#This Row],[ZONA DEFINITIVO]],[1]Hoja1!$A$1:$D$125,4,0)</f>
        <v>104725</v>
      </c>
      <c r="Y376" s="12" t="str">
        <f>+IF(Tabla44[[#This Row],[AGRUPACIONES]]=1,SUMIFS(Tabla44[UDS],Tabla44[ZONA DEFINITIVO],Tabla44[[#This Row],[ZONA DEFINITIVO]])," ")</f>
        <v xml:space="preserve"> </v>
      </c>
      <c r="Z376" s="12" t="str">
        <f>+IF(Tabla44[[#This Row],[AGRUPACIONES]]=1,SUMIFS(Tabla44[TOTAL COBERTURA],Tabla44[ZONA DEFINITIVO],Tabla44[[#This Row],[ZONA DEFINITIVO]])," ")</f>
        <v xml:space="preserve"> </v>
      </c>
      <c r="AA376" s="12"/>
      <c r="AB376" s="35">
        <v>39243474</v>
      </c>
      <c r="AC376" s="37">
        <v>0</v>
      </c>
      <c r="AD376" s="35">
        <f t="shared" si="6"/>
        <v>0</v>
      </c>
      <c r="AE376" s="12"/>
      <c r="AF376" s="12">
        <f>COUNTIF($A$20:A376,A376)</f>
        <v>4</v>
      </c>
      <c r="AG376" s="38">
        <v>39243474</v>
      </c>
      <c r="AH376" s="38">
        <f>Tabla44[[#This Row],[VALOR CONTRAPARTIDA]]+Tabla44[[#This Row],[TOTAL APORTES ICBF]]</f>
        <v>39243474</v>
      </c>
      <c r="AI376" s="35" t="str">
        <f>+IF(Tabla44[[#This Row],[AGRUPACIONES]]=1,SUMIFS(Tabla44[TOTAL APORTES ICBF],Tabla44[ZONA DEFINITIVO],Tabla44[[#This Row],[ZONA DEFINITIVO]])," ")</f>
        <v xml:space="preserve"> </v>
      </c>
      <c r="AJ376" s="38"/>
      <c r="AK376" s="38"/>
      <c r="AL376" s="35"/>
      <c r="AM376" s="35">
        <f>VLOOKUP(Tabla44[[#This Row],[SERVICIO 2025]],$J$2:$V$15,5,0)*Tabla44[[#This Row],[TOTAL COBERTURA]]</f>
        <v>888768</v>
      </c>
      <c r="AN376" s="35">
        <f>VLOOKUP(Tabla44[[#This Row],[SERVICIO 2025]],$J$2:$V$15,6,0)*Tabla44[[#This Row],[TOTAL COBERTURA]]</f>
        <v>738522</v>
      </c>
      <c r="AO376" s="35">
        <f>VLOOKUP(Tabla44[[#This Row],[SERVICIO 2025]],$J$2:$V$15,8,0)*Tabla44[[#This Row],[TOTAL COBERTURA]]</f>
        <v>523800</v>
      </c>
      <c r="AP376" s="35">
        <f>VLOOKUP(Tabla44[[#This Row],[SERVICIO 2025]],$J$2:$V$15,3,0)*Tabla44[[#This Row],[TOTAL COBERTURA]]*8</f>
        <v>37092384</v>
      </c>
      <c r="AQ376" s="35"/>
      <c r="AR376" s="35">
        <f>SUM(Tabla44[[#This Row],[VALOR FASE PREPARATORIA DE ALISTAMIENTO]:[VALOR RACION PREPARADA]])</f>
        <v>39243474</v>
      </c>
      <c r="AS376" s="35" t="str">
        <f>+IF(Tabla44[[#This Row],[AGRUPACIONES]]=1,SUMIFS(Tabla44[VALOR TOTAL],Tabla44[ZONA DEFINITIVO],Tabla44[[#This Row],[ZONA DEFINITIVO]])," ")</f>
        <v xml:space="preserve"> </v>
      </c>
      <c r="AT376" s="35">
        <f>VLOOKUP(Tabla44[[#This Row],[SERVICIO 2025]],$J$2:$V$15,10,0)*Tabla44[[#This Row],[TOTAL COBERTURA]]*$X$7</f>
        <v>25975152</v>
      </c>
      <c r="AU376" s="39">
        <f>Tabla44[[#This Row],[TOTAL CONTRATO (ICBF+EAS)]]+Tabla44[[#This Row],[VALOR COMPONENTE ALIMENTACION NO ASIGNADO]]</f>
        <v>65218626</v>
      </c>
      <c r="AV37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376" s="35">
        <f>(VLOOKUP(Tabla44[[#This Row],[SERVICIO 2025]],$J$2:$V$15,3,0)*Tabla44[[#This Row],[TOTAL COBERTURA]])+VLOOKUP(Tabla44[[#This Row],[SERVICIO 2025]],$J$2:$V$15,10,0)*Tabla44[[#This Row],[TOTAL COBERTURA]]</f>
        <v>7883442</v>
      </c>
      <c r="AX376" s="35">
        <f>(VLOOKUP(Tabla44[[#This Row],[SERVICIO 2025]],$J$2:$V$15,3,0)*Tabla44[[#This Row],[TOTAL COBERTURA]])+VLOOKUP(Tabla44[[#This Row],[SERVICIO 2025]],$J$2:$V$15,10,0)*Tabla44[[#This Row],[TOTAL COBERTURA]]</f>
        <v>7883442</v>
      </c>
      <c r="AY376" s="35">
        <f>(VLOOKUP(Tabla44[[#This Row],[SERVICIO 2025]],$J$2:$V$15,3,0)*Tabla44[[#This Row],[TOTAL COBERTURA]])+VLOOKUP(Tabla44[[#This Row],[SERVICIO 2025]],$J$2:$V$15,10,0)*Tabla44[[#This Row],[TOTAL COBERTURA]]</f>
        <v>7883442</v>
      </c>
      <c r="AZ376" s="35">
        <f>(VLOOKUP(Tabla44[[#This Row],[SERVICIO 2025]],$J$2:$V$15,3,0)*Tabla44[[#This Row],[TOTAL COBERTURA]])+VLOOKUP(Tabla44[[#This Row],[SERVICIO 2025]],$J$2:$V$15,10,0)*Tabla44[[#This Row],[TOTAL COBERTURA]]</f>
        <v>7883442</v>
      </c>
      <c r="BA376" s="35">
        <f>(VLOOKUP(Tabla44[[#This Row],[SERVICIO 2025]],$J$2:$V$15,3,0)*Tabla44[[#This Row],[TOTAL COBERTURA]])+VLOOKUP(Tabla44[[#This Row],[SERVICIO 2025]],$J$2:$V$15,10,0)*Tabla44[[#This Row],[TOTAL COBERTURA]]</f>
        <v>7883442</v>
      </c>
      <c r="BB376" s="35">
        <f>(VLOOKUP(Tabla44[[#This Row],[SERVICIO 2025]],$J$2:$V$15,3,0)*Tabla44[[#This Row],[TOTAL COBERTURA]])+VLOOKUP(Tabla44[[#This Row],[SERVICIO 2025]],$J$2:$V$15,10,0)*Tabla44[[#This Row],[TOTAL COBERTURA]]</f>
        <v>7883442</v>
      </c>
      <c r="BC37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376" s="35">
        <f>SUM(Tabla44[[#This Row],[DESEMBOLSO 1]:[DESEMBOLSO 8]])</f>
        <v>65218626</v>
      </c>
      <c r="BE376" s="12" t="b">
        <f>EXACT(Tabla44[[#This Row],[VALOR ATENCIÓN (8 MESES)]],Tabla44[[#This Row],[VALOR TOTAL]])</f>
        <v>1</v>
      </c>
      <c r="BF376" s="23">
        <f>Tabla44[[#This Row],[VALOR ATENCIÓN (8 MESES)]]-Tabla44[[#This Row],[VALOR TOTAL]]</f>
        <v>0</v>
      </c>
      <c r="BG376" s="12" t="b">
        <f>EXACT(Tabla44[[#This Row],[TOTAL DESEMBOLSOS]],Tabla44[[#This Row],[VALOR TOTAL DEL CONTRATO INCLUIDO EL COMPONENTE DE ALIMENTACIÓN]])</f>
        <v>1</v>
      </c>
      <c r="BH376" s="29">
        <f>Tabla44[[#This Row],[TOTAL DESEMBOLSOS]]-Tabla44[[#This Row],[VALOR TOTAL DEL CONTRATO INCLUIDO EL COMPONENTE DE ALIMENTACIÓN]]</f>
        <v>0</v>
      </c>
      <c r="BI376" t="s">
        <v>98</v>
      </c>
    </row>
    <row r="377" spans="1:61">
      <c r="A377" s="13">
        <v>2017</v>
      </c>
      <c r="B377" s="13"/>
      <c r="C377" s="12" t="s">
        <v>87</v>
      </c>
      <c r="D377" s="12" t="s">
        <v>1628</v>
      </c>
      <c r="E377" s="12" t="s">
        <v>3531</v>
      </c>
      <c r="F377" s="12" t="s">
        <v>18</v>
      </c>
      <c r="G377" s="12" t="s">
        <v>90</v>
      </c>
      <c r="H377" s="12" t="s">
        <v>3540</v>
      </c>
      <c r="I377" s="36">
        <v>51071148657</v>
      </c>
      <c r="J377" s="12" t="s">
        <v>3541</v>
      </c>
      <c r="K377" s="12">
        <v>1</v>
      </c>
      <c r="L377" s="12">
        <v>8</v>
      </c>
      <c r="M377" s="12"/>
      <c r="N377" s="13">
        <v>2017</v>
      </c>
      <c r="O377" s="12" t="s">
        <v>2850</v>
      </c>
      <c r="P377" s="12"/>
      <c r="Q377" s="12"/>
      <c r="R377" s="12" t="s">
        <v>94</v>
      </c>
      <c r="S377" s="12">
        <v>10</v>
      </c>
      <c r="T377" s="12">
        <v>818001449</v>
      </c>
      <c r="U377" s="12" t="s">
        <v>3247</v>
      </c>
      <c r="V377" s="12">
        <f>VLOOKUP(Tabla44[[#This Row],[ZONA DEFINITIVO]],[1]Hoja1!$A$1:$D$125,3,0)</f>
        <v>229944</v>
      </c>
      <c r="W377" s="12">
        <f>VLOOKUP(Tabla44[[#This Row],[ZONA DEFINITIVO]],[1]Hoja1!$A$1:$D$125,2,0)</f>
        <v>17258</v>
      </c>
      <c r="X377" s="12">
        <f>VLOOKUP(Tabla44[[#This Row],[ZONA DEFINITIVO]],[1]Hoja1!$A$1:$D$125,4,0)</f>
        <v>104725</v>
      </c>
      <c r="Y377" s="12" t="str">
        <f>+IF(Tabla44[[#This Row],[AGRUPACIONES]]=1,SUMIFS(Tabla44[UDS],Tabla44[ZONA DEFINITIVO],Tabla44[[#This Row],[ZONA DEFINITIVO]])," ")</f>
        <v xml:space="preserve"> </v>
      </c>
      <c r="Z377" s="12" t="str">
        <f>+IF(Tabla44[[#This Row],[AGRUPACIONES]]=1,SUMIFS(Tabla44[TOTAL COBERTURA],Tabla44[ZONA DEFINITIVO],Tabla44[[#This Row],[ZONA DEFINITIVO]])," ")</f>
        <v xml:space="preserve"> </v>
      </c>
      <c r="AA377" s="12"/>
      <c r="AB377" s="35">
        <v>17441544</v>
      </c>
      <c r="AC377" s="37">
        <v>0</v>
      </c>
      <c r="AD377" s="35">
        <f t="shared" si="6"/>
        <v>0</v>
      </c>
      <c r="AE377" s="12"/>
      <c r="AF377" s="12">
        <f>COUNTIF($A$20:A377,A377)</f>
        <v>5</v>
      </c>
      <c r="AG377" s="38">
        <v>17441544</v>
      </c>
      <c r="AH377" s="38">
        <f>Tabla44[[#This Row],[VALOR CONTRAPARTIDA]]+Tabla44[[#This Row],[TOTAL APORTES ICBF]]</f>
        <v>17441544</v>
      </c>
      <c r="AI377" s="35" t="str">
        <f>+IF(Tabla44[[#This Row],[AGRUPACIONES]]=1,SUMIFS(Tabla44[TOTAL APORTES ICBF],Tabla44[ZONA DEFINITIVO],Tabla44[[#This Row],[ZONA DEFINITIVO]])," ")</f>
        <v xml:space="preserve"> </v>
      </c>
      <c r="AJ377" s="38"/>
      <c r="AK377" s="38"/>
      <c r="AL377" s="35"/>
      <c r="AM377" s="35">
        <f>VLOOKUP(Tabla44[[#This Row],[SERVICIO 2025]],$J$2:$V$15,5,0)*Tabla44[[#This Row],[TOTAL COBERTURA]]</f>
        <v>395008</v>
      </c>
      <c r="AN377" s="35">
        <f>VLOOKUP(Tabla44[[#This Row],[SERVICIO 2025]],$J$2:$V$15,6,0)*Tabla44[[#This Row],[TOTAL COBERTURA]]</f>
        <v>328232</v>
      </c>
      <c r="AO377" s="35">
        <f>VLOOKUP(Tabla44[[#This Row],[SERVICIO 2025]],$J$2:$V$15,8,0)*Tabla44[[#This Row],[TOTAL COBERTURA]]</f>
        <v>232800</v>
      </c>
      <c r="AP377" s="35">
        <f>VLOOKUP(Tabla44[[#This Row],[SERVICIO 2025]],$J$2:$V$15,3,0)*Tabla44[[#This Row],[TOTAL COBERTURA]]*8</f>
        <v>16485504</v>
      </c>
      <c r="AQ377" s="35"/>
      <c r="AR377" s="35">
        <f>SUM(Tabla44[[#This Row],[VALOR FASE PREPARATORIA DE ALISTAMIENTO]:[VALOR RACION PREPARADA]])</f>
        <v>17441544</v>
      </c>
      <c r="AS377" s="35" t="str">
        <f>+IF(Tabla44[[#This Row],[AGRUPACIONES]]=1,SUMIFS(Tabla44[VALOR TOTAL],Tabla44[ZONA DEFINITIVO],Tabla44[[#This Row],[ZONA DEFINITIVO]])," ")</f>
        <v xml:space="preserve"> </v>
      </c>
      <c r="AT377" s="35">
        <f>VLOOKUP(Tabla44[[#This Row],[SERVICIO 2025]],$J$2:$V$15,10,0)*Tabla44[[#This Row],[TOTAL COBERTURA]]*$X$7</f>
        <v>11544512</v>
      </c>
      <c r="AU377" s="39">
        <f>Tabla44[[#This Row],[TOTAL CONTRATO (ICBF+EAS)]]+Tabla44[[#This Row],[VALOR COMPONENTE ALIMENTACION NO ASIGNADO]]</f>
        <v>28986056</v>
      </c>
      <c r="AV37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4131560</v>
      </c>
      <c r="AW377" s="35">
        <f>(VLOOKUP(Tabla44[[#This Row],[SERVICIO 2025]],$J$2:$V$15,3,0)*Tabla44[[#This Row],[TOTAL COBERTURA]])+VLOOKUP(Tabla44[[#This Row],[SERVICIO 2025]],$J$2:$V$15,10,0)*Tabla44[[#This Row],[TOTAL COBERTURA]]</f>
        <v>3503752</v>
      </c>
      <c r="AX377" s="35">
        <f>(VLOOKUP(Tabla44[[#This Row],[SERVICIO 2025]],$J$2:$V$15,3,0)*Tabla44[[#This Row],[TOTAL COBERTURA]])+VLOOKUP(Tabla44[[#This Row],[SERVICIO 2025]],$J$2:$V$15,10,0)*Tabla44[[#This Row],[TOTAL COBERTURA]]</f>
        <v>3503752</v>
      </c>
      <c r="AY377" s="35">
        <f>(VLOOKUP(Tabla44[[#This Row],[SERVICIO 2025]],$J$2:$V$15,3,0)*Tabla44[[#This Row],[TOTAL COBERTURA]])+VLOOKUP(Tabla44[[#This Row],[SERVICIO 2025]],$J$2:$V$15,10,0)*Tabla44[[#This Row],[TOTAL COBERTURA]]</f>
        <v>3503752</v>
      </c>
      <c r="AZ377" s="35">
        <f>(VLOOKUP(Tabla44[[#This Row],[SERVICIO 2025]],$J$2:$V$15,3,0)*Tabla44[[#This Row],[TOTAL COBERTURA]])+VLOOKUP(Tabla44[[#This Row],[SERVICIO 2025]],$J$2:$V$15,10,0)*Tabla44[[#This Row],[TOTAL COBERTURA]]</f>
        <v>3503752</v>
      </c>
      <c r="BA377" s="35">
        <f>(VLOOKUP(Tabla44[[#This Row],[SERVICIO 2025]],$J$2:$V$15,3,0)*Tabla44[[#This Row],[TOTAL COBERTURA]])+VLOOKUP(Tabla44[[#This Row],[SERVICIO 2025]],$J$2:$V$15,10,0)*Tabla44[[#This Row],[TOTAL COBERTURA]]</f>
        <v>3503752</v>
      </c>
      <c r="BB377" s="35">
        <f>(VLOOKUP(Tabla44[[#This Row],[SERVICIO 2025]],$J$2:$V$15,3,0)*Tabla44[[#This Row],[TOTAL COBERTURA]])+VLOOKUP(Tabla44[[#This Row],[SERVICIO 2025]],$J$2:$V$15,10,0)*Tabla44[[#This Row],[TOTAL COBERTURA]]</f>
        <v>3503752</v>
      </c>
      <c r="BC37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3831984</v>
      </c>
      <c r="BD377" s="35">
        <f>SUM(Tabla44[[#This Row],[DESEMBOLSO 1]:[DESEMBOLSO 8]])</f>
        <v>28986056</v>
      </c>
      <c r="BE377" s="12" t="b">
        <f>EXACT(Tabla44[[#This Row],[VALOR ATENCIÓN (8 MESES)]],Tabla44[[#This Row],[VALOR TOTAL]])</f>
        <v>1</v>
      </c>
      <c r="BF377" s="23">
        <f>Tabla44[[#This Row],[VALOR ATENCIÓN (8 MESES)]]-Tabla44[[#This Row],[VALOR TOTAL]]</f>
        <v>0</v>
      </c>
      <c r="BG377" s="12" t="b">
        <f>EXACT(Tabla44[[#This Row],[TOTAL DESEMBOLSOS]],Tabla44[[#This Row],[VALOR TOTAL DEL CONTRATO INCLUIDO EL COMPONENTE DE ALIMENTACIÓN]])</f>
        <v>1</v>
      </c>
      <c r="BH377" s="29">
        <f>Tabla44[[#This Row],[TOTAL DESEMBOLSOS]]-Tabla44[[#This Row],[VALOR TOTAL DEL CONTRATO INCLUIDO EL COMPONENTE DE ALIMENTACIÓN]]</f>
        <v>0</v>
      </c>
      <c r="BI377" t="s">
        <v>98</v>
      </c>
    </row>
    <row r="378" spans="1:61">
      <c r="A378" s="13">
        <v>2017</v>
      </c>
      <c r="B378" s="13"/>
      <c r="C378" s="12" t="s">
        <v>87</v>
      </c>
      <c r="D378" s="12" t="s">
        <v>1628</v>
      </c>
      <c r="E378" s="12" t="s">
        <v>3531</v>
      </c>
      <c r="F378" s="12" t="s">
        <v>18</v>
      </c>
      <c r="G378" s="12" t="s">
        <v>90</v>
      </c>
      <c r="H378" s="12" t="s">
        <v>3542</v>
      </c>
      <c r="I378" s="36">
        <v>51071152480</v>
      </c>
      <c r="J378" s="12" t="s">
        <v>3543</v>
      </c>
      <c r="K378" s="12">
        <v>1</v>
      </c>
      <c r="L378" s="12">
        <v>13</v>
      </c>
      <c r="M378" s="12"/>
      <c r="N378" s="13">
        <v>2017</v>
      </c>
      <c r="O378" s="12" t="s">
        <v>2850</v>
      </c>
      <c r="P378" s="12"/>
      <c r="Q378" s="12"/>
      <c r="R378" s="12" t="s">
        <v>94</v>
      </c>
      <c r="S378" s="12">
        <v>10</v>
      </c>
      <c r="T378" s="12">
        <v>818001449</v>
      </c>
      <c r="U378" s="12" t="s">
        <v>3247</v>
      </c>
      <c r="V378" s="12">
        <f>VLOOKUP(Tabla44[[#This Row],[ZONA DEFINITIVO]],[1]Hoja1!$A$1:$D$125,3,0)</f>
        <v>229944</v>
      </c>
      <c r="W378" s="12">
        <f>VLOOKUP(Tabla44[[#This Row],[ZONA DEFINITIVO]],[1]Hoja1!$A$1:$D$125,2,0)</f>
        <v>17258</v>
      </c>
      <c r="X378" s="12">
        <f>VLOOKUP(Tabla44[[#This Row],[ZONA DEFINITIVO]],[1]Hoja1!$A$1:$D$125,4,0)</f>
        <v>104725</v>
      </c>
      <c r="Y378" s="12" t="str">
        <f>+IF(Tabla44[[#This Row],[AGRUPACIONES]]=1,SUMIFS(Tabla44[UDS],Tabla44[ZONA DEFINITIVO],Tabla44[[#This Row],[ZONA DEFINITIVO]])," ")</f>
        <v xml:space="preserve"> </v>
      </c>
      <c r="Z378" s="12" t="str">
        <f>+IF(Tabla44[[#This Row],[AGRUPACIONES]]=1,SUMIFS(Tabla44[TOTAL COBERTURA],Tabla44[ZONA DEFINITIVO],Tabla44[[#This Row],[ZONA DEFINITIVO]])," ")</f>
        <v xml:space="preserve"> </v>
      </c>
      <c r="AA378" s="12"/>
      <c r="AB378" s="35">
        <v>28342509</v>
      </c>
      <c r="AC378" s="37">
        <v>0</v>
      </c>
      <c r="AD378" s="35">
        <f t="shared" si="6"/>
        <v>0</v>
      </c>
      <c r="AE378" s="12"/>
      <c r="AF378" s="12">
        <f>COUNTIF($A$20:A378,A378)</f>
        <v>6</v>
      </c>
      <c r="AG378" s="38">
        <v>28342509</v>
      </c>
      <c r="AH378" s="38">
        <f>Tabla44[[#This Row],[VALOR CONTRAPARTIDA]]+Tabla44[[#This Row],[TOTAL APORTES ICBF]]</f>
        <v>28342509</v>
      </c>
      <c r="AI378" s="35" t="str">
        <f>+IF(Tabla44[[#This Row],[AGRUPACIONES]]=1,SUMIFS(Tabla44[TOTAL APORTES ICBF],Tabla44[ZONA DEFINITIVO],Tabla44[[#This Row],[ZONA DEFINITIVO]])," ")</f>
        <v xml:space="preserve"> </v>
      </c>
      <c r="AJ378" s="38"/>
      <c r="AK378" s="38"/>
      <c r="AL378" s="35"/>
      <c r="AM378" s="35">
        <f>VLOOKUP(Tabla44[[#This Row],[SERVICIO 2025]],$J$2:$V$15,5,0)*Tabla44[[#This Row],[TOTAL COBERTURA]]</f>
        <v>641888</v>
      </c>
      <c r="AN378" s="35">
        <f>VLOOKUP(Tabla44[[#This Row],[SERVICIO 2025]],$J$2:$V$15,6,0)*Tabla44[[#This Row],[TOTAL COBERTURA]]</f>
        <v>533377</v>
      </c>
      <c r="AO378" s="35">
        <f>VLOOKUP(Tabla44[[#This Row],[SERVICIO 2025]],$J$2:$V$15,8,0)*Tabla44[[#This Row],[TOTAL COBERTURA]]</f>
        <v>378300</v>
      </c>
      <c r="AP378" s="35">
        <f>VLOOKUP(Tabla44[[#This Row],[SERVICIO 2025]],$J$2:$V$15,3,0)*Tabla44[[#This Row],[TOTAL COBERTURA]]*8</f>
        <v>26788944</v>
      </c>
      <c r="AQ378" s="35"/>
      <c r="AR378" s="35">
        <f>SUM(Tabla44[[#This Row],[VALOR FASE PREPARATORIA DE ALISTAMIENTO]:[VALOR RACION PREPARADA]])</f>
        <v>28342509</v>
      </c>
      <c r="AS378" s="35" t="str">
        <f>+IF(Tabla44[[#This Row],[AGRUPACIONES]]=1,SUMIFS(Tabla44[VALOR TOTAL],Tabla44[ZONA DEFINITIVO],Tabla44[[#This Row],[ZONA DEFINITIVO]])," ")</f>
        <v xml:space="preserve"> </v>
      </c>
      <c r="AT378" s="35">
        <f>VLOOKUP(Tabla44[[#This Row],[SERVICIO 2025]],$J$2:$V$15,10,0)*Tabla44[[#This Row],[TOTAL COBERTURA]]*$X$7</f>
        <v>18759832</v>
      </c>
      <c r="AU378" s="39">
        <f>Tabla44[[#This Row],[TOTAL CONTRATO (ICBF+EAS)]]+Tabla44[[#This Row],[VALOR COMPONENTE ALIMENTACION NO ASIGNADO]]</f>
        <v>47102341</v>
      </c>
      <c r="AV37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378" s="35">
        <f>(VLOOKUP(Tabla44[[#This Row],[SERVICIO 2025]],$J$2:$V$15,3,0)*Tabla44[[#This Row],[TOTAL COBERTURA]])+VLOOKUP(Tabla44[[#This Row],[SERVICIO 2025]],$J$2:$V$15,10,0)*Tabla44[[#This Row],[TOTAL COBERTURA]]</f>
        <v>5693597</v>
      </c>
      <c r="AX378" s="35">
        <f>(VLOOKUP(Tabla44[[#This Row],[SERVICIO 2025]],$J$2:$V$15,3,0)*Tabla44[[#This Row],[TOTAL COBERTURA]])+VLOOKUP(Tabla44[[#This Row],[SERVICIO 2025]],$J$2:$V$15,10,0)*Tabla44[[#This Row],[TOTAL COBERTURA]]</f>
        <v>5693597</v>
      </c>
      <c r="AY378" s="35">
        <f>(VLOOKUP(Tabla44[[#This Row],[SERVICIO 2025]],$J$2:$V$15,3,0)*Tabla44[[#This Row],[TOTAL COBERTURA]])+VLOOKUP(Tabla44[[#This Row],[SERVICIO 2025]],$J$2:$V$15,10,0)*Tabla44[[#This Row],[TOTAL COBERTURA]]</f>
        <v>5693597</v>
      </c>
      <c r="AZ378" s="35">
        <f>(VLOOKUP(Tabla44[[#This Row],[SERVICIO 2025]],$J$2:$V$15,3,0)*Tabla44[[#This Row],[TOTAL COBERTURA]])+VLOOKUP(Tabla44[[#This Row],[SERVICIO 2025]],$J$2:$V$15,10,0)*Tabla44[[#This Row],[TOTAL COBERTURA]]</f>
        <v>5693597</v>
      </c>
      <c r="BA378" s="35">
        <f>(VLOOKUP(Tabla44[[#This Row],[SERVICIO 2025]],$J$2:$V$15,3,0)*Tabla44[[#This Row],[TOTAL COBERTURA]])+VLOOKUP(Tabla44[[#This Row],[SERVICIO 2025]],$J$2:$V$15,10,0)*Tabla44[[#This Row],[TOTAL COBERTURA]]</f>
        <v>5693597</v>
      </c>
      <c r="BB378" s="35">
        <f>(VLOOKUP(Tabla44[[#This Row],[SERVICIO 2025]],$J$2:$V$15,3,0)*Tabla44[[#This Row],[TOTAL COBERTURA]])+VLOOKUP(Tabla44[[#This Row],[SERVICIO 2025]],$J$2:$V$15,10,0)*Tabla44[[#This Row],[TOTAL COBERTURA]]</f>
        <v>5693597</v>
      </c>
      <c r="BC37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378" s="35">
        <f>SUM(Tabla44[[#This Row],[DESEMBOLSO 1]:[DESEMBOLSO 8]])</f>
        <v>47102341</v>
      </c>
      <c r="BE378" s="12" t="b">
        <f>EXACT(Tabla44[[#This Row],[VALOR ATENCIÓN (8 MESES)]],Tabla44[[#This Row],[VALOR TOTAL]])</f>
        <v>1</v>
      </c>
      <c r="BF378" s="23">
        <f>Tabla44[[#This Row],[VALOR ATENCIÓN (8 MESES)]]-Tabla44[[#This Row],[VALOR TOTAL]]</f>
        <v>0</v>
      </c>
      <c r="BG378" s="12" t="b">
        <f>EXACT(Tabla44[[#This Row],[TOTAL DESEMBOLSOS]],Tabla44[[#This Row],[VALOR TOTAL DEL CONTRATO INCLUIDO EL COMPONENTE DE ALIMENTACIÓN]])</f>
        <v>1</v>
      </c>
      <c r="BH378" s="29">
        <f>Tabla44[[#This Row],[TOTAL DESEMBOLSOS]]-Tabla44[[#This Row],[VALOR TOTAL DEL CONTRATO INCLUIDO EL COMPONENTE DE ALIMENTACIÓN]]</f>
        <v>0</v>
      </c>
      <c r="BI378" t="s">
        <v>98</v>
      </c>
    </row>
    <row r="379" spans="1:61">
      <c r="A379" s="13">
        <v>2017</v>
      </c>
      <c r="B379" s="13"/>
      <c r="C379" s="12" t="s">
        <v>87</v>
      </c>
      <c r="D379" s="12" t="s">
        <v>1628</v>
      </c>
      <c r="E379" s="12" t="s">
        <v>3531</v>
      </c>
      <c r="F379" s="12" t="s">
        <v>18</v>
      </c>
      <c r="G379" s="12" t="s">
        <v>90</v>
      </c>
      <c r="H379" s="12" t="s">
        <v>3544</v>
      </c>
      <c r="I379" s="36">
        <v>51071152797</v>
      </c>
      <c r="J379" s="12" t="s">
        <v>3545</v>
      </c>
      <c r="K379" s="12">
        <v>1</v>
      </c>
      <c r="L379" s="12">
        <v>18</v>
      </c>
      <c r="M379" s="12"/>
      <c r="N379" s="13">
        <v>2017</v>
      </c>
      <c r="O379" s="12" t="s">
        <v>2850</v>
      </c>
      <c r="P379" s="12"/>
      <c r="Q379" s="12"/>
      <c r="R379" s="12" t="s">
        <v>94</v>
      </c>
      <c r="S379" s="12">
        <v>10</v>
      </c>
      <c r="T379" s="12">
        <v>818001449</v>
      </c>
      <c r="U379" s="12" t="s">
        <v>3247</v>
      </c>
      <c r="V379" s="12">
        <f>VLOOKUP(Tabla44[[#This Row],[ZONA DEFINITIVO]],[1]Hoja1!$A$1:$D$125,3,0)</f>
        <v>229944</v>
      </c>
      <c r="W379" s="12">
        <f>VLOOKUP(Tabla44[[#This Row],[ZONA DEFINITIVO]],[1]Hoja1!$A$1:$D$125,2,0)</f>
        <v>17258</v>
      </c>
      <c r="X379" s="12">
        <f>VLOOKUP(Tabla44[[#This Row],[ZONA DEFINITIVO]],[1]Hoja1!$A$1:$D$125,4,0)</f>
        <v>104725</v>
      </c>
      <c r="Y379" s="12" t="str">
        <f>+IF(Tabla44[[#This Row],[AGRUPACIONES]]=1,SUMIFS(Tabla44[UDS],Tabla44[ZONA DEFINITIVO],Tabla44[[#This Row],[ZONA DEFINITIVO]])," ")</f>
        <v xml:space="preserve"> </v>
      </c>
      <c r="Z379" s="12" t="str">
        <f>+IF(Tabla44[[#This Row],[AGRUPACIONES]]=1,SUMIFS(Tabla44[TOTAL COBERTURA],Tabla44[ZONA DEFINITIVO],Tabla44[[#This Row],[ZONA DEFINITIVO]])," ")</f>
        <v xml:space="preserve"> </v>
      </c>
      <c r="AA379" s="12"/>
      <c r="AB379" s="35">
        <v>39243474</v>
      </c>
      <c r="AC379" s="37">
        <v>0</v>
      </c>
      <c r="AD379" s="35">
        <f t="shared" si="6"/>
        <v>0</v>
      </c>
      <c r="AE379" s="12"/>
      <c r="AF379" s="12">
        <f>COUNTIF($A$20:A379,A379)</f>
        <v>7</v>
      </c>
      <c r="AG379" s="38">
        <v>39243474</v>
      </c>
      <c r="AH379" s="38">
        <f>Tabla44[[#This Row],[VALOR CONTRAPARTIDA]]+Tabla44[[#This Row],[TOTAL APORTES ICBF]]</f>
        <v>39243474</v>
      </c>
      <c r="AI379" s="35" t="str">
        <f>+IF(Tabla44[[#This Row],[AGRUPACIONES]]=1,SUMIFS(Tabla44[TOTAL APORTES ICBF],Tabla44[ZONA DEFINITIVO],Tabla44[[#This Row],[ZONA DEFINITIVO]])," ")</f>
        <v xml:space="preserve"> </v>
      </c>
      <c r="AJ379" s="38"/>
      <c r="AK379" s="38"/>
      <c r="AL379" s="35"/>
      <c r="AM379" s="35">
        <f>VLOOKUP(Tabla44[[#This Row],[SERVICIO 2025]],$J$2:$V$15,5,0)*Tabla44[[#This Row],[TOTAL COBERTURA]]</f>
        <v>888768</v>
      </c>
      <c r="AN379" s="35">
        <f>VLOOKUP(Tabla44[[#This Row],[SERVICIO 2025]],$J$2:$V$15,6,0)*Tabla44[[#This Row],[TOTAL COBERTURA]]</f>
        <v>738522</v>
      </c>
      <c r="AO379" s="35">
        <f>VLOOKUP(Tabla44[[#This Row],[SERVICIO 2025]],$J$2:$V$15,8,0)*Tabla44[[#This Row],[TOTAL COBERTURA]]</f>
        <v>523800</v>
      </c>
      <c r="AP379" s="35">
        <f>VLOOKUP(Tabla44[[#This Row],[SERVICIO 2025]],$J$2:$V$15,3,0)*Tabla44[[#This Row],[TOTAL COBERTURA]]*8</f>
        <v>37092384</v>
      </c>
      <c r="AQ379" s="35"/>
      <c r="AR379" s="35">
        <f>SUM(Tabla44[[#This Row],[VALOR FASE PREPARATORIA DE ALISTAMIENTO]:[VALOR RACION PREPARADA]])</f>
        <v>39243474</v>
      </c>
      <c r="AS379" s="35" t="str">
        <f>+IF(Tabla44[[#This Row],[AGRUPACIONES]]=1,SUMIFS(Tabla44[VALOR TOTAL],Tabla44[ZONA DEFINITIVO],Tabla44[[#This Row],[ZONA DEFINITIVO]])," ")</f>
        <v xml:space="preserve"> </v>
      </c>
      <c r="AT379" s="35">
        <f>VLOOKUP(Tabla44[[#This Row],[SERVICIO 2025]],$J$2:$V$15,10,0)*Tabla44[[#This Row],[TOTAL COBERTURA]]*$X$7</f>
        <v>25975152</v>
      </c>
      <c r="AU379" s="39">
        <f>Tabla44[[#This Row],[TOTAL CONTRATO (ICBF+EAS)]]+Tabla44[[#This Row],[VALOR COMPONENTE ALIMENTACION NO ASIGNADO]]</f>
        <v>65218626</v>
      </c>
      <c r="AV37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379" s="35">
        <f>(VLOOKUP(Tabla44[[#This Row],[SERVICIO 2025]],$J$2:$V$15,3,0)*Tabla44[[#This Row],[TOTAL COBERTURA]])+VLOOKUP(Tabla44[[#This Row],[SERVICIO 2025]],$J$2:$V$15,10,0)*Tabla44[[#This Row],[TOTAL COBERTURA]]</f>
        <v>7883442</v>
      </c>
      <c r="AX379" s="35">
        <f>(VLOOKUP(Tabla44[[#This Row],[SERVICIO 2025]],$J$2:$V$15,3,0)*Tabla44[[#This Row],[TOTAL COBERTURA]])+VLOOKUP(Tabla44[[#This Row],[SERVICIO 2025]],$J$2:$V$15,10,0)*Tabla44[[#This Row],[TOTAL COBERTURA]]</f>
        <v>7883442</v>
      </c>
      <c r="AY379" s="35">
        <f>(VLOOKUP(Tabla44[[#This Row],[SERVICIO 2025]],$J$2:$V$15,3,0)*Tabla44[[#This Row],[TOTAL COBERTURA]])+VLOOKUP(Tabla44[[#This Row],[SERVICIO 2025]],$J$2:$V$15,10,0)*Tabla44[[#This Row],[TOTAL COBERTURA]]</f>
        <v>7883442</v>
      </c>
      <c r="AZ379" s="35">
        <f>(VLOOKUP(Tabla44[[#This Row],[SERVICIO 2025]],$J$2:$V$15,3,0)*Tabla44[[#This Row],[TOTAL COBERTURA]])+VLOOKUP(Tabla44[[#This Row],[SERVICIO 2025]],$J$2:$V$15,10,0)*Tabla44[[#This Row],[TOTAL COBERTURA]]</f>
        <v>7883442</v>
      </c>
      <c r="BA379" s="35">
        <f>(VLOOKUP(Tabla44[[#This Row],[SERVICIO 2025]],$J$2:$V$15,3,0)*Tabla44[[#This Row],[TOTAL COBERTURA]])+VLOOKUP(Tabla44[[#This Row],[SERVICIO 2025]],$J$2:$V$15,10,0)*Tabla44[[#This Row],[TOTAL COBERTURA]]</f>
        <v>7883442</v>
      </c>
      <c r="BB379" s="35">
        <f>(VLOOKUP(Tabla44[[#This Row],[SERVICIO 2025]],$J$2:$V$15,3,0)*Tabla44[[#This Row],[TOTAL COBERTURA]])+VLOOKUP(Tabla44[[#This Row],[SERVICIO 2025]],$J$2:$V$15,10,0)*Tabla44[[#This Row],[TOTAL COBERTURA]]</f>
        <v>7883442</v>
      </c>
      <c r="BC37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379" s="35">
        <f>SUM(Tabla44[[#This Row],[DESEMBOLSO 1]:[DESEMBOLSO 8]])</f>
        <v>65218626</v>
      </c>
      <c r="BE379" s="12" t="b">
        <f>EXACT(Tabla44[[#This Row],[VALOR ATENCIÓN (8 MESES)]],Tabla44[[#This Row],[VALOR TOTAL]])</f>
        <v>1</v>
      </c>
      <c r="BF379" s="23">
        <f>Tabla44[[#This Row],[VALOR ATENCIÓN (8 MESES)]]-Tabla44[[#This Row],[VALOR TOTAL]]</f>
        <v>0</v>
      </c>
      <c r="BG379" s="12" t="b">
        <f>EXACT(Tabla44[[#This Row],[TOTAL DESEMBOLSOS]],Tabla44[[#This Row],[VALOR TOTAL DEL CONTRATO INCLUIDO EL COMPONENTE DE ALIMENTACIÓN]])</f>
        <v>1</v>
      </c>
      <c r="BH379" s="29">
        <f>Tabla44[[#This Row],[TOTAL DESEMBOLSOS]]-Tabla44[[#This Row],[VALOR TOTAL DEL CONTRATO INCLUIDO EL COMPONENTE DE ALIMENTACIÓN]]</f>
        <v>0</v>
      </c>
      <c r="BI379" t="s">
        <v>98</v>
      </c>
    </row>
    <row r="380" spans="1:61">
      <c r="A380" s="13">
        <v>2017</v>
      </c>
      <c r="B380" s="13"/>
      <c r="C380" s="12" t="s">
        <v>87</v>
      </c>
      <c r="D380" s="12" t="s">
        <v>1628</v>
      </c>
      <c r="E380" s="12" t="s">
        <v>3531</v>
      </c>
      <c r="F380" s="12" t="s">
        <v>18</v>
      </c>
      <c r="G380" s="12" t="s">
        <v>90</v>
      </c>
      <c r="H380" s="12" t="s">
        <v>3546</v>
      </c>
      <c r="I380" s="36">
        <v>51071152799</v>
      </c>
      <c r="J380" s="12" t="s">
        <v>3547</v>
      </c>
      <c r="K380" s="12">
        <v>1</v>
      </c>
      <c r="L380" s="12">
        <v>11</v>
      </c>
      <c r="M380" s="12"/>
      <c r="N380" s="13">
        <v>2017</v>
      </c>
      <c r="O380" s="12" t="s">
        <v>2850</v>
      </c>
      <c r="P380" s="12"/>
      <c r="Q380" s="12"/>
      <c r="R380" s="12" t="s">
        <v>94</v>
      </c>
      <c r="S380" s="12">
        <v>10</v>
      </c>
      <c r="T380" s="12">
        <v>818001449</v>
      </c>
      <c r="U380" s="12" t="s">
        <v>3247</v>
      </c>
      <c r="V380" s="12">
        <f>VLOOKUP(Tabla44[[#This Row],[ZONA DEFINITIVO]],[1]Hoja1!$A$1:$D$125,3,0)</f>
        <v>229944</v>
      </c>
      <c r="W380" s="12">
        <f>VLOOKUP(Tabla44[[#This Row],[ZONA DEFINITIVO]],[1]Hoja1!$A$1:$D$125,2,0)</f>
        <v>17258</v>
      </c>
      <c r="X380" s="12">
        <f>VLOOKUP(Tabla44[[#This Row],[ZONA DEFINITIVO]],[1]Hoja1!$A$1:$D$125,4,0)</f>
        <v>104725</v>
      </c>
      <c r="Y380" s="12" t="str">
        <f>+IF(Tabla44[[#This Row],[AGRUPACIONES]]=1,SUMIFS(Tabla44[UDS],Tabla44[ZONA DEFINITIVO],Tabla44[[#This Row],[ZONA DEFINITIVO]])," ")</f>
        <v xml:space="preserve"> </v>
      </c>
      <c r="Z380" s="12" t="str">
        <f>+IF(Tabla44[[#This Row],[AGRUPACIONES]]=1,SUMIFS(Tabla44[TOTAL COBERTURA],Tabla44[ZONA DEFINITIVO],Tabla44[[#This Row],[ZONA DEFINITIVO]])," ")</f>
        <v xml:space="preserve"> </v>
      </c>
      <c r="AA380" s="12"/>
      <c r="AB380" s="35">
        <v>23982123</v>
      </c>
      <c r="AC380" s="37">
        <v>0</v>
      </c>
      <c r="AD380" s="35">
        <f t="shared" si="6"/>
        <v>0</v>
      </c>
      <c r="AE380" s="12"/>
      <c r="AF380" s="12">
        <f>COUNTIF($A$20:A380,A380)</f>
        <v>8</v>
      </c>
      <c r="AG380" s="38">
        <v>23982123</v>
      </c>
      <c r="AH380" s="38">
        <f>Tabla44[[#This Row],[VALOR CONTRAPARTIDA]]+Tabla44[[#This Row],[TOTAL APORTES ICBF]]</f>
        <v>23982123</v>
      </c>
      <c r="AI380" s="35" t="str">
        <f>+IF(Tabla44[[#This Row],[AGRUPACIONES]]=1,SUMIFS(Tabla44[TOTAL APORTES ICBF],Tabla44[ZONA DEFINITIVO],Tabla44[[#This Row],[ZONA DEFINITIVO]])," ")</f>
        <v xml:space="preserve"> </v>
      </c>
      <c r="AJ380" s="38"/>
      <c r="AK380" s="38"/>
      <c r="AL380" s="35"/>
      <c r="AM380" s="35">
        <f>VLOOKUP(Tabla44[[#This Row],[SERVICIO 2025]],$J$2:$V$15,5,0)*Tabla44[[#This Row],[TOTAL COBERTURA]]</f>
        <v>543136</v>
      </c>
      <c r="AN380" s="35">
        <f>VLOOKUP(Tabla44[[#This Row],[SERVICIO 2025]],$J$2:$V$15,6,0)*Tabla44[[#This Row],[TOTAL COBERTURA]]</f>
        <v>451319</v>
      </c>
      <c r="AO380" s="35">
        <f>VLOOKUP(Tabla44[[#This Row],[SERVICIO 2025]],$J$2:$V$15,8,0)*Tabla44[[#This Row],[TOTAL COBERTURA]]</f>
        <v>320100</v>
      </c>
      <c r="AP380" s="35">
        <f>VLOOKUP(Tabla44[[#This Row],[SERVICIO 2025]],$J$2:$V$15,3,0)*Tabla44[[#This Row],[TOTAL COBERTURA]]*8</f>
        <v>22667568</v>
      </c>
      <c r="AQ380" s="35"/>
      <c r="AR380" s="35">
        <f>SUM(Tabla44[[#This Row],[VALOR FASE PREPARATORIA DE ALISTAMIENTO]:[VALOR RACION PREPARADA]])</f>
        <v>23982123</v>
      </c>
      <c r="AS380" s="35" t="str">
        <f>+IF(Tabla44[[#This Row],[AGRUPACIONES]]=1,SUMIFS(Tabla44[VALOR TOTAL],Tabla44[ZONA DEFINITIVO],Tabla44[[#This Row],[ZONA DEFINITIVO]])," ")</f>
        <v xml:space="preserve"> </v>
      </c>
      <c r="AT380" s="35">
        <f>VLOOKUP(Tabla44[[#This Row],[SERVICIO 2025]],$J$2:$V$15,10,0)*Tabla44[[#This Row],[TOTAL COBERTURA]]*$X$7</f>
        <v>15873704</v>
      </c>
      <c r="AU380" s="39">
        <f>Tabla44[[#This Row],[TOTAL CONTRATO (ICBF+EAS)]]+Tabla44[[#This Row],[VALOR COMPONENTE ALIMENTACION NO ASIGNADO]]</f>
        <v>39855827</v>
      </c>
      <c r="AV38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380" s="35">
        <f>(VLOOKUP(Tabla44[[#This Row],[SERVICIO 2025]],$J$2:$V$15,3,0)*Tabla44[[#This Row],[TOTAL COBERTURA]])+VLOOKUP(Tabla44[[#This Row],[SERVICIO 2025]],$J$2:$V$15,10,0)*Tabla44[[#This Row],[TOTAL COBERTURA]]</f>
        <v>4817659</v>
      </c>
      <c r="AX380" s="35">
        <f>(VLOOKUP(Tabla44[[#This Row],[SERVICIO 2025]],$J$2:$V$15,3,0)*Tabla44[[#This Row],[TOTAL COBERTURA]])+VLOOKUP(Tabla44[[#This Row],[SERVICIO 2025]],$J$2:$V$15,10,0)*Tabla44[[#This Row],[TOTAL COBERTURA]]</f>
        <v>4817659</v>
      </c>
      <c r="AY380" s="35">
        <f>(VLOOKUP(Tabla44[[#This Row],[SERVICIO 2025]],$J$2:$V$15,3,0)*Tabla44[[#This Row],[TOTAL COBERTURA]])+VLOOKUP(Tabla44[[#This Row],[SERVICIO 2025]],$J$2:$V$15,10,0)*Tabla44[[#This Row],[TOTAL COBERTURA]]</f>
        <v>4817659</v>
      </c>
      <c r="AZ380" s="35">
        <f>(VLOOKUP(Tabla44[[#This Row],[SERVICIO 2025]],$J$2:$V$15,3,0)*Tabla44[[#This Row],[TOTAL COBERTURA]])+VLOOKUP(Tabla44[[#This Row],[SERVICIO 2025]],$J$2:$V$15,10,0)*Tabla44[[#This Row],[TOTAL COBERTURA]]</f>
        <v>4817659</v>
      </c>
      <c r="BA380" s="35">
        <f>(VLOOKUP(Tabla44[[#This Row],[SERVICIO 2025]],$J$2:$V$15,3,0)*Tabla44[[#This Row],[TOTAL COBERTURA]])+VLOOKUP(Tabla44[[#This Row],[SERVICIO 2025]],$J$2:$V$15,10,0)*Tabla44[[#This Row],[TOTAL COBERTURA]]</f>
        <v>4817659</v>
      </c>
      <c r="BB380" s="35">
        <f>(VLOOKUP(Tabla44[[#This Row],[SERVICIO 2025]],$J$2:$V$15,3,0)*Tabla44[[#This Row],[TOTAL COBERTURA]])+VLOOKUP(Tabla44[[#This Row],[SERVICIO 2025]],$J$2:$V$15,10,0)*Tabla44[[#This Row],[TOTAL COBERTURA]]</f>
        <v>4817659</v>
      </c>
      <c r="BC38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380" s="35">
        <f>SUM(Tabla44[[#This Row],[DESEMBOLSO 1]:[DESEMBOLSO 8]])</f>
        <v>39855827</v>
      </c>
      <c r="BE380" s="12" t="b">
        <f>EXACT(Tabla44[[#This Row],[VALOR ATENCIÓN (8 MESES)]],Tabla44[[#This Row],[VALOR TOTAL]])</f>
        <v>1</v>
      </c>
      <c r="BF380" s="23">
        <f>Tabla44[[#This Row],[VALOR ATENCIÓN (8 MESES)]]-Tabla44[[#This Row],[VALOR TOTAL]]</f>
        <v>0</v>
      </c>
      <c r="BG380" s="12" t="b">
        <f>EXACT(Tabla44[[#This Row],[TOTAL DESEMBOLSOS]],Tabla44[[#This Row],[VALOR TOTAL DEL CONTRATO INCLUIDO EL COMPONENTE DE ALIMENTACIÓN]])</f>
        <v>1</v>
      </c>
      <c r="BH380" s="29">
        <f>Tabla44[[#This Row],[TOTAL DESEMBOLSOS]]-Tabla44[[#This Row],[VALOR TOTAL DEL CONTRATO INCLUIDO EL COMPONENTE DE ALIMENTACIÓN]]</f>
        <v>0</v>
      </c>
      <c r="BI380" t="s">
        <v>98</v>
      </c>
    </row>
    <row r="381" spans="1:61">
      <c r="A381" s="13">
        <v>2017</v>
      </c>
      <c r="B381" s="13"/>
      <c r="C381" s="12" t="s">
        <v>87</v>
      </c>
      <c r="D381" s="12" t="s">
        <v>1628</v>
      </c>
      <c r="E381" s="12" t="s">
        <v>3531</v>
      </c>
      <c r="F381" s="12" t="s">
        <v>18</v>
      </c>
      <c r="G381" s="12" t="s">
        <v>90</v>
      </c>
      <c r="H381" s="12" t="s">
        <v>3548</v>
      </c>
      <c r="I381" s="36">
        <v>51071152800</v>
      </c>
      <c r="J381" s="12" t="s">
        <v>3549</v>
      </c>
      <c r="K381" s="12">
        <v>1</v>
      </c>
      <c r="L381" s="12">
        <v>26</v>
      </c>
      <c r="M381" s="12"/>
      <c r="N381" s="13">
        <v>2017</v>
      </c>
      <c r="O381" s="12" t="s">
        <v>2850</v>
      </c>
      <c r="P381" s="12"/>
      <c r="Q381" s="12"/>
      <c r="R381" s="12" t="s">
        <v>94</v>
      </c>
      <c r="S381" s="12">
        <v>10</v>
      </c>
      <c r="T381" s="12">
        <v>818001449</v>
      </c>
      <c r="U381" s="12" t="s">
        <v>3247</v>
      </c>
      <c r="V381" s="12">
        <f>VLOOKUP(Tabla44[[#This Row],[ZONA DEFINITIVO]],[1]Hoja1!$A$1:$D$125,3,0)</f>
        <v>229944</v>
      </c>
      <c r="W381" s="12">
        <f>VLOOKUP(Tabla44[[#This Row],[ZONA DEFINITIVO]],[1]Hoja1!$A$1:$D$125,2,0)</f>
        <v>17258</v>
      </c>
      <c r="X381" s="12">
        <f>VLOOKUP(Tabla44[[#This Row],[ZONA DEFINITIVO]],[1]Hoja1!$A$1:$D$125,4,0)</f>
        <v>104725</v>
      </c>
      <c r="Y381" s="12" t="str">
        <f>+IF(Tabla44[[#This Row],[AGRUPACIONES]]=1,SUMIFS(Tabla44[UDS],Tabla44[ZONA DEFINITIVO],Tabla44[[#This Row],[ZONA DEFINITIVO]])," ")</f>
        <v xml:space="preserve"> </v>
      </c>
      <c r="Z381" s="12" t="str">
        <f>+IF(Tabla44[[#This Row],[AGRUPACIONES]]=1,SUMIFS(Tabla44[TOTAL COBERTURA],Tabla44[ZONA DEFINITIVO],Tabla44[[#This Row],[ZONA DEFINITIVO]])," ")</f>
        <v xml:space="preserve"> </v>
      </c>
      <c r="AA381" s="12"/>
      <c r="AB381" s="35">
        <v>56685018</v>
      </c>
      <c r="AC381" s="37">
        <v>0</v>
      </c>
      <c r="AD381" s="35">
        <f t="shared" si="6"/>
        <v>0</v>
      </c>
      <c r="AE381" s="12"/>
      <c r="AF381" s="12">
        <f>COUNTIF($A$20:A381,A381)</f>
        <v>9</v>
      </c>
      <c r="AG381" s="38">
        <v>56685018</v>
      </c>
      <c r="AH381" s="38">
        <f>Tabla44[[#This Row],[VALOR CONTRAPARTIDA]]+Tabla44[[#This Row],[TOTAL APORTES ICBF]]</f>
        <v>56685018</v>
      </c>
      <c r="AI381" s="35" t="str">
        <f>+IF(Tabla44[[#This Row],[AGRUPACIONES]]=1,SUMIFS(Tabla44[TOTAL APORTES ICBF],Tabla44[ZONA DEFINITIVO],Tabla44[[#This Row],[ZONA DEFINITIVO]])," ")</f>
        <v xml:space="preserve"> </v>
      </c>
      <c r="AJ381" s="38"/>
      <c r="AK381" s="38"/>
      <c r="AL381" s="35"/>
      <c r="AM381" s="35">
        <f>VLOOKUP(Tabla44[[#This Row],[SERVICIO 2025]],$J$2:$V$15,5,0)*Tabla44[[#This Row],[TOTAL COBERTURA]]</f>
        <v>1283776</v>
      </c>
      <c r="AN381" s="35">
        <f>VLOOKUP(Tabla44[[#This Row],[SERVICIO 2025]],$J$2:$V$15,6,0)*Tabla44[[#This Row],[TOTAL COBERTURA]]</f>
        <v>1066754</v>
      </c>
      <c r="AO381" s="35">
        <f>VLOOKUP(Tabla44[[#This Row],[SERVICIO 2025]],$J$2:$V$15,8,0)*Tabla44[[#This Row],[TOTAL COBERTURA]]</f>
        <v>756600</v>
      </c>
      <c r="AP381" s="35">
        <f>VLOOKUP(Tabla44[[#This Row],[SERVICIO 2025]],$J$2:$V$15,3,0)*Tabla44[[#This Row],[TOTAL COBERTURA]]*8</f>
        <v>53577888</v>
      </c>
      <c r="AQ381" s="35"/>
      <c r="AR381" s="35">
        <f>SUM(Tabla44[[#This Row],[VALOR FASE PREPARATORIA DE ALISTAMIENTO]:[VALOR RACION PREPARADA]])</f>
        <v>56685018</v>
      </c>
      <c r="AS381" s="35" t="str">
        <f>+IF(Tabla44[[#This Row],[AGRUPACIONES]]=1,SUMIFS(Tabla44[VALOR TOTAL],Tabla44[ZONA DEFINITIVO],Tabla44[[#This Row],[ZONA DEFINITIVO]])," ")</f>
        <v xml:space="preserve"> </v>
      </c>
      <c r="AT381" s="35">
        <f>VLOOKUP(Tabla44[[#This Row],[SERVICIO 2025]],$J$2:$V$15,10,0)*Tabla44[[#This Row],[TOTAL COBERTURA]]*$X$7</f>
        <v>37519664</v>
      </c>
      <c r="AU381" s="39">
        <f>Tabla44[[#This Row],[TOTAL CONTRATO (ICBF+EAS)]]+Tabla44[[#This Row],[VALOR COMPONENTE ALIMENTACION NO ASIGNADO]]</f>
        <v>94204682</v>
      </c>
      <c r="AV38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13427570</v>
      </c>
      <c r="AW381" s="35">
        <f>(VLOOKUP(Tabla44[[#This Row],[SERVICIO 2025]],$J$2:$V$15,3,0)*Tabla44[[#This Row],[TOTAL COBERTURA]])+VLOOKUP(Tabla44[[#This Row],[SERVICIO 2025]],$J$2:$V$15,10,0)*Tabla44[[#This Row],[TOTAL COBERTURA]]</f>
        <v>11387194</v>
      </c>
      <c r="AX381" s="35">
        <f>(VLOOKUP(Tabla44[[#This Row],[SERVICIO 2025]],$J$2:$V$15,3,0)*Tabla44[[#This Row],[TOTAL COBERTURA]])+VLOOKUP(Tabla44[[#This Row],[SERVICIO 2025]],$J$2:$V$15,10,0)*Tabla44[[#This Row],[TOTAL COBERTURA]]</f>
        <v>11387194</v>
      </c>
      <c r="AY381" s="35">
        <f>(VLOOKUP(Tabla44[[#This Row],[SERVICIO 2025]],$J$2:$V$15,3,0)*Tabla44[[#This Row],[TOTAL COBERTURA]])+VLOOKUP(Tabla44[[#This Row],[SERVICIO 2025]],$J$2:$V$15,10,0)*Tabla44[[#This Row],[TOTAL COBERTURA]]</f>
        <v>11387194</v>
      </c>
      <c r="AZ381" s="35">
        <f>(VLOOKUP(Tabla44[[#This Row],[SERVICIO 2025]],$J$2:$V$15,3,0)*Tabla44[[#This Row],[TOTAL COBERTURA]])+VLOOKUP(Tabla44[[#This Row],[SERVICIO 2025]],$J$2:$V$15,10,0)*Tabla44[[#This Row],[TOTAL COBERTURA]]</f>
        <v>11387194</v>
      </c>
      <c r="BA381" s="35">
        <f>(VLOOKUP(Tabla44[[#This Row],[SERVICIO 2025]],$J$2:$V$15,3,0)*Tabla44[[#This Row],[TOTAL COBERTURA]])+VLOOKUP(Tabla44[[#This Row],[SERVICIO 2025]],$J$2:$V$15,10,0)*Tabla44[[#This Row],[TOTAL COBERTURA]]</f>
        <v>11387194</v>
      </c>
      <c r="BB381" s="35">
        <f>(VLOOKUP(Tabla44[[#This Row],[SERVICIO 2025]],$J$2:$V$15,3,0)*Tabla44[[#This Row],[TOTAL COBERTURA]])+VLOOKUP(Tabla44[[#This Row],[SERVICIO 2025]],$J$2:$V$15,10,0)*Tabla44[[#This Row],[TOTAL COBERTURA]]</f>
        <v>11387194</v>
      </c>
      <c r="BC38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12453948</v>
      </c>
      <c r="BD381" s="35">
        <f>SUM(Tabla44[[#This Row],[DESEMBOLSO 1]:[DESEMBOLSO 8]])</f>
        <v>94204682</v>
      </c>
      <c r="BE381" s="12" t="b">
        <f>EXACT(Tabla44[[#This Row],[VALOR ATENCIÓN (8 MESES)]],Tabla44[[#This Row],[VALOR TOTAL]])</f>
        <v>1</v>
      </c>
      <c r="BF381" s="23">
        <f>Tabla44[[#This Row],[VALOR ATENCIÓN (8 MESES)]]-Tabla44[[#This Row],[VALOR TOTAL]]</f>
        <v>0</v>
      </c>
      <c r="BG381" s="12" t="b">
        <f>EXACT(Tabla44[[#This Row],[TOTAL DESEMBOLSOS]],Tabla44[[#This Row],[VALOR TOTAL DEL CONTRATO INCLUIDO EL COMPONENTE DE ALIMENTACIÓN]])</f>
        <v>1</v>
      </c>
      <c r="BH381" s="29">
        <f>Tabla44[[#This Row],[TOTAL DESEMBOLSOS]]-Tabla44[[#This Row],[VALOR TOTAL DEL CONTRATO INCLUIDO EL COMPONENTE DE ALIMENTACIÓN]]</f>
        <v>0</v>
      </c>
      <c r="BI381" t="s">
        <v>98</v>
      </c>
    </row>
    <row r="382" spans="1:61">
      <c r="A382" s="13">
        <v>2017</v>
      </c>
      <c r="B382" s="13"/>
      <c r="C382" s="12" t="s">
        <v>87</v>
      </c>
      <c r="D382" s="12" t="s">
        <v>1628</v>
      </c>
      <c r="E382" s="12" t="s">
        <v>3531</v>
      </c>
      <c r="F382" s="12" t="s">
        <v>13</v>
      </c>
      <c r="G382" s="12" t="s">
        <v>90</v>
      </c>
      <c r="H382" s="12" t="s">
        <v>3550</v>
      </c>
      <c r="I382" s="36">
        <v>510700023482</v>
      </c>
      <c r="J382" s="12" t="s">
        <v>262</v>
      </c>
      <c r="K382" s="12">
        <v>1</v>
      </c>
      <c r="L382" s="12">
        <v>72</v>
      </c>
      <c r="M382" s="12"/>
      <c r="N382" s="13">
        <v>2017</v>
      </c>
      <c r="O382" s="12" t="s">
        <v>2850</v>
      </c>
      <c r="P382" s="12"/>
      <c r="Q382" s="12"/>
      <c r="R382" s="12" t="s">
        <v>94</v>
      </c>
      <c r="S382" s="12">
        <v>10</v>
      </c>
      <c r="T382" s="12">
        <v>818001449</v>
      </c>
      <c r="U382" s="12" t="s">
        <v>3247</v>
      </c>
      <c r="V382" s="12">
        <f>VLOOKUP(Tabla44[[#This Row],[ZONA DEFINITIVO]],[1]Hoja1!$A$1:$D$125,3,0)</f>
        <v>229944</v>
      </c>
      <c r="W382" s="12">
        <f>VLOOKUP(Tabla44[[#This Row],[ZONA DEFINITIVO]],[1]Hoja1!$A$1:$D$125,2,0)</f>
        <v>17258</v>
      </c>
      <c r="X382" s="12">
        <f>VLOOKUP(Tabla44[[#This Row],[ZONA DEFINITIVO]],[1]Hoja1!$A$1:$D$125,4,0)</f>
        <v>104725</v>
      </c>
      <c r="Y382" s="12" t="str">
        <f>+IF(Tabla44[[#This Row],[AGRUPACIONES]]=1,SUMIFS(Tabla44[UDS],Tabla44[ZONA DEFINITIVO],Tabla44[[#This Row],[ZONA DEFINITIVO]])," ")</f>
        <v xml:space="preserve"> </v>
      </c>
      <c r="Z382" s="12" t="str">
        <f>+IF(Tabla44[[#This Row],[AGRUPACIONES]]=1,SUMIFS(Tabla44[TOTAL COBERTURA],Tabla44[ZONA DEFINITIVO],Tabla44[[#This Row],[ZONA DEFINITIVO]])," ")</f>
        <v xml:space="preserve"> </v>
      </c>
      <c r="AA382" s="12"/>
      <c r="AB382" s="35">
        <v>212882832</v>
      </c>
      <c r="AC382" s="37">
        <v>0</v>
      </c>
      <c r="AD382" s="35">
        <f t="shared" si="6"/>
        <v>0</v>
      </c>
      <c r="AE382" s="12"/>
      <c r="AF382" s="12">
        <f>COUNTIF($A$20:A382,A382)</f>
        <v>10</v>
      </c>
      <c r="AG382" s="38">
        <v>212882832</v>
      </c>
      <c r="AH382" s="38">
        <f>Tabla44[[#This Row],[VALOR CONTRAPARTIDA]]+Tabla44[[#This Row],[TOTAL APORTES ICBF]]</f>
        <v>212882832</v>
      </c>
      <c r="AI382" s="35" t="str">
        <f>+IF(Tabla44[[#This Row],[AGRUPACIONES]]=1,SUMIFS(Tabla44[TOTAL APORTES ICBF],Tabla44[ZONA DEFINITIVO],Tabla44[[#This Row],[ZONA DEFINITIVO]])," ")</f>
        <v xml:space="preserve"> </v>
      </c>
      <c r="AJ382" s="38"/>
      <c r="AK382" s="38"/>
      <c r="AL382" s="35"/>
      <c r="AM382" s="35">
        <f>VLOOKUP(Tabla44[[#This Row],[SERVICIO 2025]],$J$2:$V$15,5,0)*Tabla44[[#This Row],[TOTAL COBERTURA]]</f>
        <v>6346296</v>
      </c>
      <c r="AN382" s="35">
        <f>VLOOKUP(Tabla44[[#This Row],[SERVICIO 2025]],$J$2:$V$15,6,0)*Tabla44[[#This Row],[TOTAL COBERTURA]]</f>
        <v>5403096</v>
      </c>
      <c r="AO382" s="35">
        <f>VLOOKUP(Tabla44[[#This Row],[SERVICIO 2025]],$J$2:$V$15,8,0)*Tabla44[[#This Row],[TOTAL COBERTURA]]</f>
        <v>0</v>
      </c>
      <c r="AP382" s="35">
        <f>VLOOKUP(Tabla44[[#This Row],[SERVICIO 2025]],$J$2:$V$15,3,0)*Tabla44[[#This Row],[TOTAL COBERTURA]]*8</f>
        <v>201133440</v>
      </c>
      <c r="AQ382" s="35"/>
      <c r="AR382" s="35">
        <f>SUM(Tabla44[[#This Row],[VALOR FASE PREPARATORIA DE ALISTAMIENTO]:[VALOR RACION PREPARADA]])</f>
        <v>212882832</v>
      </c>
      <c r="AS382" s="35" t="str">
        <f>+IF(Tabla44[[#This Row],[AGRUPACIONES]]=1,SUMIFS(Tabla44[VALOR TOTAL],Tabla44[ZONA DEFINITIVO],Tabla44[[#This Row],[ZONA DEFINITIVO]])," ")</f>
        <v xml:space="preserve"> </v>
      </c>
      <c r="AT382" s="35">
        <f>VLOOKUP(Tabla44[[#This Row],[SERVICIO 2025]],$J$2:$V$15,10,0)*Tabla44[[#This Row],[TOTAL COBERTURA]]*$X$7</f>
        <v>88714368</v>
      </c>
      <c r="AU382" s="39">
        <f>Tabla44[[#This Row],[TOTAL CONTRATO (ICBF+EAS)]]+Tabla44[[#This Row],[VALOR COMPONENTE ALIMENTACION NO ASIGNADO]]</f>
        <v>301597200</v>
      </c>
      <c r="AV38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42577272</v>
      </c>
      <c r="AW382" s="35">
        <f>(VLOOKUP(Tabla44[[#This Row],[SERVICIO 2025]],$J$2:$V$15,3,0)*Tabla44[[#This Row],[TOTAL COBERTURA]])+VLOOKUP(Tabla44[[#This Row],[SERVICIO 2025]],$J$2:$V$15,10,0)*Tabla44[[#This Row],[TOTAL COBERTURA]]</f>
        <v>36230976</v>
      </c>
      <c r="AX382" s="35">
        <f>(VLOOKUP(Tabla44[[#This Row],[SERVICIO 2025]],$J$2:$V$15,3,0)*Tabla44[[#This Row],[TOTAL COBERTURA]])+VLOOKUP(Tabla44[[#This Row],[SERVICIO 2025]],$J$2:$V$15,10,0)*Tabla44[[#This Row],[TOTAL COBERTURA]]</f>
        <v>36230976</v>
      </c>
      <c r="AY382" s="35">
        <f>(VLOOKUP(Tabla44[[#This Row],[SERVICIO 2025]],$J$2:$V$15,3,0)*Tabla44[[#This Row],[TOTAL COBERTURA]])+VLOOKUP(Tabla44[[#This Row],[SERVICIO 2025]],$J$2:$V$15,10,0)*Tabla44[[#This Row],[TOTAL COBERTURA]]</f>
        <v>36230976</v>
      </c>
      <c r="AZ382" s="35">
        <f>(VLOOKUP(Tabla44[[#This Row],[SERVICIO 2025]],$J$2:$V$15,3,0)*Tabla44[[#This Row],[TOTAL COBERTURA]])+VLOOKUP(Tabla44[[#This Row],[SERVICIO 2025]],$J$2:$V$15,10,0)*Tabla44[[#This Row],[TOTAL COBERTURA]]</f>
        <v>36230976</v>
      </c>
      <c r="BA382" s="35">
        <f>(VLOOKUP(Tabla44[[#This Row],[SERVICIO 2025]],$J$2:$V$15,3,0)*Tabla44[[#This Row],[TOTAL COBERTURA]])+VLOOKUP(Tabla44[[#This Row],[SERVICIO 2025]],$J$2:$V$15,10,0)*Tabla44[[#This Row],[TOTAL COBERTURA]]</f>
        <v>36230976</v>
      </c>
      <c r="BB382" s="35">
        <f>(VLOOKUP(Tabla44[[#This Row],[SERVICIO 2025]],$J$2:$V$15,3,0)*Tabla44[[#This Row],[TOTAL COBERTURA]])+VLOOKUP(Tabla44[[#This Row],[SERVICIO 2025]],$J$2:$V$15,10,0)*Tabla44[[#This Row],[TOTAL COBERTURA]]</f>
        <v>36230976</v>
      </c>
      <c r="BC38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41634072</v>
      </c>
      <c r="BD382" s="35">
        <f>SUM(Tabla44[[#This Row],[DESEMBOLSO 1]:[DESEMBOLSO 8]])</f>
        <v>301597200</v>
      </c>
      <c r="BE382" s="12" t="b">
        <f>EXACT(Tabla44[[#This Row],[VALOR ATENCIÓN (8 MESES)]],Tabla44[[#This Row],[VALOR TOTAL]])</f>
        <v>1</v>
      </c>
      <c r="BF382" s="23">
        <f>Tabla44[[#This Row],[VALOR ATENCIÓN (8 MESES)]]-Tabla44[[#This Row],[VALOR TOTAL]]</f>
        <v>0</v>
      </c>
      <c r="BG382" s="12" t="b">
        <f>EXACT(Tabla44[[#This Row],[TOTAL DESEMBOLSOS]],Tabla44[[#This Row],[VALOR TOTAL DEL CONTRATO INCLUIDO EL COMPONENTE DE ALIMENTACIÓN]])</f>
        <v>1</v>
      </c>
      <c r="BH382" s="29">
        <f>Tabla44[[#This Row],[TOTAL DESEMBOLSOS]]-Tabla44[[#This Row],[VALOR TOTAL DEL CONTRATO INCLUIDO EL COMPONENTE DE ALIMENTACIÓN]]</f>
        <v>0</v>
      </c>
      <c r="BI382" t="s">
        <v>98</v>
      </c>
    </row>
    <row r="383" spans="1:61">
      <c r="A383" s="13">
        <v>2017</v>
      </c>
      <c r="B383" s="21"/>
      <c r="C383" s="22" t="s">
        <v>87</v>
      </c>
      <c r="D383" s="22" t="s">
        <v>1628</v>
      </c>
      <c r="E383" s="22" t="s">
        <v>3551</v>
      </c>
      <c r="F383" s="22" t="s">
        <v>18</v>
      </c>
      <c r="G383" s="12" t="s">
        <v>90</v>
      </c>
      <c r="H383" s="22" t="s">
        <v>3552</v>
      </c>
      <c r="I383" s="36">
        <v>58541119031</v>
      </c>
      <c r="J383" s="22" t="s">
        <v>3553</v>
      </c>
      <c r="K383" s="12">
        <v>1</v>
      </c>
      <c r="L383" s="22">
        <v>18</v>
      </c>
      <c r="M383" s="22"/>
      <c r="N383" s="13">
        <v>2017</v>
      </c>
      <c r="O383" s="22" t="s">
        <v>2850</v>
      </c>
      <c r="P383" s="22"/>
      <c r="Q383" s="22"/>
      <c r="R383" s="12" t="s">
        <v>94</v>
      </c>
      <c r="S383" s="12">
        <v>10</v>
      </c>
      <c r="T383" s="12">
        <v>818001449</v>
      </c>
      <c r="U383" s="12" t="s">
        <v>3247</v>
      </c>
      <c r="V383" s="22">
        <f>VLOOKUP(Tabla44[[#This Row],[ZONA DEFINITIVO]],[1]Hoja1!$A$1:$D$125,3,0)</f>
        <v>229944</v>
      </c>
      <c r="W383" s="22">
        <f>VLOOKUP(Tabla44[[#This Row],[ZONA DEFINITIVO]],[1]Hoja1!$A$1:$D$125,2,0)</f>
        <v>17258</v>
      </c>
      <c r="X383" s="22">
        <f>VLOOKUP(Tabla44[[#This Row],[ZONA DEFINITIVO]],[1]Hoja1!$A$1:$D$125,4,0)</f>
        <v>104725</v>
      </c>
      <c r="Y383" s="22" t="str">
        <f>+IF(Tabla44[[#This Row],[AGRUPACIONES]]=1,SUMIFS(Tabla44[UDS],Tabla44[ZONA DEFINITIVO],Tabla44[[#This Row],[ZONA DEFINITIVO]])," ")</f>
        <v xml:space="preserve"> </v>
      </c>
      <c r="Z383" s="22" t="str">
        <f>+IF(Tabla44[[#This Row],[AGRUPACIONES]]=1,SUMIFS(Tabla44[TOTAL COBERTURA],Tabla44[ZONA DEFINITIVO],Tabla44[[#This Row],[ZONA DEFINITIVO]])," ")</f>
        <v xml:space="preserve"> </v>
      </c>
      <c r="AA383" s="22"/>
      <c r="AB383" s="40">
        <v>39243474</v>
      </c>
      <c r="AC383" s="37">
        <v>0</v>
      </c>
      <c r="AD383" s="40">
        <f t="shared" si="6"/>
        <v>0</v>
      </c>
      <c r="AE383" s="22"/>
      <c r="AF383" s="12">
        <f>COUNTIF($A$20:A383,A383)</f>
        <v>11</v>
      </c>
      <c r="AG383" s="41">
        <v>39243474</v>
      </c>
      <c r="AH383" s="41">
        <f>Tabla44[[#This Row],[VALOR CONTRAPARTIDA]]+Tabla44[[#This Row],[TOTAL APORTES ICBF]]</f>
        <v>39243474</v>
      </c>
      <c r="AI383" s="40" t="str">
        <f>+IF(Tabla44[[#This Row],[AGRUPACIONES]]=1,SUMIFS(Tabla44[TOTAL APORTES ICBF],Tabla44[ZONA DEFINITIVO],Tabla44[[#This Row],[ZONA DEFINITIVO]])," ")</f>
        <v xml:space="preserve"> </v>
      </c>
      <c r="AJ383" s="41"/>
      <c r="AK383" s="41"/>
      <c r="AL383" s="40"/>
      <c r="AM383" s="40">
        <f>VLOOKUP(Tabla44[[#This Row],[SERVICIO 2025]],$J$2:$V$15,5,0)*Tabla44[[#This Row],[TOTAL COBERTURA]]</f>
        <v>888768</v>
      </c>
      <c r="AN383" s="40">
        <f>VLOOKUP(Tabla44[[#This Row],[SERVICIO 2025]],$J$2:$V$15,6,0)*Tabla44[[#This Row],[TOTAL COBERTURA]]</f>
        <v>738522</v>
      </c>
      <c r="AO383" s="40">
        <f>VLOOKUP(Tabla44[[#This Row],[SERVICIO 2025]],$J$2:$V$15,8,0)*Tabla44[[#This Row],[TOTAL COBERTURA]]</f>
        <v>523800</v>
      </c>
      <c r="AP383" s="40">
        <f>VLOOKUP(Tabla44[[#This Row],[SERVICIO 2025]],$J$2:$V$15,3,0)*Tabla44[[#This Row],[TOTAL COBERTURA]]*8</f>
        <v>37092384</v>
      </c>
      <c r="AQ383" s="40"/>
      <c r="AR383" s="40">
        <f>SUM(Tabla44[[#This Row],[VALOR FASE PREPARATORIA DE ALISTAMIENTO]:[VALOR RACION PREPARADA]])</f>
        <v>39243474</v>
      </c>
      <c r="AS383" s="40" t="str">
        <f>+IF(Tabla44[[#This Row],[AGRUPACIONES]]=1,SUMIFS(Tabla44[VALOR TOTAL],Tabla44[ZONA DEFINITIVO],Tabla44[[#This Row],[ZONA DEFINITIVO]])," ")</f>
        <v xml:space="preserve"> </v>
      </c>
      <c r="AT383" s="35">
        <f>VLOOKUP(Tabla44[[#This Row],[SERVICIO 2025]],$J$2:$V$15,10,0)*Tabla44[[#This Row],[TOTAL COBERTURA]]*$X$7</f>
        <v>25975152</v>
      </c>
      <c r="AU383" s="42">
        <f>Tabla44[[#This Row],[TOTAL CONTRATO (ICBF+EAS)]]+Tabla44[[#This Row],[VALOR COMPONENTE ALIMENTACION NO ASIGNADO]]</f>
        <v>65218626</v>
      </c>
      <c r="AV38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383" s="35">
        <f>(VLOOKUP(Tabla44[[#This Row],[SERVICIO 2025]],$J$2:$V$15,3,0)*Tabla44[[#This Row],[TOTAL COBERTURA]])+VLOOKUP(Tabla44[[#This Row],[SERVICIO 2025]],$J$2:$V$15,10,0)*Tabla44[[#This Row],[TOTAL COBERTURA]]</f>
        <v>7883442</v>
      </c>
      <c r="AX383" s="40">
        <f>(VLOOKUP(Tabla44[[#This Row],[SERVICIO 2025]],$J$2:$V$15,3,0)*Tabla44[[#This Row],[TOTAL COBERTURA]])+VLOOKUP(Tabla44[[#This Row],[SERVICIO 2025]],$J$2:$V$15,10,0)*Tabla44[[#This Row],[TOTAL COBERTURA]]</f>
        <v>7883442</v>
      </c>
      <c r="AY383" s="40">
        <f>(VLOOKUP(Tabla44[[#This Row],[SERVICIO 2025]],$J$2:$V$15,3,0)*Tabla44[[#This Row],[TOTAL COBERTURA]])+VLOOKUP(Tabla44[[#This Row],[SERVICIO 2025]],$J$2:$V$15,10,0)*Tabla44[[#This Row],[TOTAL COBERTURA]]</f>
        <v>7883442</v>
      </c>
      <c r="AZ383" s="40">
        <f>(VLOOKUP(Tabla44[[#This Row],[SERVICIO 2025]],$J$2:$V$15,3,0)*Tabla44[[#This Row],[TOTAL COBERTURA]])+VLOOKUP(Tabla44[[#This Row],[SERVICIO 2025]],$J$2:$V$15,10,0)*Tabla44[[#This Row],[TOTAL COBERTURA]]</f>
        <v>7883442</v>
      </c>
      <c r="BA383" s="40">
        <f>(VLOOKUP(Tabla44[[#This Row],[SERVICIO 2025]],$J$2:$V$15,3,0)*Tabla44[[#This Row],[TOTAL COBERTURA]])+VLOOKUP(Tabla44[[#This Row],[SERVICIO 2025]],$J$2:$V$15,10,0)*Tabla44[[#This Row],[TOTAL COBERTURA]]</f>
        <v>7883442</v>
      </c>
      <c r="BB383" s="40">
        <f>(VLOOKUP(Tabla44[[#This Row],[SERVICIO 2025]],$J$2:$V$15,3,0)*Tabla44[[#This Row],[TOTAL COBERTURA]])+VLOOKUP(Tabla44[[#This Row],[SERVICIO 2025]],$J$2:$V$15,10,0)*Tabla44[[#This Row],[TOTAL COBERTURA]]</f>
        <v>7883442</v>
      </c>
      <c r="BC383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383" s="40">
        <f>SUM(Tabla44[[#This Row],[DESEMBOLSO 1]:[DESEMBOLSO 8]])</f>
        <v>65218626</v>
      </c>
      <c r="BE383" s="22" t="b">
        <f>EXACT(Tabla44[[#This Row],[VALOR ATENCIÓN (8 MESES)]],Tabla44[[#This Row],[VALOR TOTAL]])</f>
        <v>1</v>
      </c>
      <c r="BF383" s="28">
        <f>Tabla44[[#This Row],[VALOR ATENCIÓN (8 MESES)]]-Tabla44[[#This Row],[VALOR TOTAL]]</f>
        <v>0</v>
      </c>
      <c r="BG383" s="22" t="b">
        <f>EXACT(Tabla44[[#This Row],[TOTAL DESEMBOLSOS]],Tabla44[[#This Row],[VALOR TOTAL DEL CONTRATO INCLUIDO EL COMPONENTE DE ALIMENTACIÓN]])</f>
        <v>1</v>
      </c>
      <c r="BH383" s="29">
        <f>Tabla44[[#This Row],[TOTAL DESEMBOLSOS]]-Tabla44[[#This Row],[VALOR TOTAL DEL CONTRATO INCLUIDO EL COMPONENTE DE ALIMENTACIÓN]]</f>
        <v>0</v>
      </c>
      <c r="BI383" t="s">
        <v>98</v>
      </c>
    </row>
    <row r="384" spans="1:61">
      <c r="A384" s="13">
        <v>2017</v>
      </c>
      <c r="B384" s="13"/>
      <c r="C384" s="12" t="s">
        <v>87</v>
      </c>
      <c r="D384" s="12" t="s">
        <v>1628</v>
      </c>
      <c r="E384" s="12" t="s">
        <v>3551</v>
      </c>
      <c r="F384" s="12" t="s">
        <v>18</v>
      </c>
      <c r="G384" s="12" t="s">
        <v>90</v>
      </c>
      <c r="H384" s="12" t="s">
        <v>3554</v>
      </c>
      <c r="I384" s="36">
        <v>58541119034</v>
      </c>
      <c r="J384" s="12" t="s">
        <v>3555</v>
      </c>
      <c r="K384" s="12">
        <v>1</v>
      </c>
      <c r="L384" s="12">
        <v>15</v>
      </c>
      <c r="M384" s="12"/>
      <c r="N384" s="13">
        <v>2017</v>
      </c>
      <c r="O384" s="12" t="s">
        <v>2850</v>
      </c>
      <c r="P384" s="12"/>
      <c r="Q384" s="12"/>
      <c r="R384" s="12" t="s">
        <v>94</v>
      </c>
      <c r="S384" s="12">
        <v>10</v>
      </c>
      <c r="T384" s="12">
        <v>818001449</v>
      </c>
      <c r="U384" s="12" t="s">
        <v>3247</v>
      </c>
      <c r="V384" s="12">
        <f>VLOOKUP(Tabla44[[#This Row],[ZONA DEFINITIVO]],[1]Hoja1!$A$1:$D$125,3,0)</f>
        <v>229944</v>
      </c>
      <c r="W384" s="12">
        <f>VLOOKUP(Tabla44[[#This Row],[ZONA DEFINITIVO]],[1]Hoja1!$A$1:$D$125,2,0)</f>
        <v>17258</v>
      </c>
      <c r="X384" s="12">
        <f>VLOOKUP(Tabla44[[#This Row],[ZONA DEFINITIVO]],[1]Hoja1!$A$1:$D$125,4,0)</f>
        <v>104725</v>
      </c>
      <c r="Y384" s="12" t="str">
        <f>+IF(Tabla44[[#This Row],[AGRUPACIONES]]=1,SUMIFS(Tabla44[UDS],Tabla44[ZONA DEFINITIVO],Tabla44[[#This Row],[ZONA DEFINITIVO]])," ")</f>
        <v xml:space="preserve"> </v>
      </c>
      <c r="Z384" s="12" t="str">
        <f>+IF(Tabla44[[#This Row],[AGRUPACIONES]]=1,SUMIFS(Tabla44[TOTAL COBERTURA],Tabla44[ZONA DEFINITIVO],Tabla44[[#This Row],[ZONA DEFINITIVO]])," ")</f>
        <v xml:space="preserve"> </v>
      </c>
      <c r="AA384" s="12"/>
      <c r="AB384" s="35">
        <v>32702895</v>
      </c>
      <c r="AC384" s="37">
        <v>0</v>
      </c>
      <c r="AD384" s="35">
        <f t="shared" si="6"/>
        <v>0</v>
      </c>
      <c r="AE384" s="12"/>
      <c r="AF384" s="12">
        <f>COUNTIF($A$20:A384,A384)</f>
        <v>12</v>
      </c>
      <c r="AG384" s="38">
        <v>32702895</v>
      </c>
      <c r="AH384" s="38">
        <f>Tabla44[[#This Row],[VALOR CONTRAPARTIDA]]+Tabla44[[#This Row],[TOTAL APORTES ICBF]]</f>
        <v>32702895</v>
      </c>
      <c r="AI384" s="35" t="str">
        <f>+IF(Tabla44[[#This Row],[AGRUPACIONES]]=1,SUMIFS(Tabla44[TOTAL APORTES ICBF],Tabla44[ZONA DEFINITIVO],Tabla44[[#This Row],[ZONA DEFINITIVO]])," ")</f>
        <v xml:space="preserve"> </v>
      </c>
      <c r="AJ384" s="38"/>
      <c r="AK384" s="38"/>
      <c r="AL384" s="35"/>
      <c r="AM384" s="35">
        <f>VLOOKUP(Tabla44[[#This Row],[SERVICIO 2025]],$J$2:$V$15,5,0)*Tabla44[[#This Row],[TOTAL COBERTURA]]</f>
        <v>740640</v>
      </c>
      <c r="AN384" s="35">
        <f>VLOOKUP(Tabla44[[#This Row],[SERVICIO 2025]],$J$2:$V$15,6,0)*Tabla44[[#This Row],[TOTAL COBERTURA]]</f>
        <v>615435</v>
      </c>
      <c r="AO384" s="35">
        <f>VLOOKUP(Tabla44[[#This Row],[SERVICIO 2025]],$J$2:$V$15,8,0)*Tabla44[[#This Row],[TOTAL COBERTURA]]</f>
        <v>436500</v>
      </c>
      <c r="AP384" s="35">
        <f>VLOOKUP(Tabla44[[#This Row],[SERVICIO 2025]],$J$2:$V$15,3,0)*Tabla44[[#This Row],[TOTAL COBERTURA]]*8</f>
        <v>30910320</v>
      </c>
      <c r="AQ384" s="35"/>
      <c r="AR384" s="35">
        <f>SUM(Tabla44[[#This Row],[VALOR FASE PREPARATORIA DE ALISTAMIENTO]:[VALOR RACION PREPARADA]])</f>
        <v>32702895</v>
      </c>
      <c r="AS384" s="35" t="str">
        <f>+IF(Tabla44[[#This Row],[AGRUPACIONES]]=1,SUMIFS(Tabla44[VALOR TOTAL],Tabla44[ZONA DEFINITIVO],Tabla44[[#This Row],[ZONA DEFINITIVO]])," ")</f>
        <v xml:space="preserve"> </v>
      </c>
      <c r="AT384" s="35">
        <f>VLOOKUP(Tabla44[[#This Row],[SERVICIO 2025]],$J$2:$V$15,10,0)*Tabla44[[#This Row],[TOTAL COBERTURA]]*$X$7</f>
        <v>21645960</v>
      </c>
      <c r="AU384" s="39">
        <f>Tabla44[[#This Row],[TOTAL CONTRATO (ICBF+EAS)]]+Tabla44[[#This Row],[VALOR COMPONENTE ALIMENTACION NO ASIGNADO]]</f>
        <v>54348855</v>
      </c>
      <c r="AV38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384" s="35">
        <f>(VLOOKUP(Tabla44[[#This Row],[SERVICIO 2025]],$J$2:$V$15,3,0)*Tabla44[[#This Row],[TOTAL COBERTURA]])+VLOOKUP(Tabla44[[#This Row],[SERVICIO 2025]],$J$2:$V$15,10,0)*Tabla44[[#This Row],[TOTAL COBERTURA]]</f>
        <v>6569535</v>
      </c>
      <c r="AX384" s="35">
        <f>(VLOOKUP(Tabla44[[#This Row],[SERVICIO 2025]],$J$2:$V$15,3,0)*Tabla44[[#This Row],[TOTAL COBERTURA]])+VLOOKUP(Tabla44[[#This Row],[SERVICIO 2025]],$J$2:$V$15,10,0)*Tabla44[[#This Row],[TOTAL COBERTURA]]</f>
        <v>6569535</v>
      </c>
      <c r="AY384" s="35">
        <f>(VLOOKUP(Tabla44[[#This Row],[SERVICIO 2025]],$J$2:$V$15,3,0)*Tabla44[[#This Row],[TOTAL COBERTURA]])+VLOOKUP(Tabla44[[#This Row],[SERVICIO 2025]],$J$2:$V$15,10,0)*Tabla44[[#This Row],[TOTAL COBERTURA]]</f>
        <v>6569535</v>
      </c>
      <c r="AZ384" s="35">
        <f>(VLOOKUP(Tabla44[[#This Row],[SERVICIO 2025]],$J$2:$V$15,3,0)*Tabla44[[#This Row],[TOTAL COBERTURA]])+VLOOKUP(Tabla44[[#This Row],[SERVICIO 2025]],$J$2:$V$15,10,0)*Tabla44[[#This Row],[TOTAL COBERTURA]]</f>
        <v>6569535</v>
      </c>
      <c r="BA384" s="35">
        <f>(VLOOKUP(Tabla44[[#This Row],[SERVICIO 2025]],$J$2:$V$15,3,0)*Tabla44[[#This Row],[TOTAL COBERTURA]])+VLOOKUP(Tabla44[[#This Row],[SERVICIO 2025]],$J$2:$V$15,10,0)*Tabla44[[#This Row],[TOTAL COBERTURA]]</f>
        <v>6569535</v>
      </c>
      <c r="BB384" s="35">
        <f>(VLOOKUP(Tabla44[[#This Row],[SERVICIO 2025]],$J$2:$V$15,3,0)*Tabla44[[#This Row],[TOTAL COBERTURA]])+VLOOKUP(Tabla44[[#This Row],[SERVICIO 2025]],$J$2:$V$15,10,0)*Tabla44[[#This Row],[TOTAL COBERTURA]]</f>
        <v>6569535</v>
      </c>
      <c r="BC38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384" s="35">
        <f>SUM(Tabla44[[#This Row],[DESEMBOLSO 1]:[DESEMBOLSO 8]])</f>
        <v>54348855</v>
      </c>
      <c r="BE384" s="12" t="b">
        <f>EXACT(Tabla44[[#This Row],[VALOR ATENCIÓN (8 MESES)]],Tabla44[[#This Row],[VALOR TOTAL]])</f>
        <v>1</v>
      </c>
      <c r="BF384" s="23">
        <f>Tabla44[[#This Row],[VALOR ATENCIÓN (8 MESES)]]-Tabla44[[#This Row],[VALOR TOTAL]]</f>
        <v>0</v>
      </c>
      <c r="BG384" s="12" t="b">
        <f>EXACT(Tabla44[[#This Row],[TOTAL DESEMBOLSOS]],Tabla44[[#This Row],[VALOR TOTAL DEL CONTRATO INCLUIDO EL COMPONENTE DE ALIMENTACIÓN]])</f>
        <v>1</v>
      </c>
      <c r="BH384" s="29">
        <f>Tabla44[[#This Row],[TOTAL DESEMBOLSOS]]-Tabla44[[#This Row],[VALOR TOTAL DEL CONTRATO INCLUIDO EL COMPONENTE DE ALIMENTACIÓN]]</f>
        <v>0</v>
      </c>
      <c r="BI384" t="s">
        <v>98</v>
      </c>
    </row>
    <row r="385" spans="1:61">
      <c r="A385" s="13">
        <v>2017</v>
      </c>
      <c r="B385" s="13"/>
      <c r="C385" s="12" t="s">
        <v>87</v>
      </c>
      <c r="D385" s="12" t="s">
        <v>1628</v>
      </c>
      <c r="E385" s="12" t="s">
        <v>3551</v>
      </c>
      <c r="F385" s="12" t="s">
        <v>18</v>
      </c>
      <c r="G385" s="12" t="s">
        <v>90</v>
      </c>
      <c r="H385" s="12" t="s">
        <v>3556</v>
      </c>
      <c r="I385" s="36">
        <v>58541135008</v>
      </c>
      <c r="J385" s="12" t="s">
        <v>3557</v>
      </c>
      <c r="K385" s="12">
        <v>1</v>
      </c>
      <c r="L385" s="12">
        <v>12</v>
      </c>
      <c r="M385" s="12"/>
      <c r="N385" s="13">
        <v>2017</v>
      </c>
      <c r="O385" s="12" t="s">
        <v>2850</v>
      </c>
      <c r="P385" s="12"/>
      <c r="Q385" s="12"/>
      <c r="R385" s="12" t="s">
        <v>94</v>
      </c>
      <c r="S385" s="12">
        <v>10</v>
      </c>
      <c r="T385" s="12">
        <v>818001449</v>
      </c>
      <c r="U385" s="12" t="s">
        <v>3247</v>
      </c>
      <c r="V385" s="12">
        <f>VLOOKUP(Tabla44[[#This Row],[ZONA DEFINITIVO]],[1]Hoja1!$A$1:$D$125,3,0)</f>
        <v>229944</v>
      </c>
      <c r="W385" s="12">
        <f>VLOOKUP(Tabla44[[#This Row],[ZONA DEFINITIVO]],[1]Hoja1!$A$1:$D$125,2,0)</f>
        <v>17258</v>
      </c>
      <c r="X385" s="12">
        <f>VLOOKUP(Tabla44[[#This Row],[ZONA DEFINITIVO]],[1]Hoja1!$A$1:$D$125,4,0)</f>
        <v>104725</v>
      </c>
      <c r="Y385" s="12" t="str">
        <f>+IF(Tabla44[[#This Row],[AGRUPACIONES]]=1,SUMIFS(Tabla44[UDS],Tabla44[ZONA DEFINITIVO],Tabla44[[#This Row],[ZONA DEFINITIVO]])," ")</f>
        <v xml:space="preserve"> </v>
      </c>
      <c r="Z385" s="12" t="str">
        <f>+IF(Tabla44[[#This Row],[AGRUPACIONES]]=1,SUMIFS(Tabla44[TOTAL COBERTURA],Tabla44[ZONA DEFINITIVO],Tabla44[[#This Row],[ZONA DEFINITIVO]])," ")</f>
        <v xml:space="preserve"> </v>
      </c>
      <c r="AA385" s="12"/>
      <c r="AB385" s="35">
        <v>26162316</v>
      </c>
      <c r="AC385" s="37">
        <v>0</v>
      </c>
      <c r="AD385" s="35">
        <f t="shared" si="6"/>
        <v>0</v>
      </c>
      <c r="AE385" s="12"/>
      <c r="AF385" s="12">
        <f>COUNTIF($A$20:A385,A385)</f>
        <v>13</v>
      </c>
      <c r="AG385" s="38">
        <v>26162316</v>
      </c>
      <c r="AH385" s="38">
        <f>Tabla44[[#This Row],[VALOR CONTRAPARTIDA]]+Tabla44[[#This Row],[TOTAL APORTES ICBF]]</f>
        <v>26162316</v>
      </c>
      <c r="AI385" s="35" t="str">
        <f>+IF(Tabla44[[#This Row],[AGRUPACIONES]]=1,SUMIFS(Tabla44[TOTAL APORTES ICBF],Tabla44[ZONA DEFINITIVO],Tabla44[[#This Row],[ZONA DEFINITIVO]])," ")</f>
        <v xml:space="preserve"> </v>
      </c>
      <c r="AJ385" s="38"/>
      <c r="AK385" s="38"/>
      <c r="AL385" s="35"/>
      <c r="AM385" s="35">
        <f>VLOOKUP(Tabla44[[#This Row],[SERVICIO 2025]],$J$2:$V$15,5,0)*Tabla44[[#This Row],[TOTAL COBERTURA]]</f>
        <v>592512</v>
      </c>
      <c r="AN385" s="35">
        <f>VLOOKUP(Tabla44[[#This Row],[SERVICIO 2025]],$J$2:$V$15,6,0)*Tabla44[[#This Row],[TOTAL COBERTURA]]</f>
        <v>492348</v>
      </c>
      <c r="AO385" s="35">
        <f>VLOOKUP(Tabla44[[#This Row],[SERVICIO 2025]],$J$2:$V$15,8,0)*Tabla44[[#This Row],[TOTAL COBERTURA]]</f>
        <v>349200</v>
      </c>
      <c r="AP385" s="35">
        <f>VLOOKUP(Tabla44[[#This Row],[SERVICIO 2025]],$J$2:$V$15,3,0)*Tabla44[[#This Row],[TOTAL COBERTURA]]*8</f>
        <v>24728256</v>
      </c>
      <c r="AQ385" s="35"/>
      <c r="AR385" s="35">
        <f>SUM(Tabla44[[#This Row],[VALOR FASE PREPARATORIA DE ALISTAMIENTO]:[VALOR RACION PREPARADA]])</f>
        <v>26162316</v>
      </c>
      <c r="AS385" s="35" t="str">
        <f>+IF(Tabla44[[#This Row],[AGRUPACIONES]]=1,SUMIFS(Tabla44[VALOR TOTAL],Tabla44[ZONA DEFINITIVO],Tabla44[[#This Row],[ZONA DEFINITIVO]])," ")</f>
        <v xml:space="preserve"> </v>
      </c>
      <c r="AT385" s="35">
        <f>VLOOKUP(Tabla44[[#This Row],[SERVICIO 2025]],$J$2:$V$15,10,0)*Tabla44[[#This Row],[TOTAL COBERTURA]]*$X$7</f>
        <v>17316768</v>
      </c>
      <c r="AU385" s="39">
        <f>Tabla44[[#This Row],[TOTAL CONTRATO (ICBF+EAS)]]+Tabla44[[#This Row],[VALOR COMPONENTE ALIMENTACION NO ASIGNADO]]</f>
        <v>43479084</v>
      </c>
      <c r="AV38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385" s="35">
        <f>(VLOOKUP(Tabla44[[#This Row],[SERVICIO 2025]],$J$2:$V$15,3,0)*Tabla44[[#This Row],[TOTAL COBERTURA]])+VLOOKUP(Tabla44[[#This Row],[SERVICIO 2025]],$J$2:$V$15,10,0)*Tabla44[[#This Row],[TOTAL COBERTURA]]</f>
        <v>5255628</v>
      </c>
      <c r="AX385" s="35">
        <f>(VLOOKUP(Tabla44[[#This Row],[SERVICIO 2025]],$J$2:$V$15,3,0)*Tabla44[[#This Row],[TOTAL COBERTURA]])+VLOOKUP(Tabla44[[#This Row],[SERVICIO 2025]],$J$2:$V$15,10,0)*Tabla44[[#This Row],[TOTAL COBERTURA]]</f>
        <v>5255628</v>
      </c>
      <c r="AY385" s="35">
        <f>(VLOOKUP(Tabla44[[#This Row],[SERVICIO 2025]],$J$2:$V$15,3,0)*Tabla44[[#This Row],[TOTAL COBERTURA]])+VLOOKUP(Tabla44[[#This Row],[SERVICIO 2025]],$J$2:$V$15,10,0)*Tabla44[[#This Row],[TOTAL COBERTURA]]</f>
        <v>5255628</v>
      </c>
      <c r="AZ385" s="35">
        <f>(VLOOKUP(Tabla44[[#This Row],[SERVICIO 2025]],$J$2:$V$15,3,0)*Tabla44[[#This Row],[TOTAL COBERTURA]])+VLOOKUP(Tabla44[[#This Row],[SERVICIO 2025]],$J$2:$V$15,10,0)*Tabla44[[#This Row],[TOTAL COBERTURA]]</f>
        <v>5255628</v>
      </c>
      <c r="BA385" s="35">
        <f>(VLOOKUP(Tabla44[[#This Row],[SERVICIO 2025]],$J$2:$V$15,3,0)*Tabla44[[#This Row],[TOTAL COBERTURA]])+VLOOKUP(Tabla44[[#This Row],[SERVICIO 2025]],$J$2:$V$15,10,0)*Tabla44[[#This Row],[TOTAL COBERTURA]]</f>
        <v>5255628</v>
      </c>
      <c r="BB385" s="35">
        <f>(VLOOKUP(Tabla44[[#This Row],[SERVICIO 2025]],$J$2:$V$15,3,0)*Tabla44[[#This Row],[TOTAL COBERTURA]])+VLOOKUP(Tabla44[[#This Row],[SERVICIO 2025]],$J$2:$V$15,10,0)*Tabla44[[#This Row],[TOTAL COBERTURA]]</f>
        <v>5255628</v>
      </c>
      <c r="BC38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385" s="35">
        <f>SUM(Tabla44[[#This Row],[DESEMBOLSO 1]:[DESEMBOLSO 8]])</f>
        <v>43479084</v>
      </c>
      <c r="BE385" s="12" t="b">
        <f>EXACT(Tabla44[[#This Row],[VALOR ATENCIÓN (8 MESES)]],Tabla44[[#This Row],[VALOR TOTAL]])</f>
        <v>1</v>
      </c>
      <c r="BF385" s="23">
        <f>Tabla44[[#This Row],[VALOR ATENCIÓN (8 MESES)]]-Tabla44[[#This Row],[VALOR TOTAL]]</f>
        <v>0</v>
      </c>
      <c r="BG385" s="12" t="b">
        <f>EXACT(Tabla44[[#This Row],[TOTAL DESEMBOLSOS]],Tabla44[[#This Row],[VALOR TOTAL DEL CONTRATO INCLUIDO EL COMPONENTE DE ALIMENTACIÓN]])</f>
        <v>1</v>
      </c>
      <c r="BH385" s="29">
        <f>Tabla44[[#This Row],[TOTAL DESEMBOLSOS]]-Tabla44[[#This Row],[VALOR TOTAL DEL CONTRATO INCLUIDO EL COMPONENTE DE ALIMENTACIÓN]]</f>
        <v>0</v>
      </c>
      <c r="BI385" t="s">
        <v>98</v>
      </c>
    </row>
    <row r="386" spans="1:61">
      <c r="A386" s="13">
        <v>2017</v>
      </c>
      <c r="B386" s="13"/>
      <c r="C386" s="12" t="s">
        <v>87</v>
      </c>
      <c r="D386" s="12" t="s">
        <v>1628</v>
      </c>
      <c r="E386" s="12" t="s">
        <v>3551</v>
      </c>
      <c r="F386" s="12" t="s">
        <v>18</v>
      </c>
      <c r="G386" s="12" t="s">
        <v>90</v>
      </c>
      <c r="H386" s="12" t="s">
        <v>3558</v>
      </c>
      <c r="I386" s="36">
        <v>58541135011</v>
      </c>
      <c r="J386" s="12" t="s">
        <v>3559</v>
      </c>
      <c r="K386" s="12">
        <v>1</v>
      </c>
      <c r="L386" s="12">
        <v>12</v>
      </c>
      <c r="M386" s="12"/>
      <c r="N386" s="13">
        <v>2017</v>
      </c>
      <c r="O386" s="12" t="s">
        <v>2850</v>
      </c>
      <c r="P386" s="12"/>
      <c r="Q386" s="12"/>
      <c r="R386" s="12" t="s">
        <v>94</v>
      </c>
      <c r="S386" s="12">
        <v>10</v>
      </c>
      <c r="T386" s="12">
        <v>818001449</v>
      </c>
      <c r="U386" s="12" t="s">
        <v>3247</v>
      </c>
      <c r="V386" s="12">
        <f>VLOOKUP(Tabla44[[#This Row],[ZONA DEFINITIVO]],[1]Hoja1!$A$1:$D$125,3,0)</f>
        <v>229944</v>
      </c>
      <c r="W386" s="12">
        <f>VLOOKUP(Tabla44[[#This Row],[ZONA DEFINITIVO]],[1]Hoja1!$A$1:$D$125,2,0)</f>
        <v>17258</v>
      </c>
      <c r="X386" s="12">
        <f>VLOOKUP(Tabla44[[#This Row],[ZONA DEFINITIVO]],[1]Hoja1!$A$1:$D$125,4,0)</f>
        <v>104725</v>
      </c>
      <c r="Y386" s="12" t="str">
        <f>+IF(Tabla44[[#This Row],[AGRUPACIONES]]=1,SUMIFS(Tabla44[UDS],Tabla44[ZONA DEFINITIVO],Tabla44[[#This Row],[ZONA DEFINITIVO]])," ")</f>
        <v xml:space="preserve"> </v>
      </c>
      <c r="Z386" s="12" t="str">
        <f>+IF(Tabla44[[#This Row],[AGRUPACIONES]]=1,SUMIFS(Tabla44[TOTAL COBERTURA],Tabla44[ZONA DEFINITIVO],Tabla44[[#This Row],[ZONA DEFINITIVO]])," ")</f>
        <v xml:space="preserve"> </v>
      </c>
      <c r="AA386" s="12"/>
      <c r="AB386" s="35">
        <v>26162316</v>
      </c>
      <c r="AC386" s="37">
        <v>0</v>
      </c>
      <c r="AD386" s="35">
        <f t="shared" si="6"/>
        <v>0</v>
      </c>
      <c r="AE386" s="12"/>
      <c r="AF386" s="12">
        <f>COUNTIF($A$20:A386,A386)</f>
        <v>14</v>
      </c>
      <c r="AG386" s="38">
        <v>26162316</v>
      </c>
      <c r="AH386" s="38">
        <f>Tabla44[[#This Row],[VALOR CONTRAPARTIDA]]+Tabla44[[#This Row],[TOTAL APORTES ICBF]]</f>
        <v>26162316</v>
      </c>
      <c r="AI386" s="35" t="str">
        <f>+IF(Tabla44[[#This Row],[AGRUPACIONES]]=1,SUMIFS(Tabla44[TOTAL APORTES ICBF],Tabla44[ZONA DEFINITIVO],Tabla44[[#This Row],[ZONA DEFINITIVO]])," ")</f>
        <v xml:space="preserve"> </v>
      </c>
      <c r="AJ386" s="38"/>
      <c r="AK386" s="38"/>
      <c r="AL386" s="35"/>
      <c r="AM386" s="35">
        <f>VLOOKUP(Tabla44[[#This Row],[SERVICIO 2025]],$J$2:$V$15,5,0)*Tabla44[[#This Row],[TOTAL COBERTURA]]</f>
        <v>592512</v>
      </c>
      <c r="AN386" s="35">
        <f>VLOOKUP(Tabla44[[#This Row],[SERVICIO 2025]],$J$2:$V$15,6,0)*Tabla44[[#This Row],[TOTAL COBERTURA]]</f>
        <v>492348</v>
      </c>
      <c r="AO386" s="35">
        <f>VLOOKUP(Tabla44[[#This Row],[SERVICIO 2025]],$J$2:$V$15,8,0)*Tabla44[[#This Row],[TOTAL COBERTURA]]</f>
        <v>349200</v>
      </c>
      <c r="AP386" s="35">
        <f>VLOOKUP(Tabla44[[#This Row],[SERVICIO 2025]],$J$2:$V$15,3,0)*Tabla44[[#This Row],[TOTAL COBERTURA]]*8</f>
        <v>24728256</v>
      </c>
      <c r="AQ386" s="35"/>
      <c r="AR386" s="35">
        <f>SUM(Tabla44[[#This Row],[VALOR FASE PREPARATORIA DE ALISTAMIENTO]:[VALOR RACION PREPARADA]])</f>
        <v>26162316</v>
      </c>
      <c r="AS386" s="35" t="str">
        <f>+IF(Tabla44[[#This Row],[AGRUPACIONES]]=1,SUMIFS(Tabla44[VALOR TOTAL],Tabla44[ZONA DEFINITIVO],Tabla44[[#This Row],[ZONA DEFINITIVO]])," ")</f>
        <v xml:space="preserve"> </v>
      </c>
      <c r="AT386" s="35">
        <f>VLOOKUP(Tabla44[[#This Row],[SERVICIO 2025]],$J$2:$V$15,10,0)*Tabla44[[#This Row],[TOTAL COBERTURA]]*$X$7</f>
        <v>17316768</v>
      </c>
      <c r="AU386" s="39">
        <f>Tabla44[[#This Row],[TOTAL CONTRATO (ICBF+EAS)]]+Tabla44[[#This Row],[VALOR COMPONENTE ALIMENTACION NO ASIGNADO]]</f>
        <v>43479084</v>
      </c>
      <c r="AV38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386" s="35">
        <f>(VLOOKUP(Tabla44[[#This Row],[SERVICIO 2025]],$J$2:$V$15,3,0)*Tabla44[[#This Row],[TOTAL COBERTURA]])+VLOOKUP(Tabla44[[#This Row],[SERVICIO 2025]],$J$2:$V$15,10,0)*Tabla44[[#This Row],[TOTAL COBERTURA]]</f>
        <v>5255628</v>
      </c>
      <c r="AX386" s="35">
        <f>(VLOOKUP(Tabla44[[#This Row],[SERVICIO 2025]],$J$2:$V$15,3,0)*Tabla44[[#This Row],[TOTAL COBERTURA]])+VLOOKUP(Tabla44[[#This Row],[SERVICIO 2025]],$J$2:$V$15,10,0)*Tabla44[[#This Row],[TOTAL COBERTURA]]</f>
        <v>5255628</v>
      </c>
      <c r="AY386" s="35">
        <f>(VLOOKUP(Tabla44[[#This Row],[SERVICIO 2025]],$J$2:$V$15,3,0)*Tabla44[[#This Row],[TOTAL COBERTURA]])+VLOOKUP(Tabla44[[#This Row],[SERVICIO 2025]],$J$2:$V$15,10,0)*Tabla44[[#This Row],[TOTAL COBERTURA]]</f>
        <v>5255628</v>
      </c>
      <c r="AZ386" s="35">
        <f>(VLOOKUP(Tabla44[[#This Row],[SERVICIO 2025]],$J$2:$V$15,3,0)*Tabla44[[#This Row],[TOTAL COBERTURA]])+VLOOKUP(Tabla44[[#This Row],[SERVICIO 2025]],$J$2:$V$15,10,0)*Tabla44[[#This Row],[TOTAL COBERTURA]]</f>
        <v>5255628</v>
      </c>
      <c r="BA386" s="35">
        <f>(VLOOKUP(Tabla44[[#This Row],[SERVICIO 2025]],$J$2:$V$15,3,0)*Tabla44[[#This Row],[TOTAL COBERTURA]])+VLOOKUP(Tabla44[[#This Row],[SERVICIO 2025]],$J$2:$V$15,10,0)*Tabla44[[#This Row],[TOTAL COBERTURA]]</f>
        <v>5255628</v>
      </c>
      <c r="BB386" s="35">
        <f>(VLOOKUP(Tabla44[[#This Row],[SERVICIO 2025]],$J$2:$V$15,3,0)*Tabla44[[#This Row],[TOTAL COBERTURA]])+VLOOKUP(Tabla44[[#This Row],[SERVICIO 2025]],$J$2:$V$15,10,0)*Tabla44[[#This Row],[TOTAL COBERTURA]]</f>
        <v>5255628</v>
      </c>
      <c r="BC38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386" s="35">
        <f>SUM(Tabla44[[#This Row],[DESEMBOLSO 1]:[DESEMBOLSO 8]])</f>
        <v>43479084</v>
      </c>
      <c r="BE386" s="12" t="b">
        <f>EXACT(Tabla44[[#This Row],[VALOR ATENCIÓN (8 MESES)]],Tabla44[[#This Row],[VALOR TOTAL]])</f>
        <v>1</v>
      </c>
      <c r="BF386" s="23">
        <f>Tabla44[[#This Row],[VALOR ATENCIÓN (8 MESES)]]-Tabla44[[#This Row],[VALOR TOTAL]]</f>
        <v>0</v>
      </c>
      <c r="BG386" s="12" t="b">
        <f>EXACT(Tabla44[[#This Row],[TOTAL DESEMBOLSOS]],Tabla44[[#This Row],[VALOR TOTAL DEL CONTRATO INCLUIDO EL COMPONENTE DE ALIMENTACIÓN]])</f>
        <v>1</v>
      </c>
      <c r="BH386" s="29">
        <f>Tabla44[[#This Row],[TOTAL DESEMBOLSOS]]-Tabla44[[#This Row],[VALOR TOTAL DEL CONTRATO INCLUIDO EL COMPONENTE DE ALIMENTACIÓN]]</f>
        <v>0</v>
      </c>
      <c r="BI386" t="s">
        <v>98</v>
      </c>
    </row>
    <row r="387" spans="1:61">
      <c r="A387" s="13">
        <v>2017</v>
      </c>
      <c r="B387" s="13"/>
      <c r="C387" s="12" t="s">
        <v>87</v>
      </c>
      <c r="D387" s="12" t="s">
        <v>1628</v>
      </c>
      <c r="E387" s="12" t="s">
        <v>3551</v>
      </c>
      <c r="F387" s="12" t="s">
        <v>18</v>
      </c>
      <c r="G387" s="12" t="s">
        <v>90</v>
      </c>
      <c r="H387" s="12" t="s">
        <v>3560</v>
      </c>
      <c r="I387" s="36">
        <v>58541135126</v>
      </c>
      <c r="J387" s="12" t="s">
        <v>3561</v>
      </c>
      <c r="K387" s="12">
        <v>1</v>
      </c>
      <c r="L387" s="12">
        <v>73</v>
      </c>
      <c r="M387" s="12"/>
      <c r="N387" s="13">
        <v>2017</v>
      </c>
      <c r="O387" s="12" t="s">
        <v>2850</v>
      </c>
      <c r="P387" s="12"/>
      <c r="Q387" s="12"/>
      <c r="R387" s="12" t="s">
        <v>94</v>
      </c>
      <c r="S387" s="12">
        <v>10</v>
      </c>
      <c r="T387" s="12">
        <v>818001449</v>
      </c>
      <c r="U387" s="12" t="s">
        <v>3247</v>
      </c>
      <c r="V387" s="12">
        <f>VLOOKUP(Tabla44[[#This Row],[ZONA DEFINITIVO]],[1]Hoja1!$A$1:$D$125,3,0)</f>
        <v>229944</v>
      </c>
      <c r="W387" s="12">
        <f>VLOOKUP(Tabla44[[#This Row],[ZONA DEFINITIVO]],[1]Hoja1!$A$1:$D$125,2,0)</f>
        <v>17258</v>
      </c>
      <c r="X387" s="12">
        <f>VLOOKUP(Tabla44[[#This Row],[ZONA DEFINITIVO]],[1]Hoja1!$A$1:$D$125,4,0)</f>
        <v>104725</v>
      </c>
      <c r="Y387" s="12" t="str">
        <f>+IF(Tabla44[[#This Row],[AGRUPACIONES]]=1,SUMIFS(Tabla44[UDS],Tabla44[ZONA DEFINITIVO],Tabla44[[#This Row],[ZONA DEFINITIVO]])," ")</f>
        <v xml:space="preserve"> </v>
      </c>
      <c r="Z387" s="12" t="str">
        <f>+IF(Tabla44[[#This Row],[AGRUPACIONES]]=1,SUMIFS(Tabla44[TOTAL COBERTURA],Tabla44[ZONA DEFINITIVO],Tabla44[[#This Row],[ZONA DEFINITIVO]])," ")</f>
        <v xml:space="preserve"> </v>
      </c>
      <c r="AA387" s="12"/>
      <c r="AB387" s="35">
        <v>159154089</v>
      </c>
      <c r="AC387" s="37">
        <v>0</v>
      </c>
      <c r="AD387" s="35">
        <f t="shared" si="6"/>
        <v>0</v>
      </c>
      <c r="AE387" s="12"/>
      <c r="AF387" s="12">
        <f>COUNTIF($A$20:A387,A387)</f>
        <v>15</v>
      </c>
      <c r="AG387" s="38">
        <v>159154089</v>
      </c>
      <c r="AH387" s="38">
        <f>Tabla44[[#This Row],[VALOR CONTRAPARTIDA]]+Tabla44[[#This Row],[TOTAL APORTES ICBF]]</f>
        <v>159154089</v>
      </c>
      <c r="AI387" s="35" t="str">
        <f>+IF(Tabla44[[#This Row],[AGRUPACIONES]]=1,SUMIFS(Tabla44[TOTAL APORTES ICBF],Tabla44[ZONA DEFINITIVO],Tabla44[[#This Row],[ZONA DEFINITIVO]])," ")</f>
        <v xml:space="preserve"> </v>
      </c>
      <c r="AJ387" s="38"/>
      <c r="AK387" s="38"/>
      <c r="AL387" s="35"/>
      <c r="AM387" s="35">
        <f>VLOOKUP(Tabla44[[#This Row],[SERVICIO 2025]],$J$2:$V$15,5,0)*Tabla44[[#This Row],[TOTAL COBERTURA]]</f>
        <v>3604448</v>
      </c>
      <c r="AN387" s="35">
        <f>VLOOKUP(Tabla44[[#This Row],[SERVICIO 2025]],$J$2:$V$15,6,0)*Tabla44[[#This Row],[TOTAL COBERTURA]]</f>
        <v>2995117</v>
      </c>
      <c r="AO387" s="35">
        <f>VLOOKUP(Tabla44[[#This Row],[SERVICIO 2025]],$J$2:$V$15,8,0)*Tabla44[[#This Row],[TOTAL COBERTURA]]</f>
        <v>2124300</v>
      </c>
      <c r="AP387" s="35">
        <f>VLOOKUP(Tabla44[[#This Row],[SERVICIO 2025]],$J$2:$V$15,3,0)*Tabla44[[#This Row],[TOTAL COBERTURA]]*8</f>
        <v>150430224</v>
      </c>
      <c r="AQ387" s="35"/>
      <c r="AR387" s="35">
        <f>SUM(Tabla44[[#This Row],[VALOR FASE PREPARATORIA DE ALISTAMIENTO]:[VALOR RACION PREPARADA]])</f>
        <v>159154089</v>
      </c>
      <c r="AS387" s="35" t="str">
        <f>+IF(Tabla44[[#This Row],[AGRUPACIONES]]=1,SUMIFS(Tabla44[VALOR TOTAL],Tabla44[ZONA DEFINITIVO],Tabla44[[#This Row],[ZONA DEFINITIVO]])," ")</f>
        <v xml:space="preserve"> </v>
      </c>
      <c r="AT387" s="35">
        <f>VLOOKUP(Tabla44[[#This Row],[SERVICIO 2025]],$J$2:$V$15,10,0)*Tabla44[[#This Row],[TOTAL COBERTURA]]*$X$7</f>
        <v>105343672</v>
      </c>
      <c r="AU387" s="39">
        <f>Tabla44[[#This Row],[TOTAL CONTRATO (ICBF+EAS)]]+Tabla44[[#This Row],[VALOR COMPONENTE ALIMENTACION NO ASIGNADO]]</f>
        <v>264497761</v>
      </c>
      <c r="AV38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37700485</v>
      </c>
      <c r="AW387" s="35">
        <f>(VLOOKUP(Tabla44[[#This Row],[SERVICIO 2025]],$J$2:$V$15,3,0)*Tabla44[[#This Row],[TOTAL COBERTURA]])+VLOOKUP(Tabla44[[#This Row],[SERVICIO 2025]],$J$2:$V$15,10,0)*Tabla44[[#This Row],[TOTAL COBERTURA]]</f>
        <v>31971737</v>
      </c>
      <c r="AX387" s="35">
        <f>(VLOOKUP(Tabla44[[#This Row],[SERVICIO 2025]],$J$2:$V$15,3,0)*Tabla44[[#This Row],[TOTAL COBERTURA]])+VLOOKUP(Tabla44[[#This Row],[SERVICIO 2025]],$J$2:$V$15,10,0)*Tabla44[[#This Row],[TOTAL COBERTURA]]</f>
        <v>31971737</v>
      </c>
      <c r="AY387" s="35">
        <f>(VLOOKUP(Tabla44[[#This Row],[SERVICIO 2025]],$J$2:$V$15,3,0)*Tabla44[[#This Row],[TOTAL COBERTURA]])+VLOOKUP(Tabla44[[#This Row],[SERVICIO 2025]],$J$2:$V$15,10,0)*Tabla44[[#This Row],[TOTAL COBERTURA]]</f>
        <v>31971737</v>
      </c>
      <c r="AZ387" s="35">
        <f>(VLOOKUP(Tabla44[[#This Row],[SERVICIO 2025]],$J$2:$V$15,3,0)*Tabla44[[#This Row],[TOTAL COBERTURA]])+VLOOKUP(Tabla44[[#This Row],[SERVICIO 2025]],$J$2:$V$15,10,0)*Tabla44[[#This Row],[TOTAL COBERTURA]]</f>
        <v>31971737</v>
      </c>
      <c r="BA387" s="35">
        <f>(VLOOKUP(Tabla44[[#This Row],[SERVICIO 2025]],$J$2:$V$15,3,0)*Tabla44[[#This Row],[TOTAL COBERTURA]])+VLOOKUP(Tabla44[[#This Row],[SERVICIO 2025]],$J$2:$V$15,10,0)*Tabla44[[#This Row],[TOTAL COBERTURA]]</f>
        <v>31971737</v>
      </c>
      <c r="BB387" s="35">
        <f>(VLOOKUP(Tabla44[[#This Row],[SERVICIO 2025]],$J$2:$V$15,3,0)*Tabla44[[#This Row],[TOTAL COBERTURA]])+VLOOKUP(Tabla44[[#This Row],[SERVICIO 2025]],$J$2:$V$15,10,0)*Tabla44[[#This Row],[TOTAL COBERTURA]]</f>
        <v>31971737</v>
      </c>
      <c r="BC38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34966854</v>
      </c>
      <c r="BD387" s="35">
        <f>SUM(Tabla44[[#This Row],[DESEMBOLSO 1]:[DESEMBOLSO 8]])</f>
        <v>264497761</v>
      </c>
      <c r="BE387" s="12" t="b">
        <f>EXACT(Tabla44[[#This Row],[VALOR ATENCIÓN (8 MESES)]],Tabla44[[#This Row],[VALOR TOTAL]])</f>
        <v>1</v>
      </c>
      <c r="BF387" s="23">
        <f>Tabla44[[#This Row],[VALOR ATENCIÓN (8 MESES)]]-Tabla44[[#This Row],[VALOR TOTAL]]</f>
        <v>0</v>
      </c>
      <c r="BG387" s="12" t="b">
        <f>EXACT(Tabla44[[#This Row],[TOTAL DESEMBOLSOS]],Tabla44[[#This Row],[VALOR TOTAL DEL CONTRATO INCLUIDO EL COMPONENTE DE ALIMENTACIÓN]])</f>
        <v>1</v>
      </c>
      <c r="BH387" s="29">
        <f>Tabla44[[#This Row],[TOTAL DESEMBOLSOS]]-Tabla44[[#This Row],[VALOR TOTAL DEL CONTRATO INCLUIDO EL COMPONENTE DE ALIMENTACIÓN]]</f>
        <v>0</v>
      </c>
      <c r="BI387" t="s">
        <v>98</v>
      </c>
    </row>
    <row r="388" spans="1:61">
      <c r="A388" s="13">
        <v>2017</v>
      </c>
      <c r="B388" s="13"/>
      <c r="C388" s="12" t="s">
        <v>87</v>
      </c>
      <c r="D388" s="12" t="s">
        <v>1628</v>
      </c>
      <c r="E388" s="12" t="s">
        <v>3551</v>
      </c>
      <c r="F388" s="12" t="s">
        <v>18</v>
      </c>
      <c r="G388" s="12" t="s">
        <v>90</v>
      </c>
      <c r="H388" s="12" t="s">
        <v>3562</v>
      </c>
      <c r="I388" s="36">
        <v>58541135153</v>
      </c>
      <c r="J388" s="12" t="s">
        <v>3563</v>
      </c>
      <c r="K388" s="12">
        <v>1</v>
      </c>
      <c r="L388" s="12">
        <v>38</v>
      </c>
      <c r="M388" s="12"/>
      <c r="N388" s="13">
        <v>2017</v>
      </c>
      <c r="O388" s="12" t="s">
        <v>2850</v>
      </c>
      <c r="P388" s="12"/>
      <c r="Q388" s="12"/>
      <c r="R388" s="12" t="s">
        <v>94</v>
      </c>
      <c r="S388" s="12">
        <v>10</v>
      </c>
      <c r="T388" s="12">
        <v>818001449</v>
      </c>
      <c r="U388" s="12" t="s">
        <v>3247</v>
      </c>
      <c r="V388" s="12">
        <f>VLOOKUP(Tabla44[[#This Row],[ZONA DEFINITIVO]],[1]Hoja1!$A$1:$D$125,3,0)</f>
        <v>229944</v>
      </c>
      <c r="W388" s="12">
        <f>VLOOKUP(Tabla44[[#This Row],[ZONA DEFINITIVO]],[1]Hoja1!$A$1:$D$125,2,0)</f>
        <v>17258</v>
      </c>
      <c r="X388" s="12">
        <f>VLOOKUP(Tabla44[[#This Row],[ZONA DEFINITIVO]],[1]Hoja1!$A$1:$D$125,4,0)</f>
        <v>104725</v>
      </c>
      <c r="Y388" s="12" t="str">
        <f>+IF(Tabla44[[#This Row],[AGRUPACIONES]]=1,SUMIFS(Tabla44[UDS],Tabla44[ZONA DEFINITIVO],Tabla44[[#This Row],[ZONA DEFINITIVO]])," ")</f>
        <v xml:space="preserve"> </v>
      </c>
      <c r="Z388" s="12" t="str">
        <f>+IF(Tabla44[[#This Row],[AGRUPACIONES]]=1,SUMIFS(Tabla44[TOTAL COBERTURA],Tabla44[ZONA DEFINITIVO],Tabla44[[#This Row],[ZONA DEFINITIVO]])," ")</f>
        <v xml:space="preserve"> </v>
      </c>
      <c r="AA388" s="12"/>
      <c r="AB388" s="35">
        <v>82847334</v>
      </c>
      <c r="AC388" s="37">
        <v>0</v>
      </c>
      <c r="AD388" s="35">
        <f t="shared" si="6"/>
        <v>0</v>
      </c>
      <c r="AE388" s="12"/>
      <c r="AF388" s="12">
        <f>COUNTIF($A$20:A388,A388)</f>
        <v>16</v>
      </c>
      <c r="AG388" s="38">
        <v>82847334</v>
      </c>
      <c r="AH388" s="38">
        <f>Tabla44[[#This Row],[VALOR CONTRAPARTIDA]]+Tabla44[[#This Row],[TOTAL APORTES ICBF]]</f>
        <v>82847334</v>
      </c>
      <c r="AI388" s="35" t="str">
        <f>+IF(Tabla44[[#This Row],[AGRUPACIONES]]=1,SUMIFS(Tabla44[TOTAL APORTES ICBF],Tabla44[ZONA DEFINITIVO],Tabla44[[#This Row],[ZONA DEFINITIVO]])," ")</f>
        <v xml:space="preserve"> </v>
      </c>
      <c r="AJ388" s="38"/>
      <c r="AK388" s="38"/>
      <c r="AL388" s="35"/>
      <c r="AM388" s="35">
        <f>VLOOKUP(Tabla44[[#This Row],[SERVICIO 2025]],$J$2:$V$15,5,0)*Tabla44[[#This Row],[TOTAL COBERTURA]]</f>
        <v>1876288</v>
      </c>
      <c r="AN388" s="35">
        <f>VLOOKUP(Tabla44[[#This Row],[SERVICIO 2025]],$J$2:$V$15,6,0)*Tabla44[[#This Row],[TOTAL COBERTURA]]</f>
        <v>1559102</v>
      </c>
      <c r="AO388" s="35">
        <f>VLOOKUP(Tabla44[[#This Row],[SERVICIO 2025]],$J$2:$V$15,8,0)*Tabla44[[#This Row],[TOTAL COBERTURA]]</f>
        <v>1105800</v>
      </c>
      <c r="AP388" s="35">
        <f>VLOOKUP(Tabla44[[#This Row],[SERVICIO 2025]],$J$2:$V$15,3,0)*Tabla44[[#This Row],[TOTAL COBERTURA]]*8</f>
        <v>78306144</v>
      </c>
      <c r="AQ388" s="35"/>
      <c r="AR388" s="35">
        <f>SUM(Tabla44[[#This Row],[VALOR FASE PREPARATORIA DE ALISTAMIENTO]:[VALOR RACION PREPARADA]])</f>
        <v>82847334</v>
      </c>
      <c r="AS388" s="35" t="str">
        <f>+IF(Tabla44[[#This Row],[AGRUPACIONES]]=1,SUMIFS(Tabla44[VALOR TOTAL],Tabla44[ZONA DEFINITIVO],Tabla44[[#This Row],[ZONA DEFINITIVO]])," ")</f>
        <v xml:space="preserve"> </v>
      </c>
      <c r="AT388" s="35">
        <f>VLOOKUP(Tabla44[[#This Row],[SERVICIO 2025]],$J$2:$V$15,10,0)*Tabla44[[#This Row],[TOTAL COBERTURA]]*$X$7</f>
        <v>54836432</v>
      </c>
      <c r="AU388" s="39">
        <f>Tabla44[[#This Row],[TOTAL CONTRATO (ICBF+EAS)]]+Tabla44[[#This Row],[VALOR COMPONENTE ALIMENTACION NO ASIGNADO]]</f>
        <v>137683766</v>
      </c>
      <c r="AV38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19624910</v>
      </c>
      <c r="AW388" s="35">
        <f>(VLOOKUP(Tabla44[[#This Row],[SERVICIO 2025]],$J$2:$V$15,3,0)*Tabla44[[#This Row],[TOTAL COBERTURA]])+VLOOKUP(Tabla44[[#This Row],[SERVICIO 2025]],$J$2:$V$15,10,0)*Tabla44[[#This Row],[TOTAL COBERTURA]]</f>
        <v>16642822</v>
      </c>
      <c r="AX388" s="35">
        <f>(VLOOKUP(Tabla44[[#This Row],[SERVICIO 2025]],$J$2:$V$15,3,0)*Tabla44[[#This Row],[TOTAL COBERTURA]])+VLOOKUP(Tabla44[[#This Row],[SERVICIO 2025]],$J$2:$V$15,10,0)*Tabla44[[#This Row],[TOTAL COBERTURA]]</f>
        <v>16642822</v>
      </c>
      <c r="AY388" s="35">
        <f>(VLOOKUP(Tabla44[[#This Row],[SERVICIO 2025]],$J$2:$V$15,3,0)*Tabla44[[#This Row],[TOTAL COBERTURA]])+VLOOKUP(Tabla44[[#This Row],[SERVICIO 2025]],$J$2:$V$15,10,0)*Tabla44[[#This Row],[TOTAL COBERTURA]]</f>
        <v>16642822</v>
      </c>
      <c r="AZ388" s="35">
        <f>(VLOOKUP(Tabla44[[#This Row],[SERVICIO 2025]],$J$2:$V$15,3,0)*Tabla44[[#This Row],[TOTAL COBERTURA]])+VLOOKUP(Tabla44[[#This Row],[SERVICIO 2025]],$J$2:$V$15,10,0)*Tabla44[[#This Row],[TOTAL COBERTURA]]</f>
        <v>16642822</v>
      </c>
      <c r="BA388" s="35">
        <f>(VLOOKUP(Tabla44[[#This Row],[SERVICIO 2025]],$J$2:$V$15,3,0)*Tabla44[[#This Row],[TOTAL COBERTURA]])+VLOOKUP(Tabla44[[#This Row],[SERVICIO 2025]],$J$2:$V$15,10,0)*Tabla44[[#This Row],[TOTAL COBERTURA]]</f>
        <v>16642822</v>
      </c>
      <c r="BB388" s="35">
        <f>(VLOOKUP(Tabla44[[#This Row],[SERVICIO 2025]],$J$2:$V$15,3,0)*Tabla44[[#This Row],[TOTAL COBERTURA]])+VLOOKUP(Tabla44[[#This Row],[SERVICIO 2025]],$J$2:$V$15,10,0)*Tabla44[[#This Row],[TOTAL COBERTURA]]</f>
        <v>16642822</v>
      </c>
      <c r="BC38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18201924</v>
      </c>
      <c r="BD388" s="35">
        <f>SUM(Tabla44[[#This Row],[DESEMBOLSO 1]:[DESEMBOLSO 8]])</f>
        <v>137683766</v>
      </c>
      <c r="BE388" s="12" t="b">
        <f>EXACT(Tabla44[[#This Row],[VALOR ATENCIÓN (8 MESES)]],Tabla44[[#This Row],[VALOR TOTAL]])</f>
        <v>1</v>
      </c>
      <c r="BF388" s="23">
        <f>Tabla44[[#This Row],[VALOR ATENCIÓN (8 MESES)]]-Tabla44[[#This Row],[VALOR TOTAL]]</f>
        <v>0</v>
      </c>
      <c r="BG388" s="12" t="b">
        <f>EXACT(Tabla44[[#This Row],[TOTAL DESEMBOLSOS]],Tabla44[[#This Row],[VALOR TOTAL DEL CONTRATO INCLUIDO EL COMPONENTE DE ALIMENTACIÓN]])</f>
        <v>1</v>
      </c>
      <c r="BH388" s="29">
        <f>Tabla44[[#This Row],[TOTAL DESEMBOLSOS]]-Tabla44[[#This Row],[VALOR TOTAL DEL CONTRATO INCLUIDO EL COMPONENTE DE ALIMENTACIÓN]]</f>
        <v>0</v>
      </c>
      <c r="BI388" t="s">
        <v>98</v>
      </c>
    </row>
    <row r="389" spans="1:61">
      <c r="A389" s="13">
        <v>2017</v>
      </c>
      <c r="B389" s="13"/>
      <c r="C389" s="12" t="s">
        <v>87</v>
      </c>
      <c r="D389" s="12" t="s">
        <v>1628</v>
      </c>
      <c r="E389" s="12" t="s">
        <v>3551</v>
      </c>
      <c r="F389" s="12" t="s">
        <v>18</v>
      </c>
      <c r="G389" s="12" t="s">
        <v>90</v>
      </c>
      <c r="H389" s="12" t="s">
        <v>3564</v>
      </c>
      <c r="I389" s="36">
        <v>58541147752</v>
      </c>
      <c r="J389" s="12" t="s">
        <v>3565</v>
      </c>
      <c r="K389" s="12">
        <v>1</v>
      </c>
      <c r="L389" s="12">
        <v>21</v>
      </c>
      <c r="M389" s="12"/>
      <c r="N389" s="13">
        <v>2017</v>
      </c>
      <c r="O389" s="12" t="s">
        <v>2850</v>
      </c>
      <c r="P389" s="12"/>
      <c r="Q389" s="12"/>
      <c r="R389" s="12" t="s">
        <v>94</v>
      </c>
      <c r="S389" s="12">
        <v>10</v>
      </c>
      <c r="T389" s="12">
        <v>818001449</v>
      </c>
      <c r="U389" s="12" t="s">
        <v>3247</v>
      </c>
      <c r="V389" s="12">
        <f>VLOOKUP(Tabla44[[#This Row],[ZONA DEFINITIVO]],[1]Hoja1!$A$1:$D$125,3,0)</f>
        <v>229944</v>
      </c>
      <c r="W389" s="12">
        <f>VLOOKUP(Tabla44[[#This Row],[ZONA DEFINITIVO]],[1]Hoja1!$A$1:$D$125,2,0)</f>
        <v>17258</v>
      </c>
      <c r="X389" s="12">
        <f>VLOOKUP(Tabla44[[#This Row],[ZONA DEFINITIVO]],[1]Hoja1!$A$1:$D$125,4,0)</f>
        <v>104725</v>
      </c>
      <c r="Y389" s="12" t="str">
        <f>+IF(Tabla44[[#This Row],[AGRUPACIONES]]=1,SUMIFS(Tabla44[UDS],Tabla44[ZONA DEFINITIVO],Tabla44[[#This Row],[ZONA DEFINITIVO]])," ")</f>
        <v xml:space="preserve"> </v>
      </c>
      <c r="Z389" s="12" t="str">
        <f>+IF(Tabla44[[#This Row],[AGRUPACIONES]]=1,SUMIFS(Tabla44[TOTAL COBERTURA],Tabla44[ZONA DEFINITIVO],Tabla44[[#This Row],[ZONA DEFINITIVO]])," ")</f>
        <v xml:space="preserve"> </v>
      </c>
      <c r="AA389" s="12"/>
      <c r="AB389" s="35">
        <v>45784053</v>
      </c>
      <c r="AC389" s="37">
        <v>0</v>
      </c>
      <c r="AD389" s="35">
        <f t="shared" si="6"/>
        <v>0</v>
      </c>
      <c r="AE389" s="12"/>
      <c r="AF389" s="12">
        <f>COUNTIF($A$20:A389,A389)</f>
        <v>17</v>
      </c>
      <c r="AG389" s="38">
        <v>45784053</v>
      </c>
      <c r="AH389" s="38">
        <f>Tabla44[[#This Row],[VALOR CONTRAPARTIDA]]+Tabla44[[#This Row],[TOTAL APORTES ICBF]]</f>
        <v>45784053</v>
      </c>
      <c r="AI389" s="35" t="str">
        <f>+IF(Tabla44[[#This Row],[AGRUPACIONES]]=1,SUMIFS(Tabla44[TOTAL APORTES ICBF],Tabla44[ZONA DEFINITIVO],Tabla44[[#This Row],[ZONA DEFINITIVO]])," ")</f>
        <v xml:space="preserve"> </v>
      </c>
      <c r="AJ389" s="38"/>
      <c r="AK389" s="38"/>
      <c r="AL389" s="35"/>
      <c r="AM389" s="35">
        <f>VLOOKUP(Tabla44[[#This Row],[SERVICIO 2025]],$J$2:$V$15,5,0)*Tabla44[[#This Row],[TOTAL COBERTURA]]</f>
        <v>1036896</v>
      </c>
      <c r="AN389" s="35">
        <f>VLOOKUP(Tabla44[[#This Row],[SERVICIO 2025]],$J$2:$V$15,6,0)*Tabla44[[#This Row],[TOTAL COBERTURA]]</f>
        <v>861609</v>
      </c>
      <c r="AO389" s="35">
        <f>VLOOKUP(Tabla44[[#This Row],[SERVICIO 2025]],$J$2:$V$15,8,0)*Tabla44[[#This Row],[TOTAL COBERTURA]]</f>
        <v>611100</v>
      </c>
      <c r="AP389" s="35">
        <f>VLOOKUP(Tabla44[[#This Row],[SERVICIO 2025]],$J$2:$V$15,3,0)*Tabla44[[#This Row],[TOTAL COBERTURA]]*8</f>
        <v>43274448</v>
      </c>
      <c r="AQ389" s="35"/>
      <c r="AR389" s="35">
        <f>SUM(Tabla44[[#This Row],[VALOR FASE PREPARATORIA DE ALISTAMIENTO]:[VALOR RACION PREPARADA]])</f>
        <v>45784053</v>
      </c>
      <c r="AS389" s="35" t="str">
        <f>+IF(Tabla44[[#This Row],[AGRUPACIONES]]=1,SUMIFS(Tabla44[VALOR TOTAL],Tabla44[ZONA DEFINITIVO],Tabla44[[#This Row],[ZONA DEFINITIVO]])," ")</f>
        <v xml:space="preserve"> </v>
      </c>
      <c r="AT389" s="35">
        <f>VLOOKUP(Tabla44[[#This Row],[SERVICIO 2025]],$J$2:$V$15,10,0)*Tabla44[[#This Row],[TOTAL COBERTURA]]*$X$7</f>
        <v>30304344</v>
      </c>
      <c r="AU389" s="39">
        <f>Tabla44[[#This Row],[TOTAL CONTRATO (ICBF+EAS)]]+Tabla44[[#This Row],[VALOR COMPONENTE ALIMENTACION NO ASIGNADO]]</f>
        <v>76088397</v>
      </c>
      <c r="AV38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10845345</v>
      </c>
      <c r="AW389" s="35">
        <f>(VLOOKUP(Tabla44[[#This Row],[SERVICIO 2025]],$J$2:$V$15,3,0)*Tabla44[[#This Row],[TOTAL COBERTURA]])+VLOOKUP(Tabla44[[#This Row],[SERVICIO 2025]],$J$2:$V$15,10,0)*Tabla44[[#This Row],[TOTAL COBERTURA]]</f>
        <v>9197349</v>
      </c>
      <c r="AX389" s="35">
        <f>(VLOOKUP(Tabla44[[#This Row],[SERVICIO 2025]],$J$2:$V$15,3,0)*Tabla44[[#This Row],[TOTAL COBERTURA]])+VLOOKUP(Tabla44[[#This Row],[SERVICIO 2025]],$J$2:$V$15,10,0)*Tabla44[[#This Row],[TOTAL COBERTURA]]</f>
        <v>9197349</v>
      </c>
      <c r="AY389" s="35">
        <f>(VLOOKUP(Tabla44[[#This Row],[SERVICIO 2025]],$J$2:$V$15,3,0)*Tabla44[[#This Row],[TOTAL COBERTURA]])+VLOOKUP(Tabla44[[#This Row],[SERVICIO 2025]],$J$2:$V$15,10,0)*Tabla44[[#This Row],[TOTAL COBERTURA]]</f>
        <v>9197349</v>
      </c>
      <c r="AZ389" s="35">
        <f>(VLOOKUP(Tabla44[[#This Row],[SERVICIO 2025]],$J$2:$V$15,3,0)*Tabla44[[#This Row],[TOTAL COBERTURA]])+VLOOKUP(Tabla44[[#This Row],[SERVICIO 2025]],$J$2:$V$15,10,0)*Tabla44[[#This Row],[TOTAL COBERTURA]]</f>
        <v>9197349</v>
      </c>
      <c r="BA389" s="35">
        <f>(VLOOKUP(Tabla44[[#This Row],[SERVICIO 2025]],$J$2:$V$15,3,0)*Tabla44[[#This Row],[TOTAL COBERTURA]])+VLOOKUP(Tabla44[[#This Row],[SERVICIO 2025]],$J$2:$V$15,10,0)*Tabla44[[#This Row],[TOTAL COBERTURA]]</f>
        <v>9197349</v>
      </c>
      <c r="BB389" s="35">
        <f>(VLOOKUP(Tabla44[[#This Row],[SERVICIO 2025]],$J$2:$V$15,3,0)*Tabla44[[#This Row],[TOTAL COBERTURA]])+VLOOKUP(Tabla44[[#This Row],[SERVICIO 2025]],$J$2:$V$15,10,0)*Tabla44[[#This Row],[TOTAL COBERTURA]]</f>
        <v>9197349</v>
      </c>
      <c r="BC38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10058958</v>
      </c>
      <c r="BD389" s="35">
        <f>SUM(Tabla44[[#This Row],[DESEMBOLSO 1]:[DESEMBOLSO 8]])</f>
        <v>76088397</v>
      </c>
      <c r="BE389" s="12" t="b">
        <f>EXACT(Tabla44[[#This Row],[VALOR ATENCIÓN (8 MESES)]],Tabla44[[#This Row],[VALOR TOTAL]])</f>
        <v>1</v>
      </c>
      <c r="BF389" s="23">
        <f>Tabla44[[#This Row],[VALOR ATENCIÓN (8 MESES)]]-Tabla44[[#This Row],[VALOR TOTAL]]</f>
        <v>0</v>
      </c>
      <c r="BG389" s="12" t="b">
        <f>EXACT(Tabla44[[#This Row],[TOTAL DESEMBOLSOS]],Tabla44[[#This Row],[VALOR TOTAL DEL CONTRATO INCLUIDO EL COMPONENTE DE ALIMENTACIÓN]])</f>
        <v>1</v>
      </c>
      <c r="BH389" s="29">
        <f>Tabla44[[#This Row],[TOTAL DESEMBOLSOS]]-Tabla44[[#This Row],[VALOR TOTAL DEL CONTRATO INCLUIDO EL COMPONENTE DE ALIMENTACIÓN]]</f>
        <v>0</v>
      </c>
      <c r="BI389" t="s">
        <v>98</v>
      </c>
    </row>
    <row r="390" spans="1:61">
      <c r="A390" s="13">
        <v>2017</v>
      </c>
      <c r="B390" s="13"/>
      <c r="C390" s="12" t="s">
        <v>87</v>
      </c>
      <c r="D390" s="12" t="s">
        <v>1628</v>
      </c>
      <c r="E390" s="12" t="s">
        <v>3551</v>
      </c>
      <c r="F390" s="12" t="s">
        <v>18</v>
      </c>
      <c r="G390" s="12" t="s">
        <v>90</v>
      </c>
      <c r="H390" s="12" t="s">
        <v>3566</v>
      </c>
      <c r="I390" s="36">
        <v>58541148735</v>
      </c>
      <c r="J390" s="12" t="s">
        <v>3567</v>
      </c>
      <c r="K390" s="12">
        <v>1</v>
      </c>
      <c r="L390" s="12">
        <v>7</v>
      </c>
      <c r="M390" s="12"/>
      <c r="N390" s="13">
        <v>2017</v>
      </c>
      <c r="O390" s="12" t="s">
        <v>2850</v>
      </c>
      <c r="P390" s="12"/>
      <c r="Q390" s="12"/>
      <c r="R390" s="12" t="s">
        <v>94</v>
      </c>
      <c r="S390" s="12">
        <v>10</v>
      </c>
      <c r="T390" s="12">
        <v>818001449</v>
      </c>
      <c r="U390" s="12" t="s">
        <v>3247</v>
      </c>
      <c r="V390" s="12">
        <f>VLOOKUP(Tabla44[[#This Row],[ZONA DEFINITIVO]],[1]Hoja1!$A$1:$D$125,3,0)</f>
        <v>229944</v>
      </c>
      <c r="W390" s="12">
        <f>VLOOKUP(Tabla44[[#This Row],[ZONA DEFINITIVO]],[1]Hoja1!$A$1:$D$125,2,0)</f>
        <v>17258</v>
      </c>
      <c r="X390" s="12">
        <f>VLOOKUP(Tabla44[[#This Row],[ZONA DEFINITIVO]],[1]Hoja1!$A$1:$D$125,4,0)</f>
        <v>104725</v>
      </c>
      <c r="Y390" s="12" t="str">
        <f>+IF(Tabla44[[#This Row],[AGRUPACIONES]]=1,SUMIFS(Tabla44[UDS],Tabla44[ZONA DEFINITIVO],Tabla44[[#This Row],[ZONA DEFINITIVO]])," ")</f>
        <v xml:space="preserve"> </v>
      </c>
      <c r="Z390" s="12" t="str">
        <f>+IF(Tabla44[[#This Row],[AGRUPACIONES]]=1,SUMIFS(Tabla44[TOTAL COBERTURA],Tabla44[ZONA DEFINITIVO],Tabla44[[#This Row],[ZONA DEFINITIVO]])," ")</f>
        <v xml:space="preserve"> </v>
      </c>
      <c r="AA390" s="12"/>
      <c r="AB390" s="35">
        <v>15261351</v>
      </c>
      <c r="AC390" s="37">
        <v>0</v>
      </c>
      <c r="AD390" s="35">
        <f t="shared" si="6"/>
        <v>0</v>
      </c>
      <c r="AE390" s="12"/>
      <c r="AF390" s="12">
        <f>COUNTIF($A$20:A390,A390)</f>
        <v>18</v>
      </c>
      <c r="AG390" s="38">
        <v>15261351</v>
      </c>
      <c r="AH390" s="38">
        <f>Tabla44[[#This Row],[VALOR CONTRAPARTIDA]]+Tabla44[[#This Row],[TOTAL APORTES ICBF]]</f>
        <v>15261351</v>
      </c>
      <c r="AI390" s="35" t="str">
        <f>+IF(Tabla44[[#This Row],[AGRUPACIONES]]=1,SUMIFS(Tabla44[TOTAL APORTES ICBF],Tabla44[ZONA DEFINITIVO],Tabla44[[#This Row],[ZONA DEFINITIVO]])," ")</f>
        <v xml:space="preserve"> </v>
      </c>
      <c r="AJ390" s="38"/>
      <c r="AK390" s="38"/>
      <c r="AL390" s="35"/>
      <c r="AM390" s="35">
        <f>VLOOKUP(Tabla44[[#This Row],[SERVICIO 2025]],$J$2:$V$15,5,0)*Tabla44[[#This Row],[TOTAL COBERTURA]]</f>
        <v>345632</v>
      </c>
      <c r="AN390" s="35">
        <f>VLOOKUP(Tabla44[[#This Row],[SERVICIO 2025]],$J$2:$V$15,6,0)*Tabla44[[#This Row],[TOTAL COBERTURA]]</f>
        <v>287203</v>
      </c>
      <c r="AO390" s="35">
        <f>VLOOKUP(Tabla44[[#This Row],[SERVICIO 2025]],$J$2:$V$15,8,0)*Tabla44[[#This Row],[TOTAL COBERTURA]]</f>
        <v>203700</v>
      </c>
      <c r="AP390" s="35">
        <f>VLOOKUP(Tabla44[[#This Row],[SERVICIO 2025]],$J$2:$V$15,3,0)*Tabla44[[#This Row],[TOTAL COBERTURA]]*8</f>
        <v>14424816</v>
      </c>
      <c r="AQ390" s="35"/>
      <c r="AR390" s="35">
        <f>SUM(Tabla44[[#This Row],[VALOR FASE PREPARATORIA DE ALISTAMIENTO]:[VALOR RACION PREPARADA]])</f>
        <v>15261351</v>
      </c>
      <c r="AS390" s="35" t="str">
        <f>+IF(Tabla44[[#This Row],[AGRUPACIONES]]=1,SUMIFS(Tabla44[VALOR TOTAL],Tabla44[ZONA DEFINITIVO],Tabla44[[#This Row],[ZONA DEFINITIVO]])," ")</f>
        <v xml:space="preserve"> </v>
      </c>
      <c r="AT390" s="35">
        <f>VLOOKUP(Tabla44[[#This Row],[SERVICIO 2025]],$J$2:$V$15,10,0)*Tabla44[[#This Row],[TOTAL COBERTURA]]*$X$7</f>
        <v>10101448</v>
      </c>
      <c r="AU390" s="39">
        <f>Tabla44[[#This Row],[TOTAL CONTRATO (ICBF+EAS)]]+Tabla44[[#This Row],[VALOR COMPONENTE ALIMENTACION NO ASIGNADO]]</f>
        <v>25362799</v>
      </c>
      <c r="AV39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3615115</v>
      </c>
      <c r="AW390" s="35">
        <f>(VLOOKUP(Tabla44[[#This Row],[SERVICIO 2025]],$J$2:$V$15,3,0)*Tabla44[[#This Row],[TOTAL COBERTURA]])+VLOOKUP(Tabla44[[#This Row],[SERVICIO 2025]],$J$2:$V$15,10,0)*Tabla44[[#This Row],[TOTAL COBERTURA]]</f>
        <v>3065783</v>
      </c>
      <c r="AX390" s="35">
        <f>(VLOOKUP(Tabla44[[#This Row],[SERVICIO 2025]],$J$2:$V$15,3,0)*Tabla44[[#This Row],[TOTAL COBERTURA]])+VLOOKUP(Tabla44[[#This Row],[SERVICIO 2025]],$J$2:$V$15,10,0)*Tabla44[[#This Row],[TOTAL COBERTURA]]</f>
        <v>3065783</v>
      </c>
      <c r="AY390" s="35">
        <f>(VLOOKUP(Tabla44[[#This Row],[SERVICIO 2025]],$J$2:$V$15,3,0)*Tabla44[[#This Row],[TOTAL COBERTURA]])+VLOOKUP(Tabla44[[#This Row],[SERVICIO 2025]],$J$2:$V$15,10,0)*Tabla44[[#This Row],[TOTAL COBERTURA]]</f>
        <v>3065783</v>
      </c>
      <c r="AZ390" s="35">
        <f>(VLOOKUP(Tabla44[[#This Row],[SERVICIO 2025]],$J$2:$V$15,3,0)*Tabla44[[#This Row],[TOTAL COBERTURA]])+VLOOKUP(Tabla44[[#This Row],[SERVICIO 2025]],$J$2:$V$15,10,0)*Tabla44[[#This Row],[TOTAL COBERTURA]]</f>
        <v>3065783</v>
      </c>
      <c r="BA390" s="35">
        <f>(VLOOKUP(Tabla44[[#This Row],[SERVICIO 2025]],$J$2:$V$15,3,0)*Tabla44[[#This Row],[TOTAL COBERTURA]])+VLOOKUP(Tabla44[[#This Row],[SERVICIO 2025]],$J$2:$V$15,10,0)*Tabla44[[#This Row],[TOTAL COBERTURA]]</f>
        <v>3065783</v>
      </c>
      <c r="BB390" s="35">
        <f>(VLOOKUP(Tabla44[[#This Row],[SERVICIO 2025]],$J$2:$V$15,3,0)*Tabla44[[#This Row],[TOTAL COBERTURA]])+VLOOKUP(Tabla44[[#This Row],[SERVICIO 2025]],$J$2:$V$15,10,0)*Tabla44[[#This Row],[TOTAL COBERTURA]]</f>
        <v>3065783</v>
      </c>
      <c r="BC39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3352986</v>
      </c>
      <c r="BD390" s="35">
        <f>SUM(Tabla44[[#This Row],[DESEMBOLSO 1]:[DESEMBOLSO 8]])</f>
        <v>25362799</v>
      </c>
      <c r="BE390" s="12" t="b">
        <f>EXACT(Tabla44[[#This Row],[VALOR ATENCIÓN (8 MESES)]],Tabla44[[#This Row],[VALOR TOTAL]])</f>
        <v>1</v>
      </c>
      <c r="BF390" s="23">
        <f>Tabla44[[#This Row],[VALOR ATENCIÓN (8 MESES)]]-Tabla44[[#This Row],[VALOR TOTAL]]</f>
        <v>0</v>
      </c>
      <c r="BG390" s="12" t="b">
        <f>EXACT(Tabla44[[#This Row],[TOTAL DESEMBOLSOS]],Tabla44[[#This Row],[VALOR TOTAL DEL CONTRATO INCLUIDO EL COMPONENTE DE ALIMENTACIÓN]])</f>
        <v>1</v>
      </c>
      <c r="BH390" s="29">
        <f>Tabla44[[#This Row],[TOTAL DESEMBOLSOS]]-Tabla44[[#This Row],[VALOR TOTAL DEL CONTRATO INCLUIDO EL COMPONENTE DE ALIMENTACIÓN]]</f>
        <v>0</v>
      </c>
      <c r="BI390" t="s">
        <v>98</v>
      </c>
    </row>
    <row r="391" spans="1:61">
      <c r="A391" s="13">
        <v>2017</v>
      </c>
      <c r="B391" s="13"/>
      <c r="C391" s="12" t="s">
        <v>87</v>
      </c>
      <c r="D391" s="12" t="s">
        <v>1628</v>
      </c>
      <c r="E391" s="12" t="s">
        <v>3551</v>
      </c>
      <c r="F391" s="12" t="s">
        <v>18</v>
      </c>
      <c r="G391" s="12" t="s">
        <v>90</v>
      </c>
      <c r="H391" s="12" t="s">
        <v>3568</v>
      </c>
      <c r="I391" s="36">
        <v>58541148737</v>
      </c>
      <c r="J391" s="12" t="s">
        <v>3569</v>
      </c>
      <c r="K391" s="12">
        <v>1</v>
      </c>
      <c r="L391" s="12">
        <v>29</v>
      </c>
      <c r="M391" s="12"/>
      <c r="N391" s="13">
        <v>2017</v>
      </c>
      <c r="O391" s="12" t="s">
        <v>2850</v>
      </c>
      <c r="P391" s="12"/>
      <c r="Q391" s="12"/>
      <c r="R391" s="12" t="s">
        <v>94</v>
      </c>
      <c r="S391" s="12">
        <v>10</v>
      </c>
      <c r="T391" s="12">
        <v>818001449</v>
      </c>
      <c r="U391" s="12" t="s">
        <v>3247</v>
      </c>
      <c r="V391" s="12">
        <f>VLOOKUP(Tabla44[[#This Row],[ZONA DEFINITIVO]],[1]Hoja1!$A$1:$D$125,3,0)</f>
        <v>229944</v>
      </c>
      <c r="W391" s="12">
        <f>VLOOKUP(Tabla44[[#This Row],[ZONA DEFINITIVO]],[1]Hoja1!$A$1:$D$125,2,0)</f>
        <v>17258</v>
      </c>
      <c r="X391" s="12">
        <f>VLOOKUP(Tabla44[[#This Row],[ZONA DEFINITIVO]],[1]Hoja1!$A$1:$D$125,4,0)</f>
        <v>104725</v>
      </c>
      <c r="Y391" s="12" t="str">
        <f>+IF(Tabla44[[#This Row],[AGRUPACIONES]]=1,SUMIFS(Tabla44[UDS],Tabla44[ZONA DEFINITIVO],Tabla44[[#This Row],[ZONA DEFINITIVO]])," ")</f>
        <v xml:space="preserve"> </v>
      </c>
      <c r="Z391" s="12" t="str">
        <f>+IF(Tabla44[[#This Row],[AGRUPACIONES]]=1,SUMIFS(Tabla44[TOTAL COBERTURA],Tabla44[ZONA DEFINITIVO],Tabla44[[#This Row],[ZONA DEFINITIVO]])," ")</f>
        <v xml:space="preserve"> </v>
      </c>
      <c r="AA391" s="12"/>
      <c r="AB391" s="35">
        <v>63225597</v>
      </c>
      <c r="AC391" s="37">
        <v>0</v>
      </c>
      <c r="AD391" s="35">
        <f t="shared" si="6"/>
        <v>0</v>
      </c>
      <c r="AE391" s="12"/>
      <c r="AF391" s="12">
        <f>COUNTIF($A$20:A391,A391)</f>
        <v>19</v>
      </c>
      <c r="AG391" s="38">
        <v>63225597</v>
      </c>
      <c r="AH391" s="38">
        <f>Tabla44[[#This Row],[VALOR CONTRAPARTIDA]]+Tabla44[[#This Row],[TOTAL APORTES ICBF]]</f>
        <v>63225597</v>
      </c>
      <c r="AI391" s="35" t="str">
        <f>+IF(Tabla44[[#This Row],[AGRUPACIONES]]=1,SUMIFS(Tabla44[TOTAL APORTES ICBF],Tabla44[ZONA DEFINITIVO],Tabla44[[#This Row],[ZONA DEFINITIVO]])," ")</f>
        <v xml:space="preserve"> </v>
      </c>
      <c r="AJ391" s="38"/>
      <c r="AK391" s="38"/>
      <c r="AL391" s="35"/>
      <c r="AM391" s="35">
        <f>VLOOKUP(Tabla44[[#This Row],[SERVICIO 2025]],$J$2:$V$15,5,0)*Tabla44[[#This Row],[TOTAL COBERTURA]]</f>
        <v>1431904</v>
      </c>
      <c r="AN391" s="35">
        <f>VLOOKUP(Tabla44[[#This Row],[SERVICIO 2025]],$J$2:$V$15,6,0)*Tabla44[[#This Row],[TOTAL COBERTURA]]</f>
        <v>1189841</v>
      </c>
      <c r="AO391" s="35">
        <f>VLOOKUP(Tabla44[[#This Row],[SERVICIO 2025]],$J$2:$V$15,8,0)*Tabla44[[#This Row],[TOTAL COBERTURA]]</f>
        <v>843900</v>
      </c>
      <c r="AP391" s="35">
        <f>VLOOKUP(Tabla44[[#This Row],[SERVICIO 2025]],$J$2:$V$15,3,0)*Tabla44[[#This Row],[TOTAL COBERTURA]]*8</f>
        <v>59759952</v>
      </c>
      <c r="AQ391" s="35"/>
      <c r="AR391" s="35">
        <f>SUM(Tabla44[[#This Row],[VALOR FASE PREPARATORIA DE ALISTAMIENTO]:[VALOR RACION PREPARADA]])</f>
        <v>63225597</v>
      </c>
      <c r="AS391" s="35" t="str">
        <f>+IF(Tabla44[[#This Row],[AGRUPACIONES]]=1,SUMIFS(Tabla44[VALOR TOTAL],Tabla44[ZONA DEFINITIVO],Tabla44[[#This Row],[ZONA DEFINITIVO]])," ")</f>
        <v xml:space="preserve"> </v>
      </c>
      <c r="AT391" s="35">
        <f>VLOOKUP(Tabla44[[#This Row],[SERVICIO 2025]],$J$2:$V$15,10,0)*Tabla44[[#This Row],[TOTAL COBERTURA]]*$X$7</f>
        <v>41848856</v>
      </c>
      <c r="AU391" s="39">
        <f>Tabla44[[#This Row],[TOTAL CONTRATO (ICBF+EAS)]]+Tabla44[[#This Row],[VALOR COMPONENTE ALIMENTACION NO ASIGNADO]]</f>
        <v>105074453</v>
      </c>
      <c r="AV39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14976905</v>
      </c>
      <c r="AW391" s="35">
        <f>(VLOOKUP(Tabla44[[#This Row],[SERVICIO 2025]],$J$2:$V$15,3,0)*Tabla44[[#This Row],[TOTAL COBERTURA]])+VLOOKUP(Tabla44[[#This Row],[SERVICIO 2025]],$J$2:$V$15,10,0)*Tabla44[[#This Row],[TOTAL COBERTURA]]</f>
        <v>12701101</v>
      </c>
      <c r="AX391" s="35">
        <f>(VLOOKUP(Tabla44[[#This Row],[SERVICIO 2025]],$J$2:$V$15,3,0)*Tabla44[[#This Row],[TOTAL COBERTURA]])+VLOOKUP(Tabla44[[#This Row],[SERVICIO 2025]],$J$2:$V$15,10,0)*Tabla44[[#This Row],[TOTAL COBERTURA]]</f>
        <v>12701101</v>
      </c>
      <c r="AY391" s="35">
        <f>(VLOOKUP(Tabla44[[#This Row],[SERVICIO 2025]],$J$2:$V$15,3,0)*Tabla44[[#This Row],[TOTAL COBERTURA]])+VLOOKUP(Tabla44[[#This Row],[SERVICIO 2025]],$J$2:$V$15,10,0)*Tabla44[[#This Row],[TOTAL COBERTURA]]</f>
        <v>12701101</v>
      </c>
      <c r="AZ391" s="35">
        <f>(VLOOKUP(Tabla44[[#This Row],[SERVICIO 2025]],$J$2:$V$15,3,0)*Tabla44[[#This Row],[TOTAL COBERTURA]])+VLOOKUP(Tabla44[[#This Row],[SERVICIO 2025]],$J$2:$V$15,10,0)*Tabla44[[#This Row],[TOTAL COBERTURA]]</f>
        <v>12701101</v>
      </c>
      <c r="BA391" s="35">
        <f>(VLOOKUP(Tabla44[[#This Row],[SERVICIO 2025]],$J$2:$V$15,3,0)*Tabla44[[#This Row],[TOTAL COBERTURA]])+VLOOKUP(Tabla44[[#This Row],[SERVICIO 2025]],$J$2:$V$15,10,0)*Tabla44[[#This Row],[TOTAL COBERTURA]]</f>
        <v>12701101</v>
      </c>
      <c r="BB391" s="35">
        <f>(VLOOKUP(Tabla44[[#This Row],[SERVICIO 2025]],$J$2:$V$15,3,0)*Tabla44[[#This Row],[TOTAL COBERTURA]])+VLOOKUP(Tabla44[[#This Row],[SERVICIO 2025]],$J$2:$V$15,10,0)*Tabla44[[#This Row],[TOTAL COBERTURA]]</f>
        <v>12701101</v>
      </c>
      <c r="BC39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13890942</v>
      </c>
      <c r="BD391" s="35">
        <f>SUM(Tabla44[[#This Row],[DESEMBOLSO 1]:[DESEMBOLSO 8]])</f>
        <v>105074453</v>
      </c>
      <c r="BE391" s="12" t="b">
        <f>EXACT(Tabla44[[#This Row],[VALOR ATENCIÓN (8 MESES)]],Tabla44[[#This Row],[VALOR TOTAL]])</f>
        <v>1</v>
      </c>
      <c r="BF391" s="23">
        <f>Tabla44[[#This Row],[VALOR ATENCIÓN (8 MESES)]]-Tabla44[[#This Row],[VALOR TOTAL]]</f>
        <v>0</v>
      </c>
      <c r="BG391" s="12" t="b">
        <f>EXACT(Tabla44[[#This Row],[TOTAL DESEMBOLSOS]],Tabla44[[#This Row],[VALOR TOTAL DEL CONTRATO INCLUIDO EL COMPONENTE DE ALIMENTACIÓN]])</f>
        <v>1</v>
      </c>
      <c r="BH391" s="29">
        <f>Tabla44[[#This Row],[TOTAL DESEMBOLSOS]]-Tabla44[[#This Row],[VALOR TOTAL DEL CONTRATO INCLUIDO EL COMPONENTE DE ALIMENTACIÓN]]</f>
        <v>0</v>
      </c>
      <c r="BI391" t="s">
        <v>98</v>
      </c>
    </row>
    <row r="392" spans="1:61">
      <c r="A392" s="13">
        <v>2017</v>
      </c>
      <c r="B392" s="13"/>
      <c r="C392" s="12" t="s">
        <v>87</v>
      </c>
      <c r="D392" s="12" t="s">
        <v>1628</v>
      </c>
      <c r="E392" s="12" t="s">
        <v>3551</v>
      </c>
      <c r="F392" s="12" t="s">
        <v>18</v>
      </c>
      <c r="G392" s="12" t="s">
        <v>90</v>
      </c>
      <c r="H392" s="12" t="s">
        <v>3570</v>
      </c>
      <c r="I392" s="36">
        <v>58541148765</v>
      </c>
      <c r="J392" s="12" t="s">
        <v>3571</v>
      </c>
      <c r="K392" s="12">
        <v>1</v>
      </c>
      <c r="L392" s="12">
        <v>17</v>
      </c>
      <c r="M392" s="12"/>
      <c r="N392" s="13">
        <v>2017</v>
      </c>
      <c r="O392" s="12" t="s">
        <v>2850</v>
      </c>
      <c r="P392" s="12"/>
      <c r="Q392" s="12"/>
      <c r="R392" s="12" t="s">
        <v>94</v>
      </c>
      <c r="S392" s="12">
        <v>10</v>
      </c>
      <c r="T392" s="12">
        <v>818001449</v>
      </c>
      <c r="U392" s="12" t="s">
        <v>3247</v>
      </c>
      <c r="V392" s="12">
        <f>VLOOKUP(Tabla44[[#This Row],[ZONA DEFINITIVO]],[1]Hoja1!$A$1:$D$125,3,0)</f>
        <v>229944</v>
      </c>
      <c r="W392" s="12">
        <f>VLOOKUP(Tabla44[[#This Row],[ZONA DEFINITIVO]],[1]Hoja1!$A$1:$D$125,2,0)</f>
        <v>17258</v>
      </c>
      <c r="X392" s="12">
        <f>VLOOKUP(Tabla44[[#This Row],[ZONA DEFINITIVO]],[1]Hoja1!$A$1:$D$125,4,0)</f>
        <v>104725</v>
      </c>
      <c r="Y392" s="12" t="str">
        <f>+IF(Tabla44[[#This Row],[AGRUPACIONES]]=1,SUMIFS(Tabla44[UDS],Tabla44[ZONA DEFINITIVO],Tabla44[[#This Row],[ZONA DEFINITIVO]])," ")</f>
        <v xml:space="preserve"> </v>
      </c>
      <c r="Z392" s="12" t="str">
        <f>+IF(Tabla44[[#This Row],[AGRUPACIONES]]=1,SUMIFS(Tabla44[TOTAL COBERTURA],Tabla44[ZONA DEFINITIVO],Tabla44[[#This Row],[ZONA DEFINITIVO]])," ")</f>
        <v xml:space="preserve"> </v>
      </c>
      <c r="AA392" s="12"/>
      <c r="AB392" s="35">
        <v>37063281</v>
      </c>
      <c r="AC392" s="37">
        <v>0</v>
      </c>
      <c r="AD392" s="35">
        <f t="shared" si="6"/>
        <v>0</v>
      </c>
      <c r="AE392" s="12"/>
      <c r="AF392" s="12">
        <f>COUNTIF($A$20:A392,A392)</f>
        <v>20</v>
      </c>
      <c r="AG392" s="38">
        <v>37063281</v>
      </c>
      <c r="AH392" s="38">
        <f>Tabla44[[#This Row],[VALOR CONTRAPARTIDA]]+Tabla44[[#This Row],[TOTAL APORTES ICBF]]</f>
        <v>37063281</v>
      </c>
      <c r="AI392" s="35" t="str">
        <f>+IF(Tabla44[[#This Row],[AGRUPACIONES]]=1,SUMIFS(Tabla44[TOTAL APORTES ICBF],Tabla44[ZONA DEFINITIVO],Tabla44[[#This Row],[ZONA DEFINITIVO]])," ")</f>
        <v xml:space="preserve"> </v>
      </c>
      <c r="AJ392" s="38"/>
      <c r="AK392" s="38"/>
      <c r="AL392" s="35"/>
      <c r="AM392" s="35">
        <f>VLOOKUP(Tabla44[[#This Row],[SERVICIO 2025]],$J$2:$V$15,5,0)*Tabla44[[#This Row],[TOTAL COBERTURA]]</f>
        <v>839392</v>
      </c>
      <c r="AN392" s="35">
        <f>VLOOKUP(Tabla44[[#This Row],[SERVICIO 2025]],$J$2:$V$15,6,0)*Tabla44[[#This Row],[TOTAL COBERTURA]]</f>
        <v>697493</v>
      </c>
      <c r="AO392" s="35">
        <f>VLOOKUP(Tabla44[[#This Row],[SERVICIO 2025]],$J$2:$V$15,8,0)*Tabla44[[#This Row],[TOTAL COBERTURA]]</f>
        <v>494700</v>
      </c>
      <c r="AP392" s="35">
        <f>VLOOKUP(Tabla44[[#This Row],[SERVICIO 2025]],$J$2:$V$15,3,0)*Tabla44[[#This Row],[TOTAL COBERTURA]]*8</f>
        <v>35031696</v>
      </c>
      <c r="AQ392" s="35"/>
      <c r="AR392" s="35">
        <f>SUM(Tabla44[[#This Row],[VALOR FASE PREPARATORIA DE ALISTAMIENTO]:[VALOR RACION PREPARADA]])</f>
        <v>37063281</v>
      </c>
      <c r="AS392" s="35" t="str">
        <f>+IF(Tabla44[[#This Row],[AGRUPACIONES]]=1,SUMIFS(Tabla44[VALOR TOTAL],Tabla44[ZONA DEFINITIVO],Tabla44[[#This Row],[ZONA DEFINITIVO]])," ")</f>
        <v xml:space="preserve"> </v>
      </c>
      <c r="AT392" s="35">
        <f>VLOOKUP(Tabla44[[#This Row],[SERVICIO 2025]],$J$2:$V$15,10,0)*Tabla44[[#This Row],[TOTAL COBERTURA]]*$X$7</f>
        <v>24532088</v>
      </c>
      <c r="AU392" s="39">
        <f>Tabla44[[#This Row],[TOTAL CONTRATO (ICBF+EAS)]]+Tabla44[[#This Row],[VALOR COMPONENTE ALIMENTACION NO ASIGNADO]]</f>
        <v>61595369</v>
      </c>
      <c r="AV39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392" s="35">
        <f>(VLOOKUP(Tabla44[[#This Row],[SERVICIO 2025]],$J$2:$V$15,3,0)*Tabla44[[#This Row],[TOTAL COBERTURA]])+VLOOKUP(Tabla44[[#This Row],[SERVICIO 2025]],$J$2:$V$15,10,0)*Tabla44[[#This Row],[TOTAL COBERTURA]]</f>
        <v>7445473</v>
      </c>
      <c r="AX392" s="35">
        <f>(VLOOKUP(Tabla44[[#This Row],[SERVICIO 2025]],$J$2:$V$15,3,0)*Tabla44[[#This Row],[TOTAL COBERTURA]])+VLOOKUP(Tabla44[[#This Row],[SERVICIO 2025]],$J$2:$V$15,10,0)*Tabla44[[#This Row],[TOTAL COBERTURA]]</f>
        <v>7445473</v>
      </c>
      <c r="AY392" s="35">
        <f>(VLOOKUP(Tabla44[[#This Row],[SERVICIO 2025]],$J$2:$V$15,3,0)*Tabla44[[#This Row],[TOTAL COBERTURA]])+VLOOKUP(Tabla44[[#This Row],[SERVICIO 2025]],$J$2:$V$15,10,0)*Tabla44[[#This Row],[TOTAL COBERTURA]]</f>
        <v>7445473</v>
      </c>
      <c r="AZ392" s="35">
        <f>(VLOOKUP(Tabla44[[#This Row],[SERVICIO 2025]],$J$2:$V$15,3,0)*Tabla44[[#This Row],[TOTAL COBERTURA]])+VLOOKUP(Tabla44[[#This Row],[SERVICIO 2025]],$J$2:$V$15,10,0)*Tabla44[[#This Row],[TOTAL COBERTURA]]</f>
        <v>7445473</v>
      </c>
      <c r="BA392" s="35">
        <f>(VLOOKUP(Tabla44[[#This Row],[SERVICIO 2025]],$J$2:$V$15,3,0)*Tabla44[[#This Row],[TOTAL COBERTURA]])+VLOOKUP(Tabla44[[#This Row],[SERVICIO 2025]],$J$2:$V$15,10,0)*Tabla44[[#This Row],[TOTAL COBERTURA]]</f>
        <v>7445473</v>
      </c>
      <c r="BB392" s="35">
        <f>(VLOOKUP(Tabla44[[#This Row],[SERVICIO 2025]],$J$2:$V$15,3,0)*Tabla44[[#This Row],[TOTAL COBERTURA]])+VLOOKUP(Tabla44[[#This Row],[SERVICIO 2025]],$J$2:$V$15,10,0)*Tabla44[[#This Row],[TOTAL COBERTURA]]</f>
        <v>7445473</v>
      </c>
      <c r="BC39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392" s="35">
        <f>SUM(Tabla44[[#This Row],[DESEMBOLSO 1]:[DESEMBOLSO 8]])</f>
        <v>61595369</v>
      </c>
      <c r="BE392" s="12" t="b">
        <f>EXACT(Tabla44[[#This Row],[VALOR ATENCIÓN (8 MESES)]],Tabla44[[#This Row],[VALOR TOTAL]])</f>
        <v>1</v>
      </c>
      <c r="BF392" s="23">
        <f>Tabla44[[#This Row],[VALOR ATENCIÓN (8 MESES)]]-Tabla44[[#This Row],[VALOR TOTAL]]</f>
        <v>0</v>
      </c>
      <c r="BG392" s="12" t="b">
        <f>EXACT(Tabla44[[#This Row],[TOTAL DESEMBOLSOS]],Tabla44[[#This Row],[VALOR TOTAL DEL CONTRATO INCLUIDO EL COMPONENTE DE ALIMENTACIÓN]])</f>
        <v>1</v>
      </c>
      <c r="BH392" s="29">
        <f>Tabla44[[#This Row],[TOTAL DESEMBOLSOS]]-Tabla44[[#This Row],[VALOR TOTAL DEL CONTRATO INCLUIDO EL COMPONENTE DE ALIMENTACIÓN]]</f>
        <v>0</v>
      </c>
      <c r="BI392" t="s">
        <v>98</v>
      </c>
    </row>
    <row r="393" spans="1:61">
      <c r="A393" s="13">
        <v>2017</v>
      </c>
      <c r="B393" s="13"/>
      <c r="C393" s="12" t="s">
        <v>87</v>
      </c>
      <c r="D393" s="12" t="s">
        <v>1628</v>
      </c>
      <c r="E393" s="12" t="s">
        <v>3551</v>
      </c>
      <c r="F393" s="12" t="s">
        <v>18</v>
      </c>
      <c r="G393" s="12" t="s">
        <v>90</v>
      </c>
      <c r="H393" s="12" t="s">
        <v>3572</v>
      </c>
      <c r="I393" s="36">
        <v>58541150187</v>
      </c>
      <c r="J393" s="12" t="s">
        <v>3573</v>
      </c>
      <c r="K393" s="12">
        <v>1</v>
      </c>
      <c r="L393" s="12">
        <v>22</v>
      </c>
      <c r="M393" s="12"/>
      <c r="N393" s="13">
        <v>2017</v>
      </c>
      <c r="O393" s="12" t="s">
        <v>2850</v>
      </c>
      <c r="P393" s="12"/>
      <c r="Q393" s="12"/>
      <c r="R393" s="12" t="s">
        <v>94</v>
      </c>
      <c r="S393" s="12">
        <v>10</v>
      </c>
      <c r="T393" s="12">
        <v>818001449</v>
      </c>
      <c r="U393" s="12" t="s">
        <v>3247</v>
      </c>
      <c r="V393" s="12">
        <f>VLOOKUP(Tabla44[[#This Row],[ZONA DEFINITIVO]],[1]Hoja1!$A$1:$D$125,3,0)</f>
        <v>229944</v>
      </c>
      <c r="W393" s="12">
        <f>VLOOKUP(Tabla44[[#This Row],[ZONA DEFINITIVO]],[1]Hoja1!$A$1:$D$125,2,0)</f>
        <v>17258</v>
      </c>
      <c r="X393" s="12">
        <f>VLOOKUP(Tabla44[[#This Row],[ZONA DEFINITIVO]],[1]Hoja1!$A$1:$D$125,4,0)</f>
        <v>104725</v>
      </c>
      <c r="Y393" s="12" t="str">
        <f>+IF(Tabla44[[#This Row],[AGRUPACIONES]]=1,SUMIFS(Tabla44[UDS],Tabla44[ZONA DEFINITIVO],Tabla44[[#This Row],[ZONA DEFINITIVO]])," ")</f>
        <v xml:space="preserve"> </v>
      </c>
      <c r="Z393" s="12" t="str">
        <f>+IF(Tabla44[[#This Row],[AGRUPACIONES]]=1,SUMIFS(Tabla44[TOTAL COBERTURA],Tabla44[ZONA DEFINITIVO],Tabla44[[#This Row],[ZONA DEFINITIVO]])," ")</f>
        <v xml:space="preserve"> </v>
      </c>
      <c r="AA393" s="12"/>
      <c r="AB393" s="35">
        <v>47964246</v>
      </c>
      <c r="AC393" s="37">
        <v>0</v>
      </c>
      <c r="AD393" s="35">
        <f t="shared" si="6"/>
        <v>0</v>
      </c>
      <c r="AE393" s="12"/>
      <c r="AF393" s="12">
        <f>COUNTIF($A$20:A393,A393)</f>
        <v>21</v>
      </c>
      <c r="AG393" s="38">
        <v>47964246</v>
      </c>
      <c r="AH393" s="38">
        <f>Tabla44[[#This Row],[VALOR CONTRAPARTIDA]]+Tabla44[[#This Row],[TOTAL APORTES ICBF]]</f>
        <v>47964246</v>
      </c>
      <c r="AI393" s="35" t="str">
        <f>+IF(Tabla44[[#This Row],[AGRUPACIONES]]=1,SUMIFS(Tabla44[TOTAL APORTES ICBF],Tabla44[ZONA DEFINITIVO],Tabla44[[#This Row],[ZONA DEFINITIVO]])," ")</f>
        <v xml:space="preserve"> </v>
      </c>
      <c r="AJ393" s="38"/>
      <c r="AK393" s="38"/>
      <c r="AL393" s="35"/>
      <c r="AM393" s="35">
        <f>VLOOKUP(Tabla44[[#This Row],[SERVICIO 2025]],$J$2:$V$15,5,0)*Tabla44[[#This Row],[TOTAL COBERTURA]]</f>
        <v>1086272</v>
      </c>
      <c r="AN393" s="35">
        <f>VLOOKUP(Tabla44[[#This Row],[SERVICIO 2025]],$J$2:$V$15,6,0)*Tabla44[[#This Row],[TOTAL COBERTURA]]</f>
        <v>902638</v>
      </c>
      <c r="AO393" s="35">
        <f>VLOOKUP(Tabla44[[#This Row],[SERVICIO 2025]],$J$2:$V$15,8,0)*Tabla44[[#This Row],[TOTAL COBERTURA]]</f>
        <v>640200</v>
      </c>
      <c r="AP393" s="35">
        <f>VLOOKUP(Tabla44[[#This Row],[SERVICIO 2025]],$J$2:$V$15,3,0)*Tabla44[[#This Row],[TOTAL COBERTURA]]*8</f>
        <v>45335136</v>
      </c>
      <c r="AQ393" s="35"/>
      <c r="AR393" s="35">
        <f>SUM(Tabla44[[#This Row],[VALOR FASE PREPARATORIA DE ALISTAMIENTO]:[VALOR RACION PREPARADA]])</f>
        <v>47964246</v>
      </c>
      <c r="AS393" s="35" t="str">
        <f>+IF(Tabla44[[#This Row],[AGRUPACIONES]]=1,SUMIFS(Tabla44[VALOR TOTAL],Tabla44[ZONA DEFINITIVO],Tabla44[[#This Row],[ZONA DEFINITIVO]])," ")</f>
        <v xml:space="preserve"> </v>
      </c>
      <c r="AT393" s="35">
        <f>VLOOKUP(Tabla44[[#This Row],[SERVICIO 2025]],$J$2:$V$15,10,0)*Tabla44[[#This Row],[TOTAL COBERTURA]]*$X$7</f>
        <v>31747408</v>
      </c>
      <c r="AU393" s="39">
        <f>Tabla44[[#This Row],[TOTAL CONTRATO (ICBF+EAS)]]+Tabla44[[#This Row],[VALOR COMPONENTE ALIMENTACION NO ASIGNADO]]</f>
        <v>79711654</v>
      </c>
      <c r="AV39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11361790</v>
      </c>
      <c r="AW393" s="35">
        <f>(VLOOKUP(Tabla44[[#This Row],[SERVICIO 2025]],$J$2:$V$15,3,0)*Tabla44[[#This Row],[TOTAL COBERTURA]])+VLOOKUP(Tabla44[[#This Row],[SERVICIO 2025]],$J$2:$V$15,10,0)*Tabla44[[#This Row],[TOTAL COBERTURA]]</f>
        <v>9635318</v>
      </c>
      <c r="AX393" s="35">
        <f>(VLOOKUP(Tabla44[[#This Row],[SERVICIO 2025]],$J$2:$V$15,3,0)*Tabla44[[#This Row],[TOTAL COBERTURA]])+VLOOKUP(Tabla44[[#This Row],[SERVICIO 2025]],$J$2:$V$15,10,0)*Tabla44[[#This Row],[TOTAL COBERTURA]]</f>
        <v>9635318</v>
      </c>
      <c r="AY393" s="35">
        <f>(VLOOKUP(Tabla44[[#This Row],[SERVICIO 2025]],$J$2:$V$15,3,0)*Tabla44[[#This Row],[TOTAL COBERTURA]])+VLOOKUP(Tabla44[[#This Row],[SERVICIO 2025]],$J$2:$V$15,10,0)*Tabla44[[#This Row],[TOTAL COBERTURA]]</f>
        <v>9635318</v>
      </c>
      <c r="AZ393" s="35">
        <f>(VLOOKUP(Tabla44[[#This Row],[SERVICIO 2025]],$J$2:$V$15,3,0)*Tabla44[[#This Row],[TOTAL COBERTURA]])+VLOOKUP(Tabla44[[#This Row],[SERVICIO 2025]],$J$2:$V$15,10,0)*Tabla44[[#This Row],[TOTAL COBERTURA]]</f>
        <v>9635318</v>
      </c>
      <c r="BA393" s="35">
        <f>(VLOOKUP(Tabla44[[#This Row],[SERVICIO 2025]],$J$2:$V$15,3,0)*Tabla44[[#This Row],[TOTAL COBERTURA]])+VLOOKUP(Tabla44[[#This Row],[SERVICIO 2025]],$J$2:$V$15,10,0)*Tabla44[[#This Row],[TOTAL COBERTURA]]</f>
        <v>9635318</v>
      </c>
      <c r="BB393" s="35">
        <f>(VLOOKUP(Tabla44[[#This Row],[SERVICIO 2025]],$J$2:$V$15,3,0)*Tabla44[[#This Row],[TOTAL COBERTURA]])+VLOOKUP(Tabla44[[#This Row],[SERVICIO 2025]],$J$2:$V$15,10,0)*Tabla44[[#This Row],[TOTAL COBERTURA]]</f>
        <v>9635318</v>
      </c>
      <c r="BC39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10537956</v>
      </c>
      <c r="BD393" s="35">
        <f>SUM(Tabla44[[#This Row],[DESEMBOLSO 1]:[DESEMBOLSO 8]])</f>
        <v>79711654</v>
      </c>
      <c r="BE393" s="12" t="b">
        <f>EXACT(Tabla44[[#This Row],[VALOR ATENCIÓN (8 MESES)]],Tabla44[[#This Row],[VALOR TOTAL]])</f>
        <v>1</v>
      </c>
      <c r="BF393" s="23">
        <f>Tabla44[[#This Row],[VALOR ATENCIÓN (8 MESES)]]-Tabla44[[#This Row],[VALOR TOTAL]]</f>
        <v>0</v>
      </c>
      <c r="BG393" s="12" t="b">
        <f>EXACT(Tabla44[[#This Row],[TOTAL DESEMBOLSOS]],Tabla44[[#This Row],[VALOR TOTAL DEL CONTRATO INCLUIDO EL COMPONENTE DE ALIMENTACIÓN]])</f>
        <v>1</v>
      </c>
      <c r="BH393" s="29">
        <f>Tabla44[[#This Row],[TOTAL DESEMBOLSOS]]-Tabla44[[#This Row],[VALOR TOTAL DEL CONTRATO INCLUIDO EL COMPONENTE DE ALIMENTACIÓN]]</f>
        <v>0</v>
      </c>
      <c r="BI393" t="s">
        <v>98</v>
      </c>
    </row>
    <row r="394" spans="1:61">
      <c r="A394" s="13">
        <v>2017</v>
      </c>
      <c r="B394" s="21"/>
      <c r="C394" s="22" t="s">
        <v>87</v>
      </c>
      <c r="D394" s="22" t="s">
        <v>1628</v>
      </c>
      <c r="E394" s="22" t="s">
        <v>3551</v>
      </c>
      <c r="F394" s="22" t="s">
        <v>19</v>
      </c>
      <c r="G394" s="12" t="s">
        <v>90</v>
      </c>
      <c r="H394" s="22" t="s">
        <v>3574</v>
      </c>
      <c r="I394" s="36">
        <v>58541152479</v>
      </c>
      <c r="J394" s="22" t="s">
        <v>3575</v>
      </c>
      <c r="K394" s="12">
        <v>1</v>
      </c>
      <c r="L394" s="22">
        <v>52</v>
      </c>
      <c r="M394" s="22"/>
      <c r="N394" s="13">
        <v>2017</v>
      </c>
      <c r="O394" s="22" t="s">
        <v>2850</v>
      </c>
      <c r="P394" s="22"/>
      <c r="Q394" s="22"/>
      <c r="R394" s="12" t="s">
        <v>94</v>
      </c>
      <c r="S394" s="12">
        <v>10</v>
      </c>
      <c r="T394" s="12">
        <v>818001449</v>
      </c>
      <c r="U394" s="12" t="s">
        <v>3247</v>
      </c>
      <c r="V394" s="22">
        <f>VLOOKUP(Tabla44[[#This Row],[ZONA DEFINITIVO]],[1]Hoja1!$A$1:$D$125,3,0)</f>
        <v>229944</v>
      </c>
      <c r="W394" s="22">
        <f>VLOOKUP(Tabla44[[#This Row],[ZONA DEFINITIVO]],[1]Hoja1!$A$1:$D$125,2,0)</f>
        <v>17258</v>
      </c>
      <c r="X394" s="22">
        <f>VLOOKUP(Tabla44[[#This Row],[ZONA DEFINITIVO]],[1]Hoja1!$A$1:$D$125,4,0)</f>
        <v>104725</v>
      </c>
      <c r="Y394" s="22" t="str">
        <f>+IF(Tabla44[[#This Row],[AGRUPACIONES]]=1,SUMIFS(Tabla44[UDS],Tabla44[ZONA DEFINITIVO],Tabla44[[#This Row],[ZONA DEFINITIVO]])," ")</f>
        <v xml:space="preserve"> </v>
      </c>
      <c r="Z394" s="22" t="str">
        <f>+IF(Tabla44[[#This Row],[AGRUPACIONES]]=1,SUMIFS(Tabla44[TOTAL COBERTURA],Tabla44[ZONA DEFINITIVO],Tabla44[[#This Row],[ZONA DEFINITIVO]])," ")</f>
        <v xml:space="preserve"> </v>
      </c>
      <c r="AA394" s="22"/>
      <c r="AB394" s="40">
        <v>117059852</v>
      </c>
      <c r="AC394" s="37">
        <v>0</v>
      </c>
      <c r="AD394" s="40">
        <f t="shared" si="6"/>
        <v>0</v>
      </c>
      <c r="AE394" s="22"/>
      <c r="AF394" s="12">
        <f>COUNTIF($A$20:A394,A394)</f>
        <v>22</v>
      </c>
      <c r="AG394" s="41">
        <v>117059852</v>
      </c>
      <c r="AH394" s="41">
        <f>Tabla44[[#This Row],[VALOR CONTRAPARTIDA]]+Tabla44[[#This Row],[TOTAL APORTES ICBF]]</f>
        <v>117059852</v>
      </c>
      <c r="AI394" s="40" t="str">
        <f>+IF(Tabla44[[#This Row],[AGRUPACIONES]]=1,SUMIFS(Tabla44[TOTAL APORTES ICBF],Tabla44[ZONA DEFINITIVO],Tabla44[[#This Row],[ZONA DEFINITIVO]])," ")</f>
        <v xml:space="preserve"> </v>
      </c>
      <c r="AJ394" s="41"/>
      <c r="AK394" s="41"/>
      <c r="AL394" s="40"/>
      <c r="AM394" s="40">
        <f>VLOOKUP(Tabla44[[#This Row],[SERVICIO 2025]],$J$2:$V$15,5,0)*Tabla44[[#This Row],[TOTAL COBERTURA]]</f>
        <v>2676076</v>
      </c>
      <c r="AN394" s="40">
        <f>VLOOKUP(Tabla44[[#This Row],[SERVICIO 2025]],$J$2:$V$15,6,0)*Tabla44[[#This Row],[TOTAL COBERTURA]]</f>
        <v>2242032</v>
      </c>
      <c r="AO394" s="40">
        <f>VLOOKUP(Tabla44[[#This Row],[SERVICIO 2025]],$J$2:$V$15,8,0)*Tabla44[[#This Row],[TOTAL COBERTURA]]</f>
        <v>1513200</v>
      </c>
      <c r="AP394" s="40">
        <f>VLOOKUP(Tabla44[[#This Row],[SERVICIO 2025]],$J$2:$V$15,3,0)*Tabla44[[#This Row],[TOTAL COBERTURA]]*8</f>
        <v>110628544</v>
      </c>
      <c r="AQ394" s="40"/>
      <c r="AR394" s="40">
        <f>SUM(Tabla44[[#This Row],[VALOR FASE PREPARATORIA DE ALISTAMIENTO]:[VALOR RACION PREPARADA]])</f>
        <v>117059852</v>
      </c>
      <c r="AS394" s="40" t="str">
        <f>+IF(Tabla44[[#This Row],[AGRUPACIONES]]=1,SUMIFS(Tabla44[VALOR TOTAL],Tabla44[ZONA DEFINITIVO],Tabla44[[#This Row],[ZONA DEFINITIVO]])," ")</f>
        <v xml:space="preserve"> </v>
      </c>
      <c r="AT394" s="35">
        <f>VLOOKUP(Tabla44[[#This Row],[SERVICIO 2025]],$J$2:$V$15,10,0)*Tabla44[[#This Row],[TOTAL COBERTURA]]*$X$7</f>
        <v>75039328</v>
      </c>
      <c r="AU394" s="42">
        <f>Tabla44[[#This Row],[TOTAL CONTRATO (ICBF+EAS)]]+Tabla44[[#This Row],[VALOR COMPONENTE ALIMENTACION NO ASIGNADO]]</f>
        <v>192099180</v>
      </c>
      <c r="AV39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27397760</v>
      </c>
      <c r="AW394" s="35">
        <f>(VLOOKUP(Tabla44[[#This Row],[SERVICIO 2025]],$J$2:$V$15,3,0)*Tabla44[[#This Row],[TOTAL COBERTURA]])+VLOOKUP(Tabla44[[#This Row],[SERVICIO 2025]],$J$2:$V$15,10,0)*Tabla44[[#This Row],[TOTAL COBERTURA]]</f>
        <v>23208484</v>
      </c>
      <c r="AX394" s="40">
        <f>(VLOOKUP(Tabla44[[#This Row],[SERVICIO 2025]],$J$2:$V$15,3,0)*Tabla44[[#This Row],[TOTAL COBERTURA]])+VLOOKUP(Tabla44[[#This Row],[SERVICIO 2025]],$J$2:$V$15,10,0)*Tabla44[[#This Row],[TOTAL COBERTURA]]</f>
        <v>23208484</v>
      </c>
      <c r="AY394" s="40">
        <f>(VLOOKUP(Tabla44[[#This Row],[SERVICIO 2025]],$J$2:$V$15,3,0)*Tabla44[[#This Row],[TOTAL COBERTURA]])+VLOOKUP(Tabla44[[#This Row],[SERVICIO 2025]],$J$2:$V$15,10,0)*Tabla44[[#This Row],[TOTAL COBERTURA]]</f>
        <v>23208484</v>
      </c>
      <c r="AZ394" s="40">
        <f>(VLOOKUP(Tabla44[[#This Row],[SERVICIO 2025]],$J$2:$V$15,3,0)*Tabla44[[#This Row],[TOTAL COBERTURA]])+VLOOKUP(Tabla44[[#This Row],[SERVICIO 2025]],$J$2:$V$15,10,0)*Tabla44[[#This Row],[TOTAL COBERTURA]]</f>
        <v>23208484</v>
      </c>
      <c r="BA394" s="40">
        <f>(VLOOKUP(Tabla44[[#This Row],[SERVICIO 2025]],$J$2:$V$15,3,0)*Tabla44[[#This Row],[TOTAL COBERTURA]])+VLOOKUP(Tabla44[[#This Row],[SERVICIO 2025]],$J$2:$V$15,10,0)*Tabla44[[#This Row],[TOTAL COBERTURA]]</f>
        <v>23208484</v>
      </c>
      <c r="BB394" s="40">
        <f>(VLOOKUP(Tabla44[[#This Row],[SERVICIO 2025]],$J$2:$V$15,3,0)*Tabla44[[#This Row],[TOTAL COBERTURA]])+VLOOKUP(Tabla44[[#This Row],[SERVICIO 2025]],$J$2:$V$15,10,0)*Tabla44[[#This Row],[TOTAL COBERTURA]]</f>
        <v>23208484</v>
      </c>
      <c r="BC394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25450516</v>
      </c>
      <c r="BD394" s="40">
        <f>SUM(Tabla44[[#This Row],[DESEMBOLSO 1]:[DESEMBOLSO 8]])</f>
        <v>192099180</v>
      </c>
      <c r="BE394" s="22" t="b">
        <f>EXACT(Tabla44[[#This Row],[VALOR ATENCIÓN (8 MESES)]],Tabla44[[#This Row],[VALOR TOTAL]])</f>
        <v>1</v>
      </c>
      <c r="BF394" s="28">
        <f>Tabla44[[#This Row],[VALOR ATENCIÓN (8 MESES)]]-Tabla44[[#This Row],[VALOR TOTAL]]</f>
        <v>0</v>
      </c>
      <c r="BG394" s="22" t="b">
        <f>EXACT(Tabla44[[#This Row],[TOTAL DESEMBOLSOS]],Tabla44[[#This Row],[VALOR TOTAL DEL CONTRATO INCLUIDO EL COMPONENTE DE ALIMENTACIÓN]])</f>
        <v>1</v>
      </c>
      <c r="BH394" s="29">
        <f>Tabla44[[#This Row],[TOTAL DESEMBOLSOS]]-Tabla44[[#This Row],[VALOR TOTAL DEL CONTRATO INCLUIDO EL COMPONENTE DE ALIMENTACIÓN]]</f>
        <v>0</v>
      </c>
      <c r="BI394" t="s">
        <v>98</v>
      </c>
    </row>
    <row r="395" spans="1:61">
      <c r="A395" s="13">
        <v>2017</v>
      </c>
      <c r="B395" s="13"/>
      <c r="C395" s="12" t="s">
        <v>87</v>
      </c>
      <c r="D395" s="12" t="s">
        <v>1628</v>
      </c>
      <c r="E395" s="12" t="s">
        <v>3551</v>
      </c>
      <c r="F395" s="12" t="s">
        <v>18</v>
      </c>
      <c r="G395" s="12" t="s">
        <v>90</v>
      </c>
      <c r="H395" s="12" t="s">
        <v>3576</v>
      </c>
      <c r="I395" s="36">
        <v>58541152974</v>
      </c>
      <c r="J395" s="12" t="s">
        <v>3577</v>
      </c>
      <c r="K395" s="12">
        <v>1</v>
      </c>
      <c r="L395" s="12">
        <v>19</v>
      </c>
      <c r="M395" s="12"/>
      <c r="N395" s="13">
        <v>2017</v>
      </c>
      <c r="O395" s="12" t="s">
        <v>2850</v>
      </c>
      <c r="P395" s="12"/>
      <c r="Q395" s="12"/>
      <c r="R395" s="12" t="s">
        <v>94</v>
      </c>
      <c r="S395" s="12">
        <v>10</v>
      </c>
      <c r="T395" s="12">
        <v>818001449</v>
      </c>
      <c r="U395" s="12" t="s">
        <v>3247</v>
      </c>
      <c r="V395" s="12">
        <f>VLOOKUP(Tabla44[[#This Row],[ZONA DEFINITIVO]],[1]Hoja1!$A$1:$D$125,3,0)</f>
        <v>229944</v>
      </c>
      <c r="W395" s="12">
        <f>VLOOKUP(Tabla44[[#This Row],[ZONA DEFINITIVO]],[1]Hoja1!$A$1:$D$125,2,0)</f>
        <v>17258</v>
      </c>
      <c r="X395" s="12">
        <f>VLOOKUP(Tabla44[[#This Row],[ZONA DEFINITIVO]],[1]Hoja1!$A$1:$D$125,4,0)</f>
        <v>104725</v>
      </c>
      <c r="Y395" s="12" t="str">
        <f>+IF(Tabla44[[#This Row],[AGRUPACIONES]]=1,SUMIFS(Tabla44[UDS],Tabla44[ZONA DEFINITIVO],Tabla44[[#This Row],[ZONA DEFINITIVO]])," ")</f>
        <v xml:space="preserve"> </v>
      </c>
      <c r="Z395" s="12" t="str">
        <f>+IF(Tabla44[[#This Row],[AGRUPACIONES]]=1,SUMIFS(Tabla44[TOTAL COBERTURA],Tabla44[ZONA DEFINITIVO],Tabla44[[#This Row],[ZONA DEFINITIVO]])," ")</f>
        <v xml:space="preserve"> </v>
      </c>
      <c r="AA395" s="12"/>
      <c r="AB395" s="35">
        <v>41423667</v>
      </c>
      <c r="AC395" s="37">
        <v>0</v>
      </c>
      <c r="AD395" s="35">
        <f t="shared" si="6"/>
        <v>0</v>
      </c>
      <c r="AE395" s="12"/>
      <c r="AF395" s="12">
        <f>COUNTIF($A$20:A395,A395)</f>
        <v>23</v>
      </c>
      <c r="AG395" s="38">
        <v>41423667</v>
      </c>
      <c r="AH395" s="38">
        <f>Tabla44[[#This Row],[VALOR CONTRAPARTIDA]]+Tabla44[[#This Row],[TOTAL APORTES ICBF]]</f>
        <v>41423667</v>
      </c>
      <c r="AI395" s="35" t="str">
        <f>+IF(Tabla44[[#This Row],[AGRUPACIONES]]=1,SUMIFS(Tabla44[TOTAL APORTES ICBF],Tabla44[ZONA DEFINITIVO],Tabla44[[#This Row],[ZONA DEFINITIVO]])," ")</f>
        <v xml:space="preserve"> </v>
      </c>
      <c r="AJ395" s="38"/>
      <c r="AK395" s="38"/>
      <c r="AL395" s="35"/>
      <c r="AM395" s="35">
        <f>VLOOKUP(Tabla44[[#This Row],[SERVICIO 2025]],$J$2:$V$15,5,0)*Tabla44[[#This Row],[TOTAL COBERTURA]]</f>
        <v>938144</v>
      </c>
      <c r="AN395" s="35">
        <f>VLOOKUP(Tabla44[[#This Row],[SERVICIO 2025]],$J$2:$V$15,6,0)*Tabla44[[#This Row],[TOTAL COBERTURA]]</f>
        <v>779551</v>
      </c>
      <c r="AO395" s="35">
        <f>VLOOKUP(Tabla44[[#This Row],[SERVICIO 2025]],$J$2:$V$15,8,0)*Tabla44[[#This Row],[TOTAL COBERTURA]]</f>
        <v>552900</v>
      </c>
      <c r="AP395" s="35">
        <f>VLOOKUP(Tabla44[[#This Row],[SERVICIO 2025]],$J$2:$V$15,3,0)*Tabla44[[#This Row],[TOTAL COBERTURA]]*8</f>
        <v>39153072</v>
      </c>
      <c r="AQ395" s="35"/>
      <c r="AR395" s="35">
        <f>SUM(Tabla44[[#This Row],[VALOR FASE PREPARATORIA DE ALISTAMIENTO]:[VALOR RACION PREPARADA]])</f>
        <v>41423667</v>
      </c>
      <c r="AS395" s="35" t="str">
        <f>+IF(Tabla44[[#This Row],[AGRUPACIONES]]=1,SUMIFS(Tabla44[VALOR TOTAL],Tabla44[ZONA DEFINITIVO],Tabla44[[#This Row],[ZONA DEFINITIVO]])," ")</f>
        <v xml:space="preserve"> </v>
      </c>
      <c r="AT395" s="35">
        <f>VLOOKUP(Tabla44[[#This Row],[SERVICIO 2025]],$J$2:$V$15,10,0)*Tabla44[[#This Row],[TOTAL COBERTURA]]*$X$7</f>
        <v>27418216</v>
      </c>
      <c r="AU395" s="39">
        <f>Tabla44[[#This Row],[TOTAL CONTRATO (ICBF+EAS)]]+Tabla44[[#This Row],[VALOR COMPONENTE ALIMENTACION NO ASIGNADO]]</f>
        <v>68841883</v>
      </c>
      <c r="AV39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9812455</v>
      </c>
      <c r="AW395" s="35">
        <f>(VLOOKUP(Tabla44[[#This Row],[SERVICIO 2025]],$J$2:$V$15,3,0)*Tabla44[[#This Row],[TOTAL COBERTURA]])+VLOOKUP(Tabla44[[#This Row],[SERVICIO 2025]],$J$2:$V$15,10,0)*Tabla44[[#This Row],[TOTAL COBERTURA]]</f>
        <v>8321411</v>
      </c>
      <c r="AX395" s="35">
        <f>(VLOOKUP(Tabla44[[#This Row],[SERVICIO 2025]],$J$2:$V$15,3,0)*Tabla44[[#This Row],[TOTAL COBERTURA]])+VLOOKUP(Tabla44[[#This Row],[SERVICIO 2025]],$J$2:$V$15,10,0)*Tabla44[[#This Row],[TOTAL COBERTURA]]</f>
        <v>8321411</v>
      </c>
      <c r="AY395" s="35">
        <f>(VLOOKUP(Tabla44[[#This Row],[SERVICIO 2025]],$J$2:$V$15,3,0)*Tabla44[[#This Row],[TOTAL COBERTURA]])+VLOOKUP(Tabla44[[#This Row],[SERVICIO 2025]],$J$2:$V$15,10,0)*Tabla44[[#This Row],[TOTAL COBERTURA]]</f>
        <v>8321411</v>
      </c>
      <c r="AZ395" s="35">
        <f>(VLOOKUP(Tabla44[[#This Row],[SERVICIO 2025]],$J$2:$V$15,3,0)*Tabla44[[#This Row],[TOTAL COBERTURA]])+VLOOKUP(Tabla44[[#This Row],[SERVICIO 2025]],$J$2:$V$15,10,0)*Tabla44[[#This Row],[TOTAL COBERTURA]]</f>
        <v>8321411</v>
      </c>
      <c r="BA395" s="35">
        <f>(VLOOKUP(Tabla44[[#This Row],[SERVICIO 2025]],$J$2:$V$15,3,0)*Tabla44[[#This Row],[TOTAL COBERTURA]])+VLOOKUP(Tabla44[[#This Row],[SERVICIO 2025]],$J$2:$V$15,10,0)*Tabla44[[#This Row],[TOTAL COBERTURA]]</f>
        <v>8321411</v>
      </c>
      <c r="BB395" s="35">
        <f>(VLOOKUP(Tabla44[[#This Row],[SERVICIO 2025]],$J$2:$V$15,3,0)*Tabla44[[#This Row],[TOTAL COBERTURA]])+VLOOKUP(Tabla44[[#This Row],[SERVICIO 2025]],$J$2:$V$15,10,0)*Tabla44[[#This Row],[TOTAL COBERTURA]]</f>
        <v>8321411</v>
      </c>
      <c r="BC39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9100962</v>
      </c>
      <c r="BD395" s="35">
        <f>SUM(Tabla44[[#This Row],[DESEMBOLSO 1]:[DESEMBOLSO 8]])</f>
        <v>68841883</v>
      </c>
      <c r="BE395" s="12" t="b">
        <f>EXACT(Tabla44[[#This Row],[VALOR ATENCIÓN (8 MESES)]],Tabla44[[#This Row],[VALOR TOTAL]])</f>
        <v>1</v>
      </c>
      <c r="BF395" s="23">
        <f>Tabla44[[#This Row],[VALOR ATENCIÓN (8 MESES)]]-Tabla44[[#This Row],[VALOR TOTAL]]</f>
        <v>0</v>
      </c>
      <c r="BG395" s="12" t="b">
        <f>EXACT(Tabla44[[#This Row],[TOTAL DESEMBOLSOS]],Tabla44[[#This Row],[VALOR TOTAL DEL CONTRATO INCLUIDO EL COMPONENTE DE ALIMENTACIÓN]])</f>
        <v>1</v>
      </c>
      <c r="BH395" s="29">
        <f>Tabla44[[#This Row],[TOTAL DESEMBOLSOS]]-Tabla44[[#This Row],[VALOR TOTAL DEL CONTRATO INCLUIDO EL COMPONENTE DE ALIMENTACIÓN]]</f>
        <v>0</v>
      </c>
      <c r="BI395" t="s">
        <v>98</v>
      </c>
    </row>
    <row r="396" spans="1:61">
      <c r="A396" s="13">
        <v>2017</v>
      </c>
      <c r="B396" s="13"/>
      <c r="C396" s="12" t="s">
        <v>87</v>
      </c>
      <c r="D396" s="12" t="s">
        <v>1628</v>
      </c>
      <c r="E396" s="12" t="s">
        <v>3551</v>
      </c>
      <c r="F396" s="12" t="s">
        <v>18</v>
      </c>
      <c r="G396" s="12" t="s">
        <v>90</v>
      </c>
      <c r="H396" s="12" t="s">
        <v>2523</v>
      </c>
      <c r="I396" s="36">
        <v>58541152975</v>
      </c>
      <c r="J396" s="12" t="s">
        <v>3578</v>
      </c>
      <c r="K396" s="12">
        <v>1</v>
      </c>
      <c r="L396" s="12">
        <v>14</v>
      </c>
      <c r="M396" s="12"/>
      <c r="N396" s="13">
        <v>2017</v>
      </c>
      <c r="O396" s="12" t="s">
        <v>2850</v>
      </c>
      <c r="P396" s="12"/>
      <c r="Q396" s="12"/>
      <c r="R396" s="12" t="s">
        <v>94</v>
      </c>
      <c r="S396" s="12">
        <v>10</v>
      </c>
      <c r="T396" s="12">
        <v>818001449</v>
      </c>
      <c r="U396" s="12" t="s">
        <v>3247</v>
      </c>
      <c r="V396" s="12">
        <f>VLOOKUP(Tabla44[[#This Row],[ZONA DEFINITIVO]],[1]Hoja1!$A$1:$D$125,3,0)</f>
        <v>229944</v>
      </c>
      <c r="W396" s="12">
        <f>VLOOKUP(Tabla44[[#This Row],[ZONA DEFINITIVO]],[1]Hoja1!$A$1:$D$125,2,0)</f>
        <v>17258</v>
      </c>
      <c r="X396" s="12">
        <f>VLOOKUP(Tabla44[[#This Row],[ZONA DEFINITIVO]],[1]Hoja1!$A$1:$D$125,4,0)</f>
        <v>104725</v>
      </c>
      <c r="Y396" s="12" t="str">
        <f>+IF(Tabla44[[#This Row],[AGRUPACIONES]]=1,SUMIFS(Tabla44[UDS],Tabla44[ZONA DEFINITIVO],Tabla44[[#This Row],[ZONA DEFINITIVO]])," ")</f>
        <v xml:space="preserve"> </v>
      </c>
      <c r="Z396" s="12" t="str">
        <f>+IF(Tabla44[[#This Row],[AGRUPACIONES]]=1,SUMIFS(Tabla44[TOTAL COBERTURA],Tabla44[ZONA DEFINITIVO],Tabla44[[#This Row],[ZONA DEFINITIVO]])," ")</f>
        <v xml:space="preserve"> </v>
      </c>
      <c r="AA396" s="12"/>
      <c r="AB396" s="35">
        <v>30522702</v>
      </c>
      <c r="AC396" s="37">
        <v>0</v>
      </c>
      <c r="AD396" s="35">
        <f t="shared" si="6"/>
        <v>0</v>
      </c>
      <c r="AE396" s="12"/>
      <c r="AF396" s="12">
        <f>COUNTIF($A$20:A396,A396)</f>
        <v>24</v>
      </c>
      <c r="AG396" s="38">
        <v>30522702</v>
      </c>
      <c r="AH396" s="38">
        <f>Tabla44[[#This Row],[VALOR CONTRAPARTIDA]]+Tabla44[[#This Row],[TOTAL APORTES ICBF]]</f>
        <v>30522702</v>
      </c>
      <c r="AI396" s="35" t="str">
        <f>+IF(Tabla44[[#This Row],[AGRUPACIONES]]=1,SUMIFS(Tabla44[TOTAL APORTES ICBF],Tabla44[ZONA DEFINITIVO],Tabla44[[#This Row],[ZONA DEFINITIVO]])," ")</f>
        <v xml:space="preserve"> </v>
      </c>
      <c r="AJ396" s="38"/>
      <c r="AK396" s="38"/>
      <c r="AL396" s="35"/>
      <c r="AM396" s="35">
        <f>VLOOKUP(Tabla44[[#This Row],[SERVICIO 2025]],$J$2:$V$15,5,0)*Tabla44[[#This Row],[TOTAL COBERTURA]]</f>
        <v>691264</v>
      </c>
      <c r="AN396" s="35">
        <f>VLOOKUP(Tabla44[[#This Row],[SERVICIO 2025]],$J$2:$V$15,6,0)*Tabla44[[#This Row],[TOTAL COBERTURA]]</f>
        <v>574406</v>
      </c>
      <c r="AO396" s="35">
        <f>VLOOKUP(Tabla44[[#This Row],[SERVICIO 2025]],$J$2:$V$15,8,0)*Tabla44[[#This Row],[TOTAL COBERTURA]]</f>
        <v>407400</v>
      </c>
      <c r="AP396" s="35">
        <f>VLOOKUP(Tabla44[[#This Row],[SERVICIO 2025]],$J$2:$V$15,3,0)*Tabla44[[#This Row],[TOTAL COBERTURA]]*8</f>
        <v>28849632</v>
      </c>
      <c r="AQ396" s="35"/>
      <c r="AR396" s="35">
        <f>SUM(Tabla44[[#This Row],[VALOR FASE PREPARATORIA DE ALISTAMIENTO]:[VALOR RACION PREPARADA]])</f>
        <v>30522702</v>
      </c>
      <c r="AS396" s="35" t="str">
        <f>+IF(Tabla44[[#This Row],[AGRUPACIONES]]=1,SUMIFS(Tabla44[VALOR TOTAL],Tabla44[ZONA DEFINITIVO],Tabla44[[#This Row],[ZONA DEFINITIVO]])," ")</f>
        <v xml:space="preserve"> </v>
      </c>
      <c r="AT396" s="35">
        <f>VLOOKUP(Tabla44[[#This Row],[SERVICIO 2025]],$J$2:$V$15,10,0)*Tabla44[[#This Row],[TOTAL COBERTURA]]*$X$7</f>
        <v>20202896</v>
      </c>
      <c r="AU396" s="39">
        <f>Tabla44[[#This Row],[TOTAL CONTRATO (ICBF+EAS)]]+Tabla44[[#This Row],[VALOR COMPONENTE ALIMENTACION NO ASIGNADO]]</f>
        <v>50725598</v>
      </c>
      <c r="AV39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396" s="35">
        <f>(VLOOKUP(Tabla44[[#This Row],[SERVICIO 2025]],$J$2:$V$15,3,0)*Tabla44[[#This Row],[TOTAL COBERTURA]])+VLOOKUP(Tabla44[[#This Row],[SERVICIO 2025]],$J$2:$V$15,10,0)*Tabla44[[#This Row],[TOTAL COBERTURA]]</f>
        <v>6131566</v>
      </c>
      <c r="AX396" s="35">
        <f>(VLOOKUP(Tabla44[[#This Row],[SERVICIO 2025]],$J$2:$V$15,3,0)*Tabla44[[#This Row],[TOTAL COBERTURA]])+VLOOKUP(Tabla44[[#This Row],[SERVICIO 2025]],$J$2:$V$15,10,0)*Tabla44[[#This Row],[TOTAL COBERTURA]]</f>
        <v>6131566</v>
      </c>
      <c r="AY396" s="35">
        <f>(VLOOKUP(Tabla44[[#This Row],[SERVICIO 2025]],$J$2:$V$15,3,0)*Tabla44[[#This Row],[TOTAL COBERTURA]])+VLOOKUP(Tabla44[[#This Row],[SERVICIO 2025]],$J$2:$V$15,10,0)*Tabla44[[#This Row],[TOTAL COBERTURA]]</f>
        <v>6131566</v>
      </c>
      <c r="AZ396" s="35">
        <f>(VLOOKUP(Tabla44[[#This Row],[SERVICIO 2025]],$J$2:$V$15,3,0)*Tabla44[[#This Row],[TOTAL COBERTURA]])+VLOOKUP(Tabla44[[#This Row],[SERVICIO 2025]],$J$2:$V$15,10,0)*Tabla44[[#This Row],[TOTAL COBERTURA]]</f>
        <v>6131566</v>
      </c>
      <c r="BA396" s="35">
        <f>(VLOOKUP(Tabla44[[#This Row],[SERVICIO 2025]],$J$2:$V$15,3,0)*Tabla44[[#This Row],[TOTAL COBERTURA]])+VLOOKUP(Tabla44[[#This Row],[SERVICIO 2025]],$J$2:$V$15,10,0)*Tabla44[[#This Row],[TOTAL COBERTURA]]</f>
        <v>6131566</v>
      </c>
      <c r="BB396" s="35">
        <f>(VLOOKUP(Tabla44[[#This Row],[SERVICIO 2025]],$J$2:$V$15,3,0)*Tabla44[[#This Row],[TOTAL COBERTURA]])+VLOOKUP(Tabla44[[#This Row],[SERVICIO 2025]],$J$2:$V$15,10,0)*Tabla44[[#This Row],[TOTAL COBERTURA]]</f>
        <v>6131566</v>
      </c>
      <c r="BC39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396" s="35">
        <f>SUM(Tabla44[[#This Row],[DESEMBOLSO 1]:[DESEMBOLSO 8]])</f>
        <v>50725598</v>
      </c>
      <c r="BE396" s="12" t="b">
        <f>EXACT(Tabla44[[#This Row],[VALOR ATENCIÓN (8 MESES)]],Tabla44[[#This Row],[VALOR TOTAL]])</f>
        <v>1</v>
      </c>
      <c r="BF396" s="23">
        <f>Tabla44[[#This Row],[VALOR ATENCIÓN (8 MESES)]]-Tabla44[[#This Row],[VALOR TOTAL]]</f>
        <v>0</v>
      </c>
      <c r="BG396" s="12" t="b">
        <f>EXACT(Tabla44[[#This Row],[TOTAL DESEMBOLSOS]],Tabla44[[#This Row],[VALOR TOTAL DEL CONTRATO INCLUIDO EL COMPONENTE DE ALIMENTACIÓN]])</f>
        <v>1</v>
      </c>
      <c r="BH396" s="29">
        <f>Tabla44[[#This Row],[TOTAL DESEMBOLSOS]]-Tabla44[[#This Row],[VALOR TOTAL DEL CONTRATO INCLUIDO EL COMPONENTE DE ALIMENTACIÓN]]</f>
        <v>0</v>
      </c>
      <c r="BI396" t="s">
        <v>98</v>
      </c>
    </row>
    <row r="397" spans="1:61">
      <c r="A397" s="13">
        <v>2017</v>
      </c>
      <c r="B397" s="13"/>
      <c r="C397" s="12" t="s">
        <v>87</v>
      </c>
      <c r="D397" s="12" t="s">
        <v>1628</v>
      </c>
      <c r="E397" s="12" t="s">
        <v>3551</v>
      </c>
      <c r="F397" s="12" t="s">
        <v>18</v>
      </c>
      <c r="G397" s="12" t="s">
        <v>90</v>
      </c>
      <c r="H397" s="12" t="s">
        <v>3540</v>
      </c>
      <c r="I397" s="36">
        <v>58541152976</v>
      </c>
      <c r="J397" s="12" t="s">
        <v>3579</v>
      </c>
      <c r="K397" s="12">
        <v>1</v>
      </c>
      <c r="L397" s="12">
        <v>19</v>
      </c>
      <c r="M397" s="12"/>
      <c r="N397" s="13">
        <v>2017</v>
      </c>
      <c r="O397" s="12" t="s">
        <v>2850</v>
      </c>
      <c r="P397" s="12"/>
      <c r="Q397" s="12"/>
      <c r="R397" s="12" t="s">
        <v>94</v>
      </c>
      <c r="S397" s="12">
        <v>10</v>
      </c>
      <c r="T397" s="12">
        <v>818001449</v>
      </c>
      <c r="U397" s="12" t="s">
        <v>3247</v>
      </c>
      <c r="V397" s="12">
        <f>VLOOKUP(Tabla44[[#This Row],[ZONA DEFINITIVO]],[1]Hoja1!$A$1:$D$125,3,0)</f>
        <v>229944</v>
      </c>
      <c r="W397" s="12">
        <f>VLOOKUP(Tabla44[[#This Row],[ZONA DEFINITIVO]],[1]Hoja1!$A$1:$D$125,2,0)</f>
        <v>17258</v>
      </c>
      <c r="X397" s="12">
        <f>VLOOKUP(Tabla44[[#This Row],[ZONA DEFINITIVO]],[1]Hoja1!$A$1:$D$125,4,0)</f>
        <v>104725</v>
      </c>
      <c r="Y397" s="12" t="str">
        <f>+IF(Tabla44[[#This Row],[AGRUPACIONES]]=1,SUMIFS(Tabla44[UDS],Tabla44[ZONA DEFINITIVO],Tabla44[[#This Row],[ZONA DEFINITIVO]])," ")</f>
        <v xml:space="preserve"> </v>
      </c>
      <c r="Z397" s="12" t="str">
        <f>+IF(Tabla44[[#This Row],[AGRUPACIONES]]=1,SUMIFS(Tabla44[TOTAL COBERTURA],Tabla44[ZONA DEFINITIVO],Tabla44[[#This Row],[ZONA DEFINITIVO]])," ")</f>
        <v xml:space="preserve"> </v>
      </c>
      <c r="AA397" s="12"/>
      <c r="AB397" s="35">
        <v>41423667</v>
      </c>
      <c r="AC397" s="37">
        <v>0</v>
      </c>
      <c r="AD397" s="35">
        <f t="shared" si="6"/>
        <v>0</v>
      </c>
      <c r="AE397" s="12"/>
      <c r="AF397" s="12">
        <f>COUNTIF($A$20:A397,A397)</f>
        <v>25</v>
      </c>
      <c r="AG397" s="38">
        <v>41423667</v>
      </c>
      <c r="AH397" s="38">
        <f>Tabla44[[#This Row],[VALOR CONTRAPARTIDA]]+Tabla44[[#This Row],[TOTAL APORTES ICBF]]</f>
        <v>41423667</v>
      </c>
      <c r="AI397" s="35" t="str">
        <f>+IF(Tabla44[[#This Row],[AGRUPACIONES]]=1,SUMIFS(Tabla44[TOTAL APORTES ICBF],Tabla44[ZONA DEFINITIVO],Tabla44[[#This Row],[ZONA DEFINITIVO]])," ")</f>
        <v xml:space="preserve"> </v>
      </c>
      <c r="AJ397" s="38"/>
      <c r="AK397" s="38"/>
      <c r="AL397" s="35"/>
      <c r="AM397" s="35">
        <f>VLOOKUP(Tabla44[[#This Row],[SERVICIO 2025]],$J$2:$V$15,5,0)*Tabla44[[#This Row],[TOTAL COBERTURA]]</f>
        <v>938144</v>
      </c>
      <c r="AN397" s="35">
        <f>VLOOKUP(Tabla44[[#This Row],[SERVICIO 2025]],$J$2:$V$15,6,0)*Tabla44[[#This Row],[TOTAL COBERTURA]]</f>
        <v>779551</v>
      </c>
      <c r="AO397" s="35">
        <f>VLOOKUP(Tabla44[[#This Row],[SERVICIO 2025]],$J$2:$V$15,8,0)*Tabla44[[#This Row],[TOTAL COBERTURA]]</f>
        <v>552900</v>
      </c>
      <c r="AP397" s="35">
        <f>VLOOKUP(Tabla44[[#This Row],[SERVICIO 2025]],$J$2:$V$15,3,0)*Tabla44[[#This Row],[TOTAL COBERTURA]]*8</f>
        <v>39153072</v>
      </c>
      <c r="AQ397" s="35"/>
      <c r="AR397" s="35">
        <f>SUM(Tabla44[[#This Row],[VALOR FASE PREPARATORIA DE ALISTAMIENTO]:[VALOR RACION PREPARADA]])</f>
        <v>41423667</v>
      </c>
      <c r="AS397" s="35" t="str">
        <f>+IF(Tabla44[[#This Row],[AGRUPACIONES]]=1,SUMIFS(Tabla44[VALOR TOTAL],Tabla44[ZONA DEFINITIVO],Tabla44[[#This Row],[ZONA DEFINITIVO]])," ")</f>
        <v xml:space="preserve"> </v>
      </c>
      <c r="AT397" s="35">
        <f>VLOOKUP(Tabla44[[#This Row],[SERVICIO 2025]],$J$2:$V$15,10,0)*Tabla44[[#This Row],[TOTAL COBERTURA]]*$X$7</f>
        <v>27418216</v>
      </c>
      <c r="AU397" s="39">
        <f>Tabla44[[#This Row],[TOTAL CONTRATO (ICBF+EAS)]]+Tabla44[[#This Row],[VALOR COMPONENTE ALIMENTACION NO ASIGNADO]]</f>
        <v>68841883</v>
      </c>
      <c r="AV39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9812455</v>
      </c>
      <c r="AW397" s="35">
        <f>(VLOOKUP(Tabla44[[#This Row],[SERVICIO 2025]],$J$2:$V$15,3,0)*Tabla44[[#This Row],[TOTAL COBERTURA]])+VLOOKUP(Tabla44[[#This Row],[SERVICIO 2025]],$J$2:$V$15,10,0)*Tabla44[[#This Row],[TOTAL COBERTURA]]</f>
        <v>8321411</v>
      </c>
      <c r="AX397" s="35">
        <f>(VLOOKUP(Tabla44[[#This Row],[SERVICIO 2025]],$J$2:$V$15,3,0)*Tabla44[[#This Row],[TOTAL COBERTURA]])+VLOOKUP(Tabla44[[#This Row],[SERVICIO 2025]],$J$2:$V$15,10,0)*Tabla44[[#This Row],[TOTAL COBERTURA]]</f>
        <v>8321411</v>
      </c>
      <c r="AY397" s="35">
        <f>(VLOOKUP(Tabla44[[#This Row],[SERVICIO 2025]],$J$2:$V$15,3,0)*Tabla44[[#This Row],[TOTAL COBERTURA]])+VLOOKUP(Tabla44[[#This Row],[SERVICIO 2025]],$J$2:$V$15,10,0)*Tabla44[[#This Row],[TOTAL COBERTURA]]</f>
        <v>8321411</v>
      </c>
      <c r="AZ397" s="35">
        <f>(VLOOKUP(Tabla44[[#This Row],[SERVICIO 2025]],$J$2:$V$15,3,0)*Tabla44[[#This Row],[TOTAL COBERTURA]])+VLOOKUP(Tabla44[[#This Row],[SERVICIO 2025]],$J$2:$V$15,10,0)*Tabla44[[#This Row],[TOTAL COBERTURA]]</f>
        <v>8321411</v>
      </c>
      <c r="BA397" s="35">
        <f>(VLOOKUP(Tabla44[[#This Row],[SERVICIO 2025]],$J$2:$V$15,3,0)*Tabla44[[#This Row],[TOTAL COBERTURA]])+VLOOKUP(Tabla44[[#This Row],[SERVICIO 2025]],$J$2:$V$15,10,0)*Tabla44[[#This Row],[TOTAL COBERTURA]]</f>
        <v>8321411</v>
      </c>
      <c r="BB397" s="35">
        <f>(VLOOKUP(Tabla44[[#This Row],[SERVICIO 2025]],$J$2:$V$15,3,0)*Tabla44[[#This Row],[TOTAL COBERTURA]])+VLOOKUP(Tabla44[[#This Row],[SERVICIO 2025]],$J$2:$V$15,10,0)*Tabla44[[#This Row],[TOTAL COBERTURA]]</f>
        <v>8321411</v>
      </c>
      <c r="BC39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9100962</v>
      </c>
      <c r="BD397" s="35">
        <f>SUM(Tabla44[[#This Row],[DESEMBOLSO 1]:[DESEMBOLSO 8]])</f>
        <v>68841883</v>
      </c>
      <c r="BE397" s="12" t="b">
        <f>EXACT(Tabla44[[#This Row],[VALOR ATENCIÓN (8 MESES)]],Tabla44[[#This Row],[VALOR TOTAL]])</f>
        <v>1</v>
      </c>
      <c r="BF397" s="23">
        <f>Tabla44[[#This Row],[VALOR ATENCIÓN (8 MESES)]]-Tabla44[[#This Row],[VALOR TOTAL]]</f>
        <v>0</v>
      </c>
      <c r="BG397" s="12" t="b">
        <f>EXACT(Tabla44[[#This Row],[TOTAL DESEMBOLSOS]],Tabla44[[#This Row],[VALOR TOTAL DEL CONTRATO INCLUIDO EL COMPONENTE DE ALIMENTACIÓN]])</f>
        <v>1</v>
      </c>
      <c r="BH397" s="29">
        <f>Tabla44[[#This Row],[TOTAL DESEMBOLSOS]]-Tabla44[[#This Row],[VALOR TOTAL DEL CONTRATO INCLUIDO EL COMPONENTE DE ALIMENTACIÓN]]</f>
        <v>0</v>
      </c>
      <c r="BI397" t="s">
        <v>98</v>
      </c>
    </row>
    <row r="398" spans="1:61">
      <c r="A398" s="13">
        <v>2017</v>
      </c>
      <c r="B398" s="13"/>
      <c r="C398" s="12" t="s">
        <v>87</v>
      </c>
      <c r="D398" s="12" t="s">
        <v>1628</v>
      </c>
      <c r="E398" s="12" t="s">
        <v>3551</v>
      </c>
      <c r="F398" s="12" t="s">
        <v>18</v>
      </c>
      <c r="G398" s="12" t="s">
        <v>90</v>
      </c>
      <c r="H398" s="12" t="s">
        <v>3580</v>
      </c>
      <c r="I398" s="36">
        <v>58541152978</v>
      </c>
      <c r="J398" s="12" t="s">
        <v>3581</v>
      </c>
      <c r="K398" s="12">
        <v>1</v>
      </c>
      <c r="L398" s="12">
        <v>19</v>
      </c>
      <c r="M398" s="12"/>
      <c r="N398" s="13">
        <v>2017</v>
      </c>
      <c r="O398" s="12" t="s">
        <v>2850</v>
      </c>
      <c r="P398" s="12"/>
      <c r="Q398" s="12"/>
      <c r="R398" s="12" t="s">
        <v>94</v>
      </c>
      <c r="S398" s="12">
        <v>10</v>
      </c>
      <c r="T398" s="12">
        <v>818001449</v>
      </c>
      <c r="U398" s="12" t="s">
        <v>3247</v>
      </c>
      <c r="V398" s="12">
        <f>VLOOKUP(Tabla44[[#This Row],[ZONA DEFINITIVO]],[1]Hoja1!$A$1:$D$125,3,0)</f>
        <v>229944</v>
      </c>
      <c r="W398" s="12">
        <f>VLOOKUP(Tabla44[[#This Row],[ZONA DEFINITIVO]],[1]Hoja1!$A$1:$D$125,2,0)</f>
        <v>17258</v>
      </c>
      <c r="X398" s="12">
        <f>VLOOKUP(Tabla44[[#This Row],[ZONA DEFINITIVO]],[1]Hoja1!$A$1:$D$125,4,0)</f>
        <v>104725</v>
      </c>
      <c r="Y398" s="12" t="str">
        <f>+IF(Tabla44[[#This Row],[AGRUPACIONES]]=1,SUMIFS(Tabla44[UDS],Tabla44[ZONA DEFINITIVO],Tabla44[[#This Row],[ZONA DEFINITIVO]])," ")</f>
        <v xml:space="preserve"> </v>
      </c>
      <c r="Z398" s="12" t="str">
        <f>+IF(Tabla44[[#This Row],[AGRUPACIONES]]=1,SUMIFS(Tabla44[TOTAL COBERTURA],Tabla44[ZONA DEFINITIVO],Tabla44[[#This Row],[ZONA DEFINITIVO]])," ")</f>
        <v xml:space="preserve"> </v>
      </c>
      <c r="AA398" s="12"/>
      <c r="AB398" s="35">
        <v>41423667</v>
      </c>
      <c r="AC398" s="37">
        <v>0</v>
      </c>
      <c r="AD398" s="35">
        <f t="shared" si="6"/>
        <v>0</v>
      </c>
      <c r="AE398" s="12"/>
      <c r="AF398" s="12">
        <f>COUNTIF($A$20:A398,A398)</f>
        <v>26</v>
      </c>
      <c r="AG398" s="38">
        <v>41423667</v>
      </c>
      <c r="AH398" s="38">
        <f>Tabla44[[#This Row],[VALOR CONTRAPARTIDA]]+Tabla44[[#This Row],[TOTAL APORTES ICBF]]</f>
        <v>41423667</v>
      </c>
      <c r="AI398" s="35" t="str">
        <f>+IF(Tabla44[[#This Row],[AGRUPACIONES]]=1,SUMIFS(Tabla44[TOTAL APORTES ICBF],Tabla44[ZONA DEFINITIVO],Tabla44[[#This Row],[ZONA DEFINITIVO]])," ")</f>
        <v xml:space="preserve"> </v>
      </c>
      <c r="AJ398" s="38"/>
      <c r="AK398" s="38"/>
      <c r="AL398" s="35"/>
      <c r="AM398" s="35">
        <f>VLOOKUP(Tabla44[[#This Row],[SERVICIO 2025]],$J$2:$V$15,5,0)*Tabla44[[#This Row],[TOTAL COBERTURA]]</f>
        <v>938144</v>
      </c>
      <c r="AN398" s="35">
        <f>VLOOKUP(Tabla44[[#This Row],[SERVICIO 2025]],$J$2:$V$15,6,0)*Tabla44[[#This Row],[TOTAL COBERTURA]]</f>
        <v>779551</v>
      </c>
      <c r="AO398" s="35">
        <f>VLOOKUP(Tabla44[[#This Row],[SERVICIO 2025]],$J$2:$V$15,8,0)*Tabla44[[#This Row],[TOTAL COBERTURA]]</f>
        <v>552900</v>
      </c>
      <c r="AP398" s="35">
        <f>VLOOKUP(Tabla44[[#This Row],[SERVICIO 2025]],$J$2:$V$15,3,0)*Tabla44[[#This Row],[TOTAL COBERTURA]]*8</f>
        <v>39153072</v>
      </c>
      <c r="AQ398" s="35"/>
      <c r="AR398" s="35">
        <f>SUM(Tabla44[[#This Row],[VALOR FASE PREPARATORIA DE ALISTAMIENTO]:[VALOR RACION PREPARADA]])</f>
        <v>41423667</v>
      </c>
      <c r="AS398" s="35" t="str">
        <f>+IF(Tabla44[[#This Row],[AGRUPACIONES]]=1,SUMIFS(Tabla44[VALOR TOTAL],Tabla44[ZONA DEFINITIVO],Tabla44[[#This Row],[ZONA DEFINITIVO]])," ")</f>
        <v xml:space="preserve"> </v>
      </c>
      <c r="AT398" s="35">
        <f>VLOOKUP(Tabla44[[#This Row],[SERVICIO 2025]],$J$2:$V$15,10,0)*Tabla44[[#This Row],[TOTAL COBERTURA]]*$X$7</f>
        <v>27418216</v>
      </c>
      <c r="AU398" s="39">
        <f>Tabla44[[#This Row],[TOTAL CONTRATO (ICBF+EAS)]]+Tabla44[[#This Row],[VALOR COMPONENTE ALIMENTACION NO ASIGNADO]]</f>
        <v>68841883</v>
      </c>
      <c r="AV39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9812455</v>
      </c>
      <c r="AW398" s="35">
        <f>(VLOOKUP(Tabla44[[#This Row],[SERVICIO 2025]],$J$2:$V$15,3,0)*Tabla44[[#This Row],[TOTAL COBERTURA]])+VLOOKUP(Tabla44[[#This Row],[SERVICIO 2025]],$J$2:$V$15,10,0)*Tabla44[[#This Row],[TOTAL COBERTURA]]</f>
        <v>8321411</v>
      </c>
      <c r="AX398" s="35">
        <f>(VLOOKUP(Tabla44[[#This Row],[SERVICIO 2025]],$J$2:$V$15,3,0)*Tabla44[[#This Row],[TOTAL COBERTURA]])+VLOOKUP(Tabla44[[#This Row],[SERVICIO 2025]],$J$2:$V$15,10,0)*Tabla44[[#This Row],[TOTAL COBERTURA]]</f>
        <v>8321411</v>
      </c>
      <c r="AY398" s="35">
        <f>(VLOOKUP(Tabla44[[#This Row],[SERVICIO 2025]],$J$2:$V$15,3,0)*Tabla44[[#This Row],[TOTAL COBERTURA]])+VLOOKUP(Tabla44[[#This Row],[SERVICIO 2025]],$J$2:$V$15,10,0)*Tabla44[[#This Row],[TOTAL COBERTURA]]</f>
        <v>8321411</v>
      </c>
      <c r="AZ398" s="35">
        <f>(VLOOKUP(Tabla44[[#This Row],[SERVICIO 2025]],$J$2:$V$15,3,0)*Tabla44[[#This Row],[TOTAL COBERTURA]])+VLOOKUP(Tabla44[[#This Row],[SERVICIO 2025]],$J$2:$V$15,10,0)*Tabla44[[#This Row],[TOTAL COBERTURA]]</f>
        <v>8321411</v>
      </c>
      <c r="BA398" s="35">
        <f>(VLOOKUP(Tabla44[[#This Row],[SERVICIO 2025]],$J$2:$V$15,3,0)*Tabla44[[#This Row],[TOTAL COBERTURA]])+VLOOKUP(Tabla44[[#This Row],[SERVICIO 2025]],$J$2:$V$15,10,0)*Tabla44[[#This Row],[TOTAL COBERTURA]]</f>
        <v>8321411</v>
      </c>
      <c r="BB398" s="35">
        <f>(VLOOKUP(Tabla44[[#This Row],[SERVICIO 2025]],$J$2:$V$15,3,0)*Tabla44[[#This Row],[TOTAL COBERTURA]])+VLOOKUP(Tabla44[[#This Row],[SERVICIO 2025]],$J$2:$V$15,10,0)*Tabla44[[#This Row],[TOTAL COBERTURA]]</f>
        <v>8321411</v>
      </c>
      <c r="BC39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9100962</v>
      </c>
      <c r="BD398" s="35">
        <f>SUM(Tabla44[[#This Row],[DESEMBOLSO 1]:[DESEMBOLSO 8]])</f>
        <v>68841883</v>
      </c>
      <c r="BE398" s="12" t="b">
        <f>EXACT(Tabla44[[#This Row],[VALOR ATENCIÓN (8 MESES)]],Tabla44[[#This Row],[VALOR TOTAL]])</f>
        <v>1</v>
      </c>
      <c r="BF398" s="23">
        <f>Tabla44[[#This Row],[VALOR ATENCIÓN (8 MESES)]]-Tabla44[[#This Row],[VALOR TOTAL]]</f>
        <v>0</v>
      </c>
      <c r="BG398" s="12" t="b">
        <f>EXACT(Tabla44[[#This Row],[TOTAL DESEMBOLSOS]],Tabla44[[#This Row],[VALOR TOTAL DEL CONTRATO INCLUIDO EL COMPONENTE DE ALIMENTACIÓN]])</f>
        <v>1</v>
      </c>
      <c r="BH398" s="29">
        <f>Tabla44[[#This Row],[TOTAL DESEMBOLSOS]]-Tabla44[[#This Row],[VALOR TOTAL DEL CONTRATO INCLUIDO EL COMPONENTE DE ALIMENTACIÓN]]</f>
        <v>0</v>
      </c>
      <c r="BI398" t="s">
        <v>98</v>
      </c>
    </row>
    <row r="399" spans="1:61">
      <c r="A399" s="13">
        <v>2017</v>
      </c>
      <c r="B399" s="13"/>
      <c r="C399" s="12" t="s">
        <v>87</v>
      </c>
      <c r="D399" s="12" t="s">
        <v>1628</v>
      </c>
      <c r="E399" s="12" t="s">
        <v>3551</v>
      </c>
      <c r="F399" s="12" t="s">
        <v>18</v>
      </c>
      <c r="G399" s="12" t="s">
        <v>90</v>
      </c>
      <c r="H399" s="12" t="s">
        <v>3582</v>
      </c>
      <c r="I399" s="36">
        <v>58541152979</v>
      </c>
      <c r="J399" s="12" t="s">
        <v>3583</v>
      </c>
      <c r="K399" s="12">
        <v>1</v>
      </c>
      <c r="L399" s="12">
        <v>21</v>
      </c>
      <c r="M399" s="12"/>
      <c r="N399" s="13">
        <v>2017</v>
      </c>
      <c r="O399" s="12" t="s">
        <v>2850</v>
      </c>
      <c r="P399" s="12"/>
      <c r="Q399" s="12"/>
      <c r="R399" s="12" t="s">
        <v>94</v>
      </c>
      <c r="S399" s="12">
        <v>10</v>
      </c>
      <c r="T399" s="12">
        <v>818001449</v>
      </c>
      <c r="U399" s="12" t="s">
        <v>3247</v>
      </c>
      <c r="V399" s="12">
        <f>VLOOKUP(Tabla44[[#This Row],[ZONA DEFINITIVO]],[1]Hoja1!$A$1:$D$125,3,0)</f>
        <v>229944</v>
      </c>
      <c r="W399" s="12">
        <f>VLOOKUP(Tabla44[[#This Row],[ZONA DEFINITIVO]],[1]Hoja1!$A$1:$D$125,2,0)</f>
        <v>17258</v>
      </c>
      <c r="X399" s="12">
        <f>VLOOKUP(Tabla44[[#This Row],[ZONA DEFINITIVO]],[1]Hoja1!$A$1:$D$125,4,0)</f>
        <v>104725</v>
      </c>
      <c r="Y399" s="12" t="str">
        <f>+IF(Tabla44[[#This Row],[AGRUPACIONES]]=1,SUMIFS(Tabla44[UDS],Tabla44[ZONA DEFINITIVO],Tabla44[[#This Row],[ZONA DEFINITIVO]])," ")</f>
        <v xml:space="preserve"> </v>
      </c>
      <c r="Z399" s="12" t="str">
        <f>+IF(Tabla44[[#This Row],[AGRUPACIONES]]=1,SUMIFS(Tabla44[TOTAL COBERTURA],Tabla44[ZONA DEFINITIVO],Tabla44[[#This Row],[ZONA DEFINITIVO]])," ")</f>
        <v xml:space="preserve"> </v>
      </c>
      <c r="AA399" s="12"/>
      <c r="AB399" s="35">
        <v>45784053</v>
      </c>
      <c r="AC399" s="37">
        <v>0</v>
      </c>
      <c r="AD399" s="35">
        <f t="shared" si="6"/>
        <v>0</v>
      </c>
      <c r="AE399" s="12"/>
      <c r="AF399" s="12">
        <f>COUNTIF($A$20:A399,A399)</f>
        <v>27</v>
      </c>
      <c r="AG399" s="38">
        <v>45784053</v>
      </c>
      <c r="AH399" s="38">
        <f>Tabla44[[#This Row],[VALOR CONTRAPARTIDA]]+Tabla44[[#This Row],[TOTAL APORTES ICBF]]</f>
        <v>45784053</v>
      </c>
      <c r="AI399" s="35" t="str">
        <f>+IF(Tabla44[[#This Row],[AGRUPACIONES]]=1,SUMIFS(Tabla44[TOTAL APORTES ICBF],Tabla44[ZONA DEFINITIVO],Tabla44[[#This Row],[ZONA DEFINITIVO]])," ")</f>
        <v xml:space="preserve"> </v>
      </c>
      <c r="AJ399" s="38"/>
      <c r="AK399" s="38"/>
      <c r="AL399" s="35"/>
      <c r="AM399" s="35">
        <f>VLOOKUP(Tabla44[[#This Row],[SERVICIO 2025]],$J$2:$V$15,5,0)*Tabla44[[#This Row],[TOTAL COBERTURA]]</f>
        <v>1036896</v>
      </c>
      <c r="AN399" s="35">
        <f>VLOOKUP(Tabla44[[#This Row],[SERVICIO 2025]],$J$2:$V$15,6,0)*Tabla44[[#This Row],[TOTAL COBERTURA]]</f>
        <v>861609</v>
      </c>
      <c r="AO399" s="35">
        <f>VLOOKUP(Tabla44[[#This Row],[SERVICIO 2025]],$J$2:$V$15,8,0)*Tabla44[[#This Row],[TOTAL COBERTURA]]</f>
        <v>611100</v>
      </c>
      <c r="AP399" s="35">
        <f>VLOOKUP(Tabla44[[#This Row],[SERVICIO 2025]],$J$2:$V$15,3,0)*Tabla44[[#This Row],[TOTAL COBERTURA]]*8</f>
        <v>43274448</v>
      </c>
      <c r="AQ399" s="35"/>
      <c r="AR399" s="35">
        <f>SUM(Tabla44[[#This Row],[VALOR FASE PREPARATORIA DE ALISTAMIENTO]:[VALOR RACION PREPARADA]])</f>
        <v>45784053</v>
      </c>
      <c r="AS399" s="35" t="str">
        <f>+IF(Tabla44[[#This Row],[AGRUPACIONES]]=1,SUMIFS(Tabla44[VALOR TOTAL],Tabla44[ZONA DEFINITIVO],Tabla44[[#This Row],[ZONA DEFINITIVO]])," ")</f>
        <v xml:space="preserve"> </v>
      </c>
      <c r="AT399" s="35">
        <f>VLOOKUP(Tabla44[[#This Row],[SERVICIO 2025]],$J$2:$V$15,10,0)*Tabla44[[#This Row],[TOTAL COBERTURA]]*$X$7</f>
        <v>30304344</v>
      </c>
      <c r="AU399" s="39">
        <f>Tabla44[[#This Row],[TOTAL CONTRATO (ICBF+EAS)]]+Tabla44[[#This Row],[VALOR COMPONENTE ALIMENTACION NO ASIGNADO]]</f>
        <v>76088397</v>
      </c>
      <c r="AV39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10845345</v>
      </c>
      <c r="AW399" s="35">
        <f>(VLOOKUP(Tabla44[[#This Row],[SERVICIO 2025]],$J$2:$V$15,3,0)*Tabla44[[#This Row],[TOTAL COBERTURA]])+VLOOKUP(Tabla44[[#This Row],[SERVICIO 2025]],$J$2:$V$15,10,0)*Tabla44[[#This Row],[TOTAL COBERTURA]]</f>
        <v>9197349</v>
      </c>
      <c r="AX399" s="35">
        <f>(VLOOKUP(Tabla44[[#This Row],[SERVICIO 2025]],$J$2:$V$15,3,0)*Tabla44[[#This Row],[TOTAL COBERTURA]])+VLOOKUP(Tabla44[[#This Row],[SERVICIO 2025]],$J$2:$V$15,10,0)*Tabla44[[#This Row],[TOTAL COBERTURA]]</f>
        <v>9197349</v>
      </c>
      <c r="AY399" s="35">
        <f>(VLOOKUP(Tabla44[[#This Row],[SERVICIO 2025]],$J$2:$V$15,3,0)*Tabla44[[#This Row],[TOTAL COBERTURA]])+VLOOKUP(Tabla44[[#This Row],[SERVICIO 2025]],$J$2:$V$15,10,0)*Tabla44[[#This Row],[TOTAL COBERTURA]]</f>
        <v>9197349</v>
      </c>
      <c r="AZ399" s="35">
        <f>(VLOOKUP(Tabla44[[#This Row],[SERVICIO 2025]],$J$2:$V$15,3,0)*Tabla44[[#This Row],[TOTAL COBERTURA]])+VLOOKUP(Tabla44[[#This Row],[SERVICIO 2025]],$J$2:$V$15,10,0)*Tabla44[[#This Row],[TOTAL COBERTURA]]</f>
        <v>9197349</v>
      </c>
      <c r="BA399" s="35">
        <f>(VLOOKUP(Tabla44[[#This Row],[SERVICIO 2025]],$J$2:$V$15,3,0)*Tabla44[[#This Row],[TOTAL COBERTURA]])+VLOOKUP(Tabla44[[#This Row],[SERVICIO 2025]],$J$2:$V$15,10,0)*Tabla44[[#This Row],[TOTAL COBERTURA]]</f>
        <v>9197349</v>
      </c>
      <c r="BB399" s="35">
        <f>(VLOOKUP(Tabla44[[#This Row],[SERVICIO 2025]],$J$2:$V$15,3,0)*Tabla44[[#This Row],[TOTAL COBERTURA]])+VLOOKUP(Tabla44[[#This Row],[SERVICIO 2025]],$J$2:$V$15,10,0)*Tabla44[[#This Row],[TOTAL COBERTURA]]</f>
        <v>9197349</v>
      </c>
      <c r="BC39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10058958</v>
      </c>
      <c r="BD399" s="35">
        <f>SUM(Tabla44[[#This Row],[DESEMBOLSO 1]:[DESEMBOLSO 8]])</f>
        <v>76088397</v>
      </c>
      <c r="BE399" s="12" t="b">
        <f>EXACT(Tabla44[[#This Row],[VALOR ATENCIÓN (8 MESES)]],Tabla44[[#This Row],[VALOR TOTAL]])</f>
        <v>1</v>
      </c>
      <c r="BF399" s="23">
        <f>Tabla44[[#This Row],[VALOR ATENCIÓN (8 MESES)]]-Tabla44[[#This Row],[VALOR TOTAL]]</f>
        <v>0</v>
      </c>
      <c r="BG399" s="12" t="b">
        <f>EXACT(Tabla44[[#This Row],[TOTAL DESEMBOLSOS]],Tabla44[[#This Row],[VALOR TOTAL DEL CONTRATO INCLUIDO EL COMPONENTE DE ALIMENTACIÓN]])</f>
        <v>1</v>
      </c>
      <c r="BH399" s="29">
        <f>Tabla44[[#This Row],[TOTAL DESEMBOLSOS]]-Tabla44[[#This Row],[VALOR TOTAL DEL CONTRATO INCLUIDO EL COMPONENTE DE ALIMENTACIÓN]]</f>
        <v>0</v>
      </c>
      <c r="BI399" t="s">
        <v>98</v>
      </c>
    </row>
    <row r="400" spans="1:61">
      <c r="A400" s="13">
        <v>2017</v>
      </c>
      <c r="B400" s="13"/>
      <c r="C400" s="12" t="s">
        <v>87</v>
      </c>
      <c r="D400" s="12" t="s">
        <v>1628</v>
      </c>
      <c r="E400" s="12" t="s">
        <v>3551</v>
      </c>
      <c r="F400" s="12" t="s">
        <v>18</v>
      </c>
      <c r="G400" s="12" t="s">
        <v>90</v>
      </c>
      <c r="H400" s="12" t="s">
        <v>3462</v>
      </c>
      <c r="I400" s="36">
        <v>58541153183</v>
      </c>
      <c r="J400" s="12" t="s">
        <v>3584</v>
      </c>
      <c r="K400" s="12">
        <v>1</v>
      </c>
      <c r="L400" s="12">
        <v>15</v>
      </c>
      <c r="M400" s="12"/>
      <c r="N400" s="13">
        <v>2017</v>
      </c>
      <c r="O400" s="12" t="s">
        <v>2850</v>
      </c>
      <c r="P400" s="12"/>
      <c r="Q400" s="12"/>
      <c r="R400" s="12" t="s">
        <v>94</v>
      </c>
      <c r="S400" s="12">
        <v>10</v>
      </c>
      <c r="T400" s="12">
        <v>818001449</v>
      </c>
      <c r="U400" s="12" t="s">
        <v>3247</v>
      </c>
      <c r="V400" s="12">
        <f>VLOOKUP(Tabla44[[#This Row],[ZONA DEFINITIVO]],[1]Hoja1!$A$1:$D$125,3,0)</f>
        <v>229944</v>
      </c>
      <c r="W400" s="12">
        <f>VLOOKUP(Tabla44[[#This Row],[ZONA DEFINITIVO]],[1]Hoja1!$A$1:$D$125,2,0)</f>
        <v>17258</v>
      </c>
      <c r="X400" s="12">
        <f>VLOOKUP(Tabla44[[#This Row],[ZONA DEFINITIVO]],[1]Hoja1!$A$1:$D$125,4,0)</f>
        <v>104725</v>
      </c>
      <c r="Y400" s="12" t="str">
        <f>+IF(Tabla44[[#This Row],[AGRUPACIONES]]=1,SUMIFS(Tabla44[UDS],Tabla44[ZONA DEFINITIVO],Tabla44[[#This Row],[ZONA DEFINITIVO]])," ")</f>
        <v xml:space="preserve"> </v>
      </c>
      <c r="Z400" s="12" t="str">
        <f>+IF(Tabla44[[#This Row],[AGRUPACIONES]]=1,SUMIFS(Tabla44[TOTAL COBERTURA],Tabla44[ZONA DEFINITIVO],Tabla44[[#This Row],[ZONA DEFINITIVO]])," ")</f>
        <v xml:space="preserve"> </v>
      </c>
      <c r="AA400" s="12"/>
      <c r="AB400" s="35">
        <v>32702895</v>
      </c>
      <c r="AC400" s="37">
        <v>0</v>
      </c>
      <c r="AD400" s="35">
        <f t="shared" si="6"/>
        <v>0</v>
      </c>
      <c r="AE400" s="12"/>
      <c r="AF400" s="12">
        <f>COUNTIF($A$20:A400,A400)</f>
        <v>28</v>
      </c>
      <c r="AG400" s="38">
        <v>32702895</v>
      </c>
      <c r="AH400" s="38">
        <f>Tabla44[[#This Row],[VALOR CONTRAPARTIDA]]+Tabla44[[#This Row],[TOTAL APORTES ICBF]]</f>
        <v>32702895</v>
      </c>
      <c r="AI400" s="35" t="str">
        <f>+IF(Tabla44[[#This Row],[AGRUPACIONES]]=1,SUMIFS(Tabla44[TOTAL APORTES ICBF],Tabla44[ZONA DEFINITIVO],Tabla44[[#This Row],[ZONA DEFINITIVO]])," ")</f>
        <v xml:space="preserve"> </v>
      </c>
      <c r="AJ400" s="38"/>
      <c r="AK400" s="38"/>
      <c r="AL400" s="35"/>
      <c r="AM400" s="35">
        <f>VLOOKUP(Tabla44[[#This Row],[SERVICIO 2025]],$J$2:$V$15,5,0)*Tabla44[[#This Row],[TOTAL COBERTURA]]</f>
        <v>740640</v>
      </c>
      <c r="AN400" s="35">
        <f>VLOOKUP(Tabla44[[#This Row],[SERVICIO 2025]],$J$2:$V$15,6,0)*Tabla44[[#This Row],[TOTAL COBERTURA]]</f>
        <v>615435</v>
      </c>
      <c r="AO400" s="35">
        <f>VLOOKUP(Tabla44[[#This Row],[SERVICIO 2025]],$J$2:$V$15,8,0)*Tabla44[[#This Row],[TOTAL COBERTURA]]</f>
        <v>436500</v>
      </c>
      <c r="AP400" s="35">
        <f>VLOOKUP(Tabla44[[#This Row],[SERVICIO 2025]],$J$2:$V$15,3,0)*Tabla44[[#This Row],[TOTAL COBERTURA]]*8</f>
        <v>30910320</v>
      </c>
      <c r="AQ400" s="35"/>
      <c r="AR400" s="35">
        <f>SUM(Tabla44[[#This Row],[VALOR FASE PREPARATORIA DE ALISTAMIENTO]:[VALOR RACION PREPARADA]])</f>
        <v>32702895</v>
      </c>
      <c r="AS400" s="35" t="str">
        <f>+IF(Tabla44[[#This Row],[AGRUPACIONES]]=1,SUMIFS(Tabla44[VALOR TOTAL],Tabla44[ZONA DEFINITIVO],Tabla44[[#This Row],[ZONA DEFINITIVO]])," ")</f>
        <v xml:space="preserve"> </v>
      </c>
      <c r="AT400" s="35">
        <f>VLOOKUP(Tabla44[[#This Row],[SERVICIO 2025]],$J$2:$V$15,10,0)*Tabla44[[#This Row],[TOTAL COBERTURA]]*$X$7</f>
        <v>21645960</v>
      </c>
      <c r="AU400" s="39">
        <f>Tabla44[[#This Row],[TOTAL CONTRATO (ICBF+EAS)]]+Tabla44[[#This Row],[VALOR COMPONENTE ALIMENTACION NO ASIGNADO]]</f>
        <v>54348855</v>
      </c>
      <c r="AV40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400" s="35">
        <f>(VLOOKUP(Tabla44[[#This Row],[SERVICIO 2025]],$J$2:$V$15,3,0)*Tabla44[[#This Row],[TOTAL COBERTURA]])+VLOOKUP(Tabla44[[#This Row],[SERVICIO 2025]],$J$2:$V$15,10,0)*Tabla44[[#This Row],[TOTAL COBERTURA]]</f>
        <v>6569535</v>
      </c>
      <c r="AX400" s="35">
        <f>(VLOOKUP(Tabla44[[#This Row],[SERVICIO 2025]],$J$2:$V$15,3,0)*Tabla44[[#This Row],[TOTAL COBERTURA]])+VLOOKUP(Tabla44[[#This Row],[SERVICIO 2025]],$J$2:$V$15,10,0)*Tabla44[[#This Row],[TOTAL COBERTURA]]</f>
        <v>6569535</v>
      </c>
      <c r="AY400" s="35">
        <f>(VLOOKUP(Tabla44[[#This Row],[SERVICIO 2025]],$J$2:$V$15,3,0)*Tabla44[[#This Row],[TOTAL COBERTURA]])+VLOOKUP(Tabla44[[#This Row],[SERVICIO 2025]],$J$2:$V$15,10,0)*Tabla44[[#This Row],[TOTAL COBERTURA]]</f>
        <v>6569535</v>
      </c>
      <c r="AZ400" s="35">
        <f>(VLOOKUP(Tabla44[[#This Row],[SERVICIO 2025]],$J$2:$V$15,3,0)*Tabla44[[#This Row],[TOTAL COBERTURA]])+VLOOKUP(Tabla44[[#This Row],[SERVICIO 2025]],$J$2:$V$15,10,0)*Tabla44[[#This Row],[TOTAL COBERTURA]]</f>
        <v>6569535</v>
      </c>
      <c r="BA400" s="35">
        <f>(VLOOKUP(Tabla44[[#This Row],[SERVICIO 2025]],$J$2:$V$15,3,0)*Tabla44[[#This Row],[TOTAL COBERTURA]])+VLOOKUP(Tabla44[[#This Row],[SERVICIO 2025]],$J$2:$V$15,10,0)*Tabla44[[#This Row],[TOTAL COBERTURA]]</f>
        <v>6569535</v>
      </c>
      <c r="BB400" s="35">
        <f>(VLOOKUP(Tabla44[[#This Row],[SERVICIO 2025]],$J$2:$V$15,3,0)*Tabla44[[#This Row],[TOTAL COBERTURA]])+VLOOKUP(Tabla44[[#This Row],[SERVICIO 2025]],$J$2:$V$15,10,0)*Tabla44[[#This Row],[TOTAL COBERTURA]]</f>
        <v>6569535</v>
      </c>
      <c r="BC40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400" s="35">
        <f>SUM(Tabla44[[#This Row],[DESEMBOLSO 1]:[DESEMBOLSO 8]])</f>
        <v>54348855</v>
      </c>
      <c r="BE400" s="12" t="b">
        <f>EXACT(Tabla44[[#This Row],[VALOR ATENCIÓN (8 MESES)]],Tabla44[[#This Row],[VALOR TOTAL]])</f>
        <v>1</v>
      </c>
      <c r="BF400" s="23">
        <f>Tabla44[[#This Row],[VALOR ATENCIÓN (8 MESES)]]-Tabla44[[#This Row],[VALOR TOTAL]]</f>
        <v>0</v>
      </c>
      <c r="BG400" s="12" t="b">
        <f>EXACT(Tabla44[[#This Row],[TOTAL DESEMBOLSOS]],Tabla44[[#This Row],[VALOR TOTAL DEL CONTRATO INCLUIDO EL COMPONENTE DE ALIMENTACIÓN]])</f>
        <v>1</v>
      </c>
      <c r="BH400" s="29">
        <f>Tabla44[[#This Row],[TOTAL DESEMBOLSOS]]-Tabla44[[#This Row],[VALOR TOTAL DEL CONTRATO INCLUIDO EL COMPONENTE DE ALIMENTACIÓN]]</f>
        <v>0</v>
      </c>
      <c r="BI400" t="s">
        <v>98</v>
      </c>
    </row>
    <row r="401" spans="1:62">
      <c r="A401" s="13">
        <v>2017</v>
      </c>
      <c r="B401" s="13"/>
      <c r="C401" s="12" t="s">
        <v>87</v>
      </c>
      <c r="D401" s="12" t="s">
        <v>1628</v>
      </c>
      <c r="E401" s="12" t="s">
        <v>3551</v>
      </c>
      <c r="F401" s="12" t="s">
        <v>18</v>
      </c>
      <c r="G401" s="12" t="s">
        <v>90</v>
      </c>
      <c r="H401" s="12" t="s">
        <v>3585</v>
      </c>
      <c r="I401" s="36">
        <v>58541153184</v>
      </c>
      <c r="J401" s="12" t="s">
        <v>3586</v>
      </c>
      <c r="K401" s="12">
        <v>1</v>
      </c>
      <c r="L401" s="12">
        <v>13</v>
      </c>
      <c r="M401" s="12"/>
      <c r="N401" s="13">
        <v>2017</v>
      </c>
      <c r="O401" s="12" t="s">
        <v>2850</v>
      </c>
      <c r="P401" s="12"/>
      <c r="Q401" s="12"/>
      <c r="R401" s="12" t="s">
        <v>94</v>
      </c>
      <c r="S401" s="12">
        <v>10</v>
      </c>
      <c r="T401" s="12">
        <v>818001449</v>
      </c>
      <c r="U401" s="12" t="s">
        <v>3247</v>
      </c>
      <c r="V401" s="12">
        <f>VLOOKUP(Tabla44[[#This Row],[ZONA DEFINITIVO]],[1]Hoja1!$A$1:$D$125,3,0)</f>
        <v>229944</v>
      </c>
      <c r="W401" s="12">
        <f>VLOOKUP(Tabla44[[#This Row],[ZONA DEFINITIVO]],[1]Hoja1!$A$1:$D$125,2,0)</f>
        <v>17258</v>
      </c>
      <c r="X401" s="12">
        <f>VLOOKUP(Tabla44[[#This Row],[ZONA DEFINITIVO]],[1]Hoja1!$A$1:$D$125,4,0)</f>
        <v>104725</v>
      </c>
      <c r="Y401" s="12" t="str">
        <f>+IF(Tabla44[[#This Row],[AGRUPACIONES]]=1,SUMIFS(Tabla44[UDS],Tabla44[ZONA DEFINITIVO],Tabla44[[#This Row],[ZONA DEFINITIVO]])," ")</f>
        <v xml:space="preserve"> </v>
      </c>
      <c r="Z401" s="12" t="str">
        <f>+IF(Tabla44[[#This Row],[AGRUPACIONES]]=1,SUMIFS(Tabla44[TOTAL COBERTURA],Tabla44[ZONA DEFINITIVO],Tabla44[[#This Row],[ZONA DEFINITIVO]])," ")</f>
        <v xml:space="preserve"> </v>
      </c>
      <c r="AA401" s="12"/>
      <c r="AB401" s="35">
        <v>28342509</v>
      </c>
      <c r="AC401" s="37">
        <v>0</v>
      </c>
      <c r="AD401" s="35">
        <f t="shared" si="6"/>
        <v>0</v>
      </c>
      <c r="AE401" s="12"/>
      <c r="AF401" s="12">
        <f>COUNTIF($A$20:A401,A401)</f>
        <v>29</v>
      </c>
      <c r="AG401" s="38">
        <v>28342509</v>
      </c>
      <c r="AH401" s="38">
        <f>Tabla44[[#This Row],[VALOR CONTRAPARTIDA]]+Tabla44[[#This Row],[TOTAL APORTES ICBF]]</f>
        <v>28342509</v>
      </c>
      <c r="AI401" s="35" t="str">
        <f>+IF(Tabla44[[#This Row],[AGRUPACIONES]]=1,SUMIFS(Tabla44[TOTAL APORTES ICBF],Tabla44[ZONA DEFINITIVO],Tabla44[[#This Row],[ZONA DEFINITIVO]])," ")</f>
        <v xml:space="preserve"> </v>
      </c>
      <c r="AJ401" s="38"/>
      <c r="AK401" s="38"/>
      <c r="AL401" s="35"/>
      <c r="AM401" s="35">
        <f>VLOOKUP(Tabla44[[#This Row],[SERVICIO 2025]],$J$2:$V$15,5,0)*Tabla44[[#This Row],[TOTAL COBERTURA]]</f>
        <v>641888</v>
      </c>
      <c r="AN401" s="35">
        <f>VLOOKUP(Tabla44[[#This Row],[SERVICIO 2025]],$J$2:$V$15,6,0)*Tabla44[[#This Row],[TOTAL COBERTURA]]</f>
        <v>533377</v>
      </c>
      <c r="AO401" s="35">
        <f>VLOOKUP(Tabla44[[#This Row],[SERVICIO 2025]],$J$2:$V$15,8,0)*Tabla44[[#This Row],[TOTAL COBERTURA]]</f>
        <v>378300</v>
      </c>
      <c r="AP401" s="35">
        <f>VLOOKUP(Tabla44[[#This Row],[SERVICIO 2025]],$J$2:$V$15,3,0)*Tabla44[[#This Row],[TOTAL COBERTURA]]*8</f>
        <v>26788944</v>
      </c>
      <c r="AQ401" s="35"/>
      <c r="AR401" s="35">
        <f>SUM(Tabla44[[#This Row],[VALOR FASE PREPARATORIA DE ALISTAMIENTO]:[VALOR RACION PREPARADA]])</f>
        <v>28342509</v>
      </c>
      <c r="AS401" s="35" t="str">
        <f>+IF(Tabla44[[#This Row],[AGRUPACIONES]]=1,SUMIFS(Tabla44[VALOR TOTAL],Tabla44[ZONA DEFINITIVO],Tabla44[[#This Row],[ZONA DEFINITIVO]])," ")</f>
        <v xml:space="preserve"> </v>
      </c>
      <c r="AT401" s="35">
        <f>VLOOKUP(Tabla44[[#This Row],[SERVICIO 2025]],$J$2:$V$15,10,0)*Tabla44[[#This Row],[TOTAL COBERTURA]]*$X$7</f>
        <v>18759832</v>
      </c>
      <c r="AU401" s="39">
        <f>Tabla44[[#This Row],[TOTAL CONTRATO (ICBF+EAS)]]+Tabla44[[#This Row],[VALOR COMPONENTE ALIMENTACION NO ASIGNADO]]</f>
        <v>47102341</v>
      </c>
      <c r="AV40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401" s="35">
        <f>(VLOOKUP(Tabla44[[#This Row],[SERVICIO 2025]],$J$2:$V$15,3,0)*Tabla44[[#This Row],[TOTAL COBERTURA]])+VLOOKUP(Tabla44[[#This Row],[SERVICIO 2025]],$J$2:$V$15,10,0)*Tabla44[[#This Row],[TOTAL COBERTURA]]</f>
        <v>5693597</v>
      </c>
      <c r="AX401" s="35">
        <f>(VLOOKUP(Tabla44[[#This Row],[SERVICIO 2025]],$J$2:$V$15,3,0)*Tabla44[[#This Row],[TOTAL COBERTURA]])+VLOOKUP(Tabla44[[#This Row],[SERVICIO 2025]],$J$2:$V$15,10,0)*Tabla44[[#This Row],[TOTAL COBERTURA]]</f>
        <v>5693597</v>
      </c>
      <c r="AY401" s="35">
        <f>(VLOOKUP(Tabla44[[#This Row],[SERVICIO 2025]],$J$2:$V$15,3,0)*Tabla44[[#This Row],[TOTAL COBERTURA]])+VLOOKUP(Tabla44[[#This Row],[SERVICIO 2025]],$J$2:$V$15,10,0)*Tabla44[[#This Row],[TOTAL COBERTURA]]</f>
        <v>5693597</v>
      </c>
      <c r="AZ401" s="35">
        <f>(VLOOKUP(Tabla44[[#This Row],[SERVICIO 2025]],$J$2:$V$15,3,0)*Tabla44[[#This Row],[TOTAL COBERTURA]])+VLOOKUP(Tabla44[[#This Row],[SERVICIO 2025]],$J$2:$V$15,10,0)*Tabla44[[#This Row],[TOTAL COBERTURA]]</f>
        <v>5693597</v>
      </c>
      <c r="BA401" s="35">
        <f>(VLOOKUP(Tabla44[[#This Row],[SERVICIO 2025]],$J$2:$V$15,3,0)*Tabla44[[#This Row],[TOTAL COBERTURA]])+VLOOKUP(Tabla44[[#This Row],[SERVICIO 2025]],$J$2:$V$15,10,0)*Tabla44[[#This Row],[TOTAL COBERTURA]]</f>
        <v>5693597</v>
      </c>
      <c r="BB401" s="35">
        <f>(VLOOKUP(Tabla44[[#This Row],[SERVICIO 2025]],$J$2:$V$15,3,0)*Tabla44[[#This Row],[TOTAL COBERTURA]])+VLOOKUP(Tabla44[[#This Row],[SERVICIO 2025]],$J$2:$V$15,10,0)*Tabla44[[#This Row],[TOTAL COBERTURA]]</f>
        <v>5693597</v>
      </c>
      <c r="BC40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401" s="35">
        <f>SUM(Tabla44[[#This Row],[DESEMBOLSO 1]:[DESEMBOLSO 8]])</f>
        <v>47102341</v>
      </c>
      <c r="BE401" s="12" t="b">
        <f>EXACT(Tabla44[[#This Row],[VALOR ATENCIÓN (8 MESES)]],Tabla44[[#This Row],[VALOR TOTAL]])</f>
        <v>1</v>
      </c>
      <c r="BF401" s="23">
        <f>Tabla44[[#This Row],[VALOR ATENCIÓN (8 MESES)]]-Tabla44[[#This Row],[VALOR TOTAL]]</f>
        <v>0</v>
      </c>
      <c r="BG401" s="12" t="b">
        <f>EXACT(Tabla44[[#This Row],[TOTAL DESEMBOLSOS]],Tabla44[[#This Row],[VALOR TOTAL DEL CONTRATO INCLUIDO EL COMPONENTE DE ALIMENTACIÓN]])</f>
        <v>1</v>
      </c>
      <c r="BH401" s="29">
        <f>Tabla44[[#This Row],[TOTAL DESEMBOLSOS]]-Tabla44[[#This Row],[VALOR TOTAL DEL CONTRATO INCLUIDO EL COMPONENTE DE ALIMENTACIÓN]]</f>
        <v>0</v>
      </c>
      <c r="BI401" t="s">
        <v>98</v>
      </c>
    </row>
    <row r="402" spans="1:62">
      <c r="A402" s="13">
        <v>2017</v>
      </c>
      <c r="B402" s="13"/>
      <c r="C402" s="12" t="s">
        <v>87</v>
      </c>
      <c r="D402" s="12" t="s">
        <v>1628</v>
      </c>
      <c r="E402" s="12" t="s">
        <v>3551</v>
      </c>
      <c r="F402" s="12" t="s">
        <v>18</v>
      </c>
      <c r="G402" s="12" t="s">
        <v>90</v>
      </c>
      <c r="H402" s="12" t="s">
        <v>3587</v>
      </c>
      <c r="I402" s="36">
        <v>58541153185</v>
      </c>
      <c r="J402" s="12" t="s">
        <v>3588</v>
      </c>
      <c r="K402" s="12">
        <v>1</v>
      </c>
      <c r="L402" s="12">
        <v>19</v>
      </c>
      <c r="M402" s="12"/>
      <c r="N402" s="13">
        <v>2017</v>
      </c>
      <c r="O402" s="12" t="s">
        <v>2850</v>
      </c>
      <c r="P402" s="12"/>
      <c r="Q402" s="12"/>
      <c r="R402" s="12" t="s">
        <v>94</v>
      </c>
      <c r="S402" s="12">
        <v>10</v>
      </c>
      <c r="T402" s="12">
        <v>818001449</v>
      </c>
      <c r="U402" s="12" t="s">
        <v>3247</v>
      </c>
      <c r="V402" s="12">
        <f>VLOOKUP(Tabla44[[#This Row],[ZONA DEFINITIVO]],[1]Hoja1!$A$1:$D$125,3,0)</f>
        <v>229944</v>
      </c>
      <c r="W402" s="12">
        <f>VLOOKUP(Tabla44[[#This Row],[ZONA DEFINITIVO]],[1]Hoja1!$A$1:$D$125,2,0)</f>
        <v>17258</v>
      </c>
      <c r="X402" s="12">
        <f>VLOOKUP(Tabla44[[#This Row],[ZONA DEFINITIVO]],[1]Hoja1!$A$1:$D$125,4,0)</f>
        <v>104725</v>
      </c>
      <c r="Y402" s="12" t="str">
        <f>+IF(Tabla44[[#This Row],[AGRUPACIONES]]=1,SUMIFS(Tabla44[UDS],Tabla44[ZONA DEFINITIVO],Tabla44[[#This Row],[ZONA DEFINITIVO]])," ")</f>
        <v xml:space="preserve"> </v>
      </c>
      <c r="Z402" s="12" t="str">
        <f>+IF(Tabla44[[#This Row],[AGRUPACIONES]]=1,SUMIFS(Tabla44[TOTAL COBERTURA],Tabla44[ZONA DEFINITIVO],Tabla44[[#This Row],[ZONA DEFINITIVO]])," ")</f>
        <v xml:space="preserve"> </v>
      </c>
      <c r="AA402" s="12"/>
      <c r="AB402" s="35">
        <v>41423667</v>
      </c>
      <c r="AC402" s="37">
        <v>0</v>
      </c>
      <c r="AD402" s="35">
        <f t="shared" si="6"/>
        <v>0</v>
      </c>
      <c r="AE402" s="12"/>
      <c r="AF402" s="12">
        <f>COUNTIF($A$20:A402,A402)</f>
        <v>30</v>
      </c>
      <c r="AG402" s="38">
        <v>41423667</v>
      </c>
      <c r="AH402" s="38">
        <f>Tabla44[[#This Row],[VALOR CONTRAPARTIDA]]+Tabla44[[#This Row],[TOTAL APORTES ICBF]]</f>
        <v>41423667</v>
      </c>
      <c r="AI402" s="35" t="str">
        <f>+IF(Tabla44[[#This Row],[AGRUPACIONES]]=1,SUMIFS(Tabla44[TOTAL APORTES ICBF],Tabla44[ZONA DEFINITIVO],Tabla44[[#This Row],[ZONA DEFINITIVO]])," ")</f>
        <v xml:space="preserve"> </v>
      </c>
      <c r="AJ402" s="38"/>
      <c r="AK402" s="38"/>
      <c r="AL402" s="35"/>
      <c r="AM402" s="35">
        <f>VLOOKUP(Tabla44[[#This Row],[SERVICIO 2025]],$J$2:$V$15,5,0)*Tabla44[[#This Row],[TOTAL COBERTURA]]</f>
        <v>938144</v>
      </c>
      <c r="AN402" s="35">
        <f>VLOOKUP(Tabla44[[#This Row],[SERVICIO 2025]],$J$2:$V$15,6,0)*Tabla44[[#This Row],[TOTAL COBERTURA]]</f>
        <v>779551</v>
      </c>
      <c r="AO402" s="35">
        <f>VLOOKUP(Tabla44[[#This Row],[SERVICIO 2025]],$J$2:$V$15,8,0)*Tabla44[[#This Row],[TOTAL COBERTURA]]</f>
        <v>552900</v>
      </c>
      <c r="AP402" s="35">
        <f>VLOOKUP(Tabla44[[#This Row],[SERVICIO 2025]],$J$2:$V$15,3,0)*Tabla44[[#This Row],[TOTAL COBERTURA]]*8</f>
        <v>39153072</v>
      </c>
      <c r="AQ402" s="35"/>
      <c r="AR402" s="35">
        <f>SUM(Tabla44[[#This Row],[VALOR FASE PREPARATORIA DE ALISTAMIENTO]:[VALOR RACION PREPARADA]])</f>
        <v>41423667</v>
      </c>
      <c r="AS402" s="35" t="str">
        <f>+IF(Tabla44[[#This Row],[AGRUPACIONES]]=1,SUMIFS(Tabla44[VALOR TOTAL],Tabla44[ZONA DEFINITIVO],Tabla44[[#This Row],[ZONA DEFINITIVO]])," ")</f>
        <v xml:space="preserve"> </v>
      </c>
      <c r="AT402" s="35">
        <f>VLOOKUP(Tabla44[[#This Row],[SERVICIO 2025]],$J$2:$V$15,10,0)*Tabla44[[#This Row],[TOTAL COBERTURA]]*$X$7</f>
        <v>27418216</v>
      </c>
      <c r="AU402" s="39">
        <f>Tabla44[[#This Row],[TOTAL CONTRATO (ICBF+EAS)]]+Tabla44[[#This Row],[VALOR COMPONENTE ALIMENTACION NO ASIGNADO]]</f>
        <v>68841883</v>
      </c>
      <c r="AV40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9812455</v>
      </c>
      <c r="AW402" s="35">
        <f>(VLOOKUP(Tabla44[[#This Row],[SERVICIO 2025]],$J$2:$V$15,3,0)*Tabla44[[#This Row],[TOTAL COBERTURA]])+VLOOKUP(Tabla44[[#This Row],[SERVICIO 2025]],$J$2:$V$15,10,0)*Tabla44[[#This Row],[TOTAL COBERTURA]]</f>
        <v>8321411</v>
      </c>
      <c r="AX402" s="35">
        <f>(VLOOKUP(Tabla44[[#This Row],[SERVICIO 2025]],$J$2:$V$15,3,0)*Tabla44[[#This Row],[TOTAL COBERTURA]])+VLOOKUP(Tabla44[[#This Row],[SERVICIO 2025]],$J$2:$V$15,10,0)*Tabla44[[#This Row],[TOTAL COBERTURA]]</f>
        <v>8321411</v>
      </c>
      <c r="AY402" s="35">
        <f>(VLOOKUP(Tabla44[[#This Row],[SERVICIO 2025]],$J$2:$V$15,3,0)*Tabla44[[#This Row],[TOTAL COBERTURA]])+VLOOKUP(Tabla44[[#This Row],[SERVICIO 2025]],$J$2:$V$15,10,0)*Tabla44[[#This Row],[TOTAL COBERTURA]]</f>
        <v>8321411</v>
      </c>
      <c r="AZ402" s="35">
        <f>(VLOOKUP(Tabla44[[#This Row],[SERVICIO 2025]],$J$2:$V$15,3,0)*Tabla44[[#This Row],[TOTAL COBERTURA]])+VLOOKUP(Tabla44[[#This Row],[SERVICIO 2025]],$J$2:$V$15,10,0)*Tabla44[[#This Row],[TOTAL COBERTURA]]</f>
        <v>8321411</v>
      </c>
      <c r="BA402" s="35">
        <f>(VLOOKUP(Tabla44[[#This Row],[SERVICIO 2025]],$J$2:$V$15,3,0)*Tabla44[[#This Row],[TOTAL COBERTURA]])+VLOOKUP(Tabla44[[#This Row],[SERVICIO 2025]],$J$2:$V$15,10,0)*Tabla44[[#This Row],[TOTAL COBERTURA]]</f>
        <v>8321411</v>
      </c>
      <c r="BB402" s="35">
        <f>(VLOOKUP(Tabla44[[#This Row],[SERVICIO 2025]],$J$2:$V$15,3,0)*Tabla44[[#This Row],[TOTAL COBERTURA]])+VLOOKUP(Tabla44[[#This Row],[SERVICIO 2025]],$J$2:$V$15,10,0)*Tabla44[[#This Row],[TOTAL COBERTURA]]</f>
        <v>8321411</v>
      </c>
      <c r="BC40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9100962</v>
      </c>
      <c r="BD402" s="35">
        <f>SUM(Tabla44[[#This Row],[DESEMBOLSO 1]:[DESEMBOLSO 8]])</f>
        <v>68841883</v>
      </c>
      <c r="BE402" s="12" t="b">
        <f>EXACT(Tabla44[[#This Row],[VALOR ATENCIÓN (8 MESES)]],Tabla44[[#This Row],[VALOR TOTAL]])</f>
        <v>1</v>
      </c>
      <c r="BF402" s="23">
        <f>Tabla44[[#This Row],[VALOR ATENCIÓN (8 MESES)]]-Tabla44[[#This Row],[VALOR TOTAL]]</f>
        <v>0</v>
      </c>
      <c r="BG402" s="12" t="b">
        <f>EXACT(Tabla44[[#This Row],[TOTAL DESEMBOLSOS]],Tabla44[[#This Row],[VALOR TOTAL DEL CONTRATO INCLUIDO EL COMPONENTE DE ALIMENTACIÓN]])</f>
        <v>1</v>
      </c>
      <c r="BH402" s="29">
        <f>Tabla44[[#This Row],[TOTAL DESEMBOLSOS]]-Tabla44[[#This Row],[VALOR TOTAL DEL CONTRATO INCLUIDO EL COMPONENTE DE ALIMENTACIÓN]]</f>
        <v>0</v>
      </c>
      <c r="BI402" t="s">
        <v>98</v>
      </c>
    </row>
    <row r="403" spans="1:62">
      <c r="A403" s="13">
        <v>2017</v>
      </c>
      <c r="B403" s="13"/>
      <c r="C403" s="12" t="s">
        <v>87</v>
      </c>
      <c r="D403" s="12" t="s">
        <v>1628</v>
      </c>
      <c r="E403" s="12" t="s">
        <v>3551</v>
      </c>
      <c r="F403" s="12" t="s">
        <v>18</v>
      </c>
      <c r="G403" s="12" t="s">
        <v>90</v>
      </c>
      <c r="H403" s="12" t="s">
        <v>3589</v>
      </c>
      <c r="I403" s="36">
        <v>585400071031</v>
      </c>
      <c r="J403" s="12" t="s">
        <v>3590</v>
      </c>
      <c r="K403" s="12">
        <v>1</v>
      </c>
      <c r="L403" s="12">
        <v>53</v>
      </c>
      <c r="M403" s="12"/>
      <c r="N403" s="13">
        <v>2017</v>
      </c>
      <c r="O403" s="12" t="s">
        <v>2850</v>
      </c>
      <c r="P403" s="12"/>
      <c r="Q403" s="12"/>
      <c r="R403" s="12" t="s">
        <v>94</v>
      </c>
      <c r="S403" s="12">
        <v>10</v>
      </c>
      <c r="T403" s="12">
        <v>818001449</v>
      </c>
      <c r="U403" s="12" t="s">
        <v>3247</v>
      </c>
      <c r="V403" s="12">
        <f>VLOOKUP(Tabla44[[#This Row],[ZONA DEFINITIVO]],[1]Hoja1!$A$1:$D$125,3,0)</f>
        <v>229944</v>
      </c>
      <c r="W403" s="12">
        <f>VLOOKUP(Tabla44[[#This Row],[ZONA DEFINITIVO]],[1]Hoja1!$A$1:$D$125,2,0)</f>
        <v>17258</v>
      </c>
      <c r="X403" s="12">
        <f>VLOOKUP(Tabla44[[#This Row],[ZONA DEFINITIVO]],[1]Hoja1!$A$1:$D$125,4,0)</f>
        <v>104725</v>
      </c>
      <c r="Y403" s="12" t="str">
        <f>+IF(Tabla44[[#This Row],[AGRUPACIONES]]=1,SUMIFS(Tabla44[UDS],Tabla44[ZONA DEFINITIVO],Tabla44[[#This Row],[ZONA DEFINITIVO]])," ")</f>
        <v xml:space="preserve"> </v>
      </c>
      <c r="Z403" s="12" t="str">
        <f>+IF(Tabla44[[#This Row],[AGRUPACIONES]]=1,SUMIFS(Tabla44[TOTAL COBERTURA],Tabla44[ZONA DEFINITIVO],Tabla44[[#This Row],[ZONA DEFINITIVO]])," ")</f>
        <v xml:space="preserve"> </v>
      </c>
      <c r="AA403" s="12"/>
      <c r="AB403" s="35">
        <v>115550229</v>
      </c>
      <c r="AC403" s="37">
        <v>0</v>
      </c>
      <c r="AD403" s="35">
        <f t="shared" si="6"/>
        <v>0</v>
      </c>
      <c r="AE403" s="12"/>
      <c r="AF403" s="12">
        <f>COUNTIF($A$20:A403,A403)</f>
        <v>31</v>
      </c>
      <c r="AG403" s="38">
        <v>115550229</v>
      </c>
      <c r="AH403" s="38">
        <f>Tabla44[[#This Row],[VALOR CONTRAPARTIDA]]+Tabla44[[#This Row],[TOTAL APORTES ICBF]]</f>
        <v>115550229</v>
      </c>
      <c r="AI403" s="35" t="str">
        <f>+IF(Tabla44[[#This Row],[AGRUPACIONES]]=1,SUMIFS(Tabla44[TOTAL APORTES ICBF],Tabla44[ZONA DEFINITIVO],Tabla44[[#This Row],[ZONA DEFINITIVO]])," ")</f>
        <v xml:space="preserve"> </v>
      </c>
      <c r="AJ403" s="38"/>
      <c r="AK403" s="38"/>
      <c r="AL403" s="35"/>
      <c r="AM403" s="35">
        <f>VLOOKUP(Tabla44[[#This Row],[SERVICIO 2025]],$J$2:$V$15,5,0)*Tabla44[[#This Row],[TOTAL COBERTURA]]</f>
        <v>2616928</v>
      </c>
      <c r="AN403" s="35">
        <f>VLOOKUP(Tabla44[[#This Row],[SERVICIO 2025]],$J$2:$V$15,6,0)*Tabla44[[#This Row],[TOTAL COBERTURA]]</f>
        <v>2174537</v>
      </c>
      <c r="AO403" s="35">
        <f>VLOOKUP(Tabla44[[#This Row],[SERVICIO 2025]],$J$2:$V$15,8,0)*Tabla44[[#This Row],[TOTAL COBERTURA]]</f>
        <v>1542300</v>
      </c>
      <c r="AP403" s="35">
        <f>VLOOKUP(Tabla44[[#This Row],[SERVICIO 2025]],$J$2:$V$15,3,0)*Tabla44[[#This Row],[TOTAL COBERTURA]]*8</f>
        <v>109216464</v>
      </c>
      <c r="AQ403" s="35"/>
      <c r="AR403" s="35">
        <f>SUM(Tabla44[[#This Row],[VALOR FASE PREPARATORIA DE ALISTAMIENTO]:[VALOR RACION PREPARADA]])</f>
        <v>115550229</v>
      </c>
      <c r="AS403" s="35" t="str">
        <f>+IF(Tabla44[[#This Row],[AGRUPACIONES]]=1,SUMIFS(Tabla44[VALOR TOTAL],Tabla44[ZONA DEFINITIVO],Tabla44[[#This Row],[ZONA DEFINITIVO]])," ")</f>
        <v xml:space="preserve"> </v>
      </c>
      <c r="AT403" s="35">
        <f>VLOOKUP(Tabla44[[#This Row],[SERVICIO 2025]],$J$2:$V$15,10,0)*Tabla44[[#This Row],[TOTAL COBERTURA]]*$X$7</f>
        <v>76482392</v>
      </c>
      <c r="AU403" s="39">
        <f>Tabla44[[#This Row],[TOTAL CONTRATO (ICBF+EAS)]]+Tabla44[[#This Row],[VALOR COMPONENTE ALIMENTACION NO ASIGNADO]]</f>
        <v>192032621</v>
      </c>
      <c r="AV40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27371585</v>
      </c>
      <c r="AW403" s="35">
        <f>(VLOOKUP(Tabla44[[#This Row],[SERVICIO 2025]],$J$2:$V$15,3,0)*Tabla44[[#This Row],[TOTAL COBERTURA]])+VLOOKUP(Tabla44[[#This Row],[SERVICIO 2025]],$J$2:$V$15,10,0)*Tabla44[[#This Row],[TOTAL COBERTURA]]</f>
        <v>23212357</v>
      </c>
      <c r="AX403" s="35">
        <f>(VLOOKUP(Tabla44[[#This Row],[SERVICIO 2025]],$J$2:$V$15,3,0)*Tabla44[[#This Row],[TOTAL COBERTURA]])+VLOOKUP(Tabla44[[#This Row],[SERVICIO 2025]],$J$2:$V$15,10,0)*Tabla44[[#This Row],[TOTAL COBERTURA]]</f>
        <v>23212357</v>
      </c>
      <c r="AY403" s="35">
        <f>(VLOOKUP(Tabla44[[#This Row],[SERVICIO 2025]],$J$2:$V$15,3,0)*Tabla44[[#This Row],[TOTAL COBERTURA]])+VLOOKUP(Tabla44[[#This Row],[SERVICIO 2025]],$J$2:$V$15,10,0)*Tabla44[[#This Row],[TOTAL COBERTURA]]</f>
        <v>23212357</v>
      </c>
      <c r="AZ403" s="35">
        <f>(VLOOKUP(Tabla44[[#This Row],[SERVICIO 2025]],$J$2:$V$15,3,0)*Tabla44[[#This Row],[TOTAL COBERTURA]])+VLOOKUP(Tabla44[[#This Row],[SERVICIO 2025]],$J$2:$V$15,10,0)*Tabla44[[#This Row],[TOTAL COBERTURA]]</f>
        <v>23212357</v>
      </c>
      <c r="BA403" s="35">
        <f>(VLOOKUP(Tabla44[[#This Row],[SERVICIO 2025]],$J$2:$V$15,3,0)*Tabla44[[#This Row],[TOTAL COBERTURA]])+VLOOKUP(Tabla44[[#This Row],[SERVICIO 2025]],$J$2:$V$15,10,0)*Tabla44[[#This Row],[TOTAL COBERTURA]]</f>
        <v>23212357</v>
      </c>
      <c r="BB403" s="35">
        <f>(VLOOKUP(Tabla44[[#This Row],[SERVICIO 2025]],$J$2:$V$15,3,0)*Tabla44[[#This Row],[TOTAL COBERTURA]])+VLOOKUP(Tabla44[[#This Row],[SERVICIO 2025]],$J$2:$V$15,10,0)*Tabla44[[#This Row],[TOTAL COBERTURA]]</f>
        <v>23212357</v>
      </c>
      <c r="BC40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25386894</v>
      </c>
      <c r="BD403" s="35">
        <f>SUM(Tabla44[[#This Row],[DESEMBOLSO 1]:[DESEMBOLSO 8]])</f>
        <v>192032621</v>
      </c>
      <c r="BE403" s="12" t="b">
        <f>EXACT(Tabla44[[#This Row],[VALOR ATENCIÓN (8 MESES)]],Tabla44[[#This Row],[VALOR TOTAL]])</f>
        <v>1</v>
      </c>
      <c r="BF403" s="23">
        <f>Tabla44[[#This Row],[VALOR ATENCIÓN (8 MESES)]]-Tabla44[[#This Row],[VALOR TOTAL]]</f>
        <v>0</v>
      </c>
      <c r="BG403" s="12" t="b">
        <f>EXACT(Tabla44[[#This Row],[TOTAL DESEMBOLSOS]],Tabla44[[#This Row],[VALOR TOTAL DEL CONTRATO INCLUIDO EL COMPONENTE DE ALIMENTACIÓN]])</f>
        <v>1</v>
      </c>
      <c r="BH403" s="29">
        <f>Tabla44[[#This Row],[TOTAL DESEMBOLSOS]]-Tabla44[[#This Row],[VALOR TOTAL DEL CONTRATO INCLUIDO EL COMPONENTE DE ALIMENTACIÓN]]</f>
        <v>0</v>
      </c>
      <c r="BI403" t="s">
        <v>98</v>
      </c>
    </row>
    <row r="404" spans="1:62">
      <c r="A404" s="21">
        <v>2019</v>
      </c>
      <c r="B404" s="21"/>
      <c r="C404" s="22" t="s">
        <v>87</v>
      </c>
      <c r="D404" s="22" t="s">
        <v>673</v>
      </c>
      <c r="E404" s="22" t="s">
        <v>3591</v>
      </c>
      <c r="F404" s="22" t="s">
        <v>18</v>
      </c>
      <c r="G404" s="12" t="s">
        <v>90</v>
      </c>
      <c r="H404" s="22" t="s">
        <v>3592</v>
      </c>
      <c r="I404" s="36">
        <v>58851119037</v>
      </c>
      <c r="J404" s="22" t="s">
        <v>3593</v>
      </c>
      <c r="K404" s="12">
        <v>1</v>
      </c>
      <c r="L404" s="22">
        <v>14</v>
      </c>
      <c r="M404" s="22"/>
      <c r="N404" s="21">
        <v>2019</v>
      </c>
      <c r="O404" s="22" t="s">
        <v>2850</v>
      </c>
      <c r="P404" s="22"/>
      <c r="Q404" s="22"/>
      <c r="R404" s="12" t="s">
        <v>94</v>
      </c>
      <c r="S404" s="12">
        <v>10</v>
      </c>
      <c r="T404" s="12">
        <v>900072094</v>
      </c>
      <c r="U404" s="12" t="s">
        <v>3594</v>
      </c>
      <c r="V404" s="22">
        <f>VLOOKUP(Tabla44[[#This Row],[ZONA DEFINITIVO]],[1]Hoja1!$A$1:$D$125,3,0)</f>
        <v>229945</v>
      </c>
      <c r="W404" s="22">
        <f>VLOOKUP(Tabla44[[#This Row],[ZONA DEFINITIVO]],[1]Hoja1!$A$1:$D$125,2,0)</f>
        <v>17271</v>
      </c>
      <c r="X404" s="22">
        <f>VLOOKUP(Tabla44[[#This Row],[ZONA DEFINITIVO]],[1]Hoja1!$A$1:$D$125,4,0)</f>
        <v>105125</v>
      </c>
      <c r="Y404" s="22">
        <f>+IF(Tabla44[[#This Row],[AGRUPACIONES]]=1,SUMIFS(Tabla44[UDS],Tabla44[ZONA DEFINITIVO],Tabla44[[#This Row],[ZONA DEFINITIVO]])," ")</f>
        <v>41</v>
      </c>
      <c r="Z404" s="22">
        <f>+IF(Tabla44[[#This Row],[AGRUPACIONES]]=1,SUMIFS(Tabla44[TOTAL COBERTURA],Tabla44[ZONA DEFINITIVO],Tabla44[[#This Row],[ZONA DEFINITIVO]])," ")</f>
        <v>1170</v>
      </c>
      <c r="AA404" s="22"/>
      <c r="AB404" s="40">
        <v>30522702</v>
      </c>
      <c r="AC404" s="37">
        <v>0</v>
      </c>
      <c r="AD404" s="40">
        <f t="shared" ref="AD404:AD467" si="7">AB404*AC404</f>
        <v>0</v>
      </c>
      <c r="AE404" s="22"/>
      <c r="AF404" s="12">
        <f>COUNTIF($A$20:A404,A404)</f>
        <v>1</v>
      </c>
      <c r="AG404" s="41">
        <v>30522702</v>
      </c>
      <c r="AH404" s="41">
        <f>Tabla44[[#This Row],[VALOR CONTRAPARTIDA]]+Tabla44[[#This Row],[TOTAL APORTES ICBF]]</f>
        <v>30522702</v>
      </c>
      <c r="AI404" s="40">
        <f>+IF(Tabla44[[#This Row],[AGRUPACIONES]]=1,SUMIFS(Tabla44[TOTAL APORTES ICBF],Tabla44[ZONA DEFINITIVO],Tabla44[[#This Row],[ZONA DEFINITIVO]])," ")</f>
        <v>3202663351</v>
      </c>
      <c r="AJ404" s="41">
        <f>ROUND(+IF(Tabla44[[#This Row],[AGRUPACIONES]]=1,SUMIFS(Tabla44[VALOR CONTRAPARTIDA],Tabla44[ZONA DEFINITIVO],Tabla44[[#This Row],[ZONA DEFINITIVO]])," "),0)</f>
        <v>0</v>
      </c>
      <c r="AK404" s="41">
        <f>Tabla44[[#This Row],[TOTAL APORTES ICBF AGRUPADO]]+Tabla44[[#This Row],[TOTAL CONTRAPARTIDA AGRUPADO]]</f>
        <v>3202663351</v>
      </c>
      <c r="AL404" s="40">
        <f>Tabla44[[#This Row],[TOTAL APORTES ICBF AGRUPADO]]/$AL$18</f>
        <v>2249.8513178784688</v>
      </c>
      <c r="AM404" s="40">
        <f>VLOOKUP(Tabla44[[#This Row],[SERVICIO 2025]],$J$2:$V$15,5,0)*Tabla44[[#This Row],[TOTAL COBERTURA]]</f>
        <v>691264</v>
      </c>
      <c r="AN404" s="40">
        <f>VLOOKUP(Tabla44[[#This Row],[SERVICIO 2025]],$J$2:$V$15,6,0)*Tabla44[[#This Row],[TOTAL COBERTURA]]</f>
        <v>574406</v>
      </c>
      <c r="AO404" s="40">
        <f>VLOOKUP(Tabla44[[#This Row],[SERVICIO 2025]],$J$2:$V$15,8,0)*Tabla44[[#This Row],[TOTAL COBERTURA]]</f>
        <v>407400</v>
      </c>
      <c r="AP404" s="40">
        <f>VLOOKUP(Tabla44[[#This Row],[SERVICIO 2025]],$J$2:$V$15,3,0)*Tabla44[[#This Row],[TOTAL COBERTURA]]*8</f>
        <v>28849632</v>
      </c>
      <c r="AQ404" s="40"/>
      <c r="AR404" s="40">
        <f>SUM(Tabla44[[#This Row],[VALOR FASE PREPARATORIA DE ALISTAMIENTO]:[VALOR RACION PREPARADA]])</f>
        <v>30522702</v>
      </c>
      <c r="AS404" s="40">
        <f>+IF(Tabla44[[#This Row],[AGRUPACIONES]]=1,SUMIFS(Tabla44[VALOR TOTAL],Tabla44[ZONA DEFINITIVO],Tabla44[[#This Row],[ZONA DEFINITIVO]])," ")</f>
        <v>3202663351</v>
      </c>
      <c r="AT404" s="35">
        <f>VLOOKUP(Tabla44[[#This Row],[SERVICIO 2025]],$J$2:$V$15,10,0)*Tabla44[[#This Row],[TOTAL COBERTURA]]*$X$7</f>
        <v>20202896</v>
      </c>
      <c r="AU404" s="42">
        <f>Tabla44[[#This Row],[TOTAL CONTRATO (ICBF+EAS)]]+Tabla44[[#This Row],[VALOR COMPONENTE ALIMENTACION NO ASIGNADO]]</f>
        <v>50725598</v>
      </c>
      <c r="AV40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404" s="35">
        <f>(VLOOKUP(Tabla44[[#This Row],[SERVICIO 2025]],$J$2:$V$15,3,0)*Tabla44[[#This Row],[TOTAL COBERTURA]])+VLOOKUP(Tabla44[[#This Row],[SERVICIO 2025]],$J$2:$V$15,10,0)*Tabla44[[#This Row],[TOTAL COBERTURA]]</f>
        <v>6131566</v>
      </c>
      <c r="AX404" s="40">
        <f>(VLOOKUP(Tabla44[[#This Row],[SERVICIO 2025]],$J$2:$V$15,3,0)*Tabla44[[#This Row],[TOTAL COBERTURA]])+VLOOKUP(Tabla44[[#This Row],[SERVICIO 2025]],$J$2:$V$15,10,0)*Tabla44[[#This Row],[TOTAL COBERTURA]]</f>
        <v>6131566</v>
      </c>
      <c r="AY404" s="40">
        <f>(VLOOKUP(Tabla44[[#This Row],[SERVICIO 2025]],$J$2:$V$15,3,0)*Tabla44[[#This Row],[TOTAL COBERTURA]])+VLOOKUP(Tabla44[[#This Row],[SERVICIO 2025]],$J$2:$V$15,10,0)*Tabla44[[#This Row],[TOTAL COBERTURA]]</f>
        <v>6131566</v>
      </c>
      <c r="AZ404" s="40">
        <f>(VLOOKUP(Tabla44[[#This Row],[SERVICIO 2025]],$J$2:$V$15,3,0)*Tabla44[[#This Row],[TOTAL COBERTURA]])+VLOOKUP(Tabla44[[#This Row],[SERVICIO 2025]],$J$2:$V$15,10,0)*Tabla44[[#This Row],[TOTAL COBERTURA]]</f>
        <v>6131566</v>
      </c>
      <c r="BA404" s="40">
        <f>(VLOOKUP(Tabla44[[#This Row],[SERVICIO 2025]],$J$2:$V$15,3,0)*Tabla44[[#This Row],[TOTAL COBERTURA]])+VLOOKUP(Tabla44[[#This Row],[SERVICIO 2025]],$J$2:$V$15,10,0)*Tabla44[[#This Row],[TOTAL COBERTURA]]</f>
        <v>6131566</v>
      </c>
      <c r="BB404" s="40">
        <f>(VLOOKUP(Tabla44[[#This Row],[SERVICIO 2025]],$J$2:$V$15,3,0)*Tabla44[[#This Row],[TOTAL COBERTURA]])+VLOOKUP(Tabla44[[#This Row],[SERVICIO 2025]],$J$2:$V$15,10,0)*Tabla44[[#This Row],[TOTAL COBERTURA]]</f>
        <v>6131566</v>
      </c>
      <c r="BC404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404" s="40">
        <f>SUM(Tabla44[[#This Row],[DESEMBOLSO 1]:[DESEMBOLSO 8]])</f>
        <v>50725598</v>
      </c>
      <c r="BE404" s="22" t="b">
        <f>EXACT(Tabla44[[#This Row],[VALOR ATENCIÓN (8 MESES)]],Tabla44[[#This Row],[VALOR TOTAL]])</f>
        <v>1</v>
      </c>
      <c r="BF404" s="28">
        <f>Tabla44[[#This Row],[VALOR ATENCIÓN (8 MESES)]]-Tabla44[[#This Row],[VALOR TOTAL]]</f>
        <v>0</v>
      </c>
      <c r="BG404" s="22" t="b">
        <f>EXACT(Tabla44[[#This Row],[TOTAL DESEMBOLSOS]],Tabla44[[#This Row],[VALOR TOTAL DEL CONTRATO INCLUIDO EL COMPONENTE DE ALIMENTACIÓN]])</f>
        <v>1</v>
      </c>
      <c r="BH404" s="29">
        <f>Tabla44[[#This Row],[TOTAL DESEMBOLSOS]]-Tabla44[[#This Row],[VALOR TOTAL DEL CONTRATO INCLUIDO EL COMPONENTE DE ALIMENTACIÓN]]</f>
        <v>0</v>
      </c>
      <c r="BJ404" t="s">
        <v>3595</v>
      </c>
    </row>
    <row r="405" spans="1:62">
      <c r="A405" s="13">
        <v>2019</v>
      </c>
      <c r="B405" s="13"/>
      <c r="C405" s="12" t="s">
        <v>87</v>
      </c>
      <c r="D405" s="12" t="s">
        <v>673</v>
      </c>
      <c r="E405" s="12" t="s">
        <v>3591</v>
      </c>
      <c r="F405" s="12" t="s">
        <v>18</v>
      </c>
      <c r="G405" s="12" t="s">
        <v>90</v>
      </c>
      <c r="H405" s="12" t="s">
        <v>3596</v>
      </c>
      <c r="I405" s="36">
        <v>58851119045</v>
      </c>
      <c r="J405" s="12" t="s">
        <v>3597</v>
      </c>
      <c r="K405" s="12">
        <v>1</v>
      </c>
      <c r="L405" s="12">
        <v>14</v>
      </c>
      <c r="M405" s="12"/>
      <c r="N405" s="13">
        <v>2019</v>
      </c>
      <c r="O405" s="12" t="s">
        <v>2850</v>
      </c>
      <c r="P405" s="12"/>
      <c r="Q405" s="12"/>
      <c r="R405" s="12" t="s">
        <v>94</v>
      </c>
      <c r="S405" s="12">
        <v>10</v>
      </c>
      <c r="T405" s="12">
        <v>900072094</v>
      </c>
      <c r="U405" s="12" t="s">
        <v>3594</v>
      </c>
      <c r="V405" s="12">
        <f>VLOOKUP(Tabla44[[#This Row],[ZONA DEFINITIVO]],[1]Hoja1!$A$1:$D$125,3,0)</f>
        <v>229945</v>
      </c>
      <c r="W405" s="12">
        <f>VLOOKUP(Tabla44[[#This Row],[ZONA DEFINITIVO]],[1]Hoja1!$A$1:$D$125,2,0)</f>
        <v>17271</v>
      </c>
      <c r="X405" s="12">
        <f>VLOOKUP(Tabla44[[#This Row],[ZONA DEFINITIVO]],[1]Hoja1!$A$1:$D$125,4,0)</f>
        <v>105125</v>
      </c>
      <c r="Y405" s="12" t="str">
        <f>+IF(Tabla44[[#This Row],[AGRUPACIONES]]=1,SUMIFS(Tabla44[UDS],Tabla44[ZONA DEFINITIVO],Tabla44[[#This Row],[ZONA DEFINITIVO]])," ")</f>
        <v xml:space="preserve"> </v>
      </c>
      <c r="Z405" s="12" t="str">
        <f>+IF(Tabla44[[#This Row],[AGRUPACIONES]]=1,SUMIFS(Tabla44[TOTAL COBERTURA],Tabla44[ZONA DEFINITIVO],Tabla44[[#This Row],[ZONA DEFINITIVO]])," ")</f>
        <v xml:space="preserve"> </v>
      </c>
      <c r="AA405" s="12"/>
      <c r="AB405" s="35">
        <v>30522702</v>
      </c>
      <c r="AC405" s="37">
        <v>0</v>
      </c>
      <c r="AD405" s="35">
        <f t="shared" si="7"/>
        <v>0</v>
      </c>
      <c r="AE405" s="12"/>
      <c r="AF405" s="12">
        <f>COUNTIF($A$20:A405,A405)</f>
        <v>2</v>
      </c>
      <c r="AG405" s="38">
        <v>30522702</v>
      </c>
      <c r="AH405" s="38">
        <f>Tabla44[[#This Row],[VALOR CONTRAPARTIDA]]+Tabla44[[#This Row],[TOTAL APORTES ICBF]]</f>
        <v>30522702</v>
      </c>
      <c r="AI405" s="35" t="str">
        <f>+IF(Tabla44[[#This Row],[AGRUPACIONES]]=1,SUMIFS(Tabla44[TOTAL APORTES ICBF],Tabla44[ZONA DEFINITIVO],Tabla44[[#This Row],[ZONA DEFINITIVO]])," ")</f>
        <v xml:space="preserve"> </v>
      </c>
      <c r="AJ405" s="38"/>
      <c r="AK405" s="38"/>
      <c r="AL405" s="35"/>
      <c r="AM405" s="35">
        <f>VLOOKUP(Tabla44[[#This Row],[SERVICIO 2025]],$J$2:$V$15,5,0)*Tabla44[[#This Row],[TOTAL COBERTURA]]</f>
        <v>691264</v>
      </c>
      <c r="AN405" s="35">
        <f>VLOOKUP(Tabla44[[#This Row],[SERVICIO 2025]],$J$2:$V$15,6,0)*Tabla44[[#This Row],[TOTAL COBERTURA]]</f>
        <v>574406</v>
      </c>
      <c r="AO405" s="35">
        <f>VLOOKUP(Tabla44[[#This Row],[SERVICIO 2025]],$J$2:$V$15,8,0)*Tabla44[[#This Row],[TOTAL COBERTURA]]</f>
        <v>407400</v>
      </c>
      <c r="AP405" s="35">
        <f>VLOOKUP(Tabla44[[#This Row],[SERVICIO 2025]],$J$2:$V$15,3,0)*Tabla44[[#This Row],[TOTAL COBERTURA]]*8</f>
        <v>28849632</v>
      </c>
      <c r="AQ405" s="35"/>
      <c r="AR405" s="35">
        <f>SUM(Tabla44[[#This Row],[VALOR FASE PREPARATORIA DE ALISTAMIENTO]:[VALOR RACION PREPARADA]])</f>
        <v>30522702</v>
      </c>
      <c r="AS405" s="35" t="str">
        <f>+IF(Tabla44[[#This Row],[AGRUPACIONES]]=1,SUMIFS(Tabla44[VALOR TOTAL],Tabla44[ZONA DEFINITIVO],Tabla44[[#This Row],[ZONA DEFINITIVO]])," ")</f>
        <v xml:space="preserve"> </v>
      </c>
      <c r="AT405" s="35">
        <f>VLOOKUP(Tabla44[[#This Row],[SERVICIO 2025]],$J$2:$V$15,10,0)*Tabla44[[#This Row],[TOTAL COBERTURA]]*$X$7</f>
        <v>20202896</v>
      </c>
      <c r="AU405" s="39">
        <f>Tabla44[[#This Row],[TOTAL CONTRATO (ICBF+EAS)]]+Tabla44[[#This Row],[VALOR COMPONENTE ALIMENTACION NO ASIGNADO]]</f>
        <v>50725598</v>
      </c>
      <c r="AV40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405" s="35">
        <f>(VLOOKUP(Tabla44[[#This Row],[SERVICIO 2025]],$J$2:$V$15,3,0)*Tabla44[[#This Row],[TOTAL COBERTURA]])+VLOOKUP(Tabla44[[#This Row],[SERVICIO 2025]],$J$2:$V$15,10,0)*Tabla44[[#This Row],[TOTAL COBERTURA]]</f>
        <v>6131566</v>
      </c>
      <c r="AX405" s="35">
        <f>(VLOOKUP(Tabla44[[#This Row],[SERVICIO 2025]],$J$2:$V$15,3,0)*Tabla44[[#This Row],[TOTAL COBERTURA]])+VLOOKUP(Tabla44[[#This Row],[SERVICIO 2025]],$J$2:$V$15,10,0)*Tabla44[[#This Row],[TOTAL COBERTURA]]</f>
        <v>6131566</v>
      </c>
      <c r="AY405" s="35">
        <f>(VLOOKUP(Tabla44[[#This Row],[SERVICIO 2025]],$J$2:$V$15,3,0)*Tabla44[[#This Row],[TOTAL COBERTURA]])+VLOOKUP(Tabla44[[#This Row],[SERVICIO 2025]],$J$2:$V$15,10,0)*Tabla44[[#This Row],[TOTAL COBERTURA]]</f>
        <v>6131566</v>
      </c>
      <c r="AZ405" s="35">
        <f>(VLOOKUP(Tabla44[[#This Row],[SERVICIO 2025]],$J$2:$V$15,3,0)*Tabla44[[#This Row],[TOTAL COBERTURA]])+VLOOKUP(Tabla44[[#This Row],[SERVICIO 2025]],$J$2:$V$15,10,0)*Tabla44[[#This Row],[TOTAL COBERTURA]]</f>
        <v>6131566</v>
      </c>
      <c r="BA405" s="35">
        <f>(VLOOKUP(Tabla44[[#This Row],[SERVICIO 2025]],$J$2:$V$15,3,0)*Tabla44[[#This Row],[TOTAL COBERTURA]])+VLOOKUP(Tabla44[[#This Row],[SERVICIO 2025]],$J$2:$V$15,10,0)*Tabla44[[#This Row],[TOTAL COBERTURA]]</f>
        <v>6131566</v>
      </c>
      <c r="BB405" s="35">
        <f>(VLOOKUP(Tabla44[[#This Row],[SERVICIO 2025]],$J$2:$V$15,3,0)*Tabla44[[#This Row],[TOTAL COBERTURA]])+VLOOKUP(Tabla44[[#This Row],[SERVICIO 2025]],$J$2:$V$15,10,0)*Tabla44[[#This Row],[TOTAL COBERTURA]]</f>
        <v>6131566</v>
      </c>
      <c r="BC40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405" s="35">
        <f>SUM(Tabla44[[#This Row],[DESEMBOLSO 1]:[DESEMBOLSO 8]])</f>
        <v>50725598</v>
      </c>
      <c r="BE405" s="12" t="b">
        <f>EXACT(Tabla44[[#This Row],[VALOR ATENCIÓN (8 MESES)]],Tabla44[[#This Row],[VALOR TOTAL]])</f>
        <v>1</v>
      </c>
      <c r="BF405" s="23">
        <f>Tabla44[[#This Row],[VALOR ATENCIÓN (8 MESES)]]-Tabla44[[#This Row],[VALOR TOTAL]]</f>
        <v>0</v>
      </c>
      <c r="BG405" s="12" t="b">
        <f>EXACT(Tabla44[[#This Row],[TOTAL DESEMBOLSOS]],Tabla44[[#This Row],[VALOR TOTAL DEL CONTRATO INCLUIDO EL COMPONENTE DE ALIMENTACIÓN]])</f>
        <v>1</v>
      </c>
      <c r="BH405" s="29">
        <f>Tabla44[[#This Row],[TOTAL DESEMBOLSOS]]-Tabla44[[#This Row],[VALOR TOTAL DEL CONTRATO INCLUIDO EL COMPONENTE DE ALIMENTACIÓN]]</f>
        <v>0</v>
      </c>
      <c r="BJ405" t="s">
        <v>3595</v>
      </c>
    </row>
    <row r="406" spans="1:62">
      <c r="A406" s="13">
        <v>2019</v>
      </c>
      <c r="B406" s="13"/>
      <c r="C406" s="12" t="s">
        <v>87</v>
      </c>
      <c r="D406" s="12" t="s">
        <v>673</v>
      </c>
      <c r="E406" s="12" t="s">
        <v>3591</v>
      </c>
      <c r="F406" s="12" t="s">
        <v>18</v>
      </c>
      <c r="G406" s="12" t="s">
        <v>90</v>
      </c>
      <c r="H406" s="12" t="s">
        <v>3598</v>
      </c>
      <c r="I406" s="36">
        <v>58851137887</v>
      </c>
      <c r="J406" s="12" t="s">
        <v>3599</v>
      </c>
      <c r="K406" s="12">
        <v>1</v>
      </c>
      <c r="L406" s="12">
        <v>10</v>
      </c>
      <c r="M406" s="12"/>
      <c r="N406" s="13">
        <v>2019</v>
      </c>
      <c r="O406" s="12" t="s">
        <v>2850</v>
      </c>
      <c r="P406" s="12"/>
      <c r="Q406" s="12"/>
      <c r="R406" s="12" t="s">
        <v>94</v>
      </c>
      <c r="S406" s="12">
        <v>10</v>
      </c>
      <c r="T406" s="12">
        <v>900072094</v>
      </c>
      <c r="U406" s="12" t="s">
        <v>3594</v>
      </c>
      <c r="V406" s="12">
        <f>VLOOKUP(Tabla44[[#This Row],[ZONA DEFINITIVO]],[1]Hoja1!$A$1:$D$125,3,0)</f>
        <v>229945</v>
      </c>
      <c r="W406" s="12">
        <f>VLOOKUP(Tabla44[[#This Row],[ZONA DEFINITIVO]],[1]Hoja1!$A$1:$D$125,2,0)</f>
        <v>17271</v>
      </c>
      <c r="X406" s="12">
        <f>VLOOKUP(Tabla44[[#This Row],[ZONA DEFINITIVO]],[1]Hoja1!$A$1:$D$125,4,0)</f>
        <v>105125</v>
      </c>
      <c r="Y406" s="12" t="str">
        <f>+IF(Tabla44[[#This Row],[AGRUPACIONES]]=1,SUMIFS(Tabla44[UDS],Tabla44[ZONA DEFINITIVO],Tabla44[[#This Row],[ZONA DEFINITIVO]])," ")</f>
        <v xml:space="preserve"> </v>
      </c>
      <c r="Z406" s="12" t="str">
        <f>+IF(Tabla44[[#This Row],[AGRUPACIONES]]=1,SUMIFS(Tabla44[TOTAL COBERTURA],Tabla44[ZONA DEFINITIVO],Tabla44[[#This Row],[ZONA DEFINITIVO]])," ")</f>
        <v xml:space="preserve"> </v>
      </c>
      <c r="AA406" s="12"/>
      <c r="AB406" s="35">
        <v>21801930</v>
      </c>
      <c r="AC406" s="37">
        <v>0</v>
      </c>
      <c r="AD406" s="35">
        <f t="shared" si="7"/>
        <v>0</v>
      </c>
      <c r="AE406" s="12"/>
      <c r="AF406" s="12">
        <f>COUNTIF($A$20:A406,A406)</f>
        <v>3</v>
      </c>
      <c r="AG406" s="38">
        <v>21801930</v>
      </c>
      <c r="AH406" s="38">
        <f>Tabla44[[#This Row],[VALOR CONTRAPARTIDA]]+Tabla44[[#This Row],[TOTAL APORTES ICBF]]</f>
        <v>21801930</v>
      </c>
      <c r="AI406" s="35" t="str">
        <f>+IF(Tabla44[[#This Row],[AGRUPACIONES]]=1,SUMIFS(Tabla44[TOTAL APORTES ICBF],Tabla44[ZONA DEFINITIVO],Tabla44[[#This Row],[ZONA DEFINITIVO]])," ")</f>
        <v xml:space="preserve"> </v>
      </c>
      <c r="AJ406" s="38"/>
      <c r="AK406" s="38"/>
      <c r="AL406" s="35"/>
      <c r="AM406" s="35">
        <f>VLOOKUP(Tabla44[[#This Row],[SERVICIO 2025]],$J$2:$V$15,5,0)*Tabla44[[#This Row],[TOTAL COBERTURA]]</f>
        <v>493760</v>
      </c>
      <c r="AN406" s="35">
        <f>VLOOKUP(Tabla44[[#This Row],[SERVICIO 2025]],$J$2:$V$15,6,0)*Tabla44[[#This Row],[TOTAL COBERTURA]]</f>
        <v>410290</v>
      </c>
      <c r="AO406" s="35">
        <f>VLOOKUP(Tabla44[[#This Row],[SERVICIO 2025]],$J$2:$V$15,8,0)*Tabla44[[#This Row],[TOTAL COBERTURA]]</f>
        <v>291000</v>
      </c>
      <c r="AP406" s="35">
        <f>VLOOKUP(Tabla44[[#This Row],[SERVICIO 2025]],$J$2:$V$15,3,0)*Tabla44[[#This Row],[TOTAL COBERTURA]]*8</f>
        <v>20606880</v>
      </c>
      <c r="AQ406" s="35"/>
      <c r="AR406" s="35">
        <f>SUM(Tabla44[[#This Row],[VALOR FASE PREPARATORIA DE ALISTAMIENTO]:[VALOR RACION PREPARADA]])</f>
        <v>21801930</v>
      </c>
      <c r="AS406" s="35" t="str">
        <f>+IF(Tabla44[[#This Row],[AGRUPACIONES]]=1,SUMIFS(Tabla44[VALOR TOTAL],Tabla44[ZONA DEFINITIVO],Tabla44[[#This Row],[ZONA DEFINITIVO]])," ")</f>
        <v xml:space="preserve"> </v>
      </c>
      <c r="AT406" s="35">
        <f>VLOOKUP(Tabla44[[#This Row],[SERVICIO 2025]],$J$2:$V$15,10,0)*Tabla44[[#This Row],[TOTAL COBERTURA]]*$X$7</f>
        <v>14430640</v>
      </c>
      <c r="AU406" s="39">
        <f>Tabla44[[#This Row],[TOTAL CONTRATO (ICBF+EAS)]]+Tabla44[[#This Row],[VALOR COMPONENTE ALIMENTACION NO ASIGNADO]]</f>
        <v>36232570</v>
      </c>
      <c r="AV40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406" s="35">
        <f>(VLOOKUP(Tabla44[[#This Row],[SERVICIO 2025]],$J$2:$V$15,3,0)*Tabla44[[#This Row],[TOTAL COBERTURA]])+VLOOKUP(Tabla44[[#This Row],[SERVICIO 2025]],$J$2:$V$15,10,0)*Tabla44[[#This Row],[TOTAL COBERTURA]]</f>
        <v>4379690</v>
      </c>
      <c r="AX406" s="35">
        <f>(VLOOKUP(Tabla44[[#This Row],[SERVICIO 2025]],$J$2:$V$15,3,0)*Tabla44[[#This Row],[TOTAL COBERTURA]])+VLOOKUP(Tabla44[[#This Row],[SERVICIO 2025]],$J$2:$V$15,10,0)*Tabla44[[#This Row],[TOTAL COBERTURA]]</f>
        <v>4379690</v>
      </c>
      <c r="AY406" s="35">
        <f>(VLOOKUP(Tabla44[[#This Row],[SERVICIO 2025]],$J$2:$V$15,3,0)*Tabla44[[#This Row],[TOTAL COBERTURA]])+VLOOKUP(Tabla44[[#This Row],[SERVICIO 2025]],$J$2:$V$15,10,0)*Tabla44[[#This Row],[TOTAL COBERTURA]]</f>
        <v>4379690</v>
      </c>
      <c r="AZ406" s="35">
        <f>(VLOOKUP(Tabla44[[#This Row],[SERVICIO 2025]],$J$2:$V$15,3,0)*Tabla44[[#This Row],[TOTAL COBERTURA]])+VLOOKUP(Tabla44[[#This Row],[SERVICIO 2025]],$J$2:$V$15,10,0)*Tabla44[[#This Row],[TOTAL COBERTURA]]</f>
        <v>4379690</v>
      </c>
      <c r="BA406" s="35">
        <f>(VLOOKUP(Tabla44[[#This Row],[SERVICIO 2025]],$J$2:$V$15,3,0)*Tabla44[[#This Row],[TOTAL COBERTURA]])+VLOOKUP(Tabla44[[#This Row],[SERVICIO 2025]],$J$2:$V$15,10,0)*Tabla44[[#This Row],[TOTAL COBERTURA]]</f>
        <v>4379690</v>
      </c>
      <c r="BB406" s="35">
        <f>(VLOOKUP(Tabla44[[#This Row],[SERVICIO 2025]],$J$2:$V$15,3,0)*Tabla44[[#This Row],[TOTAL COBERTURA]])+VLOOKUP(Tabla44[[#This Row],[SERVICIO 2025]],$J$2:$V$15,10,0)*Tabla44[[#This Row],[TOTAL COBERTURA]]</f>
        <v>4379690</v>
      </c>
      <c r="BC40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406" s="35">
        <f>SUM(Tabla44[[#This Row],[DESEMBOLSO 1]:[DESEMBOLSO 8]])</f>
        <v>36232570</v>
      </c>
      <c r="BE406" s="12" t="b">
        <f>EXACT(Tabla44[[#This Row],[VALOR ATENCIÓN (8 MESES)]],Tabla44[[#This Row],[VALOR TOTAL]])</f>
        <v>1</v>
      </c>
      <c r="BF406" s="23">
        <f>Tabla44[[#This Row],[VALOR ATENCIÓN (8 MESES)]]-Tabla44[[#This Row],[VALOR TOTAL]]</f>
        <v>0</v>
      </c>
      <c r="BG406" s="12" t="b">
        <f>EXACT(Tabla44[[#This Row],[TOTAL DESEMBOLSOS]],Tabla44[[#This Row],[VALOR TOTAL DEL CONTRATO INCLUIDO EL COMPONENTE DE ALIMENTACIÓN]])</f>
        <v>1</v>
      </c>
      <c r="BH406" s="29">
        <f>Tabla44[[#This Row],[TOTAL DESEMBOLSOS]]-Tabla44[[#This Row],[VALOR TOTAL DEL CONTRATO INCLUIDO EL COMPONENTE DE ALIMENTACIÓN]]</f>
        <v>0</v>
      </c>
      <c r="BJ406" t="s">
        <v>3595</v>
      </c>
    </row>
    <row r="407" spans="1:62">
      <c r="A407" s="13">
        <v>2019</v>
      </c>
      <c r="B407" s="13"/>
      <c r="C407" s="12" t="s">
        <v>87</v>
      </c>
      <c r="D407" s="12" t="s">
        <v>673</v>
      </c>
      <c r="E407" s="12" t="s">
        <v>3591</v>
      </c>
      <c r="F407" s="12" t="s">
        <v>18</v>
      </c>
      <c r="G407" s="12" t="s">
        <v>90</v>
      </c>
      <c r="H407" s="12" t="s">
        <v>2286</v>
      </c>
      <c r="I407" s="36">
        <v>58851137888</v>
      </c>
      <c r="J407" s="12" t="s">
        <v>3600</v>
      </c>
      <c r="K407" s="12">
        <v>1</v>
      </c>
      <c r="L407" s="12">
        <v>11</v>
      </c>
      <c r="M407" s="12"/>
      <c r="N407" s="13">
        <v>2019</v>
      </c>
      <c r="O407" s="12" t="s">
        <v>2850</v>
      </c>
      <c r="P407" s="12"/>
      <c r="Q407" s="12"/>
      <c r="R407" s="12" t="s">
        <v>94</v>
      </c>
      <c r="S407" s="12">
        <v>10</v>
      </c>
      <c r="T407" s="12">
        <v>900072094</v>
      </c>
      <c r="U407" s="12" t="s">
        <v>3594</v>
      </c>
      <c r="V407" s="12">
        <f>VLOOKUP(Tabla44[[#This Row],[ZONA DEFINITIVO]],[1]Hoja1!$A$1:$D$125,3,0)</f>
        <v>229945</v>
      </c>
      <c r="W407" s="12">
        <f>VLOOKUP(Tabla44[[#This Row],[ZONA DEFINITIVO]],[1]Hoja1!$A$1:$D$125,2,0)</f>
        <v>17271</v>
      </c>
      <c r="X407" s="12">
        <f>VLOOKUP(Tabla44[[#This Row],[ZONA DEFINITIVO]],[1]Hoja1!$A$1:$D$125,4,0)</f>
        <v>105125</v>
      </c>
      <c r="Y407" s="12" t="str">
        <f>+IF(Tabla44[[#This Row],[AGRUPACIONES]]=1,SUMIFS(Tabla44[UDS],Tabla44[ZONA DEFINITIVO],Tabla44[[#This Row],[ZONA DEFINITIVO]])," ")</f>
        <v xml:space="preserve"> </v>
      </c>
      <c r="Z407" s="12" t="str">
        <f>+IF(Tabla44[[#This Row],[AGRUPACIONES]]=1,SUMIFS(Tabla44[TOTAL COBERTURA],Tabla44[ZONA DEFINITIVO],Tabla44[[#This Row],[ZONA DEFINITIVO]])," ")</f>
        <v xml:space="preserve"> </v>
      </c>
      <c r="AA407" s="12"/>
      <c r="AB407" s="35">
        <v>23982123</v>
      </c>
      <c r="AC407" s="37">
        <v>0</v>
      </c>
      <c r="AD407" s="35">
        <f t="shared" si="7"/>
        <v>0</v>
      </c>
      <c r="AE407" s="12"/>
      <c r="AF407" s="12">
        <f>COUNTIF($A$20:A407,A407)</f>
        <v>4</v>
      </c>
      <c r="AG407" s="38">
        <v>23982123</v>
      </c>
      <c r="AH407" s="38">
        <f>Tabla44[[#This Row],[VALOR CONTRAPARTIDA]]+Tabla44[[#This Row],[TOTAL APORTES ICBF]]</f>
        <v>23982123</v>
      </c>
      <c r="AI407" s="35" t="str">
        <f>+IF(Tabla44[[#This Row],[AGRUPACIONES]]=1,SUMIFS(Tabla44[TOTAL APORTES ICBF],Tabla44[ZONA DEFINITIVO],Tabla44[[#This Row],[ZONA DEFINITIVO]])," ")</f>
        <v xml:space="preserve"> </v>
      </c>
      <c r="AJ407" s="38"/>
      <c r="AK407" s="38"/>
      <c r="AL407" s="35"/>
      <c r="AM407" s="35">
        <f>VLOOKUP(Tabla44[[#This Row],[SERVICIO 2025]],$J$2:$V$15,5,0)*Tabla44[[#This Row],[TOTAL COBERTURA]]</f>
        <v>543136</v>
      </c>
      <c r="AN407" s="35">
        <f>VLOOKUP(Tabla44[[#This Row],[SERVICIO 2025]],$J$2:$V$15,6,0)*Tabla44[[#This Row],[TOTAL COBERTURA]]</f>
        <v>451319</v>
      </c>
      <c r="AO407" s="35">
        <f>VLOOKUP(Tabla44[[#This Row],[SERVICIO 2025]],$J$2:$V$15,8,0)*Tabla44[[#This Row],[TOTAL COBERTURA]]</f>
        <v>320100</v>
      </c>
      <c r="AP407" s="35">
        <f>VLOOKUP(Tabla44[[#This Row],[SERVICIO 2025]],$J$2:$V$15,3,0)*Tabla44[[#This Row],[TOTAL COBERTURA]]*8</f>
        <v>22667568</v>
      </c>
      <c r="AQ407" s="35"/>
      <c r="AR407" s="35">
        <f>SUM(Tabla44[[#This Row],[VALOR FASE PREPARATORIA DE ALISTAMIENTO]:[VALOR RACION PREPARADA]])</f>
        <v>23982123</v>
      </c>
      <c r="AS407" s="35" t="str">
        <f>+IF(Tabla44[[#This Row],[AGRUPACIONES]]=1,SUMIFS(Tabla44[VALOR TOTAL],Tabla44[ZONA DEFINITIVO],Tabla44[[#This Row],[ZONA DEFINITIVO]])," ")</f>
        <v xml:space="preserve"> </v>
      </c>
      <c r="AT407" s="35">
        <f>VLOOKUP(Tabla44[[#This Row],[SERVICIO 2025]],$J$2:$V$15,10,0)*Tabla44[[#This Row],[TOTAL COBERTURA]]*$X$7</f>
        <v>15873704</v>
      </c>
      <c r="AU407" s="39">
        <f>Tabla44[[#This Row],[TOTAL CONTRATO (ICBF+EAS)]]+Tabla44[[#This Row],[VALOR COMPONENTE ALIMENTACION NO ASIGNADO]]</f>
        <v>39855827</v>
      </c>
      <c r="AV40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407" s="35">
        <f>(VLOOKUP(Tabla44[[#This Row],[SERVICIO 2025]],$J$2:$V$15,3,0)*Tabla44[[#This Row],[TOTAL COBERTURA]])+VLOOKUP(Tabla44[[#This Row],[SERVICIO 2025]],$J$2:$V$15,10,0)*Tabla44[[#This Row],[TOTAL COBERTURA]]</f>
        <v>4817659</v>
      </c>
      <c r="AX407" s="35">
        <f>(VLOOKUP(Tabla44[[#This Row],[SERVICIO 2025]],$J$2:$V$15,3,0)*Tabla44[[#This Row],[TOTAL COBERTURA]])+VLOOKUP(Tabla44[[#This Row],[SERVICIO 2025]],$J$2:$V$15,10,0)*Tabla44[[#This Row],[TOTAL COBERTURA]]</f>
        <v>4817659</v>
      </c>
      <c r="AY407" s="35">
        <f>(VLOOKUP(Tabla44[[#This Row],[SERVICIO 2025]],$J$2:$V$15,3,0)*Tabla44[[#This Row],[TOTAL COBERTURA]])+VLOOKUP(Tabla44[[#This Row],[SERVICIO 2025]],$J$2:$V$15,10,0)*Tabla44[[#This Row],[TOTAL COBERTURA]]</f>
        <v>4817659</v>
      </c>
      <c r="AZ407" s="35">
        <f>(VLOOKUP(Tabla44[[#This Row],[SERVICIO 2025]],$J$2:$V$15,3,0)*Tabla44[[#This Row],[TOTAL COBERTURA]])+VLOOKUP(Tabla44[[#This Row],[SERVICIO 2025]],$J$2:$V$15,10,0)*Tabla44[[#This Row],[TOTAL COBERTURA]]</f>
        <v>4817659</v>
      </c>
      <c r="BA407" s="35">
        <f>(VLOOKUP(Tabla44[[#This Row],[SERVICIO 2025]],$J$2:$V$15,3,0)*Tabla44[[#This Row],[TOTAL COBERTURA]])+VLOOKUP(Tabla44[[#This Row],[SERVICIO 2025]],$J$2:$V$15,10,0)*Tabla44[[#This Row],[TOTAL COBERTURA]]</f>
        <v>4817659</v>
      </c>
      <c r="BB407" s="35">
        <f>(VLOOKUP(Tabla44[[#This Row],[SERVICIO 2025]],$J$2:$V$15,3,0)*Tabla44[[#This Row],[TOTAL COBERTURA]])+VLOOKUP(Tabla44[[#This Row],[SERVICIO 2025]],$J$2:$V$15,10,0)*Tabla44[[#This Row],[TOTAL COBERTURA]]</f>
        <v>4817659</v>
      </c>
      <c r="BC40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407" s="35">
        <f>SUM(Tabla44[[#This Row],[DESEMBOLSO 1]:[DESEMBOLSO 8]])</f>
        <v>39855827</v>
      </c>
      <c r="BE407" s="12" t="b">
        <f>EXACT(Tabla44[[#This Row],[VALOR ATENCIÓN (8 MESES)]],Tabla44[[#This Row],[VALOR TOTAL]])</f>
        <v>1</v>
      </c>
      <c r="BF407" s="23">
        <f>Tabla44[[#This Row],[VALOR ATENCIÓN (8 MESES)]]-Tabla44[[#This Row],[VALOR TOTAL]]</f>
        <v>0</v>
      </c>
      <c r="BG407" s="12" t="b">
        <f>EXACT(Tabla44[[#This Row],[TOTAL DESEMBOLSOS]],Tabla44[[#This Row],[VALOR TOTAL DEL CONTRATO INCLUIDO EL COMPONENTE DE ALIMENTACIÓN]])</f>
        <v>1</v>
      </c>
      <c r="BH407" s="29">
        <f>Tabla44[[#This Row],[TOTAL DESEMBOLSOS]]-Tabla44[[#This Row],[VALOR TOTAL DEL CONTRATO INCLUIDO EL COMPONENTE DE ALIMENTACIÓN]]</f>
        <v>0</v>
      </c>
      <c r="BJ407" t="s">
        <v>3595</v>
      </c>
    </row>
    <row r="408" spans="1:62">
      <c r="A408" s="13">
        <v>2019</v>
      </c>
      <c r="B408" s="13"/>
      <c r="C408" s="12" t="s">
        <v>87</v>
      </c>
      <c r="D408" s="12" t="s">
        <v>673</v>
      </c>
      <c r="E408" s="12" t="s">
        <v>3591</v>
      </c>
      <c r="F408" s="12" t="s">
        <v>18</v>
      </c>
      <c r="G408" s="12" t="s">
        <v>90</v>
      </c>
      <c r="H408" s="12" t="s">
        <v>979</v>
      </c>
      <c r="I408" s="36">
        <v>58851137894</v>
      </c>
      <c r="J408" s="12" t="s">
        <v>3601</v>
      </c>
      <c r="K408" s="12">
        <v>1</v>
      </c>
      <c r="L408" s="12">
        <v>13</v>
      </c>
      <c r="M408" s="12"/>
      <c r="N408" s="13">
        <v>2019</v>
      </c>
      <c r="O408" s="12" t="s">
        <v>2850</v>
      </c>
      <c r="P408" s="12"/>
      <c r="Q408" s="12"/>
      <c r="R408" s="12" t="s">
        <v>94</v>
      </c>
      <c r="S408" s="12">
        <v>10</v>
      </c>
      <c r="T408" s="12">
        <v>900072094</v>
      </c>
      <c r="U408" s="12" t="s">
        <v>3594</v>
      </c>
      <c r="V408" s="12">
        <f>VLOOKUP(Tabla44[[#This Row],[ZONA DEFINITIVO]],[1]Hoja1!$A$1:$D$125,3,0)</f>
        <v>229945</v>
      </c>
      <c r="W408" s="12">
        <f>VLOOKUP(Tabla44[[#This Row],[ZONA DEFINITIVO]],[1]Hoja1!$A$1:$D$125,2,0)</f>
        <v>17271</v>
      </c>
      <c r="X408" s="12">
        <f>VLOOKUP(Tabla44[[#This Row],[ZONA DEFINITIVO]],[1]Hoja1!$A$1:$D$125,4,0)</f>
        <v>105125</v>
      </c>
      <c r="Y408" s="12" t="str">
        <f>+IF(Tabla44[[#This Row],[AGRUPACIONES]]=1,SUMIFS(Tabla44[UDS],Tabla44[ZONA DEFINITIVO],Tabla44[[#This Row],[ZONA DEFINITIVO]])," ")</f>
        <v xml:space="preserve"> </v>
      </c>
      <c r="Z408" s="12" t="str">
        <f>+IF(Tabla44[[#This Row],[AGRUPACIONES]]=1,SUMIFS(Tabla44[TOTAL COBERTURA],Tabla44[ZONA DEFINITIVO],Tabla44[[#This Row],[ZONA DEFINITIVO]])," ")</f>
        <v xml:space="preserve"> </v>
      </c>
      <c r="AA408" s="12"/>
      <c r="AB408" s="35">
        <v>28342509</v>
      </c>
      <c r="AC408" s="37">
        <v>0</v>
      </c>
      <c r="AD408" s="35">
        <f t="shared" si="7"/>
        <v>0</v>
      </c>
      <c r="AE408" s="12"/>
      <c r="AF408" s="12">
        <f>COUNTIF($A$20:A408,A408)</f>
        <v>5</v>
      </c>
      <c r="AG408" s="38">
        <v>28342509</v>
      </c>
      <c r="AH408" s="38">
        <f>Tabla44[[#This Row],[VALOR CONTRAPARTIDA]]+Tabla44[[#This Row],[TOTAL APORTES ICBF]]</f>
        <v>28342509</v>
      </c>
      <c r="AI408" s="35" t="str">
        <f>+IF(Tabla44[[#This Row],[AGRUPACIONES]]=1,SUMIFS(Tabla44[TOTAL APORTES ICBF],Tabla44[ZONA DEFINITIVO],Tabla44[[#This Row],[ZONA DEFINITIVO]])," ")</f>
        <v xml:space="preserve"> </v>
      </c>
      <c r="AJ408" s="38"/>
      <c r="AK408" s="38"/>
      <c r="AL408" s="35"/>
      <c r="AM408" s="35">
        <f>VLOOKUP(Tabla44[[#This Row],[SERVICIO 2025]],$J$2:$V$15,5,0)*Tabla44[[#This Row],[TOTAL COBERTURA]]</f>
        <v>641888</v>
      </c>
      <c r="AN408" s="35">
        <f>VLOOKUP(Tabla44[[#This Row],[SERVICIO 2025]],$J$2:$V$15,6,0)*Tabla44[[#This Row],[TOTAL COBERTURA]]</f>
        <v>533377</v>
      </c>
      <c r="AO408" s="35">
        <f>VLOOKUP(Tabla44[[#This Row],[SERVICIO 2025]],$J$2:$V$15,8,0)*Tabla44[[#This Row],[TOTAL COBERTURA]]</f>
        <v>378300</v>
      </c>
      <c r="AP408" s="35">
        <f>VLOOKUP(Tabla44[[#This Row],[SERVICIO 2025]],$J$2:$V$15,3,0)*Tabla44[[#This Row],[TOTAL COBERTURA]]*8</f>
        <v>26788944</v>
      </c>
      <c r="AQ408" s="35"/>
      <c r="AR408" s="35">
        <f>SUM(Tabla44[[#This Row],[VALOR FASE PREPARATORIA DE ALISTAMIENTO]:[VALOR RACION PREPARADA]])</f>
        <v>28342509</v>
      </c>
      <c r="AS408" s="35" t="str">
        <f>+IF(Tabla44[[#This Row],[AGRUPACIONES]]=1,SUMIFS(Tabla44[VALOR TOTAL],Tabla44[ZONA DEFINITIVO],Tabla44[[#This Row],[ZONA DEFINITIVO]])," ")</f>
        <v xml:space="preserve"> </v>
      </c>
      <c r="AT408" s="35">
        <f>VLOOKUP(Tabla44[[#This Row],[SERVICIO 2025]],$J$2:$V$15,10,0)*Tabla44[[#This Row],[TOTAL COBERTURA]]*$X$7</f>
        <v>18759832</v>
      </c>
      <c r="AU408" s="39">
        <f>Tabla44[[#This Row],[TOTAL CONTRATO (ICBF+EAS)]]+Tabla44[[#This Row],[VALOR COMPONENTE ALIMENTACION NO ASIGNADO]]</f>
        <v>47102341</v>
      </c>
      <c r="AV40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408" s="35">
        <f>(VLOOKUP(Tabla44[[#This Row],[SERVICIO 2025]],$J$2:$V$15,3,0)*Tabla44[[#This Row],[TOTAL COBERTURA]])+VLOOKUP(Tabla44[[#This Row],[SERVICIO 2025]],$J$2:$V$15,10,0)*Tabla44[[#This Row],[TOTAL COBERTURA]]</f>
        <v>5693597</v>
      </c>
      <c r="AX408" s="35">
        <f>(VLOOKUP(Tabla44[[#This Row],[SERVICIO 2025]],$J$2:$V$15,3,0)*Tabla44[[#This Row],[TOTAL COBERTURA]])+VLOOKUP(Tabla44[[#This Row],[SERVICIO 2025]],$J$2:$V$15,10,0)*Tabla44[[#This Row],[TOTAL COBERTURA]]</f>
        <v>5693597</v>
      </c>
      <c r="AY408" s="35">
        <f>(VLOOKUP(Tabla44[[#This Row],[SERVICIO 2025]],$J$2:$V$15,3,0)*Tabla44[[#This Row],[TOTAL COBERTURA]])+VLOOKUP(Tabla44[[#This Row],[SERVICIO 2025]],$J$2:$V$15,10,0)*Tabla44[[#This Row],[TOTAL COBERTURA]]</f>
        <v>5693597</v>
      </c>
      <c r="AZ408" s="35">
        <f>(VLOOKUP(Tabla44[[#This Row],[SERVICIO 2025]],$J$2:$V$15,3,0)*Tabla44[[#This Row],[TOTAL COBERTURA]])+VLOOKUP(Tabla44[[#This Row],[SERVICIO 2025]],$J$2:$V$15,10,0)*Tabla44[[#This Row],[TOTAL COBERTURA]]</f>
        <v>5693597</v>
      </c>
      <c r="BA408" s="35">
        <f>(VLOOKUP(Tabla44[[#This Row],[SERVICIO 2025]],$J$2:$V$15,3,0)*Tabla44[[#This Row],[TOTAL COBERTURA]])+VLOOKUP(Tabla44[[#This Row],[SERVICIO 2025]],$J$2:$V$15,10,0)*Tabla44[[#This Row],[TOTAL COBERTURA]]</f>
        <v>5693597</v>
      </c>
      <c r="BB408" s="35">
        <f>(VLOOKUP(Tabla44[[#This Row],[SERVICIO 2025]],$J$2:$V$15,3,0)*Tabla44[[#This Row],[TOTAL COBERTURA]])+VLOOKUP(Tabla44[[#This Row],[SERVICIO 2025]],$J$2:$V$15,10,0)*Tabla44[[#This Row],[TOTAL COBERTURA]]</f>
        <v>5693597</v>
      </c>
      <c r="BC40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408" s="35">
        <f>SUM(Tabla44[[#This Row],[DESEMBOLSO 1]:[DESEMBOLSO 8]])</f>
        <v>47102341</v>
      </c>
      <c r="BE408" s="12" t="b">
        <f>EXACT(Tabla44[[#This Row],[VALOR ATENCIÓN (8 MESES)]],Tabla44[[#This Row],[VALOR TOTAL]])</f>
        <v>1</v>
      </c>
      <c r="BF408" s="23">
        <f>Tabla44[[#This Row],[VALOR ATENCIÓN (8 MESES)]]-Tabla44[[#This Row],[VALOR TOTAL]]</f>
        <v>0</v>
      </c>
      <c r="BG408" s="12" t="b">
        <f>EXACT(Tabla44[[#This Row],[TOTAL DESEMBOLSOS]],Tabla44[[#This Row],[VALOR TOTAL DEL CONTRATO INCLUIDO EL COMPONENTE DE ALIMENTACIÓN]])</f>
        <v>1</v>
      </c>
      <c r="BH408" s="29">
        <f>Tabla44[[#This Row],[TOTAL DESEMBOLSOS]]-Tabla44[[#This Row],[VALOR TOTAL DEL CONTRATO INCLUIDO EL COMPONENTE DE ALIMENTACIÓN]]</f>
        <v>0</v>
      </c>
      <c r="BJ408" t="s">
        <v>3595</v>
      </c>
    </row>
    <row r="409" spans="1:62">
      <c r="A409" s="13">
        <v>2019</v>
      </c>
      <c r="B409" s="13"/>
      <c r="C409" s="12" t="s">
        <v>87</v>
      </c>
      <c r="D409" s="12" t="s">
        <v>673</v>
      </c>
      <c r="E409" s="12" t="s">
        <v>3591</v>
      </c>
      <c r="F409" s="12" t="s">
        <v>18</v>
      </c>
      <c r="G409" s="12" t="s">
        <v>90</v>
      </c>
      <c r="H409" s="12" t="s">
        <v>3602</v>
      </c>
      <c r="I409" s="36">
        <v>58851137895</v>
      </c>
      <c r="J409" s="12" t="s">
        <v>3603</v>
      </c>
      <c r="K409" s="12">
        <v>1</v>
      </c>
      <c r="L409" s="12">
        <v>12</v>
      </c>
      <c r="M409" s="12"/>
      <c r="N409" s="13">
        <v>2019</v>
      </c>
      <c r="O409" s="12" t="s">
        <v>2850</v>
      </c>
      <c r="P409" s="12"/>
      <c r="Q409" s="12"/>
      <c r="R409" s="12" t="s">
        <v>94</v>
      </c>
      <c r="S409" s="12">
        <v>10</v>
      </c>
      <c r="T409" s="12">
        <v>900072094</v>
      </c>
      <c r="U409" s="12" t="s">
        <v>3594</v>
      </c>
      <c r="V409" s="12">
        <f>VLOOKUP(Tabla44[[#This Row],[ZONA DEFINITIVO]],[1]Hoja1!$A$1:$D$125,3,0)</f>
        <v>229945</v>
      </c>
      <c r="W409" s="12">
        <f>VLOOKUP(Tabla44[[#This Row],[ZONA DEFINITIVO]],[1]Hoja1!$A$1:$D$125,2,0)</f>
        <v>17271</v>
      </c>
      <c r="X409" s="12">
        <f>VLOOKUP(Tabla44[[#This Row],[ZONA DEFINITIVO]],[1]Hoja1!$A$1:$D$125,4,0)</f>
        <v>105125</v>
      </c>
      <c r="Y409" s="12" t="str">
        <f>+IF(Tabla44[[#This Row],[AGRUPACIONES]]=1,SUMIFS(Tabla44[UDS],Tabla44[ZONA DEFINITIVO],Tabla44[[#This Row],[ZONA DEFINITIVO]])," ")</f>
        <v xml:space="preserve"> </v>
      </c>
      <c r="Z409" s="12" t="str">
        <f>+IF(Tabla44[[#This Row],[AGRUPACIONES]]=1,SUMIFS(Tabla44[TOTAL COBERTURA],Tabla44[ZONA DEFINITIVO],Tabla44[[#This Row],[ZONA DEFINITIVO]])," ")</f>
        <v xml:space="preserve"> </v>
      </c>
      <c r="AA409" s="12"/>
      <c r="AB409" s="35">
        <v>26162316</v>
      </c>
      <c r="AC409" s="37">
        <v>0</v>
      </c>
      <c r="AD409" s="35">
        <f t="shared" si="7"/>
        <v>0</v>
      </c>
      <c r="AE409" s="12"/>
      <c r="AF409" s="12">
        <f>COUNTIF($A$20:A409,A409)</f>
        <v>6</v>
      </c>
      <c r="AG409" s="38">
        <v>26162316</v>
      </c>
      <c r="AH409" s="38">
        <f>Tabla44[[#This Row],[VALOR CONTRAPARTIDA]]+Tabla44[[#This Row],[TOTAL APORTES ICBF]]</f>
        <v>26162316</v>
      </c>
      <c r="AI409" s="35" t="str">
        <f>+IF(Tabla44[[#This Row],[AGRUPACIONES]]=1,SUMIFS(Tabla44[TOTAL APORTES ICBF],Tabla44[ZONA DEFINITIVO],Tabla44[[#This Row],[ZONA DEFINITIVO]])," ")</f>
        <v xml:space="preserve"> </v>
      </c>
      <c r="AJ409" s="38"/>
      <c r="AK409" s="38"/>
      <c r="AL409" s="35"/>
      <c r="AM409" s="35">
        <f>VLOOKUP(Tabla44[[#This Row],[SERVICIO 2025]],$J$2:$V$15,5,0)*Tabla44[[#This Row],[TOTAL COBERTURA]]</f>
        <v>592512</v>
      </c>
      <c r="AN409" s="35">
        <f>VLOOKUP(Tabla44[[#This Row],[SERVICIO 2025]],$J$2:$V$15,6,0)*Tabla44[[#This Row],[TOTAL COBERTURA]]</f>
        <v>492348</v>
      </c>
      <c r="AO409" s="35">
        <f>VLOOKUP(Tabla44[[#This Row],[SERVICIO 2025]],$J$2:$V$15,8,0)*Tabla44[[#This Row],[TOTAL COBERTURA]]</f>
        <v>349200</v>
      </c>
      <c r="AP409" s="35">
        <f>VLOOKUP(Tabla44[[#This Row],[SERVICIO 2025]],$J$2:$V$15,3,0)*Tabla44[[#This Row],[TOTAL COBERTURA]]*8</f>
        <v>24728256</v>
      </c>
      <c r="AQ409" s="35"/>
      <c r="AR409" s="35">
        <f>SUM(Tabla44[[#This Row],[VALOR FASE PREPARATORIA DE ALISTAMIENTO]:[VALOR RACION PREPARADA]])</f>
        <v>26162316</v>
      </c>
      <c r="AS409" s="35" t="str">
        <f>+IF(Tabla44[[#This Row],[AGRUPACIONES]]=1,SUMIFS(Tabla44[VALOR TOTAL],Tabla44[ZONA DEFINITIVO],Tabla44[[#This Row],[ZONA DEFINITIVO]])," ")</f>
        <v xml:space="preserve"> </v>
      </c>
      <c r="AT409" s="35">
        <f>VLOOKUP(Tabla44[[#This Row],[SERVICIO 2025]],$J$2:$V$15,10,0)*Tabla44[[#This Row],[TOTAL COBERTURA]]*$X$7</f>
        <v>17316768</v>
      </c>
      <c r="AU409" s="39">
        <f>Tabla44[[#This Row],[TOTAL CONTRATO (ICBF+EAS)]]+Tabla44[[#This Row],[VALOR COMPONENTE ALIMENTACION NO ASIGNADO]]</f>
        <v>43479084</v>
      </c>
      <c r="AV40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409" s="35">
        <f>(VLOOKUP(Tabla44[[#This Row],[SERVICIO 2025]],$J$2:$V$15,3,0)*Tabla44[[#This Row],[TOTAL COBERTURA]])+VLOOKUP(Tabla44[[#This Row],[SERVICIO 2025]],$J$2:$V$15,10,0)*Tabla44[[#This Row],[TOTAL COBERTURA]]</f>
        <v>5255628</v>
      </c>
      <c r="AX409" s="35">
        <f>(VLOOKUP(Tabla44[[#This Row],[SERVICIO 2025]],$J$2:$V$15,3,0)*Tabla44[[#This Row],[TOTAL COBERTURA]])+VLOOKUP(Tabla44[[#This Row],[SERVICIO 2025]],$J$2:$V$15,10,0)*Tabla44[[#This Row],[TOTAL COBERTURA]]</f>
        <v>5255628</v>
      </c>
      <c r="AY409" s="35">
        <f>(VLOOKUP(Tabla44[[#This Row],[SERVICIO 2025]],$J$2:$V$15,3,0)*Tabla44[[#This Row],[TOTAL COBERTURA]])+VLOOKUP(Tabla44[[#This Row],[SERVICIO 2025]],$J$2:$V$15,10,0)*Tabla44[[#This Row],[TOTAL COBERTURA]]</f>
        <v>5255628</v>
      </c>
      <c r="AZ409" s="35">
        <f>(VLOOKUP(Tabla44[[#This Row],[SERVICIO 2025]],$J$2:$V$15,3,0)*Tabla44[[#This Row],[TOTAL COBERTURA]])+VLOOKUP(Tabla44[[#This Row],[SERVICIO 2025]],$J$2:$V$15,10,0)*Tabla44[[#This Row],[TOTAL COBERTURA]]</f>
        <v>5255628</v>
      </c>
      <c r="BA409" s="35">
        <f>(VLOOKUP(Tabla44[[#This Row],[SERVICIO 2025]],$J$2:$V$15,3,0)*Tabla44[[#This Row],[TOTAL COBERTURA]])+VLOOKUP(Tabla44[[#This Row],[SERVICIO 2025]],$J$2:$V$15,10,0)*Tabla44[[#This Row],[TOTAL COBERTURA]]</f>
        <v>5255628</v>
      </c>
      <c r="BB409" s="35">
        <f>(VLOOKUP(Tabla44[[#This Row],[SERVICIO 2025]],$J$2:$V$15,3,0)*Tabla44[[#This Row],[TOTAL COBERTURA]])+VLOOKUP(Tabla44[[#This Row],[SERVICIO 2025]],$J$2:$V$15,10,0)*Tabla44[[#This Row],[TOTAL COBERTURA]]</f>
        <v>5255628</v>
      </c>
      <c r="BC40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409" s="35">
        <f>SUM(Tabla44[[#This Row],[DESEMBOLSO 1]:[DESEMBOLSO 8]])</f>
        <v>43479084</v>
      </c>
      <c r="BE409" s="12" t="b">
        <f>EXACT(Tabla44[[#This Row],[VALOR ATENCIÓN (8 MESES)]],Tabla44[[#This Row],[VALOR TOTAL]])</f>
        <v>1</v>
      </c>
      <c r="BF409" s="23">
        <f>Tabla44[[#This Row],[VALOR ATENCIÓN (8 MESES)]]-Tabla44[[#This Row],[VALOR TOTAL]]</f>
        <v>0</v>
      </c>
      <c r="BG409" s="12" t="b">
        <f>EXACT(Tabla44[[#This Row],[TOTAL DESEMBOLSOS]],Tabla44[[#This Row],[VALOR TOTAL DEL CONTRATO INCLUIDO EL COMPONENTE DE ALIMENTACIÓN]])</f>
        <v>1</v>
      </c>
      <c r="BH409" s="29">
        <f>Tabla44[[#This Row],[TOTAL DESEMBOLSOS]]-Tabla44[[#This Row],[VALOR TOTAL DEL CONTRATO INCLUIDO EL COMPONENTE DE ALIMENTACIÓN]]</f>
        <v>0</v>
      </c>
      <c r="BJ409" t="s">
        <v>3595</v>
      </c>
    </row>
    <row r="410" spans="1:62">
      <c r="A410" s="13">
        <v>2019</v>
      </c>
      <c r="B410" s="13"/>
      <c r="C410" s="12" t="s">
        <v>87</v>
      </c>
      <c r="D410" s="12" t="s">
        <v>673</v>
      </c>
      <c r="E410" s="12" t="s">
        <v>3591</v>
      </c>
      <c r="F410" s="12" t="s">
        <v>2843</v>
      </c>
      <c r="G410" s="12" t="s">
        <v>90</v>
      </c>
      <c r="H410" s="12" t="s">
        <v>3604</v>
      </c>
      <c r="I410" s="36">
        <v>58851137898</v>
      </c>
      <c r="J410" s="12" t="s">
        <v>3605</v>
      </c>
      <c r="K410" s="12">
        <v>1</v>
      </c>
      <c r="L410" s="12">
        <v>15</v>
      </c>
      <c r="M410" s="12"/>
      <c r="N410" s="13">
        <v>2019</v>
      </c>
      <c r="O410" s="12" t="s">
        <v>2850</v>
      </c>
      <c r="P410" s="12"/>
      <c r="Q410" s="12"/>
      <c r="R410" s="12" t="s">
        <v>94</v>
      </c>
      <c r="S410" s="12">
        <v>10</v>
      </c>
      <c r="T410" s="12">
        <v>900072094</v>
      </c>
      <c r="U410" s="12" t="s">
        <v>3594</v>
      </c>
      <c r="V410" s="12">
        <f>VLOOKUP(Tabla44[[#This Row],[ZONA DEFINITIVO]],[1]Hoja1!$A$1:$D$125,3,0)</f>
        <v>229945</v>
      </c>
      <c r="W410" s="12">
        <f>VLOOKUP(Tabla44[[#This Row],[ZONA DEFINITIVO]],[1]Hoja1!$A$1:$D$125,2,0)</f>
        <v>17271</v>
      </c>
      <c r="X410" s="12">
        <f>VLOOKUP(Tabla44[[#This Row],[ZONA DEFINITIVO]],[1]Hoja1!$A$1:$D$125,4,0)</f>
        <v>105125</v>
      </c>
      <c r="Y410" s="12" t="str">
        <f>+IF(Tabla44[[#This Row],[AGRUPACIONES]]=1,SUMIFS(Tabla44[UDS],Tabla44[ZONA DEFINITIVO],Tabla44[[#This Row],[ZONA DEFINITIVO]])," ")</f>
        <v xml:space="preserve"> </v>
      </c>
      <c r="Z410" s="12" t="str">
        <f>+IF(Tabla44[[#This Row],[AGRUPACIONES]]=1,SUMIFS(Tabla44[TOTAL COBERTURA],Tabla44[ZONA DEFINITIVO],Tabla44[[#This Row],[ZONA DEFINITIVO]])," ")</f>
        <v xml:space="preserve"> </v>
      </c>
      <c r="AA410" s="12"/>
      <c r="AB410" s="35">
        <v>54348855</v>
      </c>
      <c r="AC410" s="37">
        <v>0</v>
      </c>
      <c r="AD410" s="35">
        <f t="shared" si="7"/>
        <v>0</v>
      </c>
      <c r="AE410" s="12"/>
      <c r="AF410" s="12">
        <f>COUNTIF($A$20:A410,A410)</f>
        <v>7</v>
      </c>
      <c r="AG410" s="38">
        <v>54348855</v>
      </c>
      <c r="AH410" s="38">
        <f>Tabla44[[#This Row],[VALOR CONTRAPARTIDA]]+Tabla44[[#This Row],[TOTAL APORTES ICBF]]</f>
        <v>54348855</v>
      </c>
      <c r="AI410" s="35" t="str">
        <f>+IF(Tabla44[[#This Row],[AGRUPACIONES]]=1,SUMIFS(Tabla44[TOTAL APORTES ICBF],Tabla44[ZONA DEFINITIVO],Tabla44[[#This Row],[ZONA DEFINITIVO]])," ")</f>
        <v xml:space="preserve"> </v>
      </c>
      <c r="AJ410" s="38"/>
      <c r="AK410" s="38"/>
      <c r="AL410" s="35"/>
      <c r="AM410" s="35">
        <f>VLOOKUP(Tabla44[[#This Row],[SERVICIO 2025]],$J$2:$V$15,5,0)*Tabla44[[#This Row],[TOTAL COBERTURA]]</f>
        <v>740640</v>
      </c>
      <c r="AN410" s="35">
        <f>VLOOKUP(Tabla44[[#This Row],[SERVICIO 2025]],$J$2:$V$15,6,0)*Tabla44[[#This Row],[TOTAL COBERTURA]]</f>
        <v>615435</v>
      </c>
      <c r="AO410" s="35">
        <f>VLOOKUP(Tabla44[[#This Row],[SERVICIO 2025]],$J$2:$V$15,8,0)*Tabla44[[#This Row],[TOTAL COBERTURA]]</f>
        <v>436500</v>
      </c>
      <c r="AP410" s="35">
        <f>VLOOKUP(Tabla44[[#This Row],[SERVICIO 2025]],$J$2:$V$15,3,0)*Tabla44[[#This Row],[TOTAL COBERTURA]]*8</f>
        <v>52556280</v>
      </c>
      <c r="AQ410" s="35"/>
      <c r="AR410" s="35">
        <f>SUM(Tabla44[[#This Row],[VALOR FASE PREPARATORIA DE ALISTAMIENTO]:[VALOR RACION PREPARADA]])</f>
        <v>54348855</v>
      </c>
      <c r="AS410" s="35" t="str">
        <f>+IF(Tabla44[[#This Row],[AGRUPACIONES]]=1,SUMIFS(Tabla44[VALOR TOTAL],Tabla44[ZONA DEFINITIVO],Tabla44[[#This Row],[ZONA DEFINITIVO]])," ")</f>
        <v xml:space="preserve"> </v>
      </c>
      <c r="AT410" s="35">
        <f>VLOOKUP(Tabla44[[#This Row],[SERVICIO 2025]],$J$2:$V$15,10,0)*Tabla44[[#This Row],[TOTAL COBERTURA]]*$X$7</f>
        <v>0</v>
      </c>
      <c r="AU410" s="39">
        <f>Tabla44[[#This Row],[TOTAL CONTRATO (ICBF+EAS)]]+Tabla44[[#This Row],[VALOR COMPONENTE ALIMENTACION NO ASIGNADO]]</f>
        <v>54348855</v>
      </c>
      <c r="AV41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410" s="35">
        <f>(VLOOKUP(Tabla44[[#This Row],[SERVICIO 2025]],$J$2:$V$15,3,0)*Tabla44[[#This Row],[TOTAL COBERTURA]])+VLOOKUP(Tabla44[[#This Row],[SERVICIO 2025]],$J$2:$V$15,10,0)*Tabla44[[#This Row],[TOTAL COBERTURA]]</f>
        <v>6569535</v>
      </c>
      <c r="AX410" s="35">
        <f>(VLOOKUP(Tabla44[[#This Row],[SERVICIO 2025]],$J$2:$V$15,3,0)*Tabla44[[#This Row],[TOTAL COBERTURA]])+VLOOKUP(Tabla44[[#This Row],[SERVICIO 2025]],$J$2:$V$15,10,0)*Tabla44[[#This Row],[TOTAL COBERTURA]]</f>
        <v>6569535</v>
      </c>
      <c r="AY410" s="35">
        <f>(VLOOKUP(Tabla44[[#This Row],[SERVICIO 2025]],$J$2:$V$15,3,0)*Tabla44[[#This Row],[TOTAL COBERTURA]])+VLOOKUP(Tabla44[[#This Row],[SERVICIO 2025]],$J$2:$V$15,10,0)*Tabla44[[#This Row],[TOTAL COBERTURA]]</f>
        <v>6569535</v>
      </c>
      <c r="AZ410" s="35">
        <f>(VLOOKUP(Tabla44[[#This Row],[SERVICIO 2025]],$J$2:$V$15,3,0)*Tabla44[[#This Row],[TOTAL COBERTURA]])+VLOOKUP(Tabla44[[#This Row],[SERVICIO 2025]],$J$2:$V$15,10,0)*Tabla44[[#This Row],[TOTAL COBERTURA]]</f>
        <v>6569535</v>
      </c>
      <c r="BA410" s="35">
        <f>(VLOOKUP(Tabla44[[#This Row],[SERVICIO 2025]],$J$2:$V$15,3,0)*Tabla44[[#This Row],[TOTAL COBERTURA]])+VLOOKUP(Tabla44[[#This Row],[SERVICIO 2025]],$J$2:$V$15,10,0)*Tabla44[[#This Row],[TOTAL COBERTURA]]</f>
        <v>6569535</v>
      </c>
      <c r="BB410" s="35">
        <f>(VLOOKUP(Tabla44[[#This Row],[SERVICIO 2025]],$J$2:$V$15,3,0)*Tabla44[[#This Row],[TOTAL COBERTURA]])+VLOOKUP(Tabla44[[#This Row],[SERVICIO 2025]],$J$2:$V$15,10,0)*Tabla44[[#This Row],[TOTAL COBERTURA]]</f>
        <v>6569535</v>
      </c>
      <c r="BC41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410" s="35">
        <f>SUM(Tabla44[[#This Row],[DESEMBOLSO 1]:[DESEMBOLSO 8]])</f>
        <v>54348855</v>
      </c>
      <c r="BE410" s="12" t="b">
        <f>EXACT(Tabla44[[#This Row],[VALOR ATENCIÓN (8 MESES)]],Tabla44[[#This Row],[VALOR TOTAL]])</f>
        <v>1</v>
      </c>
      <c r="BF410" s="23">
        <f>Tabla44[[#This Row],[VALOR ATENCIÓN (8 MESES)]]-Tabla44[[#This Row],[VALOR TOTAL]]</f>
        <v>0</v>
      </c>
      <c r="BG410" s="12" t="b">
        <f>EXACT(Tabla44[[#This Row],[TOTAL DESEMBOLSOS]],Tabla44[[#This Row],[VALOR TOTAL DEL CONTRATO INCLUIDO EL COMPONENTE DE ALIMENTACIÓN]])</f>
        <v>1</v>
      </c>
      <c r="BH410" s="29">
        <f>Tabla44[[#This Row],[TOTAL DESEMBOLSOS]]-Tabla44[[#This Row],[VALOR TOTAL DEL CONTRATO INCLUIDO EL COMPONENTE DE ALIMENTACIÓN]]</f>
        <v>0</v>
      </c>
      <c r="BJ410" t="s">
        <v>3595</v>
      </c>
    </row>
    <row r="411" spans="1:62">
      <c r="A411" s="13">
        <v>2019</v>
      </c>
      <c r="B411" s="13"/>
      <c r="C411" s="12" t="s">
        <v>87</v>
      </c>
      <c r="D411" s="12" t="s">
        <v>673</v>
      </c>
      <c r="E411" s="12" t="s">
        <v>3591</v>
      </c>
      <c r="F411" s="12" t="s">
        <v>18</v>
      </c>
      <c r="G411" s="12" t="s">
        <v>90</v>
      </c>
      <c r="H411" s="12" t="s">
        <v>3606</v>
      </c>
      <c r="I411" s="36">
        <v>58851143596</v>
      </c>
      <c r="J411" s="12" t="s">
        <v>3606</v>
      </c>
      <c r="K411" s="12">
        <v>1</v>
      </c>
      <c r="L411" s="12">
        <v>54</v>
      </c>
      <c r="M411" s="12"/>
      <c r="N411" s="13">
        <v>2019</v>
      </c>
      <c r="O411" s="12" t="s">
        <v>2850</v>
      </c>
      <c r="P411" s="12"/>
      <c r="Q411" s="12"/>
      <c r="R411" s="12" t="s">
        <v>94</v>
      </c>
      <c r="S411" s="12">
        <v>10</v>
      </c>
      <c r="T411" s="12">
        <v>900072094</v>
      </c>
      <c r="U411" s="12" t="s">
        <v>3594</v>
      </c>
      <c r="V411" s="12">
        <f>VLOOKUP(Tabla44[[#This Row],[ZONA DEFINITIVO]],[1]Hoja1!$A$1:$D$125,3,0)</f>
        <v>229945</v>
      </c>
      <c r="W411" s="12">
        <f>VLOOKUP(Tabla44[[#This Row],[ZONA DEFINITIVO]],[1]Hoja1!$A$1:$D$125,2,0)</f>
        <v>17271</v>
      </c>
      <c r="X411" s="12">
        <f>VLOOKUP(Tabla44[[#This Row],[ZONA DEFINITIVO]],[1]Hoja1!$A$1:$D$125,4,0)</f>
        <v>105125</v>
      </c>
      <c r="Y411" s="12" t="str">
        <f>+IF(Tabla44[[#This Row],[AGRUPACIONES]]=1,SUMIFS(Tabla44[UDS],Tabla44[ZONA DEFINITIVO],Tabla44[[#This Row],[ZONA DEFINITIVO]])," ")</f>
        <v xml:space="preserve"> </v>
      </c>
      <c r="Z411" s="12" t="str">
        <f>+IF(Tabla44[[#This Row],[AGRUPACIONES]]=1,SUMIFS(Tabla44[TOTAL COBERTURA],Tabla44[ZONA DEFINITIVO],Tabla44[[#This Row],[ZONA DEFINITIVO]])," ")</f>
        <v xml:space="preserve"> </v>
      </c>
      <c r="AA411" s="12"/>
      <c r="AB411" s="35">
        <v>117730422</v>
      </c>
      <c r="AC411" s="37">
        <v>0</v>
      </c>
      <c r="AD411" s="35">
        <f t="shared" si="7"/>
        <v>0</v>
      </c>
      <c r="AE411" s="12"/>
      <c r="AF411" s="12">
        <f>COUNTIF($A$20:A411,A411)</f>
        <v>8</v>
      </c>
      <c r="AG411" s="38">
        <v>117730422</v>
      </c>
      <c r="AH411" s="38">
        <f>Tabla44[[#This Row],[VALOR CONTRAPARTIDA]]+Tabla44[[#This Row],[TOTAL APORTES ICBF]]</f>
        <v>117730422</v>
      </c>
      <c r="AI411" s="35" t="str">
        <f>+IF(Tabla44[[#This Row],[AGRUPACIONES]]=1,SUMIFS(Tabla44[TOTAL APORTES ICBF],Tabla44[ZONA DEFINITIVO],Tabla44[[#This Row],[ZONA DEFINITIVO]])," ")</f>
        <v xml:space="preserve"> </v>
      </c>
      <c r="AJ411" s="38"/>
      <c r="AK411" s="38"/>
      <c r="AL411" s="35"/>
      <c r="AM411" s="35">
        <f>VLOOKUP(Tabla44[[#This Row],[SERVICIO 2025]],$J$2:$V$15,5,0)*Tabla44[[#This Row],[TOTAL COBERTURA]]</f>
        <v>2666304</v>
      </c>
      <c r="AN411" s="35">
        <f>VLOOKUP(Tabla44[[#This Row],[SERVICIO 2025]],$J$2:$V$15,6,0)*Tabla44[[#This Row],[TOTAL COBERTURA]]</f>
        <v>2215566</v>
      </c>
      <c r="AO411" s="35">
        <f>VLOOKUP(Tabla44[[#This Row],[SERVICIO 2025]],$J$2:$V$15,8,0)*Tabla44[[#This Row],[TOTAL COBERTURA]]</f>
        <v>1571400</v>
      </c>
      <c r="AP411" s="35">
        <f>VLOOKUP(Tabla44[[#This Row],[SERVICIO 2025]],$J$2:$V$15,3,0)*Tabla44[[#This Row],[TOTAL COBERTURA]]*8</f>
        <v>111277152</v>
      </c>
      <c r="AQ411" s="35"/>
      <c r="AR411" s="35">
        <f>SUM(Tabla44[[#This Row],[VALOR FASE PREPARATORIA DE ALISTAMIENTO]:[VALOR RACION PREPARADA]])</f>
        <v>117730422</v>
      </c>
      <c r="AS411" s="35" t="str">
        <f>+IF(Tabla44[[#This Row],[AGRUPACIONES]]=1,SUMIFS(Tabla44[VALOR TOTAL],Tabla44[ZONA DEFINITIVO],Tabla44[[#This Row],[ZONA DEFINITIVO]])," ")</f>
        <v xml:space="preserve"> </v>
      </c>
      <c r="AT411" s="35">
        <f>VLOOKUP(Tabla44[[#This Row],[SERVICIO 2025]],$J$2:$V$15,10,0)*Tabla44[[#This Row],[TOTAL COBERTURA]]*$X$7</f>
        <v>77925456</v>
      </c>
      <c r="AU411" s="39">
        <f>Tabla44[[#This Row],[TOTAL CONTRATO (ICBF+EAS)]]+Tabla44[[#This Row],[VALOR COMPONENTE ALIMENTACION NO ASIGNADO]]</f>
        <v>195655878</v>
      </c>
      <c r="AV41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27888030</v>
      </c>
      <c r="AW411" s="35">
        <f>(VLOOKUP(Tabla44[[#This Row],[SERVICIO 2025]],$J$2:$V$15,3,0)*Tabla44[[#This Row],[TOTAL COBERTURA]])+VLOOKUP(Tabla44[[#This Row],[SERVICIO 2025]],$J$2:$V$15,10,0)*Tabla44[[#This Row],[TOTAL COBERTURA]]</f>
        <v>23650326</v>
      </c>
      <c r="AX411" s="35">
        <f>(VLOOKUP(Tabla44[[#This Row],[SERVICIO 2025]],$J$2:$V$15,3,0)*Tabla44[[#This Row],[TOTAL COBERTURA]])+VLOOKUP(Tabla44[[#This Row],[SERVICIO 2025]],$J$2:$V$15,10,0)*Tabla44[[#This Row],[TOTAL COBERTURA]]</f>
        <v>23650326</v>
      </c>
      <c r="AY411" s="35">
        <f>(VLOOKUP(Tabla44[[#This Row],[SERVICIO 2025]],$J$2:$V$15,3,0)*Tabla44[[#This Row],[TOTAL COBERTURA]])+VLOOKUP(Tabla44[[#This Row],[SERVICIO 2025]],$J$2:$V$15,10,0)*Tabla44[[#This Row],[TOTAL COBERTURA]]</f>
        <v>23650326</v>
      </c>
      <c r="AZ411" s="35">
        <f>(VLOOKUP(Tabla44[[#This Row],[SERVICIO 2025]],$J$2:$V$15,3,0)*Tabla44[[#This Row],[TOTAL COBERTURA]])+VLOOKUP(Tabla44[[#This Row],[SERVICIO 2025]],$J$2:$V$15,10,0)*Tabla44[[#This Row],[TOTAL COBERTURA]]</f>
        <v>23650326</v>
      </c>
      <c r="BA411" s="35">
        <f>(VLOOKUP(Tabla44[[#This Row],[SERVICIO 2025]],$J$2:$V$15,3,0)*Tabla44[[#This Row],[TOTAL COBERTURA]])+VLOOKUP(Tabla44[[#This Row],[SERVICIO 2025]],$J$2:$V$15,10,0)*Tabla44[[#This Row],[TOTAL COBERTURA]]</f>
        <v>23650326</v>
      </c>
      <c r="BB411" s="35">
        <f>(VLOOKUP(Tabla44[[#This Row],[SERVICIO 2025]],$J$2:$V$15,3,0)*Tabla44[[#This Row],[TOTAL COBERTURA]])+VLOOKUP(Tabla44[[#This Row],[SERVICIO 2025]],$J$2:$V$15,10,0)*Tabla44[[#This Row],[TOTAL COBERTURA]]</f>
        <v>23650326</v>
      </c>
      <c r="BC41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25865892</v>
      </c>
      <c r="BD411" s="35">
        <f>SUM(Tabla44[[#This Row],[DESEMBOLSO 1]:[DESEMBOLSO 8]])</f>
        <v>195655878</v>
      </c>
      <c r="BE411" s="12" t="b">
        <f>EXACT(Tabla44[[#This Row],[VALOR ATENCIÓN (8 MESES)]],Tabla44[[#This Row],[VALOR TOTAL]])</f>
        <v>1</v>
      </c>
      <c r="BF411" s="23">
        <f>Tabla44[[#This Row],[VALOR ATENCIÓN (8 MESES)]]-Tabla44[[#This Row],[VALOR TOTAL]]</f>
        <v>0</v>
      </c>
      <c r="BG411" s="12" t="b">
        <f>EXACT(Tabla44[[#This Row],[TOTAL DESEMBOLSOS]],Tabla44[[#This Row],[VALOR TOTAL DEL CONTRATO INCLUIDO EL COMPONENTE DE ALIMENTACIÓN]])</f>
        <v>1</v>
      </c>
      <c r="BH411" s="29">
        <f>Tabla44[[#This Row],[TOTAL DESEMBOLSOS]]-Tabla44[[#This Row],[VALOR TOTAL DEL CONTRATO INCLUIDO EL COMPONENTE DE ALIMENTACIÓN]]</f>
        <v>0</v>
      </c>
      <c r="BJ411" t="s">
        <v>3595</v>
      </c>
    </row>
    <row r="412" spans="1:62">
      <c r="A412" s="13">
        <v>2019</v>
      </c>
      <c r="B412" s="13"/>
      <c r="C412" s="12" t="s">
        <v>87</v>
      </c>
      <c r="D412" s="12" t="s">
        <v>673</v>
      </c>
      <c r="E412" s="12" t="s">
        <v>3591</v>
      </c>
      <c r="F412" s="12" t="s">
        <v>18</v>
      </c>
      <c r="G412" s="12" t="s">
        <v>90</v>
      </c>
      <c r="H412" s="12" t="s">
        <v>3607</v>
      </c>
      <c r="I412" s="36">
        <v>58851148687</v>
      </c>
      <c r="J412" s="12" t="s">
        <v>3608</v>
      </c>
      <c r="K412" s="12">
        <v>1</v>
      </c>
      <c r="L412" s="12">
        <v>18</v>
      </c>
      <c r="M412" s="12"/>
      <c r="N412" s="13">
        <v>2019</v>
      </c>
      <c r="O412" s="12" t="s">
        <v>2850</v>
      </c>
      <c r="P412" s="12"/>
      <c r="Q412" s="12"/>
      <c r="R412" s="12" t="s">
        <v>94</v>
      </c>
      <c r="S412" s="12">
        <v>10</v>
      </c>
      <c r="T412" s="12">
        <v>900072094</v>
      </c>
      <c r="U412" s="12" t="s">
        <v>3594</v>
      </c>
      <c r="V412" s="12">
        <f>VLOOKUP(Tabla44[[#This Row],[ZONA DEFINITIVO]],[1]Hoja1!$A$1:$D$125,3,0)</f>
        <v>229945</v>
      </c>
      <c r="W412" s="12">
        <f>VLOOKUP(Tabla44[[#This Row],[ZONA DEFINITIVO]],[1]Hoja1!$A$1:$D$125,2,0)</f>
        <v>17271</v>
      </c>
      <c r="X412" s="12">
        <f>VLOOKUP(Tabla44[[#This Row],[ZONA DEFINITIVO]],[1]Hoja1!$A$1:$D$125,4,0)</f>
        <v>105125</v>
      </c>
      <c r="Y412" s="12" t="str">
        <f>+IF(Tabla44[[#This Row],[AGRUPACIONES]]=1,SUMIFS(Tabla44[UDS],Tabla44[ZONA DEFINITIVO],Tabla44[[#This Row],[ZONA DEFINITIVO]])," ")</f>
        <v xml:space="preserve"> </v>
      </c>
      <c r="Z412" s="12" t="str">
        <f>+IF(Tabla44[[#This Row],[AGRUPACIONES]]=1,SUMIFS(Tabla44[TOTAL COBERTURA],Tabla44[ZONA DEFINITIVO],Tabla44[[#This Row],[ZONA DEFINITIVO]])," ")</f>
        <v xml:space="preserve"> </v>
      </c>
      <c r="AA412" s="12"/>
      <c r="AB412" s="35">
        <v>39243474</v>
      </c>
      <c r="AC412" s="37">
        <v>0</v>
      </c>
      <c r="AD412" s="35">
        <f t="shared" si="7"/>
        <v>0</v>
      </c>
      <c r="AE412" s="12"/>
      <c r="AF412" s="12">
        <f>COUNTIF($A$20:A412,A412)</f>
        <v>9</v>
      </c>
      <c r="AG412" s="38">
        <v>39243474</v>
      </c>
      <c r="AH412" s="38">
        <f>Tabla44[[#This Row],[VALOR CONTRAPARTIDA]]+Tabla44[[#This Row],[TOTAL APORTES ICBF]]</f>
        <v>39243474</v>
      </c>
      <c r="AI412" s="35" t="str">
        <f>+IF(Tabla44[[#This Row],[AGRUPACIONES]]=1,SUMIFS(Tabla44[TOTAL APORTES ICBF],Tabla44[ZONA DEFINITIVO],Tabla44[[#This Row],[ZONA DEFINITIVO]])," ")</f>
        <v xml:space="preserve"> </v>
      </c>
      <c r="AJ412" s="38"/>
      <c r="AK412" s="38"/>
      <c r="AL412" s="35"/>
      <c r="AM412" s="35">
        <f>VLOOKUP(Tabla44[[#This Row],[SERVICIO 2025]],$J$2:$V$15,5,0)*Tabla44[[#This Row],[TOTAL COBERTURA]]</f>
        <v>888768</v>
      </c>
      <c r="AN412" s="35">
        <f>VLOOKUP(Tabla44[[#This Row],[SERVICIO 2025]],$J$2:$V$15,6,0)*Tabla44[[#This Row],[TOTAL COBERTURA]]</f>
        <v>738522</v>
      </c>
      <c r="AO412" s="35">
        <f>VLOOKUP(Tabla44[[#This Row],[SERVICIO 2025]],$J$2:$V$15,8,0)*Tabla44[[#This Row],[TOTAL COBERTURA]]</f>
        <v>523800</v>
      </c>
      <c r="AP412" s="35">
        <f>VLOOKUP(Tabla44[[#This Row],[SERVICIO 2025]],$J$2:$V$15,3,0)*Tabla44[[#This Row],[TOTAL COBERTURA]]*8</f>
        <v>37092384</v>
      </c>
      <c r="AQ412" s="35"/>
      <c r="AR412" s="35">
        <f>SUM(Tabla44[[#This Row],[VALOR FASE PREPARATORIA DE ALISTAMIENTO]:[VALOR RACION PREPARADA]])</f>
        <v>39243474</v>
      </c>
      <c r="AS412" s="35" t="str">
        <f>+IF(Tabla44[[#This Row],[AGRUPACIONES]]=1,SUMIFS(Tabla44[VALOR TOTAL],Tabla44[ZONA DEFINITIVO],Tabla44[[#This Row],[ZONA DEFINITIVO]])," ")</f>
        <v xml:space="preserve"> </v>
      </c>
      <c r="AT412" s="35">
        <f>VLOOKUP(Tabla44[[#This Row],[SERVICIO 2025]],$J$2:$V$15,10,0)*Tabla44[[#This Row],[TOTAL COBERTURA]]*$X$7</f>
        <v>25975152</v>
      </c>
      <c r="AU412" s="39">
        <f>Tabla44[[#This Row],[TOTAL CONTRATO (ICBF+EAS)]]+Tabla44[[#This Row],[VALOR COMPONENTE ALIMENTACION NO ASIGNADO]]</f>
        <v>65218626</v>
      </c>
      <c r="AV41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412" s="35">
        <f>(VLOOKUP(Tabla44[[#This Row],[SERVICIO 2025]],$J$2:$V$15,3,0)*Tabla44[[#This Row],[TOTAL COBERTURA]])+VLOOKUP(Tabla44[[#This Row],[SERVICIO 2025]],$J$2:$V$15,10,0)*Tabla44[[#This Row],[TOTAL COBERTURA]]</f>
        <v>7883442</v>
      </c>
      <c r="AX412" s="35">
        <f>(VLOOKUP(Tabla44[[#This Row],[SERVICIO 2025]],$J$2:$V$15,3,0)*Tabla44[[#This Row],[TOTAL COBERTURA]])+VLOOKUP(Tabla44[[#This Row],[SERVICIO 2025]],$J$2:$V$15,10,0)*Tabla44[[#This Row],[TOTAL COBERTURA]]</f>
        <v>7883442</v>
      </c>
      <c r="AY412" s="35">
        <f>(VLOOKUP(Tabla44[[#This Row],[SERVICIO 2025]],$J$2:$V$15,3,0)*Tabla44[[#This Row],[TOTAL COBERTURA]])+VLOOKUP(Tabla44[[#This Row],[SERVICIO 2025]],$J$2:$V$15,10,0)*Tabla44[[#This Row],[TOTAL COBERTURA]]</f>
        <v>7883442</v>
      </c>
      <c r="AZ412" s="35">
        <f>(VLOOKUP(Tabla44[[#This Row],[SERVICIO 2025]],$J$2:$V$15,3,0)*Tabla44[[#This Row],[TOTAL COBERTURA]])+VLOOKUP(Tabla44[[#This Row],[SERVICIO 2025]],$J$2:$V$15,10,0)*Tabla44[[#This Row],[TOTAL COBERTURA]]</f>
        <v>7883442</v>
      </c>
      <c r="BA412" s="35">
        <f>(VLOOKUP(Tabla44[[#This Row],[SERVICIO 2025]],$J$2:$V$15,3,0)*Tabla44[[#This Row],[TOTAL COBERTURA]])+VLOOKUP(Tabla44[[#This Row],[SERVICIO 2025]],$J$2:$V$15,10,0)*Tabla44[[#This Row],[TOTAL COBERTURA]]</f>
        <v>7883442</v>
      </c>
      <c r="BB412" s="35">
        <f>(VLOOKUP(Tabla44[[#This Row],[SERVICIO 2025]],$J$2:$V$15,3,0)*Tabla44[[#This Row],[TOTAL COBERTURA]])+VLOOKUP(Tabla44[[#This Row],[SERVICIO 2025]],$J$2:$V$15,10,0)*Tabla44[[#This Row],[TOTAL COBERTURA]]</f>
        <v>7883442</v>
      </c>
      <c r="BC41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412" s="35">
        <f>SUM(Tabla44[[#This Row],[DESEMBOLSO 1]:[DESEMBOLSO 8]])</f>
        <v>65218626</v>
      </c>
      <c r="BE412" s="12" t="b">
        <f>EXACT(Tabla44[[#This Row],[VALOR ATENCIÓN (8 MESES)]],Tabla44[[#This Row],[VALOR TOTAL]])</f>
        <v>1</v>
      </c>
      <c r="BF412" s="23">
        <f>Tabla44[[#This Row],[VALOR ATENCIÓN (8 MESES)]]-Tabla44[[#This Row],[VALOR TOTAL]]</f>
        <v>0</v>
      </c>
      <c r="BG412" s="12" t="b">
        <f>EXACT(Tabla44[[#This Row],[TOTAL DESEMBOLSOS]],Tabla44[[#This Row],[VALOR TOTAL DEL CONTRATO INCLUIDO EL COMPONENTE DE ALIMENTACIÓN]])</f>
        <v>1</v>
      </c>
      <c r="BH412" s="29">
        <f>Tabla44[[#This Row],[TOTAL DESEMBOLSOS]]-Tabla44[[#This Row],[VALOR TOTAL DEL CONTRATO INCLUIDO EL COMPONENTE DE ALIMENTACIÓN]]</f>
        <v>0</v>
      </c>
      <c r="BJ412" t="s">
        <v>3595</v>
      </c>
    </row>
    <row r="413" spans="1:62">
      <c r="A413" s="13">
        <v>2019</v>
      </c>
      <c r="B413" s="13"/>
      <c r="C413" s="12" t="s">
        <v>87</v>
      </c>
      <c r="D413" s="12" t="s">
        <v>673</v>
      </c>
      <c r="E413" s="12" t="s">
        <v>3591</v>
      </c>
      <c r="F413" s="12" t="s">
        <v>18</v>
      </c>
      <c r="G413" s="12" t="s">
        <v>90</v>
      </c>
      <c r="H413" s="12" t="s">
        <v>3609</v>
      </c>
      <c r="I413" s="36">
        <v>58851152193</v>
      </c>
      <c r="J413" s="12" t="s">
        <v>3610</v>
      </c>
      <c r="K413" s="12">
        <v>1</v>
      </c>
      <c r="L413" s="12">
        <v>10</v>
      </c>
      <c r="M413" s="12"/>
      <c r="N413" s="13">
        <v>2019</v>
      </c>
      <c r="O413" s="12" t="s">
        <v>2850</v>
      </c>
      <c r="P413" s="12"/>
      <c r="Q413" s="12"/>
      <c r="R413" s="12" t="s">
        <v>94</v>
      </c>
      <c r="S413" s="12">
        <v>10</v>
      </c>
      <c r="T413" s="12">
        <v>900072094</v>
      </c>
      <c r="U413" s="12" t="s">
        <v>3594</v>
      </c>
      <c r="V413" s="12">
        <f>VLOOKUP(Tabla44[[#This Row],[ZONA DEFINITIVO]],[1]Hoja1!$A$1:$D$125,3,0)</f>
        <v>229945</v>
      </c>
      <c r="W413" s="12">
        <f>VLOOKUP(Tabla44[[#This Row],[ZONA DEFINITIVO]],[1]Hoja1!$A$1:$D$125,2,0)</f>
        <v>17271</v>
      </c>
      <c r="X413" s="12">
        <f>VLOOKUP(Tabla44[[#This Row],[ZONA DEFINITIVO]],[1]Hoja1!$A$1:$D$125,4,0)</f>
        <v>105125</v>
      </c>
      <c r="Y413" s="12" t="str">
        <f>+IF(Tabla44[[#This Row],[AGRUPACIONES]]=1,SUMIFS(Tabla44[UDS],Tabla44[ZONA DEFINITIVO],Tabla44[[#This Row],[ZONA DEFINITIVO]])," ")</f>
        <v xml:space="preserve"> </v>
      </c>
      <c r="Z413" s="12" t="str">
        <f>+IF(Tabla44[[#This Row],[AGRUPACIONES]]=1,SUMIFS(Tabla44[TOTAL COBERTURA],Tabla44[ZONA DEFINITIVO],Tabla44[[#This Row],[ZONA DEFINITIVO]])," ")</f>
        <v xml:space="preserve"> </v>
      </c>
      <c r="AA413" s="12"/>
      <c r="AB413" s="35">
        <v>21801930</v>
      </c>
      <c r="AC413" s="37">
        <v>0</v>
      </c>
      <c r="AD413" s="35">
        <f t="shared" si="7"/>
        <v>0</v>
      </c>
      <c r="AE413" s="12"/>
      <c r="AF413" s="12">
        <f>COUNTIF($A$20:A413,A413)</f>
        <v>10</v>
      </c>
      <c r="AG413" s="38">
        <v>21801930</v>
      </c>
      <c r="AH413" s="38">
        <f>Tabla44[[#This Row],[VALOR CONTRAPARTIDA]]+Tabla44[[#This Row],[TOTAL APORTES ICBF]]</f>
        <v>21801930</v>
      </c>
      <c r="AI413" s="35" t="str">
        <f>+IF(Tabla44[[#This Row],[AGRUPACIONES]]=1,SUMIFS(Tabla44[TOTAL APORTES ICBF],Tabla44[ZONA DEFINITIVO],Tabla44[[#This Row],[ZONA DEFINITIVO]])," ")</f>
        <v xml:space="preserve"> </v>
      </c>
      <c r="AJ413" s="38"/>
      <c r="AK413" s="38"/>
      <c r="AL413" s="35"/>
      <c r="AM413" s="35">
        <f>VLOOKUP(Tabla44[[#This Row],[SERVICIO 2025]],$J$2:$V$15,5,0)*Tabla44[[#This Row],[TOTAL COBERTURA]]</f>
        <v>493760</v>
      </c>
      <c r="AN413" s="35">
        <f>VLOOKUP(Tabla44[[#This Row],[SERVICIO 2025]],$J$2:$V$15,6,0)*Tabla44[[#This Row],[TOTAL COBERTURA]]</f>
        <v>410290</v>
      </c>
      <c r="AO413" s="35">
        <f>VLOOKUP(Tabla44[[#This Row],[SERVICIO 2025]],$J$2:$V$15,8,0)*Tabla44[[#This Row],[TOTAL COBERTURA]]</f>
        <v>291000</v>
      </c>
      <c r="AP413" s="35">
        <f>VLOOKUP(Tabla44[[#This Row],[SERVICIO 2025]],$J$2:$V$15,3,0)*Tabla44[[#This Row],[TOTAL COBERTURA]]*8</f>
        <v>20606880</v>
      </c>
      <c r="AQ413" s="35"/>
      <c r="AR413" s="35">
        <f>SUM(Tabla44[[#This Row],[VALOR FASE PREPARATORIA DE ALISTAMIENTO]:[VALOR RACION PREPARADA]])</f>
        <v>21801930</v>
      </c>
      <c r="AS413" s="35" t="str">
        <f>+IF(Tabla44[[#This Row],[AGRUPACIONES]]=1,SUMIFS(Tabla44[VALOR TOTAL],Tabla44[ZONA DEFINITIVO],Tabla44[[#This Row],[ZONA DEFINITIVO]])," ")</f>
        <v xml:space="preserve"> </v>
      </c>
      <c r="AT413" s="35">
        <f>VLOOKUP(Tabla44[[#This Row],[SERVICIO 2025]],$J$2:$V$15,10,0)*Tabla44[[#This Row],[TOTAL COBERTURA]]*$X$7</f>
        <v>14430640</v>
      </c>
      <c r="AU413" s="39">
        <f>Tabla44[[#This Row],[TOTAL CONTRATO (ICBF+EAS)]]+Tabla44[[#This Row],[VALOR COMPONENTE ALIMENTACION NO ASIGNADO]]</f>
        <v>36232570</v>
      </c>
      <c r="AV41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413" s="35">
        <f>(VLOOKUP(Tabla44[[#This Row],[SERVICIO 2025]],$J$2:$V$15,3,0)*Tabla44[[#This Row],[TOTAL COBERTURA]])+VLOOKUP(Tabla44[[#This Row],[SERVICIO 2025]],$J$2:$V$15,10,0)*Tabla44[[#This Row],[TOTAL COBERTURA]]</f>
        <v>4379690</v>
      </c>
      <c r="AX413" s="35">
        <f>(VLOOKUP(Tabla44[[#This Row],[SERVICIO 2025]],$J$2:$V$15,3,0)*Tabla44[[#This Row],[TOTAL COBERTURA]])+VLOOKUP(Tabla44[[#This Row],[SERVICIO 2025]],$J$2:$V$15,10,0)*Tabla44[[#This Row],[TOTAL COBERTURA]]</f>
        <v>4379690</v>
      </c>
      <c r="AY413" s="35">
        <f>(VLOOKUP(Tabla44[[#This Row],[SERVICIO 2025]],$J$2:$V$15,3,0)*Tabla44[[#This Row],[TOTAL COBERTURA]])+VLOOKUP(Tabla44[[#This Row],[SERVICIO 2025]],$J$2:$V$15,10,0)*Tabla44[[#This Row],[TOTAL COBERTURA]]</f>
        <v>4379690</v>
      </c>
      <c r="AZ413" s="35">
        <f>(VLOOKUP(Tabla44[[#This Row],[SERVICIO 2025]],$J$2:$V$15,3,0)*Tabla44[[#This Row],[TOTAL COBERTURA]])+VLOOKUP(Tabla44[[#This Row],[SERVICIO 2025]],$J$2:$V$15,10,0)*Tabla44[[#This Row],[TOTAL COBERTURA]]</f>
        <v>4379690</v>
      </c>
      <c r="BA413" s="35">
        <f>(VLOOKUP(Tabla44[[#This Row],[SERVICIO 2025]],$J$2:$V$15,3,0)*Tabla44[[#This Row],[TOTAL COBERTURA]])+VLOOKUP(Tabla44[[#This Row],[SERVICIO 2025]],$J$2:$V$15,10,0)*Tabla44[[#This Row],[TOTAL COBERTURA]]</f>
        <v>4379690</v>
      </c>
      <c r="BB413" s="35">
        <f>(VLOOKUP(Tabla44[[#This Row],[SERVICIO 2025]],$J$2:$V$15,3,0)*Tabla44[[#This Row],[TOTAL COBERTURA]])+VLOOKUP(Tabla44[[#This Row],[SERVICIO 2025]],$J$2:$V$15,10,0)*Tabla44[[#This Row],[TOTAL COBERTURA]]</f>
        <v>4379690</v>
      </c>
      <c r="BC41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413" s="35">
        <f>SUM(Tabla44[[#This Row],[DESEMBOLSO 1]:[DESEMBOLSO 8]])</f>
        <v>36232570</v>
      </c>
      <c r="BE413" s="12" t="b">
        <f>EXACT(Tabla44[[#This Row],[VALOR ATENCIÓN (8 MESES)]],Tabla44[[#This Row],[VALOR TOTAL]])</f>
        <v>1</v>
      </c>
      <c r="BF413" s="23">
        <f>Tabla44[[#This Row],[VALOR ATENCIÓN (8 MESES)]]-Tabla44[[#This Row],[VALOR TOTAL]]</f>
        <v>0</v>
      </c>
      <c r="BG413" s="12" t="b">
        <f>EXACT(Tabla44[[#This Row],[TOTAL DESEMBOLSOS]],Tabla44[[#This Row],[VALOR TOTAL DEL CONTRATO INCLUIDO EL COMPONENTE DE ALIMENTACIÓN]])</f>
        <v>1</v>
      </c>
      <c r="BH413" s="29">
        <f>Tabla44[[#This Row],[TOTAL DESEMBOLSOS]]-Tabla44[[#This Row],[VALOR TOTAL DEL CONTRATO INCLUIDO EL COMPONENTE DE ALIMENTACIÓN]]</f>
        <v>0</v>
      </c>
      <c r="BJ413" t="s">
        <v>3595</v>
      </c>
    </row>
    <row r="414" spans="1:62">
      <c r="A414" s="13">
        <v>2019</v>
      </c>
      <c r="B414" s="13"/>
      <c r="C414" s="12" t="s">
        <v>87</v>
      </c>
      <c r="D414" s="12" t="s">
        <v>673</v>
      </c>
      <c r="E414" s="12" t="s">
        <v>3591</v>
      </c>
      <c r="F414" s="12" t="s">
        <v>18</v>
      </c>
      <c r="G414" s="12" t="s">
        <v>90</v>
      </c>
      <c r="H414" s="12" t="s">
        <v>3611</v>
      </c>
      <c r="I414" s="36">
        <v>58851153102</v>
      </c>
      <c r="J414" s="12" t="s">
        <v>3612</v>
      </c>
      <c r="K414" s="12">
        <v>1</v>
      </c>
      <c r="L414" s="12">
        <v>14</v>
      </c>
      <c r="M414" s="12"/>
      <c r="N414" s="13">
        <v>2019</v>
      </c>
      <c r="O414" s="12" t="s">
        <v>2850</v>
      </c>
      <c r="P414" s="12"/>
      <c r="Q414" s="12"/>
      <c r="R414" s="12" t="s">
        <v>94</v>
      </c>
      <c r="S414" s="12">
        <v>10</v>
      </c>
      <c r="T414" s="12">
        <v>900072094</v>
      </c>
      <c r="U414" s="12" t="s">
        <v>3594</v>
      </c>
      <c r="V414" s="12">
        <f>VLOOKUP(Tabla44[[#This Row],[ZONA DEFINITIVO]],[1]Hoja1!$A$1:$D$125,3,0)</f>
        <v>229945</v>
      </c>
      <c r="W414" s="12">
        <f>VLOOKUP(Tabla44[[#This Row],[ZONA DEFINITIVO]],[1]Hoja1!$A$1:$D$125,2,0)</f>
        <v>17271</v>
      </c>
      <c r="X414" s="12">
        <f>VLOOKUP(Tabla44[[#This Row],[ZONA DEFINITIVO]],[1]Hoja1!$A$1:$D$125,4,0)</f>
        <v>105125</v>
      </c>
      <c r="Y414" s="12" t="str">
        <f>+IF(Tabla44[[#This Row],[AGRUPACIONES]]=1,SUMIFS(Tabla44[UDS],Tabla44[ZONA DEFINITIVO],Tabla44[[#This Row],[ZONA DEFINITIVO]])," ")</f>
        <v xml:space="preserve"> </v>
      </c>
      <c r="Z414" s="12" t="str">
        <f>+IF(Tabla44[[#This Row],[AGRUPACIONES]]=1,SUMIFS(Tabla44[TOTAL COBERTURA],Tabla44[ZONA DEFINITIVO],Tabla44[[#This Row],[ZONA DEFINITIVO]])," ")</f>
        <v xml:space="preserve"> </v>
      </c>
      <c r="AA414" s="12"/>
      <c r="AB414" s="35">
        <v>30522702</v>
      </c>
      <c r="AC414" s="37">
        <v>0</v>
      </c>
      <c r="AD414" s="35">
        <f t="shared" si="7"/>
        <v>0</v>
      </c>
      <c r="AE414" s="12"/>
      <c r="AF414" s="12">
        <f>COUNTIF($A$20:A414,A414)</f>
        <v>11</v>
      </c>
      <c r="AG414" s="38">
        <v>30522702</v>
      </c>
      <c r="AH414" s="38">
        <f>Tabla44[[#This Row],[VALOR CONTRAPARTIDA]]+Tabla44[[#This Row],[TOTAL APORTES ICBF]]</f>
        <v>30522702</v>
      </c>
      <c r="AI414" s="35" t="str">
        <f>+IF(Tabla44[[#This Row],[AGRUPACIONES]]=1,SUMIFS(Tabla44[TOTAL APORTES ICBF],Tabla44[ZONA DEFINITIVO],Tabla44[[#This Row],[ZONA DEFINITIVO]])," ")</f>
        <v xml:space="preserve"> </v>
      </c>
      <c r="AJ414" s="38"/>
      <c r="AK414" s="38"/>
      <c r="AL414" s="35"/>
      <c r="AM414" s="35">
        <f>VLOOKUP(Tabla44[[#This Row],[SERVICIO 2025]],$J$2:$V$15,5,0)*Tabla44[[#This Row],[TOTAL COBERTURA]]</f>
        <v>691264</v>
      </c>
      <c r="AN414" s="35">
        <f>VLOOKUP(Tabla44[[#This Row],[SERVICIO 2025]],$J$2:$V$15,6,0)*Tabla44[[#This Row],[TOTAL COBERTURA]]</f>
        <v>574406</v>
      </c>
      <c r="AO414" s="35">
        <f>VLOOKUP(Tabla44[[#This Row],[SERVICIO 2025]],$J$2:$V$15,8,0)*Tabla44[[#This Row],[TOTAL COBERTURA]]</f>
        <v>407400</v>
      </c>
      <c r="AP414" s="35">
        <f>VLOOKUP(Tabla44[[#This Row],[SERVICIO 2025]],$J$2:$V$15,3,0)*Tabla44[[#This Row],[TOTAL COBERTURA]]*8</f>
        <v>28849632</v>
      </c>
      <c r="AQ414" s="35"/>
      <c r="AR414" s="35">
        <f>SUM(Tabla44[[#This Row],[VALOR FASE PREPARATORIA DE ALISTAMIENTO]:[VALOR RACION PREPARADA]])</f>
        <v>30522702</v>
      </c>
      <c r="AS414" s="35" t="str">
        <f>+IF(Tabla44[[#This Row],[AGRUPACIONES]]=1,SUMIFS(Tabla44[VALOR TOTAL],Tabla44[ZONA DEFINITIVO],Tabla44[[#This Row],[ZONA DEFINITIVO]])," ")</f>
        <v xml:space="preserve"> </v>
      </c>
      <c r="AT414" s="35">
        <f>VLOOKUP(Tabla44[[#This Row],[SERVICIO 2025]],$J$2:$V$15,10,0)*Tabla44[[#This Row],[TOTAL COBERTURA]]*$X$7</f>
        <v>20202896</v>
      </c>
      <c r="AU414" s="39">
        <f>Tabla44[[#This Row],[TOTAL CONTRATO (ICBF+EAS)]]+Tabla44[[#This Row],[VALOR COMPONENTE ALIMENTACION NO ASIGNADO]]</f>
        <v>50725598</v>
      </c>
      <c r="AV41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414" s="35">
        <f>(VLOOKUP(Tabla44[[#This Row],[SERVICIO 2025]],$J$2:$V$15,3,0)*Tabla44[[#This Row],[TOTAL COBERTURA]])+VLOOKUP(Tabla44[[#This Row],[SERVICIO 2025]],$J$2:$V$15,10,0)*Tabla44[[#This Row],[TOTAL COBERTURA]]</f>
        <v>6131566</v>
      </c>
      <c r="AX414" s="35">
        <f>(VLOOKUP(Tabla44[[#This Row],[SERVICIO 2025]],$J$2:$V$15,3,0)*Tabla44[[#This Row],[TOTAL COBERTURA]])+VLOOKUP(Tabla44[[#This Row],[SERVICIO 2025]],$J$2:$V$15,10,0)*Tabla44[[#This Row],[TOTAL COBERTURA]]</f>
        <v>6131566</v>
      </c>
      <c r="AY414" s="35">
        <f>(VLOOKUP(Tabla44[[#This Row],[SERVICIO 2025]],$J$2:$V$15,3,0)*Tabla44[[#This Row],[TOTAL COBERTURA]])+VLOOKUP(Tabla44[[#This Row],[SERVICIO 2025]],$J$2:$V$15,10,0)*Tabla44[[#This Row],[TOTAL COBERTURA]]</f>
        <v>6131566</v>
      </c>
      <c r="AZ414" s="35">
        <f>(VLOOKUP(Tabla44[[#This Row],[SERVICIO 2025]],$J$2:$V$15,3,0)*Tabla44[[#This Row],[TOTAL COBERTURA]])+VLOOKUP(Tabla44[[#This Row],[SERVICIO 2025]],$J$2:$V$15,10,0)*Tabla44[[#This Row],[TOTAL COBERTURA]]</f>
        <v>6131566</v>
      </c>
      <c r="BA414" s="35">
        <f>(VLOOKUP(Tabla44[[#This Row],[SERVICIO 2025]],$J$2:$V$15,3,0)*Tabla44[[#This Row],[TOTAL COBERTURA]])+VLOOKUP(Tabla44[[#This Row],[SERVICIO 2025]],$J$2:$V$15,10,0)*Tabla44[[#This Row],[TOTAL COBERTURA]]</f>
        <v>6131566</v>
      </c>
      <c r="BB414" s="35">
        <f>(VLOOKUP(Tabla44[[#This Row],[SERVICIO 2025]],$J$2:$V$15,3,0)*Tabla44[[#This Row],[TOTAL COBERTURA]])+VLOOKUP(Tabla44[[#This Row],[SERVICIO 2025]],$J$2:$V$15,10,0)*Tabla44[[#This Row],[TOTAL COBERTURA]]</f>
        <v>6131566</v>
      </c>
      <c r="BC41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414" s="35">
        <f>SUM(Tabla44[[#This Row],[DESEMBOLSO 1]:[DESEMBOLSO 8]])</f>
        <v>50725598</v>
      </c>
      <c r="BE414" s="12" t="b">
        <f>EXACT(Tabla44[[#This Row],[VALOR ATENCIÓN (8 MESES)]],Tabla44[[#This Row],[VALOR TOTAL]])</f>
        <v>1</v>
      </c>
      <c r="BF414" s="23">
        <f>Tabla44[[#This Row],[VALOR ATENCIÓN (8 MESES)]]-Tabla44[[#This Row],[VALOR TOTAL]]</f>
        <v>0</v>
      </c>
      <c r="BG414" s="12" t="b">
        <f>EXACT(Tabla44[[#This Row],[TOTAL DESEMBOLSOS]],Tabla44[[#This Row],[VALOR TOTAL DEL CONTRATO INCLUIDO EL COMPONENTE DE ALIMENTACIÓN]])</f>
        <v>1</v>
      </c>
      <c r="BH414" s="29">
        <f>Tabla44[[#This Row],[TOTAL DESEMBOLSOS]]-Tabla44[[#This Row],[VALOR TOTAL DEL CONTRATO INCLUIDO EL COMPONENTE DE ALIMENTACIÓN]]</f>
        <v>0</v>
      </c>
      <c r="BJ414" t="s">
        <v>3595</v>
      </c>
    </row>
    <row r="415" spans="1:62">
      <c r="A415" s="13">
        <v>2019</v>
      </c>
      <c r="B415" s="13"/>
      <c r="C415" s="12" t="s">
        <v>87</v>
      </c>
      <c r="D415" s="12" t="s">
        <v>673</v>
      </c>
      <c r="E415" s="12" t="s">
        <v>3591</v>
      </c>
      <c r="F415" s="12" t="s">
        <v>14</v>
      </c>
      <c r="G415" s="12" t="s">
        <v>90</v>
      </c>
      <c r="H415" s="12" t="s">
        <v>3613</v>
      </c>
      <c r="I415" s="36">
        <v>588500053450</v>
      </c>
      <c r="J415" s="12" t="s">
        <v>3614</v>
      </c>
      <c r="K415" s="12">
        <v>1</v>
      </c>
      <c r="L415" s="12">
        <v>45</v>
      </c>
      <c r="M415" s="12"/>
      <c r="N415" s="13">
        <v>2019</v>
      </c>
      <c r="O415" s="12" t="s">
        <v>2850</v>
      </c>
      <c r="P415" s="12"/>
      <c r="Q415" s="12"/>
      <c r="R415" s="12" t="s">
        <v>94</v>
      </c>
      <c r="S415" s="12">
        <v>10</v>
      </c>
      <c r="T415" s="12">
        <v>900072094</v>
      </c>
      <c r="U415" s="12" t="s">
        <v>3594</v>
      </c>
      <c r="V415" s="12">
        <f>VLOOKUP(Tabla44[[#This Row],[ZONA DEFINITIVO]],[1]Hoja1!$A$1:$D$125,3,0)</f>
        <v>229945</v>
      </c>
      <c r="W415" s="12">
        <f>VLOOKUP(Tabla44[[#This Row],[ZONA DEFINITIVO]],[1]Hoja1!$A$1:$D$125,2,0)</f>
        <v>17271</v>
      </c>
      <c r="X415" s="12">
        <f>VLOOKUP(Tabla44[[#This Row],[ZONA DEFINITIVO]],[1]Hoja1!$A$1:$D$125,4,0)</f>
        <v>105125</v>
      </c>
      <c r="Y415" s="12" t="str">
        <f>+IF(Tabla44[[#This Row],[AGRUPACIONES]]=1,SUMIFS(Tabla44[UDS],Tabla44[ZONA DEFINITIVO],Tabla44[[#This Row],[ZONA DEFINITIVO]])," ")</f>
        <v xml:space="preserve"> </v>
      </c>
      <c r="Z415" s="12" t="str">
        <f>+IF(Tabla44[[#This Row],[AGRUPACIONES]]=1,SUMIFS(Tabla44[TOTAL COBERTURA],Tabla44[ZONA DEFINITIVO],Tabla44[[#This Row],[ZONA DEFINITIVO]])," ")</f>
        <v xml:space="preserve"> </v>
      </c>
      <c r="AA415" s="12"/>
      <c r="AB415" s="35">
        <v>188498250</v>
      </c>
      <c r="AC415" s="37">
        <v>0</v>
      </c>
      <c r="AD415" s="35">
        <f t="shared" si="7"/>
        <v>0</v>
      </c>
      <c r="AE415" s="12"/>
      <c r="AF415" s="12">
        <f>COUNTIF($A$20:A415,A415)</f>
        <v>12</v>
      </c>
      <c r="AG415" s="38">
        <v>188498250</v>
      </c>
      <c r="AH415" s="38">
        <f>Tabla44[[#This Row],[VALOR CONTRAPARTIDA]]+Tabla44[[#This Row],[TOTAL APORTES ICBF]]</f>
        <v>188498250</v>
      </c>
      <c r="AI415" s="35" t="str">
        <f>+IF(Tabla44[[#This Row],[AGRUPACIONES]]=1,SUMIFS(Tabla44[TOTAL APORTES ICBF],Tabla44[ZONA DEFINITIVO],Tabla44[[#This Row],[ZONA DEFINITIVO]])," ")</f>
        <v xml:space="preserve"> </v>
      </c>
      <c r="AJ415" s="38"/>
      <c r="AK415" s="38"/>
      <c r="AL415" s="35"/>
      <c r="AM415" s="35">
        <f>VLOOKUP(Tabla44[[#This Row],[SERVICIO 2025]],$J$2:$V$15,5,0)*Tabla44[[#This Row],[TOTAL COBERTURA]]</f>
        <v>3966435</v>
      </c>
      <c r="AN415" s="35">
        <f>VLOOKUP(Tabla44[[#This Row],[SERVICIO 2025]],$J$2:$V$15,6,0)*Tabla44[[#This Row],[TOTAL COBERTURA]]</f>
        <v>3376935</v>
      </c>
      <c r="AO415" s="35">
        <f>VLOOKUP(Tabla44[[#This Row],[SERVICIO 2025]],$J$2:$V$15,8,0)*Tabla44[[#This Row],[TOTAL COBERTURA]]</f>
        <v>0</v>
      </c>
      <c r="AP415" s="35">
        <f>VLOOKUP(Tabla44[[#This Row],[SERVICIO 2025]],$J$2:$V$15,3,0)*Tabla44[[#This Row],[TOTAL COBERTURA]]*8</f>
        <v>181154880</v>
      </c>
      <c r="AQ415" s="35"/>
      <c r="AR415" s="35">
        <f>SUM(Tabla44[[#This Row],[VALOR FASE PREPARATORIA DE ALISTAMIENTO]:[VALOR RACION PREPARADA]])</f>
        <v>188498250</v>
      </c>
      <c r="AS415" s="35" t="str">
        <f>+IF(Tabla44[[#This Row],[AGRUPACIONES]]=1,SUMIFS(Tabla44[VALOR TOTAL],Tabla44[ZONA DEFINITIVO],Tabla44[[#This Row],[ZONA DEFINITIVO]])," ")</f>
        <v xml:space="preserve"> </v>
      </c>
      <c r="AT415" s="35">
        <f>VLOOKUP(Tabla44[[#This Row],[SERVICIO 2025]],$J$2:$V$15,10,0)*Tabla44[[#This Row],[TOTAL COBERTURA]]*$X$7</f>
        <v>0</v>
      </c>
      <c r="AU415" s="39">
        <f>Tabla44[[#This Row],[TOTAL CONTRATO (ICBF+EAS)]]+Tabla44[[#This Row],[VALOR COMPONENTE ALIMENTACION NO ASIGNADO]]</f>
        <v>188498250</v>
      </c>
      <c r="AV41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26610795</v>
      </c>
      <c r="AW415" s="35">
        <f>(VLOOKUP(Tabla44[[#This Row],[SERVICIO 2025]],$J$2:$V$15,3,0)*Tabla44[[#This Row],[TOTAL COBERTURA]])+VLOOKUP(Tabla44[[#This Row],[SERVICIO 2025]],$J$2:$V$15,10,0)*Tabla44[[#This Row],[TOTAL COBERTURA]]</f>
        <v>22644360</v>
      </c>
      <c r="AX415" s="35">
        <f>(VLOOKUP(Tabla44[[#This Row],[SERVICIO 2025]],$J$2:$V$15,3,0)*Tabla44[[#This Row],[TOTAL COBERTURA]])+VLOOKUP(Tabla44[[#This Row],[SERVICIO 2025]],$J$2:$V$15,10,0)*Tabla44[[#This Row],[TOTAL COBERTURA]]</f>
        <v>22644360</v>
      </c>
      <c r="AY415" s="35">
        <f>(VLOOKUP(Tabla44[[#This Row],[SERVICIO 2025]],$J$2:$V$15,3,0)*Tabla44[[#This Row],[TOTAL COBERTURA]])+VLOOKUP(Tabla44[[#This Row],[SERVICIO 2025]],$J$2:$V$15,10,0)*Tabla44[[#This Row],[TOTAL COBERTURA]]</f>
        <v>22644360</v>
      </c>
      <c r="AZ415" s="35">
        <f>(VLOOKUP(Tabla44[[#This Row],[SERVICIO 2025]],$J$2:$V$15,3,0)*Tabla44[[#This Row],[TOTAL COBERTURA]])+VLOOKUP(Tabla44[[#This Row],[SERVICIO 2025]],$J$2:$V$15,10,0)*Tabla44[[#This Row],[TOTAL COBERTURA]]</f>
        <v>22644360</v>
      </c>
      <c r="BA415" s="35">
        <f>(VLOOKUP(Tabla44[[#This Row],[SERVICIO 2025]],$J$2:$V$15,3,0)*Tabla44[[#This Row],[TOTAL COBERTURA]])+VLOOKUP(Tabla44[[#This Row],[SERVICIO 2025]],$J$2:$V$15,10,0)*Tabla44[[#This Row],[TOTAL COBERTURA]]</f>
        <v>22644360</v>
      </c>
      <c r="BB415" s="35">
        <f>(VLOOKUP(Tabla44[[#This Row],[SERVICIO 2025]],$J$2:$V$15,3,0)*Tabla44[[#This Row],[TOTAL COBERTURA]])+VLOOKUP(Tabla44[[#This Row],[SERVICIO 2025]],$J$2:$V$15,10,0)*Tabla44[[#This Row],[TOTAL COBERTURA]]</f>
        <v>22644360</v>
      </c>
      <c r="BC41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26021295</v>
      </c>
      <c r="BD415" s="35">
        <f>SUM(Tabla44[[#This Row],[DESEMBOLSO 1]:[DESEMBOLSO 8]])</f>
        <v>188498250</v>
      </c>
      <c r="BE415" s="12" t="b">
        <f>EXACT(Tabla44[[#This Row],[VALOR ATENCIÓN (8 MESES)]],Tabla44[[#This Row],[VALOR TOTAL]])</f>
        <v>1</v>
      </c>
      <c r="BF415" s="23">
        <f>Tabla44[[#This Row],[VALOR ATENCIÓN (8 MESES)]]-Tabla44[[#This Row],[VALOR TOTAL]]</f>
        <v>0</v>
      </c>
      <c r="BG415" s="12" t="b">
        <f>EXACT(Tabla44[[#This Row],[TOTAL DESEMBOLSOS]],Tabla44[[#This Row],[VALOR TOTAL DEL CONTRATO INCLUIDO EL COMPONENTE DE ALIMENTACIÓN]])</f>
        <v>1</v>
      </c>
      <c r="BH415" s="29">
        <f>Tabla44[[#This Row],[TOTAL DESEMBOLSOS]]-Tabla44[[#This Row],[VALOR TOTAL DEL CONTRATO INCLUIDO EL COMPONENTE DE ALIMENTACIÓN]]</f>
        <v>0</v>
      </c>
      <c r="BJ415" t="s">
        <v>3595</v>
      </c>
    </row>
    <row r="416" spans="1:62">
      <c r="A416" s="13">
        <v>2019</v>
      </c>
      <c r="B416" s="13"/>
      <c r="C416" s="12" t="s">
        <v>87</v>
      </c>
      <c r="D416" s="12" t="s">
        <v>673</v>
      </c>
      <c r="E416" s="12" t="s">
        <v>3591</v>
      </c>
      <c r="F416" s="12" t="s">
        <v>18</v>
      </c>
      <c r="G416" s="12" t="s">
        <v>90</v>
      </c>
      <c r="H416" s="12" t="s">
        <v>3615</v>
      </c>
      <c r="I416" s="36">
        <v>588500100037</v>
      </c>
      <c r="J416" s="12" t="s">
        <v>3616</v>
      </c>
      <c r="K416" s="12">
        <v>1</v>
      </c>
      <c r="L416" s="12">
        <v>10</v>
      </c>
      <c r="M416" s="12"/>
      <c r="N416" s="13">
        <v>2019</v>
      </c>
      <c r="O416" s="12" t="s">
        <v>2850</v>
      </c>
      <c r="P416" s="12"/>
      <c r="Q416" s="12"/>
      <c r="R416" s="12" t="s">
        <v>94</v>
      </c>
      <c r="S416" s="12">
        <v>10</v>
      </c>
      <c r="T416" s="12">
        <v>900072094</v>
      </c>
      <c r="U416" s="12" t="s">
        <v>3594</v>
      </c>
      <c r="V416" s="12">
        <f>VLOOKUP(Tabla44[[#This Row],[ZONA DEFINITIVO]],[1]Hoja1!$A$1:$D$125,3,0)</f>
        <v>229945</v>
      </c>
      <c r="W416" s="12">
        <f>VLOOKUP(Tabla44[[#This Row],[ZONA DEFINITIVO]],[1]Hoja1!$A$1:$D$125,2,0)</f>
        <v>17271</v>
      </c>
      <c r="X416" s="12">
        <f>VLOOKUP(Tabla44[[#This Row],[ZONA DEFINITIVO]],[1]Hoja1!$A$1:$D$125,4,0)</f>
        <v>105125</v>
      </c>
      <c r="Y416" s="12" t="str">
        <f>+IF(Tabla44[[#This Row],[AGRUPACIONES]]=1,SUMIFS(Tabla44[UDS],Tabla44[ZONA DEFINITIVO],Tabla44[[#This Row],[ZONA DEFINITIVO]])," ")</f>
        <v xml:space="preserve"> </v>
      </c>
      <c r="Z416" s="12" t="str">
        <f>+IF(Tabla44[[#This Row],[AGRUPACIONES]]=1,SUMIFS(Tabla44[TOTAL COBERTURA],Tabla44[ZONA DEFINITIVO],Tabla44[[#This Row],[ZONA DEFINITIVO]])," ")</f>
        <v xml:space="preserve"> </v>
      </c>
      <c r="AA416" s="12"/>
      <c r="AB416" s="35">
        <v>21801930</v>
      </c>
      <c r="AC416" s="37">
        <v>0</v>
      </c>
      <c r="AD416" s="35">
        <f t="shared" si="7"/>
        <v>0</v>
      </c>
      <c r="AE416" s="12"/>
      <c r="AF416" s="12">
        <f>COUNTIF($A$20:A416,A416)</f>
        <v>13</v>
      </c>
      <c r="AG416" s="38">
        <v>21801930</v>
      </c>
      <c r="AH416" s="38">
        <f>Tabla44[[#This Row],[VALOR CONTRAPARTIDA]]+Tabla44[[#This Row],[TOTAL APORTES ICBF]]</f>
        <v>21801930</v>
      </c>
      <c r="AI416" s="35" t="str">
        <f>+IF(Tabla44[[#This Row],[AGRUPACIONES]]=1,SUMIFS(Tabla44[TOTAL APORTES ICBF],Tabla44[ZONA DEFINITIVO],Tabla44[[#This Row],[ZONA DEFINITIVO]])," ")</f>
        <v xml:space="preserve"> </v>
      </c>
      <c r="AJ416" s="38"/>
      <c r="AK416" s="38"/>
      <c r="AL416" s="35"/>
      <c r="AM416" s="35">
        <f>VLOOKUP(Tabla44[[#This Row],[SERVICIO 2025]],$J$2:$V$15,5,0)*Tabla44[[#This Row],[TOTAL COBERTURA]]</f>
        <v>493760</v>
      </c>
      <c r="AN416" s="35">
        <f>VLOOKUP(Tabla44[[#This Row],[SERVICIO 2025]],$J$2:$V$15,6,0)*Tabla44[[#This Row],[TOTAL COBERTURA]]</f>
        <v>410290</v>
      </c>
      <c r="AO416" s="35">
        <f>VLOOKUP(Tabla44[[#This Row],[SERVICIO 2025]],$J$2:$V$15,8,0)*Tabla44[[#This Row],[TOTAL COBERTURA]]</f>
        <v>291000</v>
      </c>
      <c r="AP416" s="35">
        <f>VLOOKUP(Tabla44[[#This Row],[SERVICIO 2025]],$J$2:$V$15,3,0)*Tabla44[[#This Row],[TOTAL COBERTURA]]*8</f>
        <v>20606880</v>
      </c>
      <c r="AQ416" s="35"/>
      <c r="AR416" s="35">
        <f>SUM(Tabla44[[#This Row],[VALOR FASE PREPARATORIA DE ALISTAMIENTO]:[VALOR RACION PREPARADA]])</f>
        <v>21801930</v>
      </c>
      <c r="AS416" s="35" t="str">
        <f>+IF(Tabla44[[#This Row],[AGRUPACIONES]]=1,SUMIFS(Tabla44[VALOR TOTAL],Tabla44[ZONA DEFINITIVO],Tabla44[[#This Row],[ZONA DEFINITIVO]])," ")</f>
        <v xml:space="preserve"> </v>
      </c>
      <c r="AT416" s="35">
        <f>VLOOKUP(Tabla44[[#This Row],[SERVICIO 2025]],$J$2:$V$15,10,0)*Tabla44[[#This Row],[TOTAL COBERTURA]]*$X$7</f>
        <v>14430640</v>
      </c>
      <c r="AU416" s="39">
        <f>Tabla44[[#This Row],[TOTAL CONTRATO (ICBF+EAS)]]+Tabla44[[#This Row],[VALOR COMPONENTE ALIMENTACION NO ASIGNADO]]</f>
        <v>36232570</v>
      </c>
      <c r="AV41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416" s="35">
        <f>(VLOOKUP(Tabla44[[#This Row],[SERVICIO 2025]],$J$2:$V$15,3,0)*Tabla44[[#This Row],[TOTAL COBERTURA]])+VLOOKUP(Tabla44[[#This Row],[SERVICIO 2025]],$J$2:$V$15,10,0)*Tabla44[[#This Row],[TOTAL COBERTURA]]</f>
        <v>4379690</v>
      </c>
      <c r="AX416" s="35">
        <f>(VLOOKUP(Tabla44[[#This Row],[SERVICIO 2025]],$J$2:$V$15,3,0)*Tabla44[[#This Row],[TOTAL COBERTURA]])+VLOOKUP(Tabla44[[#This Row],[SERVICIO 2025]],$J$2:$V$15,10,0)*Tabla44[[#This Row],[TOTAL COBERTURA]]</f>
        <v>4379690</v>
      </c>
      <c r="AY416" s="35">
        <f>(VLOOKUP(Tabla44[[#This Row],[SERVICIO 2025]],$J$2:$V$15,3,0)*Tabla44[[#This Row],[TOTAL COBERTURA]])+VLOOKUP(Tabla44[[#This Row],[SERVICIO 2025]],$J$2:$V$15,10,0)*Tabla44[[#This Row],[TOTAL COBERTURA]]</f>
        <v>4379690</v>
      </c>
      <c r="AZ416" s="35">
        <f>(VLOOKUP(Tabla44[[#This Row],[SERVICIO 2025]],$J$2:$V$15,3,0)*Tabla44[[#This Row],[TOTAL COBERTURA]])+VLOOKUP(Tabla44[[#This Row],[SERVICIO 2025]],$J$2:$V$15,10,0)*Tabla44[[#This Row],[TOTAL COBERTURA]]</f>
        <v>4379690</v>
      </c>
      <c r="BA416" s="35">
        <f>(VLOOKUP(Tabla44[[#This Row],[SERVICIO 2025]],$J$2:$V$15,3,0)*Tabla44[[#This Row],[TOTAL COBERTURA]])+VLOOKUP(Tabla44[[#This Row],[SERVICIO 2025]],$J$2:$V$15,10,0)*Tabla44[[#This Row],[TOTAL COBERTURA]]</f>
        <v>4379690</v>
      </c>
      <c r="BB416" s="35">
        <f>(VLOOKUP(Tabla44[[#This Row],[SERVICIO 2025]],$J$2:$V$15,3,0)*Tabla44[[#This Row],[TOTAL COBERTURA]])+VLOOKUP(Tabla44[[#This Row],[SERVICIO 2025]],$J$2:$V$15,10,0)*Tabla44[[#This Row],[TOTAL COBERTURA]]</f>
        <v>4379690</v>
      </c>
      <c r="BC41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416" s="35">
        <f>SUM(Tabla44[[#This Row],[DESEMBOLSO 1]:[DESEMBOLSO 8]])</f>
        <v>36232570</v>
      </c>
      <c r="BE416" s="12" t="b">
        <f>EXACT(Tabla44[[#This Row],[VALOR ATENCIÓN (8 MESES)]],Tabla44[[#This Row],[VALOR TOTAL]])</f>
        <v>1</v>
      </c>
      <c r="BF416" s="23">
        <f>Tabla44[[#This Row],[VALOR ATENCIÓN (8 MESES)]]-Tabla44[[#This Row],[VALOR TOTAL]]</f>
        <v>0</v>
      </c>
      <c r="BG416" s="12" t="b">
        <f>EXACT(Tabla44[[#This Row],[TOTAL DESEMBOLSOS]],Tabla44[[#This Row],[VALOR TOTAL DEL CONTRATO INCLUIDO EL COMPONENTE DE ALIMENTACIÓN]])</f>
        <v>1</v>
      </c>
      <c r="BH416" s="29">
        <f>Tabla44[[#This Row],[TOTAL DESEMBOLSOS]]-Tabla44[[#This Row],[VALOR TOTAL DEL CONTRATO INCLUIDO EL COMPONENTE DE ALIMENTACIÓN]]</f>
        <v>0</v>
      </c>
      <c r="BJ416" t="s">
        <v>3595</v>
      </c>
    </row>
    <row r="417" spans="1:62">
      <c r="A417" s="13">
        <v>2019</v>
      </c>
      <c r="B417" s="13"/>
      <c r="C417" s="12" t="s">
        <v>87</v>
      </c>
      <c r="D417" s="12" t="s">
        <v>673</v>
      </c>
      <c r="E417" s="12" t="s">
        <v>3617</v>
      </c>
      <c r="F417" s="12" t="s">
        <v>18</v>
      </c>
      <c r="G417" s="12" t="s">
        <v>90</v>
      </c>
      <c r="H417" s="12" t="s">
        <v>3618</v>
      </c>
      <c r="I417" s="36">
        <v>57361119002</v>
      </c>
      <c r="J417" s="12" t="s">
        <v>3619</v>
      </c>
      <c r="K417" s="12">
        <v>1</v>
      </c>
      <c r="L417" s="12">
        <v>52</v>
      </c>
      <c r="M417" s="12"/>
      <c r="N417" s="13">
        <v>2019</v>
      </c>
      <c r="O417" s="12" t="s">
        <v>2850</v>
      </c>
      <c r="P417" s="12"/>
      <c r="Q417" s="12"/>
      <c r="R417" s="12" t="s">
        <v>94</v>
      </c>
      <c r="S417" s="12">
        <v>10</v>
      </c>
      <c r="T417" s="12">
        <v>900072094</v>
      </c>
      <c r="U417" s="12" t="s">
        <v>3594</v>
      </c>
      <c r="V417" s="12">
        <f>VLOOKUP(Tabla44[[#This Row],[ZONA DEFINITIVO]],[1]Hoja1!$A$1:$D$125,3,0)</f>
        <v>229945</v>
      </c>
      <c r="W417" s="12">
        <f>VLOOKUP(Tabla44[[#This Row],[ZONA DEFINITIVO]],[1]Hoja1!$A$1:$D$125,2,0)</f>
        <v>17271</v>
      </c>
      <c r="X417" s="12">
        <f>VLOOKUP(Tabla44[[#This Row],[ZONA DEFINITIVO]],[1]Hoja1!$A$1:$D$125,4,0)</f>
        <v>105125</v>
      </c>
      <c r="Y417" s="12" t="str">
        <f>+IF(Tabla44[[#This Row],[AGRUPACIONES]]=1,SUMIFS(Tabla44[UDS],Tabla44[ZONA DEFINITIVO],Tabla44[[#This Row],[ZONA DEFINITIVO]])," ")</f>
        <v xml:space="preserve"> </v>
      </c>
      <c r="Z417" s="12" t="str">
        <f>+IF(Tabla44[[#This Row],[AGRUPACIONES]]=1,SUMIFS(Tabla44[TOTAL COBERTURA],Tabla44[ZONA DEFINITIVO],Tabla44[[#This Row],[ZONA DEFINITIVO]])," ")</f>
        <v xml:space="preserve"> </v>
      </c>
      <c r="AA417" s="12"/>
      <c r="AB417" s="35">
        <v>113370036</v>
      </c>
      <c r="AC417" s="37">
        <v>0</v>
      </c>
      <c r="AD417" s="35">
        <f t="shared" si="7"/>
        <v>0</v>
      </c>
      <c r="AE417" s="12"/>
      <c r="AF417" s="12">
        <f>COUNTIF($A$20:A417,A417)</f>
        <v>14</v>
      </c>
      <c r="AG417" s="38">
        <v>113370036</v>
      </c>
      <c r="AH417" s="38">
        <f>Tabla44[[#This Row],[VALOR CONTRAPARTIDA]]+Tabla44[[#This Row],[TOTAL APORTES ICBF]]</f>
        <v>113370036</v>
      </c>
      <c r="AI417" s="35" t="str">
        <f>+IF(Tabla44[[#This Row],[AGRUPACIONES]]=1,SUMIFS(Tabla44[TOTAL APORTES ICBF],Tabla44[ZONA DEFINITIVO],Tabla44[[#This Row],[ZONA DEFINITIVO]])," ")</f>
        <v xml:space="preserve"> </v>
      </c>
      <c r="AJ417" s="38"/>
      <c r="AK417" s="38"/>
      <c r="AL417" s="35"/>
      <c r="AM417" s="35">
        <f>VLOOKUP(Tabla44[[#This Row],[SERVICIO 2025]],$J$2:$V$15,5,0)*Tabla44[[#This Row],[TOTAL COBERTURA]]</f>
        <v>2567552</v>
      </c>
      <c r="AN417" s="35">
        <f>VLOOKUP(Tabla44[[#This Row],[SERVICIO 2025]],$J$2:$V$15,6,0)*Tabla44[[#This Row],[TOTAL COBERTURA]]</f>
        <v>2133508</v>
      </c>
      <c r="AO417" s="35">
        <f>VLOOKUP(Tabla44[[#This Row],[SERVICIO 2025]],$J$2:$V$15,8,0)*Tabla44[[#This Row],[TOTAL COBERTURA]]</f>
        <v>1513200</v>
      </c>
      <c r="AP417" s="35">
        <f>VLOOKUP(Tabla44[[#This Row],[SERVICIO 2025]],$J$2:$V$15,3,0)*Tabla44[[#This Row],[TOTAL COBERTURA]]*8</f>
        <v>107155776</v>
      </c>
      <c r="AQ417" s="35"/>
      <c r="AR417" s="35">
        <f>SUM(Tabla44[[#This Row],[VALOR FASE PREPARATORIA DE ALISTAMIENTO]:[VALOR RACION PREPARADA]])</f>
        <v>113370036</v>
      </c>
      <c r="AS417" s="35" t="str">
        <f>+IF(Tabla44[[#This Row],[AGRUPACIONES]]=1,SUMIFS(Tabla44[VALOR TOTAL],Tabla44[ZONA DEFINITIVO],Tabla44[[#This Row],[ZONA DEFINITIVO]])," ")</f>
        <v xml:space="preserve"> </v>
      </c>
      <c r="AT417" s="35">
        <f>VLOOKUP(Tabla44[[#This Row],[SERVICIO 2025]],$J$2:$V$15,10,0)*Tabla44[[#This Row],[TOTAL COBERTURA]]*$X$7</f>
        <v>75039328</v>
      </c>
      <c r="AU417" s="39">
        <f>Tabla44[[#This Row],[TOTAL CONTRATO (ICBF+EAS)]]+Tabla44[[#This Row],[VALOR COMPONENTE ALIMENTACION NO ASIGNADO]]</f>
        <v>188409364</v>
      </c>
      <c r="AV41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26855140</v>
      </c>
      <c r="AW417" s="35">
        <f>(VLOOKUP(Tabla44[[#This Row],[SERVICIO 2025]],$J$2:$V$15,3,0)*Tabla44[[#This Row],[TOTAL COBERTURA]])+VLOOKUP(Tabla44[[#This Row],[SERVICIO 2025]],$J$2:$V$15,10,0)*Tabla44[[#This Row],[TOTAL COBERTURA]]</f>
        <v>22774388</v>
      </c>
      <c r="AX417" s="35">
        <f>(VLOOKUP(Tabla44[[#This Row],[SERVICIO 2025]],$J$2:$V$15,3,0)*Tabla44[[#This Row],[TOTAL COBERTURA]])+VLOOKUP(Tabla44[[#This Row],[SERVICIO 2025]],$J$2:$V$15,10,0)*Tabla44[[#This Row],[TOTAL COBERTURA]]</f>
        <v>22774388</v>
      </c>
      <c r="AY417" s="35">
        <f>(VLOOKUP(Tabla44[[#This Row],[SERVICIO 2025]],$J$2:$V$15,3,0)*Tabla44[[#This Row],[TOTAL COBERTURA]])+VLOOKUP(Tabla44[[#This Row],[SERVICIO 2025]],$J$2:$V$15,10,0)*Tabla44[[#This Row],[TOTAL COBERTURA]]</f>
        <v>22774388</v>
      </c>
      <c r="AZ417" s="35">
        <f>(VLOOKUP(Tabla44[[#This Row],[SERVICIO 2025]],$J$2:$V$15,3,0)*Tabla44[[#This Row],[TOTAL COBERTURA]])+VLOOKUP(Tabla44[[#This Row],[SERVICIO 2025]],$J$2:$V$15,10,0)*Tabla44[[#This Row],[TOTAL COBERTURA]]</f>
        <v>22774388</v>
      </c>
      <c r="BA417" s="35">
        <f>(VLOOKUP(Tabla44[[#This Row],[SERVICIO 2025]],$J$2:$V$15,3,0)*Tabla44[[#This Row],[TOTAL COBERTURA]])+VLOOKUP(Tabla44[[#This Row],[SERVICIO 2025]],$J$2:$V$15,10,0)*Tabla44[[#This Row],[TOTAL COBERTURA]]</f>
        <v>22774388</v>
      </c>
      <c r="BB417" s="35">
        <f>(VLOOKUP(Tabla44[[#This Row],[SERVICIO 2025]],$J$2:$V$15,3,0)*Tabla44[[#This Row],[TOTAL COBERTURA]])+VLOOKUP(Tabla44[[#This Row],[SERVICIO 2025]],$J$2:$V$15,10,0)*Tabla44[[#This Row],[TOTAL COBERTURA]]</f>
        <v>22774388</v>
      </c>
      <c r="BC41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24907896</v>
      </c>
      <c r="BD417" s="35">
        <f>SUM(Tabla44[[#This Row],[DESEMBOLSO 1]:[DESEMBOLSO 8]])</f>
        <v>188409364</v>
      </c>
      <c r="BE417" s="12" t="b">
        <f>EXACT(Tabla44[[#This Row],[VALOR ATENCIÓN (8 MESES)]],Tabla44[[#This Row],[VALOR TOTAL]])</f>
        <v>1</v>
      </c>
      <c r="BF417" s="23">
        <f>Tabla44[[#This Row],[VALOR ATENCIÓN (8 MESES)]]-Tabla44[[#This Row],[VALOR TOTAL]]</f>
        <v>0</v>
      </c>
      <c r="BG417" s="12" t="b">
        <f>EXACT(Tabla44[[#This Row],[TOTAL DESEMBOLSOS]],Tabla44[[#This Row],[VALOR TOTAL DEL CONTRATO INCLUIDO EL COMPONENTE DE ALIMENTACIÓN]])</f>
        <v>1</v>
      </c>
      <c r="BH417" s="29">
        <f>Tabla44[[#This Row],[TOTAL DESEMBOLSOS]]-Tabla44[[#This Row],[VALOR TOTAL DEL CONTRATO INCLUIDO EL COMPONENTE DE ALIMENTACIÓN]]</f>
        <v>0</v>
      </c>
      <c r="BJ417" t="s">
        <v>3595</v>
      </c>
    </row>
    <row r="418" spans="1:62">
      <c r="A418" s="13">
        <v>2019</v>
      </c>
      <c r="B418" s="13"/>
      <c r="C418" s="12" t="s">
        <v>87</v>
      </c>
      <c r="D418" s="12" t="s">
        <v>673</v>
      </c>
      <c r="E418" s="12" t="s">
        <v>3617</v>
      </c>
      <c r="F418" s="12" t="s">
        <v>18</v>
      </c>
      <c r="G418" s="12" t="s">
        <v>90</v>
      </c>
      <c r="H418" s="12" t="s">
        <v>3620</v>
      </c>
      <c r="I418" s="36">
        <v>57361146751</v>
      </c>
      <c r="J418" s="12" t="s">
        <v>3621</v>
      </c>
      <c r="K418" s="12">
        <v>1</v>
      </c>
      <c r="L418" s="12">
        <v>16</v>
      </c>
      <c r="M418" s="12"/>
      <c r="N418" s="13">
        <v>2019</v>
      </c>
      <c r="O418" s="12" t="s">
        <v>2850</v>
      </c>
      <c r="P418" s="12"/>
      <c r="Q418" s="12"/>
      <c r="R418" s="12" t="s">
        <v>94</v>
      </c>
      <c r="S418" s="12">
        <v>10</v>
      </c>
      <c r="T418" s="12">
        <v>900072094</v>
      </c>
      <c r="U418" s="12" t="s">
        <v>3594</v>
      </c>
      <c r="V418" s="12">
        <f>VLOOKUP(Tabla44[[#This Row],[ZONA DEFINITIVO]],[1]Hoja1!$A$1:$D$125,3,0)</f>
        <v>229945</v>
      </c>
      <c r="W418" s="12">
        <f>VLOOKUP(Tabla44[[#This Row],[ZONA DEFINITIVO]],[1]Hoja1!$A$1:$D$125,2,0)</f>
        <v>17271</v>
      </c>
      <c r="X418" s="12">
        <f>VLOOKUP(Tabla44[[#This Row],[ZONA DEFINITIVO]],[1]Hoja1!$A$1:$D$125,4,0)</f>
        <v>105125</v>
      </c>
      <c r="Y418" s="12" t="str">
        <f>+IF(Tabla44[[#This Row],[AGRUPACIONES]]=1,SUMIFS(Tabla44[UDS],Tabla44[ZONA DEFINITIVO],Tabla44[[#This Row],[ZONA DEFINITIVO]])," ")</f>
        <v xml:space="preserve"> </v>
      </c>
      <c r="Z418" s="12" t="str">
        <f>+IF(Tabla44[[#This Row],[AGRUPACIONES]]=1,SUMIFS(Tabla44[TOTAL COBERTURA],Tabla44[ZONA DEFINITIVO],Tabla44[[#This Row],[ZONA DEFINITIVO]])," ")</f>
        <v xml:space="preserve"> </v>
      </c>
      <c r="AA418" s="12"/>
      <c r="AB418" s="35">
        <v>34883088</v>
      </c>
      <c r="AC418" s="37">
        <v>0</v>
      </c>
      <c r="AD418" s="35">
        <f t="shared" si="7"/>
        <v>0</v>
      </c>
      <c r="AE418" s="12"/>
      <c r="AF418" s="12">
        <f>COUNTIF($A$20:A418,A418)</f>
        <v>15</v>
      </c>
      <c r="AG418" s="38">
        <v>34883088</v>
      </c>
      <c r="AH418" s="38">
        <f>Tabla44[[#This Row],[VALOR CONTRAPARTIDA]]+Tabla44[[#This Row],[TOTAL APORTES ICBF]]</f>
        <v>34883088</v>
      </c>
      <c r="AI418" s="35" t="str">
        <f>+IF(Tabla44[[#This Row],[AGRUPACIONES]]=1,SUMIFS(Tabla44[TOTAL APORTES ICBF],Tabla44[ZONA DEFINITIVO],Tabla44[[#This Row],[ZONA DEFINITIVO]])," ")</f>
        <v xml:space="preserve"> </v>
      </c>
      <c r="AJ418" s="38"/>
      <c r="AK418" s="38"/>
      <c r="AL418" s="35"/>
      <c r="AM418" s="35">
        <f>VLOOKUP(Tabla44[[#This Row],[SERVICIO 2025]],$J$2:$V$15,5,0)*Tabla44[[#This Row],[TOTAL COBERTURA]]</f>
        <v>790016</v>
      </c>
      <c r="AN418" s="35">
        <f>VLOOKUP(Tabla44[[#This Row],[SERVICIO 2025]],$J$2:$V$15,6,0)*Tabla44[[#This Row],[TOTAL COBERTURA]]</f>
        <v>656464</v>
      </c>
      <c r="AO418" s="35">
        <f>VLOOKUP(Tabla44[[#This Row],[SERVICIO 2025]],$J$2:$V$15,8,0)*Tabla44[[#This Row],[TOTAL COBERTURA]]</f>
        <v>465600</v>
      </c>
      <c r="AP418" s="35">
        <f>VLOOKUP(Tabla44[[#This Row],[SERVICIO 2025]],$J$2:$V$15,3,0)*Tabla44[[#This Row],[TOTAL COBERTURA]]*8</f>
        <v>32971008</v>
      </c>
      <c r="AQ418" s="35"/>
      <c r="AR418" s="35">
        <f>SUM(Tabla44[[#This Row],[VALOR FASE PREPARATORIA DE ALISTAMIENTO]:[VALOR RACION PREPARADA]])</f>
        <v>34883088</v>
      </c>
      <c r="AS418" s="35" t="str">
        <f>+IF(Tabla44[[#This Row],[AGRUPACIONES]]=1,SUMIFS(Tabla44[VALOR TOTAL],Tabla44[ZONA DEFINITIVO],Tabla44[[#This Row],[ZONA DEFINITIVO]])," ")</f>
        <v xml:space="preserve"> </v>
      </c>
      <c r="AT418" s="35">
        <f>VLOOKUP(Tabla44[[#This Row],[SERVICIO 2025]],$J$2:$V$15,10,0)*Tabla44[[#This Row],[TOTAL COBERTURA]]*$X$7</f>
        <v>23089024</v>
      </c>
      <c r="AU418" s="39">
        <f>Tabla44[[#This Row],[TOTAL CONTRATO (ICBF+EAS)]]+Tabla44[[#This Row],[VALOR COMPONENTE ALIMENTACION NO ASIGNADO]]</f>
        <v>57972112</v>
      </c>
      <c r="AV41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418" s="35">
        <f>(VLOOKUP(Tabla44[[#This Row],[SERVICIO 2025]],$J$2:$V$15,3,0)*Tabla44[[#This Row],[TOTAL COBERTURA]])+VLOOKUP(Tabla44[[#This Row],[SERVICIO 2025]],$J$2:$V$15,10,0)*Tabla44[[#This Row],[TOTAL COBERTURA]]</f>
        <v>7007504</v>
      </c>
      <c r="AX418" s="35">
        <f>(VLOOKUP(Tabla44[[#This Row],[SERVICIO 2025]],$J$2:$V$15,3,0)*Tabla44[[#This Row],[TOTAL COBERTURA]])+VLOOKUP(Tabla44[[#This Row],[SERVICIO 2025]],$J$2:$V$15,10,0)*Tabla44[[#This Row],[TOTAL COBERTURA]]</f>
        <v>7007504</v>
      </c>
      <c r="AY418" s="35">
        <f>(VLOOKUP(Tabla44[[#This Row],[SERVICIO 2025]],$J$2:$V$15,3,0)*Tabla44[[#This Row],[TOTAL COBERTURA]])+VLOOKUP(Tabla44[[#This Row],[SERVICIO 2025]],$J$2:$V$15,10,0)*Tabla44[[#This Row],[TOTAL COBERTURA]]</f>
        <v>7007504</v>
      </c>
      <c r="AZ418" s="35">
        <f>(VLOOKUP(Tabla44[[#This Row],[SERVICIO 2025]],$J$2:$V$15,3,0)*Tabla44[[#This Row],[TOTAL COBERTURA]])+VLOOKUP(Tabla44[[#This Row],[SERVICIO 2025]],$J$2:$V$15,10,0)*Tabla44[[#This Row],[TOTAL COBERTURA]]</f>
        <v>7007504</v>
      </c>
      <c r="BA418" s="35">
        <f>(VLOOKUP(Tabla44[[#This Row],[SERVICIO 2025]],$J$2:$V$15,3,0)*Tabla44[[#This Row],[TOTAL COBERTURA]])+VLOOKUP(Tabla44[[#This Row],[SERVICIO 2025]],$J$2:$V$15,10,0)*Tabla44[[#This Row],[TOTAL COBERTURA]]</f>
        <v>7007504</v>
      </c>
      <c r="BB418" s="35">
        <f>(VLOOKUP(Tabla44[[#This Row],[SERVICIO 2025]],$J$2:$V$15,3,0)*Tabla44[[#This Row],[TOTAL COBERTURA]])+VLOOKUP(Tabla44[[#This Row],[SERVICIO 2025]],$J$2:$V$15,10,0)*Tabla44[[#This Row],[TOTAL COBERTURA]]</f>
        <v>7007504</v>
      </c>
      <c r="BC41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418" s="35">
        <f>SUM(Tabla44[[#This Row],[DESEMBOLSO 1]:[DESEMBOLSO 8]])</f>
        <v>57972112</v>
      </c>
      <c r="BE418" s="12" t="b">
        <f>EXACT(Tabla44[[#This Row],[VALOR ATENCIÓN (8 MESES)]],Tabla44[[#This Row],[VALOR TOTAL]])</f>
        <v>1</v>
      </c>
      <c r="BF418" s="23">
        <f>Tabla44[[#This Row],[VALOR ATENCIÓN (8 MESES)]]-Tabla44[[#This Row],[VALOR TOTAL]]</f>
        <v>0</v>
      </c>
      <c r="BG418" s="12" t="b">
        <f>EXACT(Tabla44[[#This Row],[TOTAL DESEMBOLSOS]],Tabla44[[#This Row],[VALOR TOTAL DEL CONTRATO INCLUIDO EL COMPONENTE DE ALIMENTACIÓN]])</f>
        <v>1</v>
      </c>
      <c r="BH418" s="29">
        <f>Tabla44[[#This Row],[TOTAL DESEMBOLSOS]]-Tabla44[[#This Row],[VALOR TOTAL DEL CONTRATO INCLUIDO EL COMPONENTE DE ALIMENTACIÓN]]</f>
        <v>0</v>
      </c>
      <c r="BJ418" t="s">
        <v>3595</v>
      </c>
    </row>
    <row r="419" spans="1:62">
      <c r="A419" s="13">
        <v>2019</v>
      </c>
      <c r="B419" s="13"/>
      <c r="C419" s="12" t="s">
        <v>87</v>
      </c>
      <c r="D419" s="12" t="s">
        <v>673</v>
      </c>
      <c r="E419" s="12" t="s">
        <v>3617</v>
      </c>
      <c r="F419" s="12" t="s">
        <v>18</v>
      </c>
      <c r="G419" s="12" t="s">
        <v>90</v>
      </c>
      <c r="H419" s="12" t="s">
        <v>3622</v>
      </c>
      <c r="I419" s="36">
        <v>57361148843</v>
      </c>
      <c r="J419" s="12" t="s">
        <v>3623</v>
      </c>
      <c r="K419" s="12">
        <v>1</v>
      </c>
      <c r="L419" s="12">
        <v>17</v>
      </c>
      <c r="M419" s="12"/>
      <c r="N419" s="13">
        <v>2019</v>
      </c>
      <c r="O419" s="12" t="s">
        <v>2850</v>
      </c>
      <c r="P419" s="12"/>
      <c r="Q419" s="12"/>
      <c r="R419" s="12" t="s">
        <v>94</v>
      </c>
      <c r="S419" s="12">
        <v>10</v>
      </c>
      <c r="T419" s="12">
        <v>900072094</v>
      </c>
      <c r="U419" s="12" t="s">
        <v>3594</v>
      </c>
      <c r="V419" s="12">
        <f>VLOOKUP(Tabla44[[#This Row],[ZONA DEFINITIVO]],[1]Hoja1!$A$1:$D$125,3,0)</f>
        <v>229945</v>
      </c>
      <c r="W419" s="12">
        <f>VLOOKUP(Tabla44[[#This Row],[ZONA DEFINITIVO]],[1]Hoja1!$A$1:$D$125,2,0)</f>
        <v>17271</v>
      </c>
      <c r="X419" s="12">
        <f>VLOOKUP(Tabla44[[#This Row],[ZONA DEFINITIVO]],[1]Hoja1!$A$1:$D$125,4,0)</f>
        <v>105125</v>
      </c>
      <c r="Y419" s="12" t="str">
        <f>+IF(Tabla44[[#This Row],[AGRUPACIONES]]=1,SUMIFS(Tabla44[UDS],Tabla44[ZONA DEFINITIVO],Tabla44[[#This Row],[ZONA DEFINITIVO]])," ")</f>
        <v xml:space="preserve"> </v>
      </c>
      <c r="Z419" s="12" t="str">
        <f>+IF(Tabla44[[#This Row],[AGRUPACIONES]]=1,SUMIFS(Tabla44[TOTAL COBERTURA],Tabla44[ZONA DEFINITIVO],Tabla44[[#This Row],[ZONA DEFINITIVO]])," ")</f>
        <v xml:space="preserve"> </v>
      </c>
      <c r="AA419" s="12"/>
      <c r="AB419" s="35">
        <v>37063281</v>
      </c>
      <c r="AC419" s="37">
        <v>0</v>
      </c>
      <c r="AD419" s="35">
        <f t="shared" si="7"/>
        <v>0</v>
      </c>
      <c r="AE419" s="12"/>
      <c r="AF419" s="12">
        <f>COUNTIF($A$20:A419,A419)</f>
        <v>16</v>
      </c>
      <c r="AG419" s="38">
        <v>37063281</v>
      </c>
      <c r="AH419" s="38">
        <f>Tabla44[[#This Row],[VALOR CONTRAPARTIDA]]+Tabla44[[#This Row],[TOTAL APORTES ICBF]]</f>
        <v>37063281</v>
      </c>
      <c r="AI419" s="35" t="str">
        <f>+IF(Tabla44[[#This Row],[AGRUPACIONES]]=1,SUMIFS(Tabla44[TOTAL APORTES ICBF],Tabla44[ZONA DEFINITIVO],Tabla44[[#This Row],[ZONA DEFINITIVO]])," ")</f>
        <v xml:space="preserve"> </v>
      </c>
      <c r="AJ419" s="38"/>
      <c r="AK419" s="38"/>
      <c r="AL419" s="35"/>
      <c r="AM419" s="35">
        <f>VLOOKUP(Tabla44[[#This Row],[SERVICIO 2025]],$J$2:$V$15,5,0)*Tabla44[[#This Row],[TOTAL COBERTURA]]</f>
        <v>839392</v>
      </c>
      <c r="AN419" s="35">
        <f>VLOOKUP(Tabla44[[#This Row],[SERVICIO 2025]],$J$2:$V$15,6,0)*Tabla44[[#This Row],[TOTAL COBERTURA]]</f>
        <v>697493</v>
      </c>
      <c r="AO419" s="35">
        <f>VLOOKUP(Tabla44[[#This Row],[SERVICIO 2025]],$J$2:$V$15,8,0)*Tabla44[[#This Row],[TOTAL COBERTURA]]</f>
        <v>494700</v>
      </c>
      <c r="AP419" s="35">
        <f>VLOOKUP(Tabla44[[#This Row],[SERVICIO 2025]],$J$2:$V$15,3,0)*Tabla44[[#This Row],[TOTAL COBERTURA]]*8</f>
        <v>35031696</v>
      </c>
      <c r="AQ419" s="35"/>
      <c r="AR419" s="35">
        <f>SUM(Tabla44[[#This Row],[VALOR FASE PREPARATORIA DE ALISTAMIENTO]:[VALOR RACION PREPARADA]])</f>
        <v>37063281</v>
      </c>
      <c r="AS419" s="35" t="str">
        <f>+IF(Tabla44[[#This Row],[AGRUPACIONES]]=1,SUMIFS(Tabla44[VALOR TOTAL],Tabla44[ZONA DEFINITIVO],Tabla44[[#This Row],[ZONA DEFINITIVO]])," ")</f>
        <v xml:space="preserve"> </v>
      </c>
      <c r="AT419" s="35">
        <f>VLOOKUP(Tabla44[[#This Row],[SERVICIO 2025]],$J$2:$V$15,10,0)*Tabla44[[#This Row],[TOTAL COBERTURA]]*$X$7</f>
        <v>24532088</v>
      </c>
      <c r="AU419" s="39">
        <f>Tabla44[[#This Row],[TOTAL CONTRATO (ICBF+EAS)]]+Tabla44[[#This Row],[VALOR COMPONENTE ALIMENTACION NO ASIGNADO]]</f>
        <v>61595369</v>
      </c>
      <c r="AV41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419" s="35">
        <f>(VLOOKUP(Tabla44[[#This Row],[SERVICIO 2025]],$J$2:$V$15,3,0)*Tabla44[[#This Row],[TOTAL COBERTURA]])+VLOOKUP(Tabla44[[#This Row],[SERVICIO 2025]],$J$2:$V$15,10,0)*Tabla44[[#This Row],[TOTAL COBERTURA]]</f>
        <v>7445473</v>
      </c>
      <c r="AX419" s="35">
        <f>(VLOOKUP(Tabla44[[#This Row],[SERVICIO 2025]],$J$2:$V$15,3,0)*Tabla44[[#This Row],[TOTAL COBERTURA]])+VLOOKUP(Tabla44[[#This Row],[SERVICIO 2025]],$J$2:$V$15,10,0)*Tabla44[[#This Row],[TOTAL COBERTURA]]</f>
        <v>7445473</v>
      </c>
      <c r="AY419" s="35">
        <f>(VLOOKUP(Tabla44[[#This Row],[SERVICIO 2025]],$J$2:$V$15,3,0)*Tabla44[[#This Row],[TOTAL COBERTURA]])+VLOOKUP(Tabla44[[#This Row],[SERVICIO 2025]],$J$2:$V$15,10,0)*Tabla44[[#This Row],[TOTAL COBERTURA]]</f>
        <v>7445473</v>
      </c>
      <c r="AZ419" s="35">
        <f>(VLOOKUP(Tabla44[[#This Row],[SERVICIO 2025]],$J$2:$V$15,3,0)*Tabla44[[#This Row],[TOTAL COBERTURA]])+VLOOKUP(Tabla44[[#This Row],[SERVICIO 2025]],$J$2:$V$15,10,0)*Tabla44[[#This Row],[TOTAL COBERTURA]]</f>
        <v>7445473</v>
      </c>
      <c r="BA419" s="35">
        <f>(VLOOKUP(Tabla44[[#This Row],[SERVICIO 2025]],$J$2:$V$15,3,0)*Tabla44[[#This Row],[TOTAL COBERTURA]])+VLOOKUP(Tabla44[[#This Row],[SERVICIO 2025]],$J$2:$V$15,10,0)*Tabla44[[#This Row],[TOTAL COBERTURA]]</f>
        <v>7445473</v>
      </c>
      <c r="BB419" s="35">
        <f>(VLOOKUP(Tabla44[[#This Row],[SERVICIO 2025]],$J$2:$V$15,3,0)*Tabla44[[#This Row],[TOTAL COBERTURA]])+VLOOKUP(Tabla44[[#This Row],[SERVICIO 2025]],$J$2:$V$15,10,0)*Tabla44[[#This Row],[TOTAL COBERTURA]]</f>
        <v>7445473</v>
      </c>
      <c r="BC41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419" s="35">
        <f>SUM(Tabla44[[#This Row],[DESEMBOLSO 1]:[DESEMBOLSO 8]])</f>
        <v>61595369</v>
      </c>
      <c r="BE419" s="12" t="b">
        <f>EXACT(Tabla44[[#This Row],[VALOR ATENCIÓN (8 MESES)]],Tabla44[[#This Row],[VALOR TOTAL]])</f>
        <v>1</v>
      </c>
      <c r="BF419" s="23">
        <f>Tabla44[[#This Row],[VALOR ATENCIÓN (8 MESES)]]-Tabla44[[#This Row],[VALOR TOTAL]]</f>
        <v>0</v>
      </c>
      <c r="BG419" s="12" t="b">
        <f>EXACT(Tabla44[[#This Row],[TOTAL DESEMBOLSOS]],Tabla44[[#This Row],[VALOR TOTAL DEL CONTRATO INCLUIDO EL COMPONENTE DE ALIMENTACIÓN]])</f>
        <v>1</v>
      </c>
      <c r="BH419" s="29">
        <f>Tabla44[[#This Row],[TOTAL DESEMBOLSOS]]-Tabla44[[#This Row],[VALOR TOTAL DEL CONTRATO INCLUIDO EL COMPONENTE DE ALIMENTACIÓN]]</f>
        <v>0</v>
      </c>
      <c r="BJ419" t="s">
        <v>3595</v>
      </c>
    </row>
    <row r="420" spans="1:62">
      <c r="A420" s="13">
        <v>2019</v>
      </c>
      <c r="B420" s="13"/>
      <c r="C420" s="12" t="s">
        <v>87</v>
      </c>
      <c r="D420" s="12" t="s">
        <v>673</v>
      </c>
      <c r="E420" s="12" t="s">
        <v>3617</v>
      </c>
      <c r="F420" s="12" t="s">
        <v>18</v>
      </c>
      <c r="G420" s="12" t="s">
        <v>90</v>
      </c>
      <c r="H420" s="12" t="s">
        <v>3624</v>
      </c>
      <c r="I420" s="36">
        <v>57361150576</v>
      </c>
      <c r="J420" s="12" t="s">
        <v>1238</v>
      </c>
      <c r="K420" s="12">
        <v>1</v>
      </c>
      <c r="L420" s="12">
        <v>16</v>
      </c>
      <c r="M420" s="12"/>
      <c r="N420" s="13">
        <v>2019</v>
      </c>
      <c r="O420" s="12" t="s">
        <v>2850</v>
      </c>
      <c r="P420" s="12"/>
      <c r="Q420" s="12"/>
      <c r="R420" s="12" t="s">
        <v>94</v>
      </c>
      <c r="S420" s="12">
        <v>10</v>
      </c>
      <c r="T420" s="12">
        <v>900072094</v>
      </c>
      <c r="U420" s="12" t="s">
        <v>3594</v>
      </c>
      <c r="V420" s="12">
        <f>VLOOKUP(Tabla44[[#This Row],[ZONA DEFINITIVO]],[1]Hoja1!$A$1:$D$125,3,0)</f>
        <v>229945</v>
      </c>
      <c r="W420" s="12">
        <f>VLOOKUP(Tabla44[[#This Row],[ZONA DEFINITIVO]],[1]Hoja1!$A$1:$D$125,2,0)</f>
        <v>17271</v>
      </c>
      <c r="X420" s="12">
        <f>VLOOKUP(Tabla44[[#This Row],[ZONA DEFINITIVO]],[1]Hoja1!$A$1:$D$125,4,0)</f>
        <v>105125</v>
      </c>
      <c r="Y420" s="12" t="str">
        <f>+IF(Tabla44[[#This Row],[AGRUPACIONES]]=1,SUMIFS(Tabla44[UDS],Tabla44[ZONA DEFINITIVO],Tabla44[[#This Row],[ZONA DEFINITIVO]])," ")</f>
        <v xml:space="preserve"> </v>
      </c>
      <c r="Z420" s="12" t="str">
        <f>+IF(Tabla44[[#This Row],[AGRUPACIONES]]=1,SUMIFS(Tabla44[TOTAL COBERTURA],Tabla44[ZONA DEFINITIVO],Tabla44[[#This Row],[ZONA DEFINITIVO]])," ")</f>
        <v xml:space="preserve"> </v>
      </c>
      <c r="AA420" s="12"/>
      <c r="AB420" s="35">
        <v>34883088</v>
      </c>
      <c r="AC420" s="37">
        <v>0</v>
      </c>
      <c r="AD420" s="35">
        <f t="shared" si="7"/>
        <v>0</v>
      </c>
      <c r="AE420" s="12"/>
      <c r="AF420" s="12">
        <f>COUNTIF($A$20:A420,A420)</f>
        <v>17</v>
      </c>
      <c r="AG420" s="38">
        <v>34883088</v>
      </c>
      <c r="AH420" s="38">
        <f>Tabla44[[#This Row],[VALOR CONTRAPARTIDA]]+Tabla44[[#This Row],[TOTAL APORTES ICBF]]</f>
        <v>34883088</v>
      </c>
      <c r="AI420" s="35" t="str">
        <f>+IF(Tabla44[[#This Row],[AGRUPACIONES]]=1,SUMIFS(Tabla44[TOTAL APORTES ICBF],Tabla44[ZONA DEFINITIVO],Tabla44[[#This Row],[ZONA DEFINITIVO]])," ")</f>
        <v xml:space="preserve"> </v>
      </c>
      <c r="AJ420" s="38"/>
      <c r="AK420" s="38"/>
      <c r="AL420" s="35"/>
      <c r="AM420" s="35">
        <f>VLOOKUP(Tabla44[[#This Row],[SERVICIO 2025]],$J$2:$V$15,5,0)*Tabla44[[#This Row],[TOTAL COBERTURA]]</f>
        <v>790016</v>
      </c>
      <c r="AN420" s="35">
        <f>VLOOKUP(Tabla44[[#This Row],[SERVICIO 2025]],$J$2:$V$15,6,0)*Tabla44[[#This Row],[TOTAL COBERTURA]]</f>
        <v>656464</v>
      </c>
      <c r="AO420" s="35">
        <f>VLOOKUP(Tabla44[[#This Row],[SERVICIO 2025]],$J$2:$V$15,8,0)*Tabla44[[#This Row],[TOTAL COBERTURA]]</f>
        <v>465600</v>
      </c>
      <c r="AP420" s="35">
        <f>VLOOKUP(Tabla44[[#This Row],[SERVICIO 2025]],$J$2:$V$15,3,0)*Tabla44[[#This Row],[TOTAL COBERTURA]]*8</f>
        <v>32971008</v>
      </c>
      <c r="AQ420" s="35"/>
      <c r="AR420" s="35">
        <f>SUM(Tabla44[[#This Row],[VALOR FASE PREPARATORIA DE ALISTAMIENTO]:[VALOR RACION PREPARADA]])</f>
        <v>34883088</v>
      </c>
      <c r="AS420" s="35" t="str">
        <f>+IF(Tabla44[[#This Row],[AGRUPACIONES]]=1,SUMIFS(Tabla44[VALOR TOTAL],Tabla44[ZONA DEFINITIVO],Tabla44[[#This Row],[ZONA DEFINITIVO]])," ")</f>
        <v xml:space="preserve"> </v>
      </c>
      <c r="AT420" s="35">
        <f>VLOOKUP(Tabla44[[#This Row],[SERVICIO 2025]],$J$2:$V$15,10,0)*Tabla44[[#This Row],[TOTAL COBERTURA]]*$X$7</f>
        <v>23089024</v>
      </c>
      <c r="AU420" s="39">
        <f>Tabla44[[#This Row],[TOTAL CONTRATO (ICBF+EAS)]]+Tabla44[[#This Row],[VALOR COMPONENTE ALIMENTACION NO ASIGNADO]]</f>
        <v>57972112</v>
      </c>
      <c r="AV42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420" s="35">
        <f>(VLOOKUP(Tabla44[[#This Row],[SERVICIO 2025]],$J$2:$V$15,3,0)*Tabla44[[#This Row],[TOTAL COBERTURA]])+VLOOKUP(Tabla44[[#This Row],[SERVICIO 2025]],$J$2:$V$15,10,0)*Tabla44[[#This Row],[TOTAL COBERTURA]]</f>
        <v>7007504</v>
      </c>
      <c r="AX420" s="35">
        <f>(VLOOKUP(Tabla44[[#This Row],[SERVICIO 2025]],$J$2:$V$15,3,0)*Tabla44[[#This Row],[TOTAL COBERTURA]])+VLOOKUP(Tabla44[[#This Row],[SERVICIO 2025]],$J$2:$V$15,10,0)*Tabla44[[#This Row],[TOTAL COBERTURA]]</f>
        <v>7007504</v>
      </c>
      <c r="AY420" s="35">
        <f>(VLOOKUP(Tabla44[[#This Row],[SERVICIO 2025]],$J$2:$V$15,3,0)*Tabla44[[#This Row],[TOTAL COBERTURA]])+VLOOKUP(Tabla44[[#This Row],[SERVICIO 2025]],$J$2:$V$15,10,0)*Tabla44[[#This Row],[TOTAL COBERTURA]]</f>
        <v>7007504</v>
      </c>
      <c r="AZ420" s="35">
        <f>(VLOOKUP(Tabla44[[#This Row],[SERVICIO 2025]],$J$2:$V$15,3,0)*Tabla44[[#This Row],[TOTAL COBERTURA]])+VLOOKUP(Tabla44[[#This Row],[SERVICIO 2025]],$J$2:$V$15,10,0)*Tabla44[[#This Row],[TOTAL COBERTURA]]</f>
        <v>7007504</v>
      </c>
      <c r="BA420" s="35">
        <f>(VLOOKUP(Tabla44[[#This Row],[SERVICIO 2025]],$J$2:$V$15,3,0)*Tabla44[[#This Row],[TOTAL COBERTURA]])+VLOOKUP(Tabla44[[#This Row],[SERVICIO 2025]],$J$2:$V$15,10,0)*Tabla44[[#This Row],[TOTAL COBERTURA]]</f>
        <v>7007504</v>
      </c>
      <c r="BB420" s="35">
        <f>(VLOOKUP(Tabla44[[#This Row],[SERVICIO 2025]],$J$2:$V$15,3,0)*Tabla44[[#This Row],[TOTAL COBERTURA]])+VLOOKUP(Tabla44[[#This Row],[SERVICIO 2025]],$J$2:$V$15,10,0)*Tabla44[[#This Row],[TOTAL COBERTURA]]</f>
        <v>7007504</v>
      </c>
      <c r="BC42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420" s="35">
        <f>SUM(Tabla44[[#This Row],[DESEMBOLSO 1]:[DESEMBOLSO 8]])</f>
        <v>57972112</v>
      </c>
      <c r="BE420" s="12" t="b">
        <f>EXACT(Tabla44[[#This Row],[VALOR ATENCIÓN (8 MESES)]],Tabla44[[#This Row],[VALOR TOTAL]])</f>
        <v>1</v>
      </c>
      <c r="BF420" s="23">
        <f>Tabla44[[#This Row],[VALOR ATENCIÓN (8 MESES)]]-Tabla44[[#This Row],[VALOR TOTAL]]</f>
        <v>0</v>
      </c>
      <c r="BG420" s="12" t="b">
        <f>EXACT(Tabla44[[#This Row],[TOTAL DESEMBOLSOS]],Tabla44[[#This Row],[VALOR TOTAL DEL CONTRATO INCLUIDO EL COMPONENTE DE ALIMENTACIÓN]])</f>
        <v>1</v>
      </c>
      <c r="BH420" s="29">
        <f>Tabla44[[#This Row],[TOTAL DESEMBOLSOS]]-Tabla44[[#This Row],[VALOR TOTAL DEL CONTRATO INCLUIDO EL COMPONENTE DE ALIMENTACIÓN]]</f>
        <v>0</v>
      </c>
      <c r="BJ420" t="s">
        <v>3595</v>
      </c>
    </row>
    <row r="421" spans="1:62">
      <c r="A421" s="13">
        <v>2019</v>
      </c>
      <c r="B421" s="13"/>
      <c r="C421" s="12" t="s">
        <v>87</v>
      </c>
      <c r="D421" s="12" t="s">
        <v>673</v>
      </c>
      <c r="E421" s="12" t="s">
        <v>3617</v>
      </c>
      <c r="F421" s="12" t="s">
        <v>18</v>
      </c>
      <c r="G421" s="12" t="s">
        <v>90</v>
      </c>
      <c r="H421" s="12" t="s">
        <v>3625</v>
      </c>
      <c r="I421" s="36">
        <v>57361150577</v>
      </c>
      <c r="J421" s="12" t="s">
        <v>3626</v>
      </c>
      <c r="K421" s="12">
        <v>1</v>
      </c>
      <c r="L421" s="12">
        <v>16</v>
      </c>
      <c r="M421" s="12"/>
      <c r="N421" s="13">
        <v>2019</v>
      </c>
      <c r="O421" s="12" t="s">
        <v>2850</v>
      </c>
      <c r="P421" s="12"/>
      <c r="Q421" s="12"/>
      <c r="R421" s="12" t="s">
        <v>94</v>
      </c>
      <c r="S421" s="12">
        <v>10</v>
      </c>
      <c r="T421" s="12">
        <v>900072094</v>
      </c>
      <c r="U421" s="12" t="s">
        <v>3594</v>
      </c>
      <c r="V421" s="12">
        <f>VLOOKUP(Tabla44[[#This Row],[ZONA DEFINITIVO]],[1]Hoja1!$A$1:$D$125,3,0)</f>
        <v>229945</v>
      </c>
      <c r="W421" s="12">
        <f>VLOOKUP(Tabla44[[#This Row],[ZONA DEFINITIVO]],[1]Hoja1!$A$1:$D$125,2,0)</f>
        <v>17271</v>
      </c>
      <c r="X421" s="12">
        <f>VLOOKUP(Tabla44[[#This Row],[ZONA DEFINITIVO]],[1]Hoja1!$A$1:$D$125,4,0)</f>
        <v>105125</v>
      </c>
      <c r="Y421" s="12" t="str">
        <f>+IF(Tabla44[[#This Row],[AGRUPACIONES]]=1,SUMIFS(Tabla44[UDS],Tabla44[ZONA DEFINITIVO],Tabla44[[#This Row],[ZONA DEFINITIVO]])," ")</f>
        <v xml:space="preserve"> </v>
      </c>
      <c r="Z421" s="12" t="str">
        <f>+IF(Tabla44[[#This Row],[AGRUPACIONES]]=1,SUMIFS(Tabla44[TOTAL COBERTURA],Tabla44[ZONA DEFINITIVO],Tabla44[[#This Row],[ZONA DEFINITIVO]])," ")</f>
        <v xml:space="preserve"> </v>
      </c>
      <c r="AA421" s="12"/>
      <c r="AB421" s="35">
        <v>34883088</v>
      </c>
      <c r="AC421" s="37">
        <v>0</v>
      </c>
      <c r="AD421" s="35">
        <f t="shared" si="7"/>
        <v>0</v>
      </c>
      <c r="AE421" s="12"/>
      <c r="AF421" s="12">
        <f>COUNTIF($A$20:A421,A421)</f>
        <v>18</v>
      </c>
      <c r="AG421" s="38">
        <v>34883088</v>
      </c>
      <c r="AH421" s="38">
        <f>Tabla44[[#This Row],[VALOR CONTRAPARTIDA]]+Tabla44[[#This Row],[TOTAL APORTES ICBF]]</f>
        <v>34883088</v>
      </c>
      <c r="AI421" s="35" t="str">
        <f>+IF(Tabla44[[#This Row],[AGRUPACIONES]]=1,SUMIFS(Tabla44[TOTAL APORTES ICBF],Tabla44[ZONA DEFINITIVO],Tabla44[[#This Row],[ZONA DEFINITIVO]])," ")</f>
        <v xml:space="preserve"> </v>
      </c>
      <c r="AJ421" s="38"/>
      <c r="AK421" s="38"/>
      <c r="AL421" s="35"/>
      <c r="AM421" s="35">
        <f>VLOOKUP(Tabla44[[#This Row],[SERVICIO 2025]],$J$2:$V$15,5,0)*Tabla44[[#This Row],[TOTAL COBERTURA]]</f>
        <v>790016</v>
      </c>
      <c r="AN421" s="35">
        <f>VLOOKUP(Tabla44[[#This Row],[SERVICIO 2025]],$J$2:$V$15,6,0)*Tabla44[[#This Row],[TOTAL COBERTURA]]</f>
        <v>656464</v>
      </c>
      <c r="AO421" s="35">
        <f>VLOOKUP(Tabla44[[#This Row],[SERVICIO 2025]],$J$2:$V$15,8,0)*Tabla44[[#This Row],[TOTAL COBERTURA]]</f>
        <v>465600</v>
      </c>
      <c r="AP421" s="35">
        <f>VLOOKUP(Tabla44[[#This Row],[SERVICIO 2025]],$J$2:$V$15,3,0)*Tabla44[[#This Row],[TOTAL COBERTURA]]*8</f>
        <v>32971008</v>
      </c>
      <c r="AQ421" s="35"/>
      <c r="AR421" s="35">
        <f>SUM(Tabla44[[#This Row],[VALOR FASE PREPARATORIA DE ALISTAMIENTO]:[VALOR RACION PREPARADA]])</f>
        <v>34883088</v>
      </c>
      <c r="AS421" s="35" t="str">
        <f>+IF(Tabla44[[#This Row],[AGRUPACIONES]]=1,SUMIFS(Tabla44[VALOR TOTAL],Tabla44[ZONA DEFINITIVO],Tabla44[[#This Row],[ZONA DEFINITIVO]])," ")</f>
        <v xml:space="preserve"> </v>
      </c>
      <c r="AT421" s="35">
        <f>VLOOKUP(Tabla44[[#This Row],[SERVICIO 2025]],$J$2:$V$15,10,0)*Tabla44[[#This Row],[TOTAL COBERTURA]]*$X$7</f>
        <v>23089024</v>
      </c>
      <c r="AU421" s="39">
        <f>Tabla44[[#This Row],[TOTAL CONTRATO (ICBF+EAS)]]+Tabla44[[#This Row],[VALOR COMPONENTE ALIMENTACION NO ASIGNADO]]</f>
        <v>57972112</v>
      </c>
      <c r="AV42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421" s="35">
        <f>(VLOOKUP(Tabla44[[#This Row],[SERVICIO 2025]],$J$2:$V$15,3,0)*Tabla44[[#This Row],[TOTAL COBERTURA]])+VLOOKUP(Tabla44[[#This Row],[SERVICIO 2025]],$J$2:$V$15,10,0)*Tabla44[[#This Row],[TOTAL COBERTURA]]</f>
        <v>7007504</v>
      </c>
      <c r="AX421" s="35">
        <f>(VLOOKUP(Tabla44[[#This Row],[SERVICIO 2025]],$J$2:$V$15,3,0)*Tabla44[[#This Row],[TOTAL COBERTURA]])+VLOOKUP(Tabla44[[#This Row],[SERVICIO 2025]],$J$2:$V$15,10,0)*Tabla44[[#This Row],[TOTAL COBERTURA]]</f>
        <v>7007504</v>
      </c>
      <c r="AY421" s="35">
        <f>(VLOOKUP(Tabla44[[#This Row],[SERVICIO 2025]],$J$2:$V$15,3,0)*Tabla44[[#This Row],[TOTAL COBERTURA]])+VLOOKUP(Tabla44[[#This Row],[SERVICIO 2025]],$J$2:$V$15,10,0)*Tabla44[[#This Row],[TOTAL COBERTURA]]</f>
        <v>7007504</v>
      </c>
      <c r="AZ421" s="35">
        <f>(VLOOKUP(Tabla44[[#This Row],[SERVICIO 2025]],$J$2:$V$15,3,0)*Tabla44[[#This Row],[TOTAL COBERTURA]])+VLOOKUP(Tabla44[[#This Row],[SERVICIO 2025]],$J$2:$V$15,10,0)*Tabla44[[#This Row],[TOTAL COBERTURA]]</f>
        <v>7007504</v>
      </c>
      <c r="BA421" s="35">
        <f>(VLOOKUP(Tabla44[[#This Row],[SERVICIO 2025]],$J$2:$V$15,3,0)*Tabla44[[#This Row],[TOTAL COBERTURA]])+VLOOKUP(Tabla44[[#This Row],[SERVICIO 2025]],$J$2:$V$15,10,0)*Tabla44[[#This Row],[TOTAL COBERTURA]]</f>
        <v>7007504</v>
      </c>
      <c r="BB421" s="35">
        <f>(VLOOKUP(Tabla44[[#This Row],[SERVICIO 2025]],$J$2:$V$15,3,0)*Tabla44[[#This Row],[TOTAL COBERTURA]])+VLOOKUP(Tabla44[[#This Row],[SERVICIO 2025]],$J$2:$V$15,10,0)*Tabla44[[#This Row],[TOTAL COBERTURA]]</f>
        <v>7007504</v>
      </c>
      <c r="BC42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421" s="35">
        <f>SUM(Tabla44[[#This Row],[DESEMBOLSO 1]:[DESEMBOLSO 8]])</f>
        <v>57972112</v>
      </c>
      <c r="BE421" s="12" t="b">
        <f>EXACT(Tabla44[[#This Row],[VALOR ATENCIÓN (8 MESES)]],Tabla44[[#This Row],[VALOR TOTAL]])</f>
        <v>1</v>
      </c>
      <c r="BF421" s="23">
        <f>Tabla44[[#This Row],[VALOR ATENCIÓN (8 MESES)]]-Tabla44[[#This Row],[VALOR TOTAL]]</f>
        <v>0</v>
      </c>
      <c r="BG421" s="12" t="b">
        <f>EXACT(Tabla44[[#This Row],[TOTAL DESEMBOLSOS]],Tabla44[[#This Row],[VALOR TOTAL DEL CONTRATO INCLUIDO EL COMPONENTE DE ALIMENTACIÓN]])</f>
        <v>1</v>
      </c>
      <c r="BH421" s="29">
        <f>Tabla44[[#This Row],[TOTAL DESEMBOLSOS]]-Tabla44[[#This Row],[VALOR TOTAL DEL CONTRATO INCLUIDO EL COMPONENTE DE ALIMENTACIÓN]]</f>
        <v>0</v>
      </c>
      <c r="BJ421" t="s">
        <v>3595</v>
      </c>
    </row>
    <row r="422" spans="1:62">
      <c r="A422" s="13">
        <v>2019</v>
      </c>
      <c r="B422" s="13"/>
      <c r="C422" s="12" t="s">
        <v>87</v>
      </c>
      <c r="D422" s="12" t="s">
        <v>673</v>
      </c>
      <c r="E422" s="12" t="s">
        <v>3617</v>
      </c>
      <c r="F422" s="12" t="s">
        <v>18</v>
      </c>
      <c r="G422" s="12" t="s">
        <v>90</v>
      </c>
      <c r="H422" s="12" t="s">
        <v>3625</v>
      </c>
      <c r="I422" s="36">
        <v>57361150578</v>
      </c>
      <c r="J422" s="12" t="s">
        <v>3627</v>
      </c>
      <c r="K422" s="12">
        <v>1</v>
      </c>
      <c r="L422" s="12">
        <v>16</v>
      </c>
      <c r="M422" s="12"/>
      <c r="N422" s="13">
        <v>2019</v>
      </c>
      <c r="O422" s="12" t="s">
        <v>2850</v>
      </c>
      <c r="P422" s="12"/>
      <c r="Q422" s="12"/>
      <c r="R422" s="12" t="s">
        <v>94</v>
      </c>
      <c r="S422" s="12">
        <v>10</v>
      </c>
      <c r="T422" s="12">
        <v>900072094</v>
      </c>
      <c r="U422" s="12" t="s">
        <v>3594</v>
      </c>
      <c r="V422" s="12">
        <f>VLOOKUP(Tabla44[[#This Row],[ZONA DEFINITIVO]],[1]Hoja1!$A$1:$D$125,3,0)</f>
        <v>229945</v>
      </c>
      <c r="W422" s="12">
        <f>VLOOKUP(Tabla44[[#This Row],[ZONA DEFINITIVO]],[1]Hoja1!$A$1:$D$125,2,0)</f>
        <v>17271</v>
      </c>
      <c r="X422" s="12">
        <f>VLOOKUP(Tabla44[[#This Row],[ZONA DEFINITIVO]],[1]Hoja1!$A$1:$D$125,4,0)</f>
        <v>105125</v>
      </c>
      <c r="Y422" s="12" t="str">
        <f>+IF(Tabla44[[#This Row],[AGRUPACIONES]]=1,SUMIFS(Tabla44[UDS],Tabla44[ZONA DEFINITIVO],Tabla44[[#This Row],[ZONA DEFINITIVO]])," ")</f>
        <v xml:space="preserve"> </v>
      </c>
      <c r="Z422" s="12" t="str">
        <f>+IF(Tabla44[[#This Row],[AGRUPACIONES]]=1,SUMIFS(Tabla44[TOTAL COBERTURA],Tabla44[ZONA DEFINITIVO],Tabla44[[#This Row],[ZONA DEFINITIVO]])," ")</f>
        <v xml:space="preserve"> </v>
      </c>
      <c r="AA422" s="12"/>
      <c r="AB422" s="35">
        <v>34883088</v>
      </c>
      <c r="AC422" s="37">
        <v>0</v>
      </c>
      <c r="AD422" s="35">
        <f t="shared" si="7"/>
        <v>0</v>
      </c>
      <c r="AE422" s="12"/>
      <c r="AF422" s="12">
        <f>COUNTIF($A$20:A422,A422)</f>
        <v>19</v>
      </c>
      <c r="AG422" s="38">
        <v>34883088</v>
      </c>
      <c r="AH422" s="38">
        <f>Tabla44[[#This Row],[VALOR CONTRAPARTIDA]]+Tabla44[[#This Row],[TOTAL APORTES ICBF]]</f>
        <v>34883088</v>
      </c>
      <c r="AI422" s="35" t="str">
        <f>+IF(Tabla44[[#This Row],[AGRUPACIONES]]=1,SUMIFS(Tabla44[TOTAL APORTES ICBF],Tabla44[ZONA DEFINITIVO],Tabla44[[#This Row],[ZONA DEFINITIVO]])," ")</f>
        <v xml:space="preserve"> </v>
      </c>
      <c r="AJ422" s="38"/>
      <c r="AK422" s="38"/>
      <c r="AL422" s="35"/>
      <c r="AM422" s="35">
        <f>VLOOKUP(Tabla44[[#This Row],[SERVICIO 2025]],$J$2:$V$15,5,0)*Tabla44[[#This Row],[TOTAL COBERTURA]]</f>
        <v>790016</v>
      </c>
      <c r="AN422" s="35">
        <f>VLOOKUP(Tabla44[[#This Row],[SERVICIO 2025]],$J$2:$V$15,6,0)*Tabla44[[#This Row],[TOTAL COBERTURA]]</f>
        <v>656464</v>
      </c>
      <c r="AO422" s="35">
        <f>VLOOKUP(Tabla44[[#This Row],[SERVICIO 2025]],$J$2:$V$15,8,0)*Tabla44[[#This Row],[TOTAL COBERTURA]]</f>
        <v>465600</v>
      </c>
      <c r="AP422" s="35">
        <f>VLOOKUP(Tabla44[[#This Row],[SERVICIO 2025]],$J$2:$V$15,3,0)*Tabla44[[#This Row],[TOTAL COBERTURA]]*8</f>
        <v>32971008</v>
      </c>
      <c r="AQ422" s="35"/>
      <c r="AR422" s="35">
        <f>SUM(Tabla44[[#This Row],[VALOR FASE PREPARATORIA DE ALISTAMIENTO]:[VALOR RACION PREPARADA]])</f>
        <v>34883088</v>
      </c>
      <c r="AS422" s="35" t="str">
        <f>+IF(Tabla44[[#This Row],[AGRUPACIONES]]=1,SUMIFS(Tabla44[VALOR TOTAL],Tabla44[ZONA DEFINITIVO],Tabla44[[#This Row],[ZONA DEFINITIVO]])," ")</f>
        <v xml:space="preserve"> </v>
      </c>
      <c r="AT422" s="35">
        <f>VLOOKUP(Tabla44[[#This Row],[SERVICIO 2025]],$J$2:$V$15,10,0)*Tabla44[[#This Row],[TOTAL COBERTURA]]*$X$7</f>
        <v>23089024</v>
      </c>
      <c r="AU422" s="39">
        <f>Tabla44[[#This Row],[TOTAL CONTRATO (ICBF+EAS)]]+Tabla44[[#This Row],[VALOR COMPONENTE ALIMENTACION NO ASIGNADO]]</f>
        <v>57972112</v>
      </c>
      <c r="AV42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422" s="35">
        <f>(VLOOKUP(Tabla44[[#This Row],[SERVICIO 2025]],$J$2:$V$15,3,0)*Tabla44[[#This Row],[TOTAL COBERTURA]])+VLOOKUP(Tabla44[[#This Row],[SERVICIO 2025]],$J$2:$V$15,10,0)*Tabla44[[#This Row],[TOTAL COBERTURA]]</f>
        <v>7007504</v>
      </c>
      <c r="AX422" s="35">
        <f>(VLOOKUP(Tabla44[[#This Row],[SERVICIO 2025]],$J$2:$V$15,3,0)*Tabla44[[#This Row],[TOTAL COBERTURA]])+VLOOKUP(Tabla44[[#This Row],[SERVICIO 2025]],$J$2:$V$15,10,0)*Tabla44[[#This Row],[TOTAL COBERTURA]]</f>
        <v>7007504</v>
      </c>
      <c r="AY422" s="35">
        <f>(VLOOKUP(Tabla44[[#This Row],[SERVICIO 2025]],$J$2:$V$15,3,0)*Tabla44[[#This Row],[TOTAL COBERTURA]])+VLOOKUP(Tabla44[[#This Row],[SERVICIO 2025]],$J$2:$V$15,10,0)*Tabla44[[#This Row],[TOTAL COBERTURA]]</f>
        <v>7007504</v>
      </c>
      <c r="AZ422" s="35">
        <f>(VLOOKUP(Tabla44[[#This Row],[SERVICIO 2025]],$J$2:$V$15,3,0)*Tabla44[[#This Row],[TOTAL COBERTURA]])+VLOOKUP(Tabla44[[#This Row],[SERVICIO 2025]],$J$2:$V$15,10,0)*Tabla44[[#This Row],[TOTAL COBERTURA]]</f>
        <v>7007504</v>
      </c>
      <c r="BA422" s="35">
        <f>(VLOOKUP(Tabla44[[#This Row],[SERVICIO 2025]],$J$2:$V$15,3,0)*Tabla44[[#This Row],[TOTAL COBERTURA]])+VLOOKUP(Tabla44[[#This Row],[SERVICIO 2025]],$J$2:$V$15,10,0)*Tabla44[[#This Row],[TOTAL COBERTURA]]</f>
        <v>7007504</v>
      </c>
      <c r="BB422" s="35">
        <f>(VLOOKUP(Tabla44[[#This Row],[SERVICIO 2025]],$J$2:$V$15,3,0)*Tabla44[[#This Row],[TOTAL COBERTURA]])+VLOOKUP(Tabla44[[#This Row],[SERVICIO 2025]],$J$2:$V$15,10,0)*Tabla44[[#This Row],[TOTAL COBERTURA]]</f>
        <v>7007504</v>
      </c>
      <c r="BC42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422" s="35">
        <f>SUM(Tabla44[[#This Row],[DESEMBOLSO 1]:[DESEMBOLSO 8]])</f>
        <v>57972112</v>
      </c>
      <c r="BE422" s="12" t="b">
        <f>EXACT(Tabla44[[#This Row],[VALOR ATENCIÓN (8 MESES)]],Tabla44[[#This Row],[VALOR TOTAL]])</f>
        <v>1</v>
      </c>
      <c r="BF422" s="23">
        <f>Tabla44[[#This Row],[VALOR ATENCIÓN (8 MESES)]]-Tabla44[[#This Row],[VALOR TOTAL]]</f>
        <v>0</v>
      </c>
      <c r="BG422" s="12" t="b">
        <f>EXACT(Tabla44[[#This Row],[TOTAL DESEMBOLSOS]],Tabla44[[#This Row],[VALOR TOTAL DEL CONTRATO INCLUIDO EL COMPONENTE DE ALIMENTACIÓN]])</f>
        <v>1</v>
      </c>
      <c r="BH422" s="29">
        <f>Tabla44[[#This Row],[TOTAL DESEMBOLSOS]]-Tabla44[[#This Row],[VALOR TOTAL DEL CONTRATO INCLUIDO EL COMPONENTE DE ALIMENTACIÓN]]</f>
        <v>0</v>
      </c>
      <c r="BJ422" t="s">
        <v>3595</v>
      </c>
    </row>
    <row r="423" spans="1:62">
      <c r="A423" s="13">
        <v>2019</v>
      </c>
      <c r="B423" s="21"/>
      <c r="C423" s="22" t="s">
        <v>87</v>
      </c>
      <c r="D423" s="22" t="s">
        <v>673</v>
      </c>
      <c r="E423" s="22" t="s">
        <v>3617</v>
      </c>
      <c r="F423" s="22" t="s">
        <v>18</v>
      </c>
      <c r="G423" s="12" t="s">
        <v>90</v>
      </c>
      <c r="H423" s="22" t="s">
        <v>413</v>
      </c>
      <c r="I423" s="36">
        <v>57361150579</v>
      </c>
      <c r="J423" s="22" t="s">
        <v>3628</v>
      </c>
      <c r="K423" s="12">
        <v>1</v>
      </c>
      <c r="L423" s="22">
        <v>16</v>
      </c>
      <c r="M423" s="22"/>
      <c r="N423" s="13">
        <v>2019</v>
      </c>
      <c r="O423" s="22" t="s">
        <v>2850</v>
      </c>
      <c r="P423" s="22"/>
      <c r="Q423" s="22"/>
      <c r="R423" s="12" t="s">
        <v>94</v>
      </c>
      <c r="S423" s="12">
        <v>10</v>
      </c>
      <c r="T423" s="12">
        <v>900072094</v>
      </c>
      <c r="U423" s="12" t="s">
        <v>3594</v>
      </c>
      <c r="V423" s="22">
        <f>VLOOKUP(Tabla44[[#This Row],[ZONA DEFINITIVO]],[1]Hoja1!$A$1:$D$125,3,0)</f>
        <v>229945</v>
      </c>
      <c r="W423" s="22">
        <f>VLOOKUP(Tabla44[[#This Row],[ZONA DEFINITIVO]],[1]Hoja1!$A$1:$D$125,2,0)</f>
        <v>17271</v>
      </c>
      <c r="X423" s="22">
        <f>VLOOKUP(Tabla44[[#This Row],[ZONA DEFINITIVO]],[1]Hoja1!$A$1:$D$125,4,0)</f>
        <v>105125</v>
      </c>
      <c r="Y423" s="22" t="str">
        <f>+IF(Tabla44[[#This Row],[AGRUPACIONES]]=1,SUMIFS(Tabla44[UDS],Tabla44[ZONA DEFINITIVO],Tabla44[[#This Row],[ZONA DEFINITIVO]])," ")</f>
        <v xml:space="preserve"> </v>
      </c>
      <c r="Z423" s="22" t="str">
        <f>+IF(Tabla44[[#This Row],[AGRUPACIONES]]=1,SUMIFS(Tabla44[TOTAL COBERTURA],Tabla44[ZONA DEFINITIVO],Tabla44[[#This Row],[ZONA DEFINITIVO]])," ")</f>
        <v xml:space="preserve"> </v>
      </c>
      <c r="AA423" s="22"/>
      <c r="AB423" s="40">
        <v>34883088</v>
      </c>
      <c r="AC423" s="37">
        <v>0</v>
      </c>
      <c r="AD423" s="40">
        <f t="shared" si="7"/>
        <v>0</v>
      </c>
      <c r="AE423" s="22"/>
      <c r="AF423" s="12">
        <f>COUNTIF($A$20:A423,A423)</f>
        <v>20</v>
      </c>
      <c r="AG423" s="41">
        <v>34883088</v>
      </c>
      <c r="AH423" s="41">
        <f>Tabla44[[#This Row],[VALOR CONTRAPARTIDA]]+Tabla44[[#This Row],[TOTAL APORTES ICBF]]</f>
        <v>34883088</v>
      </c>
      <c r="AI423" s="40" t="str">
        <f>+IF(Tabla44[[#This Row],[AGRUPACIONES]]=1,SUMIFS(Tabla44[TOTAL APORTES ICBF],Tabla44[ZONA DEFINITIVO],Tabla44[[#This Row],[ZONA DEFINITIVO]])," ")</f>
        <v xml:space="preserve"> </v>
      </c>
      <c r="AJ423" s="41"/>
      <c r="AK423" s="41"/>
      <c r="AL423" s="40"/>
      <c r="AM423" s="40">
        <f>VLOOKUP(Tabla44[[#This Row],[SERVICIO 2025]],$J$2:$V$15,5,0)*Tabla44[[#This Row],[TOTAL COBERTURA]]</f>
        <v>790016</v>
      </c>
      <c r="AN423" s="40">
        <f>VLOOKUP(Tabla44[[#This Row],[SERVICIO 2025]],$J$2:$V$15,6,0)*Tabla44[[#This Row],[TOTAL COBERTURA]]</f>
        <v>656464</v>
      </c>
      <c r="AO423" s="40">
        <f>VLOOKUP(Tabla44[[#This Row],[SERVICIO 2025]],$J$2:$V$15,8,0)*Tabla44[[#This Row],[TOTAL COBERTURA]]</f>
        <v>465600</v>
      </c>
      <c r="AP423" s="40">
        <f>VLOOKUP(Tabla44[[#This Row],[SERVICIO 2025]],$J$2:$V$15,3,0)*Tabla44[[#This Row],[TOTAL COBERTURA]]*8</f>
        <v>32971008</v>
      </c>
      <c r="AQ423" s="40"/>
      <c r="AR423" s="40">
        <f>SUM(Tabla44[[#This Row],[VALOR FASE PREPARATORIA DE ALISTAMIENTO]:[VALOR RACION PREPARADA]])</f>
        <v>34883088</v>
      </c>
      <c r="AS423" s="40" t="str">
        <f>+IF(Tabla44[[#This Row],[AGRUPACIONES]]=1,SUMIFS(Tabla44[VALOR TOTAL],Tabla44[ZONA DEFINITIVO],Tabla44[[#This Row],[ZONA DEFINITIVO]])," ")</f>
        <v xml:space="preserve"> </v>
      </c>
      <c r="AT423" s="35">
        <f>VLOOKUP(Tabla44[[#This Row],[SERVICIO 2025]],$J$2:$V$15,10,0)*Tabla44[[#This Row],[TOTAL COBERTURA]]*$X$7</f>
        <v>23089024</v>
      </c>
      <c r="AU423" s="42">
        <f>Tabla44[[#This Row],[TOTAL CONTRATO (ICBF+EAS)]]+Tabla44[[#This Row],[VALOR COMPONENTE ALIMENTACION NO ASIGNADO]]</f>
        <v>57972112</v>
      </c>
      <c r="AV42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423" s="35">
        <f>(VLOOKUP(Tabla44[[#This Row],[SERVICIO 2025]],$J$2:$V$15,3,0)*Tabla44[[#This Row],[TOTAL COBERTURA]])+VLOOKUP(Tabla44[[#This Row],[SERVICIO 2025]],$J$2:$V$15,10,0)*Tabla44[[#This Row],[TOTAL COBERTURA]]</f>
        <v>7007504</v>
      </c>
      <c r="AX423" s="40">
        <f>(VLOOKUP(Tabla44[[#This Row],[SERVICIO 2025]],$J$2:$V$15,3,0)*Tabla44[[#This Row],[TOTAL COBERTURA]])+VLOOKUP(Tabla44[[#This Row],[SERVICIO 2025]],$J$2:$V$15,10,0)*Tabla44[[#This Row],[TOTAL COBERTURA]]</f>
        <v>7007504</v>
      </c>
      <c r="AY423" s="40">
        <f>(VLOOKUP(Tabla44[[#This Row],[SERVICIO 2025]],$J$2:$V$15,3,0)*Tabla44[[#This Row],[TOTAL COBERTURA]])+VLOOKUP(Tabla44[[#This Row],[SERVICIO 2025]],$J$2:$V$15,10,0)*Tabla44[[#This Row],[TOTAL COBERTURA]]</f>
        <v>7007504</v>
      </c>
      <c r="AZ423" s="40">
        <f>(VLOOKUP(Tabla44[[#This Row],[SERVICIO 2025]],$J$2:$V$15,3,0)*Tabla44[[#This Row],[TOTAL COBERTURA]])+VLOOKUP(Tabla44[[#This Row],[SERVICIO 2025]],$J$2:$V$15,10,0)*Tabla44[[#This Row],[TOTAL COBERTURA]]</f>
        <v>7007504</v>
      </c>
      <c r="BA423" s="40">
        <f>(VLOOKUP(Tabla44[[#This Row],[SERVICIO 2025]],$J$2:$V$15,3,0)*Tabla44[[#This Row],[TOTAL COBERTURA]])+VLOOKUP(Tabla44[[#This Row],[SERVICIO 2025]],$J$2:$V$15,10,0)*Tabla44[[#This Row],[TOTAL COBERTURA]]</f>
        <v>7007504</v>
      </c>
      <c r="BB423" s="40">
        <f>(VLOOKUP(Tabla44[[#This Row],[SERVICIO 2025]],$J$2:$V$15,3,0)*Tabla44[[#This Row],[TOTAL COBERTURA]])+VLOOKUP(Tabla44[[#This Row],[SERVICIO 2025]],$J$2:$V$15,10,0)*Tabla44[[#This Row],[TOTAL COBERTURA]]</f>
        <v>7007504</v>
      </c>
      <c r="BC423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423" s="40">
        <f>SUM(Tabla44[[#This Row],[DESEMBOLSO 1]:[DESEMBOLSO 8]])</f>
        <v>57972112</v>
      </c>
      <c r="BE423" s="22" t="b">
        <f>EXACT(Tabla44[[#This Row],[VALOR ATENCIÓN (8 MESES)]],Tabla44[[#This Row],[VALOR TOTAL]])</f>
        <v>1</v>
      </c>
      <c r="BF423" s="28">
        <f>Tabla44[[#This Row],[VALOR ATENCIÓN (8 MESES)]]-Tabla44[[#This Row],[VALOR TOTAL]]</f>
        <v>0</v>
      </c>
      <c r="BG423" s="22" t="b">
        <f>EXACT(Tabla44[[#This Row],[TOTAL DESEMBOLSOS]],Tabla44[[#This Row],[VALOR TOTAL DEL CONTRATO INCLUIDO EL COMPONENTE DE ALIMENTACIÓN]])</f>
        <v>1</v>
      </c>
      <c r="BH423" s="29">
        <f>Tabla44[[#This Row],[TOTAL DESEMBOLSOS]]-Tabla44[[#This Row],[VALOR TOTAL DEL CONTRATO INCLUIDO EL COMPONENTE DE ALIMENTACIÓN]]</f>
        <v>0</v>
      </c>
      <c r="BJ423" t="s">
        <v>3595</v>
      </c>
    </row>
    <row r="424" spans="1:62">
      <c r="A424" s="13">
        <v>2019</v>
      </c>
      <c r="B424" s="13"/>
      <c r="C424" s="12" t="s">
        <v>87</v>
      </c>
      <c r="D424" s="12" t="s">
        <v>673</v>
      </c>
      <c r="E424" s="12" t="s">
        <v>3617</v>
      </c>
      <c r="F424" s="12" t="s">
        <v>18</v>
      </c>
      <c r="G424" s="12" t="s">
        <v>90</v>
      </c>
      <c r="H424" s="12" t="s">
        <v>3629</v>
      </c>
      <c r="I424" s="36">
        <v>57361150580</v>
      </c>
      <c r="J424" s="12" t="s">
        <v>3630</v>
      </c>
      <c r="K424" s="12">
        <v>1</v>
      </c>
      <c r="L424" s="12">
        <v>16</v>
      </c>
      <c r="M424" s="12"/>
      <c r="N424" s="13">
        <v>2019</v>
      </c>
      <c r="O424" s="12" t="s">
        <v>2850</v>
      </c>
      <c r="P424" s="12"/>
      <c r="Q424" s="12"/>
      <c r="R424" s="12" t="s">
        <v>94</v>
      </c>
      <c r="S424" s="12">
        <v>10</v>
      </c>
      <c r="T424" s="12">
        <v>900072094</v>
      </c>
      <c r="U424" s="12" t="s">
        <v>3594</v>
      </c>
      <c r="V424" s="12">
        <f>VLOOKUP(Tabla44[[#This Row],[ZONA DEFINITIVO]],[1]Hoja1!$A$1:$D$125,3,0)</f>
        <v>229945</v>
      </c>
      <c r="W424" s="12">
        <f>VLOOKUP(Tabla44[[#This Row],[ZONA DEFINITIVO]],[1]Hoja1!$A$1:$D$125,2,0)</f>
        <v>17271</v>
      </c>
      <c r="X424" s="12">
        <f>VLOOKUP(Tabla44[[#This Row],[ZONA DEFINITIVO]],[1]Hoja1!$A$1:$D$125,4,0)</f>
        <v>105125</v>
      </c>
      <c r="Y424" s="12" t="str">
        <f>+IF(Tabla44[[#This Row],[AGRUPACIONES]]=1,SUMIFS(Tabla44[UDS],Tabla44[ZONA DEFINITIVO],Tabla44[[#This Row],[ZONA DEFINITIVO]])," ")</f>
        <v xml:space="preserve"> </v>
      </c>
      <c r="Z424" s="12" t="str">
        <f>+IF(Tabla44[[#This Row],[AGRUPACIONES]]=1,SUMIFS(Tabla44[TOTAL COBERTURA],Tabla44[ZONA DEFINITIVO],Tabla44[[#This Row],[ZONA DEFINITIVO]])," ")</f>
        <v xml:space="preserve"> </v>
      </c>
      <c r="AA424" s="12"/>
      <c r="AB424" s="35">
        <v>34883088</v>
      </c>
      <c r="AC424" s="37">
        <v>0</v>
      </c>
      <c r="AD424" s="35">
        <f t="shared" si="7"/>
        <v>0</v>
      </c>
      <c r="AE424" s="12"/>
      <c r="AF424" s="12">
        <f>COUNTIF($A$20:A424,A424)</f>
        <v>21</v>
      </c>
      <c r="AG424" s="38">
        <v>34883088</v>
      </c>
      <c r="AH424" s="38">
        <f>Tabla44[[#This Row],[VALOR CONTRAPARTIDA]]+Tabla44[[#This Row],[TOTAL APORTES ICBF]]</f>
        <v>34883088</v>
      </c>
      <c r="AI424" s="35" t="str">
        <f>+IF(Tabla44[[#This Row],[AGRUPACIONES]]=1,SUMIFS(Tabla44[TOTAL APORTES ICBF],Tabla44[ZONA DEFINITIVO],Tabla44[[#This Row],[ZONA DEFINITIVO]])," ")</f>
        <v xml:space="preserve"> </v>
      </c>
      <c r="AJ424" s="38"/>
      <c r="AK424" s="38"/>
      <c r="AL424" s="35"/>
      <c r="AM424" s="35">
        <f>VLOOKUP(Tabla44[[#This Row],[SERVICIO 2025]],$J$2:$V$15,5,0)*Tabla44[[#This Row],[TOTAL COBERTURA]]</f>
        <v>790016</v>
      </c>
      <c r="AN424" s="35">
        <f>VLOOKUP(Tabla44[[#This Row],[SERVICIO 2025]],$J$2:$V$15,6,0)*Tabla44[[#This Row],[TOTAL COBERTURA]]</f>
        <v>656464</v>
      </c>
      <c r="AO424" s="35">
        <f>VLOOKUP(Tabla44[[#This Row],[SERVICIO 2025]],$J$2:$V$15,8,0)*Tabla44[[#This Row],[TOTAL COBERTURA]]</f>
        <v>465600</v>
      </c>
      <c r="AP424" s="35">
        <f>VLOOKUP(Tabla44[[#This Row],[SERVICIO 2025]],$J$2:$V$15,3,0)*Tabla44[[#This Row],[TOTAL COBERTURA]]*8</f>
        <v>32971008</v>
      </c>
      <c r="AQ424" s="35"/>
      <c r="AR424" s="35">
        <f>SUM(Tabla44[[#This Row],[VALOR FASE PREPARATORIA DE ALISTAMIENTO]:[VALOR RACION PREPARADA]])</f>
        <v>34883088</v>
      </c>
      <c r="AS424" s="35" t="str">
        <f>+IF(Tabla44[[#This Row],[AGRUPACIONES]]=1,SUMIFS(Tabla44[VALOR TOTAL],Tabla44[ZONA DEFINITIVO],Tabla44[[#This Row],[ZONA DEFINITIVO]])," ")</f>
        <v xml:space="preserve"> </v>
      </c>
      <c r="AT424" s="35">
        <f>VLOOKUP(Tabla44[[#This Row],[SERVICIO 2025]],$J$2:$V$15,10,0)*Tabla44[[#This Row],[TOTAL COBERTURA]]*$X$7</f>
        <v>23089024</v>
      </c>
      <c r="AU424" s="39">
        <f>Tabla44[[#This Row],[TOTAL CONTRATO (ICBF+EAS)]]+Tabla44[[#This Row],[VALOR COMPONENTE ALIMENTACION NO ASIGNADO]]</f>
        <v>57972112</v>
      </c>
      <c r="AV42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424" s="35">
        <f>(VLOOKUP(Tabla44[[#This Row],[SERVICIO 2025]],$J$2:$V$15,3,0)*Tabla44[[#This Row],[TOTAL COBERTURA]])+VLOOKUP(Tabla44[[#This Row],[SERVICIO 2025]],$J$2:$V$15,10,0)*Tabla44[[#This Row],[TOTAL COBERTURA]]</f>
        <v>7007504</v>
      </c>
      <c r="AX424" s="35">
        <f>(VLOOKUP(Tabla44[[#This Row],[SERVICIO 2025]],$J$2:$V$15,3,0)*Tabla44[[#This Row],[TOTAL COBERTURA]])+VLOOKUP(Tabla44[[#This Row],[SERVICIO 2025]],$J$2:$V$15,10,0)*Tabla44[[#This Row],[TOTAL COBERTURA]]</f>
        <v>7007504</v>
      </c>
      <c r="AY424" s="35">
        <f>(VLOOKUP(Tabla44[[#This Row],[SERVICIO 2025]],$J$2:$V$15,3,0)*Tabla44[[#This Row],[TOTAL COBERTURA]])+VLOOKUP(Tabla44[[#This Row],[SERVICIO 2025]],$J$2:$V$15,10,0)*Tabla44[[#This Row],[TOTAL COBERTURA]]</f>
        <v>7007504</v>
      </c>
      <c r="AZ424" s="35">
        <f>(VLOOKUP(Tabla44[[#This Row],[SERVICIO 2025]],$J$2:$V$15,3,0)*Tabla44[[#This Row],[TOTAL COBERTURA]])+VLOOKUP(Tabla44[[#This Row],[SERVICIO 2025]],$J$2:$V$15,10,0)*Tabla44[[#This Row],[TOTAL COBERTURA]]</f>
        <v>7007504</v>
      </c>
      <c r="BA424" s="35">
        <f>(VLOOKUP(Tabla44[[#This Row],[SERVICIO 2025]],$J$2:$V$15,3,0)*Tabla44[[#This Row],[TOTAL COBERTURA]])+VLOOKUP(Tabla44[[#This Row],[SERVICIO 2025]],$J$2:$V$15,10,0)*Tabla44[[#This Row],[TOTAL COBERTURA]]</f>
        <v>7007504</v>
      </c>
      <c r="BB424" s="35">
        <f>(VLOOKUP(Tabla44[[#This Row],[SERVICIO 2025]],$J$2:$V$15,3,0)*Tabla44[[#This Row],[TOTAL COBERTURA]])+VLOOKUP(Tabla44[[#This Row],[SERVICIO 2025]],$J$2:$V$15,10,0)*Tabla44[[#This Row],[TOTAL COBERTURA]]</f>
        <v>7007504</v>
      </c>
      <c r="BC42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424" s="35">
        <f>SUM(Tabla44[[#This Row],[DESEMBOLSO 1]:[DESEMBOLSO 8]])</f>
        <v>57972112</v>
      </c>
      <c r="BE424" s="12" t="b">
        <f>EXACT(Tabla44[[#This Row],[VALOR ATENCIÓN (8 MESES)]],Tabla44[[#This Row],[VALOR TOTAL]])</f>
        <v>1</v>
      </c>
      <c r="BF424" s="23">
        <f>Tabla44[[#This Row],[VALOR ATENCIÓN (8 MESES)]]-Tabla44[[#This Row],[VALOR TOTAL]]</f>
        <v>0</v>
      </c>
      <c r="BG424" s="12" t="b">
        <f>EXACT(Tabla44[[#This Row],[TOTAL DESEMBOLSOS]],Tabla44[[#This Row],[VALOR TOTAL DEL CONTRATO INCLUIDO EL COMPONENTE DE ALIMENTACIÓN]])</f>
        <v>1</v>
      </c>
      <c r="BH424" s="29">
        <f>Tabla44[[#This Row],[TOTAL DESEMBOLSOS]]-Tabla44[[#This Row],[VALOR TOTAL DEL CONTRATO INCLUIDO EL COMPONENTE DE ALIMENTACIÓN]]</f>
        <v>0</v>
      </c>
      <c r="BJ424" t="s">
        <v>3595</v>
      </c>
    </row>
    <row r="425" spans="1:62">
      <c r="A425" s="13">
        <v>2019</v>
      </c>
      <c r="B425" s="13"/>
      <c r="C425" s="12" t="s">
        <v>87</v>
      </c>
      <c r="D425" s="12" t="s">
        <v>673</v>
      </c>
      <c r="E425" s="12" t="s">
        <v>3617</v>
      </c>
      <c r="F425" s="12" t="s">
        <v>18</v>
      </c>
      <c r="G425" s="12" t="s">
        <v>90</v>
      </c>
      <c r="H425" s="12" t="s">
        <v>3631</v>
      </c>
      <c r="I425" s="36">
        <v>57361152042</v>
      </c>
      <c r="J425" s="12" t="s">
        <v>3632</v>
      </c>
      <c r="K425" s="12">
        <v>1</v>
      </c>
      <c r="L425" s="12">
        <v>18</v>
      </c>
      <c r="M425" s="12"/>
      <c r="N425" s="13">
        <v>2019</v>
      </c>
      <c r="O425" s="12" t="s">
        <v>2850</v>
      </c>
      <c r="P425" s="12"/>
      <c r="Q425" s="12"/>
      <c r="R425" s="12" t="s">
        <v>94</v>
      </c>
      <c r="S425" s="12">
        <v>10</v>
      </c>
      <c r="T425" s="12">
        <v>900072094</v>
      </c>
      <c r="U425" s="12" t="s">
        <v>3594</v>
      </c>
      <c r="V425" s="12">
        <f>VLOOKUP(Tabla44[[#This Row],[ZONA DEFINITIVO]],[1]Hoja1!$A$1:$D$125,3,0)</f>
        <v>229945</v>
      </c>
      <c r="W425" s="12">
        <f>VLOOKUP(Tabla44[[#This Row],[ZONA DEFINITIVO]],[1]Hoja1!$A$1:$D$125,2,0)</f>
        <v>17271</v>
      </c>
      <c r="X425" s="12">
        <f>VLOOKUP(Tabla44[[#This Row],[ZONA DEFINITIVO]],[1]Hoja1!$A$1:$D$125,4,0)</f>
        <v>105125</v>
      </c>
      <c r="Y425" s="12" t="str">
        <f>+IF(Tabla44[[#This Row],[AGRUPACIONES]]=1,SUMIFS(Tabla44[UDS],Tabla44[ZONA DEFINITIVO],Tabla44[[#This Row],[ZONA DEFINITIVO]])," ")</f>
        <v xml:space="preserve"> </v>
      </c>
      <c r="Z425" s="12" t="str">
        <f>+IF(Tabla44[[#This Row],[AGRUPACIONES]]=1,SUMIFS(Tabla44[TOTAL COBERTURA],Tabla44[ZONA DEFINITIVO],Tabla44[[#This Row],[ZONA DEFINITIVO]])," ")</f>
        <v xml:space="preserve"> </v>
      </c>
      <c r="AA425" s="12"/>
      <c r="AB425" s="35">
        <v>39243474</v>
      </c>
      <c r="AC425" s="37">
        <v>0</v>
      </c>
      <c r="AD425" s="35">
        <f t="shared" si="7"/>
        <v>0</v>
      </c>
      <c r="AE425" s="12"/>
      <c r="AF425" s="12">
        <f>COUNTIF($A$20:A425,A425)</f>
        <v>22</v>
      </c>
      <c r="AG425" s="38">
        <v>39243474</v>
      </c>
      <c r="AH425" s="38">
        <f>Tabla44[[#This Row],[VALOR CONTRAPARTIDA]]+Tabla44[[#This Row],[TOTAL APORTES ICBF]]</f>
        <v>39243474</v>
      </c>
      <c r="AI425" s="35" t="str">
        <f>+IF(Tabla44[[#This Row],[AGRUPACIONES]]=1,SUMIFS(Tabla44[TOTAL APORTES ICBF],Tabla44[ZONA DEFINITIVO],Tabla44[[#This Row],[ZONA DEFINITIVO]])," ")</f>
        <v xml:space="preserve"> </v>
      </c>
      <c r="AJ425" s="38"/>
      <c r="AK425" s="38"/>
      <c r="AL425" s="35"/>
      <c r="AM425" s="35">
        <f>VLOOKUP(Tabla44[[#This Row],[SERVICIO 2025]],$J$2:$V$15,5,0)*Tabla44[[#This Row],[TOTAL COBERTURA]]</f>
        <v>888768</v>
      </c>
      <c r="AN425" s="35">
        <f>VLOOKUP(Tabla44[[#This Row],[SERVICIO 2025]],$J$2:$V$15,6,0)*Tabla44[[#This Row],[TOTAL COBERTURA]]</f>
        <v>738522</v>
      </c>
      <c r="AO425" s="35">
        <f>VLOOKUP(Tabla44[[#This Row],[SERVICIO 2025]],$J$2:$V$15,8,0)*Tabla44[[#This Row],[TOTAL COBERTURA]]</f>
        <v>523800</v>
      </c>
      <c r="AP425" s="35">
        <f>VLOOKUP(Tabla44[[#This Row],[SERVICIO 2025]],$J$2:$V$15,3,0)*Tabla44[[#This Row],[TOTAL COBERTURA]]*8</f>
        <v>37092384</v>
      </c>
      <c r="AQ425" s="35"/>
      <c r="AR425" s="35">
        <f>SUM(Tabla44[[#This Row],[VALOR FASE PREPARATORIA DE ALISTAMIENTO]:[VALOR RACION PREPARADA]])</f>
        <v>39243474</v>
      </c>
      <c r="AS425" s="35" t="str">
        <f>+IF(Tabla44[[#This Row],[AGRUPACIONES]]=1,SUMIFS(Tabla44[VALOR TOTAL],Tabla44[ZONA DEFINITIVO],Tabla44[[#This Row],[ZONA DEFINITIVO]])," ")</f>
        <v xml:space="preserve"> </v>
      </c>
      <c r="AT425" s="35">
        <f>VLOOKUP(Tabla44[[#This Row],[SERVICIO 2025]],$J$2:$V$15,10,0)*Tabla44[[#This Row],[TOTAL COBERTURA]]*$X$7</f>
        <v>25975152</v>
      </c>
      <c r="AU425" s="39">
        <f>Tabla44[[#This Row],[TOTAL CONTRATO (ICBF+EAS)]]+Tabla44[[#This Row],[VALOR COMPONENTE ALIMENTACION NO ASIGNADO]]</f>
        <v>65218626</v>
      </c>
      <c r="AV42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425" s="35">
        <f>(VLOOKUP(Tabla44[[#This Row],[SERVICIO 2025]],$J$2:$V$15,3,0)*Tabla44[[#This Row],[TOTAL COBERTURA]])+VLOOKUP(Tabla44[[#This Row],[SERVICIO 2025]],$J$2:$V$15,10,0)*Tabla44[[#This Row],[TOTAL COBERTURA]]</f>
        <v>7883442</v>
      </c>
      <c r="AX425" s="35">
        <f>(VLOOKUP(Tabla44[[#This Row],[SERVICIO 2025]],$J$2:$V$15,3,0)*Tabla44[[#This Row],[TOTAL COBERTURA]])+VLOOKUP(Tabla44[[#This Row],[SERVICIO 2025]],$J$2:$V$15,10,0)*Tabla44[[#This Row],[TOTAL COBERTURA]]</f>
        <v>7883442</v>
      </c>
      <c r="AY425" s="35">
        <f>(VLOOKUP(Tabla44[[#This Row],[SERVICIO 2025]],$J$2:$V$15,3,0)*Tabla44[[#This Row],[TOTAL COBERTURA]])+VLOOKUP(Tabla44[[#This Row],[SERVICIO 2025]],$J$2:$V$15,10,0)*Tabla44[[#This Row],[TOTAL COBERTURA]]</f>
        <v>7883442</v>
      </c>
      <c r="AZ425" s="35">
        <f>(VLOOKUP(Tabla44[[#This Row],[SERVICIO 2025]],$J$2:$V$15,3,0)*Tabla44[[#This Row],[TOTAL COBERTURA]])+VLOOKUP(Tabla44[[#This Row],[SERVICIO 2025]],$J$2:$V$15,10,0)*Tabla44[[#This Row],[TOTAL COBERTURA]]</f>
        <v>7883442</v>
      </c>
      <c r="BA425" s="35">
        <f>(VLOOKUP(Tabla44[[#This Row],[SERVICIO 2025]],$J$2:$V$15,3,0)*Tabla44[[#This Row],[TOTAL COBERTURA]])+VLOOKUP(Tabla44[[#This Row],[SERVICIO 2025]],$J$2:$V$15,10,0)*Tabla44[[#This Row],[TOTAL COBERTURA]]</f>
        <v>7883442</v>
      </c>
      <c r="BB425" s="35">
        <f>(VLOOKUP(Tabla44[[#This Row],[SERVICIO 2025]],$J$2:$V$15,3,0)*Tabla44[[#This Row],[TOTAL COBERTURA]])+VLOOKUP(Tabla44[[#This Row],[SERVICIO 2025]],$J$2:$V$15,10,0)*Tabla44[[#This Row],[TOTAL COBERTURA]]</f>
        <v>7883442</v>
      </c>
      <c r="BC42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425" s="35">
        <f>SUM(Tabla44[[#This Row],[DESEMBOLSO 1]:[DESEMBOLSO 8]])</f>
        <v>65218626</v>
      </c>
      <c r="BE425" s="12" t="b">
        <f>EXACT(Tabla44[[#This Row],[VALOR ATENCIÓN (8 MESES)]],Tabla44[[#This Row],[VALOR TOTAL]])</f>
        <v>1</v>
      </c>
      <c r="BF425" s="23">
        <f>Tabla44[[#This Row],[VALOR ATENCIÓN (8 MESES)]]-Tabla44[[#This Row],[VALOR TOTAL]]</f>
        <v>0</v>
      </c>
      <c r="BG425" s="12" t="b">
        <f>EXACT(Tabla44[[#This Row],[TOTAL DESEMBOLSOS]],Tabla44[[#This Row],[VALOR TOTAL DEL CONTRATO INCLUIDO EL COMPONENTE DE ALIMENTACIÓN]])</f>
        <v>1</v>
      </c>
      <c r="BH425" s="29">
        <f>Tabla44[[#This Row],[TOTAL DESEMBOLSOS]]-Tabla44[[#This Row],[VALOR TOTAL DEL CONTRATO INCLUIDO EL COMPONENTE DE ALIMENTACIÓN]]</f>
        <v>0</v>
      </c>
      <c r="BJ425" t="s">
        <v>3595</v>
      </c>
    </row>
    <row r="426" spans="1:62">
      <c r="A426" s="13">
        <v>2019</v>
      </c>
      <c r="B426" s="13"/>
      <c r="C426" s="12" t="s">
        <v>87</v>
      </c>
      <c r="D426" s="12" t="s">
        <v>673</v>
      </c>
      <c r="E426" s="12" t="s">
        <v>3617</v>
      </c>
      <c r="F426" s="12" t="s">
        <v>18</v>
      </c>
      <c r="G426" s="12" t="s">
        <v>90</v>
      </c>
      <c r="H426" s="12" t="s">
        <v>3633</v>
      </c>
      <c r="I426" s="36">
        <v>57361152798</v>
      </c>
      <c r="J426" s="12" t="s">
        <v>3634</v>
      </c>
      <c r="K426" s="12">
        <v>1</v>
      </c>
      <c r="L426" s="12">
        <v>12</v>
      </c>
      <c r="M426" s="12"/>
      <c r="N426" s="13">
        <v>2019</v>
      </c>
      <c r="O426" s="12" t="s">
        <v>2850</v>
      </c>
      <c r="P426" s="12"/>
      <c r="Q426" s="12"/>
      <c r="R426" s="12" t="s">
        <v>94</v>
      </c>
      <c r="S426" s="12">
        <v>10</v>
      </c>
      <c r="T426" s="12">
        <v>900072094</v>
      </c>
      <c r="U426" s="12" t="s">
        <v>3594</v>
      </c>
      <c r="V426" s="12">
        <f>VLOOKUP(Tabla44[[#This Row],[ZONA DEFINITIVO]],[1]Hoja1!$A$1:$D$125,3,0)</f>
        <v>229945</v>
      </c>
      <c r="W426" s="12">
        <f>VLOOKUP(Tabla44[[#This Row],[ZONA DEFINITIVO]],[1]Hoja1!$A$1:$D$125,2,0)</f>
        <v>17271</v>
      </c>
      <c r="X426" s="12">
        <f>VLOOKUP(Tabla44[[#This Row],[ZONA DEFINITIVO]],[1]Hoja1!$A$1:$D$125,4,0)</f>
        <v>105125</v>
      </c>
      <c r="Y426" s="12" t="str">
        <f>+IF(Tabla44[[#This Row],[AGRUPACIONES]]=1,SUMIFS(Tabla44[UDS],Tabla44[ZONA DEFINITIVO],Tabla44[[#This Row],[ZONA DEFINITIVO]])," ")</f>
        <v xml:space="preserve"> </v>
      </c>
      <c r="Z426" s="12" t="str">
        <f>+IF(Tabla44[[#This Row],[AGRUPACIONES]]=1,SUMIFS(Tabla44[TOTAL COBERTURA],Tabla44[ZONA DEFINITIVO],Tabla44[[#This Row],[ZONA DEFINITIVO]])," ")</f>
        <v xml:space="preserve"> </v>
      </c>
      <c r="AA426" s="12"/>
      <c r="AB426" s="35">
        <v>26162316</v>
      </c>
      <c r="AC426" s="37">
        <v>0</v>
      </c>
      <c r="AD426" s="35">
        <f t="shared" si="7"/>
        <v>0</v>
      </c>
      <c r="AE426" s="12"/>
      <c r="AF426" s="12">
        <f>COUNTIF($A$20:A426,A426)</f>
        <v>23</v>
      </c>
      <c r="AG426" s="38">
        <v>26162316</v>
      </c>
      <c r="AH426" s="38">
        <f>Tabla44[[#This Row],[VALOR CONTRAPARTIDA]]+Tabla44[[#This Row],[TOTAL APORTES ICBF]]</f>
        <v>26162316</v>
      </c>
      <c r="AI426" s="35" t="str">
        <f>+IF(Tabla44[[#This Row],[AGRUPACIONES]]=1,SUMIFS(Tabla44[TOTAL APORTES ICBF],Tabla44[ZONA DEFINITIVO],Tabla44[[#This Row],[ZONA DEFINITIVO]])," ")</f>
        <v xml:space="preserve"> </v>
      </c>
      <c r="AJ426" s="38"/>
      <c r="AK426" s="38"/>
      <c r="AL426" s="35"/>
      <c r="AM426" s="35">
        <f>VLOOKUP(Tabla44[[#This Row],[SERVICIO 2025]],$J$2:$V$15,5,0)*Tabla44[[#This Row],[TOTAL COBERTURA]]</f>
        <v>592512</v>
      </c>
      <c r="AN426" s="35">
        <f>VLOOKUP(Tabla44[[#This Row],[SERVICIO 2025]],$J$2:$V$15,6,0)*Tabla44[[#This Row],[TOTAL COBERTURA]]</f>
        <v>492348</v>
      </c>
      <c r="AO426" s="35">
        <f>VLOOKUP(Tabla44[[#This Row],[SERVICIO 2025]],$J$2:$V$15,8,0)*Tabla44[[#This Row],[TOTAL COBERTURA]]</f>
        <v>349200</v>
      </c>
      <c r="AP426" s="35">
        <f>VLOOKUP(Tabla44[[#This Row],[SERVICIO 2025]],$J$2:$V$15,3,0)*Tabla44[[#This Row],[TOTAL COBERTURA]]*8</f>
        <v>24728256</v>
      </c>
      <c r="AQ426" s="35"/>
      <c r="AR426" s="35">
        <f>SUM(Tabla44[[#This Row],[VALOR FASE PREPARATORIA DE ALISTAMIENTO]:[VALOR RACION PREPARADA]])</f>
        <v>26162316</v>
      </c>
      <c r="AS426" s="35" t="str">
        <f>+IF(Tabla44[[#This Row],[AGRUPACIONES]]=1,SUMIFS(Tabla44[VALOR TOTAL],Tabla44[ZONA DEFINITIVO],Tabla44[[#This Row],[ZONA DEFINITIVO]])," ")</f>
        <v xml:space="preserve"> </v>
      </c>
      <c r="AT426" s="35">
        <f>VLOOKUP(Tabla44[[#This Row],[SERVICIO 2025]],$J$2:$V$15,10,0)*Tabla44[[#This Row],[TOTAL COBERTURA]]*$X$7</f>
        <v>17316768</v>
      </c>
      <c r="AU426" s="39">
        <f>Tabla44[[#This Row],[TOTAL CONTRATO (ICBF+EAS)]]+Tabla44[[#This Row],[VALOR COMPONENTE ALIMENTACION NO ASIGNADO]]</f>
        <v>43479084</v>
      </c>
      <c r="AV42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426" s="35">
        <f>(VLOOKUP(Tabla44[[#This Row],[SERVICIO 2025]],$J$2:$V$15,3,0)*Tabla44[[#This Row],[TOTAL COBERTURA]])+VLOOKUP(Tabla44[[#This Row],[SERVICIO 2025]],$J$2:$V$15,10,0)*Tabla44[[#This Row],[TOTAL COBERTURA]]</f>
        <v>5255628</v>
      </c>
      <c r="AX426" s="35">
        <f>(VLOOKUP(Tabla44[[#This Row],[SERVICIO 2025]],$J$2:$V$15,3,0)*Tabla44[[#This Row],[TOTAL COBERTURA]])+VLOOKUP(Tabla44[[#This Row],[SERVICIO 2025]],$J$2:$V$15,10,0)*Tabla44[[#This Row],[TOTAL COBERTURA]]</f>
        <v>5255628</v>
      </c>
      <c r="AY426" s="35">
        <f>(VLOOKUP(Tabla44[[#This Row],[SERVICIO 2025]],$J$2:$V$15,3,0)*Tabla44[[#This Row],[TOTAL COBERTURA]])+VLOOKUP(Tabla44[[#This Row],[SERVICIO 2025]],$J$2:$V$15,10,0)*Tabla44[[#This Row],[TOTAL COBERTURA]]</f>
        <v>5255628</v>
      </c>
      <c r="AZ426" s="35">
        <f>(VLOOKUP(Tabla44[[#This Row],[SERVICIO 2025]],$J$2:$V$15,3,0)*Tabla44[[#This Row],[TOTAL COBERTURA]])+VLOOKUP(Tabla44[[#This Row],[SERVICIO 2025]],$J$2:$V$15,10,0)*Tabla44[[#This Row],[TOTAL COBERTURA]]</f>
        <v>5255628</v>
      </c>
      <c r="BA426" s="35">
        <f>(VLOOKUP(Tabla44[[#This Row],[SERVICIO 2025]],$J$2:$V$15,3,0)*Tabla44[[#This Row],[TOTAL COBERTURA]])+VLOOKUP(Tabla44[[#This Row],[SERVICIO 2025]],$J$2:$V$15,10,0)*Tabla44[[#This Row],[TOTAL COBERTURA]]</f>
        <v>5255628</v>
      </c>
      <c r="BB426" s="35">
        <f>(VLOOKUP(Tabla44[[#This Row],[SERVICIO 2025]],$J$2:$V$15,3,0)*Tabla44[[#This Row],[TOTAL COBERTURA]])+VLOOKUP(Tabla44[[#This Row],[SERVICIO 2025]],$J$2:$V$15,10,0)*Tabla44[[#This Row],[TOTAL COBERTURA]]</f>
        <v>5255628</v>
      </c>
      <c r="BC42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426" s="35">
        <f>SUM(Tabla44[[#This Row],[DESEMBOLSO 1]:[DESEMBOLSO 8]])</f>
        <v>43479084</v>
      </c>
      <c r="BE426" s="12" t="b">
        <f>EXACT(Tabla44[[#This Row],[VALOR ATENCIÓN (8 MESES)]],Tabla44[[#This Row],[VALOR TOTAL]])</f>
        <v>1</v>
      </c>
      <c r="BF426" s="23">
        <f>Tabla44[[#This Row],[VALOR ATENCIÓN (8 MESES)]]-Tabla44[[#This Row],[VALOR TOTAL]]</f>
        <v>0</v>
      </c>
      <c r="BG426" s="12" t="b">
        <f>EXACT(Tabla44[[#This Row],[TOTAL DESEMBOLSOS]],Tabla44[[#This Row],[VALOR TOTAL DEL CONTRATO INCLUIDO EL COMPONENTE DE ALIMENTACIÓN]])</f>
        <v>1</v>
      </c>
      <c r="BH426" s="29">
        <f>Tabla44[[#This Row],[TOTAL DESEMBOLSOS]]-Tabla44[[#This Row],[VALOR TOTAL DEL CONTRATO INCLUIDO EL COMPONENTE DE ALIMENTACIÓN]]</f>
        <v>0</v>
      </c>
      <c r="BJ426" t="s">
        <v>3595</v>
      </c>
    </row>
    <row r="427" spans="1:62">
      <c r="A427" s="13">
        <v>2019</v>
      </c>
      <c r="B427" s="13"/>
      <c r="C427" s="12" t="s">
        <v>87</v>
      </c>
      <c r="D427" s="12" t="s">
        <v>673</v>
      </c>
      <c r="E427" s="12" t="s">
        <v>3617</v>
      </c>
      <c r="F427" s="12" t="s">
        <v>18</v>
      </c>
      <c r="G427" s="12" t="s">
        <v>90</v>
      </c>
      <c r="H427" s="12" t="s">
        <v>3635</v>
      </c>
      <c r="I427" s="36">
        <v>57361153478</v>
      </c>
      <c r="J427" s="12" t="s">
        <v>3636</v>
      </c>
      <c r="K427" s="12">
        <v>1</v>
      </c>
      <c r="L427" s="12">
        <v>53</v>
      </c>
      <c r="M427" s="12"/>
      <c r="N427" s="13">
        <v>2019</v>
      </c>
      <c r="O427" s="12" t="s">
        <v>2850</v>
      </c>
      <c r="P427" s="12"/>
      <c r="Q427" s="12"/>
      <c r="R427" s="12" t="s">
        <v>94</v>
      </c>
      <c r="S427" s="12">
        <v>10</v>
      </c>
      <c r="T427" s="12">
        <v>900072094</v>
      </c>
      <c r="U427" s="12" t="s">
        <v>3594</v>
      </c>
      <c r="V427" s="12">
        <f>VLOOKUP(Tabla44[[#This Row],[ZONA DEFINITIVO]],[1]Hoja1!$A$1:$D$125,3,0)</f>
        <v>229945</v>
      </c>
      <c r="W427" s="12">
        <f>VLOOKUP(Tabla44[[#This Row],[ZONA DEFINITIVO]],[1]Hoja1!$A$1:$D$125,2,0)</f>
        <v>17271</v>
      </c>
      <c r="X427" s="12">
        <f>VLOOKUP(Tabla44[[#This Row],[ZONA DEFINITIVO]],[1]Hoja1!$A$1:$D$125,4,0)</f>
        <v>105125</v>
      </c>
      <c r="Y427" s="12" t="str">
        <f>+IF(Tabla44[[#This Row],[AGRUPACIONES]]=1,SUMIFS(Tabla44[UDS],Tabla44[ZONA DEFINITIVO],Tabla44[[#This Row],[ZONA DEFINITIVO]])," ")</f>
        <v xml:space="preserve"> </v>
      </c>
      <c r="Z427" s="12" t="str">
        <f>+IF(Tabla44[[#This Row],[AGRUPACIONES]]=1,SUMIFS(Tabla44[TOTAL COBERTURA],Tabla44[ZONA DEFINITIVO],Tabla44[[#This Row],[ZONA DEFINITIVO]])," ")</f>
        <v xml:space="preserve"> </v>
      </c>
      <c r="AA427" s="12"/>
      <c r="AB427" s="35">
        <v>115550229</v>
      </c>
      <c r="AC427" s="37">
        <v>0</v>
      </c>
      <c r="AD427" s="35">
        <f t="shared" si="7"/>
        <v>0</v>
      </c>
      <c r="AE427" s="12"/>
      <c r="AF427" s="12">
        <f>COUNTIF($A$20:A427,A427)</f>
        <v>24</v>
      </c>
      <c r="AG427" s="38">
        <v>115550229</v>
      </c>
      <c r="AH427" s="38">
        <f>Tabla44[[#This Row],[VALOR CONTRAPARTIDA]]+Tabla44[[#This Row],[TOTAL APORTES ICBF]]</f>
        <v>115550229</v>
      </c>
      <c r="AI427" s="35" t="str">
        <f>+IF(Tabla44[[#This Row],[AGRUPACIONES]]=1,SUMIFS(Tabla44[TOTAL APORTES ICBF],Tabla44[ZONA DEFINITIVO],Tabla44[[#This Row],[ZONA DEFINITIVO]])," ")</f>
        <v xml:space="preserve"> </v>
      </c>
      <c r="AJ427" s="38"/>
      <c r="AK427" s="38"/>
      <c r="AL427" s="35"/>
      <c r="AM427" s="35">
        <f>VLOOKUP(Tabla44[[#This Row],[SERVICIO 2025]],$J$2:$V$15,5,0)*Tabla44[[#This Row],[TOTAL COBERTURA]]</f>
        <v>2616928</v>
      </c>
      <c r="AN427" s="35">
        <f>VLOOKUP(Tabla44[[#This Row],[SERVICIO 2025]],$J$2:$V$15,6,0)*Tabla44[[#This Row],[TOTAL COBERTURA]]</f>
        <v>2174537</v>
      </c>
      <c r="AO427" s="35">
        <f>VLOOKUP(Tabla44[[#This Row],[SERVICIO 2025]],$J$2:$V$15,8,0)*Tabla44[[#This Row],[TOTAL COBERTURA]]</f>
        <v>1542300</v>
      </c>
      <c r="AP427" s="35">
        <f>VLOOKUP(Tabla44[[#This Row],[SERVICIO 2025]],$J$2:$V$15,3,0)*Tabla44[[#This Row],[TOTAL COBERTURA]]*8</f>
        <v>109216464</v>
      </c>
      <c r="AQ427" s="35"/>
      <c r="AR427" s="35">
        <f>SUM(Tabla44[[#This Row],[VALOR FASE PREPARATORIA DE ALISTAMIENTO]:[VALOR RACION PREPARADA]])</f>
        <v>115550229</v>
      </c>
      <c r="AS427" s="35" t="str">
        <f>+IF(Tabla44[[#This Row],[AGRUPACIONES]]=1,SUMIFS(Tabla44[VALOR TOTAL],Tabla44[ZONA DEFINITIVO],Tabla44[[#This Row],[ZONA DEFINITIVO]])," ")</f>
        <v xml:space="preserve"> </v>
      </c>
      <c r="AT427" s="35">
        <f>VLOOKUP(Tabla44[[#This Row],[SERVICIO 2025]],$J$2:$V$15,10,0)*Tabla44[[#This Row],[TOTAL COBERTURA]]*$X$7</f>
        <v>76482392</v>
      </c>
      <c r="AU427" s="39">
        <f>Tabla44[[#This Row],[TOTAL CONTRATO (ICBF+EAS)]]+Tabla44[[#This Row],[VALOR COMPONENTE ALIMENTACION NO ASIGNADO]]</f>
        <v>192032621</v>
      </c>
      <c r="AV42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27371585</v>
      </c>
      <c r="AW427" s="35">
        <f>(VLOOKUP(Tabla44[[#This Row],[SERVICIO 2025]],$J$2:$V$15,3,0)*Tabla44[[#This Row],[TOTAL COBERTURA]])+VLOOKUP(Tabla44[[#This Row],[SERVICIO 2025]],$J$2:$V$15,10,0)*Tabla44[[#This Row],[TOTAL COBERTURA]]</f>
        <v>23212357</v>
      </c>
      <c r="AX427" s="35">
        <f>(VLOOKUP(Tabla44[[#This Row],[SERVICIO 2025]],$J$2:$V$15,3,0)*Tabla44[[#This Row],[TOTAL COBERTURA]])+VLOOKUP(Tabla44[[#This Row],[SERVICIO 2025]],$J$2:$V$15,10,0)*Tabla44[[#This Row],[TOTAL COBERTURA]]</f>
        <v>23212357</v>
      </c>
      <c r="AY427" s="35">
        <f>(VLOOKUP(Tabla44[[#This Row],[SERVICIO 2025]],$J$2:$V$15,3,0)*Tabla44[[#This Row],[TOTAL COBERTURA]])+VLOOKUP(Tabla44[[#This Row],[SERVICIO 2025]],$J$2:$V$15,10,0)*Tabla44[[#This Row],[TOTAL COBERTURA]]</f>
        <v>23212357</v>
      </c>
      <c r="AZ427" s="35">
        <f>(VLOOKUP(Tabla44[[#This Row],[SERVICIO 2025]],$J$2:$V$15,3,0)*Tabla44[[#This Row],[TOTAL COBERTURA]])+VLOOKUP(Tabla44[[#This Row],[SERVICIO 2025]],$J$2:$V$15,10,0)*Tabla44[[#This Row],[TOTAL COBERTURA]]</f>
        <v>23212357</v>
      </c>
      <c r="BA427" s="35">
        <f>(VLOOKUP(Tabla44[[#This Row],[SERVICIO 2025]],$J$2:$V$15,3,0)*Tabla44[[#This Row],[TOTAL COBERTURA]])+VLOOKUP(Tabla44[[#This Row],[SERVICIO 2025]],$J$2:$V$15,10,0)*Tabla44[[#This Row],[TOTAL COBERTURA]]</f>
        <v>23212357</v>
      </c>
      <c r="BB427" s="35">
        <f>(VLOOKUP(Tabla44[[#This Row],[SERVICIO 2025]],$J$2:$V$15,3,0)*Tabla44[[#This Row],[TOTAL COBERTURA]])+VLOOKUP(Tabla44[[#This Row],[SERVICIO 2025]],$J$2:$V$15,10,0)*Tabla44[[#This Row],[TOTAL COBERTURA]]</f>
        <v>23212357</v>
      </c>
      <c r="BC42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25386894</v>
      </c>
      <c r="BD427" s="35">
        <f>SUM(Tabla44[[#This Row],[DESEMBOLSO 1]:[DESEMBOLSO 8]])</f>
        <v>192032621</v>
      </c>
      <c r="BE427" s="12" t="b">
        <f>EXACT(Tabla44[[#This Row],[VALOR ATENCIÓN (8 MESES)]],Tabla44[[#This Row],[VALOR TOTAL]])</f>
        <v>1</v>
      </c>
      <c r="BF427" s="23">
        <f>Tabla44[[#This Row],[VALOR ATENCIÓN (8 MESES)]]-Tabla44[[#This Row],[VALOR TOTAL]]</f>
        <v>0</v>
      </c>
      <c r="BG427" s="12" t="b">
        <f>EXACT(Tabla44[[#This Row],[TOTAL DESEMBOLSOS]],Tabla44[[#This Row],[VALOR TOTAL DEL CONTRATO INCLUIDO EL COMPONENTE DE ALIMENTACIÓN]])</f>
        <v>1</v>
      </c>
      <c r="BH427" s="29">
        <f>Tabla44[[#This Row],[TOTAL DESEMBOLSOS]]-Tabla44[[#This Row],[VALOR TOTAL DEL CONTRATO INCLUIDO EL COMPONENTE DE ALIMENTACIÓN]]</f>
        <v>0</v>
      </c>
      <c r="BJ427" t="s">
        <v>3595</v>
      </c>
    </row>
    <row r="428" spans="1:62">
      <c r="A428" s="13">
        <v>2019</v>
      </c>
      <c r="B428" s="13"/>
      <c r="C428" s="12" t="s">
        <v>87</v>
      </c>
      <c r="D428" s="12" t="s">
        <v>673</v>
      </c>
      <c r="E428" s="12" t="s">
        <v>3637</v>
      </c>
      <c r="F428" s="12" t="s">
        <v>18</v>
      </c>
      <c r="G428" s="12" t="s">
        <v>90</v>
      </c>
      <c r="H428" s="12" t="s">
        <v>361</v>
      </c>
      <c r="I428" s="36">
        <v>58581115215</v>
      </c>
      <c r="J428" s="12" t="s">
        <v>3638</v>
      </c>
      <c r="K428" s="12">
        <v>1</v>
      </c>
      <c r="L428" s="12">
        <v>31</v>
      </c>
      <c r="M428" s="12"/>
      <c r="N428" s="13">
        <v>2019</v>
      </c>
      <c r="O428" s="12" t="s">
        <v>2850</v>
      </c>
      <c r="P428" s="12"/>
      <c r="Q428" s="12"/>
      <c r="R428" s="12" t="s">
        <v>94</v>
      </c>
      <c r="S428" s="12">
        <v>10</v>
      </c>
      <c r="T428" s="12">
        <v>900072094</v>
      </c>
      <c r="U428" s="12" t="s">
        <v>3594</v>
      </c>
      <c r="V428" s="12">
        <f>VLOOKUP(Tabla44[[#This Row],[ZONA DEFINITIVO]],[1]Hoja1!$A$1:$D$125,3,0)</f>
        <v>229945</v>
      </c>
      <c r="W428" s="12">
        <f>VLOOKUP(Tabla44[[#This Row],[ZONA DEFINITIVO]],[1]Hoja1!$A$1:$D$125,2,0)</f>
        <v>17271</v>
      </c>
      <c r="X428" s="12">
        <f>VLOOKUP(Tabla44[[#This Row],[ZONA DEFINITIVO]],[1]Hoja1!$A$1:$D$125,4,0)</f>
        <v>105125</v>
      </c>
      <c r="Y428" s="12" t="str">
        <f>+IF(Tabla44[[#This Row],[AGRUPACIONES]]=1,SUMIFS(Tabla44[UDS],Tabla44[ZONA DEFINITIVO],Tabla44[[#This Row],[ZONA DEFINITIVO]])," ")</f>
        <v xml:space="preserve"> </v>
      </c>
      <c r="Z428" s="12" t="str">
        <f>+IF(Tabla44[[#This Row],[AGRUPACIONES]]=1,SUMIFS(Tabla44[TOTAL COBERTURA],Tabla44[ZONA DEFINITIVO],Tabla44[[#This Row],[ZONA DEFINITIVO]])," ")</f>
        <v xml:space="preserve"> </v>
      </c>
      <c r="AA428" s="12"/>
      <c r="AB428" s="35">
        <v>67585983</v>
      </c>
      <c r="AC428" s="37">
        <v>0</v>
      </c>
      <c r="AD428" s="35">
        <f t="shared" si="7"/>
        <v>0</v>
      </c>
      <c r="AE428" s="12"/>
      <c r="AF428" s="12">
        <f>COUNTIF($A$20:A428,A428)</f>
        <v>25</v>
      </c>
      <c r="AG428" s="38">
        <v>67585983</v>
      </c>
      <c r="AH428" s="38">
        <f>Tabla44[[#This Row],[VALOR CONTRAPARTIDA]]+Tabla44[[#This Row],[TOTAL APORTES ICBF]]</f>
        <v>67585983</v>
      </c>
      <c r="AI428" s="35" t="str">
        <f>+IF(Tabla44[[#This Row],[AGRUPACIONES]]=1,SUMIFS(Tabla44[TOTAL APORTES ICBF],Tabla44[ZONA DEFINITIVO],Tabla44[[#This Row],[ZONA DEFINITIVO]])," ")</f>
        <v xml:space="preserve"> </v>
      </c>
      <c r="AJ428" s="38"/>
      <c r="AK428" s="38"/>
      <c r="AL428" s="35"/>
      <c r="AM428" s="35">
        <f>VLOOKUP(Tabla44[[#This Row],[SERVICIO 2025]],$J$2:$V$15,5,0)*Tabla44[[#This Row],[TOTAL COBERTURA]]</f>
        <v>1530656</v>
      </c>
      <c r="AN428" s="35">
        <f>VLOOKUP(Tabla44[[#This Row],[SERVICIO 2025]],$J$2:$V$15,6,0)*Tabla44[[#This Row],[TOTAL COBERTURA]]</f>
        <v>1271899</v>
      </c>
      <c r="AO428" s="35">
        <f>VLOOKUP(Tabla44[[#This Row],[SERVICIO 2025]],$J$2:$V$15,8,0)*Tabla44[[#This Row],[TOTAL COBERTURA]]</f>
        <v>902100</v>
      </c>
      <c r="AP428" s="35">
        <f>VLOOKUP(Tabla44[[#This Row],[SERVICIO 2025]],$J$2:$V$15,3,0)*Tabla44[[#This Row],[TOTAL COBERTURA]]*8</f>
        <v>63881328</v>
      </c>
      <c r="AQ428" s="35"/>
      <c r="AR428" s="35">
        <f>SUM(Tabla44[[#This Row],[VALOR FASE PREPARATORIA DE ALISTAMIENTO]:[VALOR RACION PREPARADA]])</f>
        <v>67585983</v>
      </c>
      <c r="AS428" s="35" t="str">
        <f>+IF(Tabla44[[#This Row],[AGRUPACIONES]]=1,SUMIFS(Tabla44[VALOR TOTAL],Tabla44[ZONA DEFINITIVO],Tabla44[[#This Row],[ZONA DEFINITIVO]])," ")</f>
        <v xml:space="preserve"> </v>
      </c>
      <c r="AT428" s="35">
        <f>VLOOKUP(Tabla44[[#This Row],[SERVICIO 2025]],$J$2:$V$15,10,0)*Tabla44[[#This Row],[TOTAL COBERTURA]]*$X$7</f>
        <v>44734984</v>
      </c>
      <c r="AU428" s="39">
        <f>Tabla44[[#This Row],[TOTAL CONTRATO (ICBF+EAS)]]+Tabla44[[#This Row],[VALOR COMPONENTE ALIMENTACION NO ASIGNADO]]</f>
        <v>112320967</v>
      </c>
      <c r="AV42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16009795</v>
      </c>
      <c r="AW428" s="35">
        <f>(VLOOKUP(Tabla44[[#This Row],[SERVICIO 2025]],$J$2:$V$15,3,0)*Tabla44[[#This Row],[TOTAL COBERTURA]])+VLOOKUP(Tabla44[[#This Row],[SERVICIO 2025]],$J$2:$V$15,10,0)*Tabla44[[#This Row],[TOTAL COBERTURA]]</f>
        <v>13577039</v>
      </c>
      <c r="AX428" s="35">
        <f>(VLOOKUP(Tabla44[[#This Row],[SERVICIO 2025]],$J$2:$V$15,3,0)*Tabla44[[#This Row],[TOTAL COBERTURA]])+VLOOKUP(Tabla44[[#This Row],[SERVICIO 2025]],$J$2:$V$15,10,0)*Tabla44[[#This Row],[TOTAL COBERTURA]]</f>
        <v>13577039</v>
      </c>
      <c r="AY428" s="35">
        <f>(VLOOKUP(Tabla44[[#This Row],[SERVICIO 2025]],$J$2:$V$15,3,0)*Tabla44[[#This Row],[TOTAL COBERTURA]])+VLOOKUP(Tabla44[[#This Row],[SERVICIO 2025]],$J$2:$V$15,10,0)*Tabla44[[#This Row],[TOTAL COBERTURA]]</f>
        <v>13577039</v>
      </c>
      <c r="AZ428" s="35">
        <f>(VLOOKUP(Tabla44[[#This Row],[SERVICIO 2025]],$J$2:$V$15,3,0)*Tabla44[[#This Row],[TOTAL COBERTURA]])+VLOOKUP(Tabla44[[#This Row],[SERVICIO 2025]],$J$2:$V$15,10,0)*Tabla44[[#This Row],[TOTAL COBERTURA]]</f>
        <v>13577039</v>
      </c>
      <c r="BA428" s="35">
        <f>(VLOOKUP(Tabla44[[#This Row],[SERVICIO 2025]],$J$2:$V$15,3,0)*Tabla44[[#This Row],[TOTAL COBERTURA]])+VLOOKUP(Tabla44[[#This Row],[SERVICIO 2025]],$J$2:$V$15,10,0)*Tabla44[[#This Row],[TOTAL COBERTURA]]</f>
        <v>13577039</v>
      </c>
      <c r="BB428" s="35">
        <f>(VLOOKUP(Tabla44[[#This Row],[SERVICIO 2025]],$J$2:$V$15,3,0)*Tabla44[[#This Row],[TOTAL COBERTURA]])+VLOOKUP(Tabla44[[#This Row],[SERVICIO 2025]],$J$2:$V$15,10,0)*Tabla44[[#This Row],[TOTAL COBERTURA]]</f>
        <v>13577039</v>
      </c>
      <c r="BC42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14848938</v>
      </c>
      <c r="BD428" s="35">
        <f>SUM(Tabla44[[#This Row],[DESEMBOLSO 1]:[DESEMBOLSO 8]])</f>
        <v>112320967</v>
      </c>
      <c r="BE428" s="12" t="b">
        <f>EXACT(Tabla44[[#This Row],[VALOR ATENCIÓN (8 MESES)]],Tabla44[[#This Row],[VALOR TOTAL]])</f>
        <v>1</v>
      </c>
      <c r="BF428" s="23">
        <f>Tabla44[[#This Row],[VALOR ATENCIÓN (8 MESES)]]-Tabla44[[#This Row],[VALOR TOTAL]]</f>
        <v>0</v>
      </c>
      <c r="BG428" s="12" t="b">
        <f>EXACT(Tabla44[[#This Row],[TOTAL DESEMBOLSOS]],Tabla44[[#This Row],[VALOR TOTAL DEL CONTRATO INCLUIDO EL COMPONENTE DE ALIMENTACIÓN]])</f>
        <v>1</v>
      </c>
      <c r="BH428" s="29">
        <f>Tabla44[[#This Row],[TOTAL DESEMBOLSOS]]-Tabla44[[#This Row],[VALOR TOTAL DEL CONTRATO INCLUIDO EL COMPONENTE DE ALIMENTACIÓN]]</f>
        <v>0</v>
      </c>
      <c r="BJ428" t="s">
        <v>3595</v>
      </c>
    </row>
    <row r="429" spans="1:62">
      <c r="A429" s="13">
        <v>2019</v>
      </c>
      <c r="B429" s="13"/>
      <c r="C429" s="12" t="s">
        <v>87</v>
      </c>
      <c r="D429" s="12" t="s">
        <v>673</v>
      </c>
      <c r="E429" s="12" t="s">
        <v>3637</v>
      </c>
      <c r="F429" s="12" t="s">
        <v>18</v>
      </c>
      <c r="G429" s="12" t="s">
        <v>90</v>
      </c>
      <c r="H429" s="12" t="s">
        <v>3639</v>
      </c>
      <c r="I429" s="36">
        <v>58581115218</v>
      </c>
      <c r="J429" s="12" t="s">
        <v>3640</v>
      </c>
      <c r="K429" s="12">
        <v>1</v>
      </c>
      <c r="L429" s="12">
        <v>14</v>
      </c>
      <c r="M429" s="12"/>
      <c r="N429" s="13">
        <v>2019</v>
      </c>
      <c r="O429" s="12" t="s">
        <v>2850</v>
      </c>
      <c r="P429" s="12"/>
      <c r="Q429" s="12"/>
      <c r="R429" s="12" t="s">
        <v>94</v>
      </c>
      <c r="S429" s="12">
        <v>10</v>
      </c>
      <c r="T429" s="12">
        <v>900072094</v>
      </c>
      <c r="U429" s="12" t="s">
        <v>3594</v>
      </c>
      <c r="V429" s="12">
        <f>VLOOKUP(Tabla44[[#This Row],[ZONA DEFINITIVO]],[1]Hoja1!$A$1:$D$125,3,0)</f>
        <v>229945</v>
      </c>
      <c r="W429" s="12">
        <f>VLOOKUP(Tabla44[[#This Row],[ZONA DEFINITIVO]],[1]Hoja1!$A$1:$D$125,2,0)</f>
        <v>17271</v>
      </c>
      <c r="X429" s="12">
        <f>VLOOKUP(Tabla44[[#This Row],[ZONA DEFINITIVO]],[1]Hoja1!$A$1:$D$125,4,0)</f>
        <v>105125</v>
      </c>
      <c r="Y429" s="12" t="str">
        <f>+IF(Tabla44[[#This Row],[AGRUPACIONES]]=1,SUMIFS(Tabla44[UDS],Tabla44[ZONA DEFINITIVO],Tabla44[[#This Row],[ZONA DEFINITIVO]])," ")</f>
        <v xml:space="preserve"> </v>
      </c>
      <c r="Z429" s="12" t="str">
        <f>+IF(Tabla44[[#This Row],[AGRUPACIONES]]=1,SUMIFS(Tabla44[TOTAL COBERTURA],Tabla44[ZONA DEFINITIVO],Tabla44[[#This Row],[ZONA DEFINITIVO]])," ")</f>
        <v xml:space="preserve"> </v>
      </c>
      <c r="AA429" s="12"/>
      <c r="AB429" s="35">
        <v>30522702</v>
      </c>
      <c r="AC429" s="37">
        <v>0</v>
      </c>
      <c r="AD429" s="35">
        <f t="shared" si="7"/>
        <v>0</v>
      </c>
      <c r="AE429" s="12"/>
      <c r="AF429" s="12">
        <f>COUNTIF($A$20:A429,A429)</f>
        <v>26</v>
      </c>
      <c r="AG429" s="38">
        <v>30522702</v>
      </c>
      <c r="AH429" s="38">
        <f>Tabla44[[#This Row],[VALOR CONTRAPARTIDA]]+Tabla44[[#This Row],[TOTAL APORTES ICBF]]</f>
        <v>30522702</v>
      </c>
      <c r="AI429" s="35" t="str">
        <f>+IF(Tabla44[[#This Row],[AGRUPACIONES]]=1,SUMIFS(Tabla44[TOTAL APORTES ICBF],Tabla44[ZONA DEFINITIVO],Tabla44[[#This Row],[ZONA DEFINITIVO]])," ")</f>
        <v xml:space="preserve"> </v>
      </c>
      <c r="AJ429" s="38"/>
      <c r="AK429" s="38"/>
      <c r="AL429" s="35"/>
      <c r="AM429" s="35">
        <f>VLOOKUP(Tabla44[[#This Row],[SERVICIO 2025]],$J$2:$V$15,5,0)*Tabla44[[#This Row],[TOTAL COBERTURA]]</f>
        <v>691264</v>
      </c>
      <c r="AN429" s="35">
        <f>VLOOKUP(Tabla44[[#This Row],[SERVICIO 2025]],$J$2:$V$15,6,0)*Tabla44[[#This Row],[TOTAL COBERTURA]]</f>
        <v>574406</v>
      </c>
      <c r="AO429" s="35">
        <f>VLOOKUP(Tabla44[[#This Row],[SERVICIO 2025]],$J$2:$V$15,8,0)*Tabla44[[#This Row],[TOTAL COBERTURA]]</f>
        <v>407400</v>
      </c>
      <c r="AP429" s="35">
        <f>VLOOKUP(Tabla44[[#This Row],[SERVICIO 2025]],$J$2:$V$15,3,0)*Tabla44[[#This Row],[TOTAL COBERTURA]]*8</f>
        <v>28849632</v>
      </c>
      <c r="AQ429" s="35"/>
      <c r="AR429" s="35">
        <f>SUM(Tabla44[[#This Row],[VALOR FASE PREPARATORIA DE ALISTAMIENTO]:[VALOR RACION PREPARADA]])</f>
        <v>30522702</v>
      </c>
      <c r="AS429" s="35" t="str">
        <f>+IF(Tabla44[[#This Row],[AGRUPACIONES]]=1,SUMIFS(Tabla44[VALOR TOTAL],Tabla44[ZONA DEFINITIVO],Tabla44[[#This Row],[ZONA DEFINITIVO]])," ")</f>
        <v xml:space="preserve"> </v>
      </c>
      <c r="AT429" s="35">
        <f>VLOOKUP(Tabla44[[#This Row],[SERVICIO 2025]],$J$2:$V$15,10,0)*Tabla44[[#This Row],[TOTAL COBERTURA]]*$X$7</f>
        <v>20202896</v>
      </c>
      <c r="AU429" s="39">
        <f>Tabla44[[#This Row],[TOTAL CONTRATO (ICBF+EAS)]]+Tabla44[[#This Row],[VALOR COMPONENTE ALIMENTACION NO ASIGNADO]]</f>
        <v>50725598</v>
      </c>
      <c r="AV42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429" s="35">
        <f>(VLOOKUP(Tabla44[[#This Row],[SERVICIO 2025]],$J$2:$V$15,3,0)*Tabla44[[#This Row],[TOTAL COBERTURA]])+VLOOKUP(Tabla44[[#This Row],[SERVICIO 2025]],$J$2:$V$15,10,0)*Tabla44[[#This Row],[TOTAL COBERTURA]]</f>
        <v>6131566</v>
      </c>
      <c r="AX429" s="35">
        <f>(VLOOKUP(Tabla44[[#This Row],[SERVICIO 2025]],$J$2:$V$15,3,0)*Tabla44[[#This Row],[TOTAL COBERTURA]])+VLOOKUP(Tabla44[[#This Row],[SERVICIO 2025]],$J$2:$V$15,10,0)*Tabla44[[#This Row],[TOTAL COBERTURA]]</f>
        <v>6131566</v>
      </c>
      <c r="AY429" s="35">
        <f>(VLOOKUP(Tabla44[[#This Row],[SERVICIO 2025]],$J$2:$V$15,3,0)*Tabla44[[#This Row],[TOTAL COBERTURA]])+VLOOKUP(Tabla44[[#This Row],[SERVICIO 2025]],$J$2:$V$15,10,0)*Tabla44[[#This Row],[TOTAL COBERTURA]]</f>
        <v>6131566</v>
      </c>
      <c r="AZ429" s="35">
        <f>(VLOOKUP(Tabla44[[#This Row],[SERVICIO 2025]],$J$2:$V$15,3,0)*Tabla44[[#This Row],[TOTAL COBERTURA]])+VLOOKUP(Tabla44[[#This Row],[SERVICIO 2025]],$J$2:$V$15,10,0)*Tabla44[[#This Row],[TOTAL COBERTURA]]</f>
        <v>6131566</v>
      </c>
      <c r="BA429" s="35">
        <f>(VLOOKUP(Tabla44[[#This Row],[SERVICIO 2025]],$J$2:$V$15,3,0)*Tabla44[[#This Row],[TOTAL COBERTURA]])+VLOOKUP(Tabla44[[#This Row],[SERVICIO 2025]],$J$2:$V$15,10,0)*Tabla44[[#This Row],[TOTAL COBERTURA]]</f>
        <v>6131566</v>
      </c>
      <c r="BB429" s="35">
        <f>(VLOOKUP(Tabla44[[#This Row],[SERVICIO 2025]],$J$2:$V$15,3,0)*Tabla44[[#This Row],[TOTAL COBERTURA]])+VLOOKUP(Tabla44[[#This Row],[SERVICIO 2025]],$J$2:$V$15,10,0)*Tabla44[[#This Row],[TOTAL COBERTURA]]</f>
        <v>6131566</v>
      </c>
      <c r="BC42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429" s="35">
        <f>SUM(Tabla44[[#This Row],[DESEMBOLSO 1]:[DESEMBOLSO 8]])</f>
        <v>50725598</v>
      </c>
      <c r="BE429" s="12" t="b">
        <f>EXACT(Tabla44[[#This Row],[VALOR ATENCIÓN (8 MESES)]],Tabla44[[#This Row],[VALOR TOTAL]])</f>
        <v>1</v>
      </c>
      <c r="BF429" s="23">
        <f>Tabla44[[#This Row],[VALOR ATENCIÓN (8 MESES)]]-Tabla44[[#This Row],[VALOR TOTAL]]</f>
        <v>0</v>
      </c>
      <c r="BG429" s="12" t="b">
        <f>EXACT(Tabla44[[#This Row],[TOTAL DESEMBOLSOS]],Tabla44[[#This Row],[VALOR TOTAL DEL CONTRATO INCLUIDO EL COMPONENTE DE ALIMENTACIÓN]])</f>
        <v>1</v>
      </c>
      <c r="BH429" s="29">
        <f>Tabla44[[#This Row],[TOTAL DESEMBOLSOS]]-Tabla44[[#This Row],[VALOR TOTAL DEL CONTRATO INCLUIDO EL COMPONENTE DE ALIMENTACIÓN]]</f>
        <v>0</v>
      </c>
      <c r="BJ429" t="s">
        <v>3595</v>
      </c>
    </row>
    <row r="430" spans="1:62">
      <c r="A430" s="13">
        <v>2019</v>
      </c>
      <c r="B430" s="13"/>
      <c r="C430" s="12" t="s">
        <v>87</v>
      </c>
      <c r="D430" s="12" t="s">
        <v>673</v>
      </c>
      <c r="E430" s="12" t="s">
        <v>3637</v>
      </c>
      <c r="F430" s="12" t="s">
        <v>18</v>
      </c>
      <c r="G430" s="12" t="s">
        <v>90</v>
      </c>
      <c r="H430" s="12" t="s">
        <v>3641</v>
      </c>
      <c r="I430" s="36">
        <v>58581115224</v>
      </c>
      <c r="J430" s="12" t="s">
        <v>3642</v>
      </c>
      <c r="K430" s="12">
        <v>1</v>
      </c>
      <c r="L430" s="12">
        <v>28</v>
      </c>
      <c r="M430" s="12"/>
      <c r="N430" s="13">
        <v>2019</v>
      </c>
      <c r="O430" s="12" t="s">
        <v>2850</v>
      </c>
      <c r="P430" s="12"/>
      <c r="Q430" s="12"/>
      <c r="R430" s="12" t="s">
        <v>94</v>
      </c>
      <c r="S430" s="12">
        <v>10</v>
      </c>
      <c r="T430" s="12">
        <v>900072094</v>
      </c>
      <c r="U430" s="12" t="s">
        <v>3594</v>
      </c>
      <c r="V430" s="12">
        <f>VLOOKUP(Tabla44[[#This Row],[ZONA DEFINITIVO]],[1]Hoja1!$A$1:$D$125,3,0)</f>
        <v>229945</v>
      </c>
      <c r="W430" s="12">
        <f>VLOOKUP(Tabla44[[#This Row],[ZONA DEFINITIVO]],[1]Hoja1!$A$1:$D$125,2,0)</f>
        <v>17271</v>
      </c>
      <c r="X430" s="12">
        <f>VLOOKUP(Tabla44[[#This Row],[ZONA DEFINITIVO]],[1]Hoja1!$A$1:$D$125,4,0)</f>
        <v>105125</v>
      </c>
      <c r="Y430" s="12" t="str">
        <f>+IF(Tabla44[[#This Row],[AGRUPACIONES]]=1,SUMIFS(Tabla44[UDS],Tabla44[ZONA DEFINITIVO],Tabla44[[#This Row],[ZONA DEFINITIVO]])," ")</f>
        <v xml:space="preserve"> </v>
      </c>
      <c r="Z430" s="12" t="str">
        <f>+IF(Tabla44[[#This Row],[AGRUPACIONES]]=1,SUMIFS(Tabla44[TOTAL COBERTURA],Tabla44[ZONA DEFINITIVO],Tabla44[[#This Row],[ZONA DEFINITIVO]])," ")</f>
        <v xml:space="preserve"> </v>
      </c>
      <c r="AA430" s="12"/>
      <c r="AB430" s="35">
        <v>61045404</v>
      </c>
      <c r="AC430" s="37">
        <v>0</v>
      </c>
      <c r="AD430" s="35">
        <f t="shared" si="7"/>
        <v>0</v>
      </c>
      <c r="AE430" s="12"/>
      <c r="AF430" s="12">
        <f>COUNTIF($A$20:A430,A430)</f>
        <v>27</v>
      </c>
      <c r="AG430" s="38">
        <v>61045404</v>
      </c>
      <c r="AH430" s="38">
        <f>Tabla44[[#This Row],[VALOR CONTRAPARTIDA]]+Tabla44[[#This Row],[TOTAL APORTES ICBF]]</f>
        <v>61045404</v>
      </c>
      <c r="AI430" s="35" t="str">
        <f>+IF(Tabla44[[#This Row],[AGRUPACIONES]]=1,SUMIFS(Tabla44[TOTAL APORTES ICBF],Tabla44[ZONA DEFINITIVO],Tabla44[[#This Row],[ZONA DEFINITIVO]])," ")</f>
        <v xml:space="preserve"> </v>
      </c>
      <c r="AJ430" s="38"/>
      <c r="AK430" s="38"/>
      <c r="AL430" s="35"/>
      <c r="AM430" s="35">
        <f>VLOOKUP(Tabla44[[#This Row],[SERVICIO 2025]],$J$2:$V$15,5,0)*Tabla44[[#This Row],[TOTAL COBERTURA]]</f>
        <v>1382528</v>
      </c>
      <c r="AN430" s="35">
        <f>VLOOKUP(Tabla44[[#This Row],[SERVICIO 2025]],$J$2:$V$15,6,0)*Tabla44[[#This Row],[TOTAL COBERTURA]]</f>
        <v>1148812</v>
      </c>
      <c r="AO430" s="35">
        <f>VLOOKUP(Tabla44[[#This Row],[SERVICIO 2025]],$J$2:$V$15,8,0)*Tabla44[[#This Row],[TOTAL COBERTURA]]</f>
        <v>814800</v>
      </c>
      <c r="AP430" s="35">
        <f>VLOOKUP(Tabla44[[#This Row],[SERVICIO 2025]],$J$2:$V$15,3,0)*Tabla44[[#This Row],[TOTAL COBERTURA]]*8</f>
        <v>57699264</v>
      </c>
      <c r="AQ430" s="35"/>
      <c r="AR430" s="35">
        <f>SUM(Tabla44[[#This Row],[VALOR FASE PREPARATORIA DE ALISTAMIENTO]:[VALOR RACION PREPARADA]])</f>
        <v>61045404</v>
      </c>
      <c r="AS430" s="35" t="str">
        <f>+IF(Tabla44[[#This Row],[AGRUPACIONES]]=1,SUMIFS(Tabla44[VALOR TOTAL],Tabla44[ZONA DEFINITIVO],Tabla44[[#This Row],[ZONA DEFINITIVO]])," ")</f>
        <v xml:space="preserve"> </v>
      </c>
      <c r="AT430" s="35">
        <f>VLOOKUP(Tabla44[[#This Row],[SERVICIO 2025]],$J$2:$V$15,10,0)*Tabla44[[#This Row],[TOTAL COBERTURA]]*$X$7</f>
        <v>40405792</v>
      </c>
      <c r="AU430" s="39">
        <f>Tabla44[[#This Row],[TOTAL CONTRATO (ICBF+EAS)]]+Tabla44[[#This Row],[VALOR COMPONENTE ALIMENTACION NO ASIGNADO]]</f>
        <v>101451196</v>
      </c>
      <c r="AV43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14460460</v>
      </c>
      <c r="AW430" s="35">
        <f>(VLOOKUP(Tabla44[[#This Row],[SERVICIO 2025]],$J$2:$V$15,3,0)*Tabla44[[#This Row],[TOTAL COBERTURA]])+VLOOKUP(Tabla44[[#This Row],[SERVICIO 2025]],$J$2:$V$15,10,0)*Tabla44[[#This Row],[TOTAL COBERTURA]]</f>
        <v>12263132</v>
      </c>
      <c r="AX430" s="35">
        <f>(VLOOKUP(Tabla44[[#This Row],[SERVICIO 2025]],$J$2:$V$15,3,0)*Tabla44[[#This Row],[TOTAL COBERTURA]])+VLOOKUP(Tabla44[[#This Row],[SERVICIO 2025]],$J$2:$V$15,10,0)*Tabla44[[#This Row],[TOTAL COBERTURA]]</f>
        <v>12263132</v>
      </c>
      <c r="AY430" s="35">
        <f>(VLOOKUP(Tabla44[[#This Row],[SERVICIO 2025]],$J$2:$V$15,3,0)*Tabla44[[#This Row],[TOTAL COBERTURA]])+VLOOKUP(Tabla44[[#This Row],[SERVICIO 2025]],$J$2:$V$15,10,0)*Tabla44[[#This Row],[TOTAL COBERTURA]]</f>
        <v>12263132</v>
      </c>
      <c r="AZ430" s="35">
        <f>(VLOOKUP(Tabla44[[#This Row],[SERVICIO 2025]],$J$2:$V$15,3,0)*Tabla44[[#This Row],[TOTAL COBERTURA]])+VLOOKUP(Tabla44[[#This Row],[SERVICIO 2025]],$J$2:$V$15,10,0)*Tabla44[[#This Row],[TOTAL COBERTURA]]</f>
        <v>12263132</v>
      </c>
      <c r="BA430" s="35">
        <f>(VLOOKUP(Tabla44[[#This Row],[SERVICIO 2025]],$J$2:$V$15,3,0)*Tabla44[[#This Row],[TOTAL COBERTURA]])+VLOOKUP(Tabla44[[#This Row],[SERVICIO 2025]],$J$2:$V$15,10,0)*Tabla44[[#This Row],[TOTAL COBERTURA]]</f>
        <v>12263132</v>
      </c>
      <c r="BB430" s="35">
        <f>(VLOOKUP(Tabla44[[#This Row],[SERVICIO 2025]],$J$2:$V$15,3,0)*Tabla44[[#This Row],[TOTAL COBERTURA]])+VLOOKUP(Tabla44[[#This Row],[SERVICIO 2025]],$J$2:$V$15,10,0)*Tabla44[[#This Row],[TOTAL COBERTURA]]</f>
        <v>12263132</v>
      </c>
      <c r="BC43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13411944</v>
      </c>
      <c r="BD430" s="35">
        <f>SUM(Tabla44[[#This Row],[DESEMBOLSO 1]:[DESEMBOLSO 8]])</f>
        <v>101451196</v>
      </c>
      <c r="BE430" s="12" t="b">
        <f>EXACT(Tabla44[[#This Row],[VALOR ATENCIÓN (8 MESES)]],Tabla44[[#This Row],[VALOR TOTAL]])</f>
        <v>1</v>
      </c>
      <c r="BF430" s="23">
        <f>Tabla44[[#This Row],[VALOR ATENCIÓN (8 MESES)]]-Tabla44[[#This Row],[VALOR TOTAL]]</f>
        <v>0</v>
      </c>
      <c r="BG430" s="12" t="b">
        <f>EXACT(Tabla44[[#This Row],[TOTAL DESEMBOLSOS]],Tabla44[[#This Row],[VALOR TOTAL DEL CONTRATO INCLUIDO EL COMPONENTE DE ALIMENTACIÓN]])</f>
        <v>1</v>
      </c>
      <c r="BH430" s="29">
        <f>Tabla44[[#This Row],[TOTAL DESEMBOLSOS]]-Tabla44[[#This Row],[VALOR TOTAL DEL CONTRATO INCLUIDO EL COMPONENTE DE ALIMENTACIÓN]]</f>
        <v>0</v>
      </c>
      <c r="BJ430" t="s">
        <v>3595</v>
      </c>
    </row>
    <row r="431" spans="1:62">
      <c r="A431" s="13">
        <v>2019</v>
      </c>
      <c r="B431" s="13"/>
      <c r="C431" s="12" t="s">
        <v>87</v>
      </c>
      <c r="D431" s="12" t="s">
        <v>673</v>
      </c>
      <c r="E431" s="12" t="s">
        <v>3637</v>
      </c>
      <c r="F431" s="12" t="s">
        <v>18</v>
      </c>
      <c r="G431" s="12" t="s">
        <v>90</v>
      </c>
      <c r="H431" s="12" t="s">
        <v>3643</v>
      </c>
      <c r="I431" s="36">
        <v>58581136491</v>
      </c>
      <c r="J431" s="12" t="s">
        <v>3644</v>
      </c>
      <c r="K431" s="12">
        <v>1</v>
      </c>
      <c r="L431" s="12">
        <v>8</v>
      </c>
      <c r="M431" s="12"/>
      <c r="N431" s="13">
        <v>2019</v>
      </c>
      <c r="O431" s="12" t="s">
        <v>2850</v>
      </c>
      <c r="P431" s="12"/>
      <c r="Q431" s="12"/>
      <c r="R431" s="12" t="s">
        <v>94</v>
      </c>
      <c r="S431" s="12">
        <v>10</v>
      </c>
      <c r="T431" s="12">
        <v>900072094</v>
      </c>
      <c r="U431" s="12" t="s">
        <v>3594</v>
      </c>
      <c r="V431" s="12">
        <f>VLOOKUP(Tabla44[[#This Row],[ZONA DEFINITIVO]],[1]Hoja1!$A$1:$D$125,3,0)</f>
        <v>229945</v>
      </c>
      <c r="W431" s="12">
        <f>VLOOKUP(Tabla44[[#This Row],[ZONA DEFINITIVO]],[1]Hoja1!$A$1:$D$125,2,0)</f>
        <v>17271</v>
      </c>
      <c r="X431" s="12">
        <f>VLOOKUP(Tabla44[[#This Row],[ZONA DEFINITIVO]],[1]Hoja1!$A$1:$D$125,4,0)</f>
        <v>105125</v>
      </c>
      <c r="Y431" s="12" t="str">
        <f>+IF(Tabla44[[#This Row],[AGRUPACIONES]]=1,SUMIFS(Tabla44[UDS],Tabla44[ZONA DEFINITIVO],Tabla44[[#This Row],[ZONA DEFINITIVO]])," ")</f>
        <v xml:space="preserve"> </v>
      </c>
      <c r="Z431" s="12" t="str">
        <f>+IF(Tabla44[[#This Row],[AGRUPACIONES]]=1,SUMIFS(Tabla44[TOTAL COBERTURA],Tabla44[ZONA DEFINITIVO],Tabla44[[#This Row],[ZONA DEFINITIVO]])," ")</f>
        <v xml:space="preserve"> </v>
      </c>
      <c r="AA431" s="12"/>
      <c r="AB431" s="35">
        <v>17441544</v>
      </c>
      <c r="AC431" s="37">
        <v>0</v>
      </c>
      <c r="AD431" s="35">
        <f t="shared" si="7"/>
        <v>0</v>
      </c>
      <c r="AE431" s="12"/>
      <c r="AF431" s="12">
        <f>COUNTIF($A$20:A431,A431)</f>
        <v>28</v>
      </c>
      <c r="AG431" s="38">
        <v>17441544</v>
      </c>
      <c r="AH431" s="38">
        <f>Tabla44[[#This Row],[VALOR CONTRAPARTIDA]]+Tabla44[[#This Row],[TOTAL APORTES ICBF]]</f>
        <v>17441544</v>
      </c>
      <c r="AI431" s="35" t="str">
        <f>+IF(Tabla44[[#This Row],[AGRUPACIONES]]=1,SUMIFS(Tabla44[TOTAL APORTES ICBF],Tabla44[ZONA DEFINITIVO],Tabla44[[#This Row],[ZONA DEFINITIVO]])," ")</f>
        <v xml:space="preserve"> </v>
      </c>
      <c r="AJ431" s="38"/>
      <c r="AK431" s="38"/>
      <c r="AL431" s="35"/>
      <c r="AM431" s="35">
        <f>VLOOKUP(Tabla44[[#This Row],[SERVICIO 2025]],$J$2:$V$15,5,0)*Tabla44[[#This Row],[TOTAL COBERTURA]]</f>
        <v>395008</v>
      </c>
      <c r="AN431" s="35">
        <f>VLOOKUP(Tabla44[[#This Row],[SERVICIO 2025]],$J$2:$V$15,6,0)*Tabla44[[#This Row],[TOTAL COBERTURA]]</f>
        <v>328232</v>
      </c>
      <c r="AO431" s="35">
        <f>VLOOKUP(Tabla44[[#This Row],[SERVICIO 2025]],$J$2:$V$15,8,0)*Tabla44[[#This Row],[TOTAL COBERTURA]]</f>
        <v>232800</v>
      </c>
      <c r="AP431" s="35">
        <f>VLOOKUP(Tabla44[[#This Row],[SERVICIO 2025]],$J$2:$V$15,3,0)*Tabla44[[#This Row],[TOTAL COBERTURA]]*8</f>
        <v>16485504</v>
      </c>
      <c r="AQ431" s="35"/>
      <c r="AR431" s="35">
        <f>SUM(Tabla44[[#This Row],[VALOR FASE PREPARATORIA DE ALISTAMIENTO]:[VALOR RACION PREPARADA]])</f>
        <v>17441544</v>
      </c>
      <c r="AS431" s="35" t="str">
        <f>+IF(Tabla44[[#This Row],[AGRUPACIONES]]=1,SUMIFS(Tabla44[VALOR TOTAL],Tabla44[ZONA DEFINITIVO],Tabla44[[#This Row],[ZONA DEFINITIVO]])," ")</f>
        <v xml:space="preserve"> </v>
      </c>
      <c r="AT431" s="35">
        <f>VLOOKUP(Tabla44[[#This Row],[SERVICIO 2025]],$J$2:$V$15,10,0)*Tabla44[[#This Row],[TOTAL COBERTURA]]*$X$7</f>
        <v>11544512</v>
      </c>
      <c r="AU431" s="39">
        <f>Tabla44[[#This Row],[TOTAL CONTRATO (ICBF+EAS)]]+Tabla44[[#This Row],[VALOR COMPONENTE ALIMENTACION NO ASIGNADO]]</f>
        <v>28986056</v>
      </c>
      <c r="AV43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4131560</v>
      </c>
      <c r="AW431" s="35">
        <f>(VLOOKUP(Tabla44[[#This Row],[SERVICIO 2025]],$J$2:$V$15,3,0)*Tabla44[[#This Row],[TOTAL COBERTURA]])+VLOOKUP(Tabla44[[#This Row],[SERVICIO 2025]],$J$2:$V$15,10,0)*Tabla44[[#This Row],[TOTAL COBERTURA]]</f>
        <v>3503752</v>
      </c>
      <c r="AX431" s="35">
        <f>(VLOOKUP(Tabla44[[#This Row],[SERVICIO 2025]],$J$2:$V$15,3,0)*Tabla44[[#This Row],[TOTAL COBERTURA]])+VLOOKUP(Tabla44[[#This Row],[SERVICIO 2025]],$J$2:$V$15,10,0)*Tabla44[[#This Row],[TOTAL COBERTURA]]</f>
        <v>3503752</v>
      </c>
      <c r="AY431" s="35">
        <f>(VLOOKUP(Tabla44[[#This Row],[SERVICIO 2025]],$J$2:$V$15,3,0)*Tabla44[[#This Row],[TOTAL COBERTURA]])+VLOOKUP(Tabla44[[#This Row],[SERVICIO 2025]],$J$2:$V$15,10,0)*Tabla44[[#This Row],[TOTAL COBERTURA]]</f>
        <v>3503752</v>
      </c>
      <c r="AZ431" s="35">
        <f>(VLOOKUP(Tabla44[[#This Row],[SERVICIO 2025]],$J$2:$V$15,3,0)*Tabla44[[#This Row],[TOTAL COBERTURA]])+VLOOKUP(Tabla44[[#This Row],[SERVICIO 2025]],$J$2:$V$15,10,0)*Tabla44[[#This Row],[TOTAL COBERTURA]]</f>
        <v>3503752</v>
      </c>
      <c r="BA431" s="35">
        <f>(VLOOKUP(Tabla44[[#This Row],[SERVICIO 2025]],$J$2:$V$15,3,0)*Tabla44[[#This Row],[TOTAL COBERTURA]])+VLOOKUP(Tabla44[[#This Row],[SERVICIO 2025]],$J$2:$V$15,10,0)*Tabla44[[#This Row],[TOTAL COBERTURA]]</f>
        <v>3503752</v>
      </c>
      <c r="BB431" s="35">
        <f>(VLOOKUP(Tabla44[[#This Row],[SERVICIO 2025]],$J$2:$V$15,3,0)*Tabla44[[#This Row],[TOTAL COBERTURA]])+VLOOKUP(Tabla44[[#This Row],[SERVICIO 2025]],$J$2:$V$15,10,0)*Tabla44[[#This Row],[TOTAL COBERTURA]]</f>
        <v>3503752</v>
      </c>
      <c r="BC43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3831984</v>
      </c>
      <c r="BD431" s="35">
        <f>SUM(Tabla44[[#This Row],[DESEMBOLSO 1]:[DESEMBOLSO 8]])</f>
        <v>28986056</v>
      </c>
      <c r="BE431" s="12" t="b">
        <f>EXACT(Tabla44[[#This Row],[VALOR ATENCIÓN (8 MESES)]],Tabla44[[#This Row],[VALOR TOTAL]])</f>
        <v>1</v>
      </c>
      <c r="BF431" s="23">
        <f>Tabla44[[#This Row],[VALOR ATENCIÓN (8 MESES)]]-Tabla44[[#This Row],[VALOR TOTAL]]</f>
        <v>0</v>
      </c>
      <c r="BG431" s="12" t="b">
        <f>EXACT(Tabla44[[#This Row],[TOTAL DESEMBOLSOS]],Tabla44[[#This Row],[VALOR TOTAL DEL CONTRATO INCLUIDO EL COMPONENTE DE ALIMENTACIÓN]])</f>
        <v>1</v>
      </c>
      <c r="BH431" s="29">
        <f>Tabla44[[#This Row],[TOTAL DESEMBOLSOS]]-Tabla44[[#This Row],[VALOR TOTAL DEL CONTRATO INCLUIDO EL COMPONENTE DE ALIMENTACIÓN]]</f>
        <v>0</v>
      </c>
      <c r="BJ431" t="s">
        <v>3595</v>
      </c>
    </row>
    <row r="432" spans="1:62">
      <c r="A432" s="13">
        <v>2019</v>
      </c>
      <c r="B432" s="13"/>
      <c r="C432" s="12" t="s">
        <v>87</v>
      </c>
      <c r="D432" s="12" t="s">
        <v>673</v>
      </c>
      <c r="E432" s="12" t="s">
        <v>3637</v>
      </c>
      <c r="F432" s="12" t="s">
        <v>18</v>
      </c>
      <c r="G432" s="12" t="s">
        <v>90</v>
      </c>
      <c r="H432" s="12" t="s">
        <v>3645</v>
      </c>
      <c r="I432" s="36">
        <v>58581136492</v>
      </c>
      <c r="J432" s="12" t="s">
        <v>3646</v>
      </c>
      <c r="K432" s="12">
        <v>1</v>
      </c>
      <c r="L432" s="12">
        <v>16</v>
      </c>
      <c r="M432" s="12"/>
      <c r="N432" s="13">
        <v>2019</v>
      </c>
      <c r="O432" s="12" t="s">
        <v>2850</v>
      </c>
      <c r="P432" s="12"/>
      <c r="Q432" s="12"/>
      <c r="R432" s="12" t="s">
        <v>94</v>
      </c>
      <c r="S432" s="12">
        <v>10</v>
      </c>
      <c r="T432" s="12">
        <v>900072094</v>
      </c>
      <c r="U432" s="12" t="s">
        <v>3594</v>
      </c>
      <c r="V432" s="12">
        <f>VLOOKUP(Tabla44[[#This Row],[ZONA DEFINITIVO]],[1]Hoja1!$A$1:$D$125,3,0)</f>
        <v>229945</v>
      </c>
      <c r="W432" s="12">
        <f>VLOOKUP(Tabla44[[#This Row],[ZONA DEFINITIVO]],[1]Hoja1!$A$1:$D$125,2,0)</f>
        <v>17271</v>
      </c>
      <c r="X432" s="12">
        <f>VLOOKUP(Tabla44[[#This Row],[ZONA DEFINITIVO]],[1]Hoja1!$A$1:$D$125,4,0)</f>
        <v>105125</v>
      </c>
      <c r="Y432" s="12" t="str">
        <f>+IF(Tabla44[[#This Row],[AGRUPACIONES]]=1,SUMIFS(Tabla44[UDS],Tabla44[ZONA DEFINITIVO],Tabla44[[#This Row],[ZONA DEFINITIVO]])," ")</f>
        <v xml:space="preserve"> </v>
      </c>
      <c r="Z432" s="12" t="str">
        <f>+IF(Tabla44[[#This Row],[AGRUPACIONES]]=1,SUMIFS(Tabla44[TOTAL COBERTURA],Tabla44[ZONA DEFINITIVO],Tabla44[[#This Row],[ZONA DEFINITIVO]])," ")</f>
        <v xml:space="preserve"> </v>
      </c>
      <c r="AA432" s="12"/>
      <c r="AB432" s="35">
        <v>34883088</v>
      </c>
      <c r="AC432" s="37">
        <v>0</v>
      </c>
      <c r="AD432" s="35">
        <f t="shared" si="7"/>
        <v>0</v>
      </c>
      <c r="AE432" s="12"/>
      <c r="AF432" s="12">
        <f>COUNTIF($A$20:A432,A432)</f>
        <v>29</v>
      </c>
      <c r="AG432" s="38">
        <v>34883088</v>
      </c>
      <c r="AH432" s="38">
        <f>Tabla44[[#This Row],[VALOR CONTRAPARTIDA]]+Tabla44[[#This Row],[TOTAL APORTES ICBF]]</f>
        <v>34883088</v>
      </c>
      <c r="AI432" s="35" t="str">
        <f>+IF(Tabla44[[#This Row],[AGRUPACIONES]]=1,SUMIFS(Tabla44[TOTAL APORTES ICBF],Tabla44[ZONA DEFINITIVO],Tabla44[[#This Row],[ZONA DEFINITIVO]])," ")</f>
        <v xml:space="preserve"> </v>
      </c>
      <c r="AJ432" s="38"/>
      <c r="AK432" s="38"/>
      <c r="AL432" s="35"/>
      <c r="AM432" s="35">
        <f>VLOOKUP(Tabla44[[#This Row],[SERVICIO 2025]],$J$2:$V$15,5,0)*Tabla44[[#This Row],[TOTAL COBERTURA]]</f>
        <v>790016</v>
      </c>
      <c r="AN432" s="35">
        <f>VLOOKUP(Tabla44[[#This Row],[SERVICIO 2025]],$J$2:$V$15,6,0)*Tabla44[[#This Row],[TOTAL COBERTURA]]</f>
        <v>656464</v>
      </c>
      <c r="AO432" s="35">
        <f>VLOOKUP(Tabla44[[#This Row],[SERVICIO 2025]],$J$2:$V$15,8,0)*Tabla44[[#This Row],[TOTAL COBERTURA]]</f>
        <v>465600</v>
      </c>
      <c r="AP432" s="35">
        <f>VLOOKUP(Tabla44[[#This Row],[SERVICIO 2025]],$J$2:$V$15,3,0)*Tabla44[[#This Row],[TOTAL COBERTURA]]*8</f>
        <v>32971008</v>
      </c>
      <c r="AQ432" s="35"/>
      <c r="AR432" s="35">
        <f>SUM(Tabla44[[#This Row],[VALOR FASE PREPARATORIA DE ALISTAMIENTO]:[VALOR RACION PREPARADA]])</f>
        <v>34883088</v>
      </c>
      <c r="AS432" s="35" t="str">
        <f>+IF(Tabla44[[#This Row],[AGRUPACIONES]]=1,SUMIFS(Tabla44[VALOR TOTAL],Tabla44[ZONA DEFINITIVO],Tabla44[[#This Row],[ZONA DEFINITIVO]])," ")</f>
        <v xml:space="preserve"> </v>
      </c>
      <c r="AT432" s="35">
        <f>VLOOKUP(Tabla44[[#This Row],[SERVICIO 2025]],$J$2:$V$15,10,0)*Tabla44[[#This Row],[TOTAL COBERTURA]]*$X$7</f>
        <v>23089024</v>
      </c>
      <c r="AU432" s="39">
        <f>Tabla44[[#This Row],[TOTAL CONTRATO (ICBF+EAS)]]+Tabla44[[#This Row],[VALOR COMPONENTE ALIMENTACION NO ASIGNADO]]</f>
        <v>57972112</v>
      </c>
      <c r="AV43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432" s="35">
        <f>(VLOOKUP(Tabla44[[#This Row],[SERVICIO 2025]],$J$2:$V$15,3,0)*Tabla44[[#This Row],[TOTAL COBERTURA]])+VLOOKUP(Tabla44[[#This Row],[SERVICIO 2025]],$J$2:$V$15,10,0)*Tabla44[[#This Row],[TOTAL COBERTURA]]</f>
        <v>7007504</v>
      </c>
      <c r="AX432" s="35">
        <f>(VLOOKUP(Tabla44[[#This Row],[SERVICIO 2025]],$J$2:$V$15,3,0)*Tabla44[[#This Row],[TOTAL COBERTURA]])+VLOOKUP(Tabla44[[#This Row],[SERVICIO 2025]],$J$2:$V$15,10,0)*Tabla44[[#This Row],[TOTAL COBERTURA]]</f>
        <v>7007504</v>
      </c>
      <c r="AY432" s="35">
        <f>(VLOOKUP(Tabla44[[#This Row],[SERVICIO 2025]],$J$2:$V$15,3,0)*Tabla44[[#This Row],[TOTAL COBERTURA]])+VLOOKUP(Tabla44[[#This Row],[SERVICIO 2025]],$J$2:$V$15,10,0)*Tabla44[[#This Row],[TOTAL COBERTURA]]</f>
        <v>7007504</v>
      </c>
      <c r="AZ432" s="35">
        <f>(VLOOKUP(Tabla44[[#This Row],[SERVICIO 2025]],$J$2:$V$15,3,0)*Tabla44[[#This Row],[TOTAL COBERTURA]])+VLOOKUP(Tabla44[[#This Row],[SERVICIO 2025]],$J$2:$V$15,10,0)*Tabla44[[#This Row],[TOTAL COBERTURA]]</f>
        <v>7007504</v>
      </c>
      <c r="BA432" s="35">
        <f>(VLOOKUP(Tabla44[[#This Row],[SERVICIO 2025]],$J$2:$V$15,3,0)*Tabla44[[#This Row],[TOTAL COBERTURA]])+VLOOKUP(Tabla44[[#This Row],[SERVICIO 2025]],$J$2:$V$15,10,0)*Tabla44[[#This Row],[TOTAL COBERTURA]]</f>
        <v>7007504</v>
      </c>
      <c r="BB432" s="35">
        <f>(VLOOKUP(Tabla44[[#This Row],[SERVICIO 2025]],$J$2:$V$15,3,0)*Tabla44[[#This Row],[TOTAL COBERTURA]])+VLOOKUP(Tabla44[[#This Row],[SERVICIO 2025]],$J$2:$V$15,10,0)*Tabla44[[#This Row],[TOTAL COBERTURA]]</f>
        <v>7007504</v>
      </c>
      <c r="BC43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432" s="35">
        <f>SUM(Tabla44[[#This Row],[DESEMBOLSO 1]:[DESEMBOLSO 8]])</f>
        <v>57972112</v>
      </c>
      <c r="BE432" s="12" t="b">
        <f>EXACT(Tabla44[[#This Row],[VALOR ATENCIÓN (8 MESES)]],Tabla44[[#This Row],[VALOR TOTAL]])</f>
        <v>1</v>
      </c>
      <c r="BF432" s="23">
        <f>Tabla44[[#This Row],[VALOR ATENCIÓN (8 MESES)]]-Tabla44[[#This Row],[VALOR TOTAL]]</f>
        <v>0</v>
      </c>
      <c r="BG432" s="12" t="b">
        <f>EXACT(Tabla44[[#This Row],[TOTAL DESEMBOLSOS]],Tabla44[[#This Row],[VALOR TOTAL DEL CONTRATO INCLUIDO EL COMPONENTE DE ALIMENTACIÓN]])</f>
        <v>1</v>
      </c>
      <c r="BH432" s="29">
        <f>Tabla44[[#This Row],[TOTAL DESEMBOLSOS]]-Tabla44[[#This Row],[VALOR TOTAL DEL CONTRATO INCLUIDO EL COMPONENTE DE ALIMENTACIÓN]]</f>
        <v>0</v>
      </c>
      <c r="BJ432" t="s">
        <v>3595</v>
      </c>
    </row>
    <row r="433" spans="1:62">
      <c r="A433" s="13">
        <v>2019</v>
      </c>
      <c r="B433" s="13"/>
      <c r="C433" s="12" t="s">
        <v>87</v>
      </c>
      <c r="D433" s="12" t="s">
        <v>673</v>
      </c>
      <c r="E433" s="12" t="s">
        <v>3637</v>
      </c>
      <c r="F433" s="12" t="s">
        <v>18</v>
      </c>
      <c r="G433" s="12" t="s">
        <v>90</v>
      </c>
      <c r="H433" s="12" t="s">
        <v>969</v>
      </c>
      <c r="I433" s="36">
        <v>58581136494</v>
      </c>
      <c r="J433" s="12" t="s">
        <v>3647</v>
      </c>
      <c r="K433" s="12">
        <v>1</v>
      </c>
      <c r="L433" s="12">
        <v>45</v>
      </c>
      <c r="M433" s="12"/>
      <c r="N433" s="13">
        <v>2019</v>
      </c>
      <c r="O433" s="12" t="s">
        <v>2850</v>
      </c>
      <c r="P433" s="12"/>
      <c r="Q433" s="12"/>
      <c r="R433" s="12" t="s">
        <v>94</v>
      </c>
      <c r="S433" s="12">
        <v>10</v>
      </c>
      <c r="T433" s="12">
        <v>900072094</v>
      </c>
      <c r="U433" s="12" t="s">
        <v>3594</v>
      </c>
      <c r="V433" s="12">
        <f>VLOOKUP(Tabla44[[#This Row],[ZONA DEFINITIVO]],[1]Hoja1!$A$1:$D$125,3,0)</f>
        <v>229945</v>
      </c>
      <c r="W433" s="12">
        <f>VLOOKUP(Tabla44[[#This Row],[ZONA DEFINITIVO]],[1]Hoja1!$A$1:$D$125,2,0)</f>
        <v>17271</v>
      </c>
      <c r="X433" s="12">
        <f>VLOOKUP(Tabla44[[#This Row],[ZONA DEFINITIVO]],[1]Hoja1!$A$1:$D$125,4,0)</f>
        <v>105125</v>
      </c>
      <c r="Y433" s="12" t="str">
        <f>+IF(Tabla44[[#This Row],[AGRUPACIONES]]=1,SUMIFS(Tabla44[UDS],Tabla44[ZONA DEFINITIVO],Tabla44[[#This Row],[ZONA DEFINITIVO]])," ")</f>
        <v xml:space="preserve"> </v>
      </c>
      <c r="Z433" s="12" t="str">
        <f>+IF(Tabla44[[#This Row],[AGRUPACIONES]]=1,SUMIFS(Tabla44[TOTAL COBERTURA],Tabla44[ZONA DEFINITIVO],Tabla44[[#This Row],[ZONA DEFINITIVO]])," ")</f>
        <v xml:space="preserve"> </v>
      </c>
      <c r="AA433" s="12"/>
      <c r="AB433" s="35">
        <v>98108685</v>
      </c>
      <c r="AC433" s="37">
        <v>0</v>
      </c>
      <c r="AD433" s="35">
        <f t="shared" si="7"/>
        <v>0</v>
      </c>
      <c r="AE433" s="12"/>
      <c r="AF433" s="12">
        <f>COUNTIF($A$20:A433,A433)</f>
        <v>30</v>
      </c>
      <c r="AG433" s="38">
        <v>98108685</v>
      </c>
      <c r="AH433" s="38">
        <f>Tabla44[[#This Row],[VALOR CONTRAPARTIDA]]+Tabla44[[#This Row],[TOTAL APORTES ICBF]]</f>
        <v>98108685</v>
      </c>
      <c r="AI433" s="35" t="str">
        <f>+IF(Tabla44[[#This Row],[AGRUPACIONES]]=1,SUMIFS(Tabla44[TOTAL APORTES ICBF],Tabla44[ZONA DEFINITIVO],Tabla44[[#This Row],[ZONA DEFINITIVO]])," ")</f>
        <v xml:space="preserve"> </v>
      </c>
      <c r="AJ433" s="38"/>
      <c r="AK433" s="38"/>
      <c r="AL433" s="35"/>
      <c r="AM433" s="35">
        <f>VLOOKUP(Tabla44[[#This Row],[SERVICIO 2025]],$J$2:$V$15,5,0)*Tabla44[[#This Row],[TOTAL COBERTURA]]</f>
        <v>2221920</v>
      </c>
      <c r="AN433" s="35">
        <f>VLOOKUP(Tabla44[[#This Row],[SERVICIO 2025]],$J$2:$V$15,6,0)*Tabla44[[#This Row],[TOTAL COBERTURA]]</f>
        <v>1846305</v>
      </c>
      <c r="AO433" s="35">
        <f>VLOOKUP(Tabla44[[#This Row],[SERVICIO 2025]],$J$2:$V$15,8,0)*Tabla44[[#This Row],[TOTAL COBERTURA]]</f>
        <v>1309500</v>
      </c>
      <c r="AP433" s="35">
        <f>VLOOKUP(Tabla44[[#This Row],[SERVICIO 2025]],$J$2:$V$15,3,0)*Tabla44[[#This Row],[TOTAL COBERTURA]]*8</f>
        <v>92730960</v>
      </c>
      <c r="AQ433" s="35"/>
      <c r="AR433" s="35">
        <f>SUM(Tabla44[[#This Row],[VALOR FASE PREPARATORIA DE ALISTAMIENTO]:[VALOR RACION PREPARADA]])</f>
        <v>98108685</v>
      </c>
      <c r="AS433" s="35" t="str">
        <f>+IF(Tabla44[[#This Row],[AGRUPACIONES]]=1,SUMIFS(Tabla44[VALOR TOTAL],Tabla44[ZONA DEFINITIVO],Tabla44[[#This Row],[ZONA DEFINITIVO]])," ")</f>
        <v xml:space="preserve"> </v>
      </c>
      <c r="AT433" s="35">
        <f>VLOOKUP(Tabla44[[#This Row],[SERVICIO 2025]],$J$2:$V$15,10,0)*Tabla44[[#This Row],[TOTAL COBERTURA]]*$X$7</f>
        <v>64937880</v>
      </c>
      <c r="AU433" s="39">
        <f>Tabla44[[#This Row],[TOTAL CONTRATO (ICBF+EAS)]]+Tabla44[[#This Row],[VALOR COMPONENTE ALIMENTACION NO ASIGNADO]]</f>
        <v>163046565</v>
      </c>
      <c r="AV43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23240025</v>
      </c>
      <c r="AW433" s="35">
        <f>(VLOOKUP(Tabla44[[#This Row],[SERVICIO 2025]],$J$2:$V$15,3,0)*Tabla44[[#This Row],[TOTAL COBERTURA]])+VLOOKUP(Tabla44[[#This Row],[SERVICIO 2025]],$J$2:$V$15,10,0)*Tabla44[[#This Row],[TOTAL COBERTURA]]</f>
        <v>19708605</v>
      </c>
      <c r="AX433" s="35">
        <f>(VLOOKUP(Tabla44[[#This Row],[SERVICIO 2025]],$J$2:$V$15,3,0)*Tabla44[[#This Row],[TOTAL COBERTURA]])+VLOOKUP(Tabla44[[#This Row],[SERVICIO 2025]],$J$2:$V$15,10,0)*Tabla44[[#This Row],[TOTAL COBERTURA]]</f>
        <v>19708605</v>
      </c>
      <c r="AY433" s="35">
        <f>(VLOOKUP(Tabla44[[#This Row],[SERVICIO 2025]],$J$2:$V$15,3,0)*Tabla44[[#This Row],[TOTAL COBERTURA]])+VLOOKUP(Tabla44[[#This Row],[SERVICIO 2025]],$J$2:$V$15,10,0)*Tabla44[[#This Row],[TOTAL COBERTURA]]</f>
        <v>19708605</v>
      </c>
      <c r="AZ433" s="35">
        <f>(VLOOKUP(Tabla44[[#This Row],[SERVICIO 2025]],$J$2:$V$15,3,0)*Tabla44[[#This Row],[TOTAL COBERTURA]])+VLOOKUP(Tabla44[[#This Row],[SERVICIO 2025]],$J$2:$V$15,10,0)*Tabla44[[#This Row],[TOTAL COBERTURA]]</f>
        <v>19708605</v>
      </c>
      <c r="BA433" s="35">
        <f>(VLOOKUP(Tabla44[[#This Row],[SERVICIO 2025]],$J$2:$V$15,3,0)*Tabla44[[#This Row],[TOTAL COBERTURA]])+VLOOKUP(Tabla44[[#This Row],[SERVICIO 2025]],$J$2:$V$15,10,0)*Tabla44[[#This Row],[TOTAL COBERTURA]]</f>
        <v>19708605</v>
      </c>
      <c r="BB433" s="35">
        <f>(VLOOKUP(Tabla44[[#This Row],[SERVICIO 2025]],$J$2:$V$15,3,0)*Tabla44[[#This Row],[TOTAL COBERTURA]])+VLOOKUP(Tabla44[[#This Row],[SERVICIO 2025]],$J$2:$V$15,10,0)*Tabla44[[#This Row],[TOTAL COBERTURA]]</f>
        <v>19708605</v>
      </c>
      <c r="BC43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21554910</v>
      </c>
      <c r="BD433" s="35">
        <f>SUM(Tabla44[[#This Row],[DESEMBOLSO 1]:[DESEMBOLSO 8]])</f>
        <v>163046565</v>
      </c>
      <c r="BE433" s="12" t="b">
        <f>EXACT(Tabla44[[#This Row],[VALOR ATENCIÓN (8 MESES)]],Tabla44[[#This Row],[VALOR TOTAL]])</f>
        <v>1</v>
      </c>
      <c r="BF433" s="23">
        <f>Tabla44[[#This Row],[VALOR ATENCIÓN (8 MESES)]]-Tabla44[[#This Row],[VALOR TOTAL]]</f>
        <v>0</v>
      </c>
      <c r="BG433" s="12" t="b">
        <f>EXACT(Tabla44[[#This Row],[TOTAL DESEMBOLSOS]],Tabla44[[#This Row],[VALOR TOTAL DEL CONTRATO INCLUIDO EL COMPONENTE DE ALIMENTACIÓN]])</f>
        <v>1</v>
      </c>
      <c r="BH433" s="29">
        <f>Tabla44[[#This Row],[TOTAL DESEMBOLSOS]]-Tabla44[[#This Row],[VALOR TOTAL DEL CONTRATO INCLUIDO EL COMPONENTE DE ALIMENTACIÓN]]</f>
        <v>0</v>
      </c>
      <c r="BJ433" t="s">
        <v>3595</v>
      </c>
    </row>
    <row r="434" spans="1:62">
      <c r="A434" s="13">
        <v>2019</v>
      </c>
      <c r="B434" s="13"/>
      <c r="C434" s="12" t="s">
        <v>87</v>
      </c>
      <c r="D434" s="12" t="s">
        <v>673</v>
      </c>
      <c r="E434" s="12" t="s">
        <v>3637</v>
      </c>
      <c r="F434" s="12" t="s">
        <v>18</v>
      </c>
      <c r="G434" s="12" t="s">
        <v>90</v>
      </c>
      <c r="H434" s="12" t="s">
        <v>3648</v>
      </c>
      <c r="I434" s="36">
        <v>58581136497</v>
      </c>
      <c r="J434" s="12" t="s">
        <v>3649</v>
      </c>
      <c r="K434" s="12">
        <v>1</v>
      </c>
      <c r="L434" s="12">
        <v>19</v>
      </c>
      <c r="M434" s="12"/>
      <c r="N434" s="13">
        <v>2019</v>
      </c>
      <c r="O434" s="12" t="s">
        <v>2850</v>
      </c>
      <c r="P434" s="12"/>
      <c r="Q434" s="12"/>
      <c r="R434" s="12" t="s">
        <v>94</v>
      </c>
      <c r="S434" s="12">
        <v>10</v>
      </c>
      <c r="T434" s="12">
        <v>900072094</v>
      </c>
      <c r="U434" s="12" t="s">
        <v>3594</v>
      </c>
      <c r="V434" s="12">
        <f>VLOOKUP(Tabla44[[#This Row],[ZONA DEFINITIVO]],[1]Hoja1!$A$1:$D$125,3,0)</f>
        <v>229945</v>
      </c>
      <c r="W434" s="12">
        <f>VLOOKUP(Tabla44[[#This Row],[ZONA DEFINITIVO]],[1]Hoja1!$A$1:$D$125,2,0)</f>
        <v>17271</v>
      </c>
      <c r="X434" s="12">
        <f>VLOOKUP(Tabla44[[#This Row],[ZONA DEFINITIVO]],[1]Hoja1!$A$1:$D$125,4,0)</f>
        <v>105125</v>
      </c>
      <c r="Y434" s="12" t="str">
        <f>+IF(Tabla44[[#This Row],[AGRUPACIONES]]=1,SUMIFS(Tabla44[UDS],Tabla44[ZONA DEFINITIVO],Tabla44[[#This Row],[ZONA DEFINITIVO]])," ")</f>
        <v xml:space="preserve"> </v>
      </c>
      <c r="Z434" s="12" t="str">
        <f>+IF(Tabla44[[#This Row],[AGRUPACIONES]]=1,SUMIFS(Tabla44[TOTAL COBERTURA],Tabla44[ZONA DEFINITIVO],Tabla44[[#This Row],[ZONA DEFINITIVO]])," ")</f>
        <v xml:space="preserve"> </v>
      </c>
      <c r="AA434" s="12"/>
      <c r="AB434" s="35">
        <v>41423667</v>
      </c>
      <c r="AC434" s="37">
        <v>0</v>
      </c>
      <c r="AD434" s="35">
        <f t="shared" si="7"/>
        <v>0</v>
      </c>
      <c r="AE434" s="12"/>
      <c r="AF434" s="12">
        <f>COUNTIF($A$20:A434,A434)</f>
        <v>31</v>
      </c>
      <c r="AG434" s="38">
        <v>41423667</v>
      </c>
      <c r="AH434" s="38">
        <f>Tabla44[[#This Row],[VALOR CONTRAPARTIDA]]+Tabla44[[#This Row],[TOTAL APORTES ICBF]]</f>
        <v>41423667</v>
      </c>
      <c r="AI434" s="35" t="str">
        <f>+IF(Tabla44[[#This Row],[AGRUPACIONES]]=1,SUMIFS(Tabla44[TOTAL APORTES ICBF],Tabla44[ZONA DEFINITIVO],Tabla44[[#This Row],[ZONA DEFINITIVO]])," ")</f>
        <v xml:space="preserve"> </v>
      </c>
      <c r="AJ434" s="38"/>
      <c r="AK434" s="38"/>
      <c r="AL434" s="35"/>
      <c r="AM434" s="35">
        <f>VLOOKUP(Tabla44[[#This Row],[SERVICIO 2025]],$J$2:$V$15,5,0)*Tabla44[[#This Row],[TOTAL COBERTURA]]</f>
        <v>938144</v>
      </c>
      <c r="AN434" s="35">
        <f>VLOOKUP(Tabla44[[#This Row],[SERVICIO 2025]],$J$2:$V$15,6,0)*Tabla44[[#This Row],[TOTAL COBERTURA]]</f>
        <v>779551</v>
      </c>
      <c r="AO434" s="35">
        <f>VLOOKUP(Tabla44[[#This Row],[SERVICIO 2025]],$J$2:$V$15,8,0)*Tabla44[[#This Row],[TOTAL COBERTURA]]</f>
        <v>552900</v>
      </c>
      <c r="AP434" s="35">
        <f>VLOOKUP(Tabla44[[#This Row],[SERVICIO 2025]],$J$2:$V$15,3,0)*Tabla44[[#This Row],[TOTAL COBERTURA]]*8</f>
        <v>39153072</v>
      </c>
      <c r="AQ434" s="35"/>
      <c r="AR434" s="35">
        <f>SUM(Tabla44[[#This Row],[VALOR FASE PREPARATORIA DE ALISTAMIENTO]:[VALOR RACION PREPARADA]])</f>
        <v>41423667</v>
      </c>
      <c r="AS434" s="35" t="str">
        <f>+IF(Tabla44[[#This Row],[AGRUPACIONES]]=1,SUMIFS(Tabla44[VALOR TOTAL],Tabla44[ZONA DEFINITIVO],Tabla44[[#This Row],[ZONA DEFINITIVO]])," ")</f>
        <v xml:space="preserve"> </v>
      </c>
      <c r="AT434" s="35">
        <f>VLOOKUP(Tabla44[[#This Row],[SERVICIO 2025]],$J$2:$V$15,10,0)*Tabla44[[#This Row],[TOTAL COBERTURA]]*$X$7</f>
        <v>27418216</v>
      </c>
      <c r="AU434" s="39">
        <f>Tabla44[[#This Row],[TOTAL CONTRATO (ICBF+EAS)]]+Tabla44[[#This Row],[VALOR COMPONENTE ALIMENTACION NO ASIGNADO]]</f>
        <v>68841883</v>
      </c>
      <c r="AV43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9812455</v>
      </c>
      <c r="AW434" s="35">
        <f>(VLOOKUP(Tabla44[[#This Row],[SERVICIO 2025]],$J$2:$V$15,3,0)*Tabla44[[#This Row],[TOTAL COBERTURA]])+VLOOKUP(Tabla44[[#This Row],[SERVICIO 2025]],$J$2:$V$15,10,0)*Tabla44[[#This Row],[TOTAL COBERTURA]]</f>
        <v>8321411</v>
      </c>
      <c r="AX434" s="35">
        <f>(VLOOKUP(Tabla44[[#This Row],[SERVICIO 2025]],$J$2:$V$15,3,0)*Tabla44[[#This Row],[TOTAL COBERTURA]])+VLOOKUP(Tabla44[[#This Row],[SERVICIO 2025]],$J$2:$V$15,10,0)*Tabla44[[#This Row],[TOTAL COBERTURA]]</f>
        <v>8321411</v>
      </c>
      <c r="AY434" s="35">
        <f>(VLOOKUP(Tabla44[[#This Row],[SERVICIO 2025]],$J$2:$V$15,3,0)*Tabla44[[#This Row],[TOTAL COBERTURA]])+VLOOKUP(Tabla44[[#This Row],[SERVICIO 2025]],$J$2:$V$15,10,0)*Tabla44[[#This Row],[TOTAL COBERTURA]]</f>
        <v>8321411</v>
      </c>
      <c r="AZ434" s="35">
        <f>(VLOOKUP(Tabla44[[#This Row],[SERVICIO 2025]],$J$2:$V$15,3,0)*Tabla44[[#This Row],[TOTAL COBERTURA]])+VLOOKUP(Tabla44[[#This Row],[SERVICIO 2025]],$J$2:$V$15,10,0)*Tabla44[[#This Row],[TOTAL COBERTURA]]</f>
        <v>8321411</v>
      </c>
      <c r="BA434" s="35">
        <f>(VLOOKUP(Tabla44[[#This Row],[SERVICIO 2025]],$J$2:$V$15,3,0)*Tabla44[[#This Row],[TOTAL COBERTURA]])+VLOOKUP(Tabla44[[#This Row],[SERVICIO 2025]],$J$2:$V$15,10,0)*Tabla44[[#This Row],[TOTAL COBERTURA]]</f>
        <v>8321411</v>
      </c>
      <c r="BB434" s="35">
        <f>(VLOOKUP(Tabla44[[#This Row],[SERVICIO 2025]],$J$2:$V$15,3,0)*Tabla44[[#This Row],[TOTAL COBERTURA]])+VLOOKUP(Tabla44[[#This Row],[SERVICIO 2025]],$J$2:$V$15,10,0)*Tabla44[[#This Row],[TOTAL COBERTURA]]</f>
        <v>8321411</v>
      </c>
      <c r="BC43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9100962</v>
      </c>
      <c r="BD434" s="35">
        <f>SUM(Tabla44[[#This Row],[DESEMBOLSO 1]:[DESEMBOLSO 8]])</f>
        <v>68841883</v>
      </c>
      <c r="BE434" s="12" t="b">
        <f>EXACT(Tabla44[[#This Row],[VALOR ATENCIÓN (8 MESES)]],Tabla44[[#This Row],[VALOR TOTAL]])</f>
        <v>1</v>
      </c>
      <c r="BF434" s="23">
        <f>Tabla44[[#This Row],[VALOR ATENCIÓN (8 MESES)]]-Tabla44[[#This Row],[VALOR TOTAL]]</f>
        <v>0</v>
      </c>
      <c r="BG434" s="12" t="b">
        <f>EXACT(Tabla44[[#This Row],[TOTAL DESEMBOLSOS]],Tabla44[[#This Row],[VALOR TOTAL DEL CONTRATO INCLUIDO EL COMPONENTE DE ALIMENTACIÓN]])</f>
        <v>1</v>
      </c>
      <c r="BH434" s="29">
        <f>Tabla44[[#This Row],[TOTAL DESEMBOLSOS]]-Tabla44[[#This Row],[VALOR TOTAL DEL CONTRATO INCLUIDO EL COMPONENTE DE ALIMENTACIÓN]]</f>
        <v>0</v>
      </c>
      <c r="BJ434" t="s">
        <v>3595</v>
      </c>
    </row>
    <row r="435" spans="1:62">
      <c r="A435" s="13">
        <v>2019</v>
      </c>
      <c r="B435" s="13"/>
      <c r="C435" s="12" t="s">
        <v>87</v>
      </c>
      <c r="D435" s="12" t="s">
        <v>673</v>
      </c>
      <c r="E435" s="12" t="s">
        <v>3637</v>
      </c>
      <c r="F435" s="12" t="s">
        <v>18</v>
      </c>
      <c r="G435" s="12" t="s">
        <v>90</v>
      </c>
      <c r="H435" s="12" t="s">
        <v>3650</v>
      </c>
      <c r="I435" s="36">
        <v>58581136500</v>
      </c>
      <c r="J435" s="12" t="s">
        <v>3651</v>
      </c>
      <c r="K435" s="12">
        <v>1</v>
      </c>
      <c r="L435" s="12">
        <v>42</v>
      </c>
      <c r="M435" s="12"/>
      <c r="N435" s="13">
        <v>2019</v>
      </c>
      <c r="O435" s="12" t="s">
        <v>2850</v>
      </c>
      <c r="P435" s="12"/>
      <c r="Q435" s="12"/>
      <c r="R435" s="12" t="s">
        <v>94</v>
      </c>
      <c r="S435" s="12">
        <v>10</v>
      </c>
      <c r="T435" s="12">
        <v>900072094</v>
      </c>
      <c r="U435" s="12" t="s">
        <v>3594</v>
      </c>
      <c r="V435" s="12">
        <f>VLOOKUP(Tabla44[[#This Row],[ZONA DEFINITIVO]],[1]Hoja1!$A$1:$D$125,3,0)</f>
        <v>229945</v>
      </c>
      <c r="W435" s="12">
        <f>VLOOKUP(Tabla44[[#This Row],[ZONA DEFINITIVO]],[1]Hoja1!$A$1:$D$125,2,0)</f>
        <v>17271</v>
      </c>
      <c r="X435" s="12">
        <f>VLOOKUP(Tabla44[[#This Row],[ZONA DEFINITIVO]],[1]Hoja1!$A$1:$D$125,4,0)</f>
        <v>105125</v>
      </c>
      <c r="Y435" s="12" t="str">
        <f>+IF(Tabla44[[#This Row],[AGRUPACIONES]]=1,SUMIFS(Tabla44[UDS],Tabla44[ZONA DEFINITIVO],Tabla44[[#This Row],[ZONA DEFINITIVO]])," ")</f>
        <v xml:space="preserve"> </v>
      </c>
      <c r="Z435" s="12" t="str">
        <f>+IF(Tabla44[[#This Row],[AGRUPACIONES]]=1,SUMIFS(Tabla44[TOTAL COBERTURA],Tabla44[ZONA DEFINITIVO],Tabla44[[#This Row],[ZONA DEFINITIVO]])," ")</f>
        <v xml:space="preserve"> </v>
      </c>
      <c r="AA435" s="12"/>
      <c r="AB435" s="35">
        <v>91568106</v>
      </c>
      <c r="AC435" s="37">
        <v>0</v>
      </c>
      <c r="AD435" s="35">
        <f t="shared" si="7"/>
        <v>0</v>
      </c>
      <c r="AE435" s="12"/>
      <c r="AF435" s="12">
        <f>COUNTIF($A$20:A435,A435)</f>
        <v>32</v>
      </c>
      <c r="AG435" s="38">
        <v>91568106</v>
      </c>
      <c r="AH435" s="38">
        <f>Tabla44[[#This Row],[VALOR CONTRAPARTIDA]]+Tabla44[[#This Row],[TOTAL APORTES ICBF]]</f>
        <v>91568106</v>
      </c>
      <c r="AI435" s="35" t="str">
        <f>+IF(Tabla44[[#This Row],[AGRUPACIONES]]=1,SUMIFS(Tabla44[TOTAL APORTES ICBF],Tabla44[ZONA DEFINITIVO],Tabla44[[#This Row],[ZONA DEFINITIVO]])," ")</f>
        <v xml:space="preserve"> </v>
      </c>
      <c r="AJ435" s="38"/>
      <c r="AK435" s="38"/>
      <c r="AL435" s="35"/>
      <c r="AM435" s="35">
        <f>VLOOKUP(Tabla44[[#This Row],[SERVICIO 2025]],$J$2:$V$15,5,0)*Tabla44[[#This Row],[TOTAL COBERTURA]]</f>
        <v>2073792</v>
      </c>
      <c r="AN435" s="35">
        <f>VLOOKUP(Tabla44[[#This Row],[SERVICIO 2025]],$J$2:$V$15,6,0)*Tabla44[[#This Row],[TOTAL COBERTURA]]</f>
        <v>1723218</v>
      </c>
      <c r="AO435" s="35">
        <f>VLOOKUP(Tabla44[[#This Row],[SERVICIO 2025]],$J$2:$V$15,8,0)*Tabla44[[#This Row],[TOTAL COBERTURA]]</f>
        <v>1222200</v>
      </c>
      <c r="AP435" s="35">
        <f>VLOOKUP(Tabla44[[#This Row],[SERVICIO 2025]],$J$2:$V$15,3,0)*Tabla44[[#This Row],[TOTAL COBERTURA]]*8</f>
        <v>86548896</v>
      </c>
      <c r="AQ435" s="35"/>
      <c r="AR435" s="35">
        <f>SUM(Tabla44[[#This Row],[VALOR FASE PREPARATORIA DE ALISTAMIENTO]:[VALOR RACION PREPARADA]])</f>
        <v>91568106</v>
      </c>
      <c r="AS435" s="35" t="str">
        <f>+IF(Tabla44[[#This Row],[AGRUPACIONES]]=1,SUMIFS(Tabla44[VALOR TOTAL],Tabla44[ZONA DEFINITIVO],Tabla44[[#This Row],[ZONA DEFINITIVO]])," ")</f>
        <v xml:space="preserve"> </v>
      </c>
      <c r="AT435" s="35">
        <f>VLOOKUP(Tabla44[[#This Row],[SERVICIO 2025]],$J$2:$V$15,10,0)*Tabla44[[#This Row],[TOTAL COBERTURA]]*$X$7</f>
        <v>60608688</v>
      </c>
      <c r="AU435" s="39">
        <f>Tabla44[[#This Row],[TOTAL CONTRATO (ICBF+EAS)]]+Tabla44[[#This Row],[VALOR COMPONENTE ALIMENTACION NO ASIGNADO]]</f>
        <v>152176794</v>
      </c>
      <c r="AV43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21690690</v>
      </c>
      <c r="AW435" s="35">
        <f>(VLOOKUP(Tabla44[[#This Row],[SERVICIO 2025]],$J$2:$V$15,3,0)*Tabla44[[#This Row],[TOTAL COBERTURA]])+VLOOKUP(Tabla44[[#This Row],[SERVICIO 2025]],$J$2:$V$15,10,0)*Tabla44[[#This Row],[TOTAL COBERTURA]]</f>
        <v>18394698</v>
      </c>
      <c r="AX435" s="35">
        <f>(VLOOKUP(Tabla44[[#This Row],[SERVICIO 2025]],$J$2:$V$15,3,0)*Tabla44[[#This Row],[TOTAL COBERTURA]])+VLOOKUP(Tabla44[[#This Row],[SERVICIO 2025]],$J$2:$V$15,10,0)*Tabla44[[#This Row],[TOTAL COBERTURA]]</f>
        <v>18394698</v>
      </c>
      <c r="AY435" s="35">
        <f>(VLOOKUP(Tabla44[[#This Row],[SERVICIO 2025]],$J$2:$V$15,3,0)*Tabla44[[#This Row],[TOTAL COBERTURA]])+VLOOKUP(Tabla44[[#This Row],[SERVICIO 2025]],$J$2:$V$15,10,0)*Tabla44[[#This Row],[TOTAL COBERTURA]]</f>
        <v>18394698</v>
      </c>
      <c r="AZ435" s="35">
        <f>(VLOOKUP(Tabla44[[#This Row],[SERVICIO 2025]],$J$2:$V$15,3,0)*Tabla44[[#This Row],[TOTAL COBERTURA]])+VLOOKUP(Tabla44[[#This Row],[SERVICIO 2025]],$J$2:$V$15,10,0)*Tabla44[[#This Row],[TOTAL COBERTURA]]</f>
        <v>18394698</v>
      </c>
      <c r="BA435" s="35">
        <f>(VLOOKUP(Tabla44[[#This Row],[SERVICIO 2025]],$J$2:$V$15,3,0)*Tabla44[[#This Row],[TOTAL COBERTURA]])+VLOOKUP(Tabla44[[#This Row],[SERVICIO 2025]],$J$2:$V$15,10,0)*Tabla44[[#This Row],[TOTAL COBERTURA]]</f>
        <v>18394698</v>
      </c>
      <c r="BB435" s="35">
        <f>(VLOOKUP(Tabla44[[#This Row],[SERVICIO 2025]],$J$2:$V$15,3,0)*Tabla44[[#This Row],[TOTAL COBERTURA]])+VLOOKUP(Tabla44[[#This Row],[SERVICIO 2025]],$J$2:$V$15,10,0)*Tabla44[[#This Row],[TOTAL COBERTURA]]</f>
        <v>18394698</v>
      </c>
      <c r="BC43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20117916</v>
      </c>
      <c r="BD435" s="35">
        <f>SUM(Tabla44[[#This Row],[DESEMBOLSO 1]:[DESEMBOLSO 8]])</f>
        <v>152176794</v>
      </c>
      <c r="BE435" s="12" t="b">
        <f>EXACT(Tabla44[[#This Row],[VALOR ATENCIÓN (8 MESES)]],Tabla44[[#This Row],[VALOR TOTAL]])</f>
        <v>1</v>
      </c>
      <c r="BF435" s="23">
        <f>Tabla44[[#This Row],[VALOR ATENCIÓN (8 MESES)]]-Tabla44[[#This Row],[VALOR TOTAL]]</f>
        <v>0</v>
      </c>
      <c r="BG435" s="12" t="b">
        <f>EXACT(Tabla44[[#This Row],[TOTAL DESEMBOLSOS]],Tabla44[[#This Row],[VALOR TOTAL DEL CONTRATO INCLUIDO EL COMPONENTE DE ALIMENTACIÓN]])</f>
        <v>1</v>
      </c>
      <c r="BH435" s="29">
        <f>Tabla44[[#This Row],[TOTAL DESEMBOLSOS]]-Tabla44[[#This Row],[VALOR TOTAL DEL CONTRATO INCLUIDO EL COMPONENTE DE ALIMENTACIÓN]]</f>
        <v>0</v>
      </c>
      <c r="BJ435" t="s">
        <v>3595</v>
      </c>
    </row>
    <row r="436" spans="1:62">
      <c r="A436" s="13">
        <v>2019</v>
      </c>
      <c r="B436" s="13"/>
      <c r="C436" s="12" t="s">
        <v>87</v>
      </c>
      <c r="D436" s="12" t="s">
        <v>673</v>
      </c>
      <c r="E436" s="12" t="s">
        <v>3637</v>
      </c>
      <c r="F436" s="12" t="s">
        <v>18</v>
      </c>
      <c r="G436" s="12" t="s">
        <v>90</v>
      </c>
      <c r="H436" s="12" t="s">
        <v>3652</v>
      </c>
      <c r="I436" s="36">
        <v>58581136540</v>
      </c>
      <c r="J436" s="12" t="s">
        <v>3653</v>
      </c>
      <c r="K436" s="12">
        <v>1</v>
      </c>
      <c r="L436" s="12">
        <v>12</v>
      </c>
      <c r="M436" s="12"/>
      <c r="N436" s="13">
        <v>2019</v>
      </c>
      <c r="O436" s="12" t="s">
        <v>2850</v>
      </c>
      <c r="P436" s="12"/>
      <c r="Q436" s="12"/>
      <c r="R436" s="12" t="s">
        <v>94</v>
      </c>
      <c r="S436" s="12">
        <v>10</v>
      </c>
      <c r="T436" s="12">
        <v>900072094</v>
      </c>
      <c r="U436" s="12" t="s">
        <v>3594</v>
      </c>
      <c r="V436" s="12">
        <f>VLOOKUP(Tabla44[[#This Row],[ZONA DEFINITIVO]],[1]Hoja1!$A$1:$D$125,3,0)</f>
        <v>229945</v>
      </c>
      <c r="W436" s="12">
        <f>VLOOKUP(Tabla44[[#This Row],[ZONA DEFINITIVO]],[1]Hoja1!$A$1:$D$125,2,0)</f>
        <v>17271</v>
      </c>
      <c r="X436" s="12">
        <f>VLOOKUP(Tabla44[[#This Row],[ZONA DEFINITIVO]],[1]Hoja1!$A$1:$D$125,4,0)</f>
        <v>105125</v>
      </c>
      <c r="Y436" s="12" t="str">
        <f>+IF(Tabla44[[#This Row],[AGRUPACIONES]]=1,SUMIFS(Tabla44[UDS],Tabla44[ZONA DEFINITIVO],Tabla44[[#This Row],[ZONA DEFINITIVO]])," ")</f>
        <v xml:space="preserve"> </v>
      </c>
      <c r="Z436" s="12" t="str">
        <f>+IF(Tabla44[[#This Row],[AGRUPACIONES]]=1,SUMIFS(Tabla44[TOTAL COBERTURA],Tabla44[ZONA DEFINITIVO],Tabla44[[#This Row],[ZONA DEFINITIVO]])," ")</f>
        <v xml:space="preserve"> </v>
      </c>
      <c r="AA436" s="12"/>
      <c r="AB436" s="35">
        <v>26162316</v>
      </c>
      <c r="AC436" s="37">
        <v>0</v>
      </c>
      <c r="AD436" s="35">
        <f t="shared" si="7"/>
        <v>0</v>
      </c>
      <c r="AE436" s="12"/>
      <c r="AF436" s="12">
        <f>COUNTIF($A$20:A436,A436)</f>
        <v>33</v>
      </c>
      <c r="AG436" s="38">
        <v>26162316</v>
      </c>
      <c r="AH436" s="38">
        <f>Tabla44[[#This Row],[VALOR CONTRAPARTIDA]]+Tabla44[[#This Row],[TOTAL APORTES ICBF]]</f>
        <v>26162316</v>
      </c>
      <c r="AI436" s="35" t="str">
        <f>+IF(Tabla44[[#This Row],[AGRUPACIONES]]=1,SUMIFS(Tabla44[TOTAL APORTES ICBF],Tabla44[ZONA DEFINITIVO],Tabla44[[#This Row],[ZONA DEFINITIVO]])," ")</f>
        <v xml:space="preserve"> </v>
      </c>
      <c r="AJ436" s="38"/>
      <c r="AK436" s="38"/>
      <c r="AL436" s="35"/>
      <c r="AM436" s="35">
        <f>VLOOKUP(Tabla44[[#This Row],[SERVICIO 2025]],$J$2:$V$15,5,0)*Tabla44[[#This Row],[TOTAL COBERTURA]]</f>
        <v>592512</v>
      </c>
      <c r="AN436" s="35">
        <f>VLOOKUP(Tabla44[[#This Row],[SERVICIO 2025]],$J$2:$V$15,6,0)*Tabla44[[#This Row],[TOTAL COBERTURA]]</f>
        <v>492348</v>
      </c>
      <c r="AO436" s="35">
        <f>VLOOKUP(Tabla44[[#This Row],[SERVICIO 2025]],$J$2:$V$15,8,0)*Tabla44[[#This Row],[TOTAL COBERTURA]]</f>
        <v>349200</v>
      </c>
      <c r="AP436" s="35">
        <f>VLOOKUP(Tabla44[[#This Row],[SERVICIO 2025]],$J$2:$V$15,3,0)*Tabla44[[#This Row],[TOTAL COBERTURA]]*8</f>
        <v>24728256</v>
      </c>
      <c r="AQ436" s="35"/>
      <c r="AR436" s="35">
        <f>SUM(Tabla44[[#This Row],[VALOR FASE PREPARATORIA DE ALISTAMIENTO]:[VALOR RACION PREPARADA]])</f>
        <v>26162316</v>
      </c>
      <c r="AS436" s="35" t="str">
        <f>+IF(Tabla44[[#This Row],[AGRUPACIONES]]=1,SUMIFS(Tabla44[VALOR TOTAL],Tabla44[ZONA DEFINITIVO],Tabla44[[#This Row],[ZONA DEFINITIVO]])," ")</f>
        <v xml:space="preserve"> </v>
      </c>
      <c r="AT436" s="35">
        <f>VLOOKUP(Tabla44[[#This Row],[SERVICIO 2025]],$J$2:$V$15,10,0)*Tabla44[[#This Row],[TOTAL COBERTURA]]*$X$7</f>
        <v>17316768</v>
      </c>
      <c r="AU436" s="39">
        <f>Tabla44[[#This Row],[TOTAL CONTRATO (ICBF+EAS)]]+Tabla44[[#This Row],[VALOR COMPONENTE ALIMENTACION NO ASIGNADO]]</f>
        <v>43479084</v>
      </c>
      <c r="AV43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436" s="35">
        <f>(VLOOKUP(Tabla44[[#This Row],[SERVICIO 2025]],$J$2:$V$15,3,0)*Tabla44[[#This Row],[TOTAL COBERTURA]])+VLOOKUP(Tabla44[[#This Row],[SERVICIO 2025]],$J$2:$V$15,10,0)*Tabla44[[#This Row],[TOTAL COBERTURA]]</f>
        <v>5255628</v>
      </c>
      <c r="AX436" s="35">
        <f>(VLOOKUP(Tabla44[[#This Row],[SERVICIO 2025]],$J$2:$V$15,3,0)*Tabla44[[#This Row],[TOTAL COBERTURA]])+VLOOKUP(Tabla44[[#This Row],[SERVICIO 2025]],$J$2:$V$15,10,0)*Tabla44[[#This Row],[TOTAL COBERTURA]]</f>
        <v>5255628</v>
      </c>
      <c r="AY436" s="35">
        <f>(VLOOKUP(Tabla44[[#This Row],[SERVICIO 2025]],$J$2:$V$15,3,0)*Tabla44[[#This Row],[TOTAL COBERTURA]])+VLOOKUP(Tabla44[[#This Row],[SERVICIO 2025]],$J$2:$V$15,10,0)*Tabla44[[#This Row],[TOTAL COBERTURA]]</f>
        <v>5255628</v>
      </c>
      <c r="AZ436" s="35">
        <f>(VLOOKUP(Tabla44[[#This Row],[SERVICIO 2025]],$J$2:$V$15,3,0)*Tabla44[[#This Row],[TOTAL COBERTURA]])+VLOOKUP(Tabla44[[#This Row],[SERVICIO 2025]],$J$2:$V$15,10,0)*Tabla44[[#This Row],[TOTAL COBERTURA]]</f>
        <v>5255628</v>
      </c>
      <c r="BA436" s="35">
        <f>(VLOOKUP(Tabla44[[#This Row],[SERVICIO 2025]],$J$2:$V$15,3,0)*Tabla44[[#This Row],[TOTAL COBERTURA]])+VLOOKUP(Tabla44[[#This Row],[SERVICIO 2025]],$J$2:$V$15,10,0)*Tabla44[[#This Row],[TOTAL COBERTURA]]</f>
        <v>5255628</v>
      </c>
      <c r="BB436" s="35">
        <f>(VLOOKUP(Tabla44[[#This Row],[SERVICIO 2025]],$J$2:$V$15,3,0)*Tabla44[[#This Row],[TOTAL COBERTURA]])+VLOOKUP(Tabla44[[#This Row],[SERVICIO 2025]],$J$2:$V$15,10,0)*Tabla44[[#This Row],[TOTAL COBERTURA]]</f>
        <v>5255628</v>
      </c>
      <c r="BC43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436" s="35">
        <f>SUM(Tabla44[[#This Row],[DESEMBOLSO 1]:[DESEMBOLSO 8]])</f>
        <v>43479084</v>
      </c>
      <c r="BE436" s="12" t="b">
        <f>EXACT(Tabla44[[#This Row],[VALOR ATENCIÓN (8 MESES)]],Tabla44[[#This Row],[VALOR TOTAL]])</f>
        <v>1</v>
      </c>
      <c r="BF436" s="23">
        <f>Tabla44[[#This Row],[VALOR ATENCIÓN (8 MESES)]]-Tabla44[[#This Row],[VALOR TOTAL]]</f>
        <v>0</v>
      </c>
      <c r="BG436" s="12" t="b">
        <f>EXACT(Tabla44[[#This Row],[TOTAL DESEMBOLSOS]],Tabla44[[#This Row],[VALOR TOTAL DEL CONTRATO INCLUIDO EL COMPONENTE DE ALIMENTACIÓN]])</f>
        <v>1</v>
      </c>
      <c r="BH436" s="29">
        <f>Tabla44[[#This Row],[TOTAL DESEMBOLSOS]]-Tabla44[[#This Row],[VALOR TOTAL DEL CONTRATO INCLUIDO EL COMPONENTE DE ALIMENTACIÓN]]</f>
        <v>0</v>
      </c>
      <c r="BJ436" t="s">
        <v>3595</v>
      </c>
    </row>
    <row r="437" spans="1:62">
      <c r="A437" s="13">
        <v>2019</v>
      </c>
      <c r="B437" s="13"/>
      <c r="C437" s="12" t="s">
        <v>87</v>
      </c>
      <c r="D437" s="12" t="s">
        <v>673</v>
      </c>
      <c r="E437" s="12" t="s">
        <v>3637</v>
      </c>
      <c r="F437" s="12" t="s">
        <v>18</v>
      </c>
      <c r="G437" s="12" t="s">
        <v>90</v>
      </c>
      <c r="H437" s="12" t="s">
        <v>3540</v>
      </c>
      <c r="I437" s="36">
        <v>58581136545</v>
      </c>
      <c r="J437" s="12" t="s">
        <v>3654</v>
      </c>
      <c r="K437" s="12">
        <v>1</v>
      </c>
      <c r="L437" s="12">
        <v>13</v>
      </c>
      <c r="M437" s="12"/>
      <c r="N437" s="13">
        <v>2019</v>
      </c>
      <c r="O437" s="12" t="s">
        <v>2850</v>
      </c>
      <c r="P437" s="12"/>
      <c r="Q437" s="12"/>
      <c r="R437" s="12" t="s">
        <v>94</v>
      </c>
      <c r="S437" s="12">
        <v>10</v>
      </c>
      <c r="T437" s="12">
        <v>900072094</v>
      </c>
      <c r="U437" s="12" t="s">
        <v>3594</v>
      </c>
      <c r="V437" s="12">
        <f>VLOOKUP(Tabla44[[#This Row],[ZONA DEFINITIVO]],[1]Hoja1!$A$1:$D$125,3,0)</f>
        <v>229945</v>
      </c>
      <c r="W437" s="12">
        <f>VLOOKUP(Tabla44[[#This Row],[ZONA DEFINITIVO]],[1]Hoja1!$A$1:$D$125,2,0)</f>
        <v>17271</v>
      </c>
      <c r="X437" s="12">
        <f>VLOOKUP(Tabla44[[#This Row],[ZONA DEFINITIVO]],[1]Hoja1!$A$1:$D$125,4,0)</f>
        <v>105125</v>
      </c>
      <c r="Y437" s="12" t="str">
        <f>+IF(Tabla44[[#This Row],[AGRUPACIONES]]=1,SUMIFS(Tabla44[UDS],Tabla44[ZONA DEFINITIVO],Tabla44[[#This Row],[ZONA DEFINITIVO]])," ")</f>
        <v xml:space="preserve"> </v>
      </c>
      <c r="Z437" s="12" t="str">
        <f>+IF(Tabla44[[#This Row],[AGRUPACIONES]]=1,SUMIFS(Tabla44[TOTAL COBERTURA],Tabla44[ZONA DEFINITIVO],Tabla44[[#This Row],[ZONA DEFINITIVO]])," ")</f>
        <v xml:space="preserve"> </v>
      </c>
      <c r="AA437" s="12"/>
      <c r="AB437" s="35">
        <v>28342509</v>
      </c>
      <c r="AC437" s="37">
        <v>0</v>
      </c>
      <c r="AD437" s="35">
        <f t="shared" si="7"/>
        <v>0</v>
      </c>
      <c r="AE437" s="12"/>
      <c r="AF437" s="12">
        <f>COUNTIF($A$20:A437,A437)</f>
        <v>34</v>
      </c>
      <c r="AG437" s="38">
        <v>28342509</v>
      </c>
      <c r="AH437" s="38">
        <f>Tabla44[[#This Row],[VALOR CONTRAPARTIDA]]+Tabla44[[#This Row],[TOTAL APORTES ICBF]]</f>
        <v>28342509</v>
      </c>
      <c r="AI437" s="35" t="str">
        <f>+IF(Tabla44[[#This Row],[AGRUPACIONES]]=1,SUMIFS(Tabla44[TOTAL APORTES ICBF],Tabla44[ZONA DEFINITIVO],Tabla44[[#This Row],[ZONA DEFINITIVO]])," ")</f>
        <v xml:space="preserve"> </v>
      </c>
      <c r="AJ437" s="38"/>
      <c r="AK437" s="38"/>
      <c r="AL437" s="35"/>
      <c r="AM437" s="35">
        <f>VLOOKUP(Tabla44[[#This Row],[SERVICIO 2025]],$J$2:$V$15,5,0)*Tabla44[[#This Row],[TOTAL COBERTURA]]</f>
        <v>641888</v>
      </c>
      <c r="AN437" s="35">
        <f>VLOOKUP(Tabla44[[#This Row],[SERVICIO 2025]],$J$2:$V$15,6,0)*Tabla44[[#This Row],[TOTAL COBERTURA]]</f>
        <v>533377</v>
      </c>
      <c r="AO437" s="35">
        <f>VLOOKUP(Tabla44[[#This Row],[SERVICIO 2025]],$J$2:$V$15,8,0)*Tabla44[[#This Row],[TOTAL COBERTURA]]</f>
        <v>378300</v>
      </c>
      <c r="AP437" s="35">
        <f>VLOOKUP(Tabla44[[#This Row],[SERVICIO 2025]],$J$2:$V$15,3,0)*Tabla44[[#This Row],[TOTAL COBERTURA]]*8</f>
        <v>26788944</v>
      </c>
      <c r="AQ437" s="35"/>
      <c r="AR437" s="35">
        <f>SUM(Tabla44[[#This Row],[VALOR FASE PREPARATORIA DE ALISTAMIENTO]:[VALOR RACION PREPARADA]])</f>
        <v>28342509</v>
      </c>
      <c r="AS437" s="35" t="str">
        <f>+IF(Tabla44[[#This Row],[AGRUPACIONES]]=1,SUMIFS(Tabla44[VALOR TOTAL],Tabla44[ZONA DEFINITIVO],Tabla44[[#This Row],[ZONA DEFINITIVO]])," ")</f>
        <v xml:space="preserve"> </v>
      </c>
      <c r="AT437" s="35">
        <f>VLOOKUP(Tabla44[[#This Row],[SERVICIO 2025]],$J$2:$V$15,10,0)*Tabla44[[#This Row],[TOTAL COBERTURA]]*$X$7</f>
        <v>18759832</v>
      </c>
      <c r="AU437" s="39">
        <f>Tabla44[[#This Row],[TOTAL CONTRATO (ICBF+EAS)]]+Tabla44[[#This Row],[VALOR COMPONENTE ALIMENTACION NO ASIGNADO]]</f>
        <v>47102341</v>
      </c>
      <c r="AV43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437" s="35">
        <f>(VLOOKUP(Tabla44[[#This Row],[SERVICIO 2025]],$J$2:$V$15,3,0)*Tabla44[[#This Row],[TOTAL COBERTURA]])+VLOOKUP(Tabla44[[#This Row],[SERVICIO 2025]],$J$2:$V$15,10,0)*Tabla44[[#This Row],[TOTAL COBERTURA]]</f>
        <v>5693597</v>
      </c>
      <c r="AX437" s="35">
        <f>(VLOOKUP(Tabla44[[#This Row],[SERVICIO 2025]],$J$2:$V$15,3,0)*Tabla44[[#This Row],[TOTAL COBERTURA]])+VLOOKUP(Tabla44[[#This Row],[SERVICIO 2025]],$J$2:$V$15,10,0)*Tabla44[[#This Row],[TOTAL COBERTURA]]</f>
        <v>5693597</v>
      </c>
      <c r="AY437" s="35">
        <f>(VLOOKUP(Tabla44[[#This Row],[SERVICIO 2025]],$J$2:$V$15,3,0)*Tabla44[[#This Row],[TOTAL COBERTURA]])+VLOOKUP(Tabla44[[#This Row],[SERVICIO 2025]],$J$2:$V$15,10,0)*Tabla44[[#This Row],[TOTAL COBERTURA]]</f>
        <v>5693597</v>
      </c>
      <c r="AZ437" s="35">
        <f>(VLOOKUP(Tabla44[[#This Row],[SERVICIO 2025]],$J$2:$V$15,3,0)*Tabla44[[#This Row],[TOTAL COBERTURA]])+VLOOKUP(Tabla44[[#This Row],[SERVICIO 2025]],$J$2:$V$15,10,0)*Tabla44[[#This Row],[TOTAL COBERTURA]]</f>
        <v>5693597</v>
      </c>
      <c r="BA437" s="35">
        <f>(VLOOKUP(Tabla44[[#This Row],[SERVICIO 2025]],$J$2:$V$15,3,0)*Tabla44[[#This Row],[TOTAL COBERTURA]])+VLOOKUP(Tabla44[[#This Row],[SERVICIO 2025]],$J$2:$V$15,10,0)*Tabla44[[#This Row],[TOTAL COBERTURA]]</f>
        <v>5693597</v>
      </c>
      <c r="BB437" s="35">
        <f>(VLOOKUP(Tabla44[[#This Row],[SERVICIO 2025]],$J$2:$V$15,3,0)*Tabla44[[#This Row],[TOTAL COBERTURA]])+VLOOKUP(Tabla44[[#This Row],[SERVICIO 2025]],$J$2:$V$15,10,0)*Tabla44[[#This Row],[TOTAL COBERTURA]]</f>
        <v>5693597</v>
      </c>
      <c r="BC43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437" s="35">
        <f>SUM(Tabla44[[#This Row],[DESEMBOLSO 1]:[DESEMBOLSO 8]])</f>
        <v>47102341</v>
      </c>
      <c r="BE437" s="12" t="b">
        <f>EXACT(Tabla44[[#This Row],[VALOR ATENCIÓN (8 MESES)]],Tabla44[[#This Row],[VALOR TOTAL]])</f>
        <v>1</v>
      </c>
      <c r="BF437" s="23">
        <f>Tabla44[[#This Row],[VALOR ATENCIÓN (8 MESES)]]-Tabla44[[#This Row],[VALOR TOTAL]]</f>
        <v>0</v>
      </c>
      <c r="BG437" s="12" t="b">
        <f>EXACT(Tabla44[[#This Row],[TOTAL DESEMBOLSOS]],Tabla44[[#This Row],[VALOR TOTAL DEL CONTRATO INCLUIDO EL COMPONENTE DE ALIMENTACIÓN]])</f>
        <v>1</v>
      </c>
      <c r="BH437" s="29">
        <f>Tabla44[[#This Row],[TOTAL DESEMBOLSOS]]-Tabla44[[#This Row],[VALOR TOTAL DEL CONTRATO INCLUIDO EL COMPONENTE DE ALIMENTACIÓN]]</f>
        <v>0</v>
      </c>
      <c r="BJ437" t="s">
        <v>3595</v>
      </c>
    </row>
    <row r="438" spans="1:62">
      <c r="A438" s="13">
        <v>2019</v>
      </c>
      <c r="B438" s="13"/>
      <c r="C438" s="12" t="s">
        <v>87</v>
      </c>
      <c r="D438" s="12" t="s">
        <v>673</v>
      </c>
      <c r="E438" s="12" t="s">
        <v>3637</v>
      </c>
      <c r="F438" s="12" t="s">
        <v>18</v>
      </c>
      <c r="G438" s="12" t="s">
        <v>90</v>
      </c>
      <c r="H438" s="12" t="s">
        <v>3655</v>
      </c>
      <c r="I438" s="36">
        <v>58581136547</v>
      </c>
      <c r="J438" s="12" t="s">
        <v>3656</v>
      </c>
      <c r="K438" s="12">
        <v>1</v>
      </c>
      <c r="L438" s="12">
        <v>7</v>
      </c>
      <c r="M438" s="12"/>
      <c r="N438" s="13">
        <v>2019</v>
      </c>
      <c r="O438" s="12" t="s">
        <v>2850</v>
      </c>
      <c r="P438" s="12"/>
      <c r="Q438" s="12"/>
      <c r="R438" s="12" t="s">
        <v>94</v>
      </c>
      <c r="S438" s="12">
        <v>10</v>
      </c>
      <c r="T438" s="12">
        <v>900072094</v>
      </c>
      <c r="U438" s="12" t="s">
        <v>3594</v>
      </c>
      <c r="V438" s="12">
        <f>VLOOKUP(Tabla44[[#This Row],[ZONA DEFINITIVO]],[1]Hoja1!$A$1:$D$125,3,0)</f>
        <v>229945</v>
      </c>
      <c r="W438" s="12">
        <f>VLOOKUP(Tabla44[[#This Row],[ZONA DEFINITIVO]],[1]Hoja1!$A$1:$D$125,2,0)</f>
        <v>17271</v>
      </c>
      <c r="X438" s="12">
        <f>VLOOKUP(Tabla44[[#This Row],[ZONA DEFINITIVO]],[1]Hoja1!$A$1:$D$125,4,0)</f>
        <v>105125</v>
      </c>
      <c r="Y438" s="12" t="str">
        <f>+IF(Tabla44[[#This Row],[AGRUPACIONES]]=1,SUMIFS(Tabla44[UDS],Tabla44[ZONA DEFINITIVO],Tabla44[[#This Row],[ZONA DEFINITIVO]])," ")</f>
        <v xml:space="preserve"> </v>
      </c>
      <c r="Z438" s="12" t="str">
        <f>+IF(Tabla44[[#This Row],[AGRUPACIONES]]=1,SUMIFS(Tabla44[TOTAL COBERTURA],Tabla44[ZONA DEFINITIVO],Tabla44[[#This Row],[ZONA DEFINITIVO]])," ")</f>
        <v xml:space="preserve"> </v>
      </c>
      <c r="AA438" s="12"/>
      <c r="AB438" s="35">
        <v>15261351</v>
      </c>
      <c r="AC438" s="37">
        <v>0</v>
      </c>
      <c r="AD438" s="35">
        <f t="shared" si="7"/>
        <v>0</v>
      </c>
      <c r="AE438" s="12"/>
      <c r="AF438" s="12">
        <f>COUNTIF($A$20:A438,A438)</f>
        <v>35</v>
      </c>
      <c r="AG438" s="38">
        <v>15261351</v>
      </c>
      <c r="AH438" s="38">
        <f>Tabla44[[#This Row],[VALOR CONTRAPARTIDA]]+Tabla44[[#This Row],[TOTAL APORTES ICBF]]</f>
        <v>15261351</v>
      </c>
      <c r="AI438" s="35" t="str">
        <f>+IF(Tabla44[[#This Row],[AGRUPACIONES]]=1,SUMIFS(Tabla44[TOTAL APORTES ICBF],Tabla44[ZONA DEFINITIVO],Tabla44[[#This Row],[ZONA DEFINITIVO]])," ")</f>
        <v xml:space="preserve"> </v>
      </c>
      <c r="AJ438" s="38"/>
      <c r="AK438" s="38"/>
      <c r="AL438" s="35"/>
      <c r="AM438" s="35">
        <f>VLOOKUP(Tabla44[[#This Row],[SERVICIO 2025]],$J$2:$V$15,5,0)*Tabla44[[#This Row],[TOTAL COBERTURA]]</f>
        <v>345632</v>
      </c>
      <c r="AN438" s="35">
        <f>VLOOKUP(Tabla44[[#This Row],[SERVICIO 2025]],$J$2:$V$15,6,0)*Tabla44[[#This Row],[TOTAL COBERTURA]]</f>
        <v>287203</v>
      </c>
      <c r="AO438" s="35">
        <f>VLOOKUP(Tabla44[[#This Row],[SERVICIO 2025]],$J$2:$V$15,8,0)*Tabla44[[#This Row],[TOTAL COBERTURA]]</f>
        <v>203700</v>
      </c>
      <c r="AP438" s="35">
        <f>VLOOKUP(Tabla44[[#This Row],[SERVICIO 2025]],$J$2:$V$15,3,0)*Tabla44[[#This Row],[TOTAL COBERTURA]]*8</f>
        <v>14424816</v>
      </c>
      <c r="AQ438" s="35"/>
      <c r="AR438" s="35">
        <f>SUM(Tabla44[[#This Row],[VALOR FASE PREPARATORIA DE ALISTAMIENTO]:[VALOR RACION PREPARADA]])</f>
        <v>15261351</v>
      </c>
      <c r="AS438" s="35" t="str">
        <f>+IF(Tabla44[[#This Row],[AGRUPACIONES]]=1,SUMIFS(Tabla44[VALOR TOTAL],Tabla44[ZONA DEFINITIVO],Tabla44[[#This Row],[ZONA DEFINITIVO]])," ")</f>
        <v xml:space="preserve"> </v>
      </c>
      <c r="AT438" s="35">
        <f>VLOOKUP(Tabla44[[#This Row],[SERVICIO 2025]],$J$2:$V$15,10,0)*Tabla44[[#This Row],[TOTAL COBERTURA]]*$X$7</f>
        <v>10101448</v>
      </c>
      <c r="AU438" s="39">
        <f>Tabla44[[#This Row],[TOTAL CONTRATO (ICBF+EAS)]]+Tabla44[[#This Row],[VALOR COMPONENTE ALIMENTACION NO ASIGNADO]]</f>
        <v>25362799</v>
      </c>
      <c r="AV43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3615115</v>
      </c>
      <c r="AW438" s="35">
        <f>(VLOOKUP(Tabla44[[#This Row],[SERVICIO 2025]],$J$2:$V$15,3,0)*Tabla44[[#This Row],[TOTAL COBERTURA]])+VLOOKUP(Tabla44[[#This Row],[SERVICIO 2025]],$J$2:$V$15,10,0)*Tabla44[[#This Row],[TOTAL COBERTURA]]</f>
        <v>3065783</v>
      </c>
      <c r="AX438" s="35">
        <f>(VLOOKUP(Tabla44[[#This Row],[SERVICIO 2025]],$J$2:$V$15,3,0)*Tabla44[[#This Row],[TOTAL COBERTURA]])+VLOOKUP(Tabla44[[#This Row],[SERVICIO 2025]],$J$2:$V$15,10,0)*Tabla44[[#This Row],[TOTAL COBERTURA]]</f>
        <v>3065783</v>
      </c>
      <c r="AY438" s="35">
        <f>(VLOOKUP(Tabla44[[#This Row],[SERVICIO 2025]],$J$2:$V$15,3,0)*Tabla44[[#This Row],[TOTAL COBERTURA]])+VLOOKUP(Tabla44[[#This Row],[SERVICIO 2025]],$J$2:$V$15,10,0)*Tabla44[[#This Row],[TOTAL COBERTURA]]</f>
        <v>3065783</v>
      </c>
      <c r="AZ438" s="35">
        <f>(VLOOKUP(Tabla44[[#This Row],[SERVICIO 2025]],$J$2:$V$15,3,0)*Tabla44[[#This Row],[TOTAL COBERTURA]])+VLOOKUP(Tabla44[[#This Row],[SERVICIO 2025]],$J$2:$V$15,10,0)*Tabla44[[#This Row],[TOTAL COBERTURA]]</f>
        <v>3065783</v>
      </c>
      <c r="BA438" s="35">
        <f>(VLOOKUP(Tabla44[[#This Row],[SERVICIO 2025]],$J$2:$V$15,3,0)*Tabla44[[#This Row],[TOTAL COBERTURA]])+VLOOKUP(Tabla44[[#This Row],[SERVICIO 2025]],$J$2:$V$15,10,0)*Tabla44[[#This Row],[TOTAL COBERTURA]]</f>
        <v>3065783</v>
      </c>
      <c r="BB438" s="35">
        <f>(VLOOKUP(Tabla44[[#This Row],[SERVICIO 2025]],$J$2:$V$15,3,0)*Tabla44[[#This Row],[TOTAL COBERTURA]])+VLOOKUP(Tabla44[[#This Row],[SERVICIO 2025]],$J$2:$V$15,10,0)*Tabla44[[#This Row],[TOTAL COBERTURA]]</f>
        <v>3065783</v>
      </c>
      <c r="BC43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3352986</v>
      </c>
      <c r="BD438" s="35">
        <f>SUM(Tabla44[[#This Row],[DESEMBOLSO 1]:[DESEMBOLSO 8]])</f>
        <v>25362799</v>
      </c>
      <c r="BE438" s="12" t="b">
        <f>EXACT(Tabla44[[#This Row],[VALOR ATENCIÓN (8 MESES)]],Tabla44[[#This Row],[VALOR TOTAL]])</f>
        <v>1</v>
      </c>
      <c r="BF438" s="23">
        <f>Tabla44[[#This Row],[VALOR ATENCIÓN (8 MESES)]]-Tabla44[[#This Row],[VALOR TOTAL]]</f>
        <v>0</v>
      </c>
      <c r="BG438" s="12" t="b">
        <f>EXACT(Tabla44[[#This Row],[TOTAL DESEMBOLSOS]],Tabla44[[#This Row],[VALOR TOTAL DEL CONTRATO INCLUIDO EL COMPONENTE DE ALIMENTACIÓN]])</f>
        <v>1</v>
      </c>
      <c r="BH438" s="29">
        <f>Tabla44[[#This Row],[TOTAL DESEMBOLSOS]]-Tabla44[[#This Row],[VALOR TOTAL DEL CONTRATO INCLUIDO EL COMPONENTE DE ALIMENTACIÓN]]</f>
        <v>0</v>
      </c>
      <c r="BJ438" t="s">
        <v>3595</v>
      </c>
    </row>
    <row r="439" spans="1:62">
      <c r="A439" s="13">
        <v>2019</v>
      </c>
      <c r="B439" s="13"/>
      <c r="C439" s="12" t="s">
        <v>87</v>
      </c>
      <c r="D439" s="12" t="s">
        <v>673</v>
      </c>
      <c r="E439" s="12" t="s">
        <v>3637</v>
      </c>
      <c r="F439" s="12" t="s">
        <v>18</v>
      </c>
      <c r="G439" s="12" t="s">
        <v>90</v>
      </c>
      <c r="H439" s="12" t="s">
        <v>3657</v>
      </c>
      <c r="I439" s="36">
        <v>58581136550</v>
      </c>
      <c r="J439" s="12" t="s">
        <v>3658</v>
      </c>
      <c r="K439" s="12">
        <v>1</v>
      </c>
      <c r="L439" s="12">
        <v>12</v>
      </c>
      <c r="M439" s="12"/>
      <c r="N439" s="13">
        <v>2019</v>
      </c>
      <c r="O439" s="12" t="s">
        <v>2850</v>
      </c>
      <c r="P439" s="12"/>
      <c r="Q439" s="12"/>
      <c r="R439" s="12" t="s">
        <v>94</v>
      </c>
      <c r="S439" s="12">
        <v>10</v>
      </c>
      <c r="T439" s="12">
        <v>900072094</v>
      </c>
      <c r="U439" s="12" t="s">
        <v>3594</v>
      </c>
      <c r="V439" s="12">
        <f>VLOOKUP(Tabla44[[#This Row],[ZONA DEFINITIVO]],[1]Hoja1!$A$1:$D$125,3,0)</f>
        <v>229945</v>
      </c>
      <c r="W439" s="12">
        <f>VLOOKUP(Tabla44[[#This Row],[ZONA DEFINITIVO]],[1]Hoja1!$A$1:$D$125,2,0)</f>
        <v>17271</v>
      </c>
      <c r="X439" s="12">
        <f>VLOOKUP(Tabla44[[#This Row],[ZONA DEFINITIVO]],[1]Hoja1!$A$1:$D$125,4,0)</f>
        <v>105125</v>
      </c>
      <c r="Y439" s="12" t="str">
        <f>+IF(Tabla44[[#This Row],[AGRUPACIONES]]=1,SUMIFS(Tabla44[UDS],Tabla44[ZONA DEFINITIVO],Tabla44[[#This Row],[ZONA DEFINITIVO]])," ")</f>
        <v xml:space="preserve"> </v>
      </c>
      <c r="Z439" s="12" t="str">
        <f>+IF(Tabla44[[#This Row],[AGRUPACIONES]]=1,SUMIFS(Tabla44[TOTAL COBERTURA],Tabla44[ZONA DEFINITIVO],Tabla44[[#This Row],[ZONA DEFINITIVO]])," ")</f>
        <v xml:space="preserve"> </v>
      </c>
      <c r="AA439" s="12"/>
      <c r="AB439" s="35">
        <v>26162316</v>
      </c>
      <c r="AC439" s="37">
        <v>0</v>
      </c>
      <c r="AD439" s="35">
        <f t="shared" si="7"/>
        <v>0</v>
      </c>
      <c r="AE439" s="12"/>
      <c r="AF439" s="12">
        <f>COUNTIF($A$20:A439,A439)</f>
        <v>36</v>
      </c>
      <c r="AG439" s="38">
        <v>26162316</v>
      </c>
      <c r="AH439" s="38">
        <f>Tabla44[[#This Row],[VALOR CONTRAPARTIDA]]+Tabla44[[#This Row],[TOTAL APORTES ICBF]]</f>
        <v>26162316</v>
      </c>
      <c r="AI439" s="35" t="str">
        <f>+IF(Tabla44[[#This Row],[AGRUPACIONES]]=1,SUMIFS(Tabla44[TOTAL APORTES ICBF],Tabla44[ZONA DEFINITIVO],Tabla44[[#This Row],[ZONA DEFINITIVO]])," ")</f>
        <v xml:space="preserve"> </v>
      </c>
      <c r="AJ439" s="38"/>
      <c r="AK439" s="38"/>
      <c r="AL439" s="35"/>
      <c r="AM439" s="35">
        <f>VLOOKUP(Tabla44[[#This Row],[SERVICIO 2025]],$J$2:$V$15,5,0)*Tabla44[[#This Row],[TOTAL COBERTURA]]</f>
        <v>592512</v>
      </c>
      <c r="AN439" s="35">
        <f>VLOOKUP(Tabla44[[#This Row],[SERVICIO 2025]],$J$2:$V$15,6,0)*Tabla44[[#This Row],[TOTAL COBERTURA]]</f>
        <v>492348</v>
      </c>
      <c r="AO439" s="35">
        <f>VLOOKUP(Tabla44[[#This Row],[SERVICIO 2025]],$J$2:$V$15,8,0)*Tabla44[[#This Row],[TOTAL COBERTURA]]</f>
        <v>349200</v>
      </c>
      <c r="AP439" s="35">
        <f>VLOOKUP(Tabla44[[#This Row],[SERVICIO 2025]],$J$2:$V$15,3,0)*Tabla44[[#This Row],[TOTAL COBERTURA]]*8</f>
        <v>24728256</v>
      </c>
      <c r="AQ439" s="35"/>
      <c r="AR439" s="35">
        <f>SUM(Tabla44[[#This Row],[VALOR FASE PREPARATORIA DE ALISTAMIENTO]:[VALOR RACION PREPARADA]])</f>
        <v>26162316</v>
      </c>
      <c r="AS439" s="35" t="str">
        <f>+IF(Tabla44[[#This Row],[AGRUPACIONES]]=1,SUMIFS(Tabla44[VALOR TOTAL],Tabla44[ZONA DEFINITIVO],Tabla44[[#This Row],[ZONA DEFINITIVO]])," ")</f>
        <v xml:space="preserve"> </v>
      </c>
      <c r="AT439" s="35">
        <f>VLOOKUP(Tabla44[[#This Row],[SERVICIO 2025]],$J$2:$V$15,10,0)*Tabla44[[#This Row],[TOTAL COBERTURA]]*$X$7</f>
        <v>17316768</v>
      </c>
      <c r="AU439" s="39">
        <f>Tabla44[[#This Row],[TOTAL CONTRATO (ICBF+EAS)]]+Tabla44[[#This Row],[VALOR COMPONENTE ALIMENTACION NO ASIGNADO]]</f>
        <v>43479084</v>
      </c>
      <c r="AV43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6197340</v>
      </c>
      <c r="AW439" s="35">
        <f>(VLOOKUP(Tabla44[[#This Row],[SERVICIO 2025]],$J$2:$V$15,3,0)*Tabla44[[#This Row],[TOTAL COBERTURA]])+VLOOKUP(Tabla44[[#This Row],[SERVICIO 2025]],$J$2:$V$15,10,0)*Tabla44[[#This Row],[TOTAL COBERTURA]]</f>
        <v>5255628</v>
      </c>
      <c r="AX439" s="35">
        <f>(VLOOKUP(Tabla44[[#This Row],[SERVICIO 2025]],$J$2:$V$15,3,0)*Tabla44[[#This Row],[TOTAL COBERTURA]])+VLOOKUP(Tabla44[[#This Row],[SERVICIO 2025]],$J$2:$V$15,10,0)*Tabla44[[#This Row],[TOTAL COBERTURA]]</f>
        <v>5255628</v>
      </c>
      <c r="AY439" s="35">
        <f>(VLOOKUP(Tabla44[[#This Row],[SERVICIO 2025]],$J$2:$V$15,3,0)*Tabla44[[#This Row],[TOTAL COBERTURA]])+VLOOKUP(Tabla44[[#This Row],[SERVICIO 2025]],$J$2:$V$15,10,0)*Tabla44[[#This Row],[TOTAL COBERTURA]]</f>
        <v>5255628</v>
      </c>
      <c r="AZ439" s="35">
        <f>(VLOOKUP(Tabla44[[#This Row],[SERVICIO 2025]],$J$2:$V$15,3,0)*Tabla44[[#This Row],[TOTAL COBERTURA]])+VLOOKUP(Tabla44[[#This Row],[SERVICIO 2025]],$J$2:$V$15,10,0)*Tabla44[[#This Row],[TOTAL COBERTURA]]</f>
        <v>5255628</v>
      </c>
      <c r="BA439" s="35">
        <f>(VLOOKUP(Tabla44[[#This Row],[SERVICIO 2025]],$J$2:$V$15,3,0)*Tabla44[[#This Row],[TOTAL COBERTURA]])+VLOOKUP(Tabla44[[#This Row],[SERVICIO 2025]],$J$2:$V$15,10,0)*Tabla44[[#This Row],[TOTAL COBERTURA]]</f>
        <v>5255628</v>
      </c>
      <c r="BB439" s="35">
        <f>(VLOOKUP(Tabla44[[#This Row],[SERVICIO 2025]],$J$2:$V$15,3,0)*Tabla44[[#This Row],[TOTAL COBERTURA]])+VLOOKUP(Tabla44[[#This Row],[SERVICIO 2025]],$J$2:$V$15,10,0)*Tabla44[[#This Row],[TOTAL COBERTURA]]</f>
        <v>5255628</v>
      </c>
      <c r="BC43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5747976</v>
      </c>
      <c r="BD439" s="35">
        <f>SUM(Tabla44[[#This Row],[DESEMBOLSO 1]:[DESEMBOLSO 8]])</f>
        <v>43479084</v>
      </c>
      <c r="BE439" s="12" t="b">
        <f>EXACT(Tabla44[[#This Row],[VALOR ATENCIÓN (8 MESES)]],Tabla44[[#This Row],[VALOR TOTAL]])</f>
        <v>1</v>
      </c>
      <c r="BF439" s="23">
        <f>Tabla44[[#This Row],[VALOR ATENCIÓN (8 MESES)]]-Tabla44[[#This Row],[VALOR TOTAL]]</f>
        <v>0</v>
      </c>
      <c r="BG439" s="12" t="b">
        <f>EXACT(Tabla44[[#This Row],[TOTAL DESEMBOLSOS]],Tabla44[[#This Row],[VALOR TOTAL DEL CONTRATO INCLUIDO EL COMPONENTE DE ALIMENTACIÓN]])</f>
        <v>1</v>
      </c>
      <c r="BH439" s="29">
        <f>Tabla44[[#This Row],[TOTAL DESEMBOLSOS]]-Tabla44[[#This Row],[VALOR TOTAL DEL CONTRATO INCLUIDO EL COMPONENTE DE ALIMENTACIÓN]]</f>
        <v>0</v>
      </c>
      <c r="BJ439" t="s">
        <v>3595</v>
      </c>
    </row>
    <row r="440" spans="1:62">
      <c r="A440" s="13">
        <v>2019</v>
      </c>
      <c r="B440" s="13"/>
      <c r="C440" s="12" t="s">
        <v>87</v>
      </c>
      <c r="D440" s="12" t="s">
        <v>673</v>
      </c>
      <c r="E440" s="12" t="s">
        <v>3637</v>
      </c>
      <c r="F440" s="12" t="s">
        <v>18</v>
      </c>
      <c r="G440" s="12" t="s">
        <v>90</v>
      </c>
      <c r="H440" s="12" t="s">
        <v>3659</v>
      </c>
      <c r="I440" s="36">
        <v>585800033680</v>
      </c>
      <c r="J440" s="12" t="s">
        <v>3660</v>
      </c>
      <c r="K440" s="12">
        <v>1</v>
      </c>
      <c r="L440" s="12">
        <v>10</v>
      </c>
      <c r="M440" s="12"/>
      <c r="N440" s="13">
        <v>2019</v>
      </c>
      <c r="O440" s="12" t="s">
        <v>2850</v>
      </c>
      <c r="P440" s="12"/>
      <c r="Q440" s="12"/>
      <c r="R440" s="12" t="s">
        <v>94</v>
      </c>
      <c r="S440" s="12">
        <v>10</v>
      </c>
      <c r="T440" s="12">
        <v>900072094</v>
      </c>
      <c r="U440" s="12" t="s">
        <v>3594</v>
      </c>
      <c r="V440" s="12">
        <f>VLOOKUP(Tabla44[[#This Row],[ZONA DEFINITIVO]],[1]Hoja1!$A$1:$D$125,3,0)</f>
        <v>229945</v>
      </c>
      <c r="W440" s="12">
        <f>VLOOKUP(Tabla44[[#This Row],[ZONA DEFINITIVO]],[1]Hoja1!$A$1:$D$125,2,0)</f>
        <v>17271</v>
      </c>
      <c r="X440" s="12">
        <f>VLOOKUP(Tabla44[[#This Row],[ZONA DEFINITIVO]],[1]Hoja1!$A$1:$D$125,4,0)</f>
        <v>105125</v>
      </c>
      <c r="Y440" s="12" t="str">
        <f>+IF(Tabla44[[#This Row],[AGRUPACIONES]]=1,SUMIFS(Tabla44[UDS],Tabla44[ZONA DEFINITIVO],Tabla44[[#This Row],[ZONA DEFINITIVO]])," ")</f>
        <v xml:space="preserve"> </v>
      </c>
      <c r="Z440" s="12" t="str">
        <f>+IF(Tabla44[[#This Row],[AGRUPACIONES]]=1,SUMIFS(Tabla44[TOTAL COBERTURA],Tabla44[ZONA DEFINITIVO],Tabla44[[#This Row],[ZONA DEFINITIVO]])," ")</f>
        <v xml:space="preserve"> </v>
      </c>
      <c r="AA440" s="12"/>
      <c r="AB440" s="35">
        <v>21801930</v>
      </c>
      <c r="AC440" s="37">
        <v>0</v>
      </c>
      <c r="AD440" s="35">
        <f t="shared" si="7"/>
        <v>0</v>
      </c>
      <c r="AE440" s="12"/>
      <c r="AF440" s="12">
        <f>COUNTIF($A$20:A440,A440)</f>
        <v>37</v>
      </c>
      <c r="AG440" s="38">
        <v>21801930</v>
      </c>
      <c r="AH440" s="38">
        <f>Tabla44[[#This Row],[VALOR CONTRAPARTIDA]]+Tabla44[[#This Row],[TOTAL APORTES ICBF]]</f>
        <v>21801930</v>
      </c>
      <c r="AI440" s="35" t="str">
        <f>+IF(Tabla44[[#This Row],[AGRUPACIONES]]=1,SUMIFS(Tabla44[TOTAL APORTES ICBF],Tabla44[ZONA DEFINITIVO],Tabla44[[#This Row],[ZONA DEFINITIVO]])," ")</f>
        <v xml:space="preserve"> </v>
      </c>
      <c r="AJ440" s="38"/>
      <c r="AK440" s="38"/>
      <c r="AL440" s="35"/>
      <c r="AM440" s="35">
        <f>VLOOKUP(Tabla44[[#This Row],[SERVICIO 2025]],$J$2:$V$15,5,0)*Tabla44[[#This Row],[TOTAL COBERTURA]]</f>
        <v>493760</v>
      </c>
      <c r="AN440" s="35">
        <f>VLOOKUP(Tabla44[[#This Row],[SERVICIO 2025]],$J$2:$V$15,6,0)*Tabla44[[#This Row],[TOTAL COBERTURA]]</f>
        <v>410290</v>
      </c>
      <c r="AO440" s="35">
        <f>VLOOKUP(Tabla44[[#This Row],[SERVICIO 2025]],$J$2:$V$15,8,0)*Tabla44[[#This Row],[TOTAL COBERTURA]]</f>
        <v>291000</v>
      </c>
      <c r="AP440" s="35">
        <f>VLOOKUP(Tabla44[[#This Row],[SERVICIO 2025]],$J$2:$V$15,3,0)*Tabla44[[#This Row],[TOTAL COBERTURA]]*8</f>
        <v>20606880</v>
      </c>
      <c r="AQ440" s="35"/>
      <c r="AR440" s="35">
        <f>SUM(Tabla44[[#This Row],[VALOR FASE PREPARATORIA DE ALISTAMIENTO]:[VALOR RACION PREPARADA]])</f>
        <v>21801930</v>
      </c>
      <c r="AS440" s="35" t="str">
        <f>+IF(Tabla44[[#This Row],[AGRUPACIONES]]=1,SUMIFS(Tabla44[VALOR TOTAL],Tabla44[ZONA DEFINITIVO],Tabla44[[#This Row],[ZONA DEFINITIVO]])," ")</f>
        <v xml:space="preserve"> </v>
      </c>
      <c r="AT440" s="35">
        <f>VLOOKUP(Tabla44[[#This Row],[SERVICIO 2025]],$J$2:$V$15,10,0)*Tabla44[[#This Row],[TOTAL COBERTURA]]*$X$7</f>
        <v>14430640</v>
      </c>
      <c r="AU440" s="39">
        <f>Tabla44[[#This Row],[TOTAL CONTRATO (ICBF+EAS)]]+Tabla44[[#This Row],[VALOR COMPONENTE ALIMENTACION NO ASIGNADO]]</f>
        <v>36232570</v>
      </c>
      <c r="AV44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5164450</v>
      </c>
      <c r="AW440" s="35">
        <f>(VLOOKUP(Tabla44[[#This Row],[SERVICIO 2025]],$J$2:$V$15,3,0)*Tabla44[[#This Row],[TOTAL COBERTURA]])+VLOOKUP(Tabla44[[#This Row],[SERVICIO 2025]],$J$2:$V$15,10,0)*Tabla44[[#This Row],[TOTAL COBERTURA]]</f>
        <v>4379690</v>
      </c>
      <c r="AX440" s="35">
        <f>(VLOOKUP(Tabla44[[#This Row],[SERVICIO 2025]],$J$2:$V$15,3,0)*Tabla44[[#This Row],[TOTAL COBERTURA]])+VLOOKUP(Tabla44[[#This Row],[SERVICIO 2025]],$J$2:$V$15,10,0)*Tabla44[[#This Row],[TOTAL COBERTURA]]</f>
        <v>4379690</v>
      </c>
      <c r="AY440" s="35">
        <f>(VLOOKUP(Tabla44[[#This Row],[SERVICIO 2025]],$J$2:$V$15,3,0)*Tabla44[[#This Row],[TOTAL COBERTURA]])+VLOOKUP(Tabla44[[#This Row],[SERVICIO 2025]],$J$2:$V$15,10,0)*Tabla44[[#This Row],[TOTAL COBERTURA]]</f>
        <v>4379690</v>
      </c>
      <c r="AZ440" s="35">
        <f>(VLOOKUP(Tabla44[[#This Row],[SERVICIO 2025]],$J$2:$V$15,3,0)*Tabla44[[#This Row],[TOTAL COBERTURA]])+VLOOKUP(Tabla44[[#This Row],[SERVICIO 2025]],$J$2:$V$15,10,0)*Tabla44[[#This Row],[TOTAL COBERTURA]]</f>
        <v>4379690</v>
      </c>
      <c r="BA440" s="35">
        <f>(VLOOKUP(Tabla44[[#This Row],[SERVICIO 2025]],$J$2:$V$15,3,0)*Tabla44[[#This Row],[TOTAL COBERTURA]])+VLOOKUP(Tabla44[[#This Row],[SERVICIO 2025]],$J$2:$V$15,10,0)*Tabla44[[#This Row],[TOTAL COBERTURA]]</f>
        <v>4379690</v>
      </c>
      <c r="BB440" s="35">
        <f>(VLOOKUP(Tabla44[[#This Row],[SERVICIO 2025]],$J$2:$V$15,3,0)*Tabla44[[#This Row],[TOTAL COBERTURA]])+VLOOKUP(Tabla44[[#This Row],[SERVICIO 2025]],$J$2:$V$15,10,0)*Tabla44[[#This Row],[TOTAL COBERTURA]]</f>
        <v>4379690</v>
      </c>
      <c r="BC44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4789980</v>
      </c>
      <c r="BD440" s="35">
        <f>SUM(Tabla44[[#This Row],[DESEMBOLSO 1]:[DESEMBOLSO 8]])</f>
        <v>36232570</v>
      </c>
      <c r="BE440" s="12" t="b">
        <f>EXACT(Tabla44[[#This Row],[VALOR ATENCIÓN (8 MESES)]],Tabla44[[#This Row],[VALOR TOTAL]])</f>
        <v>1</v>
      </c>
      <c r="BF440" s="23">
        <f>Tabla44[[#This Row],[VALOR ATENCIÓN (8 MESES)]]-Tabla44[[#This Row],[VALOR TOTAL]]</f>
        <v>0</v>
      </c>
      <c r="BG440" s="12" t="b">
        <f>EXACT(Tabla44[[#This Row],[TOTAL DESEMBOLSOS]],Tabla44[[#This Row],[VALOR TOTAL DEL CONTRATO INCLUIDO EL COMPONENTE DE ALIMENTACIÓN]])</f>
        <v>1</v>
      </c>
      <c r="BH440" s="29">
        <f>Tabla44[[#This Row],[TOTAL DESEMBOLSOS]]-Tabla44[[#This Row],[VALOR TOTAL DEL CONTRATO INCLUIDO EL COMPONENTE DE ALIMENTACIÓN]]</f>
        <v>0</v>
      </c>
      <c r="BJ440" t="s">
        <v>3595</v>
      </c>
    </row>
    <row r="441" spans="1:62">
      <c r="A441" s="13">
        <v>2019</v>
      </c>
      <c r="B441" s="13"/>
      <c r="C441" s="12" t="s">
        <v>87</v>
      </c>
      <c r="D441" s="12" t="s">
        <v>673</v>
      </c>
      <c r="E441" s="12" t="s">
        <v>3637</v>
      </c>
      <c r="F441" s="12" t="s">
        <v>14</v>
      </c>
      <c r="G441" s="12" t="s">
        <v>90</v>
      </c>
      <c r="H441" s="12" t="s">
        <v>3661</v>
      </c>
      <c r="I441" s="36">
        <v>585800080793</v>
      </c>
      <c r="J441" s="12" t="s">
        <v>3662</v>
      </c>
      <c r="K441" s="12">
        <v>1</v>
      </c>
      <c r="L441" s="12">
        <v>156</v>
      </c>
      <c r="M441" s="12"/>
      <c r="N441" s="13">
        <v>2019</v>
      </c>
      <c r="O441" s="12" t="s">
        <v>2850</v>
      </c>
      <c r="P441" s="12"/>
      <c r="Q441" s="12"/>
      <c r="R441" s="12" t="s">
        <v>94</v>
      </c>
      <c r="S441" s="12">
        <v>10</v>
      </c>
      <c r="T441" s="12">
        <v>900072094</v>
      </c>
      <c r="U441" s="12" t="s">
        <v>3594</v>
      </c>
      <c r="V441" s="12">
        <f>VLOOKUP(Tabla44[[#This Row],[ZONA DEFINITIVO]],[1]Hoja1!$A$1:$D$125,3,0)</f>
        <v>229945</v>
      </c>
      <c r="W441" s="12">
        <f>VLOOKUP(Tabla44[[#This Row],[ZONA DEFINITIVO]],[1]Hoja1!$A$1:$D$125,2,0)</f>
        <v>17271</v>
      </c>
      <c r="X441" s="12">
        <f>VLOOKUP(Tabla44[[#This Row],[ZONA DEFINITIVO]],[1]Hoja1!$A$1:$D$125,4,0)</f>
        <v>105125</v>
      </c>
      <c r="Y441" s="12" t="str">
        <f>+IF(Tabla44[[#This Row],[AGRUPACIONES]]=1,SUMIFS(Tabla44[UDS],Tabla44[ZONA DEFINITIVO],Tabla44[[#This Row],[ZONA DEFINITIVO]])," ")</f>
        <v xml:space="preserve"> </v>
      </c>
      <c r="Z441" s="12" t="str">
        <f>+IF(Tabla44[[#This Row],[AGRUPACIONES]]=1,SUMIFS(Tabla44[TOTAL COBERTURA],Tabla44[ZONA DEFINITIVO],Tabla44[[#This Row],[ZONA DEFINITIVO]])," ")</f>
        <v xml:space="preserve"> </v>
      </c>
      <c r="AA441" s="12"/>
      <c r="AB441" s="35">
        <v>653460600</v>
      </c>
      <c r="AC441" s="37">
        <v>0</v>
      </c>
      <c r="AD441" s="35">
        <f t="shared" si="7"/>
        <v>0</v>
      </c>
      <c r="AE441" s="12"/>
      <c r="AF441" s="12">
        <f>COUNTIF($A$20:A441,A441)</f>
        <v>38</v>
      </c>
      <c r="AG441" s="38">
        <v>653460600</v>
      </c>
      <c r="AH441" s="38">
        <f>Tabla44[[#This Row],[VALOR CONTRAPARTIDA]]+Tabla44[[#This Row],[TOTAL APORTES ICBF]]</f>
        <v>653460600</v>
      </c>
      <c r="AI441" s="35" t="str">
        <f>+IF(Tabla44[[#This Row],[AGRUPACIONES]]=1,SUMIFS(Tabla44[TOTAL APORTES ICBF],Tabla44[ZONA DEFINITIVO],Tabla44[[#This Row],[ZONA DEFINITIVO]])," ")</f>
        <v xml:space="preserve"> </v>
      </c>
      <c r="AJ441" s="38"/>
      <c r="AK441" s="38"/>
      <c r="AL441" s="35"/>
      <c r="AM441" s="35">
        <f>VLOOKUP(Tabla44[[#This Row],[SERVICIO 2025]],$J$2:$V$15,5,0)*Tabla44[[#This Row],[TOTAL COBERTURA]]</f>
        <v>13750308</v>
      </c>
      <c r="AN441" s="35">
        <f>VLOOKUP(Tabla44[[#This Row],[SERVICIO 2025]],$J$2:$V$15,6,0)*Tabla44[[#This Row],[TOTAL COBERTURA]]</f>
        <v>11706708</v>
      </c>
      <c r="AO441" s="35">
        <f>VLOOKUP(Tabla44[[#This Row],[SERVICIO 2025]],$J$2:$V$15,8,0)*Tabla44[[#This Row],[TOTAL COBERTURA]]</f>
        <v>0</v>
      </c>
      <c r="AP441" s="35">
        <f>VLOOKUP(Tabla44[[#This Row],[SERVICIO 2025]],$J$2:$V$15,3,0)*Tabla44[[#This Row],[TOTAL COBERTURA]]*8</f>
        <v>628003584</v>
      </c>
      <c r="AQ441" s="35"/>
      <c r="AR441" s="35">
        <f>SUM(Tabla44[[#This Row],[VALOR FASE PREPARATORIA DE ALISTAMIENTO]:[VALOR RACION PREPARADA]])</f>
        <v>653460600</v>
      </c>
      <c r="AS441" s="35" t="str">
        <f>+IF(Tabla44[[#This Row],[AGRUPACIONES]]=1,SUMIFS(Tabla44[VALOR TOTAL],Tabla44[ZONA DEFINITIVO],Tabla44[[#This Row],[ZONA DEFINITIVO]])," ")</f>
        <v xml:space="preserve"> </v>
      </c>
      <c r="AT441" s="35">
        <f>VLOOKUP(Tabla44[[#This Row],[SERVICIO 2025]],$J$2:$V$15,10,0)*Tabla44[[#This Row],[TOTAL COBERTURA]]*$X$7</f>
        <v>0</v>
      </c>
      <c r="AU441" s="39">
        <f>Tabla44[[#This Row],[TOTAL CONTRATO (ICBF+EAS)]]+Tabla44[[#This Row],[VALOR COMPONENTE ALIMENTACION NO ASIGNADO]]</f>
        <v>653460600</v>
      </c>
      <c r="AV44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92250756</v>
      </c>
      <c r="AW441" s="35">
        <f>(VLOOKUP(Tabla44[[#This Row],[SERVICIO 2025]],$J$2:$V$15,3,0)*Tabla44[[#This Row],[TOTAL COBERTURA]])+VLOOKUP(Tabla44[[#This Row],[SERVICIO 2025]],$J$2:$V$15,10,0)*Tabla44[[#This Row],[TOTAL COBERTURA]]</f>
        <v>78500448</v>
      </c>
      <c r="AX441" s="35">
        <f>(VLOOKUP(Tabla44[[#This Row],[SERVICIO 2025]],$J$2:$V$15,3,0)*Tabla44[[#This Row],[TOTAL COBERTURA]])+VLOOKUP(Tabla44[[#This Row],[SERVICIO 2025]],$J$2:$V$15,10,0)*Tabla44[[#This Row],[TOTAL COBERTURA]]</f>
        <v>78500448</v>
      </c>
      <c r="AY441" s="35">
        <f>(VLOOKUP(Tabla44[[#This Row],[SERVICIO 2025]],$J$2:$V$15,3,0)*Tabla44[[#This Row],[TOTAL COBERTURA]])+VLOOKUP(Tabla44[[#This Row],[SERVICIO 2025]],$J$2:$V$15,10,0)*Tabla44[[#This Row],[TOTAL COBERTURA]]</f>
        <v>78500448</v>
      </c>
      <c r="AZ441" s="35">
        <f>(VLOOKUP(Tabla44[[#This Row],[SERVICIO 2025]],$J$2:$V$15,3,0)*Tabla44[[#This Row],[TOTAL COBERTURA]])+VLOOKUP(Tabla44[[#This Row],[SERVICIO 2025]],$J$2:$V$15,10,0)*Tabla44[[#This Row],[TOTAL COBERTURA]]</f>
        <v>78500448</v>
      </c>
      <c r="BA441" s="35">
        <f>(VLOOKUP(Tabla44[[#This Row],[SERVICIO 2025]],$J$2:$V$15,3,0)*Tabla44[[#This Row],[TOTAL COBERTURA]])+VLOOKUP(Tabla44[[#This Row],[SERVICIO 2025]],$J$2:$V$15,10,0)*Tabla44[[#This Row],[TOTAL COBERTURA]]</f>
        <v>78500448</v>
      </c>
      <c r="BB441" s="35">
        <f>(VLOOKUP(Tabla44[[#This Row],[SERVICIO 2025]],$J$2:$V$15,3,0)*Tabla44[[#This Row],[TOTAL COBERTURA]])+VLOOKUP(Tabla44[[#This Row],[SERVICIO 2025]],$J$2:$V$15,10,0)*Tabla44[[#This Row],[TOTAL COBERTURA]]</f>
        <v>78500448</v>
      </c>
      <c r="BC44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90207156</v>
      </c>
      <c r="BD441" s="35">
        <f>SUM(Tabla44[[#This Row],[DESEMBOLSO 1]:[DESEMBOLSO 8]])</f>
        <v>653460600</v>
      </c>
      <c r="BE441" s="12" t="b">
        <f>EXACT(Tabla44[[#This Row],[VALOR ATENCIÓN (8 MESES)]],Tabla44[[#This Row],[VALOR TOTAL]])</f>
        <v>1</v>
      </c>
      <c r="BF441" s="23">
        <f>Tabla44[[#This Row],[VALOR ATENCIÓN (8 MESES)]]-Tabla44[[#This Row],[VALOR TOTAL]]</f>
        <v>0</v>
      </c>
      <c r="BG441" s="12" t="b">
        <f>EXACT(Tabla44[[#This Row],[TOTAL DESEMBOLSOS]],Tabla44[[#This Row],[VALOR TOTAL DEL CONTRATO INCLUIDO EL COMPONENTE DE ALIMENTACIÓN]])</f>
        <v>1</v>
      </c>
      <c r="BH441" s="29">
        <f>Tabla44[[#This Row],[TOTAL DESEMBOLSOS]]-Tabla44[[#This Row],[VALOR TOTAL DEL CONTRATO INCLUIDO EL COMPONENTE DE ALIMENTACIÓN]]</f>
        <v>0</v>
      </c>
      <c r="BJ441" t="s">
        <v>3595</v>
      </c>
    </row>
    <row r="442" spans="1:62">
      <c r="A442" s="13">
        <v>2019</v>
      </c>
      <c r="B442" s="13"/>
      <c r="C442" s="12" t="s">
        <v>87</v>
      </c>
      <c r="D442" s="12" t="s">
        <v>673</v>
      </c>
      <c r="E442" s="12" t="s">
        <v>3637</v>
      </c>
      <c r="F442" s="12" t="s">
        <v>15</v>
      </c>
      <c r="G442" s="12" t="s">
        <v>90</v>
      </c>
      <c r="H442" s="12" t="s">
        <v>3663</v>
      </c>
      <c r="I442" s="36">
        <v>585800080827</v>
      </c>
      <c r="J442" s="12" t="s">
        <v>3664</v>
      </c>
      <c r="K442" s="12">
        <v>1</v>
      </c>
      <c r="L442" s="12">
        <v>14</v>
      </c>
      <c r="M442" s="12"/>
      <c r="N442" s="13">
        <v>2019</v>
      </c>
      <c r="O442" s="12" t="s">
        <v>2850</v>
      </c>
      <c r="P442" s="12"/>
      <c r="Q442" s="12"/>
      <c r="R442" s="12" t="s">
        <v>94</v>
      </c>
      <c r="S442" s="12">
        <v>10</v>
      </c>
      <c r="T442" s="12">
        <v>900072094</v>
      </c>
      <c r="U442" s="12" t="s">
        <v>3594</v>
      </c>
      <c r="V442" s="12">
        <f>VLOOKUP(Tabla44[[#This Row],[ZONA DEFINITIVO]],[1]Hoja1!$A$1:$D$125,3,0)</f>
        <v>229945</v>
      </c>
      <c r="W442" s="12">
        <f>VLOOKUP(Tabla44[[#This Row],[ZONA DEFINITIVO]],[1]Hoja1!$A$1:$D$125,2,0)</f>
        <v>17271</v>
      </c>
      <c r="X442" s="12">
        <f>VLOOKUP(Tabla44[[#This Row],[ZONA DEFINITIVO]],[1]Hoja1!$A$1:$D$125,4,0)</f>
        <v>105125</v>
      </c>
      <c r="Y442" s="12" t="str">
        <f>+IF(Tabla44[[#This Row],[AGRUPACIONES]]=1,SUMIFS(Tabla44[UDS],Tabla44[ZONA DEFINITIVO],Tabla44[[#This Row],[ZONA DEFINITIVO]])," ")</f>
        <v xml:space="preserve"> </v>
      </c>
      <c r="Z442" s="12" t="str">
        <f>+IF(Tabla44[[#This Row],[AGRUPACIONES]]=1,SUMIFS(Tabla44[TOTAL COBERTURA],Tabla44[ZONA DEFINITIVO],Tabla44[[#This Row],[ZONA DEFINITIVO]])," ")</f>
        <v xml:space="preserve"> </v>
      </c>
      <c r="AA442" s="12"/>
      <c r="AB442" s="35">
        <v>60611628</v>
      </c>
      <c r="AC442" s="37">
        <v>0</v>
      </c>
      <c r="AD442" s="35">
        <f t="shared" si="7"/>
        <v>0</v>
      </c>
      <c r="AE442" s="12"/>
      <c r="AF442" s="12">
        <f>COUNTIF($A$20:A442,A442)</f>
        <v>39</v>
      </c>
      <c r="AG442" s="38">
        <v>60611628</v>
      </c>
      <c r="AH442" s="38">
        <f>Tabla44[[#This Row],[VALOR CONTRAPARTIDA]]+Tabla44[[#This Row],[TOTAL APORTES ICBF]]</f>
        <v>60611628</v>
      </c>
      <c r="AI442" s="35" t="str">
        <f>+IF(Tabla44[[#This Row],[AGRUPACIONES]]=1,SUMIFS(Tabla44[TOTAL APORTES ICBF],Tabla44[ZONA DEFINITIVO],Tabla44[[#This Row],[ZONA DEFINITIVO]])," ")</f>
        <v xml:space="preserve"> </v>
      </c>
      <c r="AJ442" s="38"/>
      <c r="AK442" s="38"/>
      <c r="AL442" s="35"/>
      <c r="AM442" s="35">
        <f>VLOOKUP(Tabla44[[#This Row],[SERVICIO 2025]],$J$2:$V$15,5,0)*Tabla44[[#This Row],[TOTAL COBERTURA]]</f>
        <v>1234002</v>
      </c>
      <c r="AN442" s="35">
        <f>VLOOKUP(Tabla44[[#This Row],[SERVICIO 2025]],$J$2:$V$15,6,0)*Tabla44[[#This Row],[TOTAL COBERTURA]]</f>
        <v>1050602</v>
      </c>
      <c r="AO442" s="35">
        <f>VLOOKUP(Tabla44[[#This Row],[SERVICIO 2025]],$J$2:$V$15,8,0)*Tabla44[[#This Row],[TOTAL COBERTURA]]</f>
        <v>0</v>
      </c>
      <c r="AP442" s="35">
        <f>VLOOKUP(Tabla44[[#This Row],[SERVICIO 2025]],$J$2:$V$15,3,0)*Tabla44[[#This Row],[TOTAL COBERTURA]]*8</f>
        <v>58327024</v>
      </c>
      <c r="AQ442" s="35"/>
      <c r="AR442" s="35">
        <f>SUM(Tabla44[[#This Row],[VALOR FASE PREPARATORIA DE ALISTAMIENTO]:[VALOR RACION PREPARADA]])</f>
        <v>60611628</v>
      </c>
      <c r="AS442" s="35" t="str">
        <f>+IF(Tabla44[[#This Row],[AGRUPACIONES]]=1,SUMIFS(Tabla44[VALOR TOTAL],Tabla44[ZONA DEFINITIVO],Tabla44[[#This Row],[ZONA DEFINITIVO]])," ")</f>
        <v xml:space="preserve"> </v>
      </c>
      <c r="AT442" s="35">
        <f>VLOOKUP(Tabla44[[#This Row],[SERVICIO 2025]],$J$2:$V$15,10,0)*Tabla44[[#This Row],[TOTAL COBERTURA]]*$X$7</f>
        <v>0</v>
      </c>
      <c r="AU442" s="39">
        <f>Tabla44[[#This Row],[TOTAL CONTRATO (ICBF+EAS)]]+Tabla44[[#This Row],[VALOR COMPONENTE ALIMENTACION NO ASIGNADO]]</f>
        <v>60611628</v>
      </c>
      <c r="AV44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8524880</v>
      </c>
      <c r="AW442" s="35">
        <f>(VLOOKUP(Tabla44[[#This Row],[SERVICIO 2025]],$J$2:$V$15,3,0)*Tabla44[[#This Row],[TOTAL COBERTURA]])+VLOOKUP(Tabla44[[#This Row],[SERVICIO 2025]],$J$2:$V$15,10,0)*Tabla44[[#This Row],[TOTAL COBERTURA]]</f>
        <v>7290878</v>
      </c>
      <c r="AX442" s="35">
        <f>(VLOOKUP(Tabla44[[#This Row],[SERVICIO 2025]],$J$2:$V$15,3,0)*Tabla44[[#This Row],[TOTAL COBERTURA]])+VLOOKUP(Tabla44[[#This Row],[SERVICIO 2025]],$J$2:$V$15,10,0)*Tabla44[[#This Row],[TOTAL COBERTURA]]</f>
        <v>7290878</v>
      </c>
      <c r="AY442" s="35">
        <f>(VLOOKUP(Tabla44[[#This Row],[SERVICIO 2025]],$J$2:$V$15,3,0)*Tabla44[[#This Row],[TOTAL COBERTURA]])+VLOOKUP(Tabla44[[#This Row],[SERVICIO 2025]],$J$2:$V$15,10,0)*Tabla44[[#This Row],[TOTAL COBERTURA]]</f>
        <v>7290878</v>
      </c>
      <c r="AZ442" s="35">
        <f>(VLOOKUP(Tabla44[[#This Row],[SERVICIO 2025]],$J$2:$V$15,3,0)*Tabla44[[#This Row],[TOTAL COBERTURA]])+VLOOKUP(Tabla44[[#This Row],[SERVICIO 2025]],$J$2:$V$15,10,0)*Tabla44[[#This Row],[TOTAL COBERTURA]]</f>
        <v>7290878</v>
      </c>
      <c r="BA442" s="35">
        <f>(VLOOKUP(Tabla44[[#This Row],[SERVICIO 2025]],$J$2:$V$15,3,0)*Tabla44[[#This Row],[TOTAL COBERTURA]])+VLOOKUP(Tabla44[[#This Row],[SERVICIO 2025]],$J$2:$V$15,10,0)*Tabla44[[#This Row],[TOTAL COBERTURA]]</f>
        <v>7290878</v>
      </c>
      <c r="BB442" s="35">
        <f>(VLOOKUP(Tabla44[[#This Row],[SERVICIO 2025]],$J$2:$V$15,3,0)*Tabla44[[#This Row],[TOTAL COBERTURA]])+VLOOKUP(Tabla44[[#This Row],[SERVICIO 2025]],$J$2:$V$15,10,0)*Tabla44[[#This Row],[TOTAL COBERTURA]]</f>
        <v>7290878</v>
      </c>
      <c r="BC44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8341480</v>
      </c>
      <c r="BD442" s="35">
        <f>SUM(Tabla44[[#This Row],[DESEMBOLSO 1]:[DESEMBOLSO 8]])</f>
        <v>60611628</v>
      </c>
      <c r="BE442" s="12" t="b">
        <f>EXACT(Tabla44[[#This Row],[VALOR ATENCIÓN (8 MESES)]],Tabla44[[#This Row],[VALOR TOTAL]])</f>
        <v>1</v>
      </c>
      <c r="BF442" s="23">
        <f>Tabla44[[#This Row],[VALOR ATENCIÓN (8 MESES)]]-Tabla44[[#This Row],[VALOR TOTAL]]</f>
        <v>0</v>
      </c>
      <c r="BG442" s="12" t="b">
        <f>EXACT(Tabla44[[#This Row],[TOTAL DESEMBOLSOS]],Tabla44[[#This Row],[VALOR TOTAL DEL CONTRATO INCLUIDO EL COMPONENTE DE ALIMENTACIÓN]])</f>
        <v>1</v>
      </c>
      <c r="BH442" s="29">
        <f>Tabla44[[#This Row],[TOTAL DESEMBOLSOS]]-Tabla44[[#This Row],[VALOR TOTAL DEL CONTRATO INCLUIDO EL COMPONENTE DE ALIMENTACIÓN]]</f>
        <v>0</v>
      </c>
      <c r="BJ442" t="s">
        <v>3595</v>
      </c>
    </row>
    <row r="443" spans="1:62">
      <c r="A443" s="13">
        <v>2019</v>
      </c>
      <c r="B443" s="13"/>
      <c r="C443" s="12" t="s">
        <v>87</v>
      </c>
      <c r="D443" s="12" t="s">
        <v>673</v>
      </c>
      <c r="E443" s="12" t="s">
        <v>3637</v>
      </c>
      <c r="F443" s="12" t="s">
        <v>19</v>
      </c>
      <c r="G443" s="12" t="s">
        <v>90</v>
      </c>
      <c r="H443" s="12" t="s">
        <v>3665</v>
      </c>
      <c r="I443" s="36">
        <v>585800112923</v>
      </c>
      <c r="J443" s="12" t="s">
        <v>3666</v>
      </c>
      <c r="K443" s="12">
        <v>1</v>
      </c>
      <c r="L443" s="12">
        <v>163</v>
      </c>
      <c r="M443" s="12"/>
      <c r="N443" s="13">
        <v>2019</v>
      </c>
      <c r="O443" s="12" t="s">
        <v>2850</v>
      </c>
      <c r="P443" s="12"/>
      <c r="Q443" s="12"/>
      <c r="R443" s="12" t="s">
        <v>94</v>
      </c>
      <c r="S443" s="12">
        <v>10</v>
      </c>
      <c r="T443" s="12">
        <v>900072094</v>
      </c>
      <c r="U443" s="12" t="s">
        <v>3594</v>
      </c>
      <c r="V443" s="12">
        <f>VLOOKUP(Tabla44[[#This Row],[ZONA DEFINITIVO]],[1]Hoja1!$A$1:$D$125,3,0)</f>
        <v>229945</v>
      </c>
      <c r="W443" s="12">
        <f>VLOOKUP(Tabla44[[#This Row],[ZONA DEFINITIVO]],[1]Hoja1!$A$1:$D$125,2,0)</f>
        <v>17271</v>
      </c>
      <c r="X443" s="12">
        <f>VLOOKUP(Tabla44[[#This Row],[ZONA DEFINITIVO]],[1]Hoja1!$A$1:$D$125,4,0)</f>
        <v>105125</v>
      </c>
      <c r="Y443" s="12" t="str">
        <f>+IF(Tabla44[[#This Row],[AGRUPACIONES]]=1,SUMIFS(Tabla44[UDS],Tabla44[ZONA DEFINITIVO],Tabla44[[#This Row],[ZONA DEFINITIVO]])," ")</f>
        <v xml:space="preserve"> </v>
      </c>
      <c r="Z443" s="12" t="str">
        <f>+IF(Tabla44[[#This Row],[AGRUPACIONES]]=1,SUMIFS(Tabla44[TOTAL COBERTURA],Tabla44[ZONA DEFINITIVO],Tabla44[[#This Row],[ZONA DEFINITIVO]])," ")</f>
        <v xml:space="preserve"> </v>
      </c>
      <c r="AA443" s="12"/>
      <c r="AB443" s="35">
        <v>366937613</v>
      </c>
      <c r="AC443" s="37">
        <v>0</v>
      </c>
      <c r="AD443" s="35">
        <f t="shared" si="7"/>
        <v>0</v>
      </c>
      <c r="AE443" s="12"/>
      <c r="AF443" s="12">
        <f>COUNTIF($A$20:A443,A443)</f>
        <v>40</v>
      </c>
      <c r="AG443" s="38">
        <v>366937613</v>
      </c>
      <c r="AH443" s="38">
        <f>Tabla44[[#This Row],[VALOR CONTRAPARTIDA]]+Tabla44[[#This Row],[TOTAL APORTES ICBF]]</f>
        <v>366937613</v>
      </c>
      <c r="AI443" s="35" t="str">
        <f>+IF(Tabla44[[#This Row],[AGRUPACIONES]]=1,SUMIFS(Tabla44[TOTAL APORTES ICBF],Tabla44[ZONA DEFINITIVO],Tabla44[[#This Row],[ZONA DEFINITIVO]])," ")</f>
        <v xml:space="preserve"> </v>
      </c>
      <c r="AJ443" s="38"/>
      <c r="AK443" s="38"/>
      <c r="AL443" s="35"/>
      <c r="AM443" s="35">
        <f>VLOOKUP(Tabla44[[#This Row],[SERVICIO 2025]],$J$2:$V$15,5,0)*Tabla44[[#This Row],[TOTAL COBERTURA]]</f>
        <v>8388469</v>
      </c>
      <c r="AN443" s="35">
        <f>VLOOKUP(Tabla44[[#This Row],[SERVICIO 2025]],$J$2:$V$15,6,0)*Tabla44[[#This Row],[TOTAL COBERTURA]]</f>
        <v>7027908</v>
      </c>
      <c r="AO443" s="35">
        <f>VLOOKUP(Tabla44[[#This Row],[SERVICIO 2025]],$J$2:$V$15,8,0)*Tabla44[[#This Row],[TOTAL COBERTURA]]</f>
        <v>4743300</v>
      </c>
      <c r="AP443" s="35">
        <f>VLOOKUP(Tabla44[[#This Row],[SERVICIO 2025]],$J$2:$V$15,3,0)*Tabla44[[#This Row],[TOTAL COBERTURA]]*8</f>
        <v>346777936</v>
      </c>
      <c r="AQ443" s="35"/>
      <c r="AR443" s="35">
        <f>SUM(Tabla44[[#This Row],[VALOR FASE PREPARATORIA DE ALISTAMIENTO]:[VALOR RACION PREPARADA]])</f>
        <v>366937613</v>
      </c>
      <c r="AS443" s="35" t="str">
        <f>+IF(Tabla44[[#This Row],[AGRUPACIONES]]=1,SUMIFS(Tabla44[VALOR TOTAL],Tabla44[ZONA DEFINITIVO],Tabla44[[#This Row],[ZONA DEFINITIVO]])," ")</f>
        <v xml:space="preserve"> </v>
      </c>
      <c r="AT443" s="35">
        <f>VLOOKUP(Tabla44[[#This Row],[SERVICIO 2025]],$J$2:$V$15,10,0)*Tabla44[[#This Row],[TOTAL COBERTURA]]*$X$7</f>
        <v>235219432</v>
      </c>
      <c r="AU443" s="39">
        <f>Tabla44[[#This Row],[TOTAL CONTRATO (ICBF+EAS)]]+Tabla44[[#This Row],[VALOR COMPONENTE ALIMENTACION NO ASIGNADO]]</f>
        <v>602157045</v>
      </c>
      <c r="AV44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85881440</v>
      </c>
      <c r="AW443" s="35">
        <f>(VLOOKUP(Tabla44[[#This Row],[SERVICIO 2025]],$J$2:$V$15,3,0)*Tabla44[[#This Row],[TOTAL COBERTURA]])+VLOOKUP(Tabla44[[#This Row],[SERVICIO 2025]],$J$2:$V$15,10,0)*Tabla44[[#This Row],[TOTAL COBERTURA]]</f>
        <v>72749671</v>
      </c>
      <c r="AX443" s="35">
        <f>(VLOOKUP(Tabla44[[#This Row],[SERVICIO 2025]],$J$2:$V$15,3,0)*Tabla44[[#This Row],[TOTAL COBERTURA]])+VLOOKUP(Tabla44[[#This Row],[SERVICIO 2025]],$J$2:$V$15,10,0)*Tabla44[[#This Row],[TOTAL COBERTURA]]</f>
        <v>72749671</v>
      </c>
      <c r="AY443" s="35">
        <f>(VLOOKUP(Tabla44[[#This Row],[SERVICIO 2025]],$J$2:$V$15,3,0)*Tabla44[[#This Row],[TOTAL COBERTURA]])+VLOOKUP(Tabla44[[#This Row],[SERVICIO 2025]],$J$2:$V$15,10,0)*Tabla44[[#This Row],[TOTAL COBERTURA]]</f>
        <v>72749671</v>
      </c>
      <c r="AZ443" s="35">
        <f>(VLOOKUP(Tabla44[[#This Row],[SERVICIO 2025]],$J$2:$V$15,3,0)*Tabla44[[#This Row],[TOTAL COBERTURA]])+VLOOKUP(Tabla44[[#This Row],[SERVICIO 2025]],$J$2:$V$15,10,0)*Tabla44[[#This Row],[TOTAL COBERTURA]]</f>
        <v>72749671</v>
      </c>
      <c r="BA443" s="35">
        <f>(VLOOKUP(Tabla44[[#This Row],[SERVICIO 2025]],$J$2:$V$15,3,0)*Tabla44[[#This Row],[TOTAL COBERTURA]])+VLOOKUP(Tabla44[[#This Row],[SERVICIO 2025]],$J$2:$V$15,10,0)*Tabla44[[#This Row],[TOTAL COBERTURA]]</f>
        <v>72749671</v>
      </c>
      <c r="BB443" s="35">
        <f>(VLOOKUP(Tabla44[[#This Row],[SERVICIO 2025]],$J$2:$V$15,3,0)*Tabla44[[#This Row],[TOTAL COBERTURA]])+VLOOKUP(Tabla44[[#This Row],[SERVICIO 2025]],$J$2:$V$15,10,0)*Tabla44[[#This Row],[TOTAL COBERTURA]]</f>
        <v>72749671</v>
      </c>
      <c r="BC44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79777579</v>
      </c>
      <c r="BD443" s="35">
        <f>SUM(Tabla44[[#This Row],[DESEMBOLSO 1]:[DESEMBOLSO 8]])</f>
        <v>602157045</v>
      </c>
      <c r="BE443" s="12" t="b">
        <f>EXACT(Tabla44[[#This Row],[VALOR ATENCIÓN (8 MESES)]],Tabla44[[#This Row],[VALOR TOTAL]])</f>
        <v>1</v>
      </c>
      <c r="BF443" s="23">
        <f>Tabla44[[#This Row],[VALOR ATENCIÓN (8 MESES)]]-Tabla44[[#This Row],[VALOR TOTAL]]</f>
        <v>0</v>
      </c>
      <c r="BG443" s="12" t="b">
        <f>EXACT(Tabla44[[#This Row],[TOTAL DESEMBOLSOS]],Tabla44[[#This Row],[VALOR TOTAL DEL CONTRATO INCLUIDO EL COMPONENTE DE ALIMENTACIÓN]])</f>
        <v>1</v>
      </c>
      <c r="BH443" s="29">
        <f>Tabla44[[#This Row],[TOTAL DESEMBOLSOS]]-Tabla44[[#This Row],[VALOR TOTAL DEL CONTRATO INCLUIDO EL COMPONENTE DE ALIMENTACIÓN]]</f>
        <v>0</v>
      </c>
      <c r="BJ443" t="s">
        <v>3595</v>
      </c>
    </row>
    <row r="444" spans="1:62">
      <c r="A444" s="13">
        <v>2019</v>
      </c>
      <c r="B444" s="13"/>
      <c r="C444" s="12" t="s">
        <v>87</v>
      </c>
      <c r="D444" s="12" t="s">
        <v>673</v>
      </c>
      <c r="E444" s="12" t="s">
        <v>3617</v>
      </c>
      <c r="F444" s="12" t="s">
        <v>22</v>
      </c>
      <c r="G444" s="12" t="s">
        <v>90</v>
      </c>
      <c r="H444" s="12"/>
      <c r="I444" s="36">
        <v>573600079886</v>
      </c>
      <c r="J444" s="12" t="s">
        <v>3667</v>
      </c>
      <c r="K444" s="12">
        <v>1</v>
      </c>
      <c r="L444" s="12">
        <v>92</v>
      </c>
      <c r="M444" s="12"/>
      <c r="N444" s="13">
        <v>2019</v>
      </c>
      <c r="O444" s="12" t="s">
        <v>2850</v>
      </c>
      <c r="P444" s="12"/>
      <c r="Q444" s="12"/>
      <c r="R444" s="12" t="s">
        <v>94</v>
      </c>
      <c r="S444" s="12">
        <v>10</v>
      </c>
      <c r="T444" s="12">
        <v>900072094</v>
      </c>
      <c r="U444" s="12" t="s">
        <v>3594</v>
      </c>
      <c r="V444" s="12">
        <f>VLOOKUP(Tabla44[[#This Row],[ZONA DEFINITIVO]],[1]Hoja1!$A$1:$D$125,3,0)</f>
        <v>229945</v>
      </c>
      <c r="W444" s="12">
        <f>VLOOKUP(Tabla44[[#This Row],[ZONA DEFINITIVO]],[1]Hoja1!$A$1:$D$125,2,0)</f>
        <v>17271</v>
      </c>
      <c r="X444" s="12">
        <f>VLOOKUP(Tabla44[[#This Row],[ZONA DEFINITIVO]],[1]Hoja1!$A$1:$D$125,4,0)</f>
        <v>105125</v>
      </c>
      <c r="Y444" s="12" t="str">
        <f>+IF(Tabla44[[#This Row],[AGRUPACIONES]]=1,SUMIFS(Tabla44[UDS],Tabla44[ZONA DEFINITIVO],Tabla44[[#This Row],[ZONA DEFINITIVO]])," ")</f>
        <v xml:space="preserve"> </v>
      </c>
      <c r="Z444" s="12" t="str">
        <f>+IF(Tabla44[[#This Row],[AGRUPACIONES]]=1,SUMIFS(Tabla44[TOTAL COBERTURA],Tabla44[ZONA DEFINITIVO],Tabla44[[#This Row],[ZONA DEFINITIVO]])," ")</f>
        <v xml:space="preserve"> </v>
      </c>
      <c r="AA444" s="12"/>
      <c r="AB444" s="35">
        <v>385374200</v>
      </c>
      <c r="AC444" s="37">
        <v>0</v>
      </c>
      <c r="AD444" s="35">
        <f t="shared" si="7"/>
        <v>0</v>
      </c>
      <c r="AE444" s="12"/>
      <c r="AF444" s="12">
        <f>COUNTIF($A$20:A444,A444)</f>
        <v>41</v>
      </c>
      <c r="AG444" s="38">
        <v>385374200</v>
      </c>
      <c r="AH444" s="38">
        <f>Tabla44[[#This Row],[VALOR CONTRAPARTIDA]]+Tabla44[[#This Row],[TOTAL APORTES ICBF]]</f>
        <v>385374200</v>
      </c>
      <c r="AI444" s="35" t="str">
        <f>+IF(Tabla44[[#This Row],[AGRUPACIONES]]=1,SUMIFS(Tabla44[TOTAL APORTES ICBF],Tabla44[ZONA DEFINITIVO],Tabla44[[#This Row],[ZONA DEFINITIVO]])," ")</f>
        <v xml:space="preserve"> </v>
      </c>
      <c r="AJ444" s="38"/>
      <c r="AK444" s="38"/>
      <c r="AL444" s="35"/>
      <c r="AM444" s="35">
        <f>VLOOKUP(Tabla44[[#This Row],[SERVICIO 2025]],$J$2:$V$15,5,0)*Tabla44[[#This Row],[TOTAL COBERTURA]]</f>
        <v>8109156</v>
      </c>
      <c r="AN444" s="35">
        <f>VLOOKUP(Tabla44[[#This Row],[SERVICIO 2025]],$J$2:$V$15,6,0)*Tabla44[[#This Row],[TOTAL COBERTURA]]</f>
        <v>6903956</v>
      </c>
      <c r="AO444" s="35">
        <f>VLOOKUP(Tabla44[[#This Row],[SERVICIO 2025]],$J$2:$V$15,8,0)*Tabla44[[#This Row],[TOTAL COBERTURA]]</f>
        <v>0</v>
      </c>
      <c r="AP444" s="35">
        <f>VLOOKUP(Tabla44[[#This Row],[SERVICIO 2025]],$J$2:$V$15,3,0)*Tabla44[[#This Row],[TOTAL COBERTURA]]*8</f>
        <v>370361088</v>
      </c>
      <c r="AQ444" s="35"/>
      <c r="AR444" s="35">
        <f>SUM(Tabla44[[#This Row],[VALOR FASE PREPARATORIA DE ALISTAMIENTO]:[VALOR RACION PREPARADA]])</f>
        <v>385374200</v>
      </c>
      <c r="AS444" s="35" t="str">
        <f>+IF(Tabla44[[#This Row],[AGRUPACIONES]]=1,SUMIFS(Tabla44[VALOR TOTAL],Tabla44[ZONA DEFINITIVO],Tabla44[[#This Row],[ZONA DEFINITIVO]])," ")</f>
        <v xml:space="preserve"> </v>
      </c>
      <c r="AT444" s="35">
        <f>VLOOKUP(Tabla44[[#This Row],[SERVICIO 2025]],$J$2:$V$15,10,0)*Tabla44[[#This Row],[TOTAL COBERTURA]]*$X$7</f>
        <v>0</v>
      </c>
      <c r="AU444" s="39">
        <f>Tabla44[[#This Row],[TOTAL CONTRATO (ICBF+EAS)]]+Tabla44[[#This Row],[VALOR COMPONENTE ALIMENTACION NO ASIGNADO]]</f>
        <v>385374200</v>
      </c>
      <c r="AV44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54404292</v>
      </c>
      <c r="AW444" s="35">
        <f>(VLOOKUP(Tabla44[[#This Row],[SERVICIO 2025]],$J$2:$V$15,3,0)*Tabla44[[#This Row],[TOTAL COBERTURA]])+VLOOKUP(Tabla44[[#This Row],[SERVICIO 2025]],$J$2:$V$15,10,0)*Tabla44[[#This Row],[TOTAL COBERTURA]]</f>
        <v>46295136</v>
      </c>
      <c r="AX444" s="35">
        <f>(VLOOKUP(Tabla44[[#This Row],[SERVICIO 2025]],$J$2:$V$15,3,0)*Tabla44[[#This Row],[TOTAL COBERTURA]])+VLOOKUP(Tabla44[[#This Row],[SERVICIO 2025]],$J$2:$V$15,10,0)*Tabla44[[#This Row],[TOTAL COBERTURA]]</f>
        <v>46295136</v>
      </c>
      <c r="AY444" s="35">
        <f>(VLOOKUP(Tabla44[[#This Row],[SERVICIO 2025]],$J$2:$V$15,3,0)*Tabla44[[#This Row],[TOTAL COBERTURA]])+VLOOKUP(Tabla44[[#This Row],[SERVICIO 2025]],$J$2:$V$15,10,0)*Tabla44[[#This Row],[TOTAL COBERTURA]]</f>
        <v>46295136</v>
      </c>
      <c r="AZ444" s="35">
        <f>(VLOOKUP(Tabla44[[#This Row],[SERVICIO 2025]],$J$2:$V$15,3,0)*Tabla44[[#This Row],[TOTAL COBERTURA]])+VLOOKUP(Tabla44[[#This Row],[SERVICIO 2025]],$J$2:$V$15,10,0)*Tabla44[[#This Row],[TOTAL COBERTURA]]</f>
        <v>46295136</v>
      </c>
      <c r="BA444" s="35">
        <f>(VLOOKUP(Tabla44[[#This Row],[SERVICIO 2025]],$J$2:$V$15,3,0)*Tabla44[[#This Row],[TOTAL COBERTURA]])+VLOOKUP(Tabla44[[#This Row],[SERVICIO 2025]],$J$2:$V$15,10,0)*Tabla44[[#This Row],[TOTAL COBERTURA]]</f>
        <v>46295136</v>
      </c>
      <c r="BB444" s="35">
        <f>(VLOOKUP(Tabla44[[#This Row],[SERVICIO 2025]],$J$2:$V$15,3,0)*Tabla44[[#This Row],[TOTAL COBERTURA]])+VLOOKUP(Tabla44[[#This Row],[SERVICIO 2025]],$J$2:$V$15,10,0)*Tabla44[[#This Row],[TOTAL COBERTURA]]</f>
        <v>46295136</v>
      </c>
      <c r="BC44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53199092</v>
      </c>
      <c r="BD444" s="35">
        <f>SUM(Tabla44[[#This Row],[DESEMBOLSO 1]:[DESEMBOLSO 8]])</f>
        <v>385374200</v>
      </c>
      <c r="BE444" s="12" t="b">
        <f>EXACT(Tabla44[[#This Row],[VALOR ATENCIÓN (8 MESES)]],Tabla44[[#This Row],[VALOR TOTAL]])</f>
        <v>1</v>
      </c>
      <c r="BF444" s="23">
        <f>Tabla44[[#This Row],[VALOR ATENCIÓN (8 MESES)]]-Tabla44[[#This Row],[VALOR TOTAL]]</f>
        <v>0</v>
      </c>
      <c r="BG444" s="12" t="b">
        <f>EXACT(Tabla44[[#This Row],[TOTAL DESEMBOLSOS]],Tabla44[[#This Row],[VALOR TOTAL DEL CONTRATO INCLUIDO EL COMPONENTE DE ALIMENTACIÓN]])</f>
        <v>1</v>
      </c>
      <c r="BH444" s="29">
        <f>Tabla44[[#This Row],[TOTAL DESEMBOLSOS]]-Tabla44[[#This Row],[VALOR TOTAL DEL CONTRATO INCLUIDO EL COMPONENTE DE ALIMENTACIÓN]]</f>
        <v>0</v>
      </c>
      <c r="BJ444" t="s">
        <v>3595</v>
      </c>
    </row>
    <row r="445" spans="1:62">
      <c r="A445" s="13">
        <v>2022</v>
      </c>
      <c r="B445" s="13"/>
      <c r="C445" s="12" t="s">
        <v>87</v>
      </c>
      <c r="D445" s="12" t="s">
        <v>1628</v>
      </c>
      <c r="E445" s="12" t="s">
        <v>3668</v>
      </c>
      <c r="F445" s="12" t="s">
        <v>18</v>
      </c>
      <c r="G445" s="12" t="s">
        <v>90</v>
      </c>
      <c r="H445" s="12" t="s">
        <v>3669</v>
      </c>
      <c r="I445" s="36">
        <v>50381114867</v>
      </c>
      <c r="J445" s="12" t="s">
        <v>3670</v>
      </c>
      <c r="K445" s="12">
        <v>1</v>
      </c>
      <c r="L445" s="12">
        <v>13</v>
      </c>
      <c r="M445" s="12"/>
      <c r="N445" s="13">
        <v>2022</v>
      </c>
      <c r="O445" s="12" t="s">
        <v>2850</v>
      </c>
      <c r="P445" s="12"/>
      <c r="Q445" s="12"/>
      <c r="R445" s="12" t="s">
        <v>94</v>
      </c>
      <c r="S445" s="12">
        <v>10</v>
      </c>
      <c r="T445" s="12">
        <v>890985417</v>
      </c>
      <c r="U445" s="12" t="s">
        <v>3671</v>
      </c>
      <c r="V445" s="12">
        <f>VLOOKUP(Tabla44[[#This Row],[ZONA DEFINITIVO]],[1]Hoja1!$A$1:$D$125,3,0)</f>
        <v>229946</v>
      </c>
      <c r="W445" s="12">
        <f>VLOOKUP(Tabla44[[#This Row],[ZONA DEFINITIVO]],[1]Hoja1!$A$1:$D$125,2,0)</f>
        <v>17267</v>
      </c>
      <c r="X445" s="12">
        <f>VLOOKUP(Tabla44[[#This Row],[ZONA DEFINITIVO]],[1]Hoja1!$A$1:$D$125,4,0)</f>
        <v>105325</v>
      </c>
      <c r="Y445" s="12">
        <f>+IF(Tabla44[[#This Row],[AGRUPACIONES]]=1,SUMIFS(Tabla44[UDS],Tabla44[ZONA DEFINITIVO],Tabla44[[#This Row],[ZONA DEFINITIVO]])," ")</f>
        <v>52</v>
      </c>
      <c r="Z445" s="12">
        <f>+IF(Tabla44[[#This Row],[AGRUPACIONES]]=1,SUMIFS(Tabla44[TOTAL COBERTURA],Tabla44[ZONA DEFINITIVO],Tabla44[[#This Row],[ZONA DEFINITIVO]])," ")</f>
        <v>1203</v>
      </c>
      <c r="AA445" s="12"/>
      <c r="AB445" s="35">
        <v>28342509</v>
      </c>
      <c r="AC445" s="37">
        <v>0</v>
      </c>
      <c r="AD445" s="35">
        <f t="shared" si="7"/>
        <v>0</v>
      </c>
      <c r="AE445" s="12"/>
      <c r="AF445" s="12">
        <f>COUNTIF($A$20:A445,A445)</f>
        <v>1</v>
      </c>
      <c r="AG445" s="38">
        <v>28342509</v>
      </c>
      <c r="AH445" s="38">
        <f>Tabla44[[#This Row],[VALOR CONTRAPARTIDA]]+Tabla44[[#This Row],[TOTAL APORTES ICBF]]</f>
        <v>28342509</v>
      </c>
      <c r="AI445" s="35">
        <f>+IF(Tabla44[[#This Row],[AGRUPACIONES]]=1,SUMIFS(Tabla44[TOTAL APORTES ICBF],Tabla44[ZONA DEFINITIVO],Tabla44[[#This Row],[ZONA DEFINITIVO]])," ")</f>
        <v>2896281645</v>
      </c>
      <c r="AJ445" s="38">
        <f>ROUND(+IF(Tabla44[[#This Row],[AGRUPACIONES]]=1,SUMIFS(Tabla44[VALOR CONTRAPARTIDA],Tabla44[ZONA DEFINITIVO],Tabla44[[#This Row],[ZONA DEFINITIVO]])," "),0)</f>
        <v>0</v>
      </c>
      <c r="AK445" s="38">
        <f>Tabla44[[#This Row],[TOTAL APORTES ICBF AGRUPADO]]+Tabla44[[#This Row],[TOTAL CONTRAPARTIDA AGRUPADO]]</f>
        <v>2896281645</v>
      </c>
      <c r="AL445" s="35">
        <f>Tabla44[[#This Row],[TOTAL APORTES ICBF AGRUPADO]]/$AL$18</f>
        <v>2034.6200526870389</v>
      </c>
      <c r="AM445" s="35">
        <f>VLOOKUP(Tabla44[[#This Row],[SERVICIO 2025]],$J$2:$V$15,5,0)*Tabla44[[#This Row],[TOTAL COBERTURA]]</f>
        <v>641888</v>
      </c>
      <c r="AN445" s="35">
        <f>VLOOKUP(Tabla44[[#This Row],[SERVICIO 2025]],$J$2:$V$15,6,0)*Tabla44[[#This Row],[TOTAL COBERTURA]]</f>
        <v>533377</v>
      </c>
      <c r="AO445" s="35">
        <f>VLOOKUP(Tabla44[[#This Row],[SERVICIO 2025]],$J$2:$V$15,8,0)*Tabla44[[#This Row],[TOTAL COBERTURA]]</f>
        <v>378300</v>
      </c>
      <c r="AP445" s="35">
        <f>VLOOKUP(Tabla44[[#This Row],[SERVICIO 2025]],$J$2:$V$15,3,0)*Tabla44[[#This Row],[TOTAL COBERTURA]]*8</f>
        <v>26788944</v>
      </c>
      <c r="AQ445" s="35"/>
      <c r="AR445" s="35">
        <f>SUM(Tabla44[[#This Row],[VALOR FASE PREPARATORIA DE ALISTAMIENTO]:[VALOR RACION PREPARADA]])</f>
        <v>28342509</v>
      </c>
      <c r="AS445" s="35">
        <f>+IF(Tabla44[[#This Row],[AGRUPACIONES]]=1,SUMIFS(Tabla44[VALOR TOTAL],Tabla44[ZONA DEFINITIVO],Tabla44[[#This Row],[ZONA DEFINITIVO]])," ")</f>
        <v>2896281645</v>
      </c>
      <c r="AT445" s="35">
        <f>VLOOKUP(Tabla44[[#This Row],[SERVICIO 2025]],$J$2:$V$15,10,0)*Tabla44[[#This Row],[TOTAL COBERTURA]]*$X$7</f>
        <v>18759832</v>
      </c>
      <c r="AU445" s="39">
        <f>Tabla44[[#This Row],[TOTAL CONTRATO (ICBF+EAS)]]+Tabla44[[#This Row],[VALOR COMPONENTE ALIMENTACION NO ASIGNADO]]</f>
        <v>47102341</v>
      </c>
      <c r="AV44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445" s="35">
        <f>(VLOOKUP(Tabla44[[#This Row],[SERVICIO 2025]],$J$2:$V$15,3,0)*Tabla44[[#This Row],[TOTAL COBERTURA]])+VLOOKUP(Tabla44[[#This Row],[SERVICIO 2025]],$J$2:$V$15,10,0)*Tabla44[[#This Row],[TOTAL COBERTURA]]</f>
        <v>5693597</v>
      </c>
      <c r="AX445" s="35">
        <f>(VLOOKUP(Tabla44[[#This Row],[SERVICIO 2025]],$J$2:$V$15,3,0)*Tabla44[[#This Row],[TOTAL COBERTURA]])+VLOOKUP(Tabla44[[#This Row],[SERVICIO 2025]],$J$2:$V$15,10,0)*Tabla44[[#This Row],[TOTAL COBERTURA]]</f>
        <v>5693597</v>
      </c>
      <c r="AY445" s="35">
        <f>(VLOOKUP(Tabla44[[#This Row],[SERVICIO 2025]],$J$2:$V$15,3,0)*Tabla44[[#This Row],[TOTAL COBERTURA]])+VLOOKUP(Tabla44[[#This Row],[SERVICIO 2025]],$J$2:$V$15,10,0)*Tabla44[[#This Row],[TOTAL COBERTURA]]</f>
        <v>5693597</v>
      </c>
      <c r="AZ445" s="35">
        <f>(VLOOKUP(Tabla44[[#This Row],[SERVICIO 2025]],$J$2:$V$15,3,0)*Tabla44[[#This Row],[TOTAL COBERTURA]])+VLOOKUP(Tabla44[[#This Row],[SERVICIO 2025]],$J$2:$V$15,10,0)*Tabla44[[#This Row],[TOTAL COBERTURA]]</f>
        <v>5693597</v>
      </c>
      <c r="BA445" s="35">
        <f>(VLOOKUP(Tabla44[[#This Row],[SERVICIO 2025]],$J$2:$V$15,3,0)*Tabla44[[#This Row],[TOTAL COBERTURA]])+VLOOKUP(Tabla44[[#This Row],[SERVICIO 2025]],$J$2:$V$15,10,0)*Tabla44[[#This Row],[TOTAL COBERTURA]]</f>
        <v>5693597</v>
      </c>
      <c r="BB445" s="35">
        <f>(VLOOKUP(Tabla44[[#This Row],[SERVICIO 2025]],$J$2:$V$15,3,0)*Tabla44[[#This Row],[TOTAL COBERTURA]])+VLOOKUP(Tabla44[[#This Row],[SERVICIO 2025]],$J$2:$V$15,10,0)*Tabla44[[#This Row],[TOTAL COBERTURA]]</f>
        <v>5693597</v>
      </c>
      <c r="BC44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445" s="35">
        <f>SUM(Tabla44[[#This Row],[DESEMBOLSO 1]:[DESEMBOLSO 8]])</f>
        <v>47102341</v>
      </c>
      <c r="BE445" s="12" t="b">
        <f>EXACT(Tabla44[[#This Row],[VALOR ATENCIÓN (8 MESES)]],Tabla44[[#This Row],[VALOR TOTAL]])</f>
        <v>1</v>
      </c>
      <c r="BF445" s="23">
        <f>Tabla44[[#This Row],[VALOR ATENCIÓN (8 MESES)]]-Tabla44[[#This Row],[VALOR TOTAL]]</f>
        <v>0</v>
      </c>
      <c r="BG445" s="12" t="b">
        <f>EXACT(Tabla44[[#This Row],[TOTAL DESEMBOLSOS]],Tabla44[[#This Row],[VALOR TOTAL DEL CONTRATO INCLUIDO EL COMPONENTE DE ALIMENTACIÓN]])</f>
        <v>1</v>
      </c>
      <c r="BH445" s="29">
        <f>Tabla44[[#This Row],[TOTAL DESEMBOLSOS]]-Tabla44[[#This Row],[VALOR TOTAL DEL CONTRATO INCLUIDO EL COMPONENTE DE ALIMENTACIÓN]]</f>
        <v>0</v>
      </c>
      <c r="BI445" t="s">
        <v>98</v>
      </c>
    </row>
    <row r="446" spans="1:62">
      <c r="A446" s="13">
        <v>2022</v>
      </c>
      <c r="B446" s="13"/>
      <c r="C446" s="12" t="s">
        <v>87</v>
      </c>
      <c r="D446" s="12" t="s">
        <v>1628</v>
      </c>
      <c r="E446" s="12" t="s">
        <v>3668</v>
      </c>
      <c r="F446" s="12" t="s">
        <v>18</v>
      </c>
      <c r="G446" s="12" t="s">
        <v>90</v>
      </c>
      <c r="H446" s="12" t="s">
        <v>3672</v>
      </c>
      <c r="I446" s="36">
        <v>50381114871</v>
      </c>
      <c r="J446" s="12" t="s">
        <v>3673</v>
      </c>
      <c r="K446" s="12">
        <v>1</v>
      </c>
      <c r="L446" s="12">
        <v>17</v>
      </c>
      <c r="M446" s="12"/>
      <c r="N446" s="13">
        <v>2022</v>
      </c>
      <c r="O446" s="12" t="s">
        <v>2850</v>
      </c>
      <c r="P446" s="12"/>
      <c r="Q446" s="12"/>
      <c r="R446" s="12" t="s">
        <v>94</v>
      </c>
      <c r="S446" s="12">
        <v>10</v>
      </c>
      <c r="T446" s="12">
        <v>890985417</v>
      </c>
      <c r="U446" s="12" t="s">
        <v>3671</v>
      </c>
      <c r="V446" s="12">
        <f>VLOOKUP(Tabla44[[#This Row],[ZONA DEFINITIVO]],[1]Hoja1!$A$1:$D$125,3,0)</f>
        <v>229946</v>
      </c>
      <c r="W446" s="12">
        <f>VLOOKUP(Tabla44[[#This Row],[ZONA DEFINITIVO]],[1]Hoja1!$A$1:$D$125,2,0)</f>
        <v>17267</v>
      </c>
      <c r="X446" s="12">
        <f>VLOOKUP(Tabla44[[#This Row],[ZONA DEFINITIVO]],[1]Hoja1!$A$1:$D$125,4,0)</f>
        <v>105325</v>
      </c>
      <c r="Y446" s="12" t="str">
        <f>+IF(Tabla44[[#This Row],[AGRUPACIONES]]=1,SUMIFS(Tabla44[UDS],Tabla44[ZONA DEFINITIVO],Tabla44[[#This Row],[ZONA DEFINITIVO]])," ")</f>
        <v xml:space="preserve"> </v>
      </c>
      <c r="Z446" s="12" t="str">
        <f>+IF(Tabla44[[#This Row],[AGRUPACIONES]]=1,SUMIFS(Tabla44[TOTAL COBERTURA],Tabla44[ZONA DEFINITIVO],Tabla44[[#This Row],[ZONA DEFINITIVO]])," ")</f>
        <v xml:space="preserve"> </v>
      </c>
      <c r="AA446" s="12"/>
      <c r="AB446" s="35">
        <v>37063281</v>
      </c>
      <c r="AC446" s="37">
        <v>0</v>
      </c>
      <c r="AD446" s="35">
        <f t="shared" si="7"/>
        <v>0</v>
      </c>
      <c r="AE446" s="12"/>
      <c r="AF446" s="12">
        <f>COUNTIF($A$20:A446,A446)</f>
        <v>2</v>
      </c>
      <c r="AG446" s="38">
        <v>37063281</v>
      </c>
      <c r="AH446" s="38">
        <f>Tabla44[[#This Row],[VALOR CONTRAPARTIDA]]+Tabla44[[#This Row],[TOTAL APORTES ICBF]]</f>
        <v>37063281</v>
      </c>
      <c r="AI446" s="35" t="str">
        <f>+IF(Tabla44[[#This Row],[AGRUPACIONES]]=1,SUMIFS(Tabla44[TOTAL APORTES ICBF],Tabla44[ZONA DEFINITIVO],Tabla44[[#This Row],[ZONA DEFINITIVO]])," ")</f>
        <v xml:space="preserve"> </v>
      </c>
      <c r="AJ446" s="38"/>
      <c r="AK446" s="38"/>
      <c r="AL446" s="35"/>
      <c r="AM446" s="35">
        <f>VLOOKUP(Tabla44[[#This Row],[SERVICIO 2025]],$J$2:$V$15,5,0)*Tabla44[[#This Row],[TOTAL COBERTURA]]</f>
        <v>839392</v>
      </c>
      <c r="AN446" s="35">
        <f>VLOOKUP(Tabla44[[#This Row],[SERVICIO 2025]],$J$2:$V$15,6,0)*Tabla44[[#This Row],[TOTAL COBERTURA]]</f>
        <v>697493</v>
      </c>
      <c r="AO446" s="35">
        <f>VLOOKUP(Tabla44[[#This Row],[SERVICIO 2025]],$J$2:$V$15,8,0)*Tabla44[[#This Row],[TOTAL COBERTURA]]</f>
        <v>494700</v>
      </c>
      <c r="AP446" s="35">
        <f>VLOOKUP(Tabla44[[#This Row],[SERVICIO 2025]],$J$2:$V$15,3,0)*Tabla44[[#This Row],[TOTAL COBERTURA]]*8</f>
        <v>35031696</v>
      </c>
      <c r="AQ446" s="35"/>
      <c r="AR446" s="35">
        <f>SUM(Tabla44[[#This Row],[VALOR FASE PREPARATORIA DE ALISTAMIENTO]:[VALOR RACION PREPARADA]])</f>
        <v>37063281</v>
      </c>
      <c r="AS446" s="35" t="str">
        <f>+IF(Tabla44[[#This Row],[AGRUPACIONES]]=1,SUMIFS(Tabla44[VALOR TOTAL],Tabla44[ZONA DEFINITIVO],Tabla44[[#This Row],[ZONA DEFINITIVO]])," ")</f>
        <v xml:space="preserve"> </v>
      </c>
      <c r="AT446" s="35">
        <f>VLOOKUP(Tabla44[[#This Row],[SERVICIO 2025]],$J$2:$V$15,10,0)*Tabla44[[#This Row],[TOTAL COBERTURA]]*$X$7</f>
        <v>24532088</v>
      </c>
      <c r="AU446" s="39">
        <f>Tabla44[[#This Row],[TOTAL CONTRATO (ICBF+EAS)]]+Tabla44[[#This Row],[VALOR COMPONENTE ALIMENTACION NO ASIGNADO]]</f>
        <v>61595369</v>
      </c>
      <c r="AV44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446" s="35">
        <f>(VLOOKUP(Tabla44[[#This Row],[SERVICIO 2025]],$J$2:$V$15,3,0)*Tabla44[[#This Row],[TOTAL COBERTURA]])+VLOOKUP(Tabla44[[#This Row],[SERVICIO 2025]],$J$2:$V$15,10,0)*Tabla44[[#This Row],[TOTAL COBERTURA]]</f>
        <v>7445473</v>
      </c>
      <c r="AX446" s="35">
        <f>(VLOOKUP(Tabla44[[#This Row],[SERVICIO 2025]],$J$2:$V$15,3,0)*Tabla44[[#This Row],[TOTAL COBERTURA]])+VLOOKUP(Tabla44[[#This Row],[SERVICIO 2025]],$J$2:$V$15,10,0)*Tabla44[[#This Row],[TOTAL COBERTURA]]</f>
        <v>7445473</v>
      </c>
      <c r="AY446" s="35">
        <f>(VLOOKUP(Tabla44[[#This Row],[SERVICIO 2025]],$J$2:$V$15,3,0)*Tabla44[[#This Row],[TOTAL COBERTURA]])+VLOOKUP(Tabla44[[#This Row],[SERVICIO 2025]],$J$2:$V$15,10,0)*Tabla44[[#This Row],[TOTAL COBERTURA]]</f>
        <v>7445473</v>
      </c>
      <c r="AZ446" s="35">
        <f>(VLOOKUP(Tabla44[[#This Row],[SERVICIO 2025]],$J$2:$V$15,3,0)*Tabla44[[#This Row],[TOTAL COBERTURA]])+VLOOKUP(Tabla44[[#This Row],[SERVICIO 2025]],$J$2:$V$15,10,0)*Tabla44[[#This Row],[TOTAL COBERTURA]]</f>
        <v>7445473</v>
      </c>
      <c r="BA446" s="35">
        <f>(VLOOKUP(Tabla44[[#This Row],[SERVICIO 2025]],$J$2:$V$15,3,0)*Tabla44[[#This Row],[TOTAL COBERTURA]])+VLOOKUP(Tabla44[[#This Row],[SERVICIO 2025]],$J$2:$V$15,10,0)*Tabla44[[#This Row],[TOTAL COBERTURA]]</f>
        <v>7445473</v>
      </c>
      <c r="BB446" s="35">
        <f>(VLOOKUP(Tabla44[[#This Row],[SERVICIO 2025]],$J$2:$V$15,3,0)*Tabla44[[#This Row],[TOTAL COBERTURA]])+VLOOKUP(Tabla44[[#This Row],[SERVICIO 2025]],$J$2:$V$15,10,0)*Tabla44[[#This Row],[TOTAL COBERTURA]]</f>
        <v>7445473</v>
      </c>
      <c r="BC44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446" s="35">
        <f>SUM(Tabla44[[#This Row],[DESEMBOLSO 1]:[DESEMBOLSO 8]])</f>
        <v>61595369</v>
      </c>
      <c r="BE446" s="12" t="b">
        <f>EXACT(Tabla44[[#This Row],[VALOR ATENCIÓN (8 MESES)]],Tabla44[[#This Row],[VALOR TOTAL]])</f>
        <v>1</v>
      </c>
      <c r="BF446" s="23">
        <f>Tabla44[[#This Row],[VALOR ATENCIÓN (8 MESES)]]-Tabla44[[#This Row],[VALOR TOTAL]]</f>
        <v>0</v>
      </c>
      <c r="BG446" s="12" t="b">
        <f>EXACT(Tabla44[[#This Row],[TOTAL DESEMBOLSOS]],Tabla44[[#This Row],[VALOR TOTAL DEL CONTRATO INCLUIDO EL COMPONENTE DE ALIMENTACIÓN]])</f>
        <v>1</v>
      </c>
      <c r="BH446" s="29">
        <f>Tabla44[[#This Row],[TOTAL DESEMBOLSOS]]-Tabla44[[#This Row],[VALOR TOTAL DEL CONTRATO INCLUIDO EL COMPONENTE DE ALIMENTACIÓN]]</f>
        <v>0</v>
      </c>
      <c r="BI446" t="s">
        <v>98</v>
      </c>
    </row>
    <row r="447" spans="1:62">
      <c r="A447" s="13">
        <v>2022</v>
      </c>
      <c r="B447" s="13"/>
      <c r="C447" s="12" t="s">
        <v>87</v>
      </c>
      <c r="D447" s="12" t="s">
        <v>1628</v>
      </c>
      <c r="E447" s="12" t="s">
        <v>3668</v>
      </c>
      <c r="F447" s="12" t="s">
        <v>18</v>
      </c>
      <c r="G447" s="12" t="s">
        <v>90</v>
      </c>
      <c r="H447" s="12" t="s">
        <v>3674</v>
      </c>
      <c r="I447" s="36">
        <v>50381114874</v>
      </c>
      <c r="J447" s="12" t="s">
        <v>3675</v>
      </c>
      <c r="K447" s="12">
        <v>1</v>
      </c>
      <c r="L447" s="12">
        <v>17</v>
      </c>
      <c r="M447" s="12"/>
      <c r="N447" s="13">
        <v>2022</v>
      </c>
      <c r="O447" s="12" t="s">
        <v>2850</v>
      </c>
      <c r="P447" s="12"/>
      <c r="Q447" s="12"/>
      <c r="R447" s="12" t="s">
        <v>94</v>
      </c>
      <c r="S447" s="12">
        <v>10</v>
      </c>
      <c r="T447" s="12">
        <v>890985417</v>
      </c>
      <c r="U447" s="12" t="s">
        <v>3671</v>
      </c>
      <c r="V447" s="12">
        <f>VLOOKUP(Tabla44[[#This Row],[ZONA DEFINITIVO]],[1]Hoja1!$A$1:$D$125,3,0)</f>
        <v>229946</v>
      </c>
      <c r="W447" s="12">
        <f>VLOOKUP(Tabla44[[#This Row],[ZONA DEFINITIVO]],[1]Hoja1!$A$1:$D$125,2,0)</f>
        <v>17267</v>
      </c>
      <c r="X447" s="12">
        <f>VLOOKUP(Tabla44[[#This Row],[ZONA DEFINITIVO]],[1]Hoja1!$A$1:$D$125,4,0)</f>
        <v>105325</v>
      </c>
      <c r="Y447" s="12" t="str">
        <f>+IF(Tabla44[[#This Row],[AGRUPACIONES]]=1,SUMIFS(Tabla44[UDS],Tabla44[ZONA DEFINITIVO],Tabla44[[#This Row],[ZONA DEFINITIVO]])," ")</f>
        <v xml:space="preserve"> </v>
      </c>
      <c r="Z447" s="12" t="str">
        <f>+IF(Tabla44[[#This Row],[AGRUPACIONES]]=1,SUMIFS(Tabla44[TOTAL COBERTURA],Tabla44[ZONA DEFINITIVO],Tabla44[[#This Row],[ZONA DEFINITIVO]])," ")</f>
        <v xml:space="preserve"> </v>
      </c>
      <c r="AA447" s="12"/>
      <c r="AB447" s="35">
        <v>37063281</v>
      </c>
      <c r="AC447" s="37">
        <v>0</v>
      </c>
      <c r="AD447" s="35">
        <f t="shared" si="7"/>
        <v>0</v>
      </c>
      <c r="AE447" s="12"/>
      <c r="AF447" s="12">
        <f>COUNTIF($A$20:A447,A447)</f>
        <v>3</v>
      </c>
      <c r="AG447" s="38">
        <v>37063281</v>
      </c>
      <c r="AH447" s="38">
        <f>Tabla44[[#This Row],[VALOR CONTRAPARTIDA]]+Tabla44[[#This Row],[TOTAL APORTES ICBF]]</f>
        <v>37063281</v>
      </c>
      <c r="AI447" s="35" t="str">
        <f>+IF(Tabla44[[#This Row],[AGRUPACIONES]]=1,SUMIFS(Tabla44[TOTAL APORTES ICBF],Tabla44[ZONA DEFINITIVO],Tabla44[[#This Row],[ZONA DEFINITIVO]])," ")</f>
        <v xml:space="preserve"> </v>
      </c>
      <c r="AJ447" s="38"/>
      <c r="AK447" s="38"/>
      <c r="AL447" s="35"/>
      <c r="AM447" s="35">
        <f>VLOOKUP(Tabla44[[#This Row],[SERVICIO 2025]],$J$2:$V$15,5,0)*Tabla44[[#This Row],[TOTAL COBERTURA]]</f>
        <v>839392</v>
      </c>
      <c r="AN447" s="35">
        <f>VLOOKUP(Tabla44[[#This Row],[SERVICIO 2025]],$J$2:$V$15,6,0)*Tabla44[[#This Row],[TOTAL COBERTURA]]</f>
        <v>697493</v>
      </c>
      <c r="AO447" s="35">
        <f>VLOOKUP(Tabla44[[#This Row],[SERVICIO 2025]],$J$2:$V$15,8,0)*Tabla44[[#This Row],[TOTAL COBERTURA]]</f>
        <v>494700</v>
      </c>
      <c r="AP447" s="35">
        <f>VLOOKUP(Tabla44[[#This Row],[SERVICIO 2025]],$J$2:$V$15,3,0)*Tabla44[[#This Row],[TOTAL COBERTURA]]*8</f>
        <v>35031696</v>
      </c>
      <c r="AQ447" s="35"/>
      <c r="AR447" s="35">
        <f>SUM(Tabla44[[#This Row],[VALOR FASE PREPARATORIA DE ALISTAMIENTO]:[VALOR RACION PREPARADA]])</f>
        <v>37063281</v>
      </c>
      <c r="AS447" s="35" t="str">
        <f>+IF(Tabla44[[#This Row],[AGRUPACIONES]]=1,SUMIFS(Tabla44[VALOR TOTAL],Tabla44[ZONA DEFINITIVO],Tabla44[[#This Row],[ZONA DEFINITIVO]])," ")</f>
        <v xml:space="preserve"> </v>
      </c>
      <c r="AT447" s="35">
        <f>VLOOKUP(Tabla44[[#This Row],[SERVICIO 2025]],$J$2:$V$15,10,0)*Tabla44[[#This Row],[TOTAL COBERTURA]]*$X$7</f>
        <v>24532088</v>
      </c>
      <c r="AU447" s="39">
        <f>Tabla44[[#This Row],[TOTAL CONTRATO (ICBF+EAS)]]+Tabla44[[#This Row],[VALOR COMPONENTE ALIMENTACION NO ASIGNADO]]</f>
        <v>61595369</v>
      </c>
      <c r="AV44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447" s="35">
        <f>(VLOOKUP(Tabla44[[#This Row],[SERVICIO 2025]],$J$2:$V$15,3,0)*Tabla44[[#This Row],[TOTAL COBERTURA]])+VLOOKUP(Tabla44[[#This Row],[SERVICIO 2025]],$J$2:$V$15,10,0)*Tabla44[[#This Row],[TOTAL COBERTURA]]</f>
        <v>7445473</v>
      </c>
      <c r="AX447" s="35">
        <f>(VLOOKUP(Tabla44[[#This Row],[SERVICIO 2025]],$J$2:$V$15,3,0)*Tabla44[[#This Row],[TOTAL COBERTURA]])+VLOOKUP(Tabla44[[#This Row],[SERVICIO 2025]],$J$2:$V$15,10,0)*Tabla44[[#This Row],[TOTAL COBERTURA]]</f>
        <v>7445473</v>
      </c>
      <c r="AY447" s="35">
        <f>(VLOOKUP(Tabla44[[#This Row],[SERVICIO 2025]],$J$2:$V$15,3,0)*Tabla44[[#This Row],[TOTAL COBERTURA]])+VLOOKUP(Tabla44[[#This Row],[SERVICIO 2025]],$J$2:$V$15,10,0)*Tabla44[[#This Row],[TOTAL COBERTURA]]</f>
        <v>7445473</v>
      </c>
      <c r="AZ447" s="35">
        <f>(VLOOKUP(Tabla44[[#This Row],[SERVICIO 2025]],$J$2:$V$15,3,0)*Tabla44[[#This Row],[TOTAL COBERTURA]])+VLOOKUP(Tabla44[[#This Row],[SERVICIO 2025]],$J$2:$V$15,10,0)*Tabla44[[#This Row],[TOTAL COBERTURA]]</f>
        <v>7445473</v>
      </c>
      <c r="BA447" s="35">
        <f>(VLOOKUP(Tabla44[[#This Row],[SERVICIO 2025]],$J$2:$V$15,3,0)*Tabla44[[#This Row],[TOTAL COBERTURA]])+VLOOKUP(Tabla44[[#This Row],[SERVICIO 2025]],$J$2:$V$15,10,0)*Tabla44[[#This Row],[TOTAL COBERTURA]]</f>
        <v>7445473</v>
      </c>
      <c r="BB447" s="35">
        <f>(VLOOKUP(Tabla44[[#This Row],[SERVICIO 2025]],$J$2:$V$15,3,0)*Tabla44[[#This Row],[TOTAL COBERTURA]])+VLOOKUP(Tabla44[[#This Row],[SERVICIO 2025]],$J$2:$V$15,10,0)*Tabla44[[#This Row],[TOTAL COBERTURA]]</f>
        <v>7445473</v>
      </c>
      <c r="BC44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447" s="35">
        <f>SUM(Tabla44[[#This Row],[DESEMBOLSO 1]:[DESEMBOLSO 8]])</f>
        <v>61595369</v>
      </c>
      <c r="BE447" s="12" t="b">
        <f>EXACT(Tabla44[[#This Row],[VALOR ATENCIÓN (8 MESES)]],Tabla44[[#This Row],[VALOR TOTAL]])</f>
        <v>1</v>
      </c>
      <c r="BF447" s="23">
        <f>Tabla44[[#This Row],[VALOR ATENCIÓN (8 MESES)]]-Tabla44[[#This Row],[VALOR TOTAL]]</f>
        <v>0</v>
      </c>
      <c r="BG447" s="12" t="b">
        <f>EXACT(Tabla44[[#This Row],[TOTAL DESEMBOLSOS]],Tabla44[[#This Row],[VALOR TOTAL DEL CONTRATO INCLUIDO EL COMPONENTE DE ALIMENTACIÓN]])</f>
        <v>1</v>
      </c>
      <c r="BH447" s="29">
        <f>Tabla44[[#This Row],[TOTAL DESEMBOLSOS]]-Tabla44[[#This Row],[VALOR TOTAL DEL CONTRATO INCLUIDO EL COMPONENTE DE ALIMENTACIÓN]]</f>
        <v>0</v>
      </c>
      <c r="BI447" t="s">
        <v>98</v>
      </c>
    </row>
    <row r="448" spans="1:62">
      <c r="A448" s="13">
        <v>2022</v>
      </c>
      <c r="B448" s="13"/>
      <c r="C448" s="12" t="s">
        <v>87</v>
      </c>
      <c r="D448" s="12" t="s">
        <v>1628</v>
      </c>
      <c r="E448" s="12" t="s">
        <v>3668</v>
      </c>
      <c r="F448" s="12" t="s">
        <v>18</v>
      </c>
      <c r="G448" s="12" t="s">
        <v>90</v>
      </c>
      <c r="H448" s="12" t="s">
        <v>3676</v>
      </c>
      <c r="I448" s="36">
        <v>50381136338</v>
      </c>
      <c r="J448" s="12" t="s">
        <v>3677</v>
      </c>
      <c r="K448" s="12">
        <v>1</v>
      </c>
      <c r="L448" s="12">
        <v>17</v>
      </c>
      <c r="M448" s="12"/>
      <c r="N448" s="13">
        <v>2022</v>
      </c>
      <c r="O448" s="12" t="s">
        <v>2850</v>
      </c>
      <c r="P448" s="12"/>
      <c r="Q448" s="12"/>
      <c r="R448" s="12" t="s">
        <v>94</v>
      </c>
      <c r="S448" s="12">
        <v>10</v>
      </c>
      <c r="T448" s="12">
        <v>890985417</v>
      </c>
      <c r="U448" s="12" t="s">
        <v>3671</v>
      </c>
      <c r="V448" s="12">
        <f>VLOOKUP(Tabla44[[#This Row],[ZONA DEFINITIVO]],[1]Hoja1!$A$1:$D$125,3,0)</f>
        <v>229946</v>
      </c>
      <c r="W448" s="12">
        <f>VLOOKUP(Tabla44[[#This Row],[ZONA DEFINITIVO]],[1]Hoja1!$A$1:$D$125,2,0)</f>
        <v>17267</v>
      </c>
      <c r="X448" s="12">
        <f>VLOOKUP(Tabla44[[#This Row],[ZONA DEFINITIVO]],[1]Hoja1!$A$1:$D$125,4,0)</f>
        <v>105325</v>
      </c>
      <c r="Y448" s="12" t="str">
        <f>+IF(Tabla44[[#This Row],[AGRUPACIONES]]=1,SUMIFS(Tabla44[UDS],Tabla44[ZONA DEFINITIVO],Tabla44[[#This Row],[ZONA DEFINITIVO]])," ")</f>
        <v xml:space="preserve"> </v>
      </c>
      <c r="Z448" s="12" t="str">
        <f>+IF(Tabla44[[#This Row],[AGRUPACIONES]]=1,SUMIFS(Tabla44[TOTAL COBERTURA],Tabla44[ZONA DEFINITIVO],Tabla44[[#This Row],[ZONA DEFINITIVO]])," ")</f>
        <v xml:space="preserve"> </v>
      </c>
      <c r="AA448" s="12"/>
      <c r="AB448" s="35">
        <v>37063281</v>
      </c>
      <c r="AC448" s="37">
        <v>0</v>
      </c>
      <c r="AD448" s="35">
        <f t="shared" si="7"/>
        <v>0</v>
      </c>
      <c r="AE448" s="12"/>
      <c r="AF448" s="12">
        <f>COUNTIF($A$20:A448,A448)</f>
        <v>4</v>
      </c>
      <c r="AG448" s="38">
        <v>37063281</v>
      </c>
      <c r="AH448" s="38">
        <f>Tabla44[[#This Row],[VALOR CONTRAPARTIDA]]+Tabla44[[#This Row],[TOTAL APORTES ICBF]]</f>
        <v>37063281</v>
      </c>
      <c r="AI448" s="35" t="str">
        <f>+IF(Tabla44[[#This Row],[AGRUPACIONES]]=1,SUMIFS(Tabla44[TOTAL APORTES ICBF],Tabla44[ZONA DEFINITIVO],Tabla44[[#This Row],[ZONA DEFINITIVO]])," ")</f>
        <v xml:space="preserve"> </v>
      </c>
      <c r="AJ448" s="38"/>
      <c r="AK448" s="38"/>
      <c r="AL448" s="35"/>
      <c r="AM448" s="35">
        <f>VLOOKUP(Tabla44[[#This Row],[SERVICIO 2025]],$J$2:$V$15,5,0)*Tabla44[[#This Row],[TOTAL COBERTURA]]</f>
        <v>839392</v>
      </c>
      <c r="AN448" s="35">
        <f>VLOOKUP(Tabla44[[#This Row],[SERVICIO 2025]],$J$2:$V$15,6,0)*Tabla44[[#This Row],[TOTAL COBERTURA]]</f>
        <v>697493</v>
      </c>
      <c r="AO448" s="35">
        <f>VLOOKUP(Tabla44[[#This Row],[SERVICIO 2025]],$J$2:$V$15,8,0)*Tabla44[[#This Row],[TOTAL COBERTURA]]</f>
        <v>494700</v>
      </c>
      <c r="AP448" s="35">
        <f>VLOOKUP(Tabla44[[#This Row],[SERVICIO 2025]],$J$2:$V$15,3,0)*Tabla44[[#This Row],[TOTAL COBERTURA]]*8</f>
        <v>35031696</v>
      </c>
      <c r="AQ448" s="35"/>
      <c r="AR448" s="35">
        <f>SUM(Tabla44[[#This Row],[VALOR FASE PREPARATORIA DE ALISTAMIENTO]:[VALOR RACION PREPARADA]])</f>
        <v>37063281</v>
      </c>
      <c r="AS448" s="35" t="str">
        <f>+IF(Tabla44[[#This Row],[AGRUPACIONES]]=1,SUMIFS(Tabla44[VALOR TOTAL],Tabla44[ZONA DEFINITIVO],Tabla44[[#This Row],[ZONA DEFINITIVO]])," ")</f>
        <v xml:space="preserve"> </v>
      </c>
      <c r="AT448" s="35">
        <f>VLOOKUP(Tabla44[[#This Row],[SERVICIO 2025]],$J$2:$V$15,10,0)*Tabla44[[#This Row],[TOTAL COBERTURA]]*$X$7</f>
        <v>24532088</v>
      </c>
      <c r="AU448" s="39">
        <f>Tabla44[[#This Row],[TOTAL CONTRATO (ICBF+EAS)]]+Tabla44[[#This Row],[VALOR COMPONENTE ALIMENTACION NO ASIGNADO]]</f>
        <v>61595369</v>
      </c>
      <c r="AV44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448" s="35">
        <f>(VLOOKUP(Tabla44[[#This Row],[SERVICIO 2025]],$J$2:$V$15,3,0)*Tabla44[[#This Row],[TOTAL COBERTURA]])+VLOOKUP(Tabla44[[#This Row],[SERVICIO 2025]],$J$2:$V$15,10,0)*Tabla44[[#This Row],[TOTAL COBERTURA]]</f>
        <v>7445473</v>
      </c>
      <c r="AX448" s="35">
        <f>(VLOOKUP(Tabla44[[#This Row],[SERVICIO 2025]],$J$2:$V$15,3,0)*Tabla44[[#This Row],[TOTAL COBERTURA]])+VLOOKUP(Tabla44[[#This Row],[SERVICIO 2025]],$J$2:$V$15,10,0)*Tabla44[[#This Row],[TOTAL COBERTURA]]</f>
        <v>7445473</v>
      </c>
      <c r="AY448" s="35">
        <f>(VLOOKUP(Tabla44[[#This Row],[SERVICIO 2025]],$J$2:$V$15,3,0)*Tabla44[[#This Row],[TOTAL COBERTURA]])+VLOOKUP(Tabla44[[#This Row],[SERVICIO 2025]],$J$2:$V$15,10,0)*Tabla44[[#This Row],[TOTAL COBERTURA]]</f>
        <v>7445473</v>
      </c>
      <c r="AZ448" s="35">
        <f>(VLOOKUP(Tabla44[[#This Row],[SERVICIO 2025]],$J$2:$V$15,3,0)*Tabla44[[#This Row],[TOTAL COBERTURA]])+VLOOKUP(Tabla44[[#This Row],[SERVICIO 2025]],$J$2:$V$15,10,0)*Tabla44[[#This Row],[TOTAL COBERTURA]]</f>
        <v>7445473</v>
      </c>
      <c r="BA448" s="35">
        <f>(VLOOKUP(Tabla44[[#This Row],[SERVICIO 2025]],$J$2:$V$15,3,0)*Tabla44[[#This Row],[TOTAL COBERTURA]])+VLOOKUP(Tabla44[[#This Row],[SERVICIO 2025]],$J$2:$V$15,10,0)*Tabla44[[#This Row],[TOTAL COBERTURA]]</f>
        <v>7445473</v>
      </c>
      <c r="BB448" s="35">
        <f>(VLOOKUP(Tabla44[[#This Row],[SERVICIO 2025]],$J$2:$V$15,3,0)*Tabla44[[#This Row],[TOTAL COBERTURA]])+VLOOKUP(Tabla44[[#This Row],[SERVICIO 2025]],$J$2:$V$15,10,0)*Tabla44[[#This Row],[TOTAL COBERTURA]]</f>
        <v>7445473</v>
      </c>
      <c r="BC44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448" s="35">
        <f>SUM(Tabla44[[#This Row],[DESEMBOLSO 1]:[DESEMBOLSO 8]])</f>
        <v>61595369</v>
      </c>
      <c r="BE448" s="12" t="b">
        <f>EXACT(Tabla44[[#This Row],[VALOR ATENCIÓN (8 MESES)]],Tabla44[[#This Row],[VALOR TOTAL]])</f>
        <v>1</v>
      </c>
      <c r="BF448" s="23">
        <f>Tabla44[[#This Row],[VALOR ATENCIÓN (8 MESES)]]-Tabla44[[#This Row],[VALOR TOTAL]]</f>
        <v>0</v>
      </c>
      <c r="BG448" s="12" t="b">
        <f>EXACT(Tabla44[[#This Row],[TOTAL DESEMBOLSOS]],Tabla44[[#This Row],[VALOR TOTAL DEL CONTRATO INCLUIDO EL COMPONENTE DE ALIMENTACIÓN]])</f>
        <v>1</v>
      </c>
      <c r="BH448" s="29">
        <f>Tabla44[[#This Row],[TOTAL DESEMBOLSOS]]-Tabla44[[#This Row],[VALOR TOTAL DEL CONTRATO INCLUIDO EL COMPONENTE DE ALIMENTACIÓN]]</f>
        <v>0</v>
      </c>
      <c r="BI448" t="s">
        <v>98</v>
      </c>
    </row>
    <row r="449" spans="1:61">
      <c r="A449" s="13">
        <v>2022</v>
      </c>
      <c r="B449" s="13"/>
      <c r="C449" s="12" t="s">
        <v>87</v>
      </c>
      <c r="D449" s="12" t="s">
        <v>1628</v>
      </c>
      <c r="E449" s="12" t="s">
        <v>3668</v>
      </c>
      <c r="F449" s="12" t="s">
        <v>18</v>
      </c>
      <c r="G449" s="12" t="s">
        <v>90</v>
      </c>
      <c r="H449" s="12" t="s">
        <v>3678</v>
      </c>
      <c r="I449" s="36">
        <v>50381136348</v>
      </c>
      <c r="J449" s="12" t="s">
        <v>3679</v>
      </c>
      <c r="K449" s="12">
        <v>1</v>
      </c>
      <c r="L449" s="12">
        <v>18</v>
      </c>
      <c r="M449" s="12"/>
      <c r="N449" s="13">
        <v>2022</v>
      </c>
      <c r="O449" s="12" t="s">
        <v>2850</v>
      </c>
      <c r="P449" s="12"/>
      <c r="Q449" s="12"/>
      <c r="R449" s="12" t="s">
        <v>94</v>
      </c>
      <c r="S449" s="12">
        <v>10</v>
      </c>
      <c r="T449" s="12">
        <v>890985417</v>
      </c>
      <c r="U449" s="12" t="s">
        <v>3671</v>
      </c>
      <c r="V449" s="12">
        <f>VLOOKUP(Tabla44[[#This Row],[ZONA DEFINITIVO]],[1]Hoja1!$A$1:$D$125,3,0)</f>
        <v>229946</v>
      </c>
      <c r="W449" s="12">
        <f>VLOOKUP(Tabla44[[#This Row],[ZONA DEFINITIVO]],[1]Hoja1!$A$1:$D$125,2,0)</f>
        <v>17267</v>
      </c>
      <c r="X449" s="12">
        <f>VLOOKUP(Tabla44[[#This Row],[ZONA DEFINITIVO]],[1]Hoja1!$A$1:$D$125,4,0)</f>
        <v>105325</v>
      </c>
      <c r="Y449" s="12" t="str">
        <f>+IF(Tabla44[[#This Row],[AGRUPACIONES]]=1,SUMIFS(Tabla44[UDS],Tabla44[ZONA DEFINITIVO],Tabla44[[#This Row],[ZONA DEFINITIVO]])," ")</f>
        <v xml:space="preserve"> </v>
      </c>
      <c r="Z449" s="12" t="str">
        <f>+IF(Tabla44[[#This Row],[AGRUPACIONES]]=1,SUMIFS(Tabla44[TOTAL COBERTURA],Tabla44[ZONA DEFINITIVO],Tabla44[[#This Row],[ZONA DEFINITIVO]])," ")</f>
        <v xml:space="preserve"> </v>
      </c>
      <c r="AA449" s="12"/>
      <c r="AB449" s="35">
        <v>39243474</v>
      </c>
      <c r="AC449" s="37">
        <v>0</v>
      </c>
      <c r="AD449" s="35">
        <f t="shared" si="7"/>
        <v>0</v>
      </c>
      <c r="AE449" s="12"/>
      <c r="AF449" s="12">
        <f>COUNTIF($A$20:A449,A449)</f>
        <v>5</v>
      </c>
      <c r="AG449" s="38">
        <v>39243474</v>
      </c>
      <c r="AH449" s="38">
        <f>Tabla44[[#This Row],[VALOR CONTRAPARTIDA]]+Tabla44[[#This Row],[TOTAL APORTES ICBF]]</f>
        <v>39243474</v>
      </c>
      <c r="AI449" s="35" t="str">
        <f>+IF(Tabla44[[#This Row],[AGRUPACIONES]]=1,SUMIFS(Tabla44[TOTAL APORTES ICBF],Tabla44[ZONA DEFINITIVO],Tabla44[[#This Row],[ZONA DEFINITIVO]])," ")</f>
        <v xml:space="preserve"> </v>
      </c>
      <c r="AJ449" s="38"/>
      <c r="AK449" s="38"/>
      <c r="AL449" s="35"/>
      <c r="AM449" s="35">
        <f>VLOOKUP(Tabla44[[#This Row],[SERVICIO 2025]],$J$2:$V$15,5,0)*Tabla44[[#This Row],[TOTAL COBERTURA]]</f>
        <v>888768</v>
      </c>
      <c r="AN449" s="35">
        <f>VLOOKUP(Tabla44[[#This Row],[SERVICIO 2025]],$J$2:$V$15,6,0)*Tabla44[[#This Row],[TOTAL COBERTURA]]</f>
        <v>738522</v>
      </c>
      <c r="AO449" s="35">
        <f>VLOOKUP(Tabla44[[#This Row],[SERVICIO 2025]],$J$2:$V$15,8,0)*Tabla44[[#This Row],[TOTAL COBERTURA]]</f>
        <v>523800</v>
      </c>
      <c r="AP449" s="35">
        <f>VLOOKUP(Tabla44[[#This Row],[SERVICIO 2025]],$J$2:$V$15,3,0)*Tabla44[[#This Row],[TOTAL COBERTURA]]*8</f>
        <v>37092384</v>
      </c>
      <c r="AQ449" s="35"/>
      <c r="AR449" s="35">
        <f>SUM(Tabla44[[#This Row],[VALOR FASE PREPARATORIA DE ALISTAMIENTO]:[VALOR RACION PREPARADA]])</f>
        <v>39243474</v>
      </c>
      <c r="AS449" s="35" t="str">
        <f>+IF(Tabla44[[#This Row],[AGRUPACIONES]]=1,SUMIFS(Tabla44[VALOR TOTAL],Tabla44[ZONA DEFINITIVO],Tabla44[[#This Row],[ZONA DEFINITIVO]])," ")</f>
        <v xml:space="preserve"> </v>
      </c>
      <c r="AT449" s="35">
        <f>VLOOKUP(Tabla44[[#This Row],[SERVICIO 2025]],$J$2:$V$15,10,0)*Tabla44[[#This Row],[TOTAL COBERTURA]]*$X$7</f>
        <v>25975152</v>
      </c>
      <c r="AU449" s="39">
        <f>Tabla44[[#This Row],[TOTAL CONTRATO (ICBF+EAS)]]+Tabla44[[#This Row],[VALOR COMPONENTE ALIMENTACION NO ASIGNADO]]</f>
        <v>65218626</v>
      </c>
      <c r="AV44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449" s="35">
        <f>(VLOOKUP(Tabla44[[#This Row],[SERVICIO 2025]],$J$2:$V$15,3,0)*Tabla44[[#This Row],[TOTAL COBERTURA]])+VLOOKUP(Tabla44[[#This Row],[SERVICIO 2025]],$J$2:$V$15,10,0)*Tabla44[[#This Row],[TOTAL COBERTURA]]</f>
        <v>7883442</v>
      </c>
      <c r="AX449" s="35">
        <f>(VLOOKUP(Tabla44[[#This Row],[SERVICIO 2025]],$J$2:$V$15,3,0)*Tabla44[[#This Row],[TOTAL COBERTURA]])+VLOOKUP(Tabla44[[#This Row],[SERVICIO 2025]],$J$2:$V$15,10,0)*Tabla44[[#This Row],[TOTAL COBERTURA]]</f>
        <v>7883442</v>
      </c>
      <c r="AY449" s="35">
        <f>(VLOOKUP(Tabla44[[#This Row],[SERVICIO 2025]],$J$2:$V$15,3,0)*Tabla44[[#This Row],[TOTAL COBERTURA]])+VLOOKUP(Tabla44[[#This Row],[SERVICIO 2025]],$J$2:$V$15,10,0)*Tabla44[[#This Row],[TOTAL COBERTURA]]</f>
        <v>7883442</v>
      </c>
      <c r="AZ449" s="35">
        <f>(VLOOKUP(Tabla44[[#This Row],[SERVICIO 2025]],$J$2:$V$15,3,0)*Tabla44[[#This Row],[TOTAL COBERTURA]])+VLOOKUP(Tabla44[[#This Row],[SERVICIO 2025]],$J$2:$V$15,10,0)*Tabla44[[#This Row],[TOTAL COBERTURA]]</f>
        <v>7883442</v>
      </c>
      <c r="BA449" s="35">
        <f>(VLOOKUP(Tabla44[[#This Row],[SERVICIO 2025]],$J$2:$V$15,3,0)*Tabla44[[#This Row],[TOTAL COBERTURA]])+VLOOKUP(Tabla44[[#This Row],[SERVICIO 2025]],$J$2:$V$15,10,0)*Tabla44[[#This Row],[TOTAL COBERTURA]]</f>
        <v>7883442</v>
      </c>
      <c r="BB449" s="35">
        <f>(VLOOKUP(Tabla44[[#This Row],[SERVICIO 2025]],$J$2:$V$15,3,0)*Tabla44[[#This Row],[TOTAL COBERTURA]])+VLOOKUP(Tabla44[[#This Row],[SERVICIO 2025]],$J$2:$V$15,10,0)*Tabla44[[#This Row],[TOTAL COBERTURA]]</f>
        <v>7883442</v>
      </c>
      <c r="BC44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449" s="35">
        <f>SUM(Tabla44[[#This Row],[DESEMBOLSO 1]:[DESEMBOLSO 8]])</f>
        <v>65218626</v>
      </c>
      <c r="BE449" s="12" t="b">
        <f>EXACT(Tabla44[[#This Row],[VALOR ATENCIÓN (8 MESES)]],Tabla44[[#This Row],[VALOR TOTAL]])</f>
        <v>1</v>
      </c>
      <c r="BF449" s="23">
        <f>Tabla44[[#This Row],[VALOR ATENCIÓN (8 MESES)]]-Tabla44[[#This Row],[VALOR TOTAL]]</f>
        <v>0</v>
      </c>
      <c r="BG449" s="12" t="b">
        <f>EXACT(Tabla44[[#This Row],[TOTAL DESEMBOLSOS]],Tabla44[[#This Row],[VALOR TOTAL DEL CONTRATO INCLUIDO EL COMPONENTE DE ALIMENTACIÓN]])</f>
        <v>1</v>
      </c>
      <c r="BH449" s="29">
        <f>Tabla44[[#This Row],[TOTAL DESEMBOLSOS]]-Tabla44[[#This Row],[VALOR TOTAL DEL CONTRATO INCLUIDO EL COMPONENTE DE ALIMENTACIÓN]]</f>
        <v>0</v>
      </c>
      <c r="BI449" t="s">
        <v>98</v>
      </c>
    </row>
    <row r="450" spans="1:61">
      <c r="A450" s="13">
        <v>2022</v>
      </c>
      <c r="B450" s="13"/>
      <c r="C450" s="12" t="s">
        <v>87</v>
      </c>
      <c r="D450" s="12" t="s">
        <v>1628</v>
      </c>
      <c r="E450" s="12" t="s">
        <v>3668</v>
      </c>
      <c r="F450" s="12" t="s">
        <v>18</v>
      </c>
      <c r="G450" s="12" t="s">
        <v>90</v>
      </c>
      <c r="H450" s="12" t="s">
        <v>2348</v>
      </c>
      <c r="I450" s="36">
        <v>50381136356</v>
      </c>
      <c r="J450" s="12" t="s">
        <v>3680</v>
      </c>
      <c r="K450" s="12">
        <v>1</v>
      </c>
      <c r="L450" s="12">
        <v>17</v>
      </c>
      <c r="M450" s="12"/>
      <c r="N450" s="13">
        <v>2022</v>
      </c>
      <c r="O450" s="12" t="s">
        <v>2850</v>
      </c>
      <c r="P450" s="12"/>
      <c r="Q450" s="12"/>
      <c r="R450" s="12" t="s">
        <v>94</v>
      </c>
      <c r="S450" s="12">
        <v>10</v>
      </c>
      <c r="T450" s="12">
        <v>890985417</v>
      </c>
      <c r="U450" s="12" t="s">
        <v>3671</v>
      </c>
      <c r="V450" s="12">
        <f>VLOOKUP(Tabla44[[#This Row],[ZONA DEFINITIVO]],[1]Hoja1!$A$1:$D$125,3,0)</f>
        <v>229946</v>
      </c>
      <c r="W450" s="12">
        <f>VLOOKUP(Tabla44[[#This Row],[ZONA DEFINITIVO]],[1]Hoja1!$A$1:$D$125,2,0)</f>
        <v>17267</v>
      </c>
      <c r="X450" s="12">
        <f>VLOOKUP(Tabla44[[#This Row],[ZONA DEFINITIVO]],[1]Hoja1!$A$1:$D$125,4,0)</f>
        <v>105325</v>
      </c>
      <c r="Y450" s="12" t="str">
        <f>+IF(Tabla44[[#This Row],[AGRUPACIONES]]=1,SUMIFS(Tabla44[UDS],Tabla44[ZONA DEFINITIVO],Tabla44[[#This Row],[ZONA DEFINITIVO]])," ")</f>
        <v xml:space="preserve"> </v>
      </c>
      <c r="Z450" s="12" t="str">
        <f>+IF(Tabla44[[#This Row],[AGRUPACIONES]]=1,SUMIFS(Tabla44[TOTAL COBERTURA],Tabla44[ZONA DEFINITIVO],Tabla44[[#This Row],[ZONA DEFINITIVO]])," ")</f>
        <v xml:space="preserve"> </v>
      </c>
      <c r="AA450" s="12"/>
      <c r="AB450" s="35">
        <v>37063281</v>
      </c>
      <c r="AC450" s="37">
        <v>0</v>
      </c>
      <c r="AD450" s="35">
        <f t="shared" si="7"/>
        <v>0</v>
      </c>
      <c r="AE450" s="12"/>
      <c r="AF450" s="12">
        <f>COUNTIF($A$20:A450,A450)</f>
        <v>6</v>
      </c>
      <c r="AG450" s="38">
        <v>37063281</v>
      </c>
      <c r="AH450" s="38">
        <f>Tabla44[[#This Row],[VALOR CONTRAPARTIDA]]+Tabla44[[#This Row],[TOTAL APORTES ICBF]]</f>
        <v>37063281</v>
      </c>
      <c r="AI450" s="35" t="str">
        <f>+IF(Tabla44[[#This Row],[AGRUPACIONES]]=1,SUMIFS(Tabla44[TOTAL APORTES ICBF],Tabla44[ZONA DEFINITIVO],Tabla44[[#This Row],[ZONA DEFINITIVO]])," ")</f>
        <v xml:space="preserve"> </v>
      </c>
      <c r="AJ450" s="38"/>
      <c r="AK450" s="38"/>
      <c r="AL450" s="35"/>
      <c r="AM450" s="35">
        <f>VLOOKUP(Tabla44[[#This Row],[SERVICIO 2025]],$J$2:$V$15,5,0)*Tabla44[[#This Row],[TOTAL COBERTURA]]</f>
        <v>839392</v>
      </c>
      <c r="AN450" s="35">
        <f>VLOOKUP(Tabla44[[#This Row],[SERVICIO 2025]],$J$2:$V$15,6,0)*Tabla44[[#This Row],[TOTAL COBERTURA]]</f>
        <v>697493</v>
      </c>
      <c r="AO450" s="35">
        <f>VLOOKUP(Tabla44[[#This Row],[SERVICIO 2025]],$J$2:$V$15,8,0)*Tabla44[[#This Row],[TOTAL COBERTURA]]</f>
        <v>494700</v>
      </c>
      <c r="AP450" s="35">
        <f>VLOOKUP(Tabla44[[#This Row],[SERVICIO 2025]],$J$2:$V$15,3,0)*Tabla44[[#This Row],[TOTAL COBERTURA]]*8</f>
        <v>35031696</v>
      </c>
      <c r="AQ450" s="35"/>
      <c r="AR450" s="35">
        <f>SUM(Tabla44[[#This Row],[VALOR FASE PREPARATORIA DE ALISTAMIENTO]:[VALOR RACION PREPARADA]])</f>
        <v>37063281</v>
      </c>
      <c r="AS450" s="35" t="str">
        <f>+IF(Tabla44[[#This Row],[AGRUPACIONES]]=1,SUMIFS(Tabla44[VALOR TOTAL],Tabla44[ZONA DEFINITIVO],Tabla44[[#This Row],[ZONA DEFINITIVO]])," ")</f>
        <v xml:space="preserve"> </v>
      </c>
      <c r="AT450" s="35">
        <f>VLOOKUP(Tabla44[[#This Row],[SERVICIO 2025]],$J$2:$V$15,10,0)*Tabla44[[#This Row],[TOTAL COBERTURA]]*$X$7</f>
        <v>24532088</v>
      </c>
      <c r="AU450" s="39">
        <f>Tabla44[[#This Row],[TOTAL CONTRATO (ICBF+EAS)]]+Tabla44[[#This Row],[VALOR COMPONENTE ALIMENTACION NO ASIGNADO]]</f>
        <v>61595369</v>
      </c>
      <c r="AV45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450" s="35">
        <f>(VLOOKUP(Tabla44[[#This Row],[SERVICIO 2025]],$J$2:$V$15,3,0)*Tabla44[[#This Row],[TOTAL COBERTURA]])+VLOOKUP(Tabla44[[#This Row],[SERVICIO 2025]],$J$2:$V$15,10,0)*Tabla44[[#This Row],[TOTAL COBERTURA]]</f>
        <v>7445473</v>
      </c>
      <c r="AX450" s="35">
        <f>(VLOOKUP(Tabla44[[#This Row],[SERVICIO 2025]],$J$2:$V$15,3,0)*Tabla44[[#This Row],[TOTAL COBERTURA]])+VLOOKUP(Tabla44[[#This Row],[SERVICIO 2025]],$J$2:$V$15,10,0)*Tabla44[[#This Row],[TOTAL COBERTURA]]</f>
        <v>7445473</v>
      </c>
      <c r="AY450" s="35">
        <f>(VLOOKUP(Tabla44[[#This Row],[SERVICIO 2025]],$J$2:$V$15,3,0)*Tabla44[[#This Row],[TOTAL COBERTURA]])+VLOOKUP(Tabla44[[#This Row],[SERVICIO 2025]],$J$2:$V$15,10,0)*Tabla44[[#This Row],[TOTAL COBERTURA]]</f>
        <v>7445473</v>
      </c>
      <c r="AZ450" s="35">
        <f>(VLOOKUP(Tabla44[[#This Row],[SERVICIO 2025]],$J$2:$V$15,3,0)*Tabla44[[#This Row],[TOTAL COBERTURA]])+VLOOKUP(Tabla44[[#This Row],[SERVICIO 2025]],$J$2:$V$15,10,0)*Tabla44[[#This Row],[TOTAL COBERTURA]]</f>
        <v>7445473</v>
      </c>
      <c r="BA450" s="35">
        <f>(VLOOKUP(Tabla44[[#This Row],[SERVICIO 2025]],$J$2:$V$15,3,0)*Tabla44[[#This Row],[TOTAL COBERTURA]])+VLOOKUP(Tabla44[[#This Row],[SERVICIO 2025]],$J$2:$V$15,10,0)*Tabla44[[#This Row],[TOTAL COBERTURA]]</f>
        <v>7445473</v>
      </c>
      <c r="BB450" s="35">
        <f>(VLOOKUP(Tabla44[[#This Row],[SERVICIO 2025]],$J$2:$V$15,3,0)*Tabla44[[#This Row],[TOTAL COBERTURA]])+VLOOKUP(Tabla44[[#This Row],[SERVICIO 2025]],$J$2:$V$15,10,0)*Tabla44[[#This Row],[TOTAL COBERTURA]]</f>
        <v>7445473</v>
      </c>
      <c r="BC45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450" s="35">
        <f>SUM(Tabla44[[#This Row],[DESEMBOLSO 1]:[DESEMBOLSO 8]])</f>
        <v>61595369</v>
      </c>
      <c r="BE450" s="12" t="b">
        <f>EXACT(Tabla44[[#This Row],[VALOR ATENCIÓN (8 MESES)]],Tabla44[[#This Row],[VALOR TOTAL]])</f>
        <v>1</v>
      </c>
      <c r="BF450" s="23">
        <f>Tabla44[[#This Row],[VALOR ATENCIÓN (8 MESES)]]-Tabla44[[#This Row],[VALOR TOTAL]]</f>
        <v>0</v>
      </c>
      <c r="BG450" s="12" t="b">
        <f>EXACT(Tabla44[[#This Row],[TOTAL DESEMBOLSOS]],Tabla44[[#This Row],[VALOR TOTAL DEL CONTRATO INCLUIDO EL COMPONENTE DE ALIMENTACIÓN]])</f>
        <v>1</v>
      </c>
      <c r="BH450" s="29">
        <f>Tabla44[[#This Row],[TOTAL DESEMBOLSOS]]-Tabla44[[#This Row],[VALOR TOTAL DEL CONTRATO INCLUIDO EL COMPONENTE DE ALIMENTACIÓN]]</f>
        <v>0</v>
      </c>
      <c r="BI450" t="s">
        <v>98</v>
      </c>
    </row>
    <row r="451" spans="1:61">
      <c r="A451" s="13">
        <v>2022</v>
      </c>
      <c r="B451" s="13"/>
      <c r="C451" s="12" t="s">
        <v>87</v>
      </c>
      <c r="D451" s="12" t="s">
        <v>1628</v>
      </c>
      <c r="E451" s="12" t="s">
        <v>3668</v>
      </c>
      <c r="F451" s="12" t="s">
        <v>18</v>
      </c>
      <c r="G451" s="12" t="s">
        <v>90</v>
      </c>
      <c r="H451" s="12" t="s">
        <v>3336</v>
      </c>
      <c r="I451" s="36">
        <v>50381136373</v>
      </c>
      <c r="J451" s="12" t="s">
        <v>3681</v>
      </c>
      <c r="K451" s="12">
        <v>1</v>
      </c>
      <c r="L451" s="12">
        <v>20</v>
      </c>
      <c r="M451" s="12"/>
      <c r="N451" s="13">
        <v>2022</v>
      </c>
      <c r="O451" s="12" t="s">
        <v>2850</v>
      </c>
      <c r="P451" s="12"/>
      <c r="Q451" s="12"/>
      <c r="R451" s="12" t="s">
        <v>94</v>
      </c>
      <c r="S451" s="12">
        <v>10</v>
      </c>
      <c r="T451" s="12">
        <v>890985417</v>
      </c>
      <c r="U451" s="12" t="s">
        <v>3671</v>
      </c>
      <c r="V451" s="12">
        <f>VLOOKUP(Tabla44[[#This Row],[ZONA DEFINITIVO]],[1]Hoja1!$A$1:$D$125,3,0)</f>
        <v>229946</v>
      </c>
      <c r="W451" s="12">
        <f>VLOOKUP(Tabla44[[#This Row],[ZONA DEFINITIVO]],[1]Hoja1!$A$1:$D$125,2,0)</f>
        <v>17267</v>
      </c>
      <c r="X451" s="12">
        <f>VLOOKUP(Tabla44[[#This Row],[ZONA DEFINITIVO]],[1]Hoja1!$A$1:$D$125,4,0)</f>
        <v>105325</v>
      </c>
      <c r="Y451" s="12" t="str">
        <f>+IF(Tabla44[[#This Row],[AGRUPACIONES]]=1,SUMIFS(Tabla44[UDS],Tabla44[ZONA DEFINITIVO],Tabla44[[#This Row],[ZONA DEFINITIVO]])," ")</f>
        <v xml:space="preserve"> </v>
      </c>
      <c r="Z451" s="12" t="str">
        <f>+IF(Tabla44[[#This Row],[AGRUPACIONES]]=1,SUMIFS(Tabla44[TOTAL COBERTURA],Tabla44[ZONA DEFINITIVO],Tabla44[[#This Row],[ZONA DEFINITIVO]])," ")</f>
        <v xml:space="preserve"> </v>
      </c>
      <c r="AA451" s="12"/>
      <c r="AB451" s="35">
        <v>43603860</v>
      </c>
      <c r="AC451" s="37">
        <v>0</v>
      </c>
      <c r="AD451" s="35">
        <f t="shared" si="7"/>
        <v>0</v>
      </c>
      <c r="AE451" s="12"/>
      <c r="AF451" s="12">
        <f>COUNTIF($A$20:A451,A451)</f>
        <v>7</v>
      </c>
      <c r="AG451" s="38">
        <v>43603860</v>
      </c>
      <c r="AH451" s="38">
        <f>Tabla44[[#This Row],[VALOR CONTRAPARTIDA]]+Tabla44[[#This Row],[TOTAL APORTES ICBF]]</f>
        <v>43603860</v>
      </c>
      <c r="AI451" s="35" t="str">
        <f>+IF(Tabla44[[#This Row],[AGRUPACIONES]]=1,SUMIFS(Tabla44[TOTAL APORTES ICBF],Tabla44[ZONA DEFINITIVO],Tabla44[[#This Row],[ZONA DEFINITIVO]])," ")</f>
        <v xml:space="preserve"> </v>
      </c>
      <c r="AJ451" s="38"/>
      <c r="AK451" s="38"/>
      <c r="AL451" s="35"/>
      <c r="AM451" s="35">
        <f>VLOOKUP(Tabla44[[#This Row],[SERVICIO 2025]],$J$2:$V$15,5,0)*Tabla44[[#This Row],[TOTAL COBERTURA]]</f>
        <v>987520</v>
      </c>
      <c r="AN451" s="35">
        <f>VLOOKUP(Tabla44[[#This Row],[SERVICIO 2025]],$J$2:$V$15,6,0)*Tabla44[[#This Row],[TOTAL COBERTURA]]</f>
        <v>820580</v>
      </c>
      <c r="AO451" s="35">
        <f>VLOOKUP(Tabla44[[#This Row],[SERVICIO 2025]],$J$2:$V$15,8,0)*Tabla44[[#This Row],[TOTAL COBERTURA]]</f>
        <v>582000</v>
      </c>
      <c r="AP451" s="35">
        <f>VLOOKUP(Tabla44[[#This Row],[SERVICIO 2025]],$J$2:$V$15,3,0)*Tabla44[[#This Row],[TOTAL COBERTURA]]*8</f>
        <v>41213760</v>
      </c>
      <c r="AQ451" s="35"/>
      <c r="AR451" s="35">
        <f>SUM(Tabla44[[#This Row],[VALOR FASE PREPARATORIA DE ALISTAMIENTO]:[VALOR RACION PREPARADA]])</f>
        <v>43603860</v>
      </c>
      <c r="AS451" s="35" t="str">
        <f>+IF(Tabla44[[#This Row],[AGRUPACIONES]]=1,SUMIFS(Tabla44[VALOR TOTAL],Tabla44[ZONA DEFINITIVO],Tabla44[[#This Row],[ZONA DEFINITIVO]])," ")</f>
        <v xml:space="preserve"> </v>
      </c>
      <c r="AT451" s="35">
        <f>VLOOKUP(Tabla44[[#This Row],[SERVICIO 2025]],$J$2:$V$15,10,0)*Tabla44[[#This Row],[TOTAL COBERTURA]]*$X$7</f>
        <v>28861280</v>
      </c>
      <c r="AU451" s="39">
        <f>Tabla44[[#This Row],[TOTAL CONTRATO (ICBF+EAS)]]+Tabla44[[#This Row],[VALOR COMPONENTE ALIMENTACION NO ASIGNADO]]</f>
        <v>72465140</v>
      </c>
      <c r="AV45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10328900</v>
      </c>
      <c r="AW451" s="35">
        <f>(VLOOKUP(Tabla44[[#This Row],[SERVICIO 2025]],$J$2:$V$15,3,0)*Tabla44[[#This Row],[TOTAL COBERTURA]])+VLOOKUP(Tabla44[[#This Row],[SERVICIO 2025]],$J$2:$V$15,10,0)*Tabla44[[#This Row],[TOTAL COBERTURA]]</f>
        <v>8759380</v>
      </c>
      <c r="AX451" s="35">
        <f>(VLOOKUP(Tabla44[[#This Row],[SERVICIO 2025]],$J$2:$V$15,3,0)*Tabla44[[#This Row],[TOTAL COBERTURA]])+VLOOKUP(Tabla44[[#This Row],[SERVICIO 2025]],$J$2:$V$15,10,0)*Tabla44[[#This Row],[TOTAL COBERTURA]]</f>
        <v>8759380</v>
      </c>
      <c r="AY451" s="35">
        <f>(VLOOKUP(Tabla44[[#This Row],[SERVICIO 2025]],$J$2:$V$15,3,0)*Tabla44[[#This Row],[TOTAL COBERTURA]])+VLOOKUP(Tabla44[[#This Row],[SERVICIO 2025]],$J$2:$V$15,10,0)*Tabla44[[#This Row],[TOTAL COBERTURA]]</f>
        <v>8759380</v>
      </c>
      <c r="AZ451" s="35">
        <f>(VLOOKUP(Tabla44[[#This Row],[SERVICIO 2025]],$J$2:$V$15,3,0)*Tabla44[[#This Row],[TOTAL COBERTURA]])+VLOOKUP(Tabla44[[#This Row],[SERVICIO 2025]],$J$2:$V$15,10,0)*Tabla44[[#This Row],[TOTAL COBERTURA]]</f>
        <v>8759380</v>
      </c>
      <c r="BA451" s="35">
        <f>(VLOOKUP(Tabla44[[#This Row],[SERVICIO 2025]],$J$2:$V$15,3,0)*Tabla44[[#This Row],[TOTAL COBERTURA]])+VLOOKUP(Tabla44[[#This Row],[SERVICIO 2025]],$J$2:$V$15,10,0)*Tabla44[[#This Row],[TOTAL COBERTURA]]</f>
        <v>8759380</v>
      </c>
      <c r="BB451" s="35">
        <f>(VLOOKUP(Tabla44[[#This Row],[SERVICIO 2025]],$J$2:$V$15,3,0)*Tabla44[[#This Row],[TOTAL COBERTURA]])+VLOOKUP(Tabla44[[#This Row],[SERVICIO 2025]],$J$2:$V$15,10,0)*Tabla44[[#This Row],[TOTAL COBERTURA]]</f>
        <v>8759380</v>
      </c>
      <c r="BC45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9579960</v>
      </c>
      <c r="BD451" s="35">
        <f>SUM(Tabla44[[#This Row],[DESEMBOLSO 1]:[DESEMBOLSO 8]])</f>
        <v>72465140</v>
      </c>
      <c r="BE451" s="12" t="b">
        <f>EXACT(Tabla44[[#This Row],[VALOR ATENCIÓN (8 MESES)]],Tabla44[[#This Row],[VALOR TOTAL]])</f>
        <v>1</v>
      </c>
      <c r="BF451" s="23">
        <f>Tabla44[[#This Row],[VALOR ATENCIÓN (8 MESES)]]-Tabla44[[#This Row],[VALOR TOTAL]]</f>
        <v>0</v>
      </c>
      <c r="BG451" s="12" t="b">
        <f>EXACT(Tabla44[[#This Row],[TOTAL DESEMBOLSOS]],Tabla44[[#This Row],[VALOR TOTAL DEL CONTRATO INCLUIDO EL COMPONENTE DE ALIMENTACIÓN]])</f>
        <v>1</v>
      </c>
      <c r="BH451" s="29">
        <f>Tabla44[[#This Row],[TOTAL DESEMBOLSOS]]-Tabla44[[#This Row],[VALOR TOTAL DEL CONTRATO INCLUIDO EL COMPONENTE DE ALIMENTACIÓN]]</f>
        <v>0</v>
      </c>
      <c r="BI451" t="s">
        <v>98</v>
      </c>
    </row>
    <row r="452" spans="1:61">
      <c r="A452" s="13">
        <v>2022</v>
      </c>
      <c r="B452" s="13"/>
      <c r="C452" s="12" t="s">
        <v>87</v>
      </c>
      <c r="D452" s="12" t="s">
        <v>1628</v>
      </c>
      <c r="E452" s="12" t="s">
        <v>3668</v>
      </c>
      <c r="F452" s="12" t="s">
        <v>18</v>
      </c>
      <c r="G452" s="12" t="s">
        <v>90</v>
      </c>
      <c r="H452" s="12" t="s">
        <v>3682</v>
      </c>
      <c r="I452" s="36">
        <v>50381136375</v>
      </c>
      <c r="J452" s="12" t="s">
        <v>3683</v>
      </c>
      <c r="K452" s="12">
        <v>1</v>
      </c>
      <c r="L452" s="12">
        <v>17</v>
      </c>
      <c r="M452" s="12"/>
      <c r="N452" s="13">
        <v>2022</v>
      </c>
      <c r="O452" s="12" t="s">
        <v>2850</v>
      </c>
      <c r="P452" s="12"/>
      <c r="Q452" s="12"/>
      <c r="R452" s="12" t="s">
        <v>94</v>
      </c>
      <c r="S452" s="12">
        <v>10</v>
      </c>
      <c r="T452" s="12">
        <v>890985417</v>
      </c>
      <c r="U452" s="12" t="s">
        <v>3671</v>
      </c>
      <c r="V452" s="12">
        <f>VLOOKUP(Tabla44[[#This Row],[ZONA DEFINITIVO]],[1]Hoja1!$A$1:$D$125,3,0)</f>
        <v>229946</v>
      </c>
      <c r="W452" s="12">
        <f>VLOOKUP(Tabla44[[#This Row],[ZONA DEFINITIVO]],[1]Hoja1!$A$1:$D$125,2,0)</f>
        <v>17267</v>
      </c>
      <c r="X452" s="12">
        <f>VLOOKUP(Tabla44[[#This Row],[ZONA DEFINITIVO]],[1]Hoja1!$A$1:$D$125,4,0)</f>
        <v>105325</v>
      </c>
      <c r="Y452" s="12" t="str">
        <f>+IF(Tabla44[[#This Row],[AGRUPACIONES]]=1,SUMIFS(Tabla44[UDS],Tabla44[ZONA DEFINITIVO],Tabla44[[#This Row],[ZONA DEFINITIVO]])," ")</f>
        <v xml:space="preserve"> </v>
      </c>
      <c r="Z452" s="12" t="str">
        <f>+IF(Tabla44[[#This Row],[AGRUPACIONES]]=1,SUMIFS(Tabla44[TOTAL COBERTURA],Tabla44[ZONA DEFINITIVO],Tabla44[[#This Row],[ZONA DEFINITIVO]])," ")</f>
        <v xml:space="preserve"> </v>
      </c>
      <c r="AA452" s="12"/>
      <c r="AB452" s="35">
        <v>37063281</v>
      </c>
      <c r="AC452" s="37">
        <v>0</v>
      </c>
      <c r="AD452" s="35">
        <f t="shared" si="7"/>
        <v>0</v>
      </c>
      <c r="AE452" s="12"/>
      <c r="AF452" s="12">
        <f>COUNTIF($A$20:A452,A452)</f>
        <v>8</v>
      </c>
      <c r="AG452" s="38">
        <v>37063281</v>
      </c>
      <c r="AH452" s="38">
        <f>Tabla44[[#This Row],[VALOR CONTRAPARTIDA]]+Tabla44[[#This Row],[TOTAL APORTES ICBF]]</f>
        <v>37063281</v>
      </c>
      <c r="AI452" s="35" t="str">
        <f>+IF(Tabla44[[#This Row],[AGRUPACIONES]]=1,SUMIFS(Tabla44[TOTAL APORTES ICBF],Tabla44[ZONA DEFINITIVO],Tabla44[[#This Row],[ZONA DEFINITIVO]])," ")</f>
        <v xml:space="preserve"> </v>
      </c>
      <c r="AJ452" s="38"/>
      <c r="AK452" s="38"/>
      <c r="AL452" s="35"/>
      <c r="AM452" s="35">
        <f>VLOOKUP(Tabla44[[#This Row],[SERVICIO 2025]],$J$2:$V$15,5,0)*Tabla44[[#This Row],[TOTAL COBERTURA]]</f>
        <v>839392</v>
      </c>
      <c r="AN452" s="35">
        <f>VLOOKUP(Tabla44[[#This Row],[SERVICIO 2025]],$J$2:$V$15,6,0)*Tabla44[[#This Row],[TOTAL COBERTURA]]</f>
        <v>697493</v>
      </c>
      <c r="AO452" s="35">
        <f>VLOOKUP(Tabla44[[#This Row],[SERVICIO 2025]],$J$2:$V$15,8,0)*Tabla44[[#This Row],[TOTAL COBERTURA]]</f>
        <v>494700</v>
      </c>
      <c r="AP452" s="35">
        <f>VLOOKUP(Tabla44[[#This Row],[SERVICIO 2025]],$J$2:$V$15,3,0)*Tabla44[[#This Row],[TOTAL COBERTURA]]*8</f>
        <v>35031696</v>
      </c>
      <c r="AQ452" s="35"/>
      <c r="AR452" s="35">
        <f>SUM(Tabla44[[#This Row],[VALOR FASE PREPARATORIA DE ALISTAMIENTO]:[VALOR RACION PREPARADA]])</f>
        <v>37063281</v>
      </c>
      <c r="AS452" s="35" t="str">
        <f>+IF(Tabla44[[#This Row],[AGRUPACIONES]]=1,SUMIFS(Tabla44[VALOR TOTAL],Tabla44[ZONA DEFINITIVO],Tabla44[[#This Row],[ZONA DEFINITIVO]])," ")</f>
        <v xml:space="preserve"> </v>
      </c>
      <c r="AT452" s="35">
        <f>VLOOKUP(Tabla44[[#This Row],[SERVICIO 2025]],$J$2:$V$15,10,0)*Tabla44[[#This Row],[TOTAL COBERTURA]]*$X$7</f>
        <v>24532088</v>
      </c>
      <c r="AU452" s="39">
        <f>Tabla44[[#This Row],[TOTAL CONTRATO (ICBF+EAS)]]+Tabla44[[#This Row],[VALOR COMPONENTE ALIMENTACION NO ASIGNADO]]</f>
        <v>61595369</v>
      </c>
      <c r="AV45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452" s="35">
        <f>(VLOOKUP(Tabla44[[#This Row],[SERVICIO 2025]],$J$2:$V$15,3,0)*Tabla44[[#This Row],[TOTAL COBERTURA]])+VLOOKUP(Tabla44[[#This Row],[SERVICIO 2025]],$J$2:$V$15,10,0)*Tabla44[[#This Row],[TOTAL COBERTURA]]</f>
        <v>7445473</v>
      </c>
      <c r="AX452" s="35">
        <f>(VLOOKUP(Tabla44[[#This Row],[SERVICIO 2025]],$J$2:$V$15,3,0)*Tabla44[[#This Row],[TOTAL COBERTURA]])+VLOOKUP(Tabla44[[#This Row],[SERVICIO 2025]],$J$2:$V$15,10,0)*Tabla44[[#This Row],[TOTAL COBERTURA]]</f>
        <v>7445473</v>
      </c>
      <c r="AY452" s="35">
        <f>(VLOOKUP(Tabla44[[#This Row],[SERVICIO 2025]],$J$2:$V$15,3,0)*Tabla44[[#This Row],[TOTAL COBERTURA]])+VLOOKUP(Tabla44[[#This Row],[SERVICIO 2025]],$J$2:$V$15,10,0)*Tabla44[[#This Row],[TOTAL COBERTURA]]</f>
        <v>7445473</v>
      </c>
      <c r="AZ452" s="35">
        <f>(VLOOKUP(Tabla44[[#This Row],[SERVICIO 2025]],$J$2:$V$15,3,0)*Tabla44[[#This Row],[TOTAL COBERTURA]])+VLOOKUP(Tabla44[[#This Row],[SERVICIO 2025]],$J$2:$V$15,10,0)*Tabla44[[#This Row],[TOTAL COBERTURA]]</f>
        <v>7445473</v>
      </c>
      <c r="BA452" s="35">
        <f>(VLOOKUP(Tabla44[[#This Row],[SERVICIO 2025]],$J$2:$V$15,3,0)*Tabla44[[#This Row],[TOTAL COBERTURA]])+VLOOKUP(Tabla44[[#This Row],[SERVICIO 2025]],$J$2:$V$15,10,0)*Tabla44[[#This Row],[TOTAL COBERTURA]]</f>
        <v>7445473</v>
      </c>
      <c r="BB452" s="35">
        <f>(VLOOKUP(Tabla44[[#This Row],[SERVICIO 2025]],$J$2:$V$15,3,0)*Tabla44[[#This Row],[TOTAL COBERTURA]])+VLOOKUP(Tabla44[[#This Row],[SERVICIO 2025]],$J$2:$V$15,10,0)*Tabla44[[#This Row],[TOTAL COBERTURA]]</f>
        <v>7445473</v>
      </c>
      <c r="BC45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452" s="35">
        <f>SUM(Tabla44[[#This Row],[DESEMBOLSO 1]:[DESEMBOLSO 8]])</f>
        <v>61595369</v>
      </c>
      <c r="BE452" s="12" t="b">
        <f>EXACT(Tabla44[[#This Row],[VALOR ATENCIÓN (8 MESES)]],Tabla44[[#This Row],[VALOR TOTAL]])</f>
        <v>1</v>
      </c>
      <c r="BF452" s="23">
        <f>Tabla44[[#This Row],[VALOR ATENCIÓN (8 MESES)]]-Tabla44[[#This Row],[VALOR TOTAL]]</f>
        <v>0</v>
      </c>
      <c r="BG452" s="12" t="b">
        <f>EXACT(Tabla44[[#This Row],[TOTAL DESEMBOLSOS]],Tabla44[[#This Row],[VALOR TOTAL DEL CONTRATO INCLUIDO EL COMPONENTE DE ALIMENTACIÓN]])</f>
        <v>1</v>
      </c>
      <c r="BH452" s="29">
        <f>Tabla44[[#This Row],[TOTAL DESEMBOLSOS]]-Tabla44[[#This Row],[VALOR TOTAL DEL CONTRATO INCLUIDO EL COMPONENTE DE ALIMENTACIÓN]]</f>
        <v>0</v>
      </c>
      <c r="BI452" t="s">
        <v>98</v>
      </c>
    </row>
    <row r="453" spans="1:61">
      <c r="A453" s="13">
        <v>2022</v>
      </c>
      <c r="B453" s="13"/>
      <c r="C453" s="12" t="s">
        <v>87</v>
      </c>
      <c r="D453" s="12" t="s">
        <v>1628</v>
      </c>
      <c r="E453" s="12" t="s">
        <v>3668</v>
      </c>
      <c r="F453" s="12" t="s">
        <v>18</v>
      </c>
      <c r="G453" s="12" t="s">
        <v>90</v>
      </c>
      <c r="H453" s="12" t="s">
        <v>3684</v>
      </c>
      <c r="I453" s="36">
        <v>50381136378</v>
      </c>
      <c r="J453" s="12" t="s">
        <v>3685</v>
      </c>
      <c r="K453" s="12">
        <v>1</v>
      </c>
      <c r="L453" s="12">
        <v>16</v>
      </c>
      <c r="M453" s="12"/>
      <c r="N453" s="13">
        <v>2022</v>
      </c>
      <c r="O453" s="12" t="s">
        <v>2850</v>
      </c>
      <c r="P453" s="12"/>
      <c r="Q453" s="12"/>
      <c r="R453" s="12" t="s">
        <v>94</v>
      </c>
      <c r="S453" s="12">
        <v>10</v>
      </c>
      <c r="T453" s="12">
        <v>890985417</v>
      </c>
      <c r="U453" s="12" t="s">
        <v>3671</v>
      </c>
      <c r="V453" s="12">
        <f>VLOOKUP(Tabla44[[#This Row],[ZONA DEFINITIVO]],[1]Hoja1!$A$1:$D$125,3,0)</f>
        <v>229946</v>
      </c>
      <c r="W453" s="12">
        <f>VLOOKUP(Tabla44[[#This Row],[ZONA DEFINITIVO]],[1]Hoja1!$A$1:$D$125,2,0)</f>
        <v>17267</v>
      </c>
      <c r="X453" s="12">
        <f>VLOOKUP(Tabla44[[#This Row],[ZONA DEFINITIVO]],[1]Hoja1!$A$1:$D$125,4,0)</f>
        <v>105325</v>
      </c>
      <c r="Y453" s="12" t="str">
        <f>+IF(Tabla44[[#This Row],[AGRUPACIONES]]=1,SUMIFS(Tabla44[UDS],Tabla44[ZONA DEFINITIVO],Tabla44[[#This Row],[ZONA DEFINITIVO]])," ")</f>
        <v xml:space="preserve"> </v>
      </c>
      <c r="Z453" s="12" t="str">
        <f>+IF(Tabla44[[#This Row],[AGRUPACIONES]]=1,SUMIFS(Tabla44[TOTAL COBERTURA],Tabla44[ZONA DEFINITIVO],Tabla44[[#This Row],[ZONA DEFINITIVO]])," ")</f>
        <v xml:space="preserve"> </v>
      </c>
      <c r="AA453" s="12"/>
      <c r="AB453" s="35">
        <v>34883088</v>
      </c>
      <c r="AC453" s="37">
        <v>0</v>
      </c>
      <c r="AD453" s="35">
        <f t="shared" si="7"/>
        <v>0</v>
      </c>
      <c r="AE453" s="12"/>
      <c r="AF453" s="12">
        <f>COUNTIF($A$20:A453,A453)</f>
        <v>9</v>
      </c>
      <c r="AG453" s="38">
        <v>34883088</v>
      </c>
      <c r="AH453" s="38">
        <f>Tabla44[[#This Row],[VALOR CONTRAPARTIDA]]+Tabla44[[#This Row],[TOTAL APORTES ICBF]]</f>
        <v>34883088</v>
      </c>
      <c r="AI453" s="35" t="str">
        <f>+IF(Tabla44[[#This Row],[AGRUPACIONES]]=1,SUMIFS(Tabla44[TOTAL APORTES ICBF],Tabla44[ZONA DEFINITIVO],Tabla44[[#This Row],[ZONA DEFINITIVO]])," ")</f>
        <v xml:space="preserve"> </v>
      </c>
      <c r="AJ453" s="38"/>
      <c r="AK453" s="38"/>
      <c r="AL453" s="35"/>
      <c r="AM453" s="35">
        <f>VLOOKUP(Tabla44[[#This Row],[SERVICIO 2025]],$J$2:$V$15,5,0)*Tabla44[[#This Row],[TOTAL COBERTURA]]</f>
        <v>790016</v>
      </c>
      <c r="AN453" s="35">
        <f>VLOOKUP(Tabla44[[#This Row],[SERVICIO 2025]],$J$2:$V$15,6,0)*Tabla44[[#This Row],[TOTAL COBERTURA]]</f>
        <v>656464</v>
      </c>
      <c r="AO453" s="35">
        <f>VLOOKUP(Tabla44[[#This Row],[SERVICIO 2025]],$J$2:$V$15,8,0)*Tabla44[[#This Row],[TOTAL COBERTURA]]</f>
        <v>465600</v>
      </c>
      <c r="AP453" s="35">
        <f>VLOOKUP(Tabla44[[#This Row],[SERVICIO 2025]],$J$2:$V$15,3,0)*Tabla44[[#This Row],[TOTAL COBERTURA]]*8</f>
        <v>32971008</v>
      </c>
      <c r="AQ453" s="35"/>
      <c r="AR453" s="35">
        <f>SUM(Tabla44[[#This Row],[VALOR FASE PREPARATORIA DE ALISTAMIENTO]:[VALOR RACION PREPARADA]])</f>
        <v>34883088</v>
      </c>
      <c r="AS453" s="35" t="str">
        <f>+IF(Tabla44[[#This Row],[AGRUPACIONES]]=1,SUMIFS(Tabla44[VALOR TOTAL],Tabla44[ZONA DEFINITIVO],Tabla44[[#This Row],[ZONA DEFINITIVO]])," ")</f>
        <v xml:space="preserve"> </v>
      </c>
      <c r="AT453" s="35">
        <f>VLOOKUP(Tabla44[[#This Row],[SERVICIO 2025]],$J$2:$V$15,10,0)*Tabla44[[#This Row],[TOTAL COBERTURA]]*$X$7</f>
        <v>23089024</v>
      </c>
      <c r="AU453" s="39">
        <f>Tabla44[[#This Row],[TOTAL CONTRATO (ICBF+EAS)]]+Tabla44[[#This Row],[VALOR COMPONENTE ALIMENTACION NO ASIGNADO]]</f>
        <v>57972112</v>
      </c>
      <c r="AV45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453" s="35">
        <f>(VLOOKUP(Tabla44[[#This Row],[SERVICIO 2025]],$J$2:$V$15,3,0)*Tabla44[[#This Row],[TOTAL COBERTURA]])+VLOOKUP(Tabla44[[#This Row],[SERVICIO 2025]],$J$2:$V$15,10,0)*Tabla44[[#This Row],[TOTAL COBERTURA]]</f>
        <v>7007504</v>
      </c>
      <c r="AX453" s="35">
        <f>(VLOOKUP(Tabla44[[#This Row],[SERVICIO 2025]],$J$2:$V$15,3,0)*Tabla44[[#This Row],[TOTAL COBERTURA]])+VLOOKUP(Tabla44[[#This Row],[SERVICIO 2025]],$J$2:$V$15,10,0)*Tabla44[[#This Row],[TOTAL COBERTURA]]</f>
        <v>7007504</v>
      </c>
      <c r="AY453" s="35">
        <f>(VLOOKUP(Tabla44[[#This Row],[SERVICIO 2025]],$J$2:$V$15,3,0)*Tabla44[[#This Row],[TOTAL COBERTURA]])+VLOOKUP(Tabla44[[#This Row],[SERVICIO 2025]],$J$2:$V$15,10,0)*Tabla44[[#This Row],[TOTAL COBERTURA]]</f>
        <v>7007504</v>
      </c>
      <c r="AZ453" s="35">
        <f>(VLOOKUP(Tabla44[[#This Row],[SERVICIO 2025]],$J$2:$V$15,3,0)*Tabla44[[#This Row],[TOTAL COBERTURA]])+VLOOKUP(Tabla44[[#This Row],[SERVICIO 2025]],$J$2:$V$15,10,0)*Tabla44[[#This Row],[TOTAL COBERTURA]]</f>
        <v>7007504</v>
      </c>
      <c r="BA453" s="35">
        <f>(VLOOKUP(Tabla44[[#This Row],[SERVICIO 2025]],$J$2:$V$15,3,0)*Tabla44[[#This Row],[TOTAL COBERTURA]])+VLOOKUP(Tabla44[[#This Row],[SERVICIO 2025]],$J$2:$V$15,10,0)*Tabla44[[#This Row],[TOTAL COBERTURA]]</f>
        <v>7007504</v>
      </c>
      <c r="BB453" s="35">
        <f>(VLOOKUP(Tabla44[[#This Row],[SERVICIO 2025]],$J$2:$V$15,3,0)*Tabla44[[#This Row],[TOTAL COBERTURA]])+VLOOKUP(Tabla44[[#This Row],[SERVICIO 2025]],$J$2:$V$15,10,0)*Tabla44[[#This Row],[TOTAL COBERTURA]]</f>
        <v>7007504</v>
      </c>
      <c r="BC45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453" s="35">
        <f>SUM(Tabla44[[#This Row],[DESEMBOLSO 1]:[DESEMBOLSO 8]])</f>
        <v>57972112</v>
      </c>
      <c r="BE453" s="12" t="b">
        <f>EXACT(Tabla44[[#This Row],[VALOR ATENCIÓN (8 MESES)]],Tabla44[[#This Row],[VALOR TOTAL]])</f>
        <v>1</v>
      </c>
      <c r="BF453" s="23">
        <f>Tabla44[[#This Row],[VALOR ATENCIÓN (8 MESES)]]-Tabla44[[#This Row],[VALOR TOTAL]]</f>
        <v>0</v>
      </c>
      <c r="BG453" s="12" t="b">
        <f>EXACT(Tabla44[[#This Row],[TOTAL DESEMBOLSOS]],Tabla44[[#This Row],[VALOR TOTAL DEL CONTRATO INCLUIDO EL COMPONENTE DE ALIMENTACIÓN]])</f>
        <v>1</v>
      </c>
      <c r="BH453" s="29">
        <f>Tabla44[[#This Row],[TOTAL DESEMBOLSOS]]-Tabla44[[#This Row],[VALOR TOTAL DEL CONTRATO INCLUIDO EL COMPONENTE DE ALIMENTACIÓN]]</f>
        <v>0</v>
      </c>
      <c r="BI453" t="s">
        <v>98</v>
      </c>
    </row>
    <row r="454" spans="1:61">
      <c r="A454" s="13">
        <v>2022</v>
      </c>
      <c r="B454" s="13"/>
      <c r="C454" s="12" t="s">
        <v>87</v>
      </c>
      <c r="D454" s="12" t="s">
        <v>1628</v>
      </c>
      <c r="E454" s="12" t="s">
        <v>3668</v>
      </c>
      <c r="F454" s="12" t="s">
        <v>18</v>
      </c>
      <c r="G454" s="12" t="s">
        <v>90</v>
      </c>
      <c r="H454" s="12" t="s">
        <v>3684</v>
      </c>
      <c r="I454" s="36">
        <v>50381136381</v>
      </c>
      <c r="J454" s="12" t="s">
        <v>3686</v>
      </c>
      <c r="K454" s="12">
        <v>1</v>
      </c>
      <c r="L454" s="12">
        <v>15</v>
      </c>
      <c r="M454" s="12"/>
      <c r="N454" s="13">
        <v>2022</v>
      </c>
      <c r="O454" s="12" t="s">
        <v>2850</v>
      </c>
      <c r="P454" s="12"/>
      <c r="Q454" s="12"/>
      <c r="R454" s="12" t="s">
        <v>94</v>
      </c>
      <c r="S454" s="12">
        <v>10</v>
      </c>
      <c r="T454" s="12">
        <v>890985417</v>
      </c>
      <c r="U454" s="12" t="s">
        <v>3671</v>
      </c>
      <c r="V454" s="12">
        <f>VLOOKUP(Tabla44[[#This Row],[ZONA DEFINITIVO]],[1]Hoja1!$A$1:$D$125,3,0)</f>
        <v>229946</v>
      </c>
      <c r="W454" s="12">
        <f>VLOOKUP(Tabla44[[#This Row],[ZONA DEFINITIVO]],[1]Hoja1!$A$1:$D$125,2,0)</f>
        <v>17267</v>
      </c>
      <c r="X454" s="12">
        <f>VLOOKUP(Tabla44[[#This Row],[ZONA DEFINITIVO]],[1]Hoja1!$A$1:$D$125,4,0)</f>
        <v>105325</v>
      </c>
      <c r="Y454" s="12" t="str">
        <f>+IF(Tabla44[[#This Row],[AGRUPACIONES]]=1,SUMIFS(Tabla44[UDS],Tabla44[ZONA DEFINITIVO],Tabla44[[#This Row],[ZONA DEFINITIVO]])," ")</f>
        <v xml:space="preserve"> </v>
      </c>
      <c r="Z454" s="12" t="str">
        <f>+IF(Tabla44[[#This Row],[AGRUPACIONES]]=1,SUMIFS(Tabla44[TOTAL COBERTURA],Tabla44[ZONA DEFINITIVO],Tabla44[[#This Row],[ZONA DEFINITIVO]])," ")</f>
        <v xml:space="preserve"> </v>
      </c>
      <c r="AA454" s="12"/>
      <c r="AB454" s="35">
        <v>32702895</v>
      </c>
      <c r="AC454" s="37">
        <v>0</v>
      </c>
      <c r="AD454" s="35">
        <f t="shared" si="7"/>
        <v>0</v>
      </c>
      <c r="AE454" s="12"/>
      <c r="AF454" s="12">
        <f>COUNTIF($A$20:A454,A454)</f>
        <v>10</v>
      </c>
      <c r="AG454" s="38">
        <v>32702895</v>
      </c>
      <c r="AH454" s="38">
        <f>Tabla44[[#This Row],[VALOR CONTRAPARTIDA]]+Tabla44[[#This Row],[TOTAL APORTES ICBF]]</f>
        <v>32702895</v>
      </c>
      <c r="AI454" s="35" t="str">
        <f>+IF(Tabla44[[#This Row],[AGRUPACIONES]]=1,SUMIFS(Tabla44[TOTAL APORTES ICBF],Tabla44[ZONA DEFINITIVO],Tabla44[[#This Row],[ZONA DEFINITIVO]])," ")</f>
        <v xml:space="preserve"> </v>
      </c>
      <c r="AJ454" s="38"/>
      <c r="AK454" s="38"/>
      <c r="AL454" s="35"/>
      <c r="AM454" s="35">
        <f>VLOOKUP(Tabla44[[#This Row],[SERVICIO 2025]],$J$2:$V$15,5,0)*Tabla44[[#This Row],[TOTAL COBERTURA]]</f>
        <v>740640</v>
      </c>
      <c r="AN454" s="35">
        <f>VLOOKUP(Tabla44[[#This Row],[SERVICIO 2025]],$J$2:$V$15,6,0)*Tabla44[[#This Row],[TOTAL COBERTURA]]</f>
        <v>615435</v>
      </c>
      <c r="AO454" s="35">
        <f>VLOOKUP(Tabla44[[#This Row],[SERVICIO 2025]],$J$2:$V$15,8,0)*Tabla44[[#This Row],[TOTAL COBERTURA]]</f>
        <v>436500</v>
      </c>
      <c r="AP454" s="35">
        <f>VLOOKUP(Tabla44[[#This Row],[SERVICIO 2025]],$J$2:$V$15,3,0)*Tabla44[[#This Row],[TOTAL COBERTURA]]*8</f>
        <v>30910320</v>
      </c>
      <c r="AQ454" s="35"/>
      <c r="AR454" s="35">
        <f>SUM(Tabla44[[#This Row],[VALOR FASE PREPARATORIA DE ALISTAMIENTO]:[VALOR RACION PREPARADA]])</f>
        <v>32702895</v>
      </c>
      <c r="AS454" s="35" t="str">
        <f>+IF(Tabla44[[#This Row],[AGRUPACIONES]]=1,SUMIFS(Tabla44[VALOR TOTAL],Tabla44[ZONA DEFINITIVO],Tabla44[[#This Row],[ZONA DEFINITIVO]])," ")</f>
        <v xml:space="preserve"> </v>
      </c>
      <c r="AT454" s="35">
        <f>VLOOKUP(Tabla44[[#This Row],[SERVICIO 2025]],$J$2:$V$15,10,0)*Tabla44[[#This Row],[TOTAL COBERTURA]]*$X$7</f>
        <v>21645960</v>
      </c>
      <c r="AU454" s="39">
        <f>Tabla44[[#This Row],[TOTAL CONTRATO (ICBF+EAS)]]+Tabla44[[#This Row],[VALOR COMPONENTE ALIMENTACION NO ASIGNADO]]</f>
        <v>54348855</v>
      </c>
      <c r="AV45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454" s="35">
        <f>(VLOOKUP(Tabla44[[#This Row],[SERVICIO 2025]],$J$2:$V$15,3,0)*Tabla44[[#This Row],[TOTAL COBERTURA]])+VLOOKUP(Tabla44[[#This Row],[SERVICIO 2025]],$J$2:$V$15,10,0)*Tabla44[[#This Row],[TOTAL COBERTURA]]</f>
        <v>6569535</v>
      </c>
      <c r="AX454" s="35">
        <f>(VLOOKUP(Tabla44[[#This Row],[SERVICIO 2025]],$J$2:$V$15,3,0)*Tabla44[[#This Row],[TOTAL COBERTURA]])+VLOOKUP(Tabla44[[#This Row],[SERVICIO 2025]],$J$2:$V$15,10,0)*Tabla44[[#This Row],[TOTAL COBERTURA]]</f>
        <v>6569535</v>
      </c>
      <c r="AY454" s="35">
        <f>(VLOOKUP(Tabla44[[#This Row],[SERVICIO 2025]],$J$2:$V$15,3,0)*Tabla44[[#This Row],[TOTAL COBERTURA]])+VLOOKUP(Tabla44[[#This Row],[SERVICIO 2025]],$J$2:$V$15,10,0)*Tabla44[[#This Row],[TOTAL COBERTURA]]</f>
        <v>6569535</v>
      </c>
      <c r="AZ454" s="35">
        <f>(VLOOKUP(Tabla44[[#This Row],[SERVICIO 2025]],$J$2:$V$15,3,0)*Tabla44[[#This Row],[TOTAL COBERTURA]])+VLOOKUP(Tabla44[[#This Row],[SERVICIO 2025]],$J$2:$V$15,10,0)*Tabla44[[#This Row],[TOTAL COBERTURA]]</f>
        <v>6569535</v>
      </c>
      <c r="BA454" s="35">
        <f>(VLOOKUP(Tabla44[[#This Row],[SERVICIO 2025]],$J$2:$V$15,3,0)*Tabla44[[#This Row],[TOTAL COBERTURA]])+VLOOKUP(Tabla44[[#This Row],[SERVICIO 2025]],$J$2:$V$15,10,0)*Tabla44[[#This Row],[TOTAL COBERTURA]]</f>
        <v>6569535</v>
      </c>
      <c r="BB454" s="35">
        <f>(VLOOKUP(Tabla44[[#This Row],[SERVICIO 2025]],$J$2:$V$15,3,0)*Tabla44[[#This Row],[TOTAL COBERTURA]])+VLOOKUP(Tabla44[[#This Row],[SERVICIO 2025]],$J$2:$V$15,10,0)*Tabla44[[#This Row],[TOTAL COBERTURA]]</f>
        <v>6569535</v>
      </c>
      <c r="BC45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454" s="35">
        <f>SUM(Tabla44[[#This Row],[DESEMBOLSO 1]:[DESEMBOLSO 8]])</f>
        <v>54348855</v>
      </c>
      <c r="BE454" s="12" t="b">
        <f>EXACT(Tabla44[[#This Row],[VALOR ATENCIÓN (8 MESES)]],Tabla44[[#This Row],[VALOR TOTAL]])</f>
        <v>1</v>
      </c>
      <c r="BF454" s="23">
        <f>Tabla44[[#This Row],[VALOR ATENCIÓN (8 MESES)]]-Tabla44[[#This Row],[VALOR TOTAL]]</f>
        <v>0</v>
      </c>
      <c r="BG454" s="12" t="b">
        <f>EXACT(Tabla44[[#This Row],[TOTAL DESEMBOLSOS]],Tabla44[[#This Row],[VALOR TOTAL DEL CONTRATO INCLUIDO EL COMPONENTE DE ALIMENTACIÓN]])</f>
        <v>1</v>
      </c>
      <c r="BH454" s="29">
        <f>Tabla44[[#This Row],[TOTAL DESEMBOLSOS]]-Tabla44[[#This Row],[VALOR TOTAL DEL CONTRATO INCLUIDO EL COMPONENTE DE ALIMENTACIÓN]]</f>
        <v>0</v>
      </c>
      <c r="BI454" t="s">
        <v>98</v>
      </c>
    </row>
    <row r="455" spans="1:61">
      <c r="A455" s="13">
        <v>2022</v>
      </c>
      <c r="B455" s="13"/>
      <c r="C455" s="12" t="s">
        <v>87</v>
      </c>
      <c r="D455" s="12" t="s">
        <v>1628</v>
      </c>
      <c r="E455" s="12" t="s">
        <v>3668</v>
      </c>
      <c r="F455" s="12" t="s">
        <v>21</v>
      </c>
      <c r="G455" s="12" t="s">
        <v>90</v>
      </c>
      <c r="H455" s="12" t="s">
        <v>3687</v>
      </c>
      <c r="I455" s="36">
        <v>50381152041</v>
      </c>
      <c r="J455" s="12" t="s">
        <v>3688</v>
      </c>
      <c r="K455" s="12">
        <v>1</v>
      </c>
      <c r="L455" s="12">
        <v>16</v>
      </c>
      <c r="M455" s="12"/>
      <c r="N455" s="13">
        <v>2022</v>
      </c>
      <c r="O455" s="12" t="s">
        <v>2850</v>
      </c>
      <c r="P455" s="12"/>
      <c r="Q455" s="12"/>
      <c r="R455" s="12" t="s">
        <v>94</v>
      </c>
      <c r="S455" s="12">
        <v>10</v>
      </c>
      <c r="T455" s="12">
        <v>890985417</v>
      </c>
      <c r="U455" s="12" t="s">
        <v>3671</v>
      </c>
      <c r="V455" s="12">
        <f>VLOOKUP(Tabla44[[#This Row],[ZONA DEFINITIVO]],[1]Hoja1!$A$1:$D$125,3,0)</f>
        <v>229946</v>
      </c>
      <c r="W455" s="12">
        <f>VLOOKUP(Tabla44[[#This Row],[ZONA DEFINITIVO]],[1]Hoja1!$A$1:$D$125,2,0)</f>
        <v>17267</v>
      </c>
      <c r="X455" s="12">
        <f>VLOOKUP(Tabla44[[#This Row],[ZONA DEFINITIVO]],[1]Hoja1!$A$1:$D$125,4,0)</f>
        <v>105325</v>
      </c>
      <c r="Y455" s="12" t="str">
        <f>+IF(Tabla44[[#This Row],[AGRUPACIONES]]=1,SUMIFS(Tabla44[UDS],Tabla44[ZONA DEFINITIVO],Tabla44[[#This Row],[ZONA DEFINITIVO]])," ")</f>
        <v xml:space="preserve"> </v>
      </c>
      <c r="Z455" s="12" t="str">
        <f>+IF(Tabla44[[#This Row],[AGRUPACIONES]]=1,SUMIFS(Tabla44[TOTAL COBERTURA],Tabla44[ZONA DEFINITIVO],Tabla44[[#This Row],[ZONA DEFINITIVO]])," ")</f>
        <v xml:space="preserve"> </v>
      </c>
      <c r="AA455" s="12"/>
      <c r="AB455" s="35">
        <v>24308880</v>
      </c>
      <c r="AC455" s="37">
        <v>0</v>
      </c>
      <c r="AD455" s="35">
        <f t="shared" si="7"/>
        <v>0</v>
      </c>
      <c r="AE455" s="12"/>
      <c r="AF455" s="12">
        <f>COUNTIF($A$20:A455,A455)</f>
        <v>11</v>
      </c>
      <c r="AG455" s="38">
        <v>24308880</v>
      </c>
      <c r="AH455" s="38">
        <f>Tabla44[[#This Row],[VALOR CONTRAPARTIDA]]+Tabla44[[#This Row],[TOTAL APORTES ICBF]]</f>
        <v>24308880</v>
      </c>
      <c r="AI455" s="35" t="str">
        <f>+IF(Tabla44[[#This Row],[AGRUPACIONES]]=1,SUMIFS(Tabla44[TOTAL APORTES ICBF],Tabla44[ZONA DEFINITIVO],Tabla44[[#This Row],[ZONA DEFINITIVO]])," ")</f>
        <v xml:space="preserve"> </v>
      </c>
      <c r="AJ455" s="38"/>
      <c r="AK455" s="38"/>
      <c r="AL455" s="35"/>
      <c r="AM455" s="35">
        <f>VLOOKUP(Tabla44[[#This Row],[SERVICIO 2025]],$J$2:$V$15,5,0)*Tabla44[[#This Row],[TOTAL COBERTURA]]</f>
        <v>747904</v>
      </c>
      <c r="AN455" s="35">
        <f>VLOOKUP(Tabla44[[#This Row],[SERVICIO 2025]],$J$2:$V$15,6,0)*Tabla44[[#This Row],[TOTAL COBERTURA]]</f>
        <v>605456</v>
      </c>
      <c r="AO455" s="35">
        <f>VLOOKUP(Tabla44[[#This Row],[SERVICIO 2025]],$J$2:$V$15,8,0)*Tabla44[[#This Row],[TOTAL COBERTURA]]</f>
        <v>0</v>
      </c>
      <c r="AP455" s="35">
        <f>VLOOKUP(Tabla44[[#This Row],[SERVICIO 2025]],$J$2:$V$15,3,0)*Tabla44[[#This Row],[TOTAL COBERTURA]]*8</f>
        <v>22955520</v>
      </c>
      <c r="AQ455" s="35"/>
      <c r="AR455" s="35">
        <f>SUM(Tabla44[[#This Row],[VALOR FASE PREPARATORIA DE ALISTAMIENTO]:[VALOR RACION PREPARADA]])</f>
        <v>24308880</v>
      </c>
      <c r="AS455" s="35" t="str">
        <f>+IF(Tabla44[[#This Row],[AGRUPACIONES]]=1,SUMIFS(Tabla44[VALOR TOTAL],Tabla44[ZONA DEFINITIVO],Tabla44[[#This Row],[ZONA DEFINITIVO]])," ")</f>
        <v xml:space="preserve"> </v>
      </c>
      <c r="AT455" s="35">
        <f>VLOOKUP(Tabla44[[#This Row],[SERVICIO 2025]],$J$2:$V$15,10,0)*Tabla44[[#This Row],[TOTAL COBERTURA]]*$X$7</f>
        <v>24105088</v>
      </c>
      <c r="AU455" s="39">
        <f>Tabla44[[#This Row],[TOTAL CONTRATO (ICBF+EAS)]]+Tabla44[[#This Row],[VALOR COMPONENTE ALIMENTACION NO ASIGNADO]]</f>
        <v>48413968</v>
      </c>
      <c r="AV45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6630480</v>
      </c>
      <c r="AW455" s="35">
        <f>(VLOOKUP(Tabla44[[#This Row],[SERVICIO 2025]],$J$2:$V$15,3,0)*Tabla44[[#This Row],[TOTAL COBERTURA]])+VLOOKUP(Tabla44[[#This Row],[SERVICIO 2025]],$J$2:$V$15,10,0)*Tabla44[[#This Row],[TOTAL COBERTURA]]</f>
        <v>5882576</v>
      </c>
      <c r="AX455" s="35">
        <f>(VLOOKUP(Tabla44[[#This Row],[SERVICIO 2025]],$J$2:$V$15,3,0)*Tabla44[[#This Row],[TOTAL COBERTURA]])+VLOOKUP(Tabla44[[#This Row],[SERVICIO 2025]],$J$2:$V$15,10,0)*Tabla44[[#This Row],[TOTAL COBERTURA]]</f>
        <v>5882576</v>
      </c>
      <c r="AY455" s="35">
        <f>(VLOOKUP(Tabla44[[#This Row],[SERVICIO 2025]],$J$2:$V$15,3,0)*Tabla44[[#This Row],[TOTAL COBERTURA]])+VLOOKUP(Tabla44[[#This Row],[SERVICIO 2025]],$J$2:$V$15,10,0)*Tabla44[[#This Row],[TOTAL COBERTURA]]</f>
        <v>5882576</v>
      </c>
      <c r="AZ455" s="35">
        <f>(VLOOKUP(Tabla44[[#This Row],[SERVICIO 2025]],$J$2:$V$15,3,0)*Tabla44[[#This Row],[TOTAL COBERTURA]])+VLOOKUP(Tabla44[[#This Row],[SERVICIO 2025]],$J$2:$V$15,10,0)*Tabla44[[#This Row],[TOTAL COBERTURA]]</f>
        <v>5882576</v>
      </c>
      <c r="BA455" s="35">
        <f>(VLOOKUP(Tabla44[[#This Row],[SERVICIO 2025]],$J$2:$V$15,3,0)*Tabla44[[#This Row],[TOTAL COBERTURA]])+VLOOKUP(Tabla44[[#This Row],[SERVICIO 2025]],$J$2:$V$15,10,0)*Tabla44[[#This Row],[TOTAL COBERTURA]]</f>
        <v>5882576</v>
      </c>
      <c r="BB455" s="35">
        <f>(VLOOKUP(Tabla44[[#This Row],[SERVICIO 2025]],$J$2:$V$15,3,0)*Tabla44[[#This Row],[TOTAL COBERTURA]])+VLOOKUP(Tabla44[[#This Row],[SERVICIO 2025]],$J$2:$V$15,10,0)*Tabla44[[#This Row],[TOTAL COBERTURA]]</f>
        <v>5882576</v>
      </c>
      <c r="BC45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6488032</v>
      </c>
      <c r="BD455" s="35">
        <f>SUM(Tabla44[[#This Row],[DESEMBOLSO 1]:[DESEMBOLSO 8]])</f>
        <v>48413968</v>
      </c>
      <c r="BE455" s="12" t="b">
        <f>EXACT(Tabla44[[#This Row],[VALOR ATENCIÓN (8 MESES)]],Tabla44[[#This Row],[VALOR TOTAL]])</f>
        <v>1</v>
      </c>
      <c r="BF455" s="23">
        <f>Tabla44[[#This Row],[VALOR ATENCIÓN (8 MESES)]]-Tabla44[[#This Row],[VALOR TOTAL]]</f>
        <v>0</v>
      </c>
      <c r="BG455" s="12" t="b">
        <f>EXACT(Tabla44[[#This Row],[TOTAL DESEMBOLSOS]],Tabla44[[#This Row],[VALOR TOTAL DEL CONTRATO INCLUIDO EL COMPONENTE DE ALIMENTACIÓN]])</f>
        <v>1</v>
      </c>
      <c r="BH455" s="29">
        <f>Tabla44[[#This Row],[TOTAL DESEMBOLSOS]]-Tabla44[[#This Row],[VALOR TOTAL DEL CONTRATO INCLUIDO EL COMPONENTE DE ALIMENTACIÓN]]</f>
        <v>0</v>
      </c>
      <c r="BI455" t="s">
        <v>98</v>
      </c>
    </row>
    <row r="456" spans="1:61">
      <c r="A456" s="13">
        <v>2022</v>
      </c>
      <c r="B456" s="13"/>
      <c r="C456" s="12" t="s">
        <v>87</v>
      </c>
      <c r="D456" s="12" t="s">
        <v>1628</v>
      </c>
      <c r="E456" s="12" t="s">
        <v>3668</v>
      </c>
      <c r="F456" s="12" t="s">
        <v>14</v>
      </c>
      <c r="G456" s="12" t="s">
        <v>90</v>
      </c>
      <c r="H456" s="12" t="s">
        <v>3689</v>
      </c>
      <c r="I456" s="36">
        <v>503800125350</v>
      </c>
      <c r="J456" s="12" t="s">
        <v>3690</v>
      </c>
      <c r="K456" s="12">
        <v>1</v>
      </c>
      <c r="L456" s="12">
        <v>40</v>
      </c>
      <c r="M456" s="12"/>
      <c r="N456" s="13">
        <v>2022</v>
      </c>
      <c r="O456" s="12" t="s">
        <v>2850</v>
      </c>
      <c r="P456" s="12"/>
      <c r="Q456" s="12"/>
      <c r="R456" s="12" t="s">
        <v>94</v>
      </c>
      <c r="S456" s="12">
        <v>10</v>
      </c>
      <c r="T456" s="12">
        <v>890985417</v>
      </c>
      <c r="U456" s="12" t="s">
        <v>3671</v>
      </c>
      <c r="V456" s="12">
        <f>VLOOKUP(Tabla44[[#This Row],[ZONA DEFINITIVO]],[1]Hoja1!$A$1:$D$125,3,0)</f>
        <v>229946</v>
      </c>
      <c r="W456" s="12">
        <f>VLOOKUP(Tabla44[[#This Row],[ZONA DEFINITIVO]],[1]Hoja1!$A$1:$D$125,2,0)</f>
        <v>17267</v>
      </c>
      <c r="X456" s="12">
        <f>VLOOKUP(Tabla44[[#This Row],[ZONA DEFINITIVO]],[1]Hoja1!$A$1:$D$125,4,0)</f>
        <v>105325</v>
      </c>
      <c r="Y456" s="12" t="str">
        <f>+IF(Tabla44[[#This Row],[AGRUPACIONES]]=1,SUMIFS(Tabla44[UDS],Tabla44[ZONA DEFINITIVO],Tabla44[[#This Row],[ZONA DEFINITIVO]])," ")</f>
        <v xml:space="preserve"> </v>
      </c>
      <c r="Z456" s="12" t="str">
        <f>+IF(Tabla44[[#This Row],[AGRUPACIONES]]=1,SUMIFS(Tabla44[TOTAL COBERTURA],Tabla44[ZONA DEFINITIVO],Tabla44[[#This Row],[ZONA DEFINITIVO]])," ")</f>
        <v xml:space="preserve"> </v>
      </c>
      <c r="AA456" s="12"/>
      <c r="AB456" s="35">
        <v>167554000</v>
      </c>
      <c r="AC456" s="37">
        <v>0</v>
      </c>
      <c r="AD456" s="35">
        <f t="shared" si="7"/>
        <v>0</v>
      </c>
      <c r="AE456" s="12"/>
      <c r="AF456" s="12">
        <f>COUNTIF($A$20:A456,A456)</f>
        <v>12</v>
      </c>
      <c r="AG456" s="38">
        <v>167554000</v>
      </c>
      <c r="AH456" s="38">
        <f>Tabla44[[#This Row],[VALOR CONTRAPARTIDA]]+Tabla44[[#This Row],[TOTAL APORTES ICBF]]</f>
        <v>167554000</v>
      </c>
      <c r="AI456" s="35" t="str">
        <f>+IF(Tabla44[[#This Row],[AGRUPACIONES]]=1,SUMIFS(Tabla44[TOTAL APORTES ICBF],Tabla44[ZONA DEFINITIVO],Tabla44[[#This Row],[ZONA DEFINITIVO]])," ")</f>
        <v xml:space="preserve"> </v>
      </c>
      <c r="AJ456" s="38"/>
      <c r="AK456" s="38"/>
      <c r="AL456" s="35"/>
      <c r="AM456" s="35">
        <f>VLOOKUP(Tabla44[[#This Row],[SERVICIO 2025]],$J$2:$V$15,5,0)*Tabla44[[#This Row],[TOTAL COBERTURA]]</f>
        <v>3525720</v>
      </c>
      <c r="AN456" s="35">
        <f>VLOOKUP(Tabla44[[#This Row],[SERVICIO 2025]],$J$2:$V$15,6,0)*Tabla44[[#This Row],[TOTAL COBERTURA]]</f>
        <v>3001720</v>
      </c>
      <c r="AO456" s="35">
        <f>VLOOKUP(Tabla44[[#This Row],[SERVICIO 2025]],$J$2:$V$15,8,0)*Tabla44[[#This Row],[TOTAL COBERTURA]]</f>
        <v>0</v>
      </c>
      <c r="AP456" s="35">
        <f>VLOOKUP(Tabla44[[#This Row],[SERVICIO 2025]],$J$2:$V$15,3,0)*Tabla44[[#This Row],[TOTAL COBERTURA]]*8</f>
        <v>161026560</v>
      </c>
      <c r="AQ456" s="35"/>
      <c r="AR456" s="35">
        <f>SUM(Tabla44[[#This Row],[VALOR FASE PREPARATORIA DE ALISTAMIENTO]:[VALOR RACION PREPARADA]])</f>
        <v>167554000</v>
      </c>
      <c r="AS456" s="35" t="str">
        <f>+IF(Tabla44[[#This Row],[AGRUPACIONES]]=1,SUMIFS(Tabla44[VALOR TOTAL],Tabla44[ZONA DEFINITIVO],Tabla44[[#This Row],[ZONA DEFINITIVO]])," ")</f>
        <v xml:space="preserve"> </v>
      </c>
      <c r="AT456" s="35">
        <f>VLOOKUP(Tabla44[[#This Row],[SERVICIO 2025]],$J$2:$V$15,10,0)*Tabla44[[#This Row],[TOTAL COBERTURA]]*$X$7</f>
        <v>0</v>
      </c>
      <c r="AU456" s="39">
        <f>Tabla44[[#This Row],[TOTAL CONTRATO (ICBF+EAS)]]+Tabla44[[#This Row],[VALOR COMPONENTE ALIMENTACION NO ASIGNADO]]</f>
        <v>167554000</v>
      </c>
      <c r="AV45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23654040</v>
      </c>
      <c r="AW456" s="35">
        <f>(VLOOKUP(Tabla44[[#This Row],[SERVICIO 2025]],$J$2:$V$15,3,0)*Tabla44[[#This Row],[TOTAL COBERTURA]])+VLOOKUP(Tabla44[[#This Row],[SERVICIO 2025]],$J$2:$V$15,10,0)*Tabla44[[#This Row],[TOTAL COBERTURA]]</f>
        <v>20128320</v>
      </c>
      <c r="AX456" s="35">
        <f>(VLOOKUP(Tabla44[[#This Row],[SERVICIO 2025]],$J$2:$V$15,3,0)*Tabla44[[#This Row],[TOTAL COBERTURA]])+VLOOKUP(Tabla44[[#This Row],[SERVICIO 2025]],$J$2:$V$15,10,0)*Tabla44[[#This Row],[TOTAL COBERTURA]]</f>
        <v>20128320</v>
      </c>
      <c r="AY456" s="35">
        <f>(VLOOKUP(Tabla44[[#This Row],[SERVICIO 2025]],$J$2:$V$15,3,0)*Tabla44[[#This Row],[TOTAL COBERTURA]])+VLOOKUP(Tabla44[[#This Row],[SERVICIO 2025]],$J$2:$V$15,10,0)*Tabla44[[#This Row],[TOTAL COBERTURA]]</f>
        <v>20128320</v>
      </c>
      <c r="AZ456" s="35">
        <f>(VLOOKUP(Tabla44[[#This Row],[SERVICIO 2025]],$J$2:$V$15,3,0)*Tabla44[[#This Row],[TOTAL COBERTURA]])+VLOOKUP(Tabla44[[#This Row],[SERVICIO 2025]],$J$2:$V$15,10,0)*Tabla44[[#This Row],[TOTAL COBERTURA]]</f>
        <v>20128320</v>
      </c>
      <c r="BA456" s="35">
        <f>(VLOOKUP(Tabla44[[#This Row],[SERVICIO 2025]],$J$2:$V$15,3,0)*Tabla44[[#This Row],[TOTAL COBERTURA]])+VLOOKUP(Tabla44[[#This Row],[SERVICIO 2025]],$J$2:$V$15,10,0)*Tabla44[[#This Row],[TOTAL COBERTURA]]</f>
        <v>20128320</v>
      </c>
      <c r="BB456" s="35">
        <f>(VLOOKUP(Tabla44[[#This Row],[SERVICIO 2025]],$J$2:$V$15,3,0)*Tabla44[[#This Row],[TOTAL COBERTURA]])+VLOOKUP(Tabla44[[#This Row],[SERVICIO 2025]],$J$2:$V$15,10,0)*Tabla44[[#This Row],[TOTAL COBERTURA]]</f>
        <v>20128320</v>
      </c>
      <c r="BC45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23130040</v>
      </c>
      <c r="BD456" s="35">
        <f>SUM(Tabla44[[#This Row],[DESEMBOLSO 1]:[DESEMBOLSO 8]])</f>
        <v>167554000</v>
      </c>
      <c r="BE456" s="12" t="b">
        <f>EXACT(Tabla44[[#This Row],[VALOR ATENCIÓN (8 MESES)]],Tabla44[[#This Row],[VALOR TOTAL]])</f>
        <v>1</v>
      </c>
      <c r="BF456" s="23">
        <f>Tabla44[[#This Row],[VALOR ATENCIÓN (8 MESES)]]-Tabla44[[#This Row],[VALOR TOTAL]]</f>
        <v>0</v>
      </c>
      <c r="BG456" s="12" t="b">
        <f>EXACT(Tabla44[[#This Row],[TOTAL DESEMBOLSOS]],Tabla44[[#This Row],[VALOR TOTAL DEL CONTRATO INCLUIDO EL COMPONENTE DE ALIMENTACIÓN]])</f>
        <v>1</v>
      </c>
      <c r="BH456" s="29">
        <f>Tabla44[[#This Row],[TOTAL DESEMBOLSOS]]-Tabla44[[#This Row],[VALOR TOTAL DEL CONTRATO INCLUIDO EL COMPONENTE DE ALIMENTACIÓN]]</f>
        <v>0</v>
      </c>
      <c r="BI456" t="s">
        <v>98</v>
      </c>
    </row>
    <row r="457" spans="1:61">
      <c r="A457" s="13">
        <v>2022</v>
      </c>
      <c r="B457" s="13"/>
      <c r="C457" s="12" t="s">
        <v>87</v>
      </c>
      <c r="D457" s="12" t="s">
        <v>1628</v>
      </c>
      <c r="E457" s="12" t="s">
        <v>3691</v>
      </c>
      <c r="F457" s="12" t="s">
        <v>18</v>
      </c>
      <c r="G457" s="12" t="s">
        <v>90</v>
      </c>
      <c r="H457" s="12" t="s">
        <v>3692</v>
      </c>
      <c r="I457" s="36">
        <v>51341118987</v>
      </c>
      <c r="J457" s="12" t="s">
        <v>3693</v>
      </c>
      <c r="K457" s="12">
        <v>1</v>
      </c>
      <c r="L457" s="12">
        <v>18</v>
      </c>
      <c r="M457" s="12"/>
      <c r="N457" s="13">
        <v>2022</v>
      </c>
      <c r="O457" s="12" t="s">
        <v>2850</v>
      </c>
      <c r="P457" s="12"/>
      <c r="Q457" s="12"/>
      <c r="R457" s="12" t="s">
        <v>94</v>
      </c>
      <c r="S457" s="12">
        <v>10</v>
      </c>
      <c r="T457" s="12">
        <v>890985417</v>
      </c>
      <c r="U457" s="12" t="s">
        <v>3671</v>
      </c>
      <c r="V457" s="12">
        <f>VLOOKUP(Tabla44[[#This Row],[ZONA DEFINITIVO]],[1]Hoja1!$A$1:$D$125,3,0)</f>
        <v>229946</v>
      </c>
      <c r="W457" s="12">
        <f>VLOOKUP(Tabla44[[#This Row],[ZONA DEFINITIVO]],[1]Hoja1!$A$1:$D$125,2,0)</f>
        <v>17267</v>
      </c>
      <c r="X457" s="12">
        <f>VLOOKUP(Tabla44[[#This Row],[ZONA DEFINITIVO]],[1]Hoja1!$A$1:$D$125,4,0)</f>
        <v>105325</v>
      </c>
      <c r="Y457" s="12" t="str">
        <f>+IF(Tabla44[[#This Row],[AGRUPACIONES]]=1,SUMIFS(Tabla44[UDS],Tabla44[ZONA DEFINITIVO],Tabla44[[#This Row],[ZONA DEFINITIVO]])," ")</f>
        <v xml:space="preserve"> </v>
      </c>
      <c r="Z457" s="12" t="str">
        <f>+IF(Tabla44[[#This Row],[AGRUPACIONES]]=1,SUMIFS(Tabla44[TOTAL COBERTURA],Tabla44[ZONA DEFINITIVO],Tabla44[[#This Row],[ZONA DEFINITIVO]])," ")</f>
        <v xml:space="preserve"> </v>
      </c>
      <c r="AA457" s="12"/>
      <c r="AB457" s="35">
        <v>39243474</v>
      </c>
      <c r="AC457" s="37">
        <v>0</v>
      </c>
      <c r="AD457" s="35">
        <f t="shared" si="7"/>
        <v>0</v>
      </c>
      <c r="AE457" s="12"/>
      <c r="AF457" s="12">
        <f>COUNTIF($A$20:A457,A457)</f>
        <v>13</v>
      </c>
      <c r="AG457" s="38">
        <v>39243474</v>
      </c>
      <c r="AH457" s="38">
        <f>Tabla44[[#This Row],[VALOR CONTRAPARTIDA]]+Tabla44[[#This Row],[TOTAL APORTES ICBF]]</f>
        <v>39243474</v>
      </c>
      <c r="AI457" s="35" t="str">
        <f>+IF(Tabla44[[#This Row],[AGRUPACIONES]]=1,SUMIFS(Tabla44[TOTAL APORTES ICBF],Tabla44[ZONA DEFINITIVO],Tabla44[[#This Row],[ZONA DEFINITIVO]])," ")</f>
        <v xml:space="preserve"> </v>
      </c>
      <c r="AJ457" s="38"/>
      <c r="AK457" s="38"/>
      <c r="AL457" s="35"/>
      <c r="AM457" s="35">
        <f>VLOOKUP(Tabla44[[#This Row],[SERVICIO 2025]],$J$2:$V$15,5,0)*Tabla44[[#This Row],[TOTAL COBERTURA]]</f>
        <v>888768</v>
      </c>
      <c r="AN457" s="35">
        <f>VLOOKUP(Tabla44[[#This Row],[SERVICIO 2025]],$J$2:$V$15,6,0)*Tabla44[[#This Row],[TOTAL COBERTURA]]</f>
        <v>738522</v>
      </c>
      <c r="AO457" s="35">
        <f>VLOOKUP(Tabla44[[#This Row],[SERVICIO 2025]],$J$2:$V$15,8,0)*Tabla44[[#This Row],[TOTAL COBERTURA]]</f>
        <v>523800</v>
      </c>
      <c r="AP457" s="35">
        <f>VLOOKUP(Tabla44[[#This Row],[SERVICIO 2025]],$J$2:$V$15,3,0)*Tabla44[[#This Row],[TOTAL COBERTURA]]*8</f>
        <v>37092384</v>
      </c>
      <c r="AQ457" s="35"/>
      <c r="AR457" s="35">
        <f>SUM(Tabla44[[#This Row],[VALOR FASE PREPARATORIA DE ALISTAMIENTO]:[VALOR RACION PREPARADA]])</f>
        <v>39243474</v>
      </c>
      <c r="AS457" s="35" t="str">
        <f>+IF(Tabla44[[#This Row],[AGRUPACIONES]]=1,SUMIFS(Tabla44[VALOR TOTAL],Tabla44[ZONA DEFINITIVO],Tabla44[[#This Row],[ZONA DEFINITIVO]])," ")</f>
        <v xml:space="preserve"> </v>
      </c>
      <c r="AT457" s="35">
        <f>VLOOKUP(Tabla44[[#This Row],[SERVICIO 2025]],$J$2:$V$15,10,0)*Tabla44[[#This Row],[TOTAL COBERTURA]]*$X$7</f>
        <v>25975152</v>
      </c>
      <c r="AU457" s="39">
        <f>Tabla44[[#This Row],[TOTAL CONTRATO (ICBF+EAS)]]+Tabla44[[#This Row],[VALOR COMPONENTE ALIMENTACION NO ASIGNADO]]</f>
        <v>65218626</v>
      </c>
      <c r="AV45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457" s="35">
        <f>(VLOOKUP(Tabla44[[#This Row],[SERVICIO 2025]],$J$2:$V$15,3,0)*Tabla44[[#This Row],[TOTAL COBERTURA]])+VLOOKUP(Tabla44[[#This Row],[SERVICIO 2025]],$J$2:$V$15,10,0)*Tabla44[[#This Row],[TOTAL COBERTURA]]</f>
        <v>7883442</v>
      </c>
      <c r="AX457" s="35">
        <f>(VLOOKUP(Tabla44[[#This Row],[SERVICIO 2025]],$J$2:$V$15,3,0)*Tabla44[[#This Row],[TOTAL COBERTURA]])+VLOOKUP(Tabla44[[#This Row],[SERVICIO 2025]],$J$2:$V$15,10,0)*Tabla44[[#This Row],[TOTAL COBERTURA]]</f>
        <v>7883442</v>
      </c>
      <c r="AY457" s="35">
        <f>(VLOOKUP(Tabla44[[#This Row],[SERVICIO 2025]],$J$2:$V$15,3,0)*Tabla44[[#This Row],[TOTAL COBERTURA]])+VLOOKUP(Tabla44[[#This Row],[SERVICIO 2025]],$J$2:$V$15,10,0)*Tabla44[[#This Row],[TOTAL COBERTURA]]</f>
        <v>7883442</v>
      </c>
      <c r="AZ457" s="35">
        <f>(VLOOKUP(Tabla44[[#This Row],[SERVICIO 2025]],$J$2:$V$15,3,0)*Tabla44[[#This Row],[TOTAL COBERTURA]])+VLOOKUP(Tabla44[[#This Row],[SERVICIO 2025]],$J$2:$V$15,10,0)*Tabla44[[#This Row],[TOTAL COBERTURA]]</f>
        <v>7883442</v>
      </c>
      <c r="BA457" s="35">
        <f>(VLOOKUP(Tabla44[[#This Row],[SERVICIO 2025]],$J$2:$V$15,3,0)*Tabla44[[#This Row],[TOTAL COBERTURA]])+VLOOKUP(Tabla44[[#This Row],[SERVICIO 2025]],$J$2:$V$15,10,0)*Tabla44[[#This Row],[TOTAL COBERTURA]]</f>
        <v>7883442</v>
      </c>
      <c r="BB457" s="35">
        <f>(VLOOKUP(Tabla44[[#This Row],[SERVICIO 2025]],$J$2:$V$15,3,0)*Tabla44[[#This Row],[TOTAL COBERTURA]])+VLOOKUP(Tabla44[[#This Row],[SERVICIO 2025]],$J$2:$V$15,10,0)*Tabla44[[#This Row],[TOTAL COBERTURA]]</f>
        <v>7883442</v>
      </c>
      <c r="BC45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457" s="35">
        <f>SUM(Tabla44[[#This Row],[DESEMBOLSO 1]:[DESEMBOLSO 8]])</f>
        <v>65218626</v>
      </c>
      <c r="BE457" s="12" t="b">
        <f>EXACT(Tabla44[[#This Row],[VALOR ATENCIÓN (8 MESES)]],Tabla44[[#This Row],[VALOR TOTAL]])</f>
        <v>1</v>
      </c>
      <c r="BF457" s="23">
        <f>Tabla44[[#This Row],[VALOR ATENCIÓN (8 MESES)]]-Tabla44[[#This Row],[VALOR TOTAL]]</f>
        <v>0</v>
      </c>
      <c r="BG457" s="12" t="b">
        <f>EXACT(Tabla44[[#This Row],[TOTAL DESEMBOLSOS]],Tabla44[[#This Row],[VALOR TOTAL DEL CONTRATO INCLUIDO EL COMPONENTE DE ALIMENTACIÓN]])</f>
        <v>1</v>
      </c>
      <c r="BH457" s="29">
        <f>Tabla44[[#This Row],[TOTAL DESEMBOLSOS]]-Tabla44[[#This Row],[VALOR TOTAL DEL CONTRATO INCLUIDO EL COMPONENTE DE ALIMENTACIÓN]]</f>
        <v>0</v>
      </c>
      <c r="BI457" t="s">
        <v>98</v>
      </c>
    </row>
    <row r="458" spans="1:61">
      <c r="A458" s="13">
        <v>2022</v>
      </c>
      <c r="B458" s="13"/>
      <c r="C458" s="12" t="s">
        <v>87</v>
      </c>
      <c r="D458" s="12" t="s">
        <v>1628</v>
      </c>
      <c r="E458" s="12" t="s">
        <v>3691</v>
      </c>
      <c r="F458" s="12" t="s">
        <v>18</v>
      </c>
      <c r="G458" s="12" t="s">
        <v>90</v>
      </c>
      <c r="H458" s="12" t="s">
        <v>3436</v>
      </c>
      <c r="I458" s="36">
        <v>51341118989</v>
      </c>
      <c r="J458" s="12" t="s">
        <v>3694</v>
      </c>
      <c r="K458" s="12">
        <v>1</v>
      </c>
      <c r="L458" s="12">
        <v>18</v>
      </c>
      <c r="M458" s="12"/>
      <c r="N458" s="13">
        <v>2022</v>
      </c>
      <c r="O458" s="12" t="s">
        <v>2850</v>
      </c>
      <c r="P458" s="12"/>
      <c r="Q458" s="12"/>
      <c r="R458" s="12" t="s">
        <v>94</v>
      </c>
      <c r="S458" s="12">
        <v>10</v>
      </c>
      <c r="T458" s="12">
        <v>890985417</v>
      </c>
      <c r="U458" s="12" t="s">
        <v>3671</v>
      </c>
      <c r="V458" s="12">
        <f>VLOOKUP(Tabla44[[#This Row],[ZONA DEFINITIVO]],[1]Hoja1!$A$1:$D$125,3,0)</f>
        <v>229946</v>
      </c>
      <c r="W458" s="12">
        <f>VLOOKUP(Tabla44[[#This Row],[ZONA DEFINITIVO]],[1]Hoja1!$A$1:$D$125,2,0)</f>
        <v>17267</v>
      </c>
      <c r="X458" s="12">
        <f>VLOOKUP(Tabla44[[#This Row],[ZONA DEFINITIVO]],[1]Hoja1!$A$1:$D$125,4,0)</f>
        <v>105325</v>
      </c>
      <c r="Y458" s="12" t="str">
        <f>+IF(Tabla44[[#This Row],[AGRUPACIONES]]=1,SUMIFS(Tabla44[UDS],Tabla44[ZONA DEFINITIVO],Tabla44[[#This Row],[ZONA DEFINITIVO]])," ")</f>
        <v xml:space="preserve"> </v>
      </c>
      <c r="Z458" s="12" t="str">
        <f>+IF(Tabla44[[#This Row],[AGRUPACIONES]]=1,SUMIFS(Tabla44[TOTAL COBERTURA],Tabla44[ZONA DEFINITIVO],Tabla44[[#This Row],[ZONA DEFINITIVO]])," ")</f>
        <v xml:space="preserve"> </v>
      </c>
      <c r="AA458" s="12"/>
      <c r="AB458" s="35">
        <v>39243474</v>
      </c>
      <c r="AC458" s="37">
        <v>0</v>
      </c>
      <c r="AD458" s="35">
        <f t="shared" si="7"/>
        <v>0</v>
      </c>
      <c r="AE458" s="12"/>
      <c r="AF458" s="12">
        <f>COUNTIF($A$20:A458,A458)</f>
        <v>14</v>
      </c>
      <c r="AG458" s="38">
        <v>39243474</v>
      </c>
      <c r="AH458" s="38">
        <f>Tabla44[[#This Row],[VALOR CONTRAPARTIDA]]+Tabla44[[#This Row],[TOTAL APORTES ICBF]]</f>
        <v>39243474</v>
      </c>
      <c r="AI458" s="35" t="str">
        <f>+IF(Tabla44[[#This Row],[AGRUPACIONES]]=1,SUMIFS(Tabla44[TOTAL APORTES ICBF],Tabla44[ZONA DEFINITIVO],Tabla44[[#This Row],[ZONA DEFINITIVO]])," ")</f>
        <v xml:space="preserve"> </v>
      </c>
      <c r="AJ458" s="38"/>
      <c r="AK458" s="38"/>
      <c r="AL458" s="35"/>
      <c r="AM458" s="35">
        <f>VLOOKUP(Tabla44[[#This Row],[SERVICIO 2025]],$J$2:$V$15,5,0)*Tabla44[[#This Row],[TOTAL COBERTURA]]</f>
        <v>888768</v>
      </c>
      <c r="AN458" s="35">
        <f>VLOOKUP(Tabla44[[#This Row],[SERVICIO 2025]],$J$2:$V$15,6,0)*Tabla44[[#This Row],[TOTAL COBERTURA]]</f>
        <v>738522</v>
      </c>
      <c r="AO458" s="35">
        <f>VLOOKUP(Tabla44[[#This Row],[SERVICIO 2025]],$J$2:$V$15,8,0)*Tabla44[[#This Row],[TOTAL COBERTURA]]</f>
        <v>523800</v>
      </c>
      <c r="AP458" s="35">
        <f>VLOOKUP(Tabla44[[#This Row],[SERVICIO 2025]],$J$2:$V$15,3,0)*Tabla44[[#This Row],[TOTAL COBERTURA]]*8</f>
        <v>37092384</v>
      </c>
      <c r="AQ458" s="35"/>
      <c r="AR458" s="35">
        <f>SUM(Tabla44[[#This Row],[VALOR FASE PREPARATORIA DE ALISTAMIENTO]:[VALOR RACION PREPARADA]])</f>
        <v>39243474</v>
      </c>
      <c r="AS458" s="35" t="str">
        <f>+IF(Tabla44[[#This Row],[AGRUPACIONES]]=1,SUMIFS(Tabla44[VALOR TOTAL],Tabla44[ZONA DEFINITIVO],Tabla44[[#This Row],[ZONA DEFINITIVO]])," ")</f>
        <v xml:space="preserve"> </v>
      </c>
      <c r="AT458" s="35">
        <f>VLOOKUP(Tabla44[[#This Row],[SERVICIO 2025]],$J$2:$V$15,10,0)*Tabla44[[#This Row],[TOTAL COBERTURA]]*$X$7</f>
        <v>25975152</v>
      </c>
      <c r="AU458" s="39">
        <f>Tabla44[[#This Row],[TOTAL CONTRATO (ICBF+EAS)]]+Tabla44[[#This Row],[VALOR COMPONENTE ALIMENTACION NO ASIGNADO]]</f>
        <v>65218626</v>
      </c>
      <c r="AV45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458" s="35">
        <f>(VLOOKUP(Tabla44[[#This Row],[SERVICIO 2025]],$J$2:$V$15,3,0)*Tabla44[[#This Row],[TOTAL COBERTURA]])+VLOOKUP(Tabla44[[#This Row],[SERVICIO 2025]],$J$2:$V$15,10,0)*Tabla44[[#This Row],[TOTAL COBERTURA]]</f>
        <v>7883442</v>
      </c>
      <c r="AX458" s="35">
        <f>(VLOOKUP(Tabla44[[#This Row],[SERVICIO 2025]],$J$2:$V$15,3,0)*Tabla44[[#This Row],[TOTAL COBERTURA]])+VLOOKUP(Tabla44[[#This Row],[SERVICIO 2025]],$J$2:$V$15,10,0)*Tabla44[[#This Row],[TOTAL COBERTURA]]</f>
        <v>7883442</v>
      </c>
      <c r="AY458" s="35">
        <f>(VLOOKUP(Tabla44[[#This Row],[SERVICIO 2025]],$J$2:$V$15,3,0)*Tabla44[[#This Row],[TOTAL COBERTURA]])+VLOOKUP(Tabla44[[#This Row],[SERVICIO 2025]],$J$2:$V$15,10,0)*Tabla44[[#This Row],[TOTAL COBERTURA]]</f>
        <v>7883442</v>
      </c>
      <c r="AZ458" s="35">
        <f>(VLOOKUP(Tabla44[[#This Row],[SERVICIO 2025]],$J$2:$V$15,3,0)*Tabla44[[#This Row],[TOTAL COBERTURA]])+VLOOKUP(Tabla44[[#This Row],[SERVICIO 2025]],$J$2:$V$15,10,0)*Tabla44[[#This Row],[TOTAL COBERTURA]]</f>
        <v>7883442</v>
      </c>
      <c r="BA458" s="35">
        <f>(VLOOKUP(Tabla44[[#This Row],[SERVICIO 2025]],$J$2:$V$15,3,0)*Tabla44[[#This Row],[TOTAL COBERTURA]])+VLOOKUP(Tabla44[[#This Row],[SERVICIO 2025]],$J$2:$V$15,10,0)*Tabla44[[#This Row],[TOTAL COBERTURA]]</f>
        <v>7883442</v>
      </c>
      <c r="BB458" s="35">
        <f>(VLOOKUP(Tabla44[[#This Row],[SERVICIO 2025]],$J$2:$V$15,3,0)*Tabla44[[#This Row],[TOTAL COBERTURA]])+VLOOKUP(Tabla44[[#This Row],[SERVICIO 2025]],$J$2:$V$15,10,0)*Tabla44[[#This Row],[TOTAL COBERTURA]]</f>
        <v>7883442</v>
      </c>
      <c r="BC45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458" s="35">
        <f>SUM(Tabla44[[#This Row],[DESEMBOLSO 1]:[DESEMBOLSO 8]])</f>
        <v>65218626</v>
      </c>
      <c r="BE458" s="12" t="b">
        <f>EXACT(Tabla44[[#This Row],[VALOR ATENCIÓN (8 MESES)]],Tabla44[[#This Row],[VALOR TOTAL]])</f>
        <v>1</v>
      </c>
      <c r="BF458" s="23">
        <f>Tabla44[[#This Row],[VALOR ATENCIÓN (8 MESES)]]-Tabla44[[#This Row],[VALOR TOTAL]]</f>
        <v>0</v>
      </c>
      <c r="BG458" s="12" t="b">
        <f>EXACT(Tabla44[[#This Row],[TOTAL DESEMBOLSOS]],Tabla44[[#This Row],[VALOR TOTAL DEL CONTRATO INCLUIDO EL COMPONENTE DE ALIMENTACIÓN]])</f>
        <v>1</v>
      </c>
      <c r="BH458" s="29">
        <f>Tabla44[[#This Row],[TOTAL DESEMBOLSOS]]-Tabla44[[#This Row],[VALOR TOTAL DEL CONTRATO INCLUIDO EL COMPONENTE DE ALIMENTACIÓN]]</f>
        <v>0</v>
      </c>
      <c r="BI458" t="s">
        <v>98</v>
      </c>
    </row>
    <row r="459" spans="1:61">
      <c r="A459" s="13">
        <v>2022</v>
      </c>
      <c r="B459" s="13"/>
      <c r="C459" s="12" t="s">
        <v>87</v>
      </c>
      <c r="D459" s="12" t="s">
        <v>1628</v>
      </c>
      <c r="E459" s="12" t="s">
        <v>3691</v>
      </c>
      <c r="F459" s="12" t="s">
        <v>18</v>
      </c>
      <c r="G459" s="12" t="s">
        <v>90</v>
      </c>
      <c r="H459" s="12" t="s">
        <v>2069</v>
      </c>
      <c r="I459" s="36">
        <v>51341136600</v>
      </c>
      <c r="J459" s="12" t="s">
        <v>3695</v>
      </c>
      <c r="K459" s="12">
        <v>1</v>
      </c>
      <c r="L459" s="12">
        <v>18</v>
      </c>
      <c r="M459" s="12"/>
      <c r="N459" s="13">
        <v>2022</v>
      </c>
      <c r="O459" s="12" t="s">
        <v>2850</v>
      </c>
      <c r="P459" s="12"/>
      <c r="Q459" s="12"/>
      <c r="R459" s="12" t="s">
        <v>94</v>
      </c>
      <c r="S459" s="12">
        <v>10</v>
      </c>
      <c r="T459" s="12">
        <v>890985417</v>
      </c>
      <c r="U459" s="12" t="s">
        <v>3671</v>
      </c>
      <c r="V459" s="12">
        <f>VLOOKUP(Tabla44[[#This Row],[ZONA DEFINITIVO]],[1]Hoja1!$A$1:$D$125,3,0)</f>
        <v>229946</v>
      </c>
      <c r="W459" s="12">
        <f>VLOOKUP(Tabla44[[#This Row],[ZONA DEFINITIVO]],[1]Hoja1!$A$1:$D$125,2,0)</f>
        <v>17267</v>
      </c>
      <c r="X459" s="12">
        <f>VLOOKUP(Tabla44[[#This Row],[ZONA DEFINITIVO]],[1]Hoja1!$A$1:$D$125,4,0)</f>
        <v>105325</v>
      </c>
      <c r="Y459" s="12" t="str">
        <f>+IF(Tabla44[[#This Row],[AGRUPACIONES]]=1,SUMIFS(Tabla44[UDS],Tabla44[ZONA DEFINITIVO],Tabla44[[#This Row],[ZONA DEFINITIVO]])," ")</f>
        <v xml:space="preserve"> </v>
      </c>
      <c r="Z459" s="12" t="str">
        <f>+IF(Tabla44[[#This Row],[AGRUPACIONES]]=1,SUMIFS(Tabla44[TOTAL COBERTURA],Tabla44[ZONA DEFINITIVO],Tabla44[[#This Row],[ZONA DEFINITIVO]])," ")</f>
        <v xml:space="preserve"> </v>
      </c>
      <c r="AA459" s="12"/>
      <c r="AB459" s="35">
        <v>39243474</v>
      </c>
      <c r="AC459" s="37">
        <v>0</v>
      </c>
      <c r="AD459" s="35">
        <f t="shared" si="7"/>
        <v>0</v>
      </c>
      <c r="AE459" s="12"/>
      <c r="AF459" s="12">
        <f>COUNTIF($A$20:A459,A459)</f>
        <v>15</v>
      </c>
      <c r="AG459" s="38">
        <v>39243474</v>
      </c>
      <c r="AH459" s="38">
        <f>Tabla44[[#This Row],[VALOR CONTRAPARTIDA]]+Tabla44[[#This Row],[TOTAL APORTES ICBF]]</f>
        <v>39243474</v>
      </c>
      <c r="AI459" s="35" t="str">
        <f>+IF(Tabla44[[#This Row],[AGRUPACIONES]]=1,SUMIFS(Tabla44[TOTAL APORTES ICBF],Tabla44[ZONA DEFINITIVO],Tabla44[[#This Row],[ZONA DEFINITIVO]])," ")</f>
        <v xml:space="preserve"> </v>
      </c>
      <c r="AJ459" s="38"/>
      <c r="AK459" s="38"/>
      <c r="AL459" s="35"/>
      <c r="AM459" s="35">
        <f>VLOOKUP(Tabla44[[#This Row],[SERVICIO 2025]],$J$2:$V$15,5,0)*Tabla44[[#This Row],[TOTAL COBERTURA]]</f>
        <v>888768</v>
      </c>
      <c r="AN459" s="35">
        <f>VLOOKUP(Tabla44[[#This Row],[SERVICIO 2025]],$J$2:$V$15,6,0)*Tabla44[[#This Row],[TOTAL COBERTURA]]</f>
        <v>738522</v>
      </c>
      <c r="AO459" s="35">
        <f>VLOOKUP(Tabla44[[#This Row],[SERVICIO 2025]],$J$2:$V$15,8,0)*Tabla44[[#This Row],[TOTAL COBERTURA]]</f>
        <v>523800</v>
      </c>
      <c r="AP459" s="35">
        <f>VLOOKUP(Tabla44[[#This Row],[SERVICIO 2025]],$J$2:$V$15,3,0)*Tabla44[[#This Row],[TOTAL COBERTURA]]*8</f>
        <v>37092384</v>
      </c>
      <c r="AQ459" s="35"/>
      <c r="AR459" s="35">
        <f>SUM(Tabla44[[#This Row],[VALOR FASE PREPARATORIA DE ALISTAMIENTO]:[VALOR RACION PREPARADA]])</f>
        <v>39243474</v>
      </c>
      <c r="AS459" s="35" t="str">
        <f>+IF(Tabla44[[#This Row],[AGRUPACIONES]]=1,SUMIFS(Tabla44[VALOR TOTAL],Tabla44[ZONA DEFINITIVO],Tabla44[[#This Row],[ZONA DEFINITIVO]])," ")</f>
        <v xml:space="preserve"> </v>
      </c>
      <c r="AT459" s="35">
        <f>VLOOKUP(Tabla44[[#This Row],[SERVICIO 2025]],$J$2:$V$15,10,0)*Tabla44[[#This Row],[TOTAL COBERTURA]]*$X$7</f>
        <v>25975152</v>
      </c>
      <c r="AU459" s="39">
        <f>Tabla44[[#This Row],[TOTAL CONTRATO (ICBF+EAS)]]+Tabla44[[#This Row],[VALOR COMPONENTE ALIMENTACION NO ASIGNADO]]</f>
        <v>65218626</v>
      </c>
      <c r="AV45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9296010</v>
      </c>
      <c r="AW459" s="35">
        <f>(VLOOKUP(Tabla44[[#This Row],[SERVICIO 2025]],$J$2:$V$15,3,0)*Tabla44[[#This Row],[TOTAL COBERTURA]])+VLOOKUP(Tabla44[[#This Row],[SERVICIO 2025]],$J$2:$V$15,10,0)*Tabla44[[#This Row],[TOTAL COBERTURA]]</f>
        <v>7883442</v>
      </c>
      <c r="AX459" s="35">
        <f>(VLOOKUP(Tabla44[[#This Row],[SERVICIO 2025]],$J$2:$V$15,3,0)*Tabla44[[#This Row],[TOTAL COBERTURA]])+VLOOKUP(Tabla44[[#This Row],[SERVICIO 2025]],$J$2:$V$15,10,0)*Tabla44[[#This Row],[TOTAL COBERTURA]]</f>
        <v>7883442</v>
      </c>
      <c r="AY459" s="35">
        <f>(VLOOKUP(Tabla44[[#This Row],[SERVICIO 2025]],$J$2:$V$15,3,0)*Tabla44[[#This Row],[TOTAL COBERTURA]])+VLOOKUP(Tabla44[[#This Row],[SERVICIO 2025]],$J$2:$V$15,10,0)*Tabla44[[#This Row],[TOTAL COBERTURA]]</f>
        <v>7883442</v>
      </c>
      <c r="AZ459" s="35">
        <f>(VLOOKUP(Tabla44[[#This Row],[SERVICIO 2025]],$J$2:$V$15,3,0)*Tabla44[[#This Row],[TOTAL COBERTURA]])+VLOOKUP(Tabla44[[#This Row],[SERVICIO 2025]],$J$2:$V$15,10,0)*Tabla44[[#This Row],[TOTAL COBERTURA]]</f>
        <v>7883442</v>
      </c>
      <c r="BA459" s="35">
        <f>(VLOOKUP(Tabla44[[#This Row],[SERVICIO 2025]],$J$2:$V$15,3,0)*Tabla44[[#This Row],[TOTAL COBERTURA]])+VLOOKUP(Tabla44[[#This Row],[SERVICIO 2025]],$J$2:$V$15,10,0)*Tabla44[[#This Row],[TOTAL COBERTURA]]</f>
        <v>7883442</v>
      </c>
      <c r="BB459" s="35">
        <f>(VLOOKUP(Tabla44[[#This Row],[SERVICIO 2025]],$J$2:$V$15,3,0)*Tabla44[[#This Row],[TOTAL COBERTURA]])+VLOOKUP(Tabla44[[#This Row],[SERVICIO 2025]],$J$2:$V$15,10,0)*Tabla44[[#This Row],[TOTAL COBERTURA]]</f>
        <v>7883442</v>
      </c>
      <c r="BC45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8621964</v>
      </c>
      <c r="BD459" s="35">
        <f>SUM(Tabla44[[#This Row],[DESEMBOLSO 1]:[DESEMBOLSO 8]])</f>
        <v>65218626</v>
      </c>
      <c r="BE459" s="12" t="b">
        <f>EXACT(Tabla44[[#This Row],[VALOR ATENCIÓN (8 MESES)]],Tabla44[[#This Row],[VALOR TOTAL]])</f>
        <v>1</v>
      </c>
      <c r="BF459" s="23">
        <f>Tabla44[[#This Row],[VALOR ATENCIÓN (8 MESES)]]-Tabla44[[#This Row],[VALOR TOTAL]]</f>
        <v>0</v>
      </c>
      <c r="BG459" s="12" t="b">
        <f>EXACT(Tabla44[[#This Row],[TOTAL DESEMBOLSOS]],Tabla44[[#This Row],[VALOR TOTAL DEL CONTRATO INCLUIDO EL COMPONENTE DE ALIMENTACIÓN]])</f>
        <v>1</v>
      </c>
      <c r="BH459" s="29">
        <f>Tabla44[[#This Row],[TOTAL DESEMBOLSOS]]-Tabla44[[#This Row],[VALOR TOTAL DEL CONTRATO INCLUIDO EL COMPONENTE DE ALIMENTACIÓN]]</f>
        <v>0</v>
      </c>
      <c r="BI459" t="s">
        <v>98</v>
      </c>
    </row>
    <row r="460" spans="1:61">
      <c r="A460" s="13">
        <v>2022</v>
      </c>
      <c r="B460" s="13"/>
      <c r="C460" s="12" t="s">
        <v>87</v>
      </c>
      <c r="D460" s="12" t="s">
        <v>1628</v>
      </c>
      <c r="E460" s="12" t="s">
        <v>3691</v>
      </c>
      <c r="F460" s="12" t="s">
        <v>18</v>
      </c>
      <c r="G460" s="12" t="s">
        <v>90</v>
      </c>
      <c r="H460" s="12" t="s">
        <v>3696</v>
      </c>
      <c r="I460" s="36">
        <v>51341136603</v>
      </c>
      <c r="J460" s="12" t="s">
        <v>3697</v>
      </c>
      <c r="K460" s="12">
        <v>1</v>
      </c>
      <c r="L460" s="12">
        <v>33</v>
      </c>
      <c r="M460" s="12"/>
      <c r="N460" s="13">
        <v>2022</v>
      </c>
      <c r="O460" s="12" t="s">
        <v>2850</v>
      </c>
      <c r="P460" s="12"/>
      <c r="Q460" s="12"/>
      <c r="R460" s="12" t="s">
        <v>94</v>
      </c>
      <c r="S460" s="12">
        <v>10</v>
      </c>
      <c r="T460" s="12">
        <v>890985417</v>
      </c>
      <c r="U460" s="12" t="s">
        <v>3671</v>
      </c>
      <c r="V460" s="12">
        <f>VLOOKUP(Tabla44[[#This Row],[ZONA DEFINITIVO]],[1]Hoja1!$A$1:$D$125,3,0)</f>
        <v>229946</v>
      </c>
      <c r="W460" s="12">
        <f>VLOOKUP(Tabla44[[#This Row],[ZONA DEFINITIVO]],[1]Hoja1!$A$1:$D$125,2,0)</f>
        <v>17267</v>
      </c>
      <c r="X460" s="12">
        <f>VLOOKUP(Tabla44[[#This Row],[ZONA DEFINITIVO]],[1]Hoja1!$A$1:$D$125,4,0)</f>
        <v>105325</v>
      </c>
      <c r="Y460" s="12" t="str">
        <f>+IF(Tabla44[[#This Row],[AGRUPACIONES]]=1,SUMIFS(Tabla44[UDS],Tabla44[ZONA DEFINITIVO],Tabla44[[#This Row],[ZONA DEFINITIVO]])," ")</f>
        <v xml:space="preserve"> </v>
      </c>
      <c r="Z460" s="12" t="str">
        <f>+IF(Tabla44[[#This Row],[AGRUPACIONES]]=1,SUMIFS(Tabla44[TOTAL COBERTURA],Tabla44[ZONA DEFINITIVO],Tabla44[[#This Row],[ZONA DEFINITIVO]])," ")</f>
        <v xml:space="preserve"> </v>
      </c>
      <c r="AA460" s="12"/>
      <c r="AB460" s="35">
        <v>71946369</v>
      </c>
      <c r="AC460" s="37">
        <v>0</v>
      </c>
      <c r="AD460" s="35">
        <f t="shared" si="7"/>
        <v>0</v>
      </c>
      <c r="AE460" s="12"/>
      <c r="AF460" s="12">
        <f>COUNTIF($A$20:A460,A460)</f>
        <v>16</v>
      </c>
      <c r="AG460" s="38">
        <v>71946369</v>
      </c>
      <c r="AH460" s="38">
        <f>Tabla44[[#This Row],[VALOR CONTRAPARTIDA]]+Tabla44[[#This Row],[TOTAL APORTES ICBF]]</f>
        <v>71946369</v>
      </c>
      <c r="AI460" s="35" t="str">
        <f>+IF(Tabla44[[#This Row],[AGRUPACIONES]]=1,SUMIFS(Tabla44[TOTAL APORTES ICBF],Tabla44[ZONA DEFINITIVO],Tabla44[[#This Row],[ZONA DEFINITIVO]])," ")</f>
        <v xml:space="preserve"> </v>
      </c>
      <c r="AJ460" s="38"/>
      <c r="AK460" s="38"/>
      <c r="AL460" s="35"/>
      <c r="AM460" s="35">
        <f>VLOOKUP(Tabla44[[#This Row],[SERVICIO 2025]],$J$2:$V$15,5,0)*Tabla44[[#This Row],[TOTAL COBERTURA]]</f>
        <v>1629408</v>
      </c>
      <c r="AN460" s="35">
        <f>VLOOKUP(Tabla44[[#This Row],[SERVICIO 2025]],$J$2:$V$15,6,0)*Tabla44[[#This Row],[TOTAL COBERTURA]]</f>
        <v>1353957</v>
      </c>
      <c r="AO460" s="35">
        <f>VLOOKUP(Tabla44[[#This Row],[SERVICIO 2025]],$J$2:$V$15,8,0)*Tabla44[[#This Row],[TOTAL COBERTURA]]</f>
        <v>960300</v>
      </c>
      <c r="AP460" s="35">
        <f>VLOOKUP(Tabla44[[#This Row],[SERVICIO 2025]],$J$2:$V$15,3,0)*Tabla44[[#This Row],[TOTAL COBERTURA]]*8</f>
        <v>68002704</v>
      </c>
      <c r="AQ460" s="35"/>
      <c r="AR460" s="35">
        <f>SUM(Tabla44[[#This Row],[VALOR FASE PREPARATORIA DE ALISTAMIENTO]:[VALOR RACION PREPARADA]])</f>
        <v>71946369</v>
      </c>
      <c r="AS460" s="35" t="str">
        <f>+IF(Tabla44[[#This Row],[AGRUPACIONES]]=1,SUMIFS(Tabla44[VALOR TOTAL],Tabla44[ZONA DEFINITIVO],Tabla44[[#This Row],[ZONA DEFINITIVO]])," ")</f>
        <v xml:space="preserve"> </v>
      </c>
      <c r="AT460" s="35">
        <f>VLOOKUP(Tabla44[[#This Row],[SERVICIO 2025]],$J$2:$V$15,10,0)*Tabla44[[#This Row],[TOTAL COBERTURA]]*$X$7</f>
        <v>47621112</v>
      </c>
      <c r="AU460" s="39">
        <f>Tabla44[[#This Row],[TOTAL CONTRATO (ICBF+EAS)]]+Tabla44[[#This Row],[VALOR COMPONENTE ALIMENTACION NO ASIGNADO]]</f>
        <v>119567481</v>
      </c>
      <c r="AV46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17042685</v>
      </c>
      <c r="AW460" s="35">
        <f>(VLOOKUP(Tabla44[[#This Row],[SERVICIO 2025]],$J$2:$V$15,3,0)*Tabla44[[#This Row],[TOTAL COBERTURA]])+VLOOKUP(Tabla44[[#This Row],[SERVICIO 2025]],$J$2:$V$15,10,0)*Tabla44[[#This Row],[TOTAL COBERTURA]]</f>
        <v>14452977</v>
      </c>
      <c r="AX460" s="35">
        <f>(VLOOKUP(Tabla44[[#This Row],[SERVICIO 2025]],$J$2:$V$15,3,0)*Tabla44[[#This Row],[TOTAL COBERTURA]])+VLOOKUP(Tabla44[[#This Row],[SERVICIO 2025]],$J$2:$V$15,10,0)*Tabla44[[#This Row],[TOTAL COBERTURA]]</f>
        <v>14452977</v>
      </c>
      <c r="AY460" s="35">
        <f>(VLOOKUP(Tabla44[[#This Row],[SERVICIO 2025]],$J$2:$V$15,3,0)*Tabla44[[#This Row],[TOTAL COBERTURA]])+VLOOKUP(Tabla44[[#This Row],[SERVICIO 2025]],$J$2:$V$15,10,0)*Tabla44[[#This Row],[TOTAL COBERTURA]]</f>
        <v>14452977</v>
      </c>
      <c r="AZ460" s="35">
        <f>(VLOOKUP(Tabla44[[#This Row],[SERVICIO 2025]],$J$2:$V$15,3,0)*Tabla44[[#This Row],[TOTAL COBERTURA]])+VLOOKUP(Tabla44[[#This Row],[SERVICIO 2025]],$J$2:$V$15,10,0)*Tabla44[[#This Row],[TOTAL COBERTURA]]</f>
        <v>14452977</v>
      </c>
      <c r="BA460" s="35">
        <f>(VLOOKUP(Tabla44[[#This Row],[SERVICIO 2025]],$J$2:$V$15,3,0)*Tabla44[[#This Row],[TOTAL COBERTURA]])+VLOOKUP(Tabla44[[#This Row],[SERVICIO 2025]],$J$2:$V$15,10,0)*Tabla44[[#This Row],[TOTAL COBERTURA]]</f>
        <v>14452977</v>
      </c>
      <c r="BB460" s="35">
        <f>(VLOOKUP(Tabla44[[#This Row],[SERVICIO 2025]],$J$2:$V$15,3,0)*Tabla44[[#This Row],[TOTAL COBERTURA]])+VLOOKUP(Tabla44[[#This Row],[SERVICIO 2025]],$J$2:$V$15,10,0)*Tabla44[[#This Row],[TOTAL COBERTURA]]</f>
        <v>14452977</v>
      </c>
      <c r="BC46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15806934</v>
      </c>
      <c r="BD460" s="35">
        <f>SUM(Tabla44[[#This Row],[DESEMBOLSO 1]:[DESEMBOLSO 8]])</f>
        <v>119567481</v>
      </c>
      <c r="BE460" s="12" t="b">
        <f>EXACT(Tabla44[[#This Row],[VALOR ATENCIÓN (8 MESES)]],Tabla44[[#This Row],[VALOR TOTAL]])</f>
        <v>1</v>
      </c>
      <c r="BF460" s="23">
        <f>Tabla44[[#This Row],[VALOR ATENCIÓN (8 MESES)]]-Tabla44[[#This Row],[VALOR TOTAL]]</f>
        <v>0</v>
      </c>
      <c r="BG460" s="12" t="b">
        <f>EXACT(Tabla44[[#This Row],[TOTAL DESEMBOLSOS]],Tabla44[[#This Row],[VALOR TOTAL DEL CONTRATO INCLUIDO EL COMPONENTE DE ALIMENTACIÓN]])</f>
        <v>1</v>
      </c>
      <c r="BH460" s="29">
        <f>Tabla44[[#This Row],[TOTAL DESEMBOLSOS]]-Tabla44[[#This Row],[VALOR TOTAL DEL CONTRATO INCLUIDO EL COMPONENTE DE ALIMENTACIÓN]]</f>
        <v>0</v>
      </c>
      <c r="BI460" t="s">
        <v>98</v>
      </c>
    </row>
    <row r="461" spans="1:61">
      <c r="A461" s="13">
        <v>2022</v>
      </c>
      <c r="B461" s="13"/>
      <c r="C461" s="12" t="s">
        <v>87</v>
      </c>
      <c r="D461" s="12" t="s">
        <v>1628</v>
      </c>
      <c r="E461" s="12" t="s">
        <v>3691</v>
      </c>
      <c r="F461" s="12" t="s">
        <v>18</v>
      </c>
      <c r="G461" s="12" t="s">
        <v>90</v>
      </c>
      <c r="H461" s="12" t="s">
        <v>3558</v>
      </c>
      <c r="I461" s="36">
        <v>51341136608</v>
      </c>
      <c r="J461" s="12" t="s">
        <v>3698</v>
      </c>
      <c r="K461" s="12">
        <v>1</v>
      </c>
      <c r="L461" s="12">
        <v>11</v>
      </c>
      <c r="M461" s="12"/>
      <c r="N461" s="13">
        <v>2022</v>
      </c>
      <c r="O461" s="12" t="s">
        <v>2850</v>
      </c>
      <c r="P461" s="12"/>
      <c r="Q461" s="12"/>
      <c r="R461" s="12" t="s">
        <v>94</v>
      </c>
      <c r="S461" s="12">
        <v>10</v>
      </c>
      <c r="T461" s="12">
        <v>890985417</v>
      </c>
      <c r="U461" s="12" t="s">
        <v>3671</v>
      </c>
      <c r="V461" s="12">
        <f>VLOOKUP(Tabla44[[#This Row],[ZONA DEFINITIVO]],[1]Hoja1!$A$1:$D$125,3,0)</f>
        <v>229946</v>
      </c>
      <c r="W461" s="12">
        <f>VLOOKUP(Tabla44[[#This Row],[ZONA DEFINITIVO]],[1]Hoja1!$A$1:$D$125,2,0)</f>
        <v>17267</v>
      </c>
      <c r="X461" s="12">
        <f>VLOOKUP(Tabla44[[#This Row],[ZONA DEFINITIVO]],[1]Hoja1!$A$1:$D$125,4,0)</f>
        <v>105325</v>
      </c>
      <c r="Y461" s="12" t="str">
        <f>+IF(Tabla44[[#This Row],[AGRUPACIONES]]=1,SUMIFS(Tabla44[UDS],Tabla44[ZONA DEFINITIVO],Tabla44[[#This Row],[ZONA DEFINITIVO]])," ")</f>
        <v xml:space="preserve"> </v>
      </c>
      <c r="Z461" s="12" t="str">
        <f>+IF(Tabla44[[#This Row],[AGRUPACIONES]]=1,SUMIFS(Tabla44[TOTAL COBERTURA],Tabla44[ZONA DEFINITIVO],Tabla44[[#This Row],[ZONA DEFINITIVO]])," ")</f>
        <v xml:space="preserve"> </v>
      </c>
      <c r="AA461" s="12"/>
      <c r="AB461" s="35">
        <v>23982123</v>
      </c>
      <c r="AC461" s="37">
        <v>0</v>
      </c>
      <c r="AD461" s="35">
        <f t="shared" si="7"/>
        <v>0</v>
      </c>
      <c r="AE461" s="12"/>
      <c r="AF461" s="12">
        <f>COUNTIF($A$20:A461,A461)</f>
        <v>17</v>
      </c>
      <c r="AG461" s="38">
        <v>23982123</v>
      </c>
      <c r="AH461" s="38">
        <f>Tabla44[[#This Row],[VALOR CONTRAPARTIDA]]+Tabla44[[#This Row],[TOTAL APORTES ICBF]]</f>
        <v>23982123</v>
      </c>
      <c r="AI461" s="35" t="str">
        <f>+IF(Tabla44[[#This Row],[AGRUPACIONES]]=1,SUMIFS(Tabla44[TOTAL APORTES ICBF],Tabla44[ZONA DEFINITIVO],Tabla44[[#This Row],[ZONA DEFINITIVO]])," ")</f>
        <v xml:space="preserve"> </v>
      </c>
      <c r="AJ461" s="38"/>
      <c r="AK461" s="38"/>
      <c r="AL461" s="35"/>
      <c r="AM461" s="35">
        <f>VLOOKUP(Tabla44[[#This Row],[SERVICIO 2025]],$J$2:$V$15,5,0)*Tabla44[[#This Row],[TOTAL COBERTURA]]</f>
        <v>543136</v>
      </c>
      <c r="AN461" s="35">
        <f>VLOOKUP(Tabla44[[#This Row],[SERVICIO 2025]],$J$2:$V$15,6,0)*Tabla44[[#This Row],[TOTAL COBERTURA]]</f>
        <v>451319</v>
      </c>
      <c r="AO461" s="35">
        <f>VLOOKUP(Tabla44[[#This Row],[SERVICIO 2025]],$J$2:$V$15,8,0)*Tabla44[[#This Row],[TOTAL COBERTURA]]</f>
        <v>320100</v>
      </c>
      <c r="AP461" s="35">
        <f>VLOOKUP(Tabla44[[#This Row],[SERVICIO 2025]],$J$2:$V$15,3,0)*Tabla44[[#This Row],[TOTAL COBERTURA]]*8</f>
        <v>22667568</v>
      </c>
      <c r="AQ461" s="35"/>
      <c r="AR461" s="35">
        <f>SUM(Tabla44[[#This Row],[VALOR FASE PREPARATORIA DE ALISTAMIENTO]:[VALOR RACION PREPARADA]])</f>
        <v>23982123</v>
      </c>
      <c r="AS461" s="35" t="str">
        <f>+IF(Tabla44[[#This Row],[AGRUPACIONES]]=1,SUMIFS(Tabla44[VALOR TOTAL],Tabla44[ZONA DEFINITIVO],Tabla44[[#This Row],[ZONA DEFINITIVO]])," ")</f>
        <v xml:space="preserve"> </v>
      </c>
      <c r="AT461" s="35">
        <f>VLOOKUP(Tabla44[[#This Row],[SERVICIO 2025]],$J$2:$V$15,10,0)*Tabla44[[#This Row],[TOTAL COBERTURA]]*$X$7</f>
        <v>15873704</v>
      </c>
      <c r="AU461" s="39">
        <f>Tabla44[[#This Row],[TOTAL CONTRATO (ICBF+EAS)]]+Tabla44[[#This Row],[VALOR COMPONENTE ALIMENTACION NO ASIGNADO]]</f>
        <v>39855827</v>
      </c>
      <c r="AV46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461" s="35">
        <f>(VLOOKUP(Tabla44[[#This Row],[SERVICIO 2025]],$J$2:$V$15,3,0)*Tabla44[[#This Row],[TOTAL COBERTURA]])+VLOOKUP(Tabla44[[#This Row],[SERVICIO 2025]],$J$2:$V$15,10,0)*Tabla44[[#This Row],[TOTAL COBERTURA]]</f>
        <v>4817659</v>
      </c>
      <c r="AX461" s="35">
        <f>(VLOOKUP(Tabla44[[#This Row],[SERVICIO 2025]],$J$2:$V$15,3,0)*Tabla44[[#This Row],[TOTAL COBERTURA]])+VLOOKUP(Tabla44[[#This Row],[SERVICIO 2025]],$J$2:$V$15,10,0)*Tabla44[[#This Row],[TOTAL COBERTURA]]</f>
        <v>4817659</v>
      </c>
      <c r="AY461" s="35">
        <f>(VLOOKUP(Tabla44[[#This Row],[SERVICIO 2025]],$J$2:$V$15,3,0)*Tabla44[[#This Row],[TOTAL COBERTURA]])+VLOOKUP(Tabla44[[#This Row],[SERVICIO 2025]],$J$2:$V$15,10,0)*Tabla44[[#This Row],[TOTAL COBERTURA]]</f>
        <v>4817659</v>
      </c>
      <c r="AZ461" s="35">
        <f>(VLOOKUP(Tabla44[[#This Row],[SERVICIO 2025]],$J$2:$V$15,3,0)*Tabla44[[#This Row],[TOTAL COBERTURA]])+VLOOKUP(Tabla44[[#This Row],[SERVICIO 2025]],$J$2:$V$15,10,0)*Tabla44[[#This Row],[TOTAL COBERTURA]]</f>
        <v>4817659</v>
      </c>
      <c r="BA461" s="35">
        <f>(VLOOKUP(Tabla44[[#This Row],[SERVICIO 2025]],$J$2:$V$15,3,0)*Tabla44[[#This Row],[TOTAL COBERTURA]])+VLOOKUP(Tabla44[[#This Row],[SERVICIO 2025]],$J$2:$V$15,10,0)*Tabla44[[#This Row],[TOTAL COBERTURA]]</f>
        <v>4817659</v>
      </c>
      <c r="BB461" s="35">
        <f>(VLOOKUP(Tabla44[[#This Row],[SERVICIO 2025]],$J$2:$V$15,3,0)*Tabla44[[#This Row],[TOTAL COBERTURA]])+VLOOKUP(Tabla44[[#This Row],[SERVICIO 2025]],$J$2:$V$15,10,0)*Tabla44[[#This Row],[TOTAL COBERTURA]]</f>
        <v>4817659</v>
      </c>
      <c r="BC46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461" s="35">
        <f>SUM(Tabla44[[#This Row],[DESEMBOLSO 1]:[DESEMBOLSO 8]])</f>
        <v>39855827</v>
      </c>
      <c r="BE461" s="12" t="b">
        <f>EXACT(Tabla44[[#This Row],[VALOR ATENCIÓN (8 MESES)]],Tabla44[[#This Row],[VALOR TOTAL]])</f>
        <v>1</v>
      </c>
      <c r="BF461" s="23">
        <f>Tabla44[[#This Row],[VALOR ATENCIÓN (8 MESES)]]-Tabla44[[#This Row],[VALOR TOTAL]]</f>
        <v>0</v>
      </c>
      <c r="BG461" s="12" t="b">
        <f>EXACT(Tabla44[[#This Row],[TOTAL DESEMBOLSOS]],Tabla44[[#This Row],[VALOR TOTAL DEL CONTRATO INCLUIDO EL COMPONENTE DE ALIMENTACIÓN]])</f>
        <v>1</v>
      </c>
      <c r="BH461" s="29">
        <f>Tabla44[[#This Row],[TOTAL DESEMBOLSOS]]-Tabla44[[#This Row],[VALOR TOTAL DEL CONTRATO INCLUIDO EL COMPONENTE DE ALIMENTACIÓN]]</f>
        <v>0</v>
      </c>
      <c r="BI461" t="s">
        <v>98</v>
      </c>
    </row>
    <row r="462" spans="1:61">
      <c r="A462" s="13">
        <v>2022</v>
      </c>
      <c r="B462" s="13"/>
      <c r="C462" s="12" t="s">
        <v>87</v>
      </c>
      <c r="D462" s="12" t="s">
        <v>1628</v>
      </c>
      <c r="E462" s="12" t="s">
        <v>3691</v>
      </c>
      <c r="F462" s="12" t="s">
        <v>18</v>
      </c>
      <c r="G462" s="12" t="s">
        <v>90</v>
      </c>
      <c r="H462" s="12" t="s">
        <v>3699</v>
      </c>
      <c r="I462" s="36">
        <v>51341136610</v>
      </c>
      <c r="J462" s="12" t="s">
        <v>3700</v>
      </c>
      <c r="K462" s="12">
        <v>1</v>
      </c>
      <c r="L462" s="12">
        <v>9</v>
      </c>
      <c r="M462" s="12"/>
      <c r="N462" s="13">
        <v>2022</v>
      </c>
      <c r="O462" s="12" t="s">
        <v>2850</v>
      </c>
      <c r="P462" s="12"/>
      <c r="Q462" s="12"/>
      <c r="R462" s="12" t="s">
        <v>94</v>
      </c>
      <c r="S462" s="12">
        <v>10</v>
      </c>
      <c r="T462" s="12">
        <v>890985417</v>
      </c>
      <c r="U462" s="12" t="s">
        <v>3671</v>
      </c>
      <c r="V462" s="12">
        <f>VLOOKUP(Tabla44[[#This Row],[ZONA DEFINITIVO]],[1]Hoja1!$A$1:$D$125,3,0)</f>
        <v>229946</v>
      </c>
      <c r="W462" s="12">
        <f>VLOOKUP(Tabla44[[#This Row],[ZONA DEFINITIVO]],[1]Hoja1!$A$1:$D$125,2,0)</f>
        <v>17267</v>
      </c>
      <c r="X462" s="12">
        <f>VLOOKUP(Tabla44[[#This Row],[ZONA DEFINITIVO]],[1]Hoja1!$A$1:$D$125,4,0)</f>
        <v>105325</v>
      </c>
      <c r="Y462" s="12" t="str">
        <f>+IF(Tabla44[[#This Row],[AGRUPACIONES]]=1,SUMIFS(Tabla44[UDS],Tabla44[ZONA DEFINITIVO],Tabla44[[#This Row],[ZONA DEFINITIVO]])," ")</f>
        <v xml:space="preserve"> </v>
      </c>
      <c r="Z462" s="12" t="str">
        <f>+IF(Tabla44[[#This Row],[AGRUPACIONES]]=1,SUMIFS(Tabla44[TOTAL COBERTURA],Tabla44[ZONA DEFINITIVO],Tabla44[[#This Row],[ZONA DEFINITIVO]])," ")</f>
        <v xml:space="preserve"> </v>
      </c>
      <c r="AA462" s="12"/>
      <c r="AB462" s="35">
        <v>19621737</v>
      </c>
      <c r="AC462" s="37">
        <v>0</v>
      </c>
      <c r="AD462" s="35">
        <f t="shared" si="7"/>
        <v>0</v>
      </c>
      <c r="AE462" s="12"/>
      <c r="AF462" s="12">
        <f>COUNTIF($A$20:A462,A462)</f>
        <v>18</v>
      </c>
      <c r="AG462" s="38">
        <v>19621737</v>
      </c>
      <c r="AH462" s="38">
        <f>Tabla44[[#This Row],[VALOR CONTRAPARTIDA]]+Tabla44[[#This Row],[TOTAL APORTES ICBF]]</f>
        <v>19621737</v>
      </c>
      <c r="AI462" s="35" t="str">
        <f>+IF(Tabla44[[#This Row],[AGRUPACIONES]]=1,SUMIFS(Tabla44[TOTAL APORTES ICBF],Tabla44[ZONA DEFINITIVO],Tabla44[[#This Row],[ZONA DEFINITIVO]])," ")</f>
        <v xml:space="preserve"> </v>
      </c>
      <c r="AJ462" s="38"/>
      <c r="AK462" s="38"/>
      <c r="AL462" s="35"/>
      <c r="AM462" s="35">
        <f>VLOOKUP(Tabla44[[#This Row],[SERVICIO 2025]],$J$2:$V$15,5,0)*Tabla44[[#This Row],[TOTAL COBERTURA]]</f>
        <v>444384</v>
      </c>
      <c r="AN462" s="35">
        <f>VLOOKUP(Tabla44[[#This Row],[SERVICIO 2025]],$J$2:$V$15,6,0)*Tabla44[[#This Row],[TOTAL COBERTURA]]</f>
        <v>369261</v>
      </c>
      <c r="AO462" s="35">
        <f>VLOOKUP(Tabla44[[#This Row],[SERVICIO 2025]],$J$2:$V$15,8,0)*Tabla44[[#This Row],[TOTAL COBERTURA]]</f>
        <v>261900</v>
      </c>
      <c r="AP462" s="35">
        <f>VLOOKUP(Tabla44[[#This Row],[SERVICIO 2025]],$J$2:$V$15,3,0)*Tabla44[[#This Row],[TOTAL COBERTURA]]*8</f>
        <v>18546192</v>
      </c>
      <c r="AQ462" s="35"/>
      <c r="AR462" s="35">
        <f>SUM(Tabla44[[#This Row],[VALOR FASE PREPARATORIA DE ALISTAMIENTO]:[VALOR RACION PREPARADA]])</f>
        <v>19621737</v>
      </c>
      <c r="AS462" s="35" t="str">
        <f>+IF(Tabla44[[#This Row],[AGRUPACIONES]]=1,SUMIFS(Tabla44[VALOR TOTAL],Tabla44[ZONA DEFINITIVO],Tabla44[[#This Row],[ZONA DEFINITIVO]])," ")</f>
        <v xml:space="preserve"> </v>
      </c>
      <c r="AT462" s="35">
        <f>VLOOKUP(Tabla44[[#This Row],[SERVICIO 2025]],$J$2:$V$15,10,0)*Tabla44[[#This Row],[TOTAL COBERTURA]]*$X$7</f>
        <v>12987576</v>
      </c>
      <c r="AU462" s="39">
        <f>Tabla44[[#This Row],[TOTAL CONTRATO (ICBF+EAS)]]+Tabla44[[#This Row],[VALOR COMPONENTE ALIMENTACION NO ASIGNADO]]</f>
        <v>32609313</v>
      </c>
      <c r="AV46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4648005</v>
      </c>
      <c r="AW462" s="35">
        <f>(VLOOKUP(Tabla44[[#This Row],[SERVICIO 2025]],$J$2:$V$15,3,0)*Tabla44[[#This Row],[TOTAL COBERTURA]])+VLOOKUP(Tabla44[[#This Row],[SERVICIO 2025]],$J$2:$V$15,10,0)*Tabla44[[#This Row],[TOTAL COBERTURA]]</f>
        <v>3941721</v>
      </c>
      <c r="AX462" s="35">
        <f>(VLOOKUP(Tabla44[[#This Row],[SERVICIO 2025]],$J$2:$V$15,3,0)*Tabla44[[#This Row],[TOTAL COBERTURA]])+VLOOKUP(Tabla44[[#This Row],[SERVICIO 2025]],$J$2:$V$15,10,0)*Tabla44[[#This Row],[TOTAL COBERTURA]]</f>
        <v>3941721</v>
      </c>
      <c r="AY462" s="35">
        <f>(VLOOKUP(Tabla44[[#This Row],[SERVICIO 2025]],$J$2:$V$15,3,0)*Tabla44[[#This Row],[TOTAL COBERTURA]])+VLOOKUP(Tabla44[[#This Row],[SERVICIO 2025]],$J$2:$V$15,10,0)*Tabla44[[#This Row],[TOTAL COBERTURA]]</f>
        <v>3941721</v>
      </c>
      <c r="AZ462" s="35">
        <f>(VLOOKUP(Tabla44[[#This Row],[SERVICIO 2025]],$J$2:$V$15,3,0)*Tabla44[[#This Row],[TOTAL COBERTURA]])+VLOOKUP(Tabla44[[#This Row],[SERVICIO 2025]],$J$2:$V$15,10,0)*Tabla44[[#This Row],[TOTAL COBERTURA]]</f>
        <v>3941721</v>
      </c>
      <c r="BA462" s="35">
        <f>(VLOOKUP(Tabla44[[#This Row],[SERVICIO 2025]],$J$2:$V$15,3,0)*Tabla44[[#This Row],[TOTAL COBERTURA]])+VLOOKUP(Tabla44[[#This Row],[SERVICIO 2025]],$J$2:$V$15,10,0)*Tabla44[[#This Row],[TOTAL COBERTURA]]</f>
        <v>3941721</v>
      </c>
      <c r="BB462" s="35">
        <f>(VLOOKUP(Tabla44[[#This Row],[SERVICIO 2025]],$J$2:$V$15,3,0)*Tabla44[[#This Row],[TOTAL COBERTURA]])+VLOOKUP(Tabla44[[#This Row],[SERVICIO 2025]],$J$2:$V$15,10,0)*Tabla44[[#This Row],[TOTAL COBERTURA]]</f>
        <v>3941721</v>
      </c>
      <c r="BC46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4310982</v>
      </c>
      <c r="BD462" s="35">
        <f>SUM(Tabla44[[#This Row],[DESEMBOLSO 1]:[DESEMBOLSO 8]])</f>
        <v>32609313</v>
      </c>
      <c r="BE462" s="12" t="b">
        <f>EXACT(Tabla44[[#This Row],[VALOR ATENCIÓN (8 MESES)]],Tabla44[[#This Row],[VALOR TOTAL]])</f>
        <v>1</v>
      </c>
      <c r="BF462" s="23">
        <f>Tabla44[[#This Row],[VALOR ATENCIÓN (8 MESES)]]-Tabla44[[#This Row],[VALOR TOTAL]]</f>
        <v>0</v>
      </c>
      <c r="BG462" s="12" t="b">
        <f>EXACT(Tabla44[[#This Row],[TOTAL DESEMBOLSOS]],Tabla44[[#This Row],[VALOR TOTAL DEL CONTRATO INCLUIDO EL COMPONENTE DE ALIMENTACIÓN]])</f>
        <v>1</v>
      </c>
      <c r="BH462" s="29">
        <f>Tabla44[[#This Row],[TOTAL DESEMBOLSOS]]-Tabla44[[#This Row],[VALOR TOTAL DEL CONTRATO INCLUIDO EL COMPONENTE DE ALIMENTACIÓN]]</f>
        <v>0</v>
      </c>
      <c r="BI462" t="s">
        <v>98</v>
      </c>
    </row>
    <row r="463" spans="1:61">
      <c r="A463" s="13">
        <v>2022</v>
      </c>
      <c r="B463" s="13"/>
      <c r="C463" s="12" t="s">
        <v>87</v>
      </c>
      <c r="D463" s="12" t="s">
        <v>1628</v>
      </c>
      <c r="E463" s="12" t="s">
        <v>3691</v>
      </c>
      <c r="F463" s="12" t="s">
        <v>18</v>
      </c>
      <c r="G463" s="12" t="s">
        <v>90</v>
      </c>
      <c r="H463" s="12" t="s">
        <v>979</v>
      </c>
      <c r="I463" s="36">
        <v>51341148655</v>
      </c>
      <c r="J463" s="12" t="s">
        <v>3701</v>
      </c>
      <c r="K463" s="12">
        <v>1</v>
      </c>
      <c r="L463" s="12">
        <v>14</v>
      </c>
      <c r="M463" s="12"/>
      <c r="N463" s="13">
        <v>2022</v>
      </c>
      <c r="O463" s="12" t="s">
        <v>2850</v>
      </c>
      <c r="P463" s="12"/>
      <c r="Q463" s="12"/>
      <c r="R463" s="12" t="s">
        <v>94</v>
      </c>
      <c r="S463" s="12">
        <v>10</v>
      </c>
      <c r="T463" s="12">
        <v>890985417</v>
      </c>
      <c r="U463" s="12" t="s">
        <v>3671</v>
      </c>
      <c r="V463" s="12">
        <f>VLOOKUP(Tabla44[[#This Row],[ZONA DEFINITIVO]],[1]Hoja1!$A$1:$D$125,3,0)</f>
        <v>229946</v>
      </c>
      <c r="W463" s="12">
        <f>VLOOKUP(Tabla44[[#This Row],[ZONA DEFINITIVO]],[1]Hoja1!$A$1:$D$125,2,0)</f>
        <v>17267</v>
      </c>
      <c r="X463" s="12">
        <f>VLOOKUP(Tabla44[[#This Row],[ZONA DEFINITIVO]],[1]Hoja1!$A$1:$D$125,4,0)</f>
        <v>105325</v>
      </c>
      <c r="Y463" s="12" t="str">
        <f>+IF(Tabla44[[#This Row],[AGRUPACIONES]]=1,SUMIFS(Tabla44[UDS],Tabla44[ZONA DEFINITIVO],Tabla44[[#This Row],[ZONA DEFINITIVO]])," ")</f>
        <v xml:space="preserve"> </v>
      </c>
      <c r="Z463" s="12" t="str">
        <f>+IF(Tabla44[[#This Row],[AGRUPACIONES]]=1,SUMIFS(Tabla44[TOTAL COBERTURA],Tabla44[ZONA DEFINITIVO],Tabla44[[#This Row],[ZONA DEFINITIVO]])," ")</f>
        <v xml:space="preserve"> </v>
      </c>
      <c r="AA463" s="12"/>
      <c r="AB463" s="35">
        <v>30522702</v>
      </c>
      <c r="AC463" s="37">
        <v>0</v>
      </c>
      <c r="AD463" s="35">
        <f t="shared" si="7"/>
        <v>0</v>
      </c>
      <c r="AE463" s="12"/>
      <c r="AF463" s="12">
        <f>COUNTIF($A$20:A463,A463)</f>
        <v>19</v>
      </c>
      <c r="AG463" s="38">
        <v>30522702</v>
      </c>
      <c r="AH463" s="38">
        <f>Tabla44[[#This Row],[VALOR CONTRAPARTIDA]]+Tabla44[[#This Row],[TOTAL APORTES ICBF]]</f>
        <v>30522702</v>
      </c>
      <c r="AI463" s="35" t="str">
        <f>+IF(Tabla44[[#This Row],[AGRUPACIONES]]=1,SUMIFS(Tabla44[TOTAL APORTES ICBF],Tabla44[ZONA DEFINITIVO],Tabla44[[#This Row],[ZONA DEFINITIVO]])," ")</f>
        <v xml:space="preserve"> </v>
      </c>
      <c r="AJ463" s="38"/>
      <c r="AK463" s="38"/>
      <c r="AL463" s="35"/>
      <c r="AM463" s="35">
        <f>VLOOKUP(Tabla44[[#This Row],[SERVICIO 2025]],$J$2:$V$15,5,0)*Tabla44[[#This Row],[TOTAL COBERTURA]]</f>
        <v>691264</v>
      </c>
      <c r="AN463" s="35">
        <f>VLOOKUP(Tabla44[[#This Row],[SERVICIO 2025]],$J$2:$V$15,6,0)*Tabla44[[#This Row],[TOTAL COBERTURA]]</f>
        <v>574406</v>
      </c>
      <c r="AO463" s="35">
        <f>VLOOKUP(Tabla44[[#This Row],[SERVICIO 2025]],$J$2:$V$15,8,0)*Tabla44[[#This Row],[TOTAL COBERTURA]]</f>
        <v>407400</v>
      </c>
      <c r="AP463" s="35">
        <f>VLOOKUP(Tabla44[[#This Row],[SERVICIO 2025]],$J$2:$V$15,3,0)*Tabla44[[#This Row],[TOTAL COBERTURA]]*8</f>
        <v>28849632</v>
      </c>
      <c r="AQ463" s="35"/>
      <c r="AR463" s="35">
        <f>SUM(Tabla44[[#This Row],[VALOR FASE PREPARATORIA DE ALISTAMIENTO]:[VALOR RACION PREPARADA]])</f>
        <v>30522702</v>
      </c>
      <c r="AS463" s="35" t="str">
        <f>+IF(Tabla44[[#This Row],[AGRUPACIONES]]=1,SUMIFS(Tabla44[VALOR TOTAL],Tabla44[ZONA DEFINITIVO],Tabla44[[#This Row],[ZONA DEFINITIVO]])," ")</f>
        <v xml:space="preserve"> </v>
      </c>
      <c r="AT463" s="35">
        <f>VLOOKUP(Tabla44[[#This Row],[SERVICIO 2025]],$J$2:$V$15,10,0)*Tabla44[[#This Row],[TOTAL COBERTURA]]*$X$7</f>
        <v>20202896</v>
      </c>
      <c r="AU463" s="39">
        <f>Tabla44[[#This Row],[TOTAL CONTRATO (ICBF+EAS)]]+Tabla44[[#This Row],[VALOR COMPONENTE ALIMENTACION NO ASIGNADO]]</f>
        <v>50725598</v>
      </c>
      <c r="AV46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463" s="35">
        <f>(VLOOKUP(Tabla44[[#This Row],[SERVICIO 2025]],$J$2:$V$15,3,0)*Tabla44[[#This Row],[TOTAL COBERTURA]])+VLOOKUP(Tabla44[[#This Row],[SERVICIO 2025]],$J$2:$V$15,10,0)*Tabla44[[#This Row],[TOTAL COBERTURA]]</f>
        <v>6131566</v>
      </c>
      <c r="AX463" s="35">
        <f>(VLOOKUP(Tabla44[[#This Row],[SERVICIO 2025]],$J$2:$V$15,3,0)*Tabla44[[#This Row],[TOTAL COBERTURA]])+VLOOKUP(Tabla44[[#This Row],[SERVICIO 2025]],$J$2:$V$15,10,0)*Tabla44[[#This Row],[TOTAL COBERTURA]]</f>
        <v>6131566</v>
      </c>
      <c r="AY463" s="35">
        <f>(VLOOKUP(Tabla44[[#This Row],[SERVICIO 2025]],$J$2:$V$15,3,0)*Tabla44[[#This Row],[TOTAL COBERTURA]])+VLOOKUP(Tabla44[[#This Row],[SERVICIO 2025]],$J$2:$V$15,10,0)*Tabla44[[#This Row],[TOTAL COBERTURA]]</f>
        <v>6131566</v>
      </c>
      <c r="AZ463" s="35">
        <f>(VLOOKUP(Tabla44[[#This Row],[SERVICIO 2025]],$J$2:$V$15,3,0)*Tabla44[[#This Row],[TOTAL COBERTURA]])+VLOOKUP(Tabla44[[#This Row],[SERVICIO 2025]],$J$2:$V$15,10,0)*Tabla44[[#This Row],[TOTAL COBERTURA]]</f>
        <v>6131566</v>
      </c>
      <c r="BA463" s="35">
        <f>(VLOOKUP(Tabla44[[#This Row],[SERVICIO 2025]],$J$2:$V$15,3,0)*Tabla44[[#This Row],[TOTAL COBERTURA]])+VLOOKUP(Tabla44[[#This Row],[SERVICIO 2025]],$J$2:$V$15,10,0)*Tabla44[[#This Row],[TOTAL COBERTURA]]</f>
        <v>6131566</v>
      </c>
      <c r="BB463" s="35">
        <f>(VLOOKUP(Tabla44[[#This Row],[SERVICIO 2025]],$J$2:$V$15,3,0)*Tabla44[[#This Row],[TOTAL COBERTURA]])+VLOOKUP(Tabla44[[#This Row],[SERVICIO 2025]],$J$2:$V$15,10,0)*Tabla44[[#This Row],[TOTAL COBERTURA]]</f>
        <v>6131566</v>
      </c>
      <c r="BC46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463" s="35">
        <f>SUM(Tabla44[[#This Row],[DESEMBOLSO 1]:[DESEMBOLSO 8]])</f>
        <v>50725598</v>
      </c>
      <c r="BE463" s="12" t="b">
        <f>EXACT(Tabla44[[#This Row],[VALOR ATENCIÓN (8 MESES)]],Tabla44[[#This Row],[VALOR TOTAL]])</f>
        <v>1</v>
      </c>
      <c r="BF463" s="23">
        <f>Tabla44[[#This Row],[VALOR ATENCIÓN (8 MESES)]]-Tabla44[[#This Row],[VALOR TOTAL]]</f>
        <v>0</v>
      </c>
      <c r="BG463" s="12" t="b">
        <f>EXACT(Tabla44[[#This Row],[TOTAL DESEMBOLSOS]],Tabla44[[#This Row],[VALOR TOTAL DEL CONTRATO INCLUIDO EL COMPONENTE DE ALIMENTACIÓN]])</f>
        <v>1</v>
      </c>
      <c r="BH463" s="29">
        <f>Tabla44[[#This Row],[TOTAL DESEMBOLSOS]]-Tabla44[[#This Row],[VALOR TOTAL DEL CONTRATO INCLUIDO EL COMPONENTE DE ALIMENTACIÓN]]</f>
        <v>0</v>
      </c>
      <c r="BI463" t="s">
        <v>98</v>
      </c>
    </row>
    <row r="464" spans="1:61">
      <c r="A464" s="13">
        <v>2022</v>
      </c>
      <c r="B464" s="13"/>
      <c r="C464" s="12" t="s">
        <v>87</v>
      </c>
      <c r="D464" s="12" t="s">
        <v>1628</v>
      </c>
      <c r="E464" s="12" t="s">
        <v>3691</v>
      </c>
      <c r="F464" s="12" t="s">
        <v>18</v>
      </c>
      <c r="G464" s="12" t="s">
        <v>90</v>
      </c>
      <c r="H464" s="12" t="s">
        <v>1653</v>
      </c>
      <c r="I464" s="36">
        <v>51341148666</v>
      </c>
      <c r="J464" s="12" t="s">
        <v>3702</v>
      </c>
      <c r="K464" s="12">
        <v>1</v>
      </c>
      <c r="L464" s="12">
        <v>15</v>
      </c>
      <c r="M464" s="12"/>
      <c r="N464" s="13">
        <v>2022</v>
      </c>
      <c r="O464" s="12" t="s">
        <v>2850</v>
      </c>
      <c r="P464" s="12"/>
      <c r="Q464" s="12"/>
      <c r="R464" s="12" t="s">
        <v>94</v>
      </c>
      <c r="S464" s="12">
        <v>10</v>
      </c>
      <c r="T464" s="12">
        <v>890985417</v>
      </c>
      <c r="U464" s="12" t="s">
        <v>3671</v>
      </c>
      <c r="V464" s="12">
        <f>VLOOKUP(Tabla44[[#This Row],[ZONA DEFINITIVO]],[1]Hoja1!$A$1:$D$125,3,0)</f>
        <v>229946</v>
      </c>
      <c r="W464" s="12">
        <f>VLOOKUP(Tabla44[[#This Row],[ZONA DEFINITIVO]],[1]Hoja1!$A$1:$D$125,2,0)</f>
        <v>17267</v>
      </c>
      <c r="X464" s="12">
        <f>VLOOKUP(Tabla44[[#This Row],[ZONA DEFINITIVO]],[1]Hoja1!$A$1:$D$125,4,0)</f>
        <v>105325</v>
      </c>
      <c r="Y464" s="12" t="str">
        <f>+IF(Tabla44[[#This Row],[AGRUPACIONES]]=1,SUMIFS(Tabla44[UDS],Tabla44[ZONA DEFINITIVO],Tabla44[[#This Row],[ZONA DEFINITIVO]])," ")</f>
        <v xml:space="preserve"> </v>
      </c>
      <c r="Z464" s="12" t="str">
        <f>+IF(Tabla44[[#This Row],[AGRUPACIONES]]=1,SUMIFS(Tabla44[TOTAL COBERTURA],Tabla44[ZONA DEFINITIVO],Tabla44[[#This Row],[ZONA DEFINITIVO]])," ")</f>
        <v xml:space="preserve"> </v>
      </c>
      <c r="AA464" s="12"/>
      <c r="AB464" s="35">
        <v>32702895</v>
      </c>
      <c r="AC464" s="37">
        <v>0</v>
      </c>
      <c r="AD464" s="35">
        <f t="shared" si="7"/>
        <v>0</v>
      </c>
      <c r="AE464" s="12"/>
      <c r="AF464" s="12">
        <f>COUNTIF($A$20:A464,A464)</f>
        <v>20</v>
      </c>
      <c r="AG464" s="38">
        <v>32702895</v>
      </c>
      <c r="AH464" s="38">
        <f>Tabla44[[#This Row],[VALOR CONTRAPARTIDA]]+Tabla44[[#This Row],[TOTAL APORTES ICBF]]</f>
        <v>32702895</v>
      </c>
      <c r="AI464" s="35" t="str">
        <f>+IF(Tabla44[[#This Row],[AGRUPACIONES]]=1,SUMIFS(Tabla44[TOTAL APORTES ICBF],Tabla44[ZONA DEFINITIVO],Tabla44[[#This Row],[ZONA DEFINITIVO]])," ")</f>
        <v xml:space="preserve"> </v>
      </c>
      <c r="AJ464" s="38"/>
      <c r="AK464" s="38"/>
      <c r="AL464" s="35"/>
      <c r="AM464" s="35">
        <f>VLOOKUP(Tabla44[[#This Row],[SERVICIO 2025]],$J$2:$V$15,5,0)*Tabla44[[#This Row],[TOTAL COBERTURA]]</f>
        <v>740640</v>
      </c>
      <c r="AN464" s="35">
        <f>VLOOKUP(Tabla44[[#This Row],[SERVICIO 2025]],$J$2:$V$15,6,0)*Tabla44[[#This Row],[TOTAL COBERTURA]]</f>
        <v>615435</v>
      </c>
      <c r="AO464" s="35">
        <f>VLOOKUP(Tabla44[[#This Row],[SERVICIO 2025]],$J$2:$V$15,8,0)*Tabla44[[#This Row],[TOTAL COBERTURA]]</f>
        <v>436500</v>
      </c>
      <c r="AP464" s="35">
        <f>VLOOKUP(Tabla44[[#This Row],[SERVICIO 2025]],$J$2:$V$15,3,0)*Tabla44[[#This Row],[TOTAL COBERTURA]]*8</f>
        <v>30910320</v>
      </c>
      <c r="AQ464" s="35"/>
      <c r="AR464" s="35">
        <f>SUM(Tabla44[[#This Row],[VALOR FASE PREPARATORIA DE ALISTAMIENTO]:[VALOR RACION PREPARADA]])</f>
        <v>32702895</v>
      </c>
      <c r="AS464" s="35" t="str">
        <f>+IF(Tabla44[[#This Row],[AGRUPACIONES]]=1,SUMIFS(Tabla44[VALOR TOTAL],Tabla44[ZONA DEFINITIVO],Tabla44[[#This Row],[ZONA DEFINITIVO]])," ")</f>
        <v xml:space="preserve"> </v>
      </c>
      <c r="AT464" s="35">
        <f>VLOOKUP(Tabla44[[#This Row],[SERVICIO 2025]],$J$2:$V$15,10,0)*Tabla44[[#This Row],[TOTAL COBERTURA]]*$X$7</f>
        <v>21645960</v>
      </c>
      <c r="AU464" s="39">
        <f>Tabla44[[#This Row],[TOTAL CONTRATO (ICBF+EAS)]]+Tabla44[[#This Row],[VALOR COMPONENTE ALIMENTACION NO ASIGNADO]]</f>
        <v>54348855</v>
      </c>
      <c r="AV46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464" s="35">
        <f>(VLOOKUP(Tabla44[[#This Row],[SERVICIO 2025]],$J$2:$V$15,3,0)*Tabla44[[#This Row],[TOTAL COBERTURA]])+VLOOKUP(Tabla44[[#This Row],[SERVICIO 2025]],$J$2:$V$15,10,0)*Tabla44[[#This Row],[TOTAL COBERTURA]]</f>
        <v>6569535</v>
      </c>
      <c r="AX464" s="35">
        <f>(VLOOKUP(Tabla44[[#This Row],[SERVICIO 2025]],$J$2:$V$15,3,0)*Tabla44[[#This Row],[TOTAL COBERTURA]])+VLOOKUP(Tabla44[[#This Row],[SERVICIO 2025]],$J$2:$V$15,10,0)*Tabla44[[#This Row],[TOTAL COBERTURA]]</f>
        <v>6569535</v>
      </c>
      <c r="AY464" s="35">
        <f>(VLOOKUP(Tabla44[[#This Row],[SERVICIO 2025]],$J$2:$V$15,3,0)*Tabla44[[#This Row],[TOTAL COBERTURA]])+VLOOKUP(Tabla44[[#This Row],[SERVICIO 2025]],$J$2:$V$15,10,0)*Tabla44[[#This Row],[TOTAL COBERTURA]]</f>
        <v>6569535</v>
      </c>
      <c r="AZ464" s="35">
        <f>(VLOOKUP(Tabla44[[#This Row],[SERVICIO 2025]],$J$2:$V$15,3,0)*Tabla44[[#This Row],[TOTAL COBERTURA]])+VLOOKUP(Tabla44[[#This Row],[SERVICIO 2025]],$J$2:$V$15,10,0)*Tabla44[[#This Row],[TOTAL COBERTURA]]</f>
        <v>6569535</v>
      </c>
      <c r="BA464" s="35">
        <f>(VLOOKUP(Tabla44[[#This Row],[SERVICIO 2025]],$J$2:$V$15,3,0)*Tabla44[[#This Row],[TOTAL COBERTURA]])+VLOOKUP(Tabla44[[#This Row],[SERVICIO 2025]],$J$2:$V$15,10,0)*Tabla44[[#This Row],[TOTAL COBERTURA]]</f>
        <v>6569535</v>
      </c>
      <c r="BB464" s="35">
        <f>(VLOOKUP(Tabla44[[#This Row],[SERVICIO 2025]],$J$2:$V$15,3,0)*Tabla44[[#This Row],[TOTAL COBERTURA]])+VLOOKUP(Tabla44[[#This Row],[SERVICIO 2025]],$J$2:$V$15,10,0)*Tabla44[[#This Row],[TOTAL COBERTURA]]</f>
        <v>6569535</v>
      </c>
      <c r="BC46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464" s="35">
        <f>SUM(Tabla44[[#This Row],[DESEMBOLSO 1]:[DESEMBOLSO 8]])</f>
        <v>54348855</v>
      </c>
      <c r="BE464" s="12" t="b">
        <f>EXACT(Tabla44[[#This Row],[VALOR ATENCIÓN (8 MESES)]],Tabla44[[#This Row],[VALOR TOTAL]])</f>
        <v>1</v>
      </c>
      <c r="BF464" s="23">
        <f>Tabla44[[#This Row],[VALOR ATENCIÓN (8 MESES)]]-Tabla44[[#This Row],[VALOR TOTAL]]</f>
        <v>0</v>
      </c>
      <c r="BG464" s="12" t="b">
        <f>EXACT(Tabla44[[#This Row],[TOTAL DESEMBOLSOS]],Tabla44[[#This Row],[VALOR TOTAL DEL CONTRATO INCLUIDO EL COMPONENTE DE ALIMENTACIÓN]])</f>
        <v>1</v>
      </c>
      <c r="BH464" s="29">
        <f>Tabla44[[#This Row],[TOTAL DESEMBOLSOS]]-Tabla44[[#This Row],[VALOR TOTAL DEL CONTRATO INCLUIDO EL COMPONENTE DE ALIMENTACIÓN]]</f>
        <v>0</v>
      </c>
      <c r="BI464" t="s">
        <v>98</v>
      </c>
    </row>
    <row r="465" spans="1:61">
      <c r="A465" s="13">
        <v>2022</v>
      </c>
      <c r="B465" s="13"/>
      <c r="C465" s="12" t="s">
        <v>87</v>
      </c>
      <c r="D465" s="12" t="s">
        <v>1628</v>
      </c>
      <c r="E465" s="12" t="s">
        <v>3691</v>
      </c>
      <c r="F465" s="12" t="s">
        <v>18</v>
      </c>
      <c r="G465" s="12" t="s">
        <v>90</v>
      </c>
      <c r="H465" s="12" t="s">
        <v>3703</v>
      </c>
      <c r="I465" s="36">
        <v>51341151117</v>
      </c>
      <c r="J465" s="12" t="s">
        <v>3704</v>
      </c>
      <c r="K465" s="12">
        <v>1</v>
      </c>
      <c r="L465" s="12">
        <v>9</v>
      </c>
      <c r="M465" s="12"/>
      <c r="N465" s="13">
        <v>2022</v>
      </c>
      <c r="O465" s="12" t="s">
        <v>2850</v>
      </c>
      <c r="P465" s="12"/>
      <c r="Q465" s="12"/>
      <c r="R465" s="12" t="s">
        <v>94</v>
      </c>
      <c r="S465" s="12">
        <v>10</v>
      </c>
      <c r="T465" s="12">
        <v>890985417</v>
      </c>
      <c r="U465" s="12" t="s">
        <v>3671</v>
      </c>
      <c r="V465" s="12">
        <f>VLOOKUP(Tabla44[[#This Row],[ZONA DEFINITIVO]],[1]Hoja1!$A$1:$D$125,3,0)</f>
        <v>229946</v>
      </c>
      <c r="W465" s="12">
        <f>VLOOKUP(Tabla44[[#This Row],[ZONA DEFINITIVO]],[1]Hoja1!$A$1:$D$125,2,0)</f>
        <v>17267</v>
      </c>
      <c r="X465" s="12">
        <f>VLOOKUP(Tabla44[[#This Row],[ZONA DEFINITIVO]],[1]Hoja1!$A$1:$D$125,4,0)</f>
        <v>105325</v>
      </c>
      <c r="Y465" s="12" t="str">
        <f>+IF(Tabla44[[#This Row],[AGRUPACIONES]]=1,SUMIFS(Tabla44[UDS],Tabla44[ZONA DEFINITIVO],Tabla44[[#This Row],[ZONA DEFINITIVO]])," ")</f>
        <v xml:space="preserve"> </v>
      </c>
      <c r="Z465" s="12" t="str">
        <f>+IF(Tabla44[[#This Row],[AGRUPACIONES]]=1,SUMIFS(Tabla44[TOTAL COBERTURA],Tabla44[ZONA DEFINITIVO],Tabla44[[#This Row],[ZONA DEFINITIVO]])," ")</f>
        <v xml:space="preserve"> </v>
      </c>
      <c r="AA465" s="12"/>
      <c r="AB465" s="35">
        <v>19621737</v>
      </c>
      <c r="AC465" s="37">
        <v>0</v>
      </c>
      <c r="AD465" s="35">
        <f t="shared" si="7"/>
        <v>0</v>
      </c>
      <c r="AE465" s="12"/>
      <c r="AF465" s="12">
        <f>COUNTIF($A$20:A465,A465)</f>
        <v>21</v>
      </c>
      <c r="AG465" s="38">
        <v>19621737</v>
      </c>
      <c r="AH465" s="38">
        <f>Tabla44[[#This Row],[VALOR CONTRAPARTIDA]]+Tabla44[[#This Row],[TOTAL APORTES ICBF]]</f>
        <v>19621737</v>
      </c>
      <c r="AI465" s="35" t="str">
        <f>+IF(Tabla44[[#This Row],[AGRUPACIONES]]=1,SUMIFS(Tabla44[TOTAL APORTES ICBF],Tabla44[ZONA DEFINITIVO],Tabla44[[#This Row],[ZONA DEFINITIVO]])," ")</f>
        <v xml:space="preserve"> </v>
      </c>
      <c r="AJ465" s="38"/>
      <c r="AK465" s="38"/>
      <c r="AL465" s="35"/>
      <c r="AM465" s="35">
        <f>VLOOKUP(Tabla44[[#This Row],[SERVICIO 2025]],$J$2:$V$15,5,0)*Tabla44[[#This Row],[TOTAL COBERTURA]]</f>
        <v>444384</v>
      </c>
      <c r="AN465" s="35">
        <f>VLOOKUP(Tabla44[[#This Row],[SERVICIO 2025]],$J$2:$V$15,6,0)*Tabla44[[#This Row],[TOTAL COBERTURA]]</f>
        <v>369261</v>
      </c>
      <c r="AO465" s="35">
        <f>VLOOKUP(Tabla44[[#This Row],[SERVICIO 2025]],$J$2:$V$15,8,0)*Tabla44[[#This Row],[TOTAL COBERTURA]]</f>
        <v>261900</v>
      </c>
      <c r="AP465" s="35">
        <f>VLOOKUP(Tabla44[[#This Row],[SERVICIO 2025]],$J$2:$V$15,3,0)*Tabla44[[#This Row],[TOTAL COBERTURA]]*8</f>
        <v>18546192</v>
      </c>
      <c r="AQ465" s="35"/>
      <c r="AR465" s="35">
        <f>SUM(Tabla44[[#This Row],[VALOR FASE PREPARATORIA DE ALISTAMIENTO]:[VALOR RACION PREPARADA]])</f>
        <v>19621737</v>
      </c>
      <c r="AS465" s="35" t="str">
        <f>+IF(Tabla44[[#This Row],[AGRUPACIONES]]=1,SUMIFS(Tabla44[VALOR TOTAL],Tabla44[ZONA DEFINITIVO],Tabla44[[#This Row],[ZONA DEFINITIVO]])," ")</f>
        <v xml:space="preserve"> </v>
      </c>
      <c r="AT465" s="35">
        <f>VLOOKUP(Tabla44[[#This Row],[SERVICIO 2025]],$J$2:$V$15,10,0)*Tabla44[[#This Row],[TOTAL COBERTURA]]*$X$7</f>
        <v>12987576</v>
      </c>
      <c r="AU465" s="39">
        <f>Tabla44[[#This Row],[TOTAL CONTRATO (ICBF+EAS)]]+Tabla44[[#This Row],[VALOR COMPONENTE ALIMENTACION NO ASIGNADO]]</f>
        <v>32609313</v>
      </c>
      <c r="AV46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4648005</v>
      </c>
      <c r="AW465" s="35">
        <f>(VLOOKUP(Tabla44[[#This Row],[SERVICIO 2025]],$J$2:$V$15,3,0)*Tabla44[[#This Row],[TOTAL COBERTURA]])+VLOOKUP(Tabla44[[#This Row],[SERVICIO 2025]],$J$2:$V$15,10,0)*Tabla44[[#This Row],[TOTAL COBERTURA]]</f>
        <v>3941721</v>
      </c>
      <c r="AX465" s="35">
        <f>(VLOOKUP(Tabla44[[#This Row],[SERVICIO 2025]],$J$2:$V$15,3,0)*Tabla44[[#This Row],[TOTAL COBERTURA]])+VLOOKUP(Tabla44[[#This Row],[SERVICIO 2025]],$J$2:$V$15,10,0)*Tabla44[[#This Row],[TOTAL COBERTURA]]</f>
        <v>3941721</v>
      </c>
      <c r="AY465" s="35">
        <f>(VLOOKUP(Tabla44[[#This Row],[SERVICIO 2025]],$J$2:$V$15,3,0)*Tabla44[[#This Row],[TOTAL COBERTURA]])+VLOOKUP(Tabla44[[#This Row],[SERVICIO 2025]],$J$2:$V$15,10,0)*Tabla44[[#This Row],[TOTAL COBERTURA]]</f>
        <v>3941721</v>
      </c>
      <c r="AZ465" s="35">
        <f>(VLOOKUP(Tabla44[[#This Row],[SERVICIO 2025]],$J$2:$V$15,3,0)*Tabla44[[#This Row],[TOTAL COBERTURA]])+VLOOKUP(Tabla44[[#This Row],[SERVICIO 2025]],$J$2:$V$15,10,0)*Tabla44[[#This Row],[TOTAL COBERTURA]]</f>
        <v>3941721</v>
      </c>
      <c r="BA465" s="35">
        <f>(VLOOKUP(Tabla44[[#This Row],[SERVICIO 2025]],$J$2:$V$15,3,0)*Tabla44[[#This Row],[TOTAL COBERTURA]])+VLOOKUP(Tabla44[[#This Row],[SERVICIO 2025]],$J$2:$V$15,10,0)*Tabla44[[#This Row],[TOTAL COBERTURA]]</f>
        <v>3941721</v>
      </c>
      <c r="BB465" s="35">
        <f>(VLOOKUP(Tabla44[[#This Row],[SERVICIO 2025]],$J$2:$V$15,3,0)*Tabla44[[#This Row],[TOTAL COBERTURA]])+VLOOKUP(Tabla44[[#This Row],[SERVICIO 2025]],$J$2:$V$15,10,0)*Tabla44[[#This Row],[TOTAL COBERTURA]]</f>
        <v>3941721</v>
      </c>
      <c r="BC46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4310982</v>
      </c>
      <c r="BD465" s="35">
        <f>SUM(Tabla44[[#This Row],[DESEMBOLSO 1]:[DESEMBOLSO 8]])</f>
        <v>32609313</v>
      </c>
      <c r="BE465" s="12" t="b">
        <f>EXACT(Tabla44[[#This Row],[VALOR ATENCIÓN (8 MESES)]],Tabla44[[#This Row],[VALOR TOTAL]])</f>
        <v>1</v>
      </c>
      <c r="BF465" s="23">
        <f>Tabla44[[#This Row],[VALOR ATENCIÓN (8 MESES)]]-Tabla44[[#This Row],[VALOR TOTAL]]</f>
        <v>0</v>
      </c>
      <c r="BG465" s="12" t="b">
        <f>EXACT(Tabla44[[#This Row],[TOTAL DESEMBOLSOS]],Tabla44[[#This Row],[VALOR TOTAL DEL CONTRATO INCLUIDO EL COMPONENTE DE ALIMENTACIÓN]])</f>
        <v>1</v>
      </c>
      <c r="BH465" s="29">
        <f>Tabla44[[#This Row],[TOTAL DESEMBOLSOS]]-Tabla44[[#This Row],[VALOR TOTAL DEL CONTRATO INCLUIDO EL COMPONENTE DE ALIMENTACIÓN]]</f>
        <v>0</v>
      </c>
      <c r="BI465" t="s">
        <v>98</v>
      </c>
    </row>
    <row r="466" spans="1:61">
      <c r="A466" s="13">
        <v>2022</v>
      </c>
      <c r="B466" s="13"/>
      <c r="C466" s="12" t="s">
        <v>87</v>
      </c>
      <c r="D466" s="12" t="s">
        <v>1628</v>
      </c>
      <c r="E466" s="12" t="s">
        <v>3691</v>
      </c>
      <c r="F466" s="12" t="s">
        <v>18</v>
      </c>
      <c r="G466" s="12" t="s">
        <v>90</v>
      </c>
      <c r="H466" s="12" t="s">
        <v>3705</v>
      </c>
      <c r="I466" s="36">
        <v>51341152814</v>
      </c>
      <c r="J466" s="12" t="s">
        <v>3706</v>
      </c>
      <c r="K466" s="12">
        <v>1</v>
      </c>
      <c r="L466" s="12">
        <v>23</v>
      </c>
      <c r="M466" s="12"/>
      <c r="N466" s="13">
        <v>2022</v>
      </c>
      <c r="O466" s="12" t="s">
        <v>2850</v>
      </c>
      <c r="P466" s="12"/>
      <c r="Q466" s="12"/>
      <c r="R466" s="12" t="s">
        <v>94</v>
      </c>
      <c r="S466" s="12">
        <v>10</v>
      </c>
      <c r="T466" s="12">
        <v>890985417</v>
      </c>
      <c r="U466" s="12" t="s">
        <v>3671</v>
      </c>
      <c r="V466" s="12">
        <f>VLOOKUP(Tabla44[[#This Row],[ZONA DEFINITIVO]],[1]Hoja1!$A$1:$D$125,3,0)</f>
        <v>229946</v>
      </c>
      <c r="W466" s="12">
        <f>VLOOKUP(Tabla44[[#This Row],[ZONA DEFINITIVO]],[1]Hoja1!$A$1:$D$125,2,0)</f>
        <v>17267</v>
      </c>
      <c r="X466" s="12">
        <f>VLOOKUP(Tabla44[[#This Row],[ZONA DEFINITIVO]],[1]Hoja1!$A$1:$D$125,4,0)</f>
        <v>105325</v>
      </c>
      <c r="Y466" s="12" t="str">
        <f>+IF(Tabla44[[#This Row],[AGRUPACIONES]]=1,SUMIFS(Tabla44[UDS],Tabla44[ZONA DEFINITIVO],Tabla44[[#This Row],[ZONA DEFINITIVO]])," ")</f>
        <v xml:space="preserve"> </v>
      </c>
      <c r="Z466" s="12" t="str">
        <f>+IF(Tabla44[[#This Row],[AGRUPACIONES]]=1,SUMIFS(Tabla44[TOTAL COBERTURA],Tabla44[ZONA DEFINITIVO],Tabla44[[#This Row],[ZONA DEFINITIVO]])," ")</f>
        <v xml:space="preserve"> </v>
      </c>
      <c r="AA466" s="12"/>
      <c r="AB466" s="35">
        <v>50144439</v>
      </c>
      <c r="AC466" s="37">
        <v>0</v>
      </c>
      <c r="AD466" s="35">
        <f t="shared" si="7"/>
        <v>0</v>
      </c>
      <c r="AE466" s="12"/>
      <c r="AF466" s="12">
        <f>COUNTIF($A$20:A466,A466)</f>
        <v>22</v>
      </c>
      <c r="AG466" s="38">
        <v>50144439</v>
      </c>
      <c r="AH466" s="38">
        <f>Tabla44[[#This Row],[VALOR CONTRAPARTIDA]]+Tabla44[[#This Row],[TOTAL APORTES ICBF]]</f>
        <v>50144439</v>
      </c>
      <c r="AI466" s="35" t="str">
        <f>+IF(Tabla44[[#This Row],[AGRUPACIONES]]=1,SUMIFS(Tabla44[TOTAL APORTES ICBF],Tabla44[ZONA DEFINITIVO],Tabla44[[#This Row],[ZONA DEFINITIVO]])," ")</f>
        <v xml:space="preserve"> </v>
      </c>
      <c r="AJ466" s="38"/>
      <c r="AK466" s="38"/>
      <c r="AL466" s="35"/>
      <c r="AM466" s="35">
        <f>VLOOKUP(Tabla44[[#This Row],[SERVICIO 2025]],$J$2:$V$15,5,0)*Tabla44[[#This Row],[TOTAL COBERTURA]]</f>
        <v>1135648</v>
      </c>
      <c r="AN466" s="35">
        <f>VLOOKUP(Tabla44[[#This Row],[SERVICIO 2025]],$J$2:$V$15,6,0)*Tabla44[[#This Row],[TOTAL COBERTURA]]</f>
        <v>943667</v>
      </c>
      <c r="AO466" s="35">
        <f>VLOOKUP(Tabla44[[#This Row],[SERVICIO 2025]],$J$2:$V$15,8,0)*Tabla44[[#This Row],[TOTAL COBERTURA]]</f>
        <v>669300</v>
      </c>
      <c r="AP466" s="35">
        <f>VLOOKUP(Tabla44[[#This Row],[SERVICIO 2025]],$J$2:$V$15,3,0)*Tabla44[[#This Row],[TOTAL COBERTURA]]*8</f>
        <v>47395824</v>
      </c>
      <c r="AQ466" s="35"/>
      <c r="AR466" s="35">
        <f>SUM(Tabla44[[#This Row],[VALOR FASE PREPARATORIA DE ALISTAMIENTO]:[VALOR RACION PREPARADA]])</f>
        <v>50144439</v>
      </c>
      <c r="AS466" s="35" t="str">
        <f>+IF(Tabla44[[#This Row],[AGRUPACIONES]]=1,SUMIFS(Tabla44[VALOR TOTAL],Tabla44[ZONA DEFINITIVO],Tabla44[[#This Row],[ZONA DEFINITIVO]])," ")</f>
        <v xml:space="preserve"> </v>
      </c>
      <c r="AT466" s="35">
        <f>VLOOKUP(Tabla44[[#This Row],[SERVICIO 2025]],$J$2:$V$15,10,0)*Tabla44[[#This Row],[TOTAL COBERTURA]]*$X$7</f>
        <v>33190472</v>
      </c>
      <c r="AU466" s="39">
        <f>Tabla44[[#This Row],[TOTAL CONTRATO (ICBF+EAS)]]+Tabla44[[#This Row],[VALOR COMPONENTE ALIMENTACION NO ASIGNADO]]</f>
        <v>83334911</v>
      </c>
      <c r="AV46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11878235</v>
      </c>
      <c r="AW466" s="35">
        <f>(VLOOKUP(Tabla44[[#This Row],[SERVICIO 2025]],$J$2:$V$15,3,0)*Tabla44[[#This Row],[TOTAL COBERTURA]])+VLOOKUP(Tabla44[[#This Row],[SERVICIO 2025]],$J$2:$V$15,10,0)*Tabla44[[#This Row],[TOTAL COBERTURA]]</f>
        <v>10073287</v>
      </c>
      <c r="AX466" s="35">
        <f>(VLOOKUP(Tabla44[[#This Row],[SERVICIO 2025]],$J$2:$V$15,3,0)*Tabla44[[#This Row],[TOTAL COBERTURA]])+VLOOKUP(Tabla44[[#This Row],[SERVICIO 2025]],$J$2:$V$15,10,0)*Tabla44[[#This Row],[TOTAL COBERTURA]]</f>
        <v>10073287</v>
      </c>
      <c r="AY466" s="35">
        <f>(VLOOKUP(Tabla44[[#This Row],[SERVICIO 2025]],$J$2:$V$15,3,0)*Tabla44[[#This Row],[TOTAL COBERTURA]])+VLOOKUP(Tabla44[[#This Row],[SERVICIO 2025]],$J$2:$V$15,10,0)*Tabla44[[#This Row],[TOTAL COBERTURA]]</f>
        <v>10073287</v>
      </c>
      <c r="AZ466" s="35">
        <f>(VLOOKUP(Tabla44[[#This Row],[SERVICIO 2025]],$J$2:$V$15,3,0)*Tabla44[[#This Row],[TOTAL COBERTURA]])+VLOOKUP(Tabla44[[#This Row],[SERVICIO 2025]],$J$2:$V$15,10,0)*Tabla44[[#This Row],[TOTAL COBERTURA]]</f>
        <v>10073287</v>
      </c>
      <c r="BA466" s="35">
        <f>(VLOOKUP(Tabla44[[#This Row],[SERVICIO 2025]],$J$2:$V$15,3,0)*Tabla44[[#This Row],[TOTAL COBERTURA]])+VLOOKUP(Tabla44[[#This Row],[SERVICIO 2025]],$J$2:$V$15,10,0)*Tabla44[[#This Row],[TOTAL COBERTURA]]</f>
        <v>10073287</v>
      </c>
      <c r="BB466" s="35">
        <f>(VLOOKUP(Tabla44[[#This Row],[SERVICIO 2025]],$J$2:$V$15,3,0)*Tabla44[[#This Row],[TOTAL COBERTURA]])+VLOOKUP(Tabla44[[#This Row],[SERVICIO 2025]],$J$2:$V$15,10,0)*Tabla44[[#This Row],[TOTAL COBERTURA]]</f>
        <v>10073287</v>
      </c>
      <c r="BC46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11016954</v>
      </c>
      <c r="BD466" s="35">
        <f>SUM(Tabla44[[#This Row],[DESEMBOLSO 1]:[DESEMBOLSO 8]])</f>
        <v>83334911</v>
      </c>
      <c r="BE466" s="12" t="b">
        <f>EXACT(Tabla44[[#This Row],[VALOR ATENCIÓN (8 MESES)]],Tabla44[[#This Row],[VALOR TOTAL]])</f>
        <v>1</v>
      </c>
      <c r="BF466" s="23">
        <f>Tabla44[[#This Row],[VALOR ATENCIÓN (8 MESES)]]-Tabla44[[#This Row],[VALOR TOTAL]]</f>
        <v>0</v>
      </c>
      <c r="BG466" s="12" t="b">
        <f>EXACT(Tabla44[[#This Row],[TOTAL DESEMBOLSOS]],Tabla44[[#This Row],[VALOR TOTAL DEL CONTRATO INCLUIDO EL COMPONENTE DE ALIMENTACIÓN]])</f>
        <v>1</v>
      </c>
      <c r="BH466" s="29">
        <f>Tabla44[[#This Row],[TOTAL DESEMBOLSOS]]-Tabla44[[#This Row],[VALOR TOTAL DEL CONTRATO INCLUIDO EL COMPONENTE DE ALIMENTACIÓN]]</f>
        <v>0</v>
      </c>
      <c r="BI466" t="s">
        <v>98</v>
      </c>
    </row>
    <row r="467" spans="1:61">
      <c r="A467" s="13">
        <v>2022</v>
      </c>
      <c r="B467" s="13"/>
      <c r="C467" s="12" t="s">
        <v>87</v>
      </c>
      <c r="D467" s="12" t="s">
        <v>1628</v>
      </c>
      <c r="E467" s="12" t="s">
        <v>3691</v>
      </c>
      <c r="F467" s="12" t="s">
        <v>18</v>
      </c>
      <c r="G467" s="12" t="s">
        <v>90</v>
      </c>
      <c r="H467" s="12" t="s">
        <v>3707</v>
      </c>
      <c r="I467" s="36">
        <v>51341152917</v>
      </c>
      <c r="J467" s="12" t="s">
        <v>3708</v>
      </c>
      <c r="K467" s="12">
        <v>1</v>
      </c>
      <c r="L467" s="12">
        <v>16</v>
      </c>
      <c r="M467" s="12"/>
      <c r="N467" s="13">
        <v>2022</v>
      </c>
      <c r="O467" s="12" t="s">
        <v>2850</v>
      </c>
      <c r="P467" s="12"/>
      <c r="Q467" s="12"/>
      <c r="R467" s="12" t="s">
        <v>94</v>
      </c>
      <c r="S467" s="12">
        <v>10</v>
      </c>
      <c r="T467" s="12">
        <v>890985417</v>
      </c>
      <c r="U467" s="12" t="s">
        <v>3671</v>
      </c>
      <c r="V467" s="12">
        <f>VLOOKUP(Tabla44[[#This Row],[ZONA DEFINITIVO]],[1]Hoja1!$A$1:$D$125,3,0)</f>
        <v>229946</v>
      </c>
      <c r="W467" s="12">
        <f>VLOOKUP(Tabla44[[#This Row],[ZONA DEFINITIVO]],[1]Hoja1!$A$1:$D$125,2,0)</f>
        <v>17267</v>
      </c>
      <c r="X467" s="12">
        <f>VLOOKUP(Tabla44[[#This Row],[ZONA DEFINITIVO]],[1]Hoja1!$A$1:$D$125,4,0)</f>
        <v>105325</v>
      </c>
      <c r="Y467" s="12" t="str">
        <f>+IF(Tabla44[[#This Row],[AGRUPACIONES]]=1,SUMIFS(Tabla44[UDS],Tabla44[ZONA DEFINITIVO],Tabla44[[#This Row],[ZONA DEFINITIVO]])," ")</f>
        <v xml:space="preserve"> </v>
      </c>
      <c r="Z467" s="12" t="str">
        <f>+IF(Tabla44[[#This Row],[AGRUPACIONES]]=1,SUMIFS(Tabla44[TOTAL COBERTURA],Tabla44[ZONA DEFINITIVO],Tabla44[[#This Row],[ZONA DEFINITIVO]])," ")</f>
        <v xml:space="preserve"> </v>
      </c>
      <c r="AA467" s="12"/>
      <c r="AB467" s="35">
        <v>34883088</v>
      </c>
      <c r="AC467" s="37">
        <v>0</v>
      </c>
      <c r="AD467" s="35">
        <f t="shared" si="7"/>
        <v>0</v>
      </c>
      <c r="AE467" s="12"/>
      <c r="AF467" s="12">
        <f>COUNTIF($A$20:A467,A467)</f>
        <v>23</v>
      </c>
      <c r="AG467" s="38">
        <v>34883088</v>
      </c>
      <c r="AH467" s="38">
        <f>Tabla44[[#This Row],[VALOR CONTRAPARTIDA]]+Tabla44[[#This Row],[TOTAL APORTES ICBF]]</f>
        <v>34883088</v>
      </c>
      <c r="AI467" s="35" t="str">
        <f>+IF(Tabla44[[#This Row],[AGRUPACIONES]]=1,SUMIFS(Tabla44[TOTAL APORTES ICBF],Tabla44[ZONA DEFINITIVO],Tabla44[[#This Row],[ZONA DEFINITIVO]])," ")</f>
        <v xml:space="preserve"> </v>
      </c>
      <c r="AJ467" s="38"/>
      <c r="AK467" s="38"/>
      <c r="AL467" s="35"/>
      <c r="AM467" s="35">
        <f>VLOOKUP(Tabla44[[#This Row],[SERVICIO 2025]],$J$2:$V$15,5,0)*Tabla44[[#This Row],[TOTAL COBERTURA]]</f>
        <v>790016</v>
      </c>
      <c r="AN467" s="35">
        <f>VLOOKUP(Tabla44[[#This Row],[SERVICIO 2025]],$J$2:$V$15,6,0)*Tabla44[[#This Row],[TOTAL COBERTURA]]</f>
        <v>656464</v>
      </c>
      <c r="AO467" s="35">
        <f>VLOOKUP(Tabla44[[#This Row],[SERVICIO 2025]],$J$2:$V$15,8,0)*Tabla44[[#This Row],[TOTAL COBERTURA]]</f>
        <v>465600</v>
      </c>
      <c r="AP467" s="35">
        <f>VLOOKUP(Tabla44[[#This Row],[SERVICIO 2025]],$J$2:$V$15,3,0)*Tabla44[[#This Row],[TOTAL COBERTURA]]*8</f>
        <v>32971008</v>
      </c>
      <c r="AQ467" s="35"/>
      <c r="AR467" s="35">
        <f>SUM(Tabla44[[#This Row],[VALOR FASE PREPARATORIA DE ALISTAMIENTO]:[VALOR RACION PREPARADA]])</f>
        <v>34883088</v>
      </c>
      <c r="AS467" s="35" t="str">
        <f>+IF(Tabla44[[#This Row],[AGRUPACIONES]]=1,SUMIFS(Tabla44[VALOR TOTAL],Tabla44[ZONA DEFINITIVO],Tabla44[[#This Row],[ZONA DEFINITIVO]])," ")</f>
        <v xml:space="preserve"> </v>
      </c>
      <c r="AT467" s="35">
        <f>VLOOKUP(Tabla44[[#This Row],[SERVICIO 2025]],$J$2:$V$15,10,0)*Tabla44[[#This Row],[TOTAL COBERTURA]]*$X$7</f>
        <v>23089024</v>
      </c>
      <c r="AU467" s="39">
        <f>Tabla44[[#This Row],[TOTAL CONTRATO (ICBF+EAS)]]+Tabla44[[#This Row],[VALOR COMPONENTE ALIMENTACION NO ASIGNADO]]</f>
        <v>57972112</v>
      </c>
      <c r="AV46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467" s="35">
        <f>(VLOOKUP(Tabla44[[#This Row],[SERVICIO 2025]],$J$2:$V$15,3,0)*Tabla44[[#This Row],[TOTAL COBERTURA]])+VLOOKUP(Tabla44[[#This Row],[SERVICIO 2025]],$J$2:$V$15,10,0)*Tabla44[[#This Row],[TOTAL COBERTURA]]</f>
        <v>7007504</v>
      </c>
      <c r="AX467" s="35">
        <f>(VLOOKUP(Tabla44[[#This Row],[SERVICIO 2025]],$J$2:$V$15,3,0)*Tabla44[[#This Row],[TOTAL COBERTURA]])+VLOOKUP(Tabla44[[#This Row],[SERVICIO 2025]],$J$2:$V$15,10,0)*Tabla44[[#This Row],[TOTAL COBERTURA]]</f>
        <v>7007504</v>
      </c>
      <c r="AY467" s="35">
        <f>(VLOOKUP(Tabla44[[#This Row],[SERVICIO 2025]],$J$2:$V$15,3,0)*Tabla44[[#This Row],[TOTAL COBERTURA]])+VLOOKUP(Tabla44[[#This Row],[SERVICIO 2025]],$J$2:$V$15,10,0)*Tabla44[[#This Row],[TOTAL COBERTURA]]</f>
        <v>7007504</v>
      </c>
      <c r="AZ467" s="35">
        <f>(VLOOKUP(Tabla44[[#This Row],[SERVICIO 2025]],$J$2:$V$15,3,0)*Tabla44[[#This Row],[TOTAL COBERTURA]])+VLOOKUP(Tabla44[[#This Row],[SERVICIO 2025]],$J$2:$V$15,10,0)*Tabla44[[#This Row],[TOTAL COBERTURA]]</f>
        <v>7007504</v>
      </c>
      <c r="BA467" s="35">
        <f>(VLOOKUP(Tabla44[[#This Row],[SERVICIO 2025]],$J$2:$V$15,3,0)*Tabla44[[#This Row],[TOTAL COBERTURA]])+VLOOKUP(Tabla44[[#This Row],[SERVICIO 2025]],$J$2:$V$15,10,0)*Tabla44[[#This Row],[TOTAL COBERTURA]]</f>
        <v>7007504</v>
      </c>
      <c r="BB467" s="35">
        <f>(VLOOKUP(Tabla44[[#This Row],[SERVICIO 2025]],$J$2:$V$15,3,0)*Tabla44[[#This Row],[TOTAL COBERTURA]])+VLOOKUP(Tabla44[[#This Row],[SERVICIO 2025]],$J$2:$V$15,10,0)*Tabla44[[#This Row],[TOTAL COBERTURA]]</f>
        <v>7007504</v>
      </c>
      <c r="BC46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467" s="35">
        <f>SUM(Tabla44[[#This Row],[DESEMBOLSO 1]:[DESEMBOLSO 8]])</f>
        <v>57972112</v>
      </c>
      <c r="BE467" s="12" t="b">
        <f>EXACT(Tabla44[[#This Row],[VALOR ATENCIÓN (8 MESES)]],Tabla44[[#This Row],[VALOR TOTAL]])</f>
        <v>1</v>
      </c>
      <c r="BF467" s="23">
        <f>Tabla44[[#This Row],[VALOR ATENCIÓN (8 MESES)]]-Tabla44[[#This Row],[VALOR TOTAL]]</f>
        <v>0</v>
      </c>
      <c r="BG467" s="12" t="b">
        <f>EXACT(Tabla44[[#This Row],[TOTAL DESEMBOLSOS]],Tabla44[[#This Row],[VALOR TOTAL DEL CONTRATO INCLUIDO EL COMPONENTE DE ALIMENTACIÓN]])</f>
        <v>1</v>
      </c>
      <c r="BH467" s="29">
        <f>Tabla44[[#This Row],[TOTAL DESEMBOLSOS]]-Tabla44[[#This Row],[VALOR TOTAL DEL CONTRATO INCLUIDO EL COMPONENTE DE ALIMENTACIÓN]]</f>
        <v>0</v>
      </c>
      <c r="BI467" t="s">
        <v>98</v>
      </c>
    </row>
    <row r="468" spans="1:61">
      <c r="A468" s="13">
        <v>2022</v>
      </c>
      <c r="B468" s="13"/>
      <c r="C468" s="12" t="s">
        <v>87</v>
      </c>
      <c r="D468" s="12" t="s">
        <v>1628</v>
      </c>
      <c r="E468" s="12" t="s">
        <v>3691</v>
      </c>
      <c r="F468" s="12" t="s">
        <v>14</v>
      </c>
      <c r="G468" s="12" t="s">
        <v>90</v>
      </c>
      <c r="H468" s="12" t="s">
        <v>3709</v>
      </c>
      <c r="I468" s="36">
        <v>513400102602</v>
      </c>
      <c r="J468" s="12" t="s">
        <v>3710</v>
      </c>
      <c r="K468" s="12">
        <v>1</v>
      </c>
      <c r="L468" s="12">
        <v>45</v>
      </c>
      <c r="M468" s="12"/>
      <c r="N468" s="13">
        <v>2022</v>
      </c>
      <c r="O468" s="12" t="s">
        <v>2850</v>
      </c>
      <c r="P468" s="12"/>
      <c r="Q468" s="12"/>
      <c r="R468" s="12" t="s">
        <v>94</v>
      </c>
      <c r="S468" s="12">
        <v>10</v>
      </c>
      <c r="T468" s="12">
        <v>890985417</v>
      </c>
      <c r="U468" s="12" t="s">
        <v>3671</v>
      </c>
      <c r="V468" s="12">
        <f>VLOOKUP(Tabla44[[#This Row],[ZONA DEFINITIVO]],[1]Hoja1!$A$1:$D$125,3,0)</f>
        <v>229946</v>
      </c>
      <c r="W468" s="12">
        <f>VLOOKUP(Tabla44[[#This Row],[ZONA DEFINITIVO]],[1]Hoja1!$A$1:$D$125,2,0)</f>
        <v>17267</v>
      </c>
      <c r="X468" s="12">
        <f>VLOOKUP(Tabla44[[#This Row],[ZONA DEFINITIVO]],[1]Hoja1!$A$1:$D$125,4,0)</f>
        <v>105325</v>
      </c>
      <c r="Y468" s="12" t="str">
        <f>+IF(Tabla44[[#This Row],[AGRUPACIONES]]=1,SUMIFS(Tabla44[UDS],Tabla44[ZONA DEFINITIVO],Tabla44[[#This Row],[ZONA DEFINITIVO]])," ")</f>
        <v xml:space="preserve"> </v>
      </c>
      <c r="Z468" s="12" t="str">
        <f>+IF(Tabla44[[#This Row],[AGRUPACIONES]]=1,SUMIFS(Tabla44[TOTAL COBERTURA],Tabla44[ZONA DEFINITIVO],Tabla44[[#This Row],[ZONA DEFINITIVO]])," ")</f>
        <v xml:space="preserve"> </v>
      </c>
      <c r="AA468" s="12"/>
      <c r="AB468" s="35">
        <v>188498250</v>
      </c>
      <c r="AC468" s="37">
        <v>0</v>
      </c>
      <c r="AD468" s="35">
        <f t="shared" ref="AD468:AD531" si="8">AB468*AC468</f>
        <v>0</v>
      </c>
      <c r="AE468" s="12"/>
      <c r="AF468" s="12">
        <f>COUNTIF($A$20:A468,A468)</f>
        <v>24</v>
      </c>
      <c r="AG468" s="38">
        <v>188498250</v>
      </c>
      <c r="AH468" s="38">
        <f>Tabla44[[#This Row],[VALOR CONTRAPARTIDA]]+Tabla44[[#This Row],[TOTAL APORTES ICBF]]</f>
        <v>188498250</v>
      </c>
      <c r="AI468" s="35" t="str">
        <f>+IF(Tabla44[[#This Row],[AGRUPACIONES]]=1,SUMIFS(Tabla44[TOTAL APORTES ICBF],Tabla44[ZONA DEFINITIVO],Tabla44[[#This Row],[ZONA DEFINITIVO]])," ")</f>
        <v xml:space="preserve"> </v>
      </c>
      <c r="AJ468" s="38"/>
      <c r="AK468" s="38"/>
      <c r="AL468" s="35"/>
      <c r="AM468" s="35">
        <f>VLOOKUP(Tabla44[[#This Row],[SERVICIO 2025]],$J$2:$V$15,5,0)*Tabla44[[#This Row],[TOTAL COBERTURA]]</f>
        <v>3966435</v>
      </c>
      <c r="AN468" s="35">
        <f>VLOOKUP(Tabla44[[#This Row],[SERVICIO 2025]],$J$2:$V$15,6,0)*Tabla44[[#This Row],[TOTAL COBERTURA]]</f>
        <v>3376935</v>
      </c>
      <c r="AO468" s="35">
        <f>VLOOKUP(Tabla44[[#This Row],[SERVICIO 2025]],$J$2:$V$15,8,0)*Tabla44[[#This Row],[TOTAL COBERTURA]]</f>
        <v>0</v>
      </c>
      <c r="AP468" s="35">
        <f>VLOOKUP(Tabla44[[#This Row],[SERVICIO 2025]],$J$2:$V$15,3,0)*Tabla44[[#This Row],[TOTAL COBERTURA]]*8</f>
        <v>181154880</v>
      </c>
      <c r="AQ468" s="35"/>
      <c r="AR468" s="35">
        <f>SUM(Tabla44[[#This Row],[VALOR FASE PREPARATORIA DE ALISTAMIENTO]:[VALOR RACION PREPARADA]])</f>
        <v>188498250</v>
      </c>
      <c r="AS468" s="35" t="str">
        <f>+IF(Tabla44[[#This Row],[AGRUPACIONES]]=1,SUMIFS(Tabla44[VALOR TOTAL],Tabla44[ZONA DEFINITIVO],Tabla44[[#This Row],[ZONA DEFINITIVO]])," ")</f>
        <v xml:space="preserve"> </v>
      </c>
      <c r="AT468" s="35">
        <f>VLOOKUP(Tabla44[[#This Row],[SERVICIO 2025]],$J$2:$V$15,10,0)*Tabla44[[#This Row],[TOTAL COBERTURA]]*$X$7</f>
        <v>0</v>
      </c>
      <c r="AU468" s="39">
        <f>Tabla44[[#This Row],[TOTAL CONTRATO (ICBF+EAS)]]+Tabla44[[#This Row],[VALOR COMPONENTE ALIMENTACION NO ASIGNADO]]</f>
        <v>188498250</v>
      </c>
      <c r="AV46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26610795</v>
      </c>
      <c r="AW468" s="35">
        <f>(VLOOKUP(Tabla44[[#This Row],[SERVICIO 2025]],$J$2:$V$15,3,0)*Tabla44[[#This Row],[TOTAL COBERTURA]])+VLOOKUP(Tabla44[[#This Row],[SERVICIO 2025]],$J$2:$V$15,10,0)*Tabla44[[#This Row],[TOTAL COBERTURA]]</f>
        <v>22644360</v>
      </c>
      <c r="AX468" s="35">
        <f>(VLOOKUP(Tabla44[[#This Row],[SERVICIO 2025]],$J$2:$V$15,3,0)*Tabla44[[#This Row],[TOTAL COBERTURA]])+VLOOKUP(Tabla44[[#This Row],[SERVICIO 2025]],$J$2:$V$15,10,0)*Tabla44[[#This Row],[TOTAL COBERTURA]]</f>
        <v>22644360</v>
      </c>
      <c r="AY468" s="35">
        <f>(VLOOKUP(Tabla44[[#This Row],[SERVICIO 2025]],$J$2:$V$15,3,0)*Tabla44[[#This Row],[TOTAL COBERTURA]])+VLOOKUP(Tabla44[[#This Row],[SERVICIO 2025]],$J$2:$V$15,10,0)*Tabla44[[#This Row],[TOTAL COBERTURA]]</f>
        <v>22644360</v>
      </c>
      <c r="AZ468" s="35">
        <f>(VLOOKUP(Tabla44[[#This Row],[SERVICIO 2025]],$J$2:$V$15,3,0)*Tabla44[[#This Row],[TOTAL COBERTURA]])+VLOOKUP(Tabla44[[#This Row],[SERVICIO 2025]],$J$2:$V$15,10,0)*Tabla44[[#This Row],[TOTAL COBERTURA]]</f>
        <v>22644360</v>
      </c>
      <c r="BA468" s="35">
        <f>(VLOOKUP(Tabla44[[#This Row],[SERVICIO 2025]],$J$2:$V$15,3,0)*Tabla44[[#This Row],[TOTAL COBERTURA]])+VLOOKUP(Tabla44[[#This Row],[SERVICIO 2025]],$J$2:$V$15,10,0)*Tabla44[[#This Row],[TOTAL COBERTURA]]</f>
        <v>22644360</v>
      </c>
      <c r="BB468" s="35">
        <f>(VLOOKUP(Tabla44[[#This Row],[SERVICIO 2025]],$J$2:$V$15,3,0)*Tabla44[[#This Row],[TOTAL COBERTURA]])+VLOOKUP(Tabla44[[#This Row],[SERVICIO 2025]],$J$2:$V$15,10,0)*Tabla44[[#This Row],[TOTAL COBERTURA]]</f>
        <v>22644360</v>
      </c>
      <c r="BC46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26021295</v>
      </c>
      <c r="BD468" s="35">
        <f>SUM(Tabla44[[#This Row],[DESEMBOLSO 1]:[DESEMBOLSO 8]])</f>
        <v>188498250</v>
      </c>
      <c r="BE468" s="12" t="b">
        <f>EXACT(Tabla44[[#This Row],[VALOR ATENCIÓN (8 MESES)]],Tabla44[[#This Row],[VALOR TOTAL]])</f>
        <v>1</v>
      </c>
      <c r="BF468" s="23">
        <f>Tabla44[[#This Row],[VALOR ATENCIÓN (8 MESES)]]-Tabla44[[#This Row],[VALOR TOTAL]]</f>
        <v>0</v>
      </c>
      <c r="BG468" s="12" t="b">
        <f>EXACT(Tabla44[[#This Row],[TOTAL DESEMBOLSOS]],Tabla44[[#This Row],[VALOR TOTAL DEL CONTRATO INCLUIDO EL COMPONENTE DE ALIMENTACIÓN]])</f>
        <v>1</v>
      </c>
      <c r="BH468" s="29">
        <f>Tabla44[[#This Row],[TOTAL DESEMBOLSOS]]-Tabla44[[#This Row],[VALOR TOTAL DEL CONTRATO INCLUIDO EL COMPONENTE DE ALIMENTACIÓN]]</f>
        <v>0</v>
      </c>
      <c r="BI468" t="s">
        <v>98</v>
      </c>
    </row>
    <row r="469" spans="1:61">
      <c r="A469" s="13">
        <v>2022</v>
      </c>
      <c r="B469" s="13"/>
      <c r="C469" s="12" t="s">
        <v>87</v>
      </c>
      <c r="D469" s="12" t="s">
        <v>1628</v>
      </c>
      <c r="E469" s="12" t="s">
        <v>3711</v>
      </c>
      <c r="F469" s="12" t="s">
        <v>21</v>
      </c>
      <c r="G469" s="12" t="s">
        <v>90</v>
      </c>
      <c r="H469" s="12" t="s">
        <v>3712</v>
      </c>
      <c r="I469" s="36">
        <v>58541152807</v>
      </c>
      <c r="J469" s="12" t="s">
        <v>3713</v>
      </c>
      <c r="K469" s="12">
        <v>1</v>
      </c>
      <c r="L469" s="12">
        <v>9</v>
      </c>
      <c r="M469" s="12"/>
      <c r="N469" s="13">
        <v>2022</v>
      </c>
      <c r="O469" s="12" t="s">
        <v>2850</v>
      </c>
      <c r="P469" s="12"/>
      <c r="Q469" s="12"/>
      <c r="R469" s="12" t="s">
        <v>94</v>
      </c>
      <c r="S469" s="12">
        <v>10</v>
      </c>
      <c r="T469" s="12">
        <v>890985417</v>
      </c>
      <c r="U469" s="12" t="s">
        <v>3671</v>
      </c>
      <c r="V469" s="12">
        <f>VLOOKUP(Tabla44[[#This Row],[ZONA DEFINITIVO]],[1]Hoja1!$A$1:$D$125,3,0)</f>
        <v>229946</v>
      </c>
      <c r="W469" s="12">
        <f>VLOOKUP(Tabla44[[#This Row],[ZONA DEFINITIVO]],[1]Hoja1!$A$1:$D$125,2,0)</f>
        <v>17267</v>
      </c>
      <c r="X469" s="12">
        <f>VLOOKUP(Tabla44[[#This Row],[ZONA DEFINITIVO]],[1]Hoja1!$A$1:$D$125,4,0)</f>
        <v>105325</v>
      </c>
      <c r="Y469" s="12" t="str">
        <f>+IF(Tabla44[[#This Row],[AGRUPACIONES]]=1,SUMIFS(Tabla44[UDS],Tabla44[ZONA DEFINITIVO],Tabla44[[#This Row],[ZONA DEFINITIVO]])," ")</f>
        <v xml:space="preserve"> </v>
      </c>
      <c r="Z469" s="12" t="str">
        <f>+IF(Tabla44[[#This Row],[AGRUPACIONES]]=1,SUMIFS(Tabla44[TOTAL COBERTURA],Tabla44[ZONA DEFINITIVO],Tabla44[[#This Row],[ZONA DEFINITIVO]])," ")</f>
        <v xml:space="preserve"> </v>
      </c>
      <c r="AA469" s="12"/>
      <c r="AB469" s="35">
        <v>13673745</v>
      </c>
      <c r="AC469" s="37">
        <v>0</v>
      </c>
      <c r="AD469" s="35">
        <f t="shared" si="8"/>
        <v>0</v>
      </c>
      <c r="AE469" s="12"/>
      <c r="AF469" s="12">
        <f>COUNTIF($A$20:A469,A469)</f>
        <v>25</v>
      </c>
      <c r="AG469" s="38">
        <v>13673745</v>
      </c>
      <c r="AH469" s="38">
        <f>Tabla44[[#This Row],[VALOR CONTRAPARTIDA]]+Tabla44[[#This Row],[TOTAL APORTES ICBF]]</f>
        <v>13673745</v>
      </c>
      <c r="AI469" s="35" t="str">
        <f>+IF(Tabla44[[#This Row],[AGRUPACIONES]]=1,SUMIFS(Tabla44[TOTAL APORTES ICBF],Tabla44[ZONA DEFINITIVO],Tabla44[[#This Row],[ZONA DEFINITIVO]])," ")</f>
        <v xml:space="preserve"> </v>
      </c>
      <c r="AJ469" s="38"/>
      <c r="AK469" s="38"/>
      <c r="AL469" s="35"/>
      <c r="AM469" s="35">
        <f>VLOOKUP(Tabla44[[#This Row],[SERVICIO 2025]],$J$2:$V$15,5,0)*Tabla44[[#This Row],[TOTAL COBERTURA]]</f>
        <v>420696</v>
      </c>
      <c r="AN469" s="35">
        <f>VLOOKUP(Tabla44[[#This Row],[SERVICIO 2025]],$J$2:$V$15,6,0)*Tabla44[[#This Row],[TOTAL COBERTURA]]</f>
        <v>340569</v>
      </c>
      <c r="AO469" s="35">
        <f>VLOOKUP(Tabla44[[#This Row],[SERVICIO 2025]],$J$2:$V$15,8,0)*Tabla44[[#This Row],[TOTAL COBERTURA]]</f>
        <v>0</v>
      </c>
      <c r="AP469" s="35">
        <f>VLOOKUP(Tabla44[[#This Row],[SERVICIO 2025]],$J$2:$V$15,3,0)*Tabla44[[#This Row],[TOTAL COBERTURA]]*8</f>
        <v>12912480</v>
      </c>
      <c r="AQ469" s="35"/>
      <c r="AR469" s="35">
        <f>SUM(Tabla44[[#This Row],[VALOR FASE PREPARATORIA DE ALISTAMIENTO]:[VALOR RACION PREPARADA]])</f>
        <v>13673745</v>
      </c>
      <c r="AS469" s="35" t="str">
        <f>+IF(Tabla44[[#This Row],[AGRUPACIONES]]=1,SUMIFS(Tabla44[VALOR TOTAL],Tabla44[ZONA DEFINITIVO],Tabla44[[#This Row],[ZONA DEFINITIVO]])," ")</f>
        <v xml:space="preserve"> </v>
      </c>
      <c r="AT469" s="35">
        <f>VLOOKUP(Tabla44[[#This Row],[SERVICIO 2025]],$J$2:$V$15,10,0)*Tabla44[[#This Row],[TOTAL COBERTURA]]*$X$7</f>
        <v>13559112</v>
      </c>
      <c r="AU469" s="39">
        <f>Tabla44[[#This Row],[TOTAL CONTRATO (ICBF+EAS)]]+Tabla44[[#This Row],[VALOR COMPONENTE ALIMENTACION NO ASIGNADO]]</f>
        <v>27232857</v>
      </c>
      <c r="AV46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3729645</v>
      </c>
      <c r="AW469" s="35">
        <f>(VLOOKUP(Tabla44[[#This Row],[SERVICIO 2025]],$J$2:$V$15,3,0)*Tabla44[[#This Row],[TOTAL COBERTURA]])+VLOOKUP(Tabla44[[#This Row],[SERVICIO 2025]],$J$2:$V$15,10,0)*Tabla44[[#This Row],[TOTAL COBERTURA]]</f>
        <v>3308949</v>
      </c>
      <c r="AX469" s="35">
        <f>(VLOOKUP(Tabla44[[#This Row],[SERVICIO 2025]],$J$2:$V$15,3,0)*Tabla44[[#This Row],[TOTAL COBERTURA]])+VLOOKUP(Tabla44[[#This Row],[SERVICIO 2025]],$J$2:$V$15,10,0)*Tabla44[[#This Row],[TOTAL COBERTURA]]</f>
        <v>3308949</v>
      </c>
      <c r="AY469" s="35">
        <f>(VLOOKUP(Tabla44[[#This Row],[SERVICIO 2025]],$J$2:$V$15,3,0)*Tabla44[[#This Row],[TOTAL COBERTURA]])+VLOOKUP(Tabla44[[#This Row],[SERVICIO 2025]],$J$2:$V$15,10,0)*Tabla44[[#This Row],[TOTAL COBERTURA]]</f>
        <v>3308949</v>
      </c>
      <c r="AZ469" s="35">
        <f>(VLOOKUP(Tabla44[[#This Row],[SERVICIO 2025]],$J$2:$V$15,3,0)*Tabla44[[#This Row],[TOTAL COBERTURA]])+VLOOKUP(Tabla44[[#This Row],[SERVICIO 2025]],$J$2:$V$15,10,0)*Tabla44[[#This Row],[TOTAL COBERTURA]]</f>
        <v>3308949</v>
      </c>
      <c r="BA469" s="35">
        <f>(VLOOKUP(Tabla44[[#This Row],[SERVICIO 2025]],$J$2:$V$15,3,0)*Tabla44[[#This Row],[TOTAL COBERTURA]])+VLOOKUP(Tabla44[[#This Row],[SERVICIO 2025]],$J$2:$V$15,10,0)*Tabla44[[#This Row],[TOTAL COBERTURA]]</f>
        <v>3308949</v>
      </c>
      <c r="BB469" s="35">
        <f>(VLOOKUP(Tabla44[[#This Row],[SERVICIO 2025]],$J$2:$V$15,3,0)*Tabla44[[#This Row],[TOTAL COBERTURA]])+VLOOKUP(Tabla44[[#This Row],[SERVICIO 2025]],$J$2:$V$15,10,0)*Tabla44[[#This Row],[TOTAL COBERTURA]]</f>
        <v>3308949</v>
      </c>
      <c r="BC46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3649518</v>
      </c>
      <c r="BD469" s="35">
        <f>SUM(Tabla44[[#This Row],[DESEMBOLSO 1]:[DESEMBOLSO 8]])</f>
        <v>27232857</v>
      </c>
      <c r="BE469" s="12" t="b">
        <f>EXACT(Tabla44[[#This Row],[VALOR ATENCIÓN (8 MESES)]],Tabla44[[#This Row],[VALOR TOTAL]])</f>
        <v>1</v>
      </c>
      <c r="BF469" s="23">
        <f>Tabla44[[#This Row],[VALOR ATENCIÓN (8 MESES)]]-Tabla44[[#This Row],[VALOR TOTAL]]</f>
        <v>0</v>
      </c>
      <c r="BG469" s="12" t="b">
        <f>EXACT(Tabla44[[#This Row],[TOTAL DESEMBOLSOS]],Tabla44[[#This Row],[VALOR TOTAL DEL CONTRATO INCLUIDO EL COMPONENTE DE ALIMENTACIÓN]])</f>
        <v>1</v>
      </c>
      <c r="BH469" s="29">
        <f>Tabla44[[#This Row],[TOTAL DESEMBOLSOS]]-Tabla44[[#This Row],[VALOR TOTAL DEL CONTRATO INCLUIDO EL COMPONENTE DE ALIMENTACIÓN]]</f>
        <v>0</v>
      </c>
      <c r="BI469" t="s">
        <v>98</v>
      </c>
    </row>
    <row r="470" spans="1:61">
      <c r="A470" s="13">
        <v>2022</v>
      </c>
      <c r="B470" s="13"/>
      <c r="C470" s="12" t="s">
        <v>87</v>
      </c>
      <c r="D470" s="12" t="s">
        <v>1628</v>
      </c>
      <c r="E470" s="12" t="s">
        <v>3711</v>
      </c>
      <c r="F470" s="12" t="s">
        <v>18</v>
      </c>
      <c r="G470" s="12" t="s">
        <v>90</v>
      </c>
      <c r="H470" s="12" t="s">
        <v>3714</v>
      </c>
      <c r="I470" s="36">
        <v>58871117904</v>
      </c>
      <c r="J470" s="12" t="s">
        <v>3715</v>
      </c>
      <c r="K470" s="12">
        <v>1</v>
      </c>
      <c r="L470" s="12">
        <v>14</v>
      </c>
      <c r="M470" s="12"/>
      <c r="N470" s="13">
        <v>2022</v>
      </c>
      <c r="O470" s="12" t="s">
        <v>2850</v>
      </c>
      <c r="P470" s="12"/>
      <c r="Q470" s="12"/>
      <c r="R470" s="12" t="s">
        <v>94</v>
      </c>
      <c r="S470" s="12">
        <v>10</v>
      </c>
      <c r="T470" s="12">
        <v>890985417</v>
      </c>
      <c r="U470" s="12" t="s">
        <v>3671</v>
      </c>
      <c r="V470" s="12">
        <f>VLOOKUP(Tabla44[[#This Row],[ZONA DEFINITIVO]],[1]Hoja1!$A$1:$D$125,3,0)</f>
        <v>229946</v>
      </c>
      <c r="W470" s="12">
        <f>VLOOKUP(Tabla44[[#This Row],[ZONA DEFINITIVO]],[1]Hoja1!$A$1:$D$125,2,0)</f>
        <v>17267</v>
      </c>
      <c r="X470" s="12">
        <f>VLOOKUP(Tabla44[[#This Row],[ZONA DEFINITIVO]],[1]Hoja1!$A$1:$D$125,4,0)</f>
        <v>105325</v>
      </c>
      <c r="Y470" s="12" t="str">
        <f>+IF(Tabla44[[#This Row],[AGRUPACIONES]]=1,SUMIFS(Tabla44[UDS],Tabla44[ZONA DEFINITIVO],Tabla44[[#This Row],[ZONA DEFINITIVO]])," ")</f>
        <v xml:space="preserve"> </v>
      </c>
      <c r="Z470" s="12" t="str">
        <f>+IF(Tabla44[[#This Row],[AGRUPACIONES]]=1,SUMIFS(Tabla44[TOTAL COBERTURA],Tabla44[ZONA DEFINITIVO],Tabla44[[#This Row],[ZONA DEFINITIVO]])," ")</f>
        <v xml:space="preserve"> </v>
      </c>
      <c r="AA470" s="12"/>
      <c r="AB470" s="35">
        <v>30522702</v>
      </c>
      <c r="AC470" s="37">
        <v>0</v>
      </c>
      <c r="AD470" s="35">
        <f t="shared" si="8"/>
        <v>0</v>
      </c>
      <c r="AE470" s="12"/>
      <c r="AF470" s="12">
        <f>COUNTIF($A$20:A470,A470)</f>
        <v>26</v>
      </c>
      <c r="AG470" s="38">
        <v>30522702</v>
      </c>
      <c r="AH470" s="38">
        <f>Tabla44[[#This Row],[VALOR CONTRAPARTIDA]]+Tabla44[[#This Row],[TOTAL APORTES ICBF]]</f>
        <v>30522702</v>
      </c>
      <c r="AI470" s="35" t="str">
        <f>+IF(Tabla44[[#This Row],[AGRUPACIONES]]=1,SUMIFS(Tabla44[TOTAL APORTES ICBF],Tabla44[ZONA DEFINITIVO],Tabla44[[#This Row],[ZONA DEFINITIVO]])," ")</f>
        <v xml:space="preserve"> </v>
      </c>
      <c r="AJ470" s="38"/>
      <c r="AK470" s="38"/>
      <c r="AL470" s="35"/>
      <c r="AM470" s="35">
        <f>VLOOKUP(Tabla44[[#This Row],[SERVICIO 2025]],$J$2:$V$15,5,0)*Tabla44[[#This Row],[TOTAL COBERTURA]]</f>
        <v>691264</v>
      </c>
      <c r="AN470" s="35">
        <f>VLOOKUP(Tabla44[[#This Row],[SERVICIO 2025]],$J$2:$V$15,6,0)*Tabla44[[#This Row],[TOTAL COBERTURA]]</f>
        <v>574406</v>
      </c>
      <c r="AO470" s="35">
        <f>VLOOKUP(Tabla44[[#This Row],[SERVICIO 2025]],$J$2:$V$15,8,0)*Tabla44[[#This Row],[TOTAL COBERTURA]]</f>
        <v>407400</v>
      </c>
      <c r="AP470" s="35">
        <f>VLOOKUP(Tabla44[[#This Row],[SERVICIO 2025]],$J$2:$V$15,3,0)*Tabla44[[#This Row],[TOTAL COBERTURA]]*8</f>
        <v>28849632</v>
      </c>
      <c r="AQ470" s="35"/>
      <c r="AR470" s="35">
        <f>SUM(Tabla44[[#This Row],[VALOR FASE PREPARATORIA DE ALISTAMIENTO]:[VALOR RACION PREPARADA]])</f>
        <v>30522702</v>
      </c>
      <c r="AS470" s="35" t="str">
        <f>+IF(Tabla44[[#This Row],[AGRUPACIONES]]=1,SUMIFS(Tabla44[VALOR TOTAL],Tabla44[ZONA DEFINITIVO],Tabla44[[#This Row],[ZONA DEFINITIVO]])," ")</f>
        <v xml:space="preserve"> </v>
      </c>
      <c r="AT470" s="35">
        <f>VLOOKUP(Tabla44[[#This Row],[SERVICIO 2025]],$J$2:$V$15,10,0)*Tabla44[[#This Row],[TOTAL COBERTURA]]*$X$7</f>
        <v>20202896</v>
      </c>
      <c r="AU470" s="39">
        <f>Tabla44[[#This Row],[TOTAL CONTRATO (ICBF+EAS)]]+Tabla44[[#This Row],[VALOR COMPONENTE ALIMENTACION NO ASIGNADO]]</f>
        <v>50725598</v>
      </c>
      <c r="AV47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470" s="35">
        <f>(VLOOKUP(Tabla44[[#This Row],[SERVICIO 2025]],$J$2:$V$15,3,0)*Tabla44[[#This Row],[TOTAL COBERTURA]])+VLOOKUP(Tabla44[[#This Row],[SERVICIO 2025]],$J$2:$V$15,10,0)*Tabla44[[#This Row],[TOTAL COBERTURA]]</f>
        <v>6131566</v>
      </c>
      <c r="AX470" s="35">
        <f>(VLOOKUP(Tabla44[[#This Row],[SERVICIO 2025]],$J$2:$V$15,3,0)*Tabla44[[#This Row],[TOTAL COBERTURA]])+VLOOKUP(Tabla44[[#This Row],[SERVICIO 2025]],$J$2:$V$15,10,0)*Tabla44[[#This Row],[TOTAL COBERTURA]]</f>
        <v>6131566</v>
      </c>
      <c r="AY470" s="35">
        <f>(VLOOKUP(Tabla44[[#This Row],[SERVICIO 2025]],$J$2:$V$15,3,0)*Tabla44[[#This Row],[TOTAL COBERTURA]])+VLOOKUP(Tabla44[[#This Row],[SERVICIO 2025]],$J$2:$V$15,10,0)*Tabla44[[#This Row],[TOTAL COBERTURA]]</f>
        <v>6131566</v>
      </c>
      <c r="AZ470" s="35">
        <f>(VLOOKUP(Tabla44[[#This Row],[SERVICIO 2025]],$J$2:$V$15,3,0)*Tabla44[[#This Row],[TOTAL COBERTURA]])+VLOOKUP(Tabla44[[#This Row],[SERVICIO 2025]],$J$2:$V$15,10,0)*Tabla44[[#This Row],[TOTAL COBERTURA]]</f>
        <v>6131566</v>
      </c>
      <c r="BA470" s="35">
        <f>(VLOOKUP(Tabla44[[#This Row],[SERVICIO 2025]],$J$2:$V$15,3,0)*Tabla44[[#This Row],[TOTAL COBERTURA]])+VLOOKUP(Tabla44[[#This Row],[SERVICIO 2025]],$J$2:$V$15,10,0)*Tabla44[[#This Row],[TOTAL COBERTURA]]</f>
        <v>6131566</v>
      </c>
      <c r="BB470" s="35">
        <f>(VLOOKUP(Tabla44[[#This Row],[SERVICIO 2025]],$J$2:$V$15,3,0)*Tabla44[[#This Row],[TOTAL COBERTURA]])+VLOOKUP(Tabla44[[#This Row],[SERVICIO 2025]],$J$2:$V$15,10,0)*Tabla44[[#This Row],[TOTAL COBERTURA]]</f>
        <v>6131566</v>
      </c>
      <c r="BC47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470" s="35">
        <f>SUM(Tabla44[[#This Row],[DESEMBOLSO 1]:[DESEMBOLSO 8]])</f>
        <v>50725598</v>
      </c>
      <c r="BE470" s="12" t="b">
        <f>EXACT(Tabla44[[#This Row],[VALOR ATENCIÓN (8 MESES)]],Tabla44[[#This Row],[VALOR TOTAL]])</f>
        <v>1</v>
      </c>
      <c r="BF470" s="23">
        <f>Tabla44[[#This Row],[VALOR ATENCIÓN (8 MESES)]]-Tabla44[[#This Row],[VALOR TOTAL]]</f>
        <v>0</v>
      </c>
      <c r="BG470" s="12" t="b">
        <f>EXACT(Tabla44[[#This Row],[TOTAL DESEMBOLSOS]],Tabla44[[#This Row],[VALOR TOTAL DEL CONTRATO INCLUIDO EL COMPONENTE DE ALIMENTACIÓN]])</f>
        <v>1</v>
      </c>
      <c r="BH470" s="29">
        <f>Tabla44[[#This Row],[TOTAL DESEMBOLSOS]]-Tabla44[[#This Row],[VALOR TOTAL DEL CONTRATO INCLUIDO EL COMPONENTE DE ALIMENTACIÓN]]</f>
        <v>0</v>
      </c>
      <c r="BI470" t="s">
        <v>98</v>
      </c>
    </row>
    <row r="471" spans="1:61">
      <c r="A471" s="13">
        <v>2022</v>
      </c>
      <c r="B471" s="21"/>
      <c r="C471" s="22" t="s">
        <v>87</v>
      </c>
      <c r="D471" s="22" t="s">
        <v>1628</v>
      </c>
      <c r="E471" s="22" t="s">
        <v>3711</v>
      </c>
      <c r="F471" s="22" t="s">
        <v>21</v>
      </c>
      <c r="G471" s="12" t="s">
        <v>90</v>
      </c>
      <c r="H471" s="22" t="s">
        <v>3716</v>
      </c>
      <c r="I471" s="36">
        <v>58871117905</v>
      </c>
      <c r="J471" s="22" t="s">
        <v>3717</v>
      </c>
      <c r="K471" s="12">
        <v>1</v>
      </c>
      <c r="L471" s="22">
        <v>48</v>
      </c>
      <c r="M471" s="22"/>
      <c r="N471" s="13">
        <v>2022</v>
      </c>
      <c r="O471" s="22" t="s">
        <v>2850</v>
      </c>
      <c r="P471" s="22"/>
      <c r="Q471" s="22"/>
      <c r="R471" s="12" t="s">
        <v>94</v>
      </c>
      <c r="S471" s="12">
        <v>10</v>
      </c>
      <c r="T471" s="12">
        <v>890985417</v>
      </c>
      <c r="U471" s="12" t="s">
        <v>3671</v>
      </c>
      <c r="V471" s="22">
        <f>VLOOKUP(Tabla44[[#This Row],[ZONA DEFINITIVO]],[1]Hoja1!$A$1:$D$125,3,0)</f>
        <v>229946</v>
      </c>
      <c r="W471" s="22">
        <f>VLOOKUP(Tabla44[[#This Row],[ZONA DEFINITIVO]],[1]Hoja1!$A$1:$D$125,2,0)</f>
        <v>17267</v>
      </c>
      <c r="X471" s="22">
        <f>VLOOKUP(Tabla44[[#This Row],[ZONA DEFINITIVO]],[1]Hoja1!$A$1:$D$125,4,0)</f>
        <v>105325</v>
      </c>
      <c r="Y471" s="22" t="str">
        <f>+IF(Tabla44[[#This Row],[AGRUPACIONES]]=1,SUMIFS(Tabla44[UDS],Tabla44[ZONA DEFINITIVO],Tabla44[[#This Row],[ZONA DEFINITIVO]])," ")</f>
        <v xml:space="preserve"> </v>
      </c>
      <c r="Z471" s="22" t="str">
        <f>+IF(Tabla44[[#This Row],[AGRUPACIONES]]=1,SUMIFS(Tabla44[TOTAL COBERTURA],Tabla44[ZONA DEFINITIVO],Tabla44[[#This Row],[ZONA DEFINITIVO]])," ")</f>
        <v xml:space="preserve"> </v>
      </c>
      <c r="AA471" s="22"/>
      <c r="AB471" s="40">
        <v>72926640</v>
      </c>
      <c r="AC471" s="37">
        <v>0</v>
      </c>
      <c r="AD471" s="40">
        <f t="shared" si="8"/>
        <v>0</v>
      </c>
      <c r="AE471" s="22"/>
      <c r="AF471" s="12">
        <f>COUNTIF($A$20:A471,A471)</f>
        <v>27</v>
      </c>
      <c r="AG471" s="41">
        <v>72926640</v>
      </c>
      <c r="AH471" s="41">
        <f>Tabla44[[#This Row],[VALOR CONTRAPARTIDA]]+Tabla44[[#This Row],[TOTAL APORTES ICBF]]</f>
        <v>72926640</v>
      </c>
      <c r="AI471" s="40" t="str">
        <f>+IF(Tabla44[[#This Row],[AGRUPACIONES]]=1,SUMIFS(Tabla44[TOTAL APORTES ICBF],Tabla44[ZONA DEFINITIVO],Tabla44[[#This Row],[ZONA DEFINITIVO]])," ")</f>
        <v xml:space="preserve"> </v>
      </c>
      <c r="AJ471" s="41"/>
      <c r="AK471" s="41"/>
      <c r="AL471" s="40"/>
      <c r="AM471" s="40">
        <f>VLOOKUP(Tabla44[[#This Row],[SERVICIO 2025]],$J$2:$V$15,5,0)*Tabla44[[#This Row],[TOTAL COBERTURA]]</f>
        <v>2243712</v>
      </c>
      <c r="AN471" s="40">
        <f>VLOOKUP(Tabla44[[#This Row],[SERVICIO 2025]],$J$2:$V$15,6,0)*Tabla44[[#This Row],[TOTAL COBERTURA]]</f>
        <v>1816368</v>
      </c>
      <c r="AO471" s="40">
        <f>VLOOKUP(Tabla44[[#This Row],[SERVICIO 2025]],$J$2:$V$15,8,0)*Tabla44[[#This Row],[TOTAL COBERTURA]]</f>
        <v>0</v>
      </c>
      <c r="AP471" s="40">
        <f>VLOOKUP(Tabla44[[#This Row],[SERVICIO 2025]],$J$2:$V$15,3,0)*Tabla44[[#This Row],[TOTAL COBERTURA]]*8</f>
        <v>68866560</v>
      </c>
      <c r="AQ471" s="40"/>
      <c r="AR471" s="40">
        <f>SUM(Tabla44[[#This Row],[VALOR FASE PREPARATORIA DE ALISTAMIENTO]:[VALOR RACION PREPARADA]])</f>
        <v>72926640</v>
      </c>
      <c r="AS471" s="40" t="str">
        <f>+IF(Tabla44[[#This Row],[AGRUPACIONES]]=1,SUMIFS(Tabla44[VALOR TOTAL],Tabla44[ZONA DEFINITIVO],Tabla44[[#This Row],[ZONA DEFINITIVO]])," ")</f>
        <v xml:space="preserve"> </v>
      </c>
      <c r="AT471" s="35">
        <f>VLOOKUP(Tabla44[[#This Row],[SERVICIO 2025]],$J$2:$V$15,10,0)*Tabla44[[#This Row],[TOTAL COBERTURA]]*$X$7</f>
        <v>72315264</v>
      </c>
      <c r="AU471" s="42">
        <f>Tabla44[[#This Row],[TOTAL CONTRATO (ICBF+EAS)]]+Tabla44[[#This Row],[VALOR COMPONENTE ALIMENTACION NO ASIGNADO]]</f>
        <v>145241904</v>
      </c>
      <c r="AV47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19891440</v>
      </c>
      <c r="AW471" s="35">
        <f>(VLOOKUP(Tabla44[[#This Row],[SERVICIO 2025]],$J$2:$V$15,3,0)*Tabla44[[#This Row],[TOTAL COBERTURA]])+VLOOKUP(Tabla44[[#This Row],[SERVICIO 2025]],$J$2:$V$15,10,0)*Tabla44[[#This Row],[TOTAL COBERTURA]]</f>
        <v>17647728</v>
      </c>
      <c r="AX471" s="40">
        <f>(VLOOKUP(Tabla44[[#This Row],[SERVICIO 2025]],$J$2:$V$15,3,0)*Tabla44[[#This Row],[TOTAL COBERTURA]])+VLOOKUP(Tabla44[[#This Row],[SERVICIO 2025]],$J$2:$V$15,10,0)*Tabla44[[#This Row],[TOTAL COBERTURA]]</f>
        <v>17647728</v>
      </c>
      <c r="AY471" s="40">
        <f>(VLOOKUP(Tabla44[[#This Row],[SERVICIO 2025]],$J$2:$V$15,3,0)*Tabla44[[#This Row],[TOTAL COBERTURA]])+VLOOKUP(Tabla44[[#This Row],[SERVICIO 2025]],$J$2:$V$15,10,0)*Tabla44[[#This Row],[TOTAL COBERTURA]]</f>
        <v>17647728</v>
      </c>
      <c r="AZ471" s="40">
        <f>(VLOOKUP(Tabla44[[#This Row],[SERVICIO 2025]],$J$2:$V$15,3,0)*Tabla44[[#This Row],[TOTAL COBERTURA]])+VLOOKUP(Tabla44[[#This Row],[SERVICIO 2025]],$J$2:$V$15,10,0)*Tabla44[[#This Row],[TOTAL COBERTURA]]</f>
        <v>17647728</v>
      </c>
      <c r="BA471" s="40">
        <f>(VLOOKUP(Tabla44[[#This Row],[SERVICIO 2025]],$J$2:$V$15,3,0)*Tabla44[[#This Row],[TOTAL COBERTURA]])+VLOOKUP(Tabla44[[#This Row],[SERVICIO 2025]],$J$2:$V$15,10,0)*Tabla44[[#This Row],[TOTAL COBERTURA]]</f>
        <v>17647728</v>
      </c>
      <c r="BB471" s="40">
        <f>(VLOOKUP(Tabla44[[#This Row],[SERVICIO 2025]],$J$2:$V$15,3,0)*Tabla44[[#This Row],[TOTAL COBERTURA]])+VLOOKUP(Tabla44[[#This Row],[SERVICIO 2025]],$J$2:$V$15,10,0)*Tabla44[[#This Row],[TOTAL COBERTURA]]</f>
        <v>17647728</v>
      </c>
      <c r="BC471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19464096</v>
      </c>
      <c r="BD471" s="40">
        <f>SUM(Tabla44[[#This Row],[DESEMBOLSO 1]:[DESEMBOLSO 8]])</f>
        <v>145241904</v>
      </c>
      <c r="BE471" s="22" t="b">
        <f>EXACT(Tabla44[[#This Row],[VALOR ATENCIÓN (8 MESES)]],Tabla44[[#This Row],[VALOR TOTAL]])</f>
        <v>1</v>
      </c>
      <c r="BF471" s="28">
        <f>Tabla44[[#This Row],[VALOR ATENCIÓN (8 MESES)]]-Tabla44[[#This Row],[VALOR TOTAL]]</f>
        <v>0</v>
      </c>
      <c r="BG471" s="22" t="b">
        <f>EXACT(Tabla44[[#This Row],[TOTAL DESEMBOLSOS]],Tabla44[[#This Row],[VALOR TOTAL DEL CONTRATO INCLUIDO EL COMPONENTE DE ALIMENTACIÓN]])</f>
        <v>1</v>
      </c>
      <c r="BH471" s="29">
        <f>Tabla44[[#This Row],[TOTAL DESEMBOLSOS]]-Tabla44[[#This Row],[VALOR TOTAL DEL CONTRATO INCLUIDO EL COMPONENTE DE ALIMENTACIÓN]]</f>
        <v>0</v>
      </c>
      <c r="BI471" t="s">
        <v>98</v>
      </c>
    </row>
    <row r="472" spans="1:61">
      <c r="A472" s="13">
        <v>2022</v>
      </c>
      <c r="B472" s="13"/>
      <c r="C472" s="12" t="s">
        <v>87</v>
      </c>
      <c r="D472" s="12" t="s">
        <v>1628</v>
      </c>
      <c r="E472" s="12" t="s">
        <v>3711</v>
      </c>
      <c r="F472" s="12" t="s">
        <v>21</v>
      </c>
      <c r="G472" s="12" t="s">
        <v>90</v>
      </c>
      <c r="H472" s="12" t="s">
        <v>3718</v>
      </c>
      <c r="I472" s="36">
        <v>58871117913</v>
      </c>
      <c r="J472" s="12" t="s">
        <v>3719</v>
      </c>
      <c r="K472" s="12">
        <v>1</v>
      </c>
      <c r="L472" s="12">
        <v>37</v>
      </c>
      <c r="M472" s="12"/>
      <c r="N472" s="13">
        <v>2022</v>
      </c>
      <c r="O472" s="12" t="s">
        <v>2850</v>
      </c>
      <c r="P472" s="12"/>
      <c r="Q472" s="12"/>
      <c r="R472" s="12" t="s">
        <v>94</v>
      </c>
      <c r="S472" s="12">
        <v>10</v>
      </c>
      <c r="T472" s="12">
        <v>890985417</v>
      </c>
      <c r="U472" s="12" t="s">
        <v>3671</v>
      </c>
      <c r="V472" s="12">
        <f>VLOOKUP(Tabla44[[#This Row],[ZONA DEFINITIVO]],[1]Hoja1!$A$1:$D$125,3,0)</f>
        <v>229946</v>
      </c>
      <c r="W472" s="12">
        <f>VLOOKUP(Tabla44[[#This Row],[ZONA DEFINITIVO]],[1]Hoja1!$A$1:$D$125,2,0)</f>
        <v>17267</v>
      </c>
      <c r="X472" s="12">
        <f>VLOOKUP(Tabla44[[#This Row],[ZONA DEFINITIVO]],[1]Hoja1!$A$1:$D$125,4,0)</f>
        <v>105325</v>
      </c>
      <c r="Y472" s="12" t="str">
        <f>+IF(Tabla44[[#This Row],[AGRUPACIONES]]=1,SUMIFS(Tabla44[UDS],Tabla44[ZONA DEFINITIVO],Tabla44[[#This Row],[ZONA DEFINITIVO]])," ")</f>
        <v xml:space="preserve"> </v>
      </c>
      <c r="Z472" s="12" t="str">
        <f>+IF(Tabla44[[#This Row],[AGRUPACIONES]]=1,SUMIFS(Tabla44[TOTAL COBERTURA],Tabla44[ZONA DEFINITIVO],Tabla44[[#This Row],[ZONA DEFINITIVO]])," ")</f>
        <v xml:space="preserve"> </v>
      </c>
      <c r="AA472" s="12"/>
      <c r="AB472" s="35">
        <v>56214285</v>
      </c>
      <c r="AC472" s="37">
        <v>0</v>
      </c>
      <c r="AD472" s="35">
        <f t="shared" si="8"/>
        <v>0</v>
      </c>
      <c r="AE472" s="12"/>
      <c r="AF472" s="12">
        <f>COUNTIF($A$20:A472,A472)</f>
        <v>28</v>
      </c>
      <c r="AG472" s="38">
        <v>56214285</v>
      </c>
      <c r="AH472" s="38">
        <f>Tabla44[[#This Row],[VALOR CONTRAPARTIDA]]+Tabla44[[#This Row],[TOTAL APORTES ICBF]]</f>
        <v>56214285</v>
      </c>
      <c r="AI472" s="35" t="str">
        <f>+IF(Tabla44[[#This Row],[AGRUPACIONES]]=1,SUMIFS(Tabla44[TOTAL APORTES ICBF],Tabla44[ZONA DEFINITIVO],Tabla44[[#This Row],[ZONA DEFINITIVO]])," ")</f>
        <v xml:space="preserve"> </v>
      </c>
      <c r="AJ472" s="38"/>
      <c r="AK472" s="38"/>
      <c r="AL472" s="35"/>
      <c r="AM472" s="35">
        <f>VLOOKUP(Tabla44[[#This Row],[SERVICIO 2025]],$J$2:$V$15,5,0)*Tabla44[[#This Row],[TOTAL COBERTURA]]</f>
        <v>1729528</v>
      </c>
      <c r="AN472" s="35">
        <f>VLOOKUP(Tabla44[[#This Row],[SERVICIO 2025]],$J$2:$V$15,6,0)*Tabla44[[#This Row],[TOTAL COBERTURA]]</f>
        <v>1400117</v>
      </c>
      <c r="AO472" s="35">
        <f>VLOOKUP(Tabla44[[#This Row],[SERVICIO 2025]],$J$2:$V$15,8,0)*Tabla44[[#This Row],[TOTAL COBERTURA]]</f>
        <v>0</v>
      </c>
      <c r="AP472" s="35">
        <f>VLOOKUP(Tabla44[[#This Row],[SERVICIO 2025]],$J$2:$V$15,3,0)*Tabla44[[#This Row],[TOTAL COBERTURA]]*8</f>
        <v>53084640</v>
      </c>
      <c r="AQ472" s="35"/>
      <c r="AR472" s="35">
        <f>SUM(Tabla44[[#This Row],[VALOR FASE PREPARATORIA DE ALISTAMIENTO]:[VALOR RACION PREPARADA]])</f>
        <v>56214285</v>
      </c>
      <c r="AS472" s="35" t="str">
        <f>+IF(Tabla44[[#This Row],[AGRUPACIONES]]=1,SUMIFS(Tabla44[VALOR TOTAL],Tabla44[ZONA DEFINITIVO],Tabla44[[#This Row],[ZONA DEFINITIVO]])," ")</f>
        <v xml:space="preserve"> </v>
      </c>
      <c r="AT472" s="35">
        <f>VLOOKUP(Tabla44[[#This Row],[SERVICIO 2025]],$J$2:$V$15,10,0)*Tabla44[[#This Row],[TOTAL COBERTURA]]*$X$7</f>
        <v>55743016</v>
      </c>
      <c r="AU472" s="39">
        <f>Tabla44[[#This Row],[TOTAL CONTRATO (ICBF+EAS)]]+Tabla44[[#This Row],[VALOR COMPONENTE ALIMENTACION NO ASIGNADO]]</f>
        <v>111957301</v>
      </c>
      <c r="AV47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15332985</v>
      </c>
      <c r="AW472" s="35">
        <f>(VLOOKUP(Tabla44[[#This Row],[SERVICIO 2025]],$J$2:$V$15,3,0)*Tabla44[[#This Row],[TOTAL COBERTURA]])+VLOOKUP(Tabla44[[#This Row],[SERVICIO 2025]],$J$2:$V$15,10,0)*Tabla44[[#This Row],[TOTAL COBERTURA]]</f>
        <v>13603457</v>
      </c>
      <c r="AX472" s="35">
        <f>(VLOOKUP(Tabla44[[#This Row],[SERVICIO 2025]],$J$2:$V$15,3,0)*Tabla44[[#This Row],[TOTAL COBERTURA]])+VLOOKUP(Tabla44[[#This Row],[SERVICIO 2025]],$J$2:$V$15,10,0)*Tabla44[[#This Row],[TOTAL COBERTURA]]</f>
        <v>13603457</v>
      </c>
      <c r="AY472" s="35">
        <f>(VLOOKUP(Tabla44[[#This Row],[SERVICIO 2025]],$J$2:$V$15,3,0)*Tabla44[[#This Row],[TOTAL COBERTURA]])+VLOOKUP(Tabla44[[#This Row],[SERVICIO 2025]],$J$2:$V$15,10,0)*Tabla44[[#This Row],[TOTAL COBERTURA]]</f>
        <v>13603457</v>
      </c>
      <c r="AZ472" s="35">
        <f>(VLOOKUP(Tabla44[[#This Row],[SERVICIO 2025]],$J$2:$V$15,3,0)*Tabla44[[#This Row],[TOTAL COBERTURA]])+VLOOKUP(Tabla44[[#This Row],[SERVICIO 2025]],$J$2:$V$15,10,0)*Tabla44[[#This Row],[TOTAL COBERTURA]]</f>
        <v>13603457</v>
      </c>
      <c r="BA472" s="35">
        <f>(VLOOKUP(Tabla44[[#This Row],[SERVICIO 2025]],$J$2:$V$15,3,0)*Tabla44[[#This Row],[TOTAL COBERTURA]])+VLOOKUP(Tabla44[[#This Row],[SERVICIO 2025]],$J$2:$V$15,10,0)*Tabla44[[#This Row],[TOTAL COBERTURA]]</f>
        <v>13603457</v>
      </c>
      <c r="BB472" s="35">
        <f>(VLOOKUP(Tabla44[[#This Row],[SERVICIO 2025]],$J$2:$V$15,3,0)*Tabla44[[#This Row],[TOTAL COBERTURA]])+VLOOKUP(Tabla44[[#This Row],[SERVICIO 2025]],$J$2:$V$15,10,0)*Tabla44[[#This Row],[TOTAL COBERTURA]]</f>
        <v>13603457</v>
      </c>
      <c r="BC47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15003574</v>
      </c>
      <c r="BD472" s="35">
        <f>SUM(Tabla44[[#This Row],[DESEMBOLSO 1]:[DESEMBOLSO 8]])</f>
        <v>111957301</v>
      </c>
      <c r="BE472" s="12" t="b">
        <f>EXACT(Tabla44[[#This Row],[VALOR ATENCIÓN (8 MESES)]],Tabla44[[#This Row],[VALOR TOTAL]])</f>
        <v>1</v>
      </c>
      <c r="BF472" s="23">
        <f>Tabla44[[#This Row],[VALOR ATENCIÓN (8 MESES)]]-Tabla44[[#This Row],[VALOR TOTAL]]</f>
        <v>0</v>
      </c>
      <c r="BG472" s="12" t="b">
        <f>EXACT(Tabla44[[#This Row],[TOTAL DESEMBOLSOS]],Tabla44[[#This Row],[VALOR TOTAL DEL CONTRATO INCLUIDO EL COMPONENTE DE ALIMENTACIÓN]])</f>
        <v>1</v>
      </c>
      <c r="BH472" s="29">
        <f>Tabla44[[#This Row],[TOTAL DESEMBOLSOS]]-Tabla44[[#This Row],[VALOR TOTAL DEL CONTRATO INCLUIDO EL COMPONENTE DE ALIMENTACIÓN]]</f>
        <v>0</v>
      </c>
      <c r="BI472" t="s">
        <v>98</v>
      </c>
    </row>
    <row r="473" spans="1:61">
      <c r="A473" s="13">
        <v>2022</v>
      </c>
      <c r="B473" s="13"/>
      <c r="C473" s="12" t="s">
        <v>87</v>
      </c>
      <c r="D473" s="12" t="s">
        <v>1628</v>
      </c>
      <c r="E473" s="12" t="s">
        <v>3711</v>
      </c>
      <c r="F473" s="12" t="s">
        <v>21</v>
      </c>
      <c r="G473" s="12" t="s">
        <v>90</v>
      </c>
      <c r="H473" s="12" t="s">
        <v>3720</v>
      </c>
      <c r="I473" s="36">
        <v>58871135150</v>
      </c>
      <c r="J473" s="12" t="s">
        <v>3721</v>
      </c>
      <c r="K473" s="12">
        <v>1</v>
      </c>
      <c r="L473" s="12">
        <v>10</v>
      </c>
      <c r="M473" s="12"/>
      <c r="N473" s="13">
        <v>2022</v>
      </c>
      <c r="O473" s="12" t="s">
        <v>2850</v>
      </c>
      <c r="P473" s="12"/>
      <c r="Q473" s="12"/>
      <c r="R473" s="12" t="s">
        <v>94</v>
      </c>
      <c r="S473" s="12">
        <v>10</v>
      </c>
      <c r="T473" s="12">
        <v>890985417</v>
      </c>
      <c r="U473" s="12" t="s">
        <v>3671</v>
      </c>
      <c r="V473" s="12">
        <f>VLOOKUP(Tabla44[[#This Row],[ZONA DEFINITIVO]],[1]Hoja1!$A$1:$D$125,3,0)</f>
        <v>229946</v>
      </c>
      <c r="W473" s="12">
        <f>VLOOKUP(Tabla44[[#This Row],[ZONA DEFINITIVO]],[1]Hoja1!$A$1:$D$125,2,0)</f>
        <v>17267</v>
      </c>
      <c r="X473" s="12">
        <f>VLOOKUP(Tabla44[[#This Row],[ZONA DEFINITIVO]],[1]Hoja1!$A$1:$D$125,4,0)</f>
        <v>105325</v>
      </c>
      <c r="Y473" s="12" t="str">
        <f>+IF(Tabla44[[#This Row],[AGRUPACIONES]]=1,SUMIFS(Tabla44[UDS],Tabla44[ZONA DEFINITIVO],Tabla44[[#This Row],[ZONA DEFINITIVO]])," ")</f>
        <v xml:space="preserve"> </v>
      </c>
      <c r="Z473" s="12" t="str">
        <f>+IF(Tabla44[[#This Row],[AGRUPACIONES]]=1,SUMIFS(Tabla44[TOTAL COBERTURA],Tabla44[ZONA DEFINITIVO],Tabla44[[#This Row],[ZONA DEFINITIVO]])," ")</f>
        <v xml:space="preserve"> </v>
      </c>
      <c r="AA473" s="12"/>
      <c r="AB473" s="35">
        <v>15193050</v>
      </c>
      <c r="AC473" s="37">
        <v>0</v>
      </c>
      <c r="AD473" s="35">
        <f t="shared" si="8"/>
        <v>0</v>
      </c>
      <c r="AE473" s="12"/>
      <c r="AF473" s="12">
        <f>COUNTIF($A$20:A473,A473)</f>
        <v>29</v>
      </c>
      <c r="AG473" s="38">
        <v>15193050</v>
      </c>
      <c r="AH473" s="38">
        <f>Tabla44[[#This Row],[VALOR CONTRAPARTIDA]]+Tabla44[[#This Row],[TOTAL APORTES ICBF]]</f>
        <v>15193050</v>
      </c>
      <c r="AI473" s="35" t="str">
        <f>+IF(Tabla44[[#This Row],[AGRUPACIONES]]=1,SUMIFS(Tabla44[TOTAL APORTES ICBF],Tabla44[ZONA DEFINITIVO],Tabla44[[#This Row],[ZONA DEFINITIVO]])," ")</f>
        <v xml:space="preserve"> </v>
      </c>
      <c r="AJ473" s="38"/>
      <c r="AK473" s="38"/>
      <c r="AL473" s="35"/>
      <c r="AM473" s="35">
        <f>VLOOKUP(Tabla44[[#This Row],[SERVICIO 2025]],$J$2:$V$15,5,0)*Tabla44[[#This Row],[TOTAL COBERTURA]]</f>
        <v>467440</v>
      </c>
      <c r="AN473" s="35">
        <f>VLOOKUP(Tabla44[[#This Row],[SERVICIO 2025]],$J$2:$V$15,6,0)*Tabla44[[#This Row],[TOTAL COBERTURA]]</f>
        <v>378410</v>
      </c>
      <c r="AO473" s="35">
        <f>VLOOKUP(Tabla44[[#This Row],[SERVICIO 2025]],$J$2:$V$15,8,0)*Tabla44[[#This Row],[TOTAL COBERTURA]]</f>
        <v>0</v>
      </c>
      <c r="AP473" s="35">
        <f>VLOOKUP(Tabla44[[#This Row],[SERVICIO 2025]],$J$2:$V$15,3,0)*Tabla44[[#This Row],[TOTAL COBERTURA]]*8</f>
        <v>14347200</v>
      </c>
      <c r="AQ473" s="35"/>
      <c r="AR473" s="35">
        <f>SUM(Tabla44[[#This Row],[VALOR FASE PREPARATORIA DE ALISTAMIENTO]:[VALOR RACION PREPARADA]])</f>
        <v>15193050</v>
      </c>
      <c r="AS473" s="35" t="str">
        <f>+IF(Tabla44[[#This Row],[AGRUPACIONES]]=1,SUMIFS(Tabla44[VALOR TOTAL],Tabla44[ZONA DEFINITIVO],Tabla44[[#This Row],[ZONA DEFINITIVO]])," ")</f>
        <v xml:space="preserve"> </v>
      </c>
      <c r="AT473" s="35">
        <f>VLOOKUP(Tabla44[[#This Row],[SERVICIO 2025]],$J$2:$V$15,10,0)*Tabla44[[#This Row],[TOTAL COBERTURA]]*$X$7</f>
        <v>15065680</v>
      </c>
      <c r="AU473" s="39">
        <f>Tabla44[[#This Row],[TOTAL CONTRATO (ICBF+EAS)]]+Tabla44[[#This Row],[VALOR COMPONENTE ALIMENTACION NO ASIGNADO]]</f>
        <v>30258730</v>
      </c>
      <c r="AV47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4144050</v>
      </c>
      <c r="AW473" s="35">
        <f>(VLOOKUP(Tabla44[[#This Row],[SERVICIO 2025]],$J$2:$V$15,3,0)*Tabla44[[#This Row],[TOTAL COBERTURA]])+VLOOKUP(Tabla44[[#This Row],[SERVICIO 2025]],$J$2:$V$15,10,0)*Tabla44[[#This Row],[TOTAL COBERTURA]]</f>
        <v>3676610</v>
      </c>
      <c r="AX473" s="35">
        <f>(VLOOKUP(Tabla44[[#This Row],[SERVICIO 2025]],$J$2:$V$15,3,0)*Tabla44[[#This Row],[TOTAL COBERTURA]])+VLOOKUP(Tabla44[[#This Row],[SERVICIO 2025]],$J$2:$V$15,10,0)*Tabla44[[#This Row],[TOTAL COBERTURA]]</f>
        <v>3676610</v>
      </c>
      <c r="AY473" s="35">
        <f>(VLOOKUP(Tabla44[[#This Row],[SERVICIO 2025]],$J$2:$V$15,3,0)*Tabla44[[#This Row],[TOTAL COBERTURA]])+VLOOKUP(Tabla44[[#This Row],[SERVICIO 2025]],$J$2:$V$15,10,0)*Tabla44[[#This Row],[TOTAL COBERTURA]]</f>
        <v>3676610</v>
      </c>
      <c r="AZ473" s="35">
        <f>(VLOOKUP(Tabla44[[#This Row],[SERVICIO 2025]],$J$2:$V$15,3,0)*Tabla44[[#This Row],[TOTAL COBERTURA]])+VLOOKUP(Tabla44[[#This Row],[SERVICIO 2025]],$J$2:$V$15,10,0)*Tabla44[[#This Row],[TOTAL COBERTURA]]</f>
        <v>3676610</v>
      </c>
      <c r="BA473" s="35">
        <f>(VLOOKUP(Tabla44[[#This Row],[SERVICIO 2025]],$J$2:$V$15,3,0)*Tabla44[[#This Row],[TOTAL COBERTURA]])+VLOOKUP(Tabla44[[#This Row],[SERVICIO 2025]],$J$2:$V$15,10,0)*Tabla44[[#This Row],[TOTAL COBERTURA]]</f>
        <v>3676610</v>
      </c>
      <c r="BB473" s="35">
        <f>(VLOOKUP(Tabla44[[#This Row],[SERVICIO 2025]],$J$2:$V$15,3,0)*Tabla44[[#This Row],[TOTAL COBERTURA]])+VLOOKUP(Tabla44[[#This Row],[SERVICIO 2025]],$J$2:$V$15,10,0)*Tabla44[[#This Row],[TOTAL COBERTURA]]</f>
        <v>3676610</v>
      </c>
      <c r="BC47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4055020</v>
      </c>
      <c r="BD473" s="35">
        <f>SUM(Tabla44[[#This Row],[DESEMBOLSO 1]:[DESEMBOLSO 8]])</f>
        <v>30258730</v>
      </c>
      <c r="BE473" s="12" t="b">
        <f>EXACT(Tabla44[[#This Row],[VALOR ATENCIÓN (8 MESES)]],Tabla44[[#This Row],[VALOR TOTAL]])</f>
        <v>1</v>
      </c>
      <c r="BF473" s="23">
        <f>Tabla44[[#This Row],[VALOR ATENCIÓN (8 MESES)]]-Tabla44[[#This Row],[VALOR TOTAL]]</f>
        <v>0</v>
      </c>
      <c r="BG473" s="12" t="b">
        <f>EXACT(Tabla44[[#This Row],[TOTAL DESEMBOLSOS]],Tabla44[[#This Row],[VALOR TOTAL DEL CONTRATO INCLUIDO EL COMPONENTE DE ALIMENTACIÓN]])</f>
        <v>1</v>
      </c>
      <c r="BH473" s="29">
        <f>Tabla44[[#This Row],[TOTAL DESEMBOLSOS]]-Tabla44[[#This Row],[VALOR TOTAL DEL CONTRATO INCLUIDO EL COMPONENTE DE ALIMENTACIÓN]]</f>
        <v>0</v>
      </c>
      <c r="BI473" t="s">
        <v>98</v>
      </c>
    </row>
    <row r="474" spans="1:61">
      <c r="A474" s="13">
        <v>2022</v>
      </c>
      <c r="B474" s="13"/>
      <c r="C474" s="12" t="s">
        <v>87</v>
      </c>
      <c r="D474" s="12" t="s">
        <v>1628</v>
      </c>
      <c r="E474" s="12" t="s">
        <v>3711</v>
      </c>
      <c r="F474" s="12" t="s">
        <v>21</v>
      </c>
      <c r="G474" s="12" t="s">
        <v>90</v>
      </c>
      <c r="H474" s="12" t="s">
        <v>3722</v>
      </c>
      <c r="I474" s="36">
        <v>58871135201</v>
      </c>
      <c r="J474" s="12" t="s">
        <v>3723</v>
      </c>
      <c r="K474" s="12">
        <v>1</v>
      </c>
      <c r="L474" s="12">
        <v>56</v>
      </c>
      <c r="M474" s="12"/>
      <c r="N474" s="13">
        <v>2022</v>
      </c>
      <c r="O474" s="12" t="s">
        <v>2850</v>
      </c>
      <c r="P474" s="12"/>
      <c r="Q474" s="12"/>
      <c r="R474" s="12" t="s">
        <v>94</v>
      </c>
      <c r="S474" s="12">
        <v>10</v>
      </c>
      <c r="T474" s="12">
        <v>890985417</v>
      </c>
      <c r="U474" s="12" t="s">
        <v>3671</v>
      </c>
      <c r="V474" s="12">
        <f>VLOOKUP(Tabla44[[#This Row],[ZONA DEFINITIVO]],[1]Hoja1!$A$1:$D$125,3,0)</f>
        <v>229946</v>
      </c>
      <c r="W474" s="12">
        <f>VLOOKUP(Tabla44[[#This Row],[ZONA DEFINITIVO]],[1]Hoja1!$A$1:$D$125,2,0)</f>
        <v>17267</v>
      </c>
      <c r="X474" s="12">
        <f>VLOOKUP(Tabla44[[#This Row],[ZONA DEFINITIVO]],[1]Hoja1!$A$1:$D$125,4,0)</f>
        <v>105325</v>
      </c>
      <c r="Y474" s="12" t="str">
        <f>+IF(Tabla44[[#This Row],[AGRUPACIONES]]=1,SUMIFS(Tabla44[UDS],Tabla44[ZONA DEFINITIVO],Tabla44[[#This Row],[ZONA DEFINITIVO]])," ")</f>
        <v xml:space="preserve"> </v>
      </c>
      <c r="Z474" s="12" t="str">
        <f>+IF(Tabla44[[#This Row],[AGRUPACIONES]]=1,SUMIFS(Tabla44[TOTAL COBERTURA],Tabla44[ZONA DEFINITIVO],Tabla44[[#This Row],[ZONA DEFINITIVO]])," ")</f>
        <v xml:space="preserve"> </v>
      </c>
      <c r="AA474" s="12"/>
      <c r="AB474" s="35">
        <v>85081080</v>
      </c>
      <c r="AC474" s="37">
        <v>0</v>
      </c>
      <c r="AD474" s="35">
        <f t="shared" si="8"/>
        <v>0</v>
      </c>
      <c r="AE474" s="12"/>
      <c r="AF474" s="12">
        <f>COUNTIF($A$20:A474,A474)</f>
        <v>30</v>
      </c>
      <c r="AG474" s="38">
        <v>85081080</v>
      </c>
      <c r="AH474" s="38">
        <f>Tabla44[[#This Row],[VALOR CONTRAPARTIDA]]+Tabla44[[#This Row],[TOTAL APORTES ICBF]]</f>
        <v>85081080</v>
      </c>
      <c r="AI474" s="35" t="str">
        <f>+IF(Tabla44[[#This Row],[AGRUPACIONES]]=1,SUMIFS(Tabla44[TOTAL APORTES ICBF],Tabla44[ZONA DEFINITIVO],Tabla44[[#This Row],[ZONA DEFINITIVO]])," ")</f>
        <v xml:space="preserve"> </v>
      </c>
      <c r="AJ474" s="38"/>
      <c r="AK474" s="38"/>
      <c r="AL474" s="35"/>
      <c r="AM474" s="35">
        <f>VLOOKUP(Tabla44[[#This Row],[SERVICIO 2025]],$J$2:$V$15,5,0)*Tabla44[[#This Row],[TOTAL COBERTURA]]</f>
        <v>2617664</v>
      </c>
      <c r="AN474" s="35">
        <f>VLOOKUP(Tabla44[[#This Row],[SERVICIO 2025]],$J$2:$V$15,6,0)*Tabla44[[#This Row],[TOTAL COBERTURA]]</f>
        <v>2119096</v>
      </c>
      <c r="AO474" s="35">
        <f>VLOOKUP(Tabla44[[#This Row],[SERVICIO 2025]],$J$2:$V$15,8,0)*Tabla44[[#This Row],[TOTAL COBERTURA]]</f>
        <v>0</v>
      </c>
      <c r="AP474" s="35">
        <f>VLOOKUP(Tabla44[[#This Row],[SERVICIO 2025]],$J$2:$V$15,3,0)*Tabla44[[#This Row],[TOTAL COBERTURA]]*8</f>
        <v>80344320</v>
      </c>
      <c r="AQ474" s="35"/>
      <c r="AR474" s="35">
        <f>SUM(Tabla44[[#This Row],[VALOR FASE PREPARATORIA DE ALISTAMIENTO]:[VALOR RACION PREPARADA]])</f>
        <v>85081080</v>
      </c>
      <c r="AS474" s="35" t="str">
        <f>+IF(Tabla44[[#This Row],[AGRUPACIONES]]=1,SUMIFS(Tabla44[VALOR TOTAL],Tabla44[ZONA DEFINITIVO],Tabla44[[#This Row],[ZONA DEFINITIVO]])," ")</f>
        <v xml:space="preserve"> </v>
      </c>
      <c r="AT474" s="35">
        <f>VLOOKUP(Tabla44[[#This Row],[SERVICIO 2025]],$J$2:$V$15,10,0)*Tabla44[[#This Row],[TOTAL COBERTURA]]*$X$7</f>
        <v>84367808</v>
      </c>
      <c r="AU474" s="39">
        <f>Tabla44[[#This Row],[TOTAL CONTRATO (ICBF+EAS)]]+Tabla44[[#This Row],[VALOR COMPONENTE ALIMENTACION NO ASIGNADO]]</f>
        <v>169448888</v>
      </c>
      <c r="AV47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23206680</v>
      </c>
      <c r="AW474" s="35">
        <f>(VLOOKUP(Tabla44[[#This Row],[SERVICIO 2025]],$J$2:$V$15,3,0)*Tabla44[[#This Row],[TOTAL COBERTURA]])+VLOOKUP(Tabla44[[#This Row],[SERVICIO 2025]],$J$2:$V$15,10,0)*Tabla44[[#This Row],[TOTAL COBERTURA]]</f>
        <v>20589016</v>
      </c>
      <c r="AX474" s="35">
        <f>(VLOOKUP(Tabla44[[#This Row],[SERVICIO 2025]],$J$2:$V$15,3,0)*Tabla44[[#This Row],[TOTAL COBERTURA]])+VLOOKUP(Tabla44[[#This Row],[SERVICIO 2025]],$J$2:$V$15,10,0)*Tabla44[[#This Row],[TOTAL COBERTURA]]</f>
        <v>20589016</v>
      </c>
      <c r="AY474" s="35">
        <f>(VLOOKUP(Tabla44[[#This Row],[SERVICIO 2025]],$J$2:$V$15,3,0)*Tabla44[[#This Row],[TOTAL COBERTURA]])+VLOOKUP(Tabla44[[#This Row],[SERVICIO 2025]],$J$2:$V$15,10,0)*Tabla44[[#This Row],[TOTAL COBERTURA]]</f>
        <v>20589016</v>
      </c>
      <c r="AZ474" s="35">
        <f>(VLOOKUP(Tabla44[[#This Row],[SERVICIO 2025]],$J$2:$V$15,3,0)*Tabla44[[#This Row],[TOTAL COBERTURA]])+VLOOKUP(Tabla44[[#This Row],[SERVICIO 2025]],$J$2:$V$15,10,0)*Tabla44[[#This Row],[TOTAL COBERTURA]]</f>
        <v>20589016</v>
      </c>
      <c r="BA474" s="35">
        <f>(VLOOKUP(Tabla44[[#This Row],[SERVICIO 2025]],$J$2:$V$15,3,0)*Tabla44[[#This Row],[TOTAL COBERTURA]])+VLOOKUP(Tabla44[[#This Row],[SERVICIO 2025]],$J$2:$V$15,10,0)*Tabla44[[#This Row],[TOTAL COBERTURA]]</f>
        <v>20589016</v>
      </c>
      <c r="BB474" s="35">
        <f>(VLOOKUP(Tabla44[[#This Row],[SERVICIO 2025]],$J$2:$V$15,3,0)*Tabla44[[#This Row],[TOTAL COBERTURA]])+VLOOKUP(Tabla44[[#This Row],[SERVICIO 2025]],$J$2:$V$15,10,0)*Tabla44[[#This Row],[TOTAL COBERTURA]]</f>
        <v>20589016</v>
      </c>
      <c r="BC47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22708112</v>
      </c>
      <c r="BD474" s="35">
        <f>SUM(Tabla44[[#This Row],[DESEMBOLSO 1]:[DESEMBOLSO 8]])</f>
        <v>169448888</v>
      </c>
      <c r="BE474" s="12" t="b">
        <f>EXACT(Tabla44[[#This Row],[VALOR ATENCIÓN (8 MESES)]],Tabla44[[#This Row],[VALOR TOTAL]])</f>
        <v>1</v>
      </c>
      <c r="BF474" s="23">
        <f>Tabla44[[#This Row],[VALOR ATENCIÓN (8 MESES)]]-Tabla44[[#This Row],[VALOR TOTAL]]</f>
        <v>0</v>
      </c>
      <c r="BG474" s="12" t="b">
        <f>EXACT(Tabla44[[#This Row],[TOTAL DESEMBOLSOS]],Tabla44[[#This Row],[VALOR TOTAL DEL CONTRATO INCLUIDO EL COMPONENTE DE ALIMENTACIÓN]])</f>
        <v>1</v>
      </c>
      <c r="BH474" s="29">
        <f>Tabla44[[#This Row],[TOTAL DESEMBOLSOS]]-Tabla44[[#This Row],[VALOR TOTAL DEL CONTRATO INCLUIDO EL COMPONENTE DE ALIMENTACIÓN]]</f>
        <v>0</v>
      </c>
      <c r="BI474" t="s">
        <v>98</v>
      </c>
    </row>
    <row r="475" spans="1:61">
      <c r="A475" s="13">
        <v>2022</v>
      </c>
      <c r="B475" s="13"/>
      <c r="C475" s="12" t="s">
        <v>87</v>
      </c>
      <c r="D475" s="12" t="s">
        <v>1628</v>
      </c>
      <c r="E475" s="12" t="s">
        <v>3711</v>
      </c>
      <c r="F475" s="12" t="s">
        <v>21</v>
      </c>
      <c r="G475" s="12" t="s">
        <v>90</v>
      </c>
      <c r="H475" s="12" t="s">
        <v>3724</v>
      </c>
      <c r="I475" s="36">
        <v>58871135401</v>
      </c>
      <c r="J475" s="12" t="s">
        <v>3725</v>
      </c>
      <c r="K475" s="12">
        <v>1</v>
      </c>
      <c r="L475" s="12">
        <v>5</v>
      </c>
      <c r="M475" s="12"/>
      <c r="N475" s="13">
        <v>2022</v>
      </c>
      <c r="O475" s="12" t="s">
        <v>2850</v>
      </c>
      <c r="P475" s="12"/>
      <c r="Q475" s="12"/>
      <c r="R475" s="12" t="s">
        <v>94</v>
      </c>
      <c r="S475" s="12">
        <v>10</v>
      </c>
      <c r="T475" s="12">
        <v>890985417</v>
      </c>
      <c r="U475" s="12" t="s">
        <v>3671</v>
      </c>
      <c r="V475" s="12">
        <f>VLOOKUP(Tabla44[[#This Row],[ZONA DEFINITIVO]],[1]Hoja1!$A$1:$D$125,3,0)</f>
        <v>229946</v>
      </c>
      <c r="W475" s="12">
        <f>VLOOKUP(Tabla44[[#This Row],[ZONA DEFINITIVO]],[1]Hoja1!$A$1:$D$125,2,0)</f>
        <v>17267</v>
      </c>
      <c r="X475" s="12">
        <f>VLOOKUP(Tabla44[[#This Row],[ZONA DEFINITIVO]],[1]Hoja1!$A$1:$D$125,4,0)</f>
        <v>105325</v>
      </c>
      <c r="Y475" s="12" t="str">
        <f>+IF(Tabla44[[#This Row],[AGRUPACIONES]]=1,SUMIFS(Tabla44[UDS],Tabla44[ZONA DEFINITIVO],Tabla44[[#This Row],[ZONA DEFINITIVO]])," ")</f>
        <v xml:space="preserve"> </v>
      </c>
      <c r="Z475" s="12" t="str">
        <f>+IF(Tabla44[[#This Row],[AGRUPACIONES]]=1,SUMIFS(Tabla44[TOTAL COBERTURA],Tabla44[ZONA DEFINITIVO],Tabla44[[#This Row],[ZONA DEFINITIVO]])," ")</f>
        <v xml:space="preserve"> </v>
      </c>
      <c r="AA475" s="12"/>
      <c r="AB475" s="35">
        <v>7596525</v>
      </c>
      <c r="AC475" s="37">
        <v>0</v>
      </c>
      <c r="AD475" s="35">
        <f t="shared" si="8"/>
        <v>0</v>
      </c>
      <c r="AE475" s="12"/>
      <c r="AF475" s="12">
        <f>COUNTIF($A$20:A475,A475)</f>
        <v>31</v>
      </c>
      <c r="AG475" s="38">
        <v>7596525</v>
      </c>
      <c r="AH475" s="38">
        <f>Tabla44[[#This Row],[VALOR CONTRAPARTIDA]]+Tabla44[[#This Row],[TOTAL APORTES ICBF]]</f>
        <v>7596525</v>
      </c>
      <c r="AI475" s="35" t="str">
        <f>+IF(Tabla44[[#This Row],[AGRUPACIONES]]=1,SUMIFS(Tabla44[TOTAL APORTES ICBF],Tabla44[ZONA DEFINITIVO],Tabla44[[#This Row],[ZONA DEFINITIVO]])," ")</f>
        <v xml:space="preserve"> </v>
      </c>
      <c r="AJ475" s="38"/>
      <c r="AK475" s="38"/>
      <c r="AL475" s="35"/>
      <c r="AM475" s="35">
        <f>VLOOKUP(Tabla44[[#This Row],[SERVICIO 2025]],$J$2:$V$15,5,0)*Tabla44[[#This Row],[TOTAL COBERTURA]]</f>
        <v>233720</v>
      </c>
      <c r="AN475" s="35">
        <f>VLOOKUP(Tabla44[[#This Row],[SERVICIO 2025]],$J$2:$V$15,6,0)*Tabla44[[#This Row],[TOTAL COBERTURA]]</f>
        <v>189205</v>
      </c>
      <c r="AO475" s="35">
        <f>VLOOKUP(Tabla44[[#This Row],[SERVICIO 2025]],$J$2:$V$15,8,0)*Tabla44[[#This Row],[TOTAL COBERTURA]]</f>
        <v>0</v>
      </c>
      <c r="AP475" s="35">
        <f>VLOOKUP(Tabla44[[#This Row],[SERVICIO 2025]],$J$2:$V$15,3,0)*Tabla44[[#This Row],[TOTAL COBERTURA]]*8</f>
        <v>7173600</v>
      </c>
      <c r="AQ475" s="35"/>
      <c r="AR475" s="35">
        <f>SUM(Tabla44[[#This Row],[VALOR FASE PREPARATORIA DE ALISTAMIENTO]:[VALOR RACION PREPARADA]])</f>
        <v>7596525</v>
      </c>
      <c r="AS475" s="35" t="str">
        <f>+IF(Tabla44[[#This Row],[AGRUPACIONES]]=1,SUMIFS(Tabla44[VALOR TOTAL],Tabla44[ZONA DEFINITIVO],Tabla44[[#This Row],[ZONA DEFINITIVO]])," ")</f>
        <v xml:space="preserve"> </v>
      </c>
      <c r="AT475" s="35">
        <f>VLOOKUP(Tabla44[[#This Row],[SERVICIO 2025]],$J$2:$V$15,10,0)*Tabla44[[#This Row],[TOTAL COBERTURA]]*$X$7</f>
        <v>7532840</v>
      </c>
      <c r="AU475" s="39">
        <f>Tabla44[[#This Row],[TOTAL CONTRATO (ICBF+EAS)]]+Tabla44[[#This Row],[VALOR COMPONENTE ALIMENTACION NO ASIGNADO]]</f>
        <v>15129365</v>
      </c>
      <c r="AV47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</v>
      </c>
      <c r="AW475" s="35">
        <f>(VLOOKUP(Tabla44[[#This Row],[SERVICIO 2025]],$J$2:$V$15,3,0)*Tabla44[[#This Row],[TOTAL COBERTURA]])+VLOOKUP(Tabla44[[#This Row],[SERVICIO 2025]],$J$2:$V$15,10,0)*Tabla44[[#This Row],[TOTAL COBERTURA]]</f>
        <v>1838305</v>
      </c>
      <c r="AX475" s="35">
        <f>(VLOOKUP(Tabla44[[#This Row],[SERVICIO 2025]],$J$2:$V$15,3,0)*Tabla44[[#This Row],[TOTAL COBERTURA]])+VLOOKUP(Tabla44[[#This Row],[SERVICIO 2025]],$J$2:$V$15,10,0)*Tabla44[[#This Row],[TOTAL COBERTURA]]</f>
        <v>1838305</v>
      </c>
      <c r="AY475" s="35">
        <f>(VLOOKUP(Tabla44[[#This Row],[SERVICIO 2025]],$J$2:$V$15,3,0)*Tabla44[[#This Row],[TOTAL COBERTURA]])+VLOOKUP(Tabla44[[#This Row],[SERVICIO 2025]],$J$2:$V$15,10,0)*Tabla44[[#This Row],[TOTAL COBERTURA]]</f>
        <v>1838305</v>
      </c>
      <c r="AZ475" s="35">
        <f>(VLOOKUP(Tabla44[[#This Row],[SERVICIO 2025]],$J$2:$V$15,3,0)*Tabla44[[#This Row],[TOTAL COBERTURA]])+VLOOKUP(Tabla44[[#This Row],[SERVICIO 2025]],$J$2:$V$15,10,0)*Tabla44[[#This Row],[TOTAL COBERTURA]]</f>
        <v>1838305</v>
      </c>
      <c r="BA475" s="35">
        <f>(VLOOKUP(Tabla44[[#This Row],[SERVICIO 2025]],$J$2:$V$15,3,0)*Tabla44[[#This Row],[TOTAL COBERTURA]])+VLOOKUP(Tabla44[[#This Row],[SERVICIO 2025]],$J$2:$V$15,10,0)*Tabla44[[#This Row],[TOTAL COBERTURA]]</f>
        <v>1838305</v>
      </c>
      <c r="BB475" s="35">
        <f>(VLOOKUP(Tabla44[[#This Row],[SERVICIO 2025]],$J$2:$V$15,3,0)*Tabla44[[#This Row],[TOTAL COBERTURA]])+VLOOKUP(Tabla44[[#This Row],[SERVICIO 2025]],$J$2:$V$15,10,0)*Tabla44[[#This Row],[TOTAL COBERTURA]]</f>
        <v>1838305</v>
      </c>
      <c r="BC47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</v>
      </c>
      <c r="BD475" s="35">
        <f>SUM(Tabla44[[#This Row],[DESEMBOLSO 1]:[DESEMBOLSO 8]])</f>
        <v>15129365</v>
      </c>
      <c r="BE475" s="12" t="b">
        <f>EXACT(Tabla44[[#This Row],[VALOR ATENCIÓN (8 MESES)]],Tabla44[[#This Row],[VALOR TOTAL]])</f>
        <v>1</v>
      </c>
      <c r="BF475" s="23">
        <f>Tabla44[[#This Row],[VALOR ATENCIÓN (8 MESES)]]-Tabla44[[#This Row],[VALOR TOTAL]]</f>
        <v>0</v>
      </c>
      <c r="BG475" s="12" t="b">
        <f>EXACT(Tabla44[[#This Row],[TOTAL DESEMBOLSOS]],Tabla44[[#This Row],[VALOR TOTAL DEL CONTRATO INCLUIDO EL COMPONENTE DE ALIMENTACIÓN]])</f>
        <v>1</v>
      </c>
      <c r="BH475" s="29">
        <f>Tabla44[[#This Row],[TOTAL DESEMBOLSOS]]-Tabla44[[#This Row],[VALOR TOTAL DEL CONTRATO INCLUIDO EL COMPONENTE DE ALIMENTACIÓN]]</f>
        <v>0</v>
      </c>
      <c r="BI475" t="s">
        <v>98</v>
      </c>
    </row>
    <row r="476" spans="1:61">
      <c r="A476" s="13">
        <v>2022</v>
      </c>
      <c r="B476" s="13"/>
      <c r="C476" s="12" t="s">
        <v>87</v>
      </c>
      <c r="D476" s="12" t="s">
        <v>1628</v>
      </c>
      <c r="E476" s="12" t="s">
        <v>3711</v>
      </c>
      <c r="F476" s="12" t="s">
        <v>21</v>
      </c>
      <c r="G476" s="12" t="s">
        <v>90</v>
      </c>
      <c r="H476" s="12" t="s">
        <v>3726</v>
      </c>
      <c r="I476" s="36">
        <v>58871135406</v>
      </c>
      <c r="J476" s="12" t="s">
        <v>3727</v>
      </c>
      <c r="K476" s="12">
        <v>1</v>
      </c>
      <c r="L476" s="12">
        <v>11</v>
      </c>
      <c r="M476" s="12"/>
      <c r="N476" s="13">
        <v>2022</v>
      </c>
      <c r="O476" s="12" t="s">
        <v>2850</v>
      </c>
      <c r="P476" s="12"/>
      <c r="Q476" s="12"/>
      <c r="R476" s="12" t="s">
        <v>94</v>
      </c>
      <c r="S476" s="12">
        <v>10</v>
      </c>
      <c r="T476" s="12">
        <v>890985417</v>
      </c>
      <c r="U476" s="12" t="s">
        <v>3671</v>
      </c>
      <c r="V476" s="12">
        <f>VLOOKUP(Tabla44[[#This Row],[ZONA DEFINITIVO]],[1]Hoja1!$A$1:$D$125,3,0)</f>
        <v>229946</v>
      </c>
      <c r="W476" s="12">
        <f>VLOOKUP(Tabla44[[#This Row],[ZONA DEFINITIVO]],[1]Hoja1!$A$1:$D$125,2,0)</f>
        <v>17267</v>
      </c>
      <c r="X476" s="12">
        <f>VLOOKUP(Tabla44[[#This Row],[ZONA DEFINITIVO]],[1]Hoja1!$A$1:$D$125,4,0)</f>
        <v>105325</v>
      </c>
      <c r="Y476" s="12" t="str">
        <f>+IF(Tabla44[[#This Row],[AGRUPACIONES]]=1,SUMIFS(Tabla44[UDS],Tabla44[ZONA DEFINITIVO],Tabla44[[#This Row],[ZONA DEFINITIVO]])," ")</f>
        <v xml:space="preserve"> </v>
      </c>
      <c r="Z476" s="12" t="str">
        <f>+IF(Tabla44[[#This Row],[AGRUPACIONES]]=1,SUMIFS(Tabla44[TOTAL COBERTURA],Tabla44[ZONA DEFINITIVO],Tabla44[[#This Row],[ZONA DEFINITIVO]])," ")</f>
        <v xml:space="preserve"> </v>
      </c>
      <c r="AA476" s="12"/>
      <c r="AB476" s="35">
        <v>16712355</v>
      </c>
      <c r="AC476" s="37">
        <v>0</v>
      </c>
      <c r="AD476" s="35">
        <f t="shared" si="8"/>
        <v>0</v>
      </c>
      <c r="AE476" s="12"/>
      <c r="AF476" s="12">
        <f>COUNTIF($A$20:A476,A476)</f>
        <v>32</v>
      </c>
      <c r="AG476" s="38">
        <v>16712355</v>
      </c>
      <c r="AH476" s="38">
        <f>Tabla44[[#This Row],[VALOR CONTRAPARTIDA]]+Tabla44[[#This Row],[TOTAL APORTES ICBF]]</f>
        <v>16712355</v>
      </c>
      <c r="AI476" s="35" t="str">
        <f>+IF(Tabla44[[#This Row],[AGRUPACIONES]]=1,SUMIFS(Tabla44[TOTAL APORTES ICBF],Tabla44[ZONA DEFINITIVO],Tabla44[[#This Row],[ZONA DEFINITIVO]])," ")</f>
        <v xml:space="preserve"> </v>
      </c>
      <c r="AJ476" s="38"/>
      <c r="AK476" s="38"/>
      <c r="AL476" s="35"/>
      <c r="AM476" s="35">
        <f>VLOOKUP(Tabla44[[#This Row],[SERVICIO 2025]],$J$2:$V$15,5,0)*Tabla44[[#This Row],[TOTAL COBERTURA]]</f>
        <v>514184</v>
      </c>
      <c r="AN476" s="35">
        <f>VLOOKUP(Tabla44[[#This Row],[SERVICIO 2025]],$J$2:$V$15,6,0)*Tabla44[[#This Row],[TOTAL COBERTURA]]</f>
        <v>416251</v>
      </c>
      <c r="AO476" s="35">
        <f>VLOOKUP(Tabla44[[#This Row],[SERVICIO 2025]],$J$2:$V$15,8,0)*Tabla44[[#This Row],[TOTAL COBERTURA]]</f>
        <v>0</v>
      </c>
      <c r="AP476" s="35">
        <f>VLOOKUP(Tabla44[[#This Row],[SERVICIO 2025]],$J$2:$V$15,3,0)*Tabla44[[#This Row],[TOTAL COBERTURA]]*8</f>
        <v>15781920</v>
      </c>
      <c r="AQ476" s="35"/>
      <c r="AR476" s="35">
        <f>SUM(Tabla44[[#This Row],[VALOR FASE PREPARATORIA DE ALISTAMIENTO]:[VALOR RACION PREPARADA]])</f>
        <v>16712355</v>
      </c>
      <c r="AS476" s="35" t="str">
        <f>+IF(Tabla44[[#This Row],[AGRUPACIONES]]=1,SUMIFS(Tabla44[VALOR TOTAL],Tabla44[ZONA DEFINITIVO],Tabla44[[#This Row],[ZONA DEFINITIVO]])," ")</f>
        <v xml:space="preserve"> </v>
      </c>
      <c r="AT476" s="35">
        <f>VLOOKUP(Tabla44[[#This Row],[SERVICIO 2025]],$J$2:$V$15,10,0)*Tabla44[[#This Row],[TOTAL COBERTURA]]*$X$7</f>
        <v>16572248</v>
      </c>
      <c r="AU476" s="39">
        <f>Tabla44[[#This Row],[TOTAL CONTRATO (ICBF+EAS)]]+Tabla44[[#This Row],[VALOR COMPONENTE ALIMENTACION NO ASIGNADO]]</f>
        <v>33284603</v>
      </c>
      <c r="AV47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476" s="35">
        <f>(VLOOKUP(Tabla44[[#This Row],[SERVICIO 2025]],$J$2:$V$15,3,0)*Tabla44[[#This Row],[TOTAL COBERTURA]])+VLOOKUP(Tabla44[[#This Row],[SERVICIO 2025]],$J$2:$V$15,10,0)*Tabla44[[#This Row],[TOTAL COBERTURA]]</f>
        <v>4044271</v>
      </c>
      <c r="AX476" s="35">
        <f>(VLOOKUP(Tabla44[[#This Row],[SERVICIO 2025]],$J$2:$V$15,3,0)*Tabla44[[#This Row],[TOTAL COBERTURA]])+VLOOKUP(Tabla44[[#This Row],[SERVICIO 2025]],$J$2:$V$15,10,0)*Tabla44[[#This Row],[TOTAL COBERTURA]]</f>
        <v>4044271</v>
      </c>
      <c r="AY476" s="35">
        <f>(VLOOKUP(Tabla44[[#This Row],[SERVICIO 2025]],$J$2:$V$15,3,0)*Tabla44[[#This Row],[TOTAL COBERTURA]])+VLOOKUP(Tabla44[[#This Row],[SERVICIO 2025]],$J$2:$V$15,10,0)*Tabla44[[#This Row],[TOTAL COBERTURA]]</f>
        <v>4044271</v>
      </c>
      <c r="AZ476" s="35">
        <f>(VLOOKUP(Tabla44[[#This Row],[SERVICIO 2025]],$J$2:$V$15,3,0)*Tabla44[[#This Row],[TOTAL COBERTURA]])+VLOOKUP(Tabla44[[#This Row],[SERVICIO 2025]],$J$2:$V$15,10,0)*Tabla44[[#This Row],[TOTAL COBERTURA]]</f>
        <v>4044271</v>
      </c>
      <c r="BA476" s="35">
        <f>(VLOOKUP(Tabla44[[#This Row],[SERVICIO 2025]],$J$2:$V$15,3,0)*Tabla44[[#This Row],[TOTAL COBERTURA]])+VLOOKUP(Tabla44[[#This Row],[SERVICIO 2025]],$J$2:$V$15,10,0)*Tabla44[[#This Row],[TOTAL COBERTURA]]</f>
        <v>4044271</v>
      </c>
      <c r="BB476" s="35">
        <f>(VLOOKUP(Tabla44[[#This Row],[SERVICIO 2025]],$J$2:$V$15,3,0)*Tabla44[[#This Row],[TOTAL COBERTURA]])+VLOOKUP(Tabla44[[#This Row],[SERVICIO 2025]],$J$2:$V$15,10,0)*Tabla44[[#This Row],[TOTAL COBERTURA]]</f>
        <v>4044271</v>
      </c>
      <c r="BC47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476" s="35">
        <f>SUM(Tabla44[[#This Row],[DESEMBOLSO 1]:[DESEMBOLSO 8]])</f>
        <v>33284603</v>
      </c>
      <c r="BE476" s="12" t="b">
        <f>EXACT(Tabla44[[#This Row],[VALOR ATENCIÓN (8 MESES)]],Tabla44[[#This Row],[VALOR TOTAL]])</f>
        <v>1</v>
      </c>
      <c r="BF476" s="23">
        <f>Tabla44[[#This Row],[VALOR ATENCIÓN (8 MESES)]]-Tabla44[[#This Row],[VALOR TOTAL]]</f>
        <v>0</v>
      </c>
      <c r="BG476" s="12" t="b">
        <f>EXACT(Tabla44[[#This Row],[TOTAL DESEMBOLSOS]],Tabla44[[#This Row],[VALOR TOTAL DEL CONTRATO INCLUIDO EL COMPONENTE DE ALIMENTACIÓN]])</f>
        <v>1</v>
      </c>
      <c r="BH476" s="29">
        <f>Tabla44[[#This Row],[TOTAL DESEMBOLSOS]]-Tabla44[[#This Row],[VALOR TOTAL DEL CONTRATO INCLUIDO EL COMPONENTE DE ALIMENTACIÓN]]</f>
        <v>0</v>
      </c>
      <c r="BI476" t="s">
        <v>98</v>
      </c>
    </row>
    <row r="477" spans="1:61">
      <c r="A477" s="13">
        <v>2022</v>
      </c>
      <c r="B477" s="13"/>
      <c r="C477" s="12" t="s">
        <v>87</v>
      </c>
      <c r="D477" s="12" t="s">
        <v>1628</v>
      </c>
      <c r="E477" s="12" t="s">
        <v>3711</v>
      </c>
      <c r="F477" s="12" t="s">
        <v>18</v>
      </c>
      <c r="G477" s="12" t="s">
        <v>90</v>
      </c>
      <c r="H477" s="12" t="s">
        <v>3728</v>
      </c>
      <c r="I477" s="36">
        <v>58871137416</v>
      </c>
      <c r="J477" s="12" t="s">
        <v>3729</v>
      </c>
      <c r="K477" s="12">
        <v>1</v>
      </c>
      <c r="L477" s="12">
        <v>15</v>
      </c>
      <c r="M477" s="12"/>
      <c r="N477" s="13">
        <v>2022</v>
      </c>
      <c r="O477" s="12" t="s">
        <v>2850</v>
      </c>
      <c r="P477" s="12"/>
      <c r="Q477" s="12"/>
      <c r="R477" s="12" t="s">
        <v>94</v>
      </c>
      <c r="S477" s="12">
        <v>10</v>
      </c>
      <c r="T477" s="12">
        <v>890985417</v>
      </c>
      <c r="U477" s="12" t="s">
        <v>3671</v>
      </c>
      <c r="V477" s="12">
        <f>VLOOKUP(Tabla44[[#This Row],[ZONA DEFINITIVO]],[1]Hoja1!$A$1:$D$125,3,0)</f>
        <v>229946</v>
      </c>
      <c r="W477" s="12">
        <f>VLOOKUP(Tabla44[[#This Row],[ZONA DEFINITIVO]],[1]Hoja1!$A$1:$D$125,2,0)</f>
        <v>17267</v>
      </c>
      <c r="X477" s="12">
        <f>VLOOKUP(Tabla44[[#This Row],[ZONA DEFINITIVO]],[1]Hoja1!$A$1:$D$125,4,0)</f>
        <v>105325</v>
      </c>
      <c r="Y477" s="12" t="str">
        <f>+IF(Tabla44[[#This Row],[AGRUPACIONES]]=1,SUMIFS(Tabla44[UDS],Tabla44[ZONA DEFINITIVO],Tabla44[[#This Row],[ZONA DEFINITIVO]])," ")</f>
        <v xml:space="preserve"> </v>
      </c>
      <c r="Z477" s="12" t="str">
        <f>+IF(Tabla44[[#This Row],[AGRUPACIONES]]=1,SUMIFS(Tabla44[TOTAL COBERTURA],Tabla44[ZONA DEFINITIVO],Tabla44[[#This Row],[ZONA DEFINITIVO]])," ")</f>
        <v xml:space="preserve"> </v>
      </c>
      <c r="AA477" s="12"/>
      <c r="AB477" s="35">
        <v>32702895</v>
      </c>
      <c r="AC477" s="37">
        <v>0</v>
      </c>
      <c r="AD477" s="35">
        <f t="shared" si="8"/>
        <v>0</v>
      </c>
      <c r="AE477" s="12"/>
      <c r="AF477" s="12">
        <f>COUNTIF($A$20:A477,A477)</f>
        <v>33</v>
      </c>
      <c r="AG477" s="38">
        <v>32702895</v>
      </c>
      <c r="AH477" s="38">
        <f>Tabla44[[#This Row],[VALOR CONTRAPARTIDA]]+Tabla44[[#This Row],[TOTAL APORTES ICBF]]</f>
        <v>32702895</v>
      </c>
      <c r="AI477" s="35" t="str">
        <f>+IF(Tabla44[[#This Row],[AGRUPACIONES]]=1,SUMIFS(Tabla44[TOTAL APORTES ICBF],Tabla44[ZONA DEFINITIVO],Tabla44[[#This Row],[ZONA DEFINITIVO]])," ")</f>
        <v xml:space="preserve"> </v>
      </c>
      <c r="AJ477" s="38"/>
      <c r="AK477" s="38"/>
      <c r="AL477" s="35"/>
      <c r="AM477" s="35">
        <f>VLOOKUP(Tabla44[[#This Row],[SERVICIO 2025]],$J$2:$V$15,5,0)*Tabla44[[#This Row],[TOTAL COBERTURA]]</f>
        <v>740640</v>
      </c>
      <c r="AN477" s="35">
        <f>VLOOKUP(Tabla44[[#This Row],[SERVICIO 2025]],$J$2:$V$15,6,0)*Tabla44[[#This Row],[TOTAL COBERTURA]]</f>
        <v>615435</v>
      </c>
      <c r="AO477" s="35">
        <f>VLOOKUP(Tabla44[[#This Row],[SERVICIO 2025]],$J$2:$V$15,8,0)*Tabla44[[#This Row],[TOTAL COBERTURA]]</f>
        <v>436500</v>
      </c>
      <c r="AP477" s="35">
        <f>VLOOKUP(Tabla44[[#This Row],[SERVICIO 2025]],$J$2:$V$15,3,0)*Tabla44[[#This Row],[TOTAL COBERTURA]]*8</f>
        <v>30910320</v>
      </c>
      <c r="AQ477" s="35"/>
      <c r="AR477" s="35">
        <f>SUM(Tabla44[[#This Row],[VALOR FASE PREPARATORIA DE ALISTAMIENTO]:[VALOR RACION PREPARADA]])</f>
        <v>32702895</v>
      </c>
      <c r="AS477" s="35" t="str">
        <f>+IF(Tabla44[[#This Row],[AGRUPACIONES]]=1,SUMIFS(Tabla44[VALOR TOTAL],Tabla44[ZONA DEFINITIVO],Tabla44[[#This Row],[ZONA DEFINITIVO]])," ")</f>
        <v xml:space="preserve"> </v>
      </c>
      <c r="AT477" s="35">
        <f>VLOOKUP(Tabla44[[#This Row],[SERVICIO 2025]],$J$2:$V$15,10,0)*Tabla44[[#This Row],[TOTAL COBERTURA]]*$X$7</f>
        <v>21645960</v>
      </c>
      <c r="AU477" s="39">
        <f>Tabla44[[#This Row],[TOTAL CONTRATO (ICBF+EAS)]]+Tabla44[[#This Row],[VALOR COMPONENTE ALIMENTACION NO ASIGNADO]]</f>
        <v>54348855</v>
      </c>
      <c r="AV47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7746675</v>
      </c>
      <c r="AW477" s="35">
        <f>(VLOOKUP(Tabla44[[#This Row],[SERVICIO 2025]],$J$2:$V$15,3,0)*Tabla44[[#This Row],[TOTAL COBERTURA]])+VLOOKUP(Tabla44[[#This Row],[SERVICIO 2025]],$J$2:$V$15,10,0)*Tabla44[[#This Row],[TOTAL COBERTURA]]</f>
        <v>6569535</v>
      </c>
      <c r="AX477" s="35">
        <f>(VLOOKUP(Tabla44[[#This Row],[SERVICIO 2025]],$J$2:$V$15,3,0)*Tabla44[[#This Row],[TOTAL COBERTURA]])+VLOOKUP(Tabla44[[#This Row],[SERVICIO 2025]],$J$2:$V$15,10,0)*Tabla44[[#This Row],[TOTAL COBERTURA]]</f>
        <v>6569535</v>
      </c>
      <c r="AY477" s="35">
        <f>(VLOOKUP(Tabla44[[#This Row],[SERVICIO 2025]],$J$2:$V$15,3,0)*Tabla44[[#This Row],[TOTAL COBERTURA]])+VLOOKUP(Tabla44[[#This Row],[SERVICIO 2025]],$J$2:$V$15,10,0)*Tabla44[[#This Row],[TOTAL COBERTURA]]</f>
        <v>6569535</v>
      </c>
      <c r="AZ477" s="35">
        <f>(VLOOKUP(Tabla44[[#This Row],[SERVICIO 2025]],$J$2:$V$15,3,0)*Tabla44[[#This Row],[TOTAL COBERTURA]])+VLOOKUP(Tabla44[[#This Row],[SERVICIO 2025]],$J$2:$V$15,10,0)*Tabla44[[#This Row],[TOTAL COBERTURA]]</f>
        <v>6569535</v>
      </c>
      <c r="BA477" s="35">
        <f>(VLOOKUP(Tabla44[[#This Row],[SERVICIO 2025]],$J$2:$V$15,3,0)*Tabla44[[#This Row],[TOTAL COBERTURA]])+VLOOKUP(Tabla44[[#This Row],[SERVICIO 2025]],$J$2:$V$15,10,0)*Tabla44[[#This Row],[TOTAL COBERTURA]]</f>
        <v>6569535</v>
      </c>
      <c r="BB477" s="35">
        <f>(VLOOKUP(Tabla44[[#This Row],[SERVICIO 2025]],$J$2:$V$15,3,0)*Tabla44[[#This Row],[TOTAL COBERTURA]])+VLOOKUP(Tabla44[[#This Row],[SERVICIO 2025]],$J$2:$V$15,10,0)*Tabla44[[#This Row],[TOTAL COBERTURA]]</f>
        <v>6569535</v>
      </c>
      <c r="BC47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7184970</v>
      </c>
      <c r="BD477" s="35">
        <f>SUM(Tabla44[[#This Row],[DESEMBOLSO 1]:[DESEMBOLSO 8]])</f>
        <v>54348855</v>
      </c>
      <c r="BE477" s="12" t="b">
        <f>EXACT(Tabla44[[#This Row],[VALOR ATENCIÓN (8 MESES)]],Tabla44[[#This Row],[VALOR TOTAL]])</f>
        <v>1</v>
      </c>
      <c r="BF477" s="23">
        <f>Tabla44[[#This Row],[VALOR ATENCIÓN (8 MESES)]]-Tabla44[[#This Row],[VALOR TOTAL]]</f>
        <v>0</v>
      </c>
      <c r="BG477" s="12" t="b">
        <f>EXACT(Tabla44[[#This Row],[TOTAL DESEMBOLSOS]],Tabla44[[#This Row],[VALOR TOTAL DEL CONTRATO INCLUIDO EL COMPONENTE DE ALIMENTACIÓN]])</f>
        <v>1</v>
      </c>
      <c r="BH477" s="29">
        <f>Tabla44[[#This Row],[TOTAL DESEMBOLSOS]]-Tabla44[[#This Row],[VALOR TOTAL DEL CONTRATO INCLUIDO EL COMPONENTE DE ALIMENTACIÓN]]</f>
        <v>0</v>
      </c>
      <c r="BI477" t="s">
        <v>98</v>
      </c>
    </row>
    <row r="478" spans="1:61">
      <c r="A478" s="13">
        <v>2022</v>
      </c>
      <c r="B478" s="13"/>
      <c r="C478" s="12" t="s">
        <v>87</v>
      </c>
      <c r="D478" s="12" t="s">
        <v>1628</v>
      </c>
      <c r="E478" s="12" t="s">
        <v>3711</v>
      </c>
      <c r="F478" s="12" t="s">
        <v>14</v>
      </c>
      <c r="G478" s="12" t="s">
        <v>90</v>
      </c>
      <c r="H478" s="12" t="s">
        <v>3730</v>
      </c>
      <c r="I478" s="36">
        <v>58871148018</v>
      </c>
      <c r="J478" s="12" t="s">
        <v>3731</v>
      </c>
      <c r="K478" s="12">
        <v>1</v>
      </c>
      <c r="L478" s="12">
        <v>40</v>
      </c>
      <c r="M478" s="12"/>
      <c r="N478" s="13">
        <v>2022</v>
      </c>
      <c r="O478" s="12" t="s">
        <v>2850</v>
      </c>
      <c r="P478" s="12"/>
      <c r="Q478" s="12"/>
      <c r="R478" s="12" t="s">
        <v>94</v>
      </c>
      <c r="S478" s="12">
        <v>10</v>
      </c>
      <c r="T478" s="12">
        <v>890985417</v>
      </c>
      <c r="U478" s="12" t="s">
        <v>3671</v>
      </c>
      <c r="V478" s="12">
        <f>VLOOKUP(Tabla44[[#This Row],[ZONA DEFINITIVO]],[1]Hoja1!$A$1:$D$125,3,0)</f>
        <v>229946</v>
      </c>
      <c r="W478" s="12">
        <f>VLOOKUP(Tabla44[[#This Row],[ZONA DEFINITIVO]],[1]Hoja1!$A$1:$D$125,2,0)</f>
        <v>17267</v>
      </c>
      <c r="X478" s="12">
        <f>VLOOKUP(Tabla44[[#This Row],[ZONA DEFINITIVO]],[1]Hoja1!$A$1:$D$125,4,0)</f>
        <v>105325</v>
      </c>
      <c r="Y478" s="12" t="str">
        <f>+IF(Tabla44[[#This Row],[AGRUPACIONES]]=1,SUMIFS(Tabla44[UDS],Tabla44[ZONA DEFINITIVO],Tabla44[[#This Row],[ZONA DEFINITIVO]])," ")</f>
        <v xml:space="preserve"> </v>
      </c>
      <c r="Z478" s="12" t="str">
        <f>+IF(Tabla44[[#This Row],[AGRUPACIONES]]=1,SUMIFS(Tabla44[TOTAL COBERTURA],Tabla44[ZONA DEFINITIVO],Tabla44[[#This Row],[ZONA DEFINITIVO]])," ")</f>
        <v xml:space="preserve"> </v>
      </c>
      <c r="AA478" s="12"/>
      <c r="AB478" s="35">
        <v>167554000</v>
      </c>
      <c r="AC478" s="37">
        <v>0</v>
      </c>
      <c r="AD478" s="35">
        <f t="shared" si="8"/>
        <v>0</v>
      </c>
      <c r="AE478" s="12"/>
      <c r="AF478" s="12">
        <f>COUNTIF($A$20:A478,A478)</f>
        <v>34</v>
      </c>
      <c r="AG478" s="38">
        <v>167554000</v>
      </c>
      <c r="AH478" s="38">
        <f>Tabla44[[#This Row],[VALOR CONTRAPARTIDA]]+Tabla44[[#This Row],[TOTAL APORTES ICBF]]</f>
        <v>167554000</v>
      </c>
      <c r="AI478" s="35" t="str">
        <f>+IF(Tabla44[[#This Row],[AGRUPACIONES]]=1,SUMIFS(Tabla44[TOTAL APORTES ICBF],Tabla44[ZONA DEFINITIVO],Tabla44[[#This Row],[ZONA DEFINITIVO]])," ")</f>
        <v xml:space="preserve"> </v>
      </c>
      <c r="AJ478" s="38"/>
      <c r="AK478" s="38"/>
      <c r="AL478" s="35"/>
      <c r="AM478" s="35">
        <f>VLOOKUP(Tabla44[[#This Row],[SERVICIO 2025]],$J$2:$V$15,5,0)*Tabla44[[#This Row],[TOTAL COBERTURA]]</f>
        <v>3525720</v>
      </c>
      <c r="AN478" s="35">
        <f>VLOOKUP(Tabla44[[#This Row],[SERVICIO 2025]],$J$2:$V$15,6,0)*Tabla44[[#This Row],[TOTAL COBERTURA]]</f>
        <v>3001720</v>
      </c>
      <c r="AO478" s="35">
        <f>VLOOKUP(Tabla44[[#This Row],[SERVICIO 2025]],$J$2:$V$15,8,0)*Tabla44[[#This Row],[TOTAL COBERTURA]]</f>
        <v>0</v>
      </c>
      <c r="AP478" s="35">
        <f>VLOOKUP(Tabla44[[#This Row],[SERVICIO 2025]],$J$2:$V$15,3,0)*Tabla44[[#This Row],[TOTAL COBERTURA]]*8</f>
        <v>161026560</v>
      </c>
      <c r="AQ478" s="35"/>
      <c r="AR478" s="35">
        <f>SUM(Tabla44[[#This Row],[VALOR FASE PREPARATORIA DE ALISTAMIENTO]:[VALOR RACION PREPARADA]])</f>
        <v>167554000</v>
      </c>
      <c r="AS478" s="35" t="str">
        <f>+IF(Tabla44[[#This Row],[AGRUPACIONES]]=1,SUMIFS(Tabla44[VALOR TOTAL],Tabla44[ZONA DEFINITIVO],Tabla44[[#This Row],[ZONA DEFINITIVO]])," ")</f>
        <v xml:space="preserve"> </v>
      </c>
      <c r="AT478" s="35">
        <f>VLOOKUP(Tabla44[[#This Row],[SERVICIO 2025]],$J$2:$V$15,10,0)*Tabla44[[#This Row],[TOTAL COBERTURA]]*$X$7</f>
        <v>0</v>
      </c>
      <c r="AU478" s="39">
        <f>Tabla44[[#This Row],[TOTAL CONTRATO (ICBF+EAS)]]+Tabla44[[#This Row],[VALOR COMPONENTE ALIMENTACION NO ASIGNADO]]</f>
        <v>167554000</v>
      </c>
      <c r="AV47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23654040</v>
      </c>
      <c r="AW478" s="35">
        <f>(VLOOKUP(Tabla44[[#This Row],[SERVICIO 2025]],$J$2:$V$15,3,0)*Tabla44[[#This Row],[TOTAL COBERTURA]])+VLOOKUP(Tabla44[[#This Row],[SERVICIO 2025]],$J$2:$V$15,10,0)*Tabla44[[#This Row],[TOTAL COBERTURA]]</f>
        <v>20128320</v>
      </c>
      <c r="AX478" s="35">
        <f>(VLOOKUP(Tabla44[[#This Row],[SERVICIO 2025]],$J$2:$V$15,3,0)*Tabla44[[#This Row],[TOTAL COBERTURA]])+VLOOKUP(Tabla44[[#This Row],[SERVICIO 2025]],$J$2:$V$15,10,0)*Tabla44[[#This Row],[TOTAL COBERTURA]]</f>
        <v>20128320</v>
      </c>
      <c r="AY478" s="35">
        <f>(VLOOKUP(Tabla44[[#This Row],[SERVICIO 2025]],$J$2:$V$15,3,0)*Tabla44[[#This Row],[TOTAL COBERTURA]])+VLOOKUP(Tabla44[[#This Row],[SERVICIO 2025]],$J$2:$V$15,10,0)*Tabla44[[#This Row],[TOTAL COBERTURA]]</f>
        <v>20128320</v>
      </c>
      <c r="AZ478" s="35">
        <f>(VLOOKUP(Tabla44[[#This Row],[SERVICIO 2025]],$J$2:$V$15,3,0)*Tabla44[[#This Row],[TOTAL COBERTURA]])+VLOOKUP(Tabla44[[#This Row],[SERVICIO 2025]],$J$2:$V$15,10,0)*Tabla44[[#This Row],[TOTAL COBERTURA]]</f>
        <v>20128320</v>
      </c>
      <c r="BA478" s="35">
        <f>(VLOOKUP(Tabla44[[#This Row],[SERVICIO 2025]],$J$2:$V$15,3,0)*Tabla44[[#This Row],[TOTAL COBERTURA]])+VLOOKUP(Tabla44[[#This Row],[SERVICIO 2025]],$J$2:$V$15,10,0)*Tabla44[[#This Row],[TOTAL COBERTURA]]</f>
        <v>20128320</v>
      </c>
      <c r="BB478" s="35">
        <f>(VLOOKUP(Tabla44[[#This Row],[SERVICIO 2025]],$J$2:$V$15,3,0)*Tabla44[[#This Row],[TOTAL COBERTURA]])+VLOOKUP(Tabla44[[#This Row],[SERVICIO 2025]],$J$2:$V$15,10,0)*Tabla44[[#This Row],[TOTAL COBERTURA]]</f>
        <v>20128320</v>
      </c>
      <c r="BC47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23130040</v>
      </c>
      <c r="BD478" s="35">
        <f>SUM(Tabla44[[#This Row],[DESEMBOLSO 1]:[DESEMBOLSO 8]])</f>
        <v>167554000</v>
      </c>
      <c r="BE478" s="12" t="b">
        <f>EXACT(Tabla44[[#This Row],[VALOR ATENCIÓN (8 MESES)]],Tabla44[[#This Row],[VALOR TOTAL]])</f>
        <v>1</v>
      </c>
      <c r="BF478" s="23">
        <f>Tabla44[[#This Row],[VALOR ATENCIÓN (8 MESES)]]-Tabla44[[#This Row],[VALOR TOTAL]]</f>
        <v>0</v>
      </c>
      <c r="BG478" s="12" t="b">
        <f>EXACT(Tabla44[[#This Row],[TOTAL DESEMBOLSOS]],Tabla44[[#This Row],[VALOR TOTAL DEL CONTRATO INCLUIDO EL COMPONENTE DE ALIMENTACIÓN]])</f>
        <v>1</v>
      </c>
      <c r="BH478" s="29">
        <f>Tabla44[[#This Row],[TOTAL DESEMBOLSOS]]-Tabla44[[#This Row],[VALOR TOTAL DEL CONTRATO INCLUIDO EL COMPONENTE DE ALIMENTACIÓN]]</f>
        <v>0</v>
      </c>
      <c r="BI478" t="s">
        <v>98</v>
      </c>
    </row>
    <row r="479" spans="1:61">
      <c r="A479" s="13">
        <v>2022</v>
      </c>
      <c r="B479" s="13"/>
      <c r="C479" s="12" t="s">
        <v>87</v>
      </c>
      <c r="D479" s="12" t="s">
        <v>1628</v>
      </c>
      <c r="E479" s="12" t="s">
        <v>3711</v>
      </c>
      <c r="F479" s="12" t="s">
        <v>18</v>
      </c>
      <c r="G479" s="12" t="s">
        <v>90</v>
      </c>
      <c r="H479" s="12" t="s">
        <v>3732</v>
      </c>
      <c r="I479" s="36">
        <v>58871148727</v>
      </c>
      <c r="J479" s="12" t="s">
        <v>3733</v>
      </c>
      <c r="K479" s="12">
        <v>1</v>
      </c>
      <c r="L479" s="12">
        <v>13</v>
      </c>
      <c r="M479" s="12"/>
      <c r="N479" s="13">
        <v>2022</v>
      </c>
      <c r="O479" s="12" t="s">
        <v>2850</v>
      </c>
      <c r="P479" s="12"/>
      <c r="Q479" s="12"/>
      <c r="R479" s="12" t="s">
        <v>94</v>
      </c>
      <c r="S479" s="12">
        <v>10</v>
      </c>
      <c r="T479" s="12">
        <v>890985417</v>
      </c>
      <c r="U479" s="12" t="s">
        <v>3671</v>
      </c>
      <c r="V479" s="12">
        <f>VLOOKUP(Tabla44[[#This Row],[ZONA DEFINITIVO]],[1]Hoja1!$A$1:$D$125,3,0)</f>
        <v>229946</v>
      </c>
      <c r="W479" s="12">
        <f>VLOOKUP(Tabla44[[#This Row],[ZONA DEFINITIVO]],[1]Hoja1!$A$1:$D$125,2,0)</f>
        <v>17267</v>
      </c>
      <c r="X479" s="12">
        <f>VLOOKUP(Tabla44[[#This Row],[ZONA DEFINITIVO]],[1]Hoja1!$A$1:$D$125,4,0)</f>
        <v>105325</v>
      </c>
      <c r="Y479" s="12" t="str">
        <f>+IF(Tabla44[[#This Row],[AGRUPACIONES]]=1,SUMIFS(Tabla44[UDS],Tabla44[ZONA DEFINITIVO],Tabla44[[#This Row],[ZONA DEFINITIVO]])," ")</f>
        <v xml:space="preserve"> </v>
      </c>
      <c r="Z479" s="12" t="str">
        <f>+IF(Tabla44[[#This Row],[AGRUPACIONES]]=1,SUMIFS(Tabla44[TOTAL COBERTURA],Tabla44[ZONA DEFINITIVO],Tabla44[[#This Row],[ZONA DEFINITIVO]])," ")</f>
        <v xml:space="preserve"> </v>
      </c>
      <c r="AA479" s="12"/>
      <c r="AB479" s="35">
        <v>28342509</v>
      </c>
      <c r="AC479" s="37">
        <v>0</v>
      </c>
      <c r="AD479" s="35">
        <f t="shared" si="8"/>
        <v>0</v>
      </c>
      <c r="AE479" s="12"/>
      <c r="AF479" s="12">
        <f>COUNTIF($A$20:A479,A479)</f>
        <v>35</v>
      </c>
      <c r="AG479" s="38">
        <v>28342509</v>
      </c>
      <c r="AH479" s="38">
        <f>Tabla44[[#This Row],[VALOR CONTRAPARTIDA]]+Tabla44[[#This Row],[TOTAL APORTES ICBF]]</f>
        <v>28342509</v>
      </c>
      <c r="AI479" s="35" t="str">
        <f>+IF(Tabla44[[#This Row],[AGRUPACIONES]]=1,SUMIFS(Tabla44[TOTAL APORTES ICBF],Tabla44[ZONA DEFINITIVO],Tabla44[[#This Row],[ZONA DEFINITIVO]])," ")</f>
        <v xml:space="preserve"> </v>
      </c>
      <c r="AJ479" s="38"/>
      <c r="AK479" s="38"/>
      <c r="AL479" s="35"/>
      <c r="AM479" s="35">
        <f>VLOOKUP(Tabla44[[#This Row],[SERVICIO 2025]],$J$2:$V$15,5,0)*Tabla44[[#This Row],[TOTAL COBERTURA]]</f>
        <v>641888</v>
      </c>
      <c r="AN479" s="35">
        <f>VLOOKUP(Tabla44[[#This Row],[SERVICIO 2025]],$J$2:$V$15,6,0)*Tabla44[[#This Row],[TOTAL COBERTURA]]</f>
        <v>533377</v>
      </c>
      <c r="AO479" s="35">
        <f>VLOOKUP(Tabla44[[#This Row],[SERVICIO 2025]],$J$2:$V$15,8,0)*Tabla44[[#This Row],[TOTAL COBERTURA]]</f>
        <v>378300</v>
      </c>
      <c r="AP479" s="35">
        <f>VLOOKUP(Tabla44[[#This Row],[SERVICIO 2025]],$J$2:$V$15,3,0)*Tabla44[[#This Row],[TOTAL COBERTURA]]*8</f>
        <v>26788944</v>
      </c>
      <c r="AQ479" s="35"/>
      <c r="AR479" s="35">
        <f>SUM(Tabla44[[#This Row],[VALOR FASE PREPARATORIA DE ALISTAMIENTO]:[VALOR RACION PREPARADA]])</f>
        <v>28342509</v>
      </c>
      <c r="AS479" s="35" t="str">
        <f>+IF(Tabla44[[#This Row],[AGRUPACIONES]]=1,SUMIFS(Tabla44[VALOR TOTAL],Tabla44[ZONA DEFINITIVO],Tabla44[[#This Row],[ZONA DEFINITIVO]])," ")</f>
        <v xml:space="preserve"> </v>
      </c>
      <c r="AT479" s="35">
        <f>VLOOKUP(Tabla44[[#This Row],[SERVICIO 2025]],$J$2:$V$15,10,0)*Tabla44[[#This Row],[TOTAL COBERTURA]]*$X$7</f>
        <v>18759832</v>
      </c>
      <c r="AU479" s="39">
        <f>Tabla44[[#This Row],[TOTAL CONTRATO (ICBF+EAS)]]+Tabla44[[#This Row],[VALOR COMPONENTE ALIMENTACION NO ASIGNADO]]</f>
        <v>47102341</v>
      </c>
      <c r="AV47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6713785</v>
      </c>
      <c r="AW479" s="35">
        <f>(VLOOKUP(Tabla44[[#This Row],[SERVICIO 2025]],$J$2:$V$15,3,0)*Tabla44[[#This Row],[TOTAL COBERTURA]])+VLOOKUP(Tabla44[[#This Row],[SERVICIO 2025]],$J$2:$V$15,10,0)*Tabla44[[#This Row],[TOTAL COBERTURA]]</f>
        <v>5693597</v>
      </c>
      <c r="AX479" s="35">
        <f>(VLOOKUP(Tabla44[[#This Row],[SERVICIO 2025]],$J$2:$V$15,3,0)*Tabla44[[#This Row],[TOTAL COBERTURA]])+VLOOKUP(Tabla44[[#This Row],[SERVICIO 2025]],$J$2:$V$15,10,0)*Tabla44[[#This Row],[TOTAL COBERTURA]]</f>
        <v>5693597</v>
      </c>
      <c r="AY479" s="35">
        <f>(VLOOKUP(Tabla44[[#This Row],[SERVICIO 2025]],$J$2:$V$15,3,0)*Tabla44[[#This Row],[TOTAL COBERTURA]])+VLOOKUP(Tabla44[[#This Row],[SERVICIO 2025]],$J$2:$V$15,10,0)*Tabla44[[#This Row],[TOTAL COBERTURA]]</f>
        <v>5693597</v>
      </c>
      <c r="AZ479" s="35">
        <f>(VLOOKUP(Tabla44[[#This Row],[SERVICIO 2025]],$J$2:$V$15,3,0)*Tabla44[[#This Row],[TOTAL COBERTURA]])+VLOOKUP(Tabla44[[#This Row],[SERVICIO 2025]],$J$2:$V$15,10,0)*Tabla44[[#This Row],[TOTAL COBERTURA]]</f>
        <v>5693597</v>
      </c>
      <c r="BA479" s="35">
        <f>(VLOOKUP(Tabla44[[#This Row],[SERVICIO 2025]],$J$2:$V$15,3,0)*Tabla44[[#This Row],[TOTAL COBERTURA]])+VLOOKUP(Tabla44[[#This Row],[SERVICIO 2025]],$J$2:$V$15,10,0)*Tabla44[[#This Row],[TOTAL COBERTURA]]</f>
        <v>5693597</v>
      </c>
      <c r="BB479" s="35">
        <f>(VLOOKUP(Tabla44[[#This Row],[SERVICIO 2025]],$J$2:$V$15,3,0)*Tabla44[[#This Row],[TOTAL COBERTURA]])+VLOOKUP(Tabla44[[#This Row],[SERVICIO 2025]],$J$2:$V$15,10,0)*Tabla44[[#This Row],[TOTAL COBERTURA]]</f>
        <v>5693597</v>
      </c>
      <c r="BC47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6226974</v>
      </c>
      <c r="BD479" s="35">
        <f>SUM(Tabla44[[#This Row],[DESEMBOLSO 1]:[DESEMBOLSO 8]])</f>
        <v>47102341</v>
      </c>
      <c r="BE479" s="12" t="b">
        <f>EXACT(Tabla44[[#This Row],[VALOR ATENCIÓN (8 MESES)]],Tabla44[[#This Row],[VALOR TOTAL]])</f>
        <v>1</v>
      </c>
      <c r="BF479" s="23">
        <f>Tabla44[[#This Row],[VALOR ATENCIÓN (8 MESES)]]-Tabla44[[#This Row],[VALOR TOTAL]]</f>
        <v>0</v>
      </c>
      <c r="BG479" s="12" t="b">
        <f>EXACT(Tabla44[[#This Row],[TOTAL DESEMBOLSOS]],Tabla44[[#This Row],[VALOR TOTAL DEL CONTRATO INCLUIDO EL COMPONENTE DE ALIMENTACIÓN]])</f>
        <v>1</v>
      </c>
      <c r="BH479" s="29">
        <f>Tabla44[[#This Row],[TOTAL DESEMBOLSOS]]-Tabla44[[#This Row],[VALOR TOTAL DEL CONTRATO INCLUIDO EL COMPONENTE DE ALIMENTACIÓN]]</f>
        <v>0</v>
      </c>
      <c r="BI479" t="s">
        <v>98</v>
      </c>
    </row>
    <row r="480" spans="1:61">
      <c r="A480" s="13">
        <v>2022</v>
      </c>
      <c r="B480" s="13"/>
      <c r="C480" s="12" t="s">
        <v>87</v>
      </c>
      <c r="D480" s="12" t="s">
        <v>1628</v>
      </c>
      <c r="E480" s="12" t="s">
        <v>3711</v>
      </c>
      <c r="F480" s="12" t="s">
        <v>18</v>
      </c>
      <c r="G480" s="12" t="s">
        <v>90</v>
      </c>
      <c r="H480" s="12" t="s">
        <v>3734</v>
      </c>
      <c r="I480" s="36">
        <v>58871150434</v>
      </c>
      <c r="J480" s="12" t="s">
        <v>3735</v>
      </c>
      <c r="K480" s="12">
        <v>1</v>
      </c>
      <c r="L480" s="12">
        <v>16</v>
      </c>
      <c r="M480" s="12"/>
      <c r="N480" s="13">
        <v>2022</v>
      </c>
      <c r="O480" s="12" t="s">
        <v>2850</v>
      </c>
      <c r="P480" s="12"/>
      <c r="Q480" s="12"/>
      <c r="R480" s="12" t="s">
        <v>94</v>
      </c>
      <c r="S480" s="12">
        <v>10</v>
      </c>
      <c r="T480" s="12">
        <v>890985417</v>
      </c>
      <c r="U480" s="12" t="s">
        <v>3671</v>
      </c>
      <c r="V480" s="12">
        <f>VLOOKUP(Tabla44[[#This Row],[ZONA DEFINITIVO]],[1]Hoja1!$A$1:$D$125,3,0)</f>
        <v>229946</v>
      </c>
      <c r="W480" s="12">
        <f>VLOOKUP(Tabla44[[#This Row],[ZONA DEFINITIVO]],[1]Hoja1!$A$1:$D$125,2,0)</f>
        <v>17267</v>
      </c>
      <c r="X480" s="12">
        <f>VLOOKUP(Tabla44[[#This Row],[ZONA DEFINITIVO]],[1]Hoja1!$A$1:$D$125,4,0)</f>
        <v>105325</v>
      </c>
      <c r="Y480" s="12" t="str">
        <f>+IF(Tabla44[[#This Row],[AGRUPACIONES]]=1,SUMIFS(Tabla44[UDS],Tabla44[ZONA DEFINITIVO],Tabla44[[#This Row],[ZONA DEFINITIVO]])," ")</f>
        <v xml:space="preserve"> </v>
      </c>
      <c r="Z480" s="12" t="str">
        <f>+IF(Tabla44[[#This Row],[AGRUPACIONES]]=1,SUMIFS(Tabla44[TOTAL COBERTURA],Tabla44[ZONA DEFINITIVO],Tabla44[[#This Row],[ZONA DEFINITIVO]])," ")</f>
        <v xml:space="preserve"> </v>
      </c>
      <c r="AA480" s="12"/>
      <c r="AB480" s="35">
        <v>34883088</v>
      </c>
      <c r="AC480" s="37">
        <v>0</v>
      </c>
      <c r="AD480" s="35">
        <f t="shared" si="8"/>
        <v>0</v>
      </c>
      <c r="AE480" s="12"/>
      <c r="AF480" s="12">
        <f>COUNTIF($A$20:A480,A480)</f>
        <v>36</v>
      </c>
      <c r="AG480" s="38">
        <v>34883088</v>
      </c>
      <c r="AH480" s="38">
        <f>Tabla44[[#This Row],[VALOR CONTRAPARTIDA]]+Tabla44[[#This Row],[TOTAL APORTES ICBF]]</f>
        <v>34883088</v>
      </c>
      <c r="AI480" s="35" t="str">
        <f>+IF(Tabla44[[#This Row],[AGRUPACIONES]]=1,SUMIFS(Tabla44[TOTAL APORTES ICBF],Tabla44[ZONA DEFINITIVO],Tabla44[[#This Row],[ZONA DEFINITIVO]])," ")</f>
        <v xml:space="preserve"> </v>
      </c>
      <c r="AJ480" s="38"/>
      <c r="AK480" s="38"/>
      <c r="AL480" s="35"/>
      <c r="AM480" s="35">
        <f>VLOOKUP(Tabla44[[#This Row],[SERVICIO 2025]],$J$2:$V$15,5,0)*Tabla44[[#This Row],[TOTAL COBERTURA]]</f>
        <v>790016</v>
      </c>
      <c r="AN480" s="35">
        <f>VLOOKUP(Tabla44[[#This Row],[SERVICIO 2025]],$J$2:$V$15,6,0)*Tabla44[[#This Row],[TOTAL COBERTURA]]</f>
        <v>656464</v>
      </c>
      <c r="AO480" s="35">
        <f>VLOOKUP(Tabla44[[#This Row],[SERVICIO 2025]],$J$2:$V$15,8,0)*Tabla44[[#This Row],[TOTAL COBERTURA]]</f>
        <v>465600</v>
      </c>
      <c r="AP480" s="35">
        <f>VLOOKUP(Tabla44[[#This Row],[SERVICIO 2025]],$J$2:$V$15,3,0)*Tabla44[[#This Row],[TOTAL COBERTURA]]*8</f>
        <v>32971008</v>
      </c>
      <c r="AQ480" s="35"/>
      <c r="AR480" s="35">
        <f>SUM(Tabla44[[#This Row],[VALOR FASE PREPARATORIA DE ALISTAMIENTO]:[VALOR RACION PREPARADA]])</f>
        <v>34883088</v>
      </c>
      <c r="AS480" s="35" t="str">
        <f>+IF(Tabla44[[#This Row],[AGRUPACIONES]]=1,SUMIFS(Tabla44[VALOR TOTAL],Tabla44[ZONA DEFINITIVO],Tabla44[[#This Row],[ZONA DEFINITIVO]])," ")</f>
        <v xml:space="preserve"> </v>
      </c>
      <c r="AT480" s="35">
        <f>VLOOKUP(Tabla44[[#This Row],[SERVICIO 2025]],$J$2:$V$15,10,0)*Tabla44[[#This Row],[TOTAL COBERTURA]]*$X$7</f>
        <v>23089024</v>
      </c>
      <c r="AU480" s="39">
        <f>Tabla44[[#This Row],[TOTAL CONTRATO (ICBF+EAS)]]+Tabla44[[#This Row],[VALOR COMPONENTE ALIMENTACION NO ASIGNADO]]</f>
        <v>57972112</v>
      </c>
      <c r="AV48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8263120</v>
      </c>
      <c r="AW480" s="35">
        <f>(VLOOKUP(Tabla44[[#This Row],[SERVICIO 2025]],$J$2:$V$15,3,0)*Tabla44[[#This Row],[TOTAL COBERTURA]])+VLOOKUP(Tabla44[[#This Row],[SERVICIO 2025]],$J$2:$V$15,10,0)*Tabla44[[#This Row],[TOTAL COBERTURA]]</f>
        <v>7007504</v>
      </c>
      <c r="AX480" s="35">
        <f>(VLOOKUP(Tabla44[[#This Row],[SERVICIO 2025]],$J$2:$V$15,3,0)*Tabla44[[#This Row],[TOTAL COBERTURA]])+VLOOKUP(Tabla44[[#This Row],[SERVICIO 2025]],$J$2:$V$15,10,0)*Tabla44[[#This Row],[TOTAL COBERTURA]]</f>
        <v>7007504</v>
      </c>
      <c r="AY480" s="35">
        <f>(VLOOKUP(Tabla44[[#This Row],[SERVICIO 2025]],$J$2:$V$15,3,0)*Tabla44[[#This Row],[TOTAL COBERTURA]])+VLOOKUP(Tabla44[[#This Row],[SERVICIO 2025]],$J$2:$V$15,10,0)*Tabla44[[#This Row],[TOTAL COBERTURA]]</f>
        <v>7007504</v>
      </c>
      <c r="AZ480" s="35">
        <f>(VLOOKUP(Tabla44[[#This Row],[SERVICIO 2025]],$J$2:$V$15,3,0)*Tabla44[[#This Row],[TOTAL COBERTURA]])+VLOOKUP(Tabla44[[#This Row],[SERVICIO 2025]],$J$2:$V$15,10,0)*Tabla44[[#This Row],[TOTAL COBERTURA]]</f>
        <v>7007504</v>
      </c>
      <c r="BA480" s="35">
        <f>(VLOOKUP(Tabla44[[#This Row],[SERVICIO 2025]],$J$2:$V$15,3,0)*Tabla44[[#This Row],[TOTAL COBERTURA]])+VLOOKUP(Tabla44[[#This Row],[SERVICIO 2025]],$J$2:$V$15,10,0)*Tabla44[[#This Row],[TOTAL COBERTURA]]</f>
        <v>7007504</v>
      </c>
      <c r="BB480" s="35">
        <f>(VLOOKUP(Tabla44[[#This Row],[SERVICIO 2025]],$J$2:$V$15,3,0)*Tabla44[[#This Row],[TOTAL COBERTURA]])+VLOOKUP(Tabla44[[#This Row],[SERVICIO 2025]],$J$2:$V$15,10,0)*Tabla44[[#This Row],[TOTAL COBERTURA]]</f>
        <v>7007504</v>
      </c>
      <c r="BC48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7663968</v>
      </c>
      <c r="BD480" s="35">
        <f>SUM(Tabla44[[#This Row],[DESEMBOLSO 1]:[DESEMBOLSO 8]])</f>
        <v>57972112</v>
      </c>
      <c r="BE480" s="12" t="b">
        <f>EXACT(Tabla44[[#This Row],[VALOR ATENCIÓN (8 MESES)]],Tabla44[[#This Row],[VALOR TOTAL]])</f>
        <v>1</v>
      </c>
      <c r="BF480" s="23">
        <f>Tabla44[[#This Row],[VALOR ATENCIÓN (8 MESES)]]-Tabla44[[#This Row],[VALOR TOTAL]]</f>
        <v>0</v>
      </c>
      <c r="BG480" s="12" t="b">
        <f>EXACT(Tabla44[[#This Row],[TOTAL DESEMBOLSOS]],Tabla44[[#This Row],[VALOR TOTAL DEL CONTRATO INCLUIDO EL COMPONENTE DE ALIMENTACIÓN]])</f>
        <v>1</v>
      </c>
      <c r="BH480" s="29">
        <f>Tabla44[[#This Row],[TOTAL DESEMBOLSOS]]-Tabla44[[#This Row],[VALOR TOTAL DEL CONTRATO INCLUIDO EL COMPONENTE DE ALIMENTACIÓN]]</f>
        <v>0</v>
      </c>
      <c r="BI480" t="s">
        <v>98</v>
      </c>
    </row>
    <row r="481" spans="1:61">
      <c r="A481" s="13">
        <v>2022</v>
      </c>
      <c r="B481" s="13"/>
      <c r="C481" s="12" t="s">
        <v>87</v>
      </c>
      <c r="D481" s="12" t="s">
        <v>1628</v>
      </c>
      <c r="E481" s="12" t="s">
        <v>3711</v>
      </c>
      <c r="F481" s="12" t="s">
        <v>21</v>
      </c>
      <c r="G481" s="12" t="s">
        <v>90</v>
      </c>
      <c r="H481" s="12" t="s">
        <v>3736</v>
      </c>
      <c r="I481" s="36">
        <v>58871150435</v>
      </c>
      <c r="J481" s="12" t="s">
        <v>3737</v>
      </c>
      <c r="K481" s="12">
        <v>1</v>
      </c>
      <c r="L481" s="12">
        <v>13</v>
      </c>
      <c r="M481" s="12"/>
      <c r="N481" s="13">
        <v>2022</v>
      </c>
      <c r="O481" s="12" t="s">
        <v>2850</v>
      </c>
      <c r="P481" s="12"/>
      <c r="Q481" s="12"/>
      <c r="R481" s="12" t="s">
        <v>94</v>
      </c>
      <c r="S481" s="12">
        <v>10</v>
      </c>
      <c r="T481" s="12">
        <v>890985417</v>
      </c>
      <c r="U481" s="12" t="s">
        <v>3671</v>
      </c>
      <c r="V481" s="12">
        <f>VLOOKUP(Tabla44[[#This Row],[ZONA DEFINITIVO]],[1]Hoja1!$A$1:$D$125,3,0)</f>
        <v>229946</v>
      </c>
      <c r="W481" s="12">
        <f>VLOOKUP(Tabla44[[#This Row],[ZONA DEFINITIVO]],[1]Hoja1!$A$1:$D$125,2,0)</f>
        <v>17267</v>
      </c>
      <c r="X481" s="12">
        <f>VLOOKUP(Tabla44[[#This Row],[ZONA DEFINITIVO]],[1]Hoja1!$A$1:$D$125,4,0)</f>
        <v>105325</v>
      </c>
      <c r="Y481" s="12" t="str">
        <f>+IF(Tabla44[[#This Row],[AGRUPACIONES]]=1,SUMIFS(Tabla44[UDS],Tabla44[ZONA DEFINITIVO],Tabla44[[#This Row],[ZONA DEFINITIVO]])," ")</f>
        <v xml:space="preserve"> </v>
      </c>
      <c r="Z481" s="12" t="str">
        <f>+IF(Tabla44[[#This Row],[AGRUPACIONES]]=1,SUMIFS(Tabla44[TOTAL COBERTURA],Tabla44[ZONA DEFINITIVO],Tabla44[[#This Row],[ZONA DEFINITIVO]])," ")</f>
        <v xml:space="preserve"> </v>
      </c>
      <c r="AA481" s="12"/>
      <c r="AB481" s="35">
        <v>19750965</v>
      </c>
      <c r="AC481" s="37">
        <v>0</v>
      </c>
      <c r="AD481" s="35">
        <f t="shared" si="8"/>
        <v>0</v>
      </c>
      <c r="AE481" s="12"/>
      <c r="AF481" s="12">
        <f>COUNTIF($A$20:A481,A481)</f>
        <v>37</v>
      </c>
      <c r="AG481" s="38">
        <v>19750965</v>
      </c>
      <c r="AH481" s="38">
        <f>Tabla44[[#This Row],[VALOR CONTRAPARTIDA]]+Tabla44[[#This Row],[TOTAL APORTES ICBF]]</f>
        <v>19750965</v>
      </c>
      <c r="AI481" s="35" t="str">
        <f>+IF(Tabla44[[#This Row],[AGRUPACIONES]]=1,SUMIFS(Tabla44[TOTAL APORTES ICBF],Tabla44[ZONA DEFINITIVO],Tabla44[[#This Row],[ZONA DEFINITIVO]])," ")</f>
        <v xml:space="preserve"> </v>
      </c>
      <c r="AJ481" s="38"/>
      <c r="AK481" s="38"/>
      <c r="AL481" s="35"/>
      <c r="AM481" s="35">
        <f>VLOOKUP(Tabla44[[#This Row],[SERVICIO 2025]],$J$2:$V$15,5,0)*Tabla44[[#This Row],[TOTAL COBERTURA]]</f>
        <v>607672</v>
      </c>
      <c r="AN481" s="35">
        <f>VLOOKUP(Tabla44[[#This Row],[SERVICIO 2025]],$J$2:$V$15,6,0)*Tabla44[[#This Row],[TOTAL COBERTURA]]</f>
        <v>491933</v>
      </c>
      <c r="AO481" s="35">
        <f>VLOOKUP(Tabla44[[#This Row],[SERVICIO 2025]],$J$2:$V$15,8,0)*Tabla44[[#This Row],[TOTAL COBERTURA]]</f>
        <v>0</v>
      </c>
      <c r="AP481" s="35">
        <f>VLOOKUP(Tabla44[[#This Row],[SERVICIO 2025]],$J$2:$V$15,3,0)*Tabla44[[#This Row],[TOTAL COBERTURA]]*8</f>
        <v>18651360</v>
      </c>
      <c r="AQ481" s="35"/>
      <c r="AR481" s="35">
        <f>SUM(Tabla44[[#This Row],[VALOR FASE PREPARATORIA DE ALISTAMIENTO]:[VALOR RACION PREPARADA]])</f>
        <v>19750965</v>
      </c>
      <c r="AS481" s="35" t="str">
        <f>+IF(Tabla44[[#This Row],[AGRUPACIONES]]=1,SUMIFS(Tabla44[VALOR TOTAL],Tabla44[ZONA DEFINITIVO],Tabla44[[#This Row],[ZONA DEFINITIVO]])," ")</f>
        <v xml:space="preserve"> </v>
      </c>
      <c r="AT481" s="35">
        <f>VLOOKUP(Tabla44[[#This Row],[SERVICIO 2025]],$J$2:$V$15,10,0)*Tabla44[[#This Row],[TOTAL COBERTURA]]*$X$7</f>
        <v>19585384</v>
      </c>
      <c r="AU481" s="39">
        <f>Tabla44[[#This Row],[TOTAL CONTRATO (ICBF+EAS)]]+Tabla44[[#This Row],[VALOR COMPONENTE ALIMENTACION NO ASIGNADO]]</f>
        <v>39336349</v>
      </c>
      <c r="AV48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5387265</v>
      </c>
      <c r="AW481" s="35">
        <f>(VLOOKUP(Tabla44[[#This Row],[SERVICIO 2025]],$J$2:$V$15,3,0)*Tabla44[[#This Row],[TOTAL COBERTURA]])+VLOOKUP(Tabla44[[#This Row],[SERVICIO 2025]],$J$2:$V$15,10,0)*Tabla44[[#This Row],[TOTAL COBERTURA]]</f>
        <v>4779593</v>
      </c>
      <c r="AX481" s="35">
        <f>(VLOOKUP(Tabla44[[#This Row],[SERVICIO 2025]],$J$2:$V$15,3,0)*Tabla44[[#This Row],[TOTAL COBERTURA]])+VLOOKUP(Tabla44[[#This Row],[SERVICIO 2025]],$J$2:$V$15,10,0)*Tabla44[[#This Row],[TOTAL COBERTURA]]</f>
        <v>4779593</v>
      </c>
      <c r="AY481" s="35">
        <f>(VLOOKUP(Tabla44[[#This Row],[SERVICIO 2025]],$J$2:$V$15,3,0)*Tabla44[[#This Row],[TOTAL COBERTURA]])+VLOOKUP(Tabla44[[#This Row],[SERVICIO 2025]],$J$2:$V$15,10,0)*Tabla44[[#This Row],[TOTAL COBERTURA]]</f>
        <v>4779593</v>
      </c>
      <c r="AZ481" s="35">
        <f>(VLOOKUP(Tabla44[[#This Row],[SERVICIO 2025]],$J$2:$V$15,3,0)*Tabla44[[#This Row],[TOTAL COBERTURA]])+VLOOKUP(Tabla44[[#This Row],[SERVICIO 2025]],$J$2:$V$15,10,0)*Tabla44[[#This Row],[TOTAL COBERTURA]]</f>
        <v>4779593</v>
      </c>
      <c r="BA481" s="35">
        <f>(VLOOKUP(Tabla44[[#This Row],[SERVICIO 2025]],$J$2:$V$15,3,0)*Tabla44[[#This Row],[TOTAL COBERTURA]])+VLOOKUP(Tabla44[[#This Row],[SERVICIO 2025]],$J$2:$V$15,10,0)*Tabla44[[#This Row],[TOTAL COBERTURA]]</f>
        <v>4779593</v>
      </c>
      <c r="BB481" s="35">
        <f>(VLOOKUP(Tabla44[[#This Row],[SERVICIO 2025]],$J$2:$V$15,3,0)*Tabla44[[#This Row],[TOTAL COBERTURA]])+VLOOKUP(Tabla44[[#This Row],[SERVICIO 2025]],$J$2:$V$15,10,0)*Tabla44[[#This Row],[TOTAL COBERTURA]]</f>
        <v>4779593</v>
      </c>
      <c r="BC48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5271526</v>
      </c>
      <c r="BD481" s="35">
        <f>SUM(Tabla44[[#This Row],[DESEMBOLSO 1]:[DESEMBOLSO 8]])</f>
        <v>39336349</v>
      </c>
      <c r="BE481" s="12" t="b">
        <f>EXACT(Tabla44[[#This Row],[VALOR ATENCIÓN (8 MESES)]],Tabla44[[#This Row],[VALOR TOTAL]])</f>
        <v>1</v>
      </c>
      <c r="BF481" s="23">
        <f>Tabla44[[#This Row],[VALOR ATENCIÓN (8 MESES)]]-Tabla44[[#This Row],[VALOR TOTAL]]</f>
        <v>0</v>
      </c>
      <c r="BG481" s="12" t="b">
        <f>EXACT(Tabla44[[#This Row],[TOTAL DESEMBOLSOS]],Tabla44[[#This Row],[VALOR TOTAL DEL CONTRATO INCLUIDO EL COMPONENTE DE ALIMENTACIÓN]])</f>
        <v>1</v>
      </c>
      <c r="BH481" s="29">
        <f>Tabla44[[#This Row],[TOTAL DESEMBOLSOS]]-Tabla44[[#This Row],[VALOR TOTAL DEL CONTRATO INCLUIDO EL COMPONENTE DE ALIMENTACIÓN]]</f>
        <v>0</v>
      </c>
      <c r="BI481" t="s">
        <v>98</v>
      </c>
    </row>
    <row r="482" spans="1:61">
      <c r="A482" s="13">
        <v>2022</v>
      </c>
      <c r="B482" s="13"/>
      <c r="C482" s="12" t="s">
        <v>87</v>
      </c>
      <c r="D482" s="12" t="s">
        <v>1628</v>
      </c>
      <c r="E482" s="12" t="s">
        <v>3711</v>
      </c>
      <c r="F482" s="12" t="s">
        <v>18</v>
      </c>
      <c r="G482" s="12" t="s">
        <v>90</v>
      </c>
      <c r="H482" s="12" t="s">
        <v>320</v>
      </c>
      <c r="I482" s="36">
        <v>58871150437</v>
      </c>
      <c r="J482" s="12" t="s">
        <v>3738</v>
      </c>
      <c r="K482" s="12">
        <v>1</v>
      </c>
      <c r="L482" s="12">
        <v>11</v>
      </c>
      <c r="M482" s="12"/>
      <c r="N482" s="13">
        <v>2022</v>
      </c>
      <c r="O482" s="12" t="s">
        <v>2850</v>
      </c>
      <c r="P482" s="12"/>
      <c r="Q482" s="12"/>
      <c r="R482" s="12" t="s">
        <v>94</v>
      </c>
      <c r="S482" s="12">
        <v>10</v>
      </c>
      <c r="T482" s="12">
        <v>890985417</v>
      </c>
      <c r="U482" s="12" t="s">
        <v>3671</v>
      </c>
      <c r="V482" s="12">
        <f>VLOOKUP(Tabla44[[#This Row],[ZONA DEFINITIVO]],[1]Hoja1!$A$1:$D$125,3,0)</f>
        <v>229946</v>
      </c>
      <c r="W482" s="12">
        <f>VLOOKUP(Tabla44[[#This Row],[ZONA DEFINITIVO]],[1]Hoja1!$A$1:$D$125,2,0)</f>
        <v>17267</v>
      </c>
      <c r="X482" s="12">
        <f>VLOOKUP(Tabla44[[#This Row],[ZONA DEFINITIVO]],[1]Hoja1!$A$1:$D$125,4,0)</f>
        <v>105325</v>
      </c>
      <c r="Y482" s="12" t="str">
        <f>+IF(Tabla44[[#This Row],[AGRUPACIONES]]=1,SUMIFS(Tabla44[UDS],Tabla44[ZONA DEFINITIVO],Tabla44[[#This Row],[ZONA DEFINITIVO]])," ")</f>
        <v xml:space="preserve"> </v>
      </c>
      <c r="Z482" s="12" t="str">
        <f>+IF(Tabla44[[#This Row],[AGRUPACIONES]]=1,SUMIFS(Tabla44[TOTAL COBERTURA],Tabla44[ZONA DEFINITIVO],Tabla44[[#This Row],[ZONA DEFINITIVO]])," ")</f>
        <v xml:space="preserve"> </v>
      </c>
      <c r="AA482" s="12"/>
      <c r="AB482" s="35">
        <v>23982123</v>
      </c>
      <c r="AC482" s="37">
        <v>0</v>
      </c>
      <c r="AD482" s="35">
        <f t="shared" si="8"/>
        <v>0</v>
      </c>
      <c r="AE482" s="12"/>
      <c r="AF482" s="12">
        <f>COUNTIF($A$20:A482,A482)</f>
        <v>38</v>
      </c>
      <c r="AG482" s="38">
        <v>23982123</v>
      </c>
      <c r="AH482" s="38">
        <f>Tabla44[[#This Row],[VALOR CONTRAPARTIDA]]+Tabla44[[#This Row],[TOTAL APORTES ICBF]]</f>
        <v>23982123</v>
      </c>
      <c r="AI482" s="35" t="str">
        <f>+IF(Tabla44[[#This Row],[AGRUPACIONES]]=1,SUMIFS(Tabla44[TOTAL APORTES ICBF],Tabla44[ZONA DEFINITIVO],Tabla44[[#This Row],[ZONA DEFINITIVO]])," ")</f>
        <v xml:space="preserve"> </v>
      </c>
      <c r="AJ482" s="38"/>
      <c r="AK482" s="38"/>
      <c r="AL482" s="35"/>
      <c r="AM482" s="35">
        <f>VLOOKUP(Tabla44[[#This Row],[SERVICIO 2025]],$J$2:$V$15,5,0)*Tabla44[[#This Row],[TOTAL COBERTURA]]</f>
        <v>543136</v>
      </c>
      <c r="AN482" s="35">
        <f>VLOOKUP(Tabla44[[#This Row],[SERVICIO 2025]],$J$2:$V$15,6,0)*Tabla44[[#This Row],[TOTAL COBERTURA]]</f>
        <v>451319</v>
      </c>
      <c r="AO482" s="35">
        <f>VLOOKUP(Tabla44[[#This Row],[SERVICIO 2025]],$J$2:$V$15,8,0)*Tabla44[[#This Row],[TOTAL COBERTURA]]</f>
        <v>320100</v>
      </c>
      <c r="AP482" s="35">
        <f>VLOOKUP(Tabla44[[#This Row],[SERVICIO 2025]],$J$2:$V$15,3,0)*Tabla44[[#This Row],[TOTAL COBERTURA]]*8</f>
        <v>22667568</v>
      </c>
      <c r="AQ482" s="35"/>
      <c r="AR482" s="35">
        <f>SUM(Tabla44[[#This Row],[VALOR FASE PREPARATORIA DE ALISTAMIENTO]:[VALOR RACION PREPARADA]])</f>
        <v>23982123</v>
      </c>
      <c r="AS482" s="35" t="str">
        <f>+IF(Tabla44[[#This Row],[AGRUPACIONES]]=1,SUMIFS(Tabla44[VALOR TOTAL],Tabla44[ZONA DEFINITIVO],Tabla44[[#This Row],[ZONA DEFINITIVO]])," ")</f>
        <v xml:space="preserve"> </v>
      </c>
      <c r="AT482" s="35">
        <f>VLOOKUP(Tabla44[[#This Row],[SERVICIO 2025]],$J$2:$V$15,10,0)*Tabla44[[#This Row],[TOTAL COBERTURA]]*$X$7</f>
        <v>15873704</v>
      </c>
      <c r="AU482" s="39">
        <f>Tabla44[[#This Row],[TOTAL CONTRATO (ICBF+EAS)]]+Tabla44[[#This Row],[VALOR COMPONENTE ALIMENTACION NO ASIGNADO]]</f>
        <v>39855827</v>
      </c>
      <c r="AV48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5680895</v>
      </c>
      <c r="AW482" s="35">
        <f>(VLOOKUP(Tabla44[[#This Row],[SERVICIO 2025]],$J$2:$V$15,3,0)*Tabla44[[#This Row],[TOTAL COBERTURA]])+VLOOKUP(Tabla44[[#This Row],[SERVICIO 2025]],$J$2:$V$15,10,0)*Tabla44[[#This Row],[TOTAL COBERTURA]]</f>
        <v>4817659</v>
      </c>
      <c r="AX482" s="35">
        <f>(VLOOKUP(Tabla44[[#This Row],[SERVICIO 2025]],$J$2:$V$15,3,0)*Tabla44[[#This Row],[TOTAL COBERTURA]])+VLOOKUP(Tabla44[[#This Row],[SERVICIO 2025]],$J$2:$V$15,10,0)*Tabla44[[#This Row],[TOTAL COBERTURA]]</f>
        <v>4817659</v>
      </c>
      <c r="AY482" s="35">
        <f>(VLOOKUP(Tabla44[[#This Row],[SERVICIO 2025]],$J$2:$V$15,3,0)*Tabla44[[#This Row],[TOTAL COBERTURA]])+VLOOKUP(Tabla44[[#This Row],[SERVICIO 2025]],$J$2:$V$15,10,0)*Tabla44[[#This Row],[TOTAL COBERTURA]]</f>
        <v>4817659</v>
      </c>
      <c r="AZ482" s="35">
        <f>(VLOOKUP(Tabla44[[#This Row],[SERVICIO 2025]],$J$2:$V$15,3,0)*Tabla44[[#This Row],[TOTAL COBERTURA]])+VLOOKUP(Tabla44[[#This Row],[SERVICIO 2025]],$J$2:$V$15,10,0)*Tabla44[[#This Row],[TOTAL COBERTURA]]</f>
        <v>4817659</v>
      </c>
      <c r="BA482" s="35">
        <f>(VLOOKUP(Tabla44[[#This Row],[SERVICIO 2025]],$J$2:$V$15,3,0)*Tabla44[[#This Row],[TOTAL COBERTURA]])+VLOOKUP(Tabla44[[#This Row],[SERVICIO 2025]],$J$2:$V$15,10,0)*Tabla44[[#This Row],[TOTAL COBERTURA]]</f>
        <v>4817659</v>
      </c>
      <c r="BB482" s="35">
        <f>(VLOOKUP(Tabla44[[#This Row],[SERVICIO 2025]],$J$2:$V$15,3,0)*Tabla44[[#This Row],[TOTAL COBERTURA]])+VLOOKUP(Tabla44[[#This Row],[SERVICIO 2025]],$J$2:$V$15,10,0)*Tabla44[[#This Row],[TOTAL COBERTURA]]</f>
        <v>4817659</v>
      </c>
      <c r="BC48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5268978</v>
      </c>
      <c r="BD482" s="35">
        <f>SUM(Tabla44[[#This Row],[DESEMBOLSO 1]:[DESEMBOLSO 8]])</f>
        <v>39855827</v>
      </c>
      <c r="BE482" s="12" t="b">
        <f>EXACT(Tabla44[[#This Row],[VALOR ATENCIÓN (8 MESES)]],Tabla44[[#This Row],[VALOR TOTAL]])</f>
        <v>1</v>
      </c>
      <c r="BF482" s="23">
        <f>Tabla44[[#This Row],[VALOR ATENCIÓN (8 MESES)]]-Tabla44[[#This Row],[VALOR TOTAL]]</f>
        <v>0</v>
      </c>
      <c r="BG482" s="12" t="b">
        <f>EXACT(Tabla44[[#This Row],[TOTAL DESEMBOLSOS]],Tabla44[[#This Row],[VALOR TOTAL DEL CONTRATO INCLUIDO EL COMPONENTE DE ALIMENTACIÓN]])</f>
        <v>1</v>
      </c>
      <c r="BH482" s="29">
        <f>Tabla44[[#This Row],[TOTAL DESEMBOLSOS]]-Tabla44[[#This Row],[VALOR TOTAL DEL CONTRATO INCLUIDO EL COMPONENTE DE ALIMENTACIÓN]]</f>
        <v>0</v>
      </c>
      <c r="BI482" t="s">
        <v>98</v>
      </c>
    </row>
    <row r="483" spans="1:61">
      <c r="A483" s="13">
        <v>2022</v>
      </c>
      <c r="B483" s="13"/>
      <c r="C483" s="12" t="s">
        <v>87</v>
      </c>
      <c r="D483" s="12" t="s">
        <v>1628</v>
      </c>
      <c r="E483" s="12" t="s">
        <v>3711</v>
      </c>
      <c r="F483" s="12" t="s">
        <v>21</v>
      </c>
      <c r="G483" s="12" t="s">
        <v>90</v>
      </c>
      <c r="H483" s="12" t="s">
        <v>3722</v>
      </c>
      <c r="I483" s="36">
        <v>58871150438</v>
      </c>
      <c r="J483" s="12" t="s">
        <v>3739</v>
      </c>
      <c r="K483" s="12">
        <v>1</v>
      </c>
      <c r="L483" s="12">
        <v>87</v>
      </c>
      <c r="M483" s="12"/>
      <c r="N483" s="13">
        <v>2022</v>
      </c>
      <c r="O483" s="12" t="s">
        <v>2850</v>
      </c>
      <c r="P483" s="12"/>
      <c r="Q483" s="12"/>
      <c r="R483" s="12" t="s">
        <v>94</v>
      </c>
      <c r="S483" s="12">
        <v>10</v>
      </c>
      <c r="T483" s="12">
        <v>890985417</v>
      </c>
      <c r="U483" s="12" t="s">
        <v>3671</v>
      </c>
      <c r="V483" s="12">
        <f>VLOOKUP(Tabla44[[#This Row],[ZONA DEFINITIVO]],[1]Hoja1!$A$1:$D$125,3,0)</f>
        <v>229946</v>
      </c>
      <c r="W483" s="12">
        <f>VLOOKUP(Tabla44[[#This Row],[ZONA DEFINITIVO]],[1]Hoja1!$A$1:$D$125,2,0)</f>
        <v>17267</v>
      </c>
      <c r="X483" s="12">
        <f>VLOOKUP(Tabla44[[#This Row],[ZONA DEFINITIVO]],[1]Hoja1!$A$1:$D$125,4,0)</f>
        <v>105325</v>
      </c>
      <c r="Y483" s="12" t="str">
        <f>+IF(Tabla44[[#This Row],[AGRUPACIONES]]=1,SUMIFS(Tabla44[UDS],Tabla44[ZONA DEFINITIVO],Tabla44[[#This Row],[ZONA DEFINITIVO]])," ")</f>
        <v xml:space="preserve"> </v>
      </c>
      <c r="Z483" s="12" t="str">
        <f>+IF(Tabla44[[#This Row],[AGRUPACIONES]]=1,SUMIFS(Tabla44[TOTAL COBERTURA],Tabla44[ZONA DEFINITIVO],Tabla44[[#This Row],[ZONA DEFINITIVO]])," ")</f>
        <v xml:space="preserve"> </v>
      </c>
      <c r="AA483" s="12"/>
      <c r="AB483" s="35">
        <v>132179535</v>
      </c>
      <c r="AC483" s="37">
        <v>0</v>
      </c>
      <c r="AD483" s="35">
        <f t="shared" si="8"/>
        <v>0</v>
      </c>
      <c r="AE483" s="12"/>
      <c r="AF483" s="12">
        <f>COUNTIF($A$20:A483,A483)</f>
        <v>39</v>
      </c>
      <c r="AG483" s="38">
        <v>132179535</v>
      </c>
      <c r="AH483" s="38">
        <f>Tabla44[[#This Row],[VALOR CONTRAPARTIDA]]+Tabla44[[#This Row],[TOTAL APORTES ICBF]]</f>
        <v>132179535</v>
      </c>
      <c r="AI483" s="35" t="str">
        <f>+IF(Tabla44[[#This Row],[AGRUPACIONES]]=1,SUMIFS(Tabla44[TOTAL APORTES ICBF],Tabla44[ZONA DEFINITIVO],Tabla44[[#This Row],[ZONA DEFINITIVO]])," ")</f>
        <v xml:space="preserve"> </v>
      </c>
      <c r="AJ483" s="38"/>
      <c r="AK483" s="38"/>
      <c r="AL483" s="35"/>
      <c r="AM483" s="35">
        <f>VLOOKUP(Tabla44[[#This Row],[SERVICIO 2025]],$J$2:$V$15,5,0)*Tabla44[[#This Row],[TOTAL COBERTURA]]</f>
        <v>4066728</v>
      </c>
      <c r="AN483" s="35">
        <f>VLOOKUP(Tabla44[[#This Row],[SERVICIO 2025]],$J$2:$V$15,6,0)*Tabla44[[#This Row],[TOTAL COBERTURA]]</f>
        <v>3292167</v>
      </c>
      <c r="AO483" s="35">
        <f>VLOOKUP(Tabla44[[#This Row],[SERVICIO 2025]],$J$2:$V$15,8,0)*Tabla44[[#This Row],[TOTAL COBERTURA]]</f>
        <v>0</v>
      </c>
      <c r="AP483" s="35">
        <f>VLOOKUP(Tabla44[[#This Row],[SERVICIO 2025]],$J$2:$V$15,3,0)*Tabla44[[#This Row],[TOTAL COBERTURA]]*8</f>
        <v>124820640</v>
      </c>
      <c r="AQ483" s="35"/>
      <c r="AR483" s="35">
        <f>SUM(Tabla44[[#This Row],[VALOR FASE PREPARATORIA DE ALISTAMIENTO]:[VALOR RACION PREPARADA]])</f>
        <v>132179535</v>
      </c>
      <c r="AS483" s="35" t="str">
        <f>+IF(Tabla44[[#This Row],[AGRUPACIONES]]=1,SUMIFS(Tabla44[VALOR TOTAL],Tabla44[ZONA DEFINITIVO],Tabla44[[#This Row],[ZONA DEFINITIVO]])," ")</f>
        <v xml:space="preserve"> </v>
      </c>
      <c r="AT483" s="35">
        <f>VLOOKUP(Tabla44[[#This Row],[SERVICIO 2025]],$J$2:$V$15,10,0)*Tabla44[[#This Row],[TOTAL COBERTURA]]*$X$7</f>
        <v>131071416</v>
      </c>
      <c r="AU483" s="39">
        <f>Tabla44[[#This Row],[TOTAL CONTRATO (ICBF+EAS)]]+Tabla44[[#This Row],[VALOR COMPONENTE ALIMENTACION NO ASIGNADO]]</f>
        <v>263250951</v>
      </c>
      <c r="AV48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36053235</v>
      </c>
      <c r="AW483" s="35">
        <f>(VLOOKUP(Tabla44[[#This Row],[SERVICIO 2025]],$J$2:$V$15,3,0)*Tabla44[[#This Row],[TOTAL COBERTURA]])+VLOOKUP(Tabla44[[#This Row],[SERVICIO 2025]],$J$2:$V$15,10,0)*Tabla44[[#This Row],[TOTAL COBERTURA]]</f>
        <v>31986507</v>
      </c>
      <c r="AX483" s="35">
        <f>(VLOOKUP(Tabla44[[#This Row],[SERVICIO 2025]],$J$2:$V$15,3,0)*Tabla44[[#This Row],[TOTAL COBERTURA]])+VLOOKUP(Tabla44[[#This Row],[SERVICIO 2025]],$J$2:$V$15,10,0)*Tabla44[[#This Row],[TOTAL COBERTURA]]</f>
        <v>31986507</v>
      </c>
      <c r="AY483" s="35">
        <f>(VLOOKUP(Tabla44[[#This Row],[SERVICIO 2025]],$J$2:$V$15,3,0)*Tabla44[[#This Row],[TOTAL COBERTURA]])+VLOOKUP(Tabla44[[#This Row],[SERVICIO 2025]],$J$2:$V$15,10,0)*Tabla44[[#This Row],[TOTAL COBERTURA]]</f>
        <v>31986507</v>
      </c>
      <c r="AZ483" s="35">
        <f>(VLOOKUP(Tabla44[[#This Row],[SERVICIO 2025]],$J$2:$V$15,3,0)*Tabla44[[#This Row],[TOTAL COBERTURA]])+VLOOKUP(Tabla44[[#This Row],[SERVICIO 2025]],$J$2:$V$15,10,0)*Tabla44[[#This Row],[TOTAL COBERTURA]]</f>
        <v>31986507</v>
      </c>
      <c r="BA483" s="35">
        <f>(VLOOKUP(Tabla44[[#This Row],[SERVICIO 2025]],$J$2:$V$15,3,0)*Tabla44[[#This Row],[TOTAL COBERTURA]])+VLOOKUP(Tabla44[[#This Row],[SERVICIO 2025]],$J$2:$V$15,10,0)*Tabla44[[#This Row],[TOTAL COBERTURA]]</f>
        <v>31986507</v>
      </c>
      <c r="BB483" s="35">
        <f>(VLOOKUP(Tabla44[[#This Row],[SERVICIO 2025]],$J$2:$V$15,3,0)*Tabla44[[#This Row],[TOTAL COBERTURA]])+VLOOKUP(Tabla44[[#This Row],[SERVICIO 2025]],$J$2:$V$15,10,0)*Tabla44[[#This Row],[TOTAL COBERTURA]]</f>
        <v>31986507</v>
      </c>
      <c r="BC48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35278674</v>
      </c>
      <c r="BD483" s="35">
        <f>SUM(Tabla44[[#This Row],[DESEMBOLSO 1]:[DESEMBOLSO 8]])</f>
        <v>263250951</v>
      </c>
      <c r="BE483" s="12" t="b">
        <f>EXACT(Tabla44[[#This Row],[VALOR ATENCIÓN (8 MESES)]],Tabla44[[#This Row],[VALOR TOTAL]])</f>
        <v>1</v>
      </c>
      <c r="BF483" s="23">
        <f>Tabla44[[#This Row],[VALOR ATENCIÓN (8 MESES)]]-Tabla44[[#This Row],[VALOR TOTAL]]</f>
        <v>0</v>
      </c>
      <c r="BG483" s="12" t="b">
        <f>EXACT(Tabla44[[#This Row],[TOTAL DESEMBOLSOS]],Tabla44[[#This Row],[VALOR TOTAL DEL CONTRATO INCLUIDO EL COMPONENTE DE ALIMENTACIÓN]])</f>
        <v>1</v>
      </c>
      <c r="BH483" s="29">
        <f>Tabla44[[#This Row],[TOTAL DESEMBOLSOS]]-Tabla44[[#This Row],[VALOR TOTAL DEL CONTRATO INCLUIDO EL COMPONENTE DE ALIMENTACIÓN]]</f>
        <v>0</v>
      </c>
      <c r="BI483" t="s">
        <v>98</v>
      </c>
    </row>
    <row r="484" spans="1:61">
      <c r="A484" s="13">
        <v>2022</v>
      </c>
      <c r="B484" s="13"/>
      <c r="C484" s="12" t="s">
        <v>87</v>
      </c>
      <c r="D484" s="12" t="s">
        <v>1628</v>
      </c>
      <c r="E484" s="12" t="s">
        <v>3711</v>
      </c>
      <c r="F484" s="12" t="s">
        <v>21</v>
      </c>
      <c r="G484" s="12" t="s">
        <v>90</v>
      </c>
      <c r="H484" s="12" t="s">
        <v>3740</v>
      </c>
      <c r="I484" s="36">
        <v>58871150439</v>
      </c>
      <c r="J484" s="12" t="s">
        <v>3741</v>
      </c>
      <c r="K484" s="12">
        <v>1</v>
      </c>
      <c r="L484" s="12">
        <v>17</v>
      </c>
      <c r="M484" s="12"/>
      <c r="N484" s="13">
        <v>2022</v>
      </c>
      <c r="O484" s="12" t="s">
        <v>2850</v>
      </c>
      <c r="P484" s="12"/>
      <c r="Q484" s="12"/>
      <c r="R484" s="12" t="s">
        <v>94</v>
      </c>
      <c r="S484" s="12">
        <v>10</v>
      </c>
      <c r="T484" s="12">
        <v>890985417</v>
      </c>
      <c r="U484" s="12" t="s">
        <v>3671</v>
      </c>
      <c r="V484" s="12">
        <f>VLOOKUP(Tabla44[[#This Row],[ZONA DEFINITIVO]],[1]Hoja1!$A$1:$D$125,3,0)</f>
        <v>229946</v>
      </c>
      <c r="W484" s="12">
        <f>VLOOKUP(Tabla44[[#This Row],[ZONA DEFINITIVO]],[1]Hoja1!$A$1:$D$125,2,0)</f>
        <v>17267</v>
      </c>
      <c r="X484" s="12">
        <f>VLOOKUP(Tabla44[[#This Row],[ZONA DEFINITIVO]],[1]Hoja1!$A$1:$D$125,4,0)</f>
        <v>105325</v>
      </c>
      <c r="Y484" s="12" t="str">
        <f>+IF(Tabla44[[#This Row],[AGRUPACIONES]]=1,SUMIFS(Tabla44[UDS],Tabla44[ZONA DEFINITIVO],Tabla44[[#This Row],[ZONA DEFINITIVO]])," ")</f>
        <v xml:space="preserve"> </v>
      </c>
      <c r="Z484" s="12" t="str">
        <f>+IF(Tabla44[[#This Row],[AGRUPACIONES]]=1,SUMIFS(Tabla44[TOTAL COBERTURA],Tabla44[ZONA DEFINITIVO],Tabla44[[#This Row],[ZONA DEFINITIVO]])," ")</f>
        <v xml:space="preserve"> </v>
      </c>
      <c r="AA484" s="12"/>
      <c r="AB484" s="35">
        <v>25828185</v>
      </c>
      <c r="AC484" s="37">
        <v>0</v>
      </c>
      <c r="AD484" s="35">
        <f t="shared" si="8"/>
        <v>0</v>
      </c>
      <c r="AE484" s="12"/>
      <c r="AF484" s="12">
        <f>COUNTIF($A$20:A484,A484)</f>
        <v>40</v>
      </c>
      <c r="AG484" s="38">
        <v>25828185</v>
      </c>
      <c r="AH484" s="38">
        <f>Tabla44[[#This Row],[VALOR CONTRAPARTIDA]]+Tabla44[[#This Row],[TOTAL APORTES ICBF]]</f>
        <v>25828185</v>
      </c>
      <c r="AI484" s="35" t="str">
        <f>+IF(Tabla44[[#This Row],[AGRUPACIONES]]=1,SUMIFS(Tabla44[TOTAL APORTES ICBF],Tabla44[ZONA DEFINITIVO],Tabla44[[#This Row],[ZONA DEFINITIVO]])," ")</f>
        <v xml:space="preserve"> </v>
      </c>
      <c r="AJ484" s="38"/>
      <c r="AK484" s="38"/>
      <c r="AL484" s="35"/>
      <c r="AM484" s="35">
        <f>VLOOKUP(Tabla44[[#This Row],[SERVICIO 2025]],$J$2:$V$15,5,0)*Tabla44[[#This Row],[TOTAL COBERTURA]]</f>
        <v>794648</v>
      </c>
      <c r="AN484" s="35">
        <f>VLOOKUP(Tabla44[[#This Row],[SERVICIO 2025]],$J$2:$V$15,6,0)*Tabla44[[#This Row],[TOTAL COBERTURA]]</f>
        <v>643297</v>
      </c>
      <c r="AO484" s="35">
        <f>VLOOKUP(Tabla44[[#This Row],[SERVICIO 2025]],$J$2:$V$15,8,0)*Tabla44[[#This Row],[TOTAL COBERTURA]]</f>
        <v>0</v>
      </c>
      <c r="AP484" s="35">
        <f>VLOOKUP(Tabla44[[#This Row],[SERVICIO 2025]],$J$2:$V$15,3,0)*Tabla44[[#This Row],[TOTAL COBERTURA]]*8</f>
        <v>24390240</v>
      </c>
      <c r="AQ484" s="35"/>
      <c r="AR484" s="35">
        <f>SUM(Tabla44[[#This Row],[VALOR FASE PREPARATORIA DE ALISTAMIENTO]:[VALOR RACION PREPARADA]])</f>
        <v>25828185</v>
      </c>
      <c r="AS484" s="35" t="str">
        <f>+IF(Tabla44[[#This Row],[AGRUPACIONES]]=1,SUMIFS(Tabla44[VALOR TOTAL],Tabla44[ZONA DEFINITIVO],Tabla44[[#This Row],[ZONA DEFINITIVO]])," ")</f>
        <v xml:space="preserve"> </v>
      </c>
      <c r="AT484" s="35">
        <f>VLOOKUP(Tabla44[[#This Row],[SERVICIO 2025]],$J$2:$V$15,10,0)*Tabla44[[#This Row],[TOTAL COBERTURA]]*$X$7</f>
        <v>25611656</v>
      </c>
      <c r="AU484" s="39">
        <f>Tabla44[[#This Row],[TOTAL CONTRATO (ICBF+EAS)]]+Tabla44[[#This Row],[VALOR COMPONENTE ALIMENTACION NO ASIGNADO]]</f>
        <v>51439841</v>
      </c>
      <c r="AV48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7044885</v>
      </c>
      <c r="AW484" s="35">
        <f>(VLOOKUP(Tabla44[[#This Row],[SERVICIO 2025]],$J$2:$V$15,3,0)*Tabla44[[#This Row],[TOTAL COBERTURA]])+VLOOKUP(Tabla44[[#This Row],[SERVICIO 2025]],$J$2:$V$15,10,0)*Tabla44[[#This Row],[TOTAL COBERTURA]]</f>
        <v>6250237</v>
      </c>
      <c r="AX484" s="35">
        <f>(VLOOKUP(Tabla44[[#This Row],[SERVICIO 2025]],$J$2:$V$15,3,0)*Tabla44[[#This Row],[TOTAL COBERTURA]])+VLOOKUP(Tabla44[[#This Row],[SERVICIO 2025]],$J$2:$V$15,10,0)*Tabla44[[#This Row],[TOTAL COBERTURA]]</f>
        <v>6250237</v>
      </c>
      <c r="AY484" s="35">
        <f>(VLOOKUP(Tabla44[[#This Row],[SERVICIO 2025]],$J$2:$V$15,3,0)*Tabla44[[#This Row],[TOTAL COBERTURA]])+VLOOKUP(Tabla44[[#This Row],[SERVICIO 2025]],$J$2:$V$15,10,0)*Tabla44[[#This Row],[TOTAL COBERTURA]]</f>
        <v>6250237</v>
      </c>
      <c r="AZ484" s="35">
        <f>(VLOOKUP(Tabla44[[#This Row],[SERVICIO 2025]],$J$2:$V$15,3,0)*Tabla44[[#This Row],[TOTAL COBERTURA]])+VLOOKUP(Tabla44[[#This Row],[SERVICIO 2025]],$J$2:$V$15,10,0)*Tabla44[[#This Row],[TOTAL COBERTURA]]</f>
        <v>6250237</v>
      </c>
      <c r="BA484" s="35">
        <f>(VLOOKUP(Tabla44[[#This Row],[SERVICIO 2025]],$J$2:$V$15,3,0)*Tabla44[[#This Row],[TOTAL COBERTURA]])+VLOOKUP(Tabla44[[#This Row],[SERVICIO 2025]],$J$2:$V$15,10,0)*Tabla44[[#This Row],[TOTAL COBERTURA]]</f>
        <v>6250237</v>
      </c>
      <c r="BB484" s="35">
        <f>(VLOOKUP(Tabla44[[#This Row],[SERVICIO 2025]],$J$2:$V$15,3,0)*Tabla44[[#This Row],[TOTAL COBERTURA]])+VLOOKUP(Tabla44[[#This Row],[SERVICIO 2025]],$J$2:$V$15,10,0)*Tabla44[[#This Row],[TOTAL COBERTURA]]</f>
        <v>6250237</v>
      </c>
      <c r="BC48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6893534</v>
      </c>
      <c r="BD484" s="35">
        <f>SUM(Tabla44[[#This Row],[DESEMBOLSO 1]:[DESEMBOLSO 8]])</f>
        <v>51439841</v>
      </c>
      <c r="BE484" s="12" t="b">
        <f>EXACT(Tabla44[[#This Row],[VALOR ATENCIÓN (8 MESES)]],Tabla44[[#This Row],[VALOR TOTAL]])</f>
        <v>1</v>
      </c>
      <c r="BF484" s="23">
        <f>Tabla44[[#This Row],[VALOR ATENCIÓN (8 MESES)]]-Tabla44[[#This Row],[VALOR TOTAL]]</f>
        <v>0</v>
      </c>
      <c r="BG484" s="12" t="b">
        <f>EXACT(Tabla44[[#This Row],[TOTAL DESEMBOLSOS]],Tabla44[[#This Row],[VALOR TOTAL DEL CONTRATO INCLUIDO EL COMPONENTE DE ALIMENTACIÓN]])</f>
        <v>1</v>
      </c>
      <c r="BH484" s="29">
        <f>Tabla44[[#This Row],[TOTAL DESEMBOLSOS]]-Tabla44[[#This Row],[VALOR TOTAL DEL CONTRATO INCLUIDO EL COMPONENTE DE ALIMENTACIÓN]]</f>
        <v>0</v>
      </c>
      <c r="BI484" t="s">
        <v>98</v>
      </c>
    </row>
    <row r="485" spans="1:61">
      <c r="A485" s="13">
        <v>2022</v>
      </c>
      <c r="B485" s="13"/>
      <c r="C485" s="12" t="s">
        <v>87</v>
      </c>
      <c r="D485" s="12" t="s">
        <v>1628</v>
      </c>
      <c r="E485" s="12" t="s">
        <v>3711</v>
      </c>
      <c r="F485" s="12" t="s">
        <v>21</v>
      </c>
      <c r="G485" s="12" t="s">
        <v>90</v>
      </c>
      <c r="H485" s="12" t="s">
        <v>3742</v>
      </c>
      <c r="I485" s="36">
        <v>58871150440</v>
      </c>
      <c r="J485" s="12" t="s">
        <v>3743</v>
      </c>
      <c r="K485" s="12">
        <v>1</v>
      </c>
      <c r="L485" s="12">
        <v>17</v>
      </c>
      <c r="M485" s="12"/>
      <c r="N485" s="13">
        <v>2022</v>
      </c>
      <c r="O485" s="12" t="s">
        <v>2850</v>
      </c>
      <c r="P485" s="12"/>
      <c r="Q485" s="12"/>
      <c r="R485" s="12" t="s">
        <v>94</v>
      </c>
      <c r="S485" s="12">
        <v>10</v>
      </c>
      <c r="T485" s="12">
        <v>890985417</v>
      </c>
      <c r="U485" s="12" t="s">
        <v>3671</v>
      </c>
      <c r="V485" s="12">
        <f>VLOOKUP(Tabla44[[#This Row],[ZONA DEFINITIVO]],[1]Hoja1!$A$1:$D$125,3,0)</f>
        <v>229946</v>
      </c>
      <c r="W485" s="12">
        <f>VLOOKUP(Tabla44[[#This Row],[ZONA DEFINITIVO]],[1]Hoja1!$A$1:$D$125,2,0)</f>
        <v>17267</v>
      </c>
      <c r="X485" s="12">
        <f>VLOOKUP(Tabla44[[#This Row],[ZONA DEFINITIVO]],[1]Hoja1!$A$1:$D$125,4,0)</f>
        <v>105325</v>
      </c>
      <c r="Y485" s="12" t="str">
        <f>+IF(Tabla44[[#This Row],[AGRUPACIONES]]=1,SUMIFS(Tabla44[UDS],Tabla44[ZONA DEFINITIVO],Tabla44[[#This Row],[ZONA DEFINITIVO]])," ")</f>
        <v xml:space="preserve"> </v>
      </c>
      <c r="Z485" s="12" t="str">
        <f>+IF(Tabla44[[#This Row],[AGRUPACIONES]]=1,SUMIFS(Tabla44[TOTAL COBERTURA],Tabla44[ZONA DEFINITIVO],Tabla44[[#This Row],[ZONA DEFINITIVO]])," ")</f>
        <v xml:space="preserve"> </v>
      </c>
      <c r="AA485" s="12"/>
      <c r="AB485" s="35">
        <v>25828185</v>
      </c>
      <c r="AC485" s="37">
        <v>0</v>
      </c>
      <c r="AD485" s="35">
        <f t="shared" si="8"/>
        <v>0</v>
      </c>
      <c r="AE485" s="12"/>
      <c r="AF485" s="12">
        <f>COUNTIF($A$20:A485,A485)</f>
        <v>41</v>
      </c>
      <c r="AG485" s="38">
        <v>25828185</v>
      </c>
      <c r="AH485" s="38">
        <f>Tabla44[[#This Row],[VALOR CONTRAPARTIDA]]+Tabla44[[#This Row],[TOTAL APORTES ICBF]]</f>
        <v>25828185</v>
      </c>
      <c r="AI485" s="35" t="str">
        <f>+IF(Tabla44[[#This Row],[AGRUPACIONES]]=1,SUMIFS(Tabla44[TOTAL APORTES ICBF],Tabla44[ZONA DEFINITIVO],Tabla44[[#This Row],[ZONA DEFINITIVO]])," ")</f>
        <v xml:space="preserve"> </v>
      </c>
      <c r="AJ485" s="38"/>
      <c r="AK485" s="38"/>
      <c r="AL485" s="35"/>
      <c r="AM485" s="35">
        <f>VLOOKUP(Tabla44[[#This Row],[SERVICIO 2025]],$J$2:$V$15,5,0)*Tabla44[[#This Row],[TOTAL COBERTURA]]</f>
        <v>794648</v>
      </c>
      <c r="AN485" s="35">
        <f>VLOOKUP(Tabla44[[#This Row],[SERVICIO 2025]],$J$2:$V$15,6,0)*Tabla44[[#This Row],[TOTAL COBERTURA]]</f>
        <v>643297</v>
      </c>
      <c r="AO485" s="35">
        <f>VLOOKUP(Tabla44[[#This Row],[SERVICIO 2025]],$J$2:$V$15,8,0)*Tabla44[[#This Row],[TOTAL COBERTURA]]</f>
        <v>0</v>
      </c>
      <c r="AP485" s="35">
        <f>VLOOKUP(Tabla44[[#This Row],[SERVICIO 2025]],$J$2:$V$15,3,0)*Tabla44[[#This Row],[TOTAL COBERTURA]]*8</f>
        <v>24390240</v>
      </c>
      <c r="AQ485" s="35"/>
      <c r="AR485" s="35">
        <f>SUM(Tabla44[[#This Row],[VALOR FASE PREPARATORIA DE ALISTAMIENTO]:[VALOR RACION PREPARADA]])</f>
        <v>25828185</v>
      </c>
      <c r="AS485" s="35" t="str">
        <f>+IF(Tabla44[[#This Row],[AGRUPACIONES]]=1,SUMIFS(Tabla44[VALOR TOTAL],Tabla44[ZONA DEFINITIVO],Tabla44[[#This Row],[ZONA DEFINITIVO]])," ")</f>
        <v xml:space="preserve"> </v>
      </c>
      <c r="AT485" s="35">
        <f>VLOOKUP(Tabla44[[#This Row],[SERVICIO 2025]],$J$2:$V$15,10,0)*Tabla44[[#This Row],[TOTAL COBERTURA]]*$X$7</f>
        <v>25611656</v>
      </c>
      <c r="AU485" s="39">
        <f>Tabla44[[#This Row],[TOTAL CONTRATO (ICBF+EAS)]]+Tabla44[[#This Row],[VALOR COMPONENTE ALIMENTACION NO ASIGNADO]]</f>
        <v>51439841</v>
      </c>
      <c r="AV48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7044885</v>
      </c>
      <c r="AW485" s="35">
        <f>(VLOOKUP(Tabla44[[#This Row],[SERVICIO 2025]],$J$2:$V$15,3,0)*Tabla44[[#This Row],[TOTAL COBERTURA]])+VLOOKUP(Tabla44[[#This Row],[SERVICIO 2025]],$J$2:$V$15,10,0)*Tabla44[[#This Row],[TOTAL COBERTURA]]</f>
        <v>6250237</v>
      </c>
      <c r="AX485" s="35">
        <f>(VLOOKUP(Tabla44[[#This Row],[SERVICIO 2025]],$J$2:$V$15,3,0)*Tabla44[[#This Row],[TOTAL COBERTURA]])+VLOOKUP(Tabla44[[#This Row],[SERVICIO 2025]],$J$2:$V$15,10,0)*Tabla44[[#This Row],[TOTAL COBERTURA]]</f>
        <v>6250237</v>
      </c>
      <c r="AY485" s="35">
        <f>(VLOOKUP(Tabla44[[#This Row],[SERVICIO 2025]],$J$2:$V$15,3,0)*Tabla44[[#This Row],[TOTAL COBERTURA]])+VLOOKUP(Tabla44[[#This Row],[SERVICIO 2025]],$J$2:$V$15,10,0)*Tabla44[[#This Row],[TOTAL COBERTURA]]</f>
        <v>6250237</v>
      </c>
      <c r="AZ485" s="35">
        <f>(VLOOKUP(Tabla44[[#This Row],[SERVICIO 2025]],$J$2:$V$15,3,0)*Tabla44[[#This Row],[TOTAL COBERTURA]])+VLOOKUP(Tabla44[[#This Row],[SERVICIO 2025]],$J$2:$V$15,10,0)*Tabla44[[#This Row],[TOTAL COBERTURA]]</f>
        <v>6250237</v>
      </c>
      <c r="BA485" s="35">
        <f>(VLOOKUP(Tabla44[[#This Row],[SERVICIO 2025]],$J$2:$V$15,3,0)*Tabla44[[#This Row],[TOTAL COBERTURA]])+VLOOKUP(Tabla44[[#This Row],[SERVICIO 2025]],$J$2:$V$15,10,0)*Tabla44[[#This Row],[TOTAL COBERTURA]]</f>
        <v>6250237</v>
      </c>
      <c r="BB485" s="35">
        <f>(VLOOKUP(Tabla44[[#This Row],[SERVICIO 2025]],$J$2:$V$15,3,0)*Tabla44[[#This Row],[TOTAL COBERTURA]])+VLOOKUP(Tabla44[[#This Row],[SERVICIO 2025]],$J$2:$V$15,10,0)*Tabla44[[#This Row],[TOTAL COBERTURA]]</f>
        <v>6250237</v>
      </c>
      <c r="BC48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6893534</v>
      </c>
      <c r="BD485" s="35">
        <f>SUM(Tabla44[[#This Row],[DESEMBOLSO 1]:[DESEMBOLSO 8]])</f>
        <v>51439841</v>
      </c>
      <c r="BE485" s="12" t="b">
        <f>EXACT(Tabla44[[#This Row],[VALOR ATENCIÓN (8 MESES)]],Tabla44[[#This Row],[VALOR TOTAL]])</f>
        <v>1</v>
      </c>
      <c r="BF485" s="23">
        <f>Tabla44[[#This Row],[VALOR ATENCIÓN (8 MESES)]]-Tabla44[[#This Row],[VALOR TOTAL]]</f>
        <v>0</v>
      </c>
      <c r="BG485" s="12" t="b">
        <f>EXACT(Tabla44[[#This Row],[TOTAL DESEMBOLSOS]],Tabla44[[#This Row],[VALOR TOTAL DEL CONTRATO INCLUIDO EL COMPONENTE DE ALIMENTACIÓN]])</f>
        <v>1</v>
      </c>
      <c r="BH485" s="29">
        <f>Tabla44[[#This Row],[TOTAL DESEMBOLSOS]]-Tabla44[[#This Row],[VALOR TOTAL DEL CONTRATO INCLUIDO EL COMPONENTE DE ALIMENTACIÓN]]</f>
        <v>0</v>
      </c>
      <c r="BI485" t="s">
        <v>98</v>
      </c>
    </row>
    <row r="486" spans="1:61">
      <c r="A486" s="13">
        <v>2022</v>
      </c>
      <c r="B486" s="13"/>
      <c r="C486" s="12" t="s">
        <v>87</v>
      </c>
      <c r="D486" s="12" t="s">
        <v>1628</v>
      </c>
      <c r="E486" s="12" t="s">
        <v>3711</v>
      </c>
      <c r="F486" s="12" t="s">
        <v>21</v>
      </c>
      <c r="G486" s="12" t="s">
        <v>90</v>
      </c>
      <c r="H486" s="12" t="s">
        <v>3744</v>
      </c>
      <c r="I486" s="36">
        <v>58871150441</v>
      </c>
      <c r="J486" s="12" t="s">
        <v>3745</v>
      </c>
      <c r="K486" s="12">
        <v>1</v>
      </c>
      <c r="L486" s="12">
        <v>39</v>
      </c>
      <c r="M486" s="12"/>
      <c r="N486" s="13">
        <v>2022</v>
      </c>
      <c r="O486" s="12" t="s">
        <v>2850</v>
      </c>
      <c r="P486" s="12"/>
      <c r="Q486" s="12"/>
      <c r="R486" s="12" t="s">
        <v>94</v>
      </c>
      <c r="S486" s="12">
        <v>10</v>
      </c>
      <c r="T486" s="12">
        <v>890985417</v>
      </c>
      <c r="U486" s="12" t="s">
        <v>3671</v>
      </c>
      <c r="V486" s="12">
        <f>VLOOKUP(Tabla44[[#This Row],[ZONA DEFINITIVO]],[1]Hoja1!$A$1:$D$125,3,0)</f>
        <v>229946</v>
      </c>
      <c r="W486" s="12">
        <f>VLOOKUP(Tabla44[[#This Row],[ZONA DEFINITIVO]],[1]Hoja1!$A$1:$D$125,2,0)</f>
        <v>17267</v>
      </c>
      <c r="X486" s="12">
        <f>VLOOKUP(Tabla44[[#This Row],[ZONA DEFINITIVO]],[1]Hoja1!$A$1:$D$125,4,0)</f>
        <v>105325</v>
      </c>
      <c r="Y486" s="12" t="str">
        <f>+IF(Tabla44[[#This Row],[AGRUPACIONES]]=1,SUMIFS(Tabla44[UDS],Tabla44[ZONA DEFINITIVO],Tabla44[[#This Row],[ZONA DEFINITIVO]])," ")</f>
        <v xml:space="preserve"> </v>
      </c>
      <c r="Z486" s="12" t="str">
        <f>+IF(Tabla44[[#This Row],[AGRUPACIONES]]=1,SUMIFS(Tabla44[TOTAL COBERTURA],Tabla44[ZONA DEFINITIVO],Tabla44[[#This Row],[ZONA DEFINITIVO]])," ")</f>
        <v xml:space="preserve"> </v>
      </c>
      <c r="AA486" s="12"/>
      <c r="AB486" s="35">
        <v>59252895</v>
      </c>
      <c r="AC486" s="37">
        <v>0</v>
      </c>
      <c r="AD486" s="35">
        <f t="shared" si="8"/>
        <v>0</v>
      </c>
      <c r="AE486" s="12"/>
      <c r="AF486" s="12">
        <f>COUNTIF($A$20:A486,A486)</f>
        <v>42</v>
      </c>
      <c r="AG486" s="38">
        <v>59252895</v>
      </c>
      <c r="AH486" s="38">
        <f>Tabla44[[#This Row],[VALOR CONTRAPARTIDA]]+Tabla44[[#This Row],[TOTAL APORTES ICBF]]</f>
        <v>59252895</v>
      </c>
      <c r="AI486" s="35" t="str">
        <f>+IF(Tabla44[[#This Row],[AGRUPACIONES]]=1,SUMIFS(Tabla44[TOTAL APORTES ICBF],Tabla44[ZONA DEFINITIVO],Tabla44[[#This Row],[ZONA DEFINITIVO]])," ")</f>
        <v xml:space="preserve"> </v>
      </c>
      <c r="AJ486" s="38"/>
      <c r="AK486" s="38"/>
      <c r="AL486" s="35"/>
      <c r="AM486" s="35">
        <f>VLOOKUP(Tabla44[[#This Row],[SERVICIO 2025]],$J$2:$V$15,5,0)*Tabla44[[#This Row],[TOTAL COBERTURA]]</f>
        <v>1823016</v>
      </c>
      <c r="AN486" s="35">
        <f>VLOOKUP(Tabla44[[#This Row],[SERVICIO 2025]],$J$2:$V$15,6,0)*Tabla44[[#This Row],[TOTAL COBERTURA]]</f>
        <v>1475799</v>
      </c>
      <c r="AO486" s="35">
        <f>VLOOKUP(Tabla44[[#This Row],[SERVICIO 2025]],$J$2:$V$15,8,0)*Tabla44[[#This Row],[TOTAL COBERTURA]]</f>
        <v>0</v>
      </c>
      <c r="AP486" s="35">
        <f>VLOOKUP(Tabla44[[#This Row],[SERVICIO 2025]],$J$2:$V$15,3,0)*Tabla44[[#This Row],[TOTAL COBERTURA]]*8</f>
        <v>55954080</v>
      </c>
      <c r="AQ486" s="35"/>
      <c r="AR486" s="35">
        <f>SUM(Tabla44[[#This Row],[VALOR FASE PREPARATORIA DE ALISTAMIENTO]:[VALOR RACION PREPARADA]])</f>
        <v>59252895</v>
      </c>
      <c r="AS486" s="35" t="str">
        <f>+IF(Tabla44[[#This Row],[AGRUPACIONES]]=1,SUMIFS(Tabla44[VALOR TOTAL],Tabla44[ZONA DEFINITIVO],Tabla44[[#This Row],[ZONA DEFINITIVO]])," ")</f>
        <v xml:space="preserve"> </v>
      </c>
      <c r="AT486" s="35">
        <f>VLOOKUP(Tabla44[[#This Row],[SERVICIO 2025]],$J$2:$V$15,10,0)*Tabla44[[#This Row],[TOTAL COBERTURA]]*$X$7</f>
        <v>58756152</v>
      </c>
      <c r="AU486" s="39">
        <f>Tabla44[[#This Row],[TOTAL CONTRATO (ICBF+EAS)]]+Tabla44[[#This Row],[VALOR COMPONENTE ALIMENTACION NO ASIGNADO]]</f>
        <v>118009047</v>
      </c>
      <c r="AV48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16161795</v>
      </c>
      <c r="AW486" s="35">
        <f>(VLOOKUP(Tabla44[[#This Row],[SERVICIO 2025]],$J$2:$V$15,3,0)*Tabla44[[#This Row],[TOTAL COBERTURA]])+VLOOKUP(Tabla44[[#This Row],[SERVICIO 2025]],$J$2:$V$15,10,0)*Tabla44[[#This Row],[TOTAL COBERTURA]]</f>
        <v>14338779</v>
      </c>
      <c r="AX486" s="35">
        <f>(VLOOKUP(Tabla44[[#This Row],[SERVICIO 2025]],$J$2:$V$15,3,0)*Tabla44[[#This Row],[TOTAL COBERTURA]])+VLOOKUP(Tabla44[[#This Row],[SERVICIO 2025]],$J$2:$V$15,10,0)*Tabla44[[#This Row],[TOTAL COBERTURA]]</f>
        <v>14338779</v>
      </c>
      <c r="AY486" s="35">
        <f>(VLOOKUP(Tabla44[[#This Row],[SERVICIO 2025]],$J$2:$V$15,3,0)*Tabla44[[#This Row],[TOTAL COBERTURA]])+VLOOKUP(Tabla44[[#This Row],[SERVICIO 2025]],$J$2:$V$15,10,0)*Tabla44[[#This Row],[TOTAL COBERTURA]]</f>
        <v>14338779</v>
      </c>
      <c r="AZ486" s="35">
        <f>(VLOOKUP(Tabla44[[#This Row],[SERVICIO 2025]],$J$2:$V$15,3,0)*Tabla44[[#This Row],[TOTAL COBERTURA]])+VLOOKUP(Tabla44[[#This Row],[SERVICIO 2025]],$J$2:$V$15,10,0)*Tabla44[[#This Row],[TOTAL COBERTURA]]</f>
        <v>14338779</v>
      </c>
      <c r="BA486" s="35">
        <f>(VLOOKUP(Tabla44[[#This Row],[SERVICIO 2025]],$J$2:$V$15,3,0)*Tabla44[[#This Row],[TOTAL COBERTURA]])+VLOOKUP(Tabla44[[#This Row],[SERVICIO 2025]],$J$2:$V$15,10,0)*Tabla44[[#This Row],[TOTAL COBERTURA]]</f>
        <v>14338779</v>
      </c>
      <c r="BB486" s="35">
        <f>(VLOOKUP(Tabla44[[#This Row],[SERVICIO 2025]],$J$2:$V$15,3,0)*Tabla44[[#This Row],[TOTAL COBERTURA]])+VLOOKUP(Tabla44[[#This Row],[SERVICIO 2025]],$J$2:$V$15,10,0)*Tabla44[[#This Row],[TOTAL COBERTURA]]</f>
        <v>14338779</v>
      </c>
      <c r="BC48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15814578</v>
      </c>
      <c r="BD486" s="35">
        <f>SUM(Tabla44[[#This Row],[DESEMBOLSO 1]:[DESEMBOLSO 8]])</f>
        <v>118009047</v>
      </c>
      <c r="BE486" s="12" t="b">
        <f>EXACT(Tabla44[[#This Row],[VALOR ATENCIÓN (8 MESES)]],Tabla44[[#This Row],[VALOR TOTAL]])</f>
        <v>1</v>
      </c>
      <c r="BF486" s="23">
        <f>Tabla44[[#This Row],[VALOR ATENCIÓN (8 MESES)]]-Tabla44[[#This Row],[VALOR TOTAL]]</f>
        <v>0</v>
      </c>
      <c r="BG486" s="12" t="b">
        <f>EXACT(Tabla44[[#This Row],[TOTAL DESEMBOLSOS]],Tabla44[[#This Row],[VALOR TOTAL DEL CONTRATO INCLUIDO EL COMPONENTE DE ALIMENTACIÓN]])</f>
        <v>1</v>
      </c>
      <c r="BH486" s="29">
        <f>Tabla44[[#This Row],[TOTAL DESEMBOLSOS]]-Tabla44[[#This Row],[VALOR TOTAL DEL CONTRATO INCLUIDO EL COMPONENTE DE ALIMENTACIÓN]]</f>
        <v>0</v>
      </c>
      <c r="BI486" t="s">
        <v>98</v>
      </c>
    </row>
    <row r="487" spans="1:61">
      <c r="A487" s="13">
        <v>2022</v>
      </c>
      <c r="B487" s="13"/>
      <c r="C487" s="12" t="s">
        <v>87</v>
      </c>
      <c r="D487" s="12" t="s">
        <v>1628</v>
      </c>
      <c r="E487" s="12" t="s">
        <v>3711</v>
      </c>
      <c r="F487" s="12" t="s">
        <v>18</v>
      </c>
      <c r="G487" s="12" t="s">
        <v>90</v>
      </c>
      <c r="H487" s="12" t="s">
        <v>2348</v>
      </c>
      <c r="I487" s="36">
        <v>58871150442</v>
      </c>
      <c r="J487" s="12" t="s">
        <v>3746</v>
      </c>
      <c r="K487" s="12">
        <v>1</v>
      </c>
      <c r="L487" s="12">
        <v>14</v>
      </c>
      <c r="M487" s="12"/>
      <c r="N487" s="13">
        <v>2022</v>
      </c>
      <c r="O487" s="12" t="s">
        <v>2850</v>
      </c>
      <c r="P487" s="12"/>
      <c r="Q487" s="12"/>
      <c r="R487" s="12" t="s">
        <v>94</v>
      </c>
      <c r="S487" s="12">
        <v>10</v>
      </c>
      <c r="T487" s="12">
        <v>890985417</v>
      </c>
      <c r="U487" s="12" t="s">
        <v>3671</v>
      </c>
      <c r="V487" s="12">
        <f>VLOOKUP(Tabla44[[#This Row],[ZONA DEFINITIVO]],[1]Hoja1!$A$1:$D$125,3,0)</f>
        <v>229946</v>
      </c>
      <c r="W487" s="12">
        <f>VLOOKUP(Tabla44[[#This Row],[ZONA DEFINITIVO]],[1]Hoja1!$A$1:$D$125,2,0)</f>
        <v>17267</v>
      </c>
      <c r="X487" s="12">
        <f>VLOOKUP(Tabla44[[#This Row],[ZONA DEFINITIVO]],[1]Hoja1!$A$1:$D$125,4,0)</f>
        <v>105325</v>
      </c>
      <c r="Y487" s="12" t="str">
        <f>+IF(Tabla44[[#This Row],[AGRUPACIONES]]=1,SUMIFS(Tabla44[UDS],Tabla44[ZONA DEFINITIVO],Tabla44[[#This Row],[ZONA DEFINITIVO]])," ")</f>
        <v xml:space="preserve"> </v>
      </c>
      <c r="Z487" s="12" t="str">
        <f>+IF(Tabla44[[#This Row],[AGRUPACIONES]]=1,SUMIFS(Tabla44[TOTAL COBERTURA],Tabla44[ZONA DEFINITIVO],Tabla44[[#This Row],[ZONA DEFINITIVO]])," ")</f>
        <v xml:space="preserve"> </v>
      </c>
      <c r="AA487" s="12"/>
      <c r="AB487" s="35">
        <v>30522702</v>
      </c>
      <c r="AC487" s="37">
        <v>0</v>
      </c>
      <c r="AD487" s="35">
        <f t="shared" si="8"/>
        <v>0</v>
      </c>
      <c r="AE487" s="12"/>
      <c r="AF487" s="12">
        <f>COUNTIF($A$20:A487,A487)</f>
        <v>43</v>
      </c>
      <c r="AG487" s="38">
        <v>30522702</v>
      </c>
      <c r="AH487" s="38">
        <f>Tabla44[[#This Row],[VALOR CONTRAPARTIDA]]+Tabla44[[#This Row],[TOTAL APORTES ICBF]]</f>
        <v>30522702</v>
      </c>
      <c r="AI487" s="35" t="str">
        <f>+IF(Tabla44[[#This Row],[AGRUPACIONES]]=1,SUMIFS(Tabla44[TOTAL APORTES ICBF],Tabla44[ZONA DEFINITIVO],Tabla44[[#This Row],[ZONA DEFINITIVO]])," ")</f>
        <v xml:space="preserve"> </v>
      </c>
      <c r="AJ487" s="38"/>
      <c r="AK487" s="38"/>
      <c r="AL487" s="35"/>
      <c r="AM487" s="35">
        <f>VLOOKUP(Tabla44[[#This Row],[SERVICIO 2025]],$J$2:$V$15,5,0)*Tabla44[[#This Row],[TOTAL COBERTURA]]</f>
        <v>691264</v>
      </c>
      <c r="AN487" s="35">
        <f>VLOOKUP(Tabla44[[#This Row],[SERVICIO 2025]],$J$2:$V$15,6,0)*Tabla44[[#This Row],[TOTAL COBERTURA]]</f>
        <v>574406</v>
      </c>
      <c r="AO487" s="35">
        <f>VLOOKUP(Tabla44[[#This Row],[SERVICIO 2025]],$J$2:$V$15,8,0)*Tabla44[[#This Row],[TOTAL COBERTURA]]</f>
        <v>407400</v>
      </c>
      <c r="AP487" s="35">
        <f>VLOOKUP(Tabla44[[#This Row],[SERVICIO 2025]],$J$2:$V$15,3,0)*Tabla44[[#This Row],[TOTAL COBERTURA]]*8</f>
        <v>28849632</v>
      </c>
      <c r="AQ487" s="35"/>
      <c r="AR487" s="35">
        <f>SUM(Tabla44[[#This Row],[VALOR FASE PREPARATORIA DE ALISTAMIENTO]:[VALOR RACION PREPARADA]])</f>
        <v>30522702</v>
      </c>
      <c r="AS487" s="35" t="str">
        <f>+IF(Tabla44[[#This Row],[AGRUPACIONES]]=1,SUMIFS(Tabla44[VALOR TOTAL],Tabla44[ZONA DEFINITIVO],Tabla44[[#This Row],[ZONA DEFINITIVO]])," ")</f>
        <v xml:space="preserve"> </v>
      </c>
      <c r="AT487" s="35">
        <f>VLOOKUP(Tabla44[[#This Row],[SERVICIO 2025]],$J$2:$V$15,10,0)*Tabla44[[#This Row],[TOTAL COBERTURA]]*$X$7</f>
        <v>20202896</v>
      </c>
      <c r="AU487" s="39">
        <f>Tabla44[[#This Row],[TOTAL CONTRATO (ICBF+EAS)]]+Tabla44[[#This Row],[VALOR COMPONENTE ALIMENTACION NO ASIGNADO]]</f>
        <v>50725598</v>
      </c>
      <c r="AV48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487" s="35">
        <f>(VLOOKUP(Tabla44[[#This Row],[SERVICIO 2025]],$J$2:$V$15,3,0)*Tabla44[[#This Row],[TOTAL COBERTURA]])+VLOOKUP(Tabla44[[#This Row],[SERVICIO 2025]],$J$2:$V$15,10,0)*Tabla44[[#This Row],[TOTAL COBERTURA]]</f>
        <v>6131566</v>
      </c>
      <c r="AX487" s="35">
        <f>(VLOOKUP(Tabla44[[#This Row],[SERVICIO 2025]],$J$2:$V$15,3,0)*Tabla44[[#This Row],[TOTAL COBERTURA]])+VLOOKUP(Tabla44[[#This Row],[SERVICIO 2025]],$J$2:$V$15,10,0)*Tabla44[[#This Row],[TOTAL COBERTURA]]</f>
        <v>6131566</v>
      </c>
      <c r="AY487" s="35">
        <f>(VLOOKUP(Tabla44[[#This Row],[SERVICIO 2025]],$J$2:$V$15,3,0)*Tabla44[[#This Row],[TOTAL COBERTURA]])+VLOOKUP(Tabla44[[#This Row],[SERVICIO 2025]],$J$2:$V$15,10,0)*Tabla44[[#This Row],[TOTAL COBERTURA]]</f>
        <v>6131566</v>
      </c>
      <c r="AZ487" s="35">
        <f>(VLOOKUP(Tabla44[[#This Row],[SERVICIO 2025]],$J$2:$V$15,3,0)*Tabla44[[#This Row],[TOTAL COBERTURA]])+VLOOKUP(Tabla44[[#This Row],[SERVICIO 2025]],$J$2:$V$15,10,0)*Tabla44[[#This Row],[TOTAL COBERTURA]]</f>
        <v>6131566</v>
      </c>
      <c r="BA487" s="35">
        <f>(VLOOKUP(Tabla44[[#This Row],[SERVICIO 2025]],$J$2:$V$15,3,0)*Tabla44[[#This Row],[TOTAL COBERTURA]])+VLOOKUP(Tabla44[[#This Row],[SERVICIO 2025]],$J$2:$V$15,10,0)*Tabla44[[#This Row],[TOTAL COBERTURA]]</f>
        <v>6131566</v>
      </c>
      <c r="BB487" s="35">
        <f>(VLOOKUP(Tabla44[[#This Row],[SERVICIO 2025]],$J$2:$V$15,3,0)*Tabla44[[#This Row],[TOTAL COBERTURA]])+VLOOKUP(Tabla44[[#This Row],[SERVICIO 2025]],$J$2:$V$15,10,0)*Tabla44[[#This Row],[TOTAL COBERTURA]]</f>
        <v>6131566</v>
      </c>
      <c r="BC48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487" s="35">
        <f>SUM(Tabla44[[#This Row],[DESEMBOLSO 1]:[DESEMBOLSO 8]])</f>
        <v>50725598</v>
      </c>
      <c r="BE487" s="12" t="b">
        <f>EXACT(Tabla44[[#This Row],[VALOR ATENCIÓN (8 MESES)]],Tabla44[[#This Row],[VALOR TOTAL]])</f>
        <v>1</v>
      </c>
      <c r="BF487" s="23">
        <f>Tabla44[[#This Row],[VALOR ATENCIÓN (8 MESES)]]-Tabla44[[#This Row],[VALOR TOTAL]]</f>
        <v>0</v>
      </c>
      <c r="BG487" s="12" t="b">
        <f>EXACT(Tabla44[[#This Row],[TOTAL DESEMBOLSOS]],Tabla44[[#This Row],[VALOR TOTAL DEL CONTRATO INCLUIDO EL COMPONENTE DE ALIMENTACIÓN]])</f>
        <v>1</v>
      </c>
      <c r="BH487" s="29">
        <f>Tabla44[[#This Row],[TOTAL DESEMBOLSOS]]-Tabla44[[#This Row],[VALOR TOTAL DEL CONTRATO INCLUIDO EL COMPONENTE DE ALIMENTACIÓN]]</f>
        <v>0</v>
      </c>
      <c r="BI487" t="s">
        <v>98</v>
      </c>
    </row>
    <row r="488" spans="1:61">
      <c r="A488" s="13">
        <v>2022</v>
      </c>
      <c r="B488" s="13"/>
      <c r="C488" s="12" t="s">
        <v>87</v>
      </c>
      <c r="D488" s="12" t="s">
        <v>1628</v>
      </c>
      <c r="E488" s="12" t="s">
        <v>3711</v>
      </c>
      <c r="F488" s="12" t="s">
        <v>21</v>
      </c>
      <c r="G488" s="12" t="s">
        <v>90</v>
      </c>
      <c r="H488" s="12" t="s">
        <v>3747</v>
      </c>
      <c r="I488" s="36">
        <v>58871150443</v>
      </c>
      <c r="J488" s="12" t="s">
        <v>3748</v>
      </c>
      <c r="K488" s="12">
        <v>1</v>
      </c>
      <c r="L488" s="12">
        <v>18</v>
      </c>
      <c r="M488" s="12"/>
      <c r="N488" s="13">
        <v>2022</v>
      </c>
      <c r="O488" s="12" t="s">
        <v>2850</v>
      </c>
      <c r="P488" s="12"/>
      <c r="Q488" s="12"/>
      <c r="R488" s="12" t="s">
        <v>94</v>
      </c>
      <c r="S488" s="12">
        <v>10</v>
      </c>
      <c r="T488" s="12">
        <v>890985417</v>
      </c>
      <c r="U488" s="12" t="s">
        <v>3671</v>
      </c>
      <c r="V488" s="12">
        <f>VLOOKUP(Tabla44[[#This Row],[ZONA DEFINITIVO]],[1]Hoja1!$A$1:$D$125,3,0)</f>
        <v>229946</v>
      </c>
      <c r="W488" s="12">
        <f>VLOOKUP(Tabla44[[#This Row],[ZONA DEFINITIVO]],[1]Hoja1!$A$1:$D$125,2,0)</f>
        <v>17267</v>
      </c>
      <c r="X488" s="12">
        <f>VLOOKUP(Tabla44[[#This Row],[ZONA DEFINITIVO]],[1]Hoja1!$A$1:$D$125,4,0)</f>
        <v>105325</v>
      </c>
      <c r="Y488" s="12" t="str">
        <f>+IF(Tabla44[[#This Row],[AGRUPACIONES]]=1,SUMIFS(Tabla44[UDS],Tabla44[ZONA DEFINITIVO],Tabla44[[#This Row],[ZONA DEFINITIVO]])," ")</f>
        <v xml:space="preserve"> </v>
      </c>
      <c r="Z488" s="12" t="str">
        <f>+IF(Tabla44[[#This Row],[AGRUPACIONES]]=1,SUMIFS(Tabla44[TOTAL COBERTURA],Tabla44[ZONA DEFINITIVO],Tabla44[[#This Row],[ZONA DEFINITIVO]])," ")</f>
        <v xml:space="preserve"> </v>
      </c>
      <c r="AA488" s="12"/>
      <c r="AB488" s="35">
        <v>27347490</v>
      </c>
      <c r="AC488" s="37">
        <v>0</v>
      </c>
      <c r="AD488" s="35">
        <f t="shared" si="8"/>
        <v>0</v>
      </c>
      <c r="AE488" s="12"/>
      <c r="AF488" s="12">
        <f>COUNTIF($A$20:A488,A488)</f>
        <v>44</v>
      </c>
      <c r="AG488" s="38">
        <v>27347490</v>
      </c>
      <c r="AH488" s="38">
        <f>Tabla44[[#This Row],[VALOR CONTRAPARTIDA]]+Tabla44[[#This Row],[TOTAL APORTES ICBF]]</f>
        <v>27347490</v>
      </c>
      <c r="AI488" s="35" t="str">
        <f>+IF(Tabla44[[#This Row],[AGRUPACIONES]]=1,SUMIFS(Tabla44[TOTAL APORTES ICBF],Tabla44[ZONA DEFINITIVO],Tabla44[[#This Row],[ZONA DEFINITIVO]])," ")</f>
        <v xml:space="preserve"> </v>
      </c>
      <c r="AJ488" s="38"/>
      <c r="AK488" s="38"/>
      <c r="AL488" s="35"/>
      <c r="AM488" s="35">
        <f>VLOOKUP(Tabla44[[#This Row],[SERVICIO 2025]],$J$2:$V$15,5,0)*Tabla44[[#This Row],[TOTAL COBERTURA]]</f>
        <v>841392</v>
      </c>
      <c r="AN488" s="35">
        <f>VLOOKUP(Tabla44[[#This Row],[SERVICIO 2025]],$J$2:$V$15,6,0)*Tabla44[[#This Row],[TOTAL COBERTURA]]</f>
        <v>681138</v>
      </c>
      <c r="AO488" s="35">
        <f>VLOOKUP(Tabla44[[#This Row],[SERVICIO 2025]],$J$2:$V$15,8,0)*Tabla44[[#This Row],[TOTAL COBERTURA]]</f>
        <v>0</v>
      </c>
      <c r="AP488" s="35">
        <f>VLOOKUP(Tabla44[[#This Row],[SERVICIO 2025]],$J$2:$V$15,3,0)*Tabla44[[#This Row],[TOTAL COBERTURA]]*8</f>
        <v>25824960</v>
      </c>
      <c r="AQ488" s="35"/>
      <c r="AR488" s="35">
        <f>SUM(Tabla44[[#This Row],[VALOR FASE PREPARATORIA DE ALISTAMIENTO]:[VALOR RACION PREPARADA]])</f>
        <v>27347490</v>
      </c>
      <c r="AS488" s="35" t="str">
        <f>+IF(Tabla44[[#This Row],[AGRUPACIONES]]=1,SUMIFS(Tabla44[VALOR TOTAL],Tabla44[ZONA DEFINITIVO],Tabla44[[#This Row],[ZONA DEFINITIVO]])," ")</f>
        <v xml:space="preserve"> </v>
      </c>
      <c r="AT488" s="35">
        <f>VLOOKUP(Tabla44[[#This Row],[SERVICIO 2025]],$J$2:$V$15,10,0)*Tabla44[[#This Row],[TOTAL COBERTURA]]*$X$7</f>
        <v>27118224</v>
      </c>
      <c r="AU488" s="39">
        <f>Tabla44[[#This Row],[TOTAL CONTRATO (ICBF+EAS)]]+Tabla44[[#This Row],[VALOR COMPONENTE ALIMENTACION NO ASIGNADO]]</f>
        <v>54465714</v>
      </c>
      <c r="AV48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7459290</v>
      </c>
      <c r="AW488" s="35">
        <f>(VLOOKUP(Tabla44[[#This Row],[SERVICIO 2025]],$J$2:$V$15,3,0)*Tabla44[[#This Row],[TOTAL COBERTURA]])+VLOOKUP(Tabla44[[#This Row],[SERVICIO 2025]],$J$2:$V$15,10,0)*Tabla44[[#This Row],[TOTAL COBERTURA]]</f>
        <v>6617898</v>
      </c>
      <c r="AX488" s="35">
        <f>(VLOOKUP(Tabla44[[#This Row],[SERVICIO 2025]],$J$2:$V$15,3,0)*Tabla44[[#This Row],[TOTAL COBERTURA]])+VLOOKUP(Tabla44[[#This Row],[SERVICIO 2025]],$J$2:$V$15,10,0)*Tabla44[[#This Row],[TOTAL COBERTURA]]</f>
        <v>6617898</v>
      </c>
      <c r="AY488" s="35">
        <f>(VLOOKUP(Tabla44[[#This Row],[SERVICIO 2025]],$J$2:$V$15,3,0)*Tabla44[[#This Row],[TOTAL COBERTURA]])+VLOOKUP(Tabla44[[#This Row],[SERVICIO 2025]],$J$2:$V$15,10,0)*Tabla44[[#This Row],[TOTAL COBERTURA]]</f>
        <v>6617898</v>
      </c>
      <c r="AZ488" s="35">
        <f>(VLOOKUP(Tabla44[[#This Row],[SERVICIO 2025]],$J$2:$V$15,3,0)*Tabla44[[#This Row],[TOTAL COBERTURA]])+VLOOKUP(Tabla44[[#This Row],[SERVICIO 2025]],$J$2:$V$15,10,0)*Tabla44[[#This Row],[TOTAL COBERTURA]]</f>
        <v>6617898</v>
      </c>
      <c r="BA488" s="35">
        <f>(VLOOKUP(Tabla44[[#This Row],[SERVICIO 2025]],$J$2:$V$15,3,0)*Tabla44[[#This Row],[TOTAL COBERTURA]])+VLOOKUP(Tabla44[[#This Row],[SERVICIO 2025]],$J$2:$V$15,10,0)*Tabla44[[#This Row],[TOTAL COBERTURA]]</f>
        <v>6617898</v>
      </c>
      <c r="BB488" s="35">
        <f>(VLOOKUP(Tabla44[[#This Row],[SERVICIO 2025]],$J$2:$V$15,3,0)*Tabla44[[#This Row],[TOTAL COBERTURA]])+VLOOKUP(Tabla44[[#This Row],[SERVICIO 2025]],$J$2:$V$15,10,0)*Tabla44[[#This Row],[TOTAL COBERTURA]]</f>
        <v>6617898</v>
      </c>
      <c r="BC48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7299036</v>
      </c>
      <c r="BD488" s="35">
        <f>SUM(Tabla44[[#This Row],[DESEMBOLSO 1]:[DESEMBOLSO 8]])</f>
        <v>54465714</v>
      </c>
      <c r="BE488" s="12" t="b">
        <f>EXACT(Tabla44[[#This Row],[VALOR ATENCIÓN (8 MESES)]],Tabla44[[#This Row],[VALOR TOTAL]])</f>
        <v>1</v>
      </c>
      <c r="BF488" s="23">
        <f>Tabla44[[#This Row],[VALOR ATENCIÓN (8 MESES)]]-Tabla44[[#This Row],[VALOR TOTAL]]</f>
        <v>0</v>
      </c>
      <c r="BG488" s="12" t="b">
        <f>EXACT(Tabla44[[#This Row],[TOTAL DESEMBOLSOS]],Tabla44[[#This Row],[VALOR TOTAL DEL CONTRATO INCLUIDO EL COMPONENTE DE ALIMENTACIÓN]])</f>
        <v>1</v>
      </c>
      <c r="BH488" s="29">
        <f>Tabla44[[#This Row],[TOTAL DESEMBOLSOS]]-Tabla44[[#This Row],[VALOR TOTAL DEL CONTRATO INCLUIDO EL COMPONENTE DE ALIMENTACIÓN]]</f>
        <v>0</v>
      </c>
      <c r="BI488" t="s">
        <v>98</v>
      </c>
    </row>
    <row r="489" spans="1:61">
      <c r="A489" s="13">
        <v>2022</v>
      </c>
      <c r="B489" s="13"/>
      <c r="C489" s="12" t="s">
        <v>87</v>
      </c>
      <c r="D489" s="12" t="s">
        <v>1628</v>
      </c>
      <c r="E489" s="12" t="s">
        <v>3711</v>
      </c>
      <c r="F489" s="12" t="s">
        <v>18</v>
      </c>
      <c r="G489" s="12" t="s">
        <v>90</v>
      </c>
      <c r="H489" s="12" t="s">
        <v>1878</v>
      </c>
      <c r="I489" s="36">
        <v>58871150444</v>
      </c>
      <c r="J489" s="12" t="s">
        <v>3749</v>
      </c>
      <c r="K489" s="12">
        <v>1</v>
      </c>
      <c r="L489" s="12">
        <v>17</v>
      </c>
      <c r="M489" s="12"/>
      <c r="N489" s="13">
        <v>2022</v>
      </c>
      <c r="O489" s="12" t="s">
        <v>2850</v>
      </c>
      <c r="P489" s="12"/>
      <c r="Q489" s="12"/>
      <c r="R489" s="12" t="s">
        <v>94</v>
      </c>
      <c r="S489" s="12">
        <v>10</v>
      </c>
      <c r="T489" s="12">
        <v>890985417</v>
      </c>
      <c r="U489" s="12" t="s">
        <v>3671</v>
      </c>
      <c r="V489" s="12">
        <f>VLOOKUP(Tabla44[[#This Row],[ZONA DEFINITIVO]],[1]Hoja1!$A$1:$D$125,3,0)</f>
        <v>229946</v>
      </c>
      <c r="W489" s="12">
        <f>VLOOKUP(Tabla44[[#This Row],[ZONA DEFINITIVO]],[1]Hoja1!$A$1:$D$125,2,0)</f>
        <v>17267</v>
      </c>
      <c r="X489" s="12">
        <f>VLOOKUP(Tabla44[[#This Row],[ZONA DEFINITIVO]],[1]Hoja1!$A$1:$D$125,4,0)</f>
        <v>105325</v>
      </c>
      <c r="Y489" s="12" t="str">
        <f>+IF(Tabla44[[#This Row],[AGRUPACIONES]]=1,SUMIFS(Tabla44[UDS],Tabla44[ZONA DEFINITIVO],Tabla44[[#This Row],[ZONA DEFINITIVO]])," ")</f>
        <v xml:space="preserve"> </v>
      </c>
      <c r="Z489" s="12" t="str">
        <f>+IF(Tabla44[[#This Row],[AGRUPACIONES]]=1,SUMIFS(Tabla44[TOTAL COBERTURA],Tabla44[ZONA DEFINITIVO],Tabla44[[#This Row],[ZONA DEFINITIVO]])," ")</f>
        <v xml:space="preserve"> </v>
      </c>
      <c r="AA489" s="12"/>
      <c r="AB489" s="35">
        <v>37063281</v>
      </c>
      <c r="AC489" s="37">
        <v>0</v>
      </c>
      <c r="AD489" s="35">
        <f t="shared" si="8"/>
        <v>0</v>
      </c>
      <c r="AE489" s="12"/>
      <c r="AF489" s="12">
        <f>COUNTIF($A$20:A489,A489)</f>
        <v>45</v>
      </c>
      <c r="AG489" s="38">
        <v>37063281</v>
      </c>
      <c r="AH489" s="38">
        <f>Tabla44[[#This Row],[VALOR CONTRAPARTIDA]]+Tabla44[[#This Row],[TOTAL APORTES ICBF]]</f>
        <v>37063281</v>
      </c>
      <c r="AI489" s="35" t="str">
        <f>+IF(Tabla44[[#This Row],[AGRUPACIONES]]=1,SUMIFS(Tabla44[TOTAL APORTES ICBF],Tabla44[ZONA DEFINITIVO],Tabla44[[#This Row],[ZONA DEFINITIVO]])," ")</f>
        <v xml:space="preserve"> </v>
      </c>
      <c r="AJ489" s="38"/>
      <c r="AK489" s="38"/>
      <c r="AL489" s="35"/>
      <c r="AM489" s="35">
        <f>VLOOKUP(Tabla44[[#This Row],[SERVICIO 2025]],$J$2:$V$15,5,0)*Tabla44[[#This Row],[TOTAL COBERTURA]]</f>
        <v>839392</v>
      </c>
      <c r="AN489" s="35">
        <f>VLOOKUP(Tabla44[[#This Row],[SERVICIO 2025]],$J$2:$V$15,6,0)*Tabla44[[#This Row],[TOTAL COBERTURA]]</f>
        <v>697493</v>
      </c>
      <c r="AO489" s="35">
        <f>VLOOKUP(Tabla44[[#This Row],[SERVICIO 2025]],$J$2:$V$15,8,0)*Tabla44[[#This Row],[TOTAL COBERTURA]]</f>
        <v>494700</v>
      </c>
      <c r="AP489" s="35">
        <f>VLOOKUP(Tabla44[[#This Row],[SERVICIO 2025]],$J$2:$V$15,3,0)*Tabla44[[#This Row],[TOTAL COBERTURA]]*8</f>
        <v>35031696</v>
      </c>
      <c r="AQ489" s="35"/>
      <c r="AR489" s="35">
        <f>SUM(Tabla44[[#This Row],[VALOR FASE PREPARATORIA DE ALISTAMIENTO]:[VALOR RACION PREPARADA]])</f>
        <v>37063281</v>
      </c>
      <c r="AS489" s="35" t="str">
        <f>+IF(Tabla44[[#This Row],[AGRUPACIONES]]=1,SUMIFS(Tabla44[VALOR TOTAL],Tabla44[ZONA DEFINITIVO],Tabla44[[#This Row],[ZONA DEFINITIVO]])," ")</f>
        <v xml:space="preserve"> </v>
      </c>
      <c r="AT489" s="35">
        <f>VLOOKUP(Tabla44[[#This Row],[SERVICIO 2025]],$J$2:$V$15,10,0)*Tabla44[[#This Row],[TOTAL COBERTURA]]*$X$7</f>
        <v>24532088</v>
      </c>
      <c r="AU489" s="39">
        <f>Tabla44[[#This Row],[TOTAL CONTRATO (ICBF+EAS)]]+Tabla44[[#This Row],[VALOR COMPONENTE ALIMENTACION NO ASIGNADO]]</f>
        <v>61595369</v>
      </c>
      <c r="AV48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8779565</v>
      </c>
      <c r="AW489" s="35">
        <f>(VLOOKUP(Tabla44[[#This Row],[SERVICIO 2025]],$J$2:$V$15,3,0)*Tabla44[[#This Row],[TOTAL COBERTURA]])+VLOOKUP(Tabla44[[#This Row],[SERVICIO 2025]],$J$2:$V$15,10,0)*Tabla44[[#This Row],[TOTAL COBERTURA]]</f>
        <v>7445473</v>
      </c>
      <c r="AX489" s="35">
        <f>(VLOOKUP(Tabla44[[#This Row],[SERVICIO 2025]],$J$2:$V$15,3,0)*Tabla44[[#This Row],[TOTAL COBERTURA]])+VLOOKUP(Tabla44[[#This Row],[SERVICIO 2025]],$J$2:$V$15,10,0)*Tabla44[[#This Row],[TOTAL COBERTURA]]</f>
        <v>7445473</v>
      </c>
      <c r="AY489" s="35">
        <f>(VLOOKUP(Tabla44[[#This Row],[SERVICIO 2025]],$J$2:$V$15,3,0)*Tabla44[[#This Row],[TOTAL COBERTURA]])+VLOOKUP(Tabla44[[#This Row],[SERVICIO 2025]],$J$2:$V$15,10,0)*Tabla44[[#This Row],[TOTAL COBERTURA]]</f>
        <v>7445473</v>
      </c>
      <c r="AZ489" s="35">
        <f>(VLOOKUP(Tabla44[[#This Row],[SERVICIO 2025]],$J$2:$V$15,3,0)*Tabla44[[#This Row],[TOTAL COBERTURA]])+VLOOKUP(Tabla44[[#This Row],[SERVICIO 2025]],$J$2:$V$15,10,0)*Tabla44[[#This Row],[TOTAL COBERTURA]]</f>
        <v>7445473</v>
      </c>
      <c r="BA489" s="35">
        <f>(VLOOKUP(Tabla44[[#This Row],[SERVICIO 2025]],$J$2:$V$15,3,0)*Tabla44[[#This Row],[TOTAL COBERTURA]])+VLOOKUP(Tabla44[[#This Row],[SERVICIO 2025]],$J$2:$V$15,10,0)*Tabla44[[#This Row],[TOTAL COBERTURA]]</f>
        <v>7445473</v>
      </c>
      <c r="BB489" s="35">
        <f>(VLOOKUP(Tabla44[[#This Row],[SERVICIO 2025]],$J$2:$V$15,3,0)*Tabla44[[#This Row],[TOTAL COBERTURA]])+VLOOKUP(Tabla44[[#This Row],[SERVICIO 2025]],$J$2:$V$15,10,0)*Tabla44[[#This Row],[TOTAL COBERTURA]]</f>
        <v>7445473</v>
      </c>
      <c r="BC48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8142966</v>
      </c>
      <c r="BD489" s="35">
        <f>SUM(Tabla44[[#This Row],[DESEMBOLSO 1]:[DESEMBOLSO 8]])</f>
        <v>61595369</v>
      </c>
      <c r="BE489" s="12" t="b">
        <f>EXACT(Tabla44[[#This Row],[VALOR ATENCIÓN (8 MESES)]],Tabla44[[#This Row],[VALOR TOTAL]])</f>
        <v>1</v>
      </c>
      <c r="BF489" s="23">
        <f>Tabla44[[#This Row],[VALOR ATENCIÓN (8 MESES)]]-Tabla44[[#This Row],[VALOR TOTAL]]</f>
        <v>0</v>
      </c>
      <c r="BG489" s="12" t="b">
        <f>EXACT(Tabla44[[#This Row],[TOTAL DESEMBOLSOS]],Tabla44[[#This Row],[VALOR TOTAL DEL CONTRATO INCLUIDO EL COMPONENTE DE ALIMENTACIÓN]])</f>
        <v>1</v>
      </c>
      <c r="BH489" s="29">
        <f>Tabla44[[#This Row],[TOTAL DESEMBOLSOS]]-Tabla44[[#This Row],[VALOR TOTAL DEL CONTRATO INCLUIDO EL COMPONENTE DE ALIMENTACIÓN]]</f>
        <v>0</v>
      </c>
      <c r="BI489" t="s">
        <v>98</v>
      </c>
    </row>
    <row r="490" spans="1:61">
      <c r="A490" s="13">
        <v>2022</v>
      </c>
      <c r="B490" s="13"/>
      <c r="C490" s="12" t="s">
        <v>87</v>
      </c>
      <c r="D490" s="12" t="s">
        <v>1628</v>
      </c>
      <c r="E490" s="12" t="s">
        <v>3711</v>
      </c>
      <c r="F490" s="12" t="s">
        <v>21</v>
      </c>
      <c r="G490" s="12" t="s">
        <v>90</v>
      </c>
      <c r="H490" s="12" t="s">
        <v>3750</v>
      </c>
      <c r="I490" s="36">
        <v>58871151147</v>
      </c>
      <c r="J490" s="12" t="s">
        <v>3751</v>
      </c>
      <c r="K490" s="12">
        <v>1</v>
      </c>
      <c r="L490" s="12">
        <v>26</v>
      </c>
      <c r="M490" s="12"/>
      <c r="N490" s="13">
        <v>2022</v>
      </c>
      <c r="O490" s="12" t="s">
        <v>2850</v>
      </c>
      <c r="P490" s="12"/>
      <c r="Q490" s="12"/>
      <c r="R490" s="12" t="s">
        <v>94</v>
      </c>
      <c r="S490" s="12">
        <v>10</v>
      </c>
      <c r="T490" s="12">
        <v>890985417</v>
      </c>
      <c r="U490" s="12" t="s">
        <v>3671</v>
      </c>
      <c r="V490" s="12">
        <f>VLOOKUP(Tabla44[[#This Row],[ZONA DEFINITIVO]],[1]Hoja1!$A$1:$D$125,3,0)</f>
        <v>229946</v>
      </c>
      <c r="W490" s="12">
        <f>VLOOKUP(Tabla44[[#This Row],[ZONA DEFINITIVO]],[1]Hoja1!$A$1:$D$125,2,0)</f>
        <v>17267</v>
      </c>
      <c r="X490" s="12">
        <f>VLOOKUP(Tabla44[[#This Row],[ZONA DEFINITIVO]],[1]Hoja1!$A$1:$D$125,4,0)</f>
        <v>105325</v>
      </c>
      <c r="Y490" s="12" t="str">
        <f>+IF(Tabla44[[#This Row],[AGRUPACIONES]]=1,SUMIFS(Tabla44[UDS],Tabla44[ZONA DEFINITIVO],Tabla44[[#This Row],[ZONA DEFINITIVO]])," ")</f>
        <v xml:space="preserve"> </v>
      </c>
      <c r="Z490" s="12" t="str">
        <f>+IF(Tabla44[[#This Row],[AGRUPACIONES]]=1,SUMIFS(Tabla44[TOTAL COBERTURA],Tabla44[ZONA DEFINITIVO],Tabla44[[#This Row],[ZONA DEFINITIVO]])," ")</f>
        <v xml:space="preserve"> </v>
      </c>
      <c r="AA490" s="12"/>
      <c r="AB490" s="35">
        <v>39501930</v>
      </c>
      <c r="AC490" s="37">
        <v>0</v>
      </c>
      <c r="AD490" s="35">
        <f t="shared" si="8"/>
        <v>0</v>
      </c>
      <c r="AE490" s="12"/>
      <c r="AF490" s="12">
        <f>COUNTIF($A$20:A490,A490)</f>
        <v>46</v>
      </c>
      <c r="AG490" s="38">
        <v>39501930</v>
      </c>
      <c r="AH490" s="38">
        <f>Tabla44[[#This Row],[VALOR CONTRAPARTIDA]]+Tabla44[[#This Row],[TOTAL APORTES ICBF]]</f>
        <v>39501930</v>
      </c>
      <c r="AI490" s="35" t="str">
        <f>+IF(Tabla44[[#This Row],[AGRUPACIONES]]=1,SUMIFS(Tabla44[TOTAL APORTES ICBF],Tabla44[ZONA DEFINITIVO],Tabla44[[#This Row],[ZONA DEFINITIVO]])," ")</f>
        <v xml:space="preserve"> </v>
      </c>
      <c r="AJ490" s="38"/>
      <c r="AK490" s="38"/>
      <c r="AL490" s="35"/>
      <c r="AM490" s="35">
        <f>VLOOKUP(Tabla44[[#This Row],[SERVICIO 2025]],$J$2:$V$15,5,0)*Tabla44[[#This Row],[TOTAL COBERTURA]]</f>
        <v>1215344</v>
      </c>
      <c r="AN490" s="35">
        <f>VLOOKUP(Tabla44[[#This Row],[SERVICIO 2025]],$J$2:$V$15,6,0)*Tabla44[[#This Row],[TOTAL COBERTURA]]</f>
        <v>983866</v>
      </c>
      <c r="AO490" s="35">
        <f>VLOOKUP(Tabla44[[#This Row],[SERVICIO 2025]],$J$2:$V$15,8,0)*Tabla44[[#This Row],[TOTAL COBERTURA]]</f>
        <v>0</v>
      </c>
      <c r="AP490" s="35">
        <f>VLOOKUP(Tabla44[[#This Row],[SERVICIO 2025]],$J$2:$V$15,3,0)*Tabla44[[#This Row],[TOTAL COBERTURA]]*8</f>
        <v>37302720</v>
      </c>
      <c r="AQ490" s="35"/>
      <c r="AR490" s="35">
        <f>SUM(Tabla44[[#This Row],[VALOR FASE PREPARATORIA DE ALISTAMIENTO]:[VALOR RACION PREPARADA]])</f>
        <v>39501930</v>
      </c>
      <c r="AS490" s="35" t="str">
        <f>+IF(Tabla44[[#This Row],[AGRUPACIONES]]=1,SUMIFS(Tabla44[VALOR TOTAL],Tabla44[ZONA DEFINITIVO],Tabla44[[#This Row],[ZONA DEFINITIVO]])," ")</f>
        <v xml:space="preserve"> </v>
      </c>
      <c r="AT490" s="35">
        <f>VLOOKUP(Tabla44[[#This Row],[SERVICIO 2025]],$J$2:$V$15,10,0)*Tabla44[[#This Row],[TOTAL COBERTURA]]*$X$7</f>
        <v>39170768</v>
      </c>
      <c r="AU490" s="39">
        <f>Tabla44[[#This Row],[TOTAL CONTRATO (ICBF+EAS)]]+Tabla44[[#This Row],[VALOR COMPONENTE ALIMENTACION NO ASIGNADO]]</f>
        <v>78672698</v>
      </c>
      <c r="AV49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10774530</v>
      </c>
      <c r="AW490" s="35">
        <f>(VLOOKUP(Tabla44[[#This Row],[SERVICIO 2025]],$J$2:$V$15,3,0)*Tabla44[[#This Row],[TOTAL COBERTURA]])+VLOOKUP(Tabla44[[#This Row],[SERVICIO 2025]],$J$2:$V$15,10,0)*Tabla44[[#This Row],[TOTAL COBERTURA]]</f>
        <v>9559186</v>
      </c>
      <c r="AX490" s="35">
        <f>(VLOOKUP(Tabla44[[#This Row],[SERVICIO 2025]],$J$2:$V$15,3,0)*Tabla44[[#This Row],[TOTAL COBERTURA]])+VLOOKUP(Tabla44[[#This Row],[SERVICIO 2025]],$J$2:$V$15,10,0)*Tabla44[[#This Row],[TOTAL COBERTURA]]</f>
        <v>9559186</v>
      </c>
      <c r="AY490" s="35">
        <f>(VLOOKUP(Tabla44[[#This Row],[SERVICIO 2025]],$J$2:$V$15,3,0)*Tabla44[[#This Row],[TOTAL COBERTURA]])+VLOOKUP(Tabla44[[#This Row],[SERVICIO 2025]],$J$2:$V$15,10,0)*Tabla44[[#This Row],[TOTAL COBERTURA]]</f>
        <v>9559186</v>
      </c>
      <c r="AZ490" s="35">
        <f>(VLOOKUP(Tabla44[[#This Row],[SERVICIO 2025]],$J$2:$V$15,3,0)*Tabla44[[#This Row],[TOTAL COBERTURA]])+VLOOKUP(Tabla44[[#This Row],[SERVICIO 2025]],$J$2:$V$15,10,0)*Tabla44[[#This Row],[TOTAL COBERTURA]]</f>
        <v>9559186</v>
      </c>
      <c r="BA490" s="35">
        <f>(VLOOKUP(Tabla44[[#This Row],[SERVICIO 2025]],$J$2:$V$15,3,0)*Tabla44[[#This Row],[TOTAL COBERTURA]])+VLOOKUP(Tabla44[[#This Row],[SERVICIO 2025]],$J$2:$V$15,10,0)*Tabla44[[#This Row],[TOTAL COBERTURA]]</f>
        <v>9559186</v>
      </c>
      <c r="BB490" s="35">
        <f>(VLOOKUP(Tabla44[[#This Row],[SERVICIO 2025]],$J$2:$V$15,3,0)*Tabla44[[#This Row],[TOTAL COBERTURA]])+VLOOKUP(Tabla44[[#This Row],[SERVICIO 2025]],$J$2:$V$15,10,0)*Tabla44[[#This Row],[TOTAL COBERTURA]]</f>
        <v>9559186</v>
      </c>
      <c r="BC49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10543052</v>
      </c>
      <c r="BD490" s="35">
        <f>SUM(Tabla44[[#This Row],[DESEMBOLSO 1]:[DESEMBOLSO 8]])</f>
        <v>78672698</v>
      </c>
      <c r="BE490" s="12" t="b">
        <f>EXACT(Tabla44[[#This Row],[VALOR ATENCIÓN (8 MESES)]],Tabla44[[#This Row],[VALOR TOTAL]])</f>
        <v>1</v>
      </c>
      <c r="BF490" s="23">
        <f>Tabla44[[#This Row],[VALOR ATENCIÓN (8 MESES)]]-Tabla44[[#This Row],[VALOR TOTAL]]</f>
        <v>0</v>
      </c>
      <c r="BG490" s="12" t="b">
        <f>EXACT(Tabla44[[#This Row],[TOTAL DESEMBOLSOS]],Tabla44[[#This Row],[VALOR TOTAL DEL CONTRATO INCLUIDO EL COMPONENTE DE ALIMENTACIÓN]])</f>
        <v>1</v>
      </c>
      <c r="BH490" s="29">
        <f>Tabla44[[#This Row],[TOTAL DESEMBOLSOS]]-Tabla44[[#This Row],[VALOR TOTAL DEL CONTRATO INCLUIDO EL COMPONENTE DE ALIMENTACIÓN]]</f>
        <v>0</v>
      </c>
      <c r="BI490" t="s">
        <v>98</v>
      </c>
    </row>
    <row r="491" spans="1:61">
      <c r="A491" s="13">
        <v>2022</v>
      </c>
      <c r="B491" s="13"/>
      <c r="C491" s="12" t="s">
        <v>87</v>
      </c>
      <c r="D491" s="12" t="s">
        <v>1628</v>
      </c>
      <c r="E491" s="12" t="s">
        <v>3711</v>
      </c>
      <c r="F491" s="12" t="s">
        <v>21</v>
      </c>
      <c r="G491" s="12" t="s">
        <v>90</v>
      </c>
      <c r="H491" s="12" t="s">
        <v>3752</v>
      </c>
      <c r="I491" s="36">
        <v>58871151148</v>
      </c>
      <c r="J491" s="12" t="s">
        <v>3753</v>
      </c>
      <c r="K491" s="12">
        <v>1</v>
      </c>
      <c r="L491" s="12">
        <v>13</v>
      </c>
      <c r="M491" s="12"/>
      <c r="N491" s="13">
        <v>2022</v>
      </c>
      <c r="O491" s="12" t="s">
        <v>2850</v>
      </c>
      <c r="P491" s="12"/>
      <c r="Q491" s="12"/>
      <c r="R491" s="12" t="s">
        <v>94</v>
      </c>
      <c r="S491" s="12">
        <v>10</v>
      </c>
      <c r="T491" s="12">
        <v>890985417</v>
      </c>
      <c r="U491" s="12" t="s">
        <v>3671</v>
      </c>
      <c r="V491" s="12">
        <f>VLOOKUP(Tabla44[[#This Row],[ZONA DEFINITIVO]],[1]Hoja1!$A$1:$D$125,3,0)</f>
        <v>229946</v>
      </c>
      <c r="W491" s="12">
        <f>VLOOKUP(Tabla44[[#This Row],[ZONA DEFINITIVO]],[1]Hoja1!$A$1:$D$125,2,0)</f>
        <v>17267</v>
      </c>
      <c r="X491" s="12">
        <f>VLOOKUP(Tabla44[[#This Row],[ZONA DEFINITIVO]],[1]Hoja1!$A$1:$D$125,4,0)</f>
        <v>105325</v>
      </c>
      <c r="Y491" s="12" t="str">
        <f>+IF(Tabla44[[#This Row],[AGRUPACIONES]]=1,SUMIFS(Tabla44[UDS],Tabla44[ZONA DEFINITIVO],Tabla44[[#This Row],[ZONA DEFINITIVO]])," ")</f>
        <v xml:space="preserve"> </v>
      </c>
      <c r="Z491" s="12" t="str">
        <f>+IF(Tabla44[[#This Row],[AGRUPACIONES]]=1,SUMIFS(Tabla44[TOTAL COBERTURA],Tabla44[ZONA DEFINITIVO],Tabla44[[#This Row],[ZONA DEFINITIVO]])," ")</f>
        <v xml:space="preserve"> </v>
      </c>
      <c r="AA491" s="12"/>
      <c r="AB491" s="35">
        <v>19750965</v>
      </c>
      <c r="AC491" s="37">
        <v>0</v>
      </c>
      <c r="AD491" s="35">
        <f t="shared" si="8"/>
        <v>0</v>
      </c>
      <c r="AE491" s="12"/>
      <c r="AF491" s="12">
        <f>COUNTIF($A$20:A491,A491)</f>
        <v>47</v>
      </c>
      <c r="AG491" s="38">
        <v>19750965</v>
      </c>
      <c r="AH491" s="38">
        <f>Tabla44[[#This Row],[VALOR CONTRAPARTIDA]]+Tabla44[[#This Row],[TOTAL APORTES ICBF]]</f>
        <v>19750965</v>
      </c>
      <c r="AI491" s="35" t="str">
        <f>+IF(Tabla44[[#This Row],[AGRUPACIONES]]=1,SUMIFS(Tabla44[TOTAL APORTES ICBF],Tabla44[ZONA DEFINITIVO],Tabla44[[#This Row],[ZONA DEFINITIVO]])," ")</f>
        <v xml:space="preserve"> </v>
      </c>
      <c r="AJ491" s="38"/>
      <c r="AK491" s="38"/>
      <c r="AL491" s="35"/>
      <c r="AM491" s="35">
        <f>VLOOKUP(Tabla44[[#This Row],[SERVICIO 2025]],$J$2:$V$15,5,0)*Tabla44[[#This Row],[TOTAL COBERTURA]]</f>
        <v>607672</v>
      </c>
      <c r="AN491" s="35">
        <f>VLOOKUP(Tabla44[[#This Row],[SERVICIO 2025]],$J$2:$V$15,6,0)*Tabla44[[#This Row],[TOTAL COBERTURA]]</f>
        <v>491933</v>
      </c>
      <c r="AO491" s="35">
        <f>VLOOKUP(Tabla44[[#This Row],[SERVICIO 2025]],$J$2:$V$15,8,0)*Tabla44[[#This Row],[TOTAL COBERTURA]]</f>
        <v>0</v>
      </c>
      <c r="AP491" s="35">
        <f>VLOOKUP(Tabla44[[#This Row],[SERVICIO 2025]],$J$2:$V$15,3,0)*Tabla44[[#This Row],[TOTAL COBERTURA]]*8</f>
        <v>18651360</v>
      </c>
      <c r="AQ491" s="35"/>
      <c r="AR491" s="35">
        <f>SUM(Tabla44[[#This Row],[VALOR FASE PREPARATORIA DE ALISTAMIENTO]:[VALOR RACION PREPARADA]])</f>
        <v>19750965</v>
      </c>
      <c r="AS491" s="35" t="str">
        <f>+IF(Tabla44[[#This Row],[AGRUPACIONES]]=1,SUMIFS(Tabla44[VALOR TOTAL],Tabla44[ZONA DEFINITIVO],Tabla44[[#This Row],[ZONA DEFINITIVO]])," ")</f>
        <v xml:space="preserve"> </v>
      </c>
      <c r="AT491" s="35">
        <f>VLOOKUP(Tabla44[[#This Row],[SERVICIO 2025]],$J$2:$V$15,10,0)*Tabla44[[#This Row],[TOTAL COBERTURA]]*$X$7</f>
        <v>19585384</v>
      </c>
      <c r="AU491" s="39">
        <f>Tabla44[[#This Row],[TOTAL CONTRATO (ICBF+EAS)]]+Tabla44[[#This Row],[VALOR COMPONENTE ALIMENTACION NO ASIGNADO]]</f>
        <v>39336349</v>
      </c>
      <c r="AV49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5387265</v>
      </c>
      <c r="AW491" s="35">
        <f>(VLOOKUP(Tabla44[[#This Row],[SERVICIO 2025]],$J$2:$V$15,3,0)*Tabla44[[#This Row],[TOTAL COBERTURA]])+VLOOKUP(Tabla44[[#This Row],[SERVICIO 2025]],$J$2:$V$15,10,0)*Tabla44[[#This Row],[TOTAL COBERTURA]]</f>
        <v>4779593</v>
      </c>
      <c r="AX491" s="35">
        <f>(VLOOKUP(Tabla44[[#This Row],[SERVICIO 2025]],$J$2:$V$15,3,0)*Tabla44[[#This Row],[TOTAL COBERTURA]])+VLOOKUP(Tabla44[[#This Row],[SERVICIO 2025]],$J$2:$V$15,10,0)*Tabla44[[#This Row],[TOTAL COBERTURA]]</f>
        <v>4779593</v>
      </c>
      <c r="AY491" s="35">
        <f>(VLOOKUP(Tabla44[[#This Row],[SERVICIO 2025]],$J$2:$V$15,3,0)*Tabla44[[#This Row],[TOTAL COBERTURA]])+VLOOKUP(Tabla44[[#This Row],[SERVICIO 2025]],$J$2:$V$15,10,0)*Tabla44[[#This Row],[TOTAL COBERTURA]]</f>
        <v>4779593</v>
      </c>
      <c r="AZ491" s="35">
        <f>(VLOOKUP(Tabla44[[#This Row],[SERVICIO 2025]],$J$2:$V$15,3,0)*Tabla44[[#This Row],[TOTAL COBERTURA]])+VLOOKUP(Tabla44[[#This Row],[SERVICIO 2025]],$J$2:$V$15,10,0)*Tabla44[[#This Row],[TOTAL COBERTURA]]</f>
        <v>4779593</v>
      </c>
      <c r="BA491" s="35">
        <f>(VLOOKUP(Tabla44[[#This Row],[SERVICIO 2025]],$J$2:$V$15,3,0)*Tabla44[[#This Row],[TOTAL COBERTURA]])+VLOOKUP(Tabla44[[#This Row],[SERVICIO 2025]],$J$2:$V$15,10,0)*Tabla44[[#This Row],[TOTAL COBERTURA]]</f>
        <v>4779593</v>
      </c>
      <c r="BB491" s="35">
        <f>(VLOOKUP(Tabla44[[#This Row],[SERVICIO 2025]],$J$2:$V$15,3,0)*Tabla44[[#This Row],[TOTAL COBERTURA]])+VLOOKUP(Tabla44[[#This Row],[SERVICIO 2025]],$J$2:$V$15,10,0)*Tabla44[[#This Row],[TOTAL COBERTURA]]</f>
        <v>4779593</v>
      </c>
      <c r="BC49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5271526</v>
      </c>
      <c r="BD491" s="35">
        <f>SUM(Tabla44[[#This Row],[DESEMBOLSO 1]:[DESEMBOLSO 8]])</f>
        <v>39336349</v>
      </c>
      <c r="BE491" s="12" t="b">
        <f>EXACT(Tabla44[[#This Row],[VALOR ATENCIÓN (8 MESES)]],Tabla44[[#This Row],[VALOR TOTAL]])</f>
        <v>1</v>
      </c>
      <c r="BF491" s="23">
        <f>Tabla44[[#This Row],[VALOR ATENCIÓN (8 MESES)]]-Tabla44[[#This Row],[VALOR TOTAL]]</f>
        <v>0</v>
      </c>
      <c r="BG491" s="12" t="b">
        <f>EXACT(Tabla44[[#This Row],[TOTAL DESEMBOLSOS]],Tabla44[[#This Row],[VALOR TOTAL DEL CONTRATO INCLUIDO EL COMPONENTE DE ALIMENTACIÓN]])</f>
        <v>1</v>
      </c>
      <c r="BH491" s="29">
        <f>Tabla44[[#This Row],[TOTAL DESEMBOLSOS]]-Tabla44[[#This Row],[VALOR TOTAL DEL CONTRATO INCLUIDO EL COMPONENTE DE ALIMENTACIÓN]]</f>
        <v>0</v>
      </c>
      <c r="BI491" t="s">
        <v>98</v>
      </c>
    </row>
    <row r="492" spans="1:61">
      <c r="A492" s="13">
        <v>2022</v>
      </c>
      <c r="B492" s="13"/>
      <c r="C492" s="12" t="s">
        <v>87</v>
      </c>
      <c r="D492" s="12" t="s">
        <v>1628</v>
      </c>
      <c r="E492" s="12" t="s">
        <v>3711</v>
      </c>
      <c r="F492" s="12" t="s">
        <v>21</v>
      </c>
      <c r="G492" s="12" t="s">
        <v>90</v>
      </c>
      <c r="H492" s="12" t="s">
        <v>3754</v>
      </c>
      <c r="I492" s="36">
        <v>58871151190</v>
      </c>
      <c r="J492" s="12" t="s">
        <v>3755</v>
      </c>
      <c r="K492" s="12">
        <v>1</v>
      </c>
      <c r="L492" s="12">
        <v>16</v>
      </c>
      <c r="M492" s="12"/>
      <c r="N492" s="13">
        <v>2022</v>
      </c>
      <c r="O492" s="12" t="s">
        <v>2850</v>
      </c>
      <c r="P492" s="12"/>
      <c r="Q492" s="12"/>
      <c r="R492" s="12" t="s">
        <v>94</v>
      </c>
      <c r="S492" s="12">
        <v>10</v>
      </c>
      <c r="T492" s="12">
        <v>890985417</v>
      </c>
      <c r="U492" s="12" t="s">
        <v>3671</v>
      </c>
      <c r="V492" s="12">
        <f>VLOOKUP(Tabla44[[#This Row],[ZONA DEFINITIVO]],[1]Hoja1!$A$1:$D$125,3,0)</f>
        <v>229946</v>
      </c>
      <c r="W492" s="12">
        <f>VLOOKUP(Tabla44[[#This Row],[ZONA DEFINITIVO]],[1]Hoja1!$A$1:$D$125,2,0)</f>
        <v>17267</v>
      </c>
      <c r="X492" s="12">
        <f>VLOOKUP(Tabla44[[#This Row],[ZONA DEFINITIVO]],[1]Hoja1!$A$1:$D$125,4,0)</f>
        <v>105325</v>
      </c>
      <c r="Y492" s="12" t="str">
        <f>+IF(Tabla44[[#This Row],[AGRUPACIONES]]=1,SUMIFS(Tabla44[UDS],Tabla44[ZONA DEFINITIVO],Tabla44[[#This Row],[ZONA DEFINITIVO]])," ")</f>
        <v xml:space="preserve"> </v>
      </c>
      <c r="Z492" s="12" t="str">
        <f>+IF(Tabla44[[#This Row],[AGRUPACIONES]]=1,SUMIFS(Tabla44[TOTAL COBERTURA],Tabla44[ZONA DEFINITIVO],Tabla44[[#This Row],[ZONA DEFINITIVO]])," ")</f>
        <v xml:space="preserve"> </v>
      </c>
      <c r="AA492" s="12"/>
      <c r="AB492" s="35">
        <v>24308880</v>
      </c>
      <c r="AC492" s="37">
        <v>0</v>
      </c>
      <c r="AD492" s="35">
        <f t="shared" si="8"/>
        <v>0</v>
      </c>
      <c r="AE492" s="12"/>
      <c r="AF492" s="12">
        <f>COUNTIF($A$20:A492,A492)</f>
        <v>48</v>
      </c>
      <c r="AG492" s="38">
        <v>24308880</v>
      </c>
      <c r="AH492" s="38">
        <f>Tabla44[[#This Row],[VALOR CONTRAPARTIDA]]+Tabla44[[#This Row],[TOTAL APORTES ICBF]]</f>
        <v>24308880</v>
      </c>
      <c r="AI492" s="35" t="str">
        <f>+IF(Tabla44[[#This Row],[AGRUPACIONES]]=1,SUMIFS(Tabla44[TOTAL APORTES ICBF],Tabla44[ZONA DEFINITIVO],Tabla44[[#This Row],[ZONA DEFINITIVO]])," ")</f>
        <v xml:space="preserve"> </v>
      </c>
      <c r="AJ492" s="38"/>
      <c r="AK492" s="38"/>
      <c r="AL492" s="35"/>
      <c r="AM492" s="35">
        <f>VLOOKUP(Tabla44[[#This Row],[SERVICIO 2025]],$J$2:$V$15,5,0)*Tabla44[[#This Row],[TOTAL COBERTURA]]</f>
        <v>747904</v>
      </c>
      <c r="AN492" s="35">
        <f>VLOOKUP(Tabla44[[#This Row],[SERVICIO 2025]],$J$2:$V$15,6,0)*Tabla44[[#This Row],[TOTAL COBERTURA]]</f>
        <v>605456</v>
      </c>
      <c r="AO492" s="35">
        <f>VLOOKUP(Tabla44[[#This Row],[SERVICIO 2025]],$J$2:$V$15,8,0)*Tabla44[[#This Row],[TOTAL COBERTURA]]</f>
        <v>0</v>
      </c>
      <c r="AP492" s="35">
        <f>VLOOKUP(Tabla44[[#This Row],[SERVICIO 2025]],$J$2:$V$15,3,0)*Tabla44[[#This Row],[TOTAL COBERTURA]]*8</f>
        <v>22955520</v>
      </c>
      <c r="AQ492" s="35"/>
      <c r="AR492" s="35">
        <f>SUM(Tabla44[[#This Row],[VALOR FASE PREPARATORIA DE ALISTAMIENTO]:[VALOR RACION PREPARADA]])</f>
        <v>24308880</v>
      </c>
      <c r="AS492" s="35" t="str">
        <f>+IF(Tabla44[[#This Row],[AGRUPACIONES]]=1,SUMIFS(Tabla44[VALOR TOTAL],Tabla44[ZONA DEFINITIVO],Tabla44[[#This Row],[ZONA DEFINITIVO]])," ")</f>
        <v xml:space="preserve"> </v>
      </c>
      <c r="AT492" s="35">
        <f>VLOOKUP(Tabla44[[#This Row],[SERVICIO 2025]],$J$2:$V$15,10,0)*Tabla44[[#This Row],[TOTAL COBERTURA]]*$X$7</f>
        <v>24105088</v>
      </c>
      <c r="AU492" s="39">
        <f>Tabla44[[#This Row],[TOTAL CONTRATO (ICBF+EAS)]]+Tabla44[[#This Row],[VALOR COMPONENTE ALIMENTACION NO ASIGNADO]]</f>
        <v>48413968</v>
      </c>
      <c r="AV49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6630480</v>
      </c>
      <c r="AW492" s="35">
        <f>(VLOOKUP(Tabla44[[#This Row],[SERVICIO 2025]],$J$2:$V$15,3,0)*Tabla44[[#This Row],[TOTAL COBERTURA]])+VLOOKUP(Tabla44[[#This Row],[SERVICIO 2025]],$J$2:$V$15,10,0)*Tabla44[[#This Row],[TOTAL COBERTURA]]</f>
        <v>5882576</v>
      </c>
      <c r="AX492" s="35">
        <f>(VLOOKUP(Tabla44[[#This Row],[SERVICIO 2025]],$J$2:$V$15,3,0)*Tabla44[[#This Row],[TOTAL COBERTURA]])+VLOOKUP(Tabla44[[#This Row],[SERVICIO 2025]],$J$2:$V$15,10,0)*Tabla44[[#This Row],[TOTAL COBERTURA]]</f>
        <v>5882576</v>
      </c>
      <c r="AY492" s="35">
        <f>(VLOOKUP(Tabla44[[#This Row],[SERVICIO 2025]],$J$2:$V$15,3,0)*Tabla44[[#This Row],[TOTAL COBERTURA]])+VLOOKUP(Tabla44[[#This Row],[SERVICIO 2025]],$J$2:$V$15,10,0)*Tabla44[[#This Row],[TOTAL COBERTURA]]</f>
        <v>5882576</v>
      </c>
      <c r="AZ492" s="35">
        <f>(VLOOKUP(Tabla44[[#This Row],[SERVICIO 2025]],$J$2:$V$15,3,0)*Tabla44[[#This Row],[TOTAL COBERTURA]])+VLOOKUP(Tabla44[[#This Row],[SERVICIO 2025]],$J$2:$V$15,10,0)*Tabla44[[#This Row],[TOTAL COBERTURA]]</f>
        <v>5882576</v>
      </c>
      <c r="BA492" s="35">
        <f>(VLOOKUP(Tabla44[[#This Row],[SERVICIO 2025]],$J$2:$V$15,3,0)*Tabla44[[#This Row],[TOTAL COBERTURA]])+VLOOKUP(Tabla44[[#This Row],[SERVICIO 2025]],$J$2:$V$15,10,0)*Tabla44[[#This Row],[TOTAL COBERTURA]]</f>
        <v>5882576</v>
      </c>
      <c r="BB492" s="35">
        <f>(VLOOKUP(Tabla44[[#This Row],[SERVICIO 2025]],$J$2:$V$15,3,0)*Tabla44[[#This Row],[TOTAL COBERTURA]])+VLOOKUP(Tabla44[[#This Row],[SERVICIO 2025]],$J$2:$V$15,10,0)*Tabla44[[#This Row],[TOTAL COBERTURA]]</f>
        <v>5882576</v>
      </c>
      <c r="BC49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6488032</v>
      </c>
      <c r="BD492" s="35">
        <f>SUM(Tabla44[[#This Row],[DESEMBOLSO 1]:[DESEMBOLSO 8]])</f>
        <v>48413968</v>
      </c>
      <c r="BE492" s="12" t="b">
        <f>EXACT(Tabla44[[#This Row],[VALOR ATENCIÓN (8 MESES)]],Tabla44[[#This Row],[VALOR TOTAL]])</f>
        <v>1</v>
      </c>
      <c r="BF492" s="23">
        <f>Tabla44[[#This Row],[VALOR ATENCIÓN (8 MESES)]]-Tabla44[[#This Row],[VALOR TOTAL]]</f>
        <v>0</v>
      </c>
      <c r="BG492" s="12" t="b">
        <f>EXACT(Tabla44[[#This Row],[TOTAL DESEMBOLSOS]],Tabla44[[#This Row],[VALOR TOTAL DEL CONTRATO INCLUIDO EL COMPONENTE DE ALIMENTACIÓN]])</f>
        <v>1</v>
      </c>
      <c r="BH492" s="29">
        <f>Tabla44[[#This Row],[TOTAL DESEMBOLSOS]]-Tabla44[[#This Row],[VALOR TOTAL DEL CONTRATO INCLUIDO EL COMPONENTE DE ALIMENTACIÓN]]</f>
        <v>0</v>
      </c>
      <c r="BI492" t="s">
        <v>98</v>
      </c>
    </row>
    <row r="493" spans="1:61">
      <c r="A493" s="13">
        <v>2022</v>
      </c>
      <c r="B493" s="13"/>
      <c r="C493" s="12" t="s">
        <v>87</v>
      </c>
      <c r="D493" s="12" t="s">
        <v>1628</v>
      </c>
      <c r="E493" s="12" t="s">
        <v>3711</v>
      </c>
      <c r="F493" s="12" t="s">
        <v>18</v>
      </c>
      <c r="G493" s="12" t="s">
        <v>90</v>
      </c>
      <c r="H493" s="12" t="s">
        <v>3756</v>
      </c>
      <c r="I493" s="36">
        <v>58871152817</v>
      </c>
      <c r="J493" s="12" t="s">
        <v>3757</v>
      </c>
      <c r="K493" s="12">
        <v>1</v>
      </c>
      <c r="L493" s="12">
        <v>14</v>
      </c>
      <c r="M493" s="12"/>
      <c r="N493" s="13">
        <v>2022</v>
      </c>
      <c r="O493" s="12" t="s">
        <v>2850</v>
      </c>
      <c r="P493" s="12"/>
      <c r="Q493" s="12"/>
      <c r="R493" s="12" t="s">
        <v>94</v>
      </c>
      <c r="S493" s="12">
        <v>10</v>
      </c>
      <c r="T493" s="12">
        <v>890985417</v>
      </c>
      <c r="U493" s="12" t="s">
        <v>3671</v>
      </c>
      <c r="V493" s="12">
        <f>VLOOKUP(Tabla44[[#This Row],[ZONA DEFINITIVO]],[1]Hoja1!$A$1:$D$125,3,0)</f>
        <v>229946</v>
      </c>
      <c r="W493" s="12">
        <f>VLOOKUP(Tabla44[[#This Row],[ZONA DEFINITIVO]],[1]Hoja1!$A$1:$D$125,2,0)</f>
        <v>17267</v>
      </c>
      <c r="X493" s="12">
        <f>VLOOKUP(Tabla44[[#This Row],[ZONA DEFINITIVO]],[1]Hoja1!$A$1:$D$125,4,0)</f>
        <v>105325</v>
      </c>
      <c r="Y493" s="12" t="str">
        <f>+IF(Tabla44[[#This Row],[AGRUPACIONES]]=1,SUMIFS(Tabla44[UDS],Tabla44[ZONA DEFINITIVO],Tabla44[[#This Row],[ZONA DEFINITIVO]])," ")</f>
        <v xml:space="preserve"> </v>
      </c>
      <c r="Z493" s="12" t="str">
        <f>+IF(Tabla44[[#This Row],[AGRUPACIONES]]=1,SUMIFS(Tabla44[TOTAL COBERTURA],Tabla44[ZONA DEFINITIVO],Tabla44[[#This Row],[ZONA DEFINITIVO]])," ")</f>
        <v xml:space="preserve"> </v>
      </c>
      <c r="AA493" s="12"/>
      <c r="AB493" s="35">
        <v>30522702</v>
      </c>
      <c r="AC493" s="37">
        <v>0</v>
      </c>
      <c r="AD493" s="35">
        <f t="shared" si="8"/>
        <v>0</v>
      </c>
      <c r="AE493" s="12"/>
      <c r="AF493" s="12">
        <f>COUNTIF($A$20:A493,A493)</f>
        <v>49</v>
      </c>
      <c r="AG493" s="38">
        <v>30522702</v>
      </c>
      <c r="AH493" s="38">
        <f>Tabla44[[#This Row],[VALOR CONTRAPARTIDA]]+Tabla44[[#This Row],[TOTAL APORTES ICBF]]</f>
        <v>30522702</v>
      </c>
      <c r="AI493" s="35" t="str">
        <f>+IF(Tabla44[[#This Row],[AGRUPACIONES]]=1,SUMIFS(Tabla44[TOTAL APORTES ICBF],Tabla44[ZONA DEFINITIVO],Tabla44[[#This Row],[ZONA DEFINITIVO]])," ")</f>
        <v xml:space="preserve"> </v>
      </c>
      <c r="AJ493" s="38"/>
      <c r="AK493" s="38"/>
      <c r="AL493" s="35"/>
      <c r="AM493" s="35">
        <f>VLOOKUP(Tabla44[[#This Row],[SERVICIO 2025]],$J$2:$V$15,5,0)*Tabla44[[#This Row],[TOTAL COBERTURA]]</f>
        <v>691264</v>
      </c>
      <c r="AN493" s="35">
        <f>VLOOKUP(Tabla44[[#This Row],[SERVICIO 2025]],$J$2:$V$15,6,0)*Tabla44[[#This Row],[TOTAL COBERTURA]]</f>
        <v>574406</v>
      </c>
      <c r="AO493" s="35">
        <f>VLOOKUP(Tabla44[[#This Row],[SERVICIO 2025]],$J$2:$V$15,8,0)*Tabla44[[#This Row],[TOTAL COBERTURA]]</f>
        <v>407400</v>
      </c>
      <c r="AP493" s="35">
        <f>VLOOKUP(Tabla44[[#This Row],[SERVICIO 2025]],$J$2:$V$15,3,0)*Tabla44[[#This Row],[TOTAL COBERTURA]]*8</f>
        <v>28849632</v>
      </c>
      <c r="AQ493" s="35"/>
      <c r="AR493" s="35">
        <f>SUM(Tabla44[[#This Row],[VALOR FASE PREPARATORIA DE ALISTAMIENTO]:[VALOR RACION PREPARADA]])</f>
        <v>30522702</v>
      </c>
      <c r="AS493" s="35" t="str">
        <f>+IF(Tabla44[[#This Row],[AGRUPACIONES]]=1,SUMIFS(Tabla44[VALOR TOTAL],Tabla44[ZONA DEFINITIVO],Tabla44[[#This Row],[ZONA DEFINITIVO]])," ")</f>
        <v xml:space="preserve"> </v>
      </c>
      <c r="AT493" s="35">
        <f>VLOOKUP(Tabla44[[#This Row],[SERVICIO 2025]],$J$2:$V$15,10,0)*Tabla44[[#This Row],[TOTAL COBERTURA]]*$X$7</f>
        <v>20202896</v>
      </c>
      <c r="AU493" s="39">
        <f>Tabla44[[#This Row],[TOTAL CONTRATO (ICBF+EAS)]]+Tabla44[[#This Row],[VALOR COMPONENTE ALIMENTACION NO ASIGNADO]]</f>
        <v>50725598</v>
      </c>
      <c r="AV49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7230230</v>
      </c>
      <c r="AW493" s="35">
        <f>(VLOOKUP(Tabla44[[#This Row],[SERVICIO 2025]],$J$2:$V$15,3,0)*Tabla44[[#This Row],[TOTAL COBERTURA]])+VLOOKUP(Tabla44[[#This Row],[SERVICIO 2025]],$J$2:$V$15,10,0)*Tabla44[[#This Row],[TOTAL COBERTURA]]</f>
        <v>6131566</v>
      </c>
      <c r="AX493" s="35">
        <f>(VLOOKUP(Tabla44[[#This Row],[SERVICIO 2025]],$J$2:$V$15,3,0)*Tabla44[[#This Row],[TOTAL COBERTURA]])+VLOOKUP(Tabla44[[#This Row],[SERVICIO 2025]],$J$2:$V$15,10,0)*Tabla44[[#This Row],[TOTAL COBERTURA]]</f>
        <v>6131566</v>
      </c>
      <c r="AY493" s="35">
        <f>(VLOOKUP(Tabla44[[#This Row],[SERVICIO 2025]],$J$2:$V$15,3,0)*Tabla44[[#This Row],[TOTAL COBERTURA]])+VLOOKUP(Tabla44[[#This Row],[SERVICIO 2025]],$J$2:$V$15,10,0)*Tabla44[[#This Row],[TOTAL COBERTURA]]</f>
        <v>6131566</v>
      </c>
      <c r="AZ493" s="35">
        <f>(VLOOKUP(Tabla44[[#This Row],[SERVICIO 2025]],$J$2:$V$15,3,0)*Tabla44[[#This Row],[TOTAL COBERTURA]])+VLOOKUP(Tabla44[[#This Row],[SERVICIO 2025]],$J$2:$V$15,10,0)*Tabla44[[#This Row],[TOTAL COBERTURA]]</f>
        <v>6131566</v>
      </c>
      <c r="BA493" s="35">
        <f>(VLOOKUP(Tabla44[[#This Row],[SERVICIO 2025]],$J$2:$V$15,3,0)*Tabla44[[#This Row],[TOTAL COBERTURA]])+VLOOKUP(Tabla44[[#This Row],[SERVICIO 2025]],$J$2:$V$15,10,0)*Tabla44[[#This Row],[TOTAL COBERTURA]]</f>
        <v>6131566</v>
      </c>
      <c r="BB493" s="35">
        <f>(VLOOKUP(Tabla44[[#This Row],[SERVICIO 2025]],$J$2:$V$15,3,0)*Tabla44[[#This Row],[TOTAL COBERTURA]])+VLOOKUP(Tabla44[[#This Row],[SERVICIO 2025]],$J$2:$V$15,10,0)*Tabla44[[#This Row],[TOTAL COBERTURA]]</f>
        <v>6131566</v>
      </c>
      <c r="BC49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6705972</v>
      </c>
      <c r="BD493" s="35">
        <f>SUM(Tabla44[[#This Row],[DESEMBOLSO 1]:[DESEMBOLSO 8]])</f>
        <v>50725598</v>
      </c>
      <c r="BE493" s="12" t="b">
        <f>EXACT(Tabla44[[#This Row],[VALOR ATENCIÓN (8 MESES)]],Tabla44[[#This Row],[VALOR TOTAL]])</f>
        <v>1</v>
      </c>
      <c r="BF493" s="23">
        <f>Tabla44[[#This Row],[VALOR ATENCIÓN (8 MESES)]]-Tabla44[[#This Row],[VALOR TOTAL]]</f>
        <v>0</v>
      </c>
      <c r="BG493" s="12" t="b">
        <f>EXACT(Tabla44[[#This Row],[TOTAL DESEMBOLSOS]],Tabla44[[#This Row],[VALOR TOTAL DEL CONTRATO INCLUIDO EL COMPONENTE DE ALIMENTACIÓN]])</f>
        <v>1</v>
      </c>
      <c r="BH493" s="29">
        <f>Tabla44[[#This Row],[TOTAL DESEMBOLSOS]]-Tabla44[[#This Row],[VALOR TOTAL DEL CONTRATO INCLUIDO EL COMPONENTE DE ALIMENTACIÓN]]</f>
        <v>0</v>
      </c>
      <c r="BI493" t="s">
        <v>98</v>
      </c>
    </row>
    <row r="494" spans="1:61">
      <c r="A494" s="13">
        <v>2022</v>
      </c>
      <c r="B494" s="13"/>
      <c r="C494" s="12" t="s">
        <v>87</v>
      </c>
      <c r="D494" s="12" t="s">
        <v>1628</v>
      </c>
      <c r="E494" s="12" t="s">
        <v>3711</v>
      </c>
      <c r="F494" s="12" t="s">
        <v>14</v>
      </c>
      <c r="G494" s="12" t="s">
        <v>90</v>
      </c>
      <c r="H494" s="12" t="s">
        <v>3758</v>
      </c>
      <c r="I494" s="36">
        <v>588700023160</v>
      </c>
      <c r="J494" s="12" t="s">
        <v>3759</v>
      </c>
      <c r="K494" s="12">
        <v>1</v>
      </c>
      <c r="L494" s="12">
        <v>97</v>
      </c>
      <c r="M494" s="12"/>
      <c r="N494" s="13">
        <v>2022</v>
      </c>
      <c r="O494" s="12" t="s">
        <v>2850</v>
      </c>
      <c r="P494" s="12"/>
      <c r="Q494" s="12"/>
      <c r="R494" s="12" t="s">
        <v>94</v>
      </c>
      <c r="S494" s="12">
        <v>10</v>
      </c>
      <c r="T494" s="12">
        <v>890985417</v>
      </c>
      <c r="U494" s="12" t="s">
        <v>3671</v>
      </c>
      <c r="V494" s="12">
        <f>VLOOKUP(Tabla44[[#This Row],[ZONA DEFINITIVO]],[1]Hoja1!$A$1:$D$125,3,0)</f>
        <v>229946</v>
      </c>
      <c r="W494" s="12">
        <f>VLOOKUP(Tabla44[[#This Row],[ZONA DEFINITIVO]],[1]Hoja1!$A$1:$D$125,2,0)</f>
        <v>17267</v>
      </c>
      <c r="X494" s="12">
        <f>VLOOKUP(Tabla44[[#This Row],[ZONA DEFINITIVO]],[1]Hoja1!$A$1:$D$125,4,0)</f>
        <v>105325</v>
      </c>
      <c r="Y494" s="12" t="str">
        <f>+IF(Tabla44[[#This Row],[AGRUPACIONES]]=1,SUMIFS(Tabla44[UDS],Tabla44[ZONA DEFINITIVO],Tabla44[[#This Row],[ZONA DEFINITIVO]])," ")</f>
        <v xml:space="preserve"> </v>
      </c>
      <c r="Z494" s="12" t="str">
        <f>+IF(Tabla44[[#This Row],[AGRUPACIONES]]=1,SUMIFS(Tabla44[TOTAL COBERTURA],Tabla44[ZONA DEFINITIVO],Tabla44[[#This Row],[ZONA DEFINITIVO]])," ")</f>
        <v xml:space="preserve"> </v>
      </c>
      <c r="AA494" s="12"/>
      <c r="AB494" s="35">
        <v>406318450</v>
      </c>
      <c r="AC494" s="37">
        <v>0</v>
      </c>
      <c r="AD494" s="35">
        <f t="shared" si="8"/>
        <v>0</v>
      </c>
      <c r="AE494" s="12"/>
      <c r="AF494" s="12">
        <f>COUNTIF($A$20:A494,A494)</f>
        <v>50</v>
      </c>
      <c r="AG494" s="38">
        <v>406318450</v>
      </c>
      <c r="AH494" s="38">
        <f>Tabla44[[#This Row],[VALOR CONTRAPARTIDA]]+Tabla44[[#This Row],[TOTAL APORTES ICBF]]</f>
        <v>406318450</v>
      </c>
      <c r="AI494" s="35" t="str">
        <f>+IF(Tabla44[[#This Row],[AGRUPACIONES]]=1,SUMIFS(Tabla44[TOTAL APORTES ICBF],Tabla44[ZONA DEFINITIVO],Tabla44[[#This Row],[ZONA DEFINITIVO]])," ")</f>
        <v xml:space="preserve"> </v>
      </c>
      <c r="AJ494" s="38"/>
      <c r="AK494" s="38"/>
      <c r="AL494" s="35"/>
      <c r="AM494" s="35">
        <f>VLOOKUP(Tabla44[[#This Row],[SERVICIO 2025]],$J$2:$V$15,5,0)*Tabla44[[#This Row],[TOTAL COBERTURA]]</f>
        <v>8549871</v>
      </c>
      <c r="AN494" s="35">
        <f>VLOOKUP(Tabla44[[#This Row],[SERVICIO 2025]],$J$2:$V$15,6,0)*Tabla44[[#This Row],[TOTAL COBERTURA]]</f>
        <v>7279171</v>
      </c>
      <c r="AO494" s="35">
        <f>VLOOKUP(Tabla44[[#This Row],[SERVICIO 2025]],$J$2:$V$15,8,0)*Tabla44[[#This Row],[TOTAL COBERTURA]]</f>
        <v>0</v>
      </c>
      <c r="AP494" s="35">
        <f>VLOOKUP(Tabla44[[#This Row],[SERVICIO 2025]],$J$2:$V$15,3,0)*Tabla44[[#This Row],[TOTAL COBERTURA]]*8</f>
        <v>390489408</v>
      </c>
      <c r="AQ494" s="35"/>
      <c r="AR494" s="35">
        <f>SUM(Tabla44[[#This Row],[VALOR FASE PREPARATORIA DE ALISTAMIENTO]:[VALOR RACION PREPARADA]])</f>
        <v>406318450</v>
      </c>
      <c r="AS494" s="35" t="str">
        <f>+IF(Tabla44[[#This Row],[AGRUPACIONES]]=1,SUMIFS(Tabla44[VALOR TOTAL],Tabla44[ZONA DEFINITIVO],Tabla44[[#This Row],[ZONA DEFINITIVO]])," ")</f>
        <v xml:space="preserve"> </v>
      </c>
      <c r="AT494" s="35">
        <f>VLOOKUP(Tabla44[[#This Row],[SERVICIO 2025]],$J$2:$V$15,10,0)*Tabla44[[#This Row],[TOTAL COBERTURA]]*$X$7</f>
        <v>0</v>
      </c>
      <c r="AU494" s="39">
        <f>Tabla44[[#This Row],[TOTAL CONTRATO (ICBF+EAS)]]+Tabla44[[#This Row],[VALOR COMPONENTE ALIMENTACION NO ASIGNADO]]</f>
        <v>406318450</v>
      </c>
      <c r="AV49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57361047</v>
      </c>
      <c r="AW494" s="35">
        <f>(VLOOKUP(Tabla44[[#This Row],[SERVICIO 2025]],$J$2:$V$15,3,0)*Tabla44[[#This Row],[TOTAL COBERTURA]])+VLOOKUP(Tabla44[[#This Row],[SERVICIO 2025]],$J$2:$V$15,10,0)*Tabla44[[#This Row],[TOTAL COBERTURA]]</f>
        <v>48811176</v>
      </c>
      <c r="AX494" s="35">
        <f>(VLOOKUP(Tabla44[[#This Row],[SERVICIO 2025]],$J$2:$V$15,3,0)*Tabla44[[#This Row],[TOTAL COBERTURA]])+VLOOKUP(Tabla44[[#This Row],[SERVICIO 2025]],$J$2:$V$15,10,0)*Tabla44[[#This Row],[TOTAL COBERTURA]]</f>
        <v>48811176</v>
      </c>
      <c r="AY494" s="35">
        <f>(VLOOKUP(Tabla44[[#This Row],[SERVICIO 2025]],$J$2:$V$15,3,0)*Tabla44[[#This Row],[TOTAL COBERTURA]])+VLOOKUP(Tabla44[[#This Row],[SERVICIO 2025]],$J$2:$V$15,10,0)*Tabla44[[#This Row],[TOTAL COBERTURA]]</f>
        <v>48811176</v>
      </c>
      <c r="AZ494" s="35">
        <f>(VLOOKUP(Tabla44[[#This Row],[SERVICIO 2025]],$J$2:$V$15,3,0)*Tabla44[[#This Row],[TOTAL COBERTURA]])+VLOOKUP(Tabla44[[#This Row],[SERVICIO 2025]],$J$2:$V$15,10,0)*Tabla44[[#This Row],[TOTAL COBERTURA]]</f>
        <v>48811176</v>
      </c>
      <c r="BA494" s="35">
        <f>(VLOOKUP(Tabla44[[#This Row],[SERVICIO 2025]],$J$2:$V$15,3,0)*Tabla44[[#This Row],[TOTAL COBERTURA]])+VLOOKUP(Tabla44[[#This Row],[SERVICIO 2025]],$J$2:$V$15,10,0)*Tabla44[[#This Row],[TOTAL COBERTURA]]</f>
        <v>48811176</v>
      </c>
      <c r="BB494" s="35">
        <f>(VLOOKUP(Tabla44[[#This Row],[SERVICIO 2025]],$J$2:$V$15,3,0)*Tabla44[[#This Row],[TOTAL COBERTURA]])+VLOOKUP(Tabla44[[#This Row],[SERVICIO 2025]],$J$2:$V$15,10,0)*Tabla44[[#This Row],[TOTAL COBERTURA]]</f>
        <v>48811176</v>
      </c>
      <c r="BC49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56090347</v>
      </c>
      <c r="BD494" s="35">
        <f>SUM(Tabla44[[#This Row],[DESEMBOLSO 1]:[DESEMBOLSO 8]])</f>
        <v>406318450</v>
      </c>
      <c r="BE494" s="12" t="b">
        <f>EXACT(Tabla44[[#This Row],[VALOR ATENCIÓN (8 MESES)]],Tabla44[[#This Row],[VALOR TOTAL]])</f>
        <v>1</v>
      </c>
      <c r="BF494" s="23">
        <f>Tabla44[[#This Row],[VALOR ATENCIÓN (8 MESES)]]-Tabla44[[#This Row],[VALOR TOTAL]]</f>
        <v>0</v>
      </c>
      <c r="BG494" s="12" t="b">
        <f>EXACT(Tabla44[[#This Row],[TOTAL DESEMBOLSOS]],Tabla44[[#This Row],[VALOR TOTAL DEL CONTRATO INCLUIDO EL COMPONENTE DE ALIMENTACIÓN]])</f>
        <v>1</v>
      </c>
      <c r="BH494" s="29">
        <f>Tabla44[[#This Row],[TOTAL DESEMBOLSOS]]-Tabla44[[#This Row],[VALOR TOTAL DEL CONTRATO INCLUIDO EL COMPONENTE DE ALIMENTACIÓN]]</f>
        <v>0</v>
      </c>
      <c r="BI494" t="s">
        <v>98</v>
      </c>
    </row>
    <row r="495" spans="1:61">
      <c r="A495" s="13">
        <v>2022</v>
      </c>
      <c r="B495" s="13"/>
      <c r="C495" s="12" t="s">
        <v>87</v>
      </c>
      <c r="D495" s="12" t="s">
        <v>1628</v>
      </c>
      <c r="E495" s="12" t="s">
        <v>3711</v>
      </c>
      <c r="F495" s="12" t="s">
        <v>15</v>
      </c>
      <c r="G495" s="12" t="s">
        <v>90</v>
      </c>
      <c r="H495" s="12" t="s">
        <v>3760</v>
      </c>
      <c r="I495" s="36">
        <v>588700023287</v>
      </c>
      <c r="J495" s="12" t="s">
        <v>3761</v>
      </c>
      <c r="K495" s="12">
        <v>1</v>
      </c>
      <c r="L495" s="12">
        <v>60</v>
      </c>
      <c r="M495" s="12"/>
      <c r="N495" s="13">
        <v>2022</v>
      </c>
      <c r="O495" s="12" t="s">
        <v>2850</v>
      </c>
      <c r="P495" s="12"/>
      <c r="Q495" s="12"/>
      <c r="R495" s="12" t="s">
        <v>94</v>
      </c>
      <c r="S495" s="12">
        <v>10</v>
      </c>
      <c r="T495" s="12">
        <v>890985417</v>
      </c>
      <c r="U495" s="12" t="s">
        <v>3671</v>
      </c>
      <c r="V495" s="12">
        <f>VLOOKUP(Tabla44[[#This Row],[ZONA DEFINITIVO]],[1]Hoja1!$A$1:$D$125,3,0)</f>
        <v>229946</v>
      </c>
      <c r="W495" s="12">
        <f>VLOOKUP(Tabla44[[#This Row],[ZONA DEFINITIVO]],[1]Hoja1!$A$1:$D$125,2,0)</f>
        <v>17267</v>
      </c>
      <c r="X495" s="12">
        <f>VLOOKUP(Tabla44[[#This Row],[ZONA DEFINITIVO]],[1]Hoja1!$A$1:$D$125,4,0)</f>
        <v>105325</v>
      </c>
      <c r="Y495" s="12" t="str">
        <f>+IF(Tabla44[[#This Row],[AGRUPACIONES]]=1,SUMIFS(Tabla44[UDS],Tabla44[ZONA DEFINITIVO],Tabla44[[#This Row],[ZONA DEFINITIVO]])," ")</f>
        <v xml:space="preserve"> </v>
      </c>
      <c r="Z495" s="12" t="str">
        <f>+IF(Tabla44[[#This Row],[AGRUPACIONES]]=1,SUMIFS(Tabla44[TOTAL COBERTURA],Tabla44[ZONA DEFINITIVO],Tabla44[[#This Row],[ZONA DEFINITIVO]])," ")</f>
        <v xml:space="preserve"> </v>
      </c>
      <c r="AA495" s="12"/>
      <c r="AB495" s="35">
        <v>259764120</v>
      </c>
      <c r="AC495" s="37">
        <v>0</v>
      </c>
      <c r="AD495" s="35">
        <f t="shared" si="8"/>
        <v>0</v>
      </c>
      <c r="AE495" s="12"/>
      <c r="AF495" s="12">
        <f>COUNTIF($A$20:A495,A495)</f>
        <v>51</v>
      </c>
      <c r="AG495" s="38">
        <v>259764120</v>
      </c>
      <c r="AH495" s="38">
        <f>Tabla44[[#This Row],[VALOR CONTRAPARTIDA]]+Tabla44[[#This Row],[TOTAL APORTES ICBF]]</f>
        <v>259764120</v>
      </c>
      <c r="AI495" s="35" t="str">
        <f>+IF(Tabla44[[#This Row],[AGRUPACIONES]]=1,SUMIFS(Tabla44[TOTAL APORTES ICBF],Tabla44[ZONA DEFINITIVO],Tabla44[[#This Row],[ZONA DEFINITIVO]])," ")</f>
        <v xml:space="preserve"> </v>
      </c>
      <c r="AJ495" s="38"/>
      <c r="AK495" s="38"/>
      <c r="AL495" s="35"/>
      <c r="AM495" s="35">
        <f>VLOOKUP(Tabla44[[#This Row],[SERVICIO 2025]],$J$2:$V$15,5,0)*Tabla44[[#This Row],[TOTAL COBERTURA]]</f>
        <v>5288580</v>
      </c>
      <c r="AN495" s="35">
        <f>VLOOKUP(Tabla44[[#This Row],[SERVICIO 2025]],$J$2:$V$15,6,0)*Tabla44[[#This Row],[TOTAL COBERTURA]]</f>
        <v>4502580</v>
      </c>
      <c r="AO495" s="35">
        <f>VLOOKUP(Tabla44[[#This Row],[SERVICIO 2025]],$J$2:$V$15,8,0)*Tabla44[[#This Row],[TOTAL COBERTURA]]</f>
        <v>0</v>
      </c>
      <c r="AP495" s="35">
        <f>VLOOKUP(Tabla44[[#This Row],[SERVICIO 2025]],$J$2:$V$15,3,0)*Tabla44[[#This Row],[TOTAL COBERTURA]]*8</f>
        <v>249972960</v>
      </c>
      <c r="AQ495" s="35"/>
      <c r="AR495" s="35">
        <f>SUM(Tabla44[[#This Row],[VALOR FASE PREPARATORIA DE ALISTAMIENTO]:[VALOR RACION PREPARADA]])</f>
        <v>259764120</v>
      </c>
      <c r="AS495" s="35" t="str">
        <f>+IF(Tabla44[[#This Row],[AGRUPACIONES]]=1,SUMIFS(Tabla44[VALOR TOTAL],Tabla44[ZONA DEFINITIVO],Tabla44[[#This Row],[ZONA DEFINITIVO]])," ")</f>
        <v xml:space="preserve"> </v>
      </c>
      <c r="AT495" s="35">
        <f>VLOOKUP(Tabla44[[#This Row],[SERVICIO 2025]],$J$2:$V$15,10,0)*Tabla44[[#This Row],[TOTAL COBERTURA]]*$X$7</f>
        <v>0</v>
      </c>
      <c r="AU495" s="39">
        <f>Tabla44[[#This Row],[TOTAL CONTRATO (ICBF+EAS)]]+Tabla44[[#This Row],[VALOR COMPONENTE ALIMENTACION NO ASIGNADO]]</f>
        <v>259764120</v>
      </c>
      <c r="AV49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36535200</v>
      </c>
      <c r="AW495" s="35">
        <f>(VLOOKUP(Tabla44[[#This Row],[SERVICIO 2025]],$J$2:$V$15,3,0)*Tabla44[[#This Row],[TOTAL COBERTURA]])+VLOOKUP(Tabla44[[#This Row],[SERVICIO 2025]],$J$2:$V$15,10,0)*Tabla44[[#This Row],[TOTAL COBERTURA]]</f>
        <v>31246620</v>
      </c>
      <c r="AX495" s="35">
        <f>(VLOOKUP(Tabla44[[#This Row],[SERVICIO 2025]],$J$2:$V$15,3,0)*Tabla44[[#This Row],[TOTAL COBERTURA]])+VLOOKUP(Tabla44[[#This Row],[SERVICIO 2025]],$J$2:$V$15,10,0)*Tabla44[[#This Row],[TOTAL COBERTURA]]</f>
        <v>31246620</v>
      </c>
      <c r="AY495" s="35">
        <f>(VLOOKUP(Tabla44[[#This Row],[SERVICIO 2025]],$J$2:$V$15,3,0)*Tabla44[[#This Row],[TOTAL COBERTURA]])+VLOOKUP(Tabla44[[#This Row],[SERVICIO 2025]],$J$2:$V$15,10,0)*Tabla44[[#This Row],[TOTAL COBERTURA]]</f>
        <v>31246620</v>
      </c>
      <c r="AZ495" s="35">
        <f>(VLOOKUP(Tabla44[[#This Row],[SERVICIO 2025]],$J$2:$V$15,3,0)*Tabla44[[#This Row],[TOTAL COBERTURA]])+VLOOKUP(Tabla44[[#This Row],[SERVICIO 2025]],$J$2:$V$15,10,0)*Tabla44[[#This Row],[TOTAL COBERTURA]]</f>
        <v>31246620</v>
      </c>
      <c r="BA495" s="35">
        <f>(VLOOKUP(Tabla44[[#This Row],[SERVICIO 2025]],$J$2:$V$15,3,0)*Tabla44[[#This Row],[TOTAL COBERTURA]])+VLOOKUP(Tabla44[[#This Row],[SERVICIO 2025]],$J$2:$V$15,10,0)*Tabla44[[#This Row],[TOTAL COBERTURA]]</f>
        <v>31246620</v>
      </c>
      <c r="BB495" s="35">
        <f>(VLOOKUP(Tabla44[[#This Row],[SERVICIO 2025]],$J$2:$V$15,3,0)*Tabla44[[#This Row],[TOTAL COBERTURA]])+VLOOKUP(Tabla44[[#This Row],[SERVICIO 2025]],$J$2:$V$15,10,0)*Tabla44[[#This Row],[TOTAL COBERTURA]]</f>
        <v>31246620</v>
      </c>
      <c r="BC49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35749200</v>
      </c>
      <c r="BD495" s="35">
        <f>SUM(Tabla44[[#This Row],[DESEMBOLSO 1]:[DESEMBOLSO 8]])</f>
        <v>259764120</v>
      </c>
      <c r="BE495" s="12" t="b">
        <f>EXACT(Tabla44[[#This Row],[VALOR ATENCIÓN (8 MESES)]],Tabla44[[#This Row],[VALOR TOTAL]])</f>
        <v>1</v>
      </c>
      <c r="BF495" s="23">
        <f>Tabla44[[#This Row],[VALOR ATENCIÓN (8 MESES)]]-Tabla44[[#This Row],[VALOR TOTAL]]</f>
        <v>0</v>
      </c>
      <c r="BG495" s="12" t="b">
        <f>EXACT(Tabla44[[#This Row],[TOTAL DESEMBOLSOS]],Tabla44[[#This Row],[VALOR TOTAL DEL CONTRATO INCLUIDO EL COMPONENTE DE ALIMENTACIÓN]])</f>
        <v>1</v>
      </c>
      <c r="BH495" s="29">
        <f>Tabla44[[#This Row],[TOTAL DESEMBOLSOS]]-Tabla44[[#This Row],[VALOR TOTAL DEL CONTRATO INCLUIDO EL COMPONENTE DE ALIMENTACIÓN]]</f>
        <v>0</v>
      </c>
      <c r="BI495" t="s">
        <v>98</v>
      </c>
    </row>
    <row r="496" spans="1:61">
      <c r="A496" s="13">
        <v>2022</v>
      </c>
      <c r="B496" s="13"/>
      <c r="C496" s="12" t="s">
        <v>87</v>
      </c>
      <c r="D496" s="12" t="s">
        <v>1628</v>
      </c>
      <c r="E496" s="12" t="s">
        <v>3711</v>
      </c>
      <c r="F496" s="12" t="s">
        <v>21</v>
      </c>
      <c r="G496" s="12" t="s">
        <v>90</v>
      </c>
      <c r="H496" s="12" t="s">
        <v>3762</v>
      </c>
      <c r="I496" s="36">
        <v>588700039428</v>
      </c>
      <c r="J496" s="12" t="s">
        <v>3763</v>
      </c>
      <c r="K496" s="12">
        <v>1</v>
      </c>
      <c r="L496" s="12">
        <v>18</v>
      </c>
      <c r="M496" s="12"/>
      <c r="N496" s="13">
        <v>2022</v>
      </c>
      <c r="O496" s="12" t="s">
        <v>2850</v>
      </c>
      <c r="P496" s="12"/>
      <c r="Q496" s="12"/>
      <c r="R496" s="12" t="s">
        <v>94</v>
      </c>
      <c r="S496" s="12">
        <v>10</v>
      </c>
      <c r="T496" s="12">
        <v>890985417</v>
      </c>
      <c r="U496" s="12" t="s">
        <v>3671</v>
      </c>
      <c r="V496" s="12">
        <f>VLOOKUP(Tabla44[[#This Row],[ZONA DEFINITIVO]],[1]Hoja1!$A$1:$D$125,3,0)</f>
        <v>229946</v>
      </c>
      <c r="W496" s="12">
        <f>VLOOKUP(Tabla44[[#This Row],[ZONA DEFINITIVO]],[1]Hoja1!$A$1:$D$125,2,0)</f>
        <v>17267</v>
      </c>
      <c r="X496" s="12">
        <f>VLOOKUP(Tabla44[[#This Row],[ZONA DEFINITIVO]],[1]Hoja1!$A$1:$D$125,4,0)</f>
        <v>105325</v>
      </c>
      <c r="Y496" s="12" t="str">
        <f>+IF(Tabla44[[#This Row],[AGRUPACIONES]]=1,SUMIFS(Tabla44[UDS],Tabla44[ZONA DEFINITIVO],Tabla44[[#This Row],[ZONA DEFINITIVO]])," ")</f>
        <v xml:space="preserve"> </v>
      </c>
      <c r="Z496" s="12" t="str">
        <f>+IF(Tabla44[[#This Row],[AGRUPACIONES]]=1,SUMIFS(Tabla44[TOTAL COBERTURA],Tabla44[ZONA DEFINITIVO],Tabla44[[#This Row],[ZONA DEFINITIVO]])," ")</f>
        <v xml:space="preserve"> </v>
      </c>
      <c r="AA496" s="12"/>
      <c r="AB496" s="35">
        <v>27347490</v>
      </c>
      <c r="AC496" s="37">
        <v>0</v>
      </c>
      <c r="AD496" s="35">
        <f t="shared" si="8"/>
        <v>0</v>
      </c>
      <c r="AE496" s="12"/>
      <c r="AF496" s="12">
        <f>COUNTIF($A$20:A496,A496)</f>
        <v>52</v>
      </c>
      <c r="AG496" s="38">
        <v>27347490</v>
      </c>
      <c r="AH496" s="38">
        <f>Tabla44[[#This Row],[VALOR CONTRAPARTIDA]]+Tabla44[[#This Row],[TOTAL APORTES ICBF]]</f>
        <v>27347490</v>
      </c>
      <c r="AI496" s="35" t="str">
        <f>+IF(Tabla44[[#This Row],[AGRUPACIONES]]=1,SUMIFS(Tabla44[TOTAL APORTES ICBF],Tabla44[ZONA DEFINITIVO],Tabla44[[#This Row],[ZONA DEFINITIVO]])," ")</f>
        <v xml:space="preserve"> </v>
      </c>
      <c r="AJ496" s="38"/>
      <c r="AK496" s="38"/>
      <c r="AL496" s="35"/>
      <c r="AM496" s="35">
        <f>VLOOKUP(Tabla44[[#This Row],[SERVICIO 2025]],$J$2:$V$15,5,0)*Tabla44[[#This Row],[TOTAL COBERTURA]]</f>
        <v>841392</v>
      </c>
      <c r="AN496" s="35">
        <f>VLOOKUP(Tabla44[[#This Row],[SERVICIO 2025]],$J$2:$V$15,6,0)*Tabla44[[#This Row],[TOTAL COBERTURA]]</f>
        <v>681138</v>
      </c>
      <c r="AO496" s="35">
        <f>VLOOKUP(Tabla44[[#This Row],[SERVICIO 2025]],$J$2:$V$15,8,0)*Tabla44[[#This Row],[TOTAL COBERTURA]]</f>
        <v>0</v>
      </c>
      <c r="AP496" s="35">
        <f>VLOOKUP(Tabla44[[#This Row],[SERVICIO 2025]],$J$2:$V$15,3,0)*Tabla44[[#This Row],[TOTAL COBERTURA]]*8</f>
        <v>25824960</v>
      </c>
      <c r="AQ496" s="35"/>
      <c r="AR496" s="35">
        <f>SUM(Tabla44[[#This Row],[VALOR FASE PREPARATORIA DE ALISTAMIENTO]:[VALOR RACION PREPARADA]])</f>
        <v>27347490</v>
      </c>
      <c r="AS496" s="35" t="str">
        <f>+IF(Tabla44[[#This Row],[AGRUPACIONES]]=1,SUMIFS(Tabla44[VALOR TOTAL],Tabla44[ZONA DEFINITIVO],Tabla44[[#This Row],[ZONA DEFINITIVO]])," ")</f>
        <v xml:space="preserve"> </v>
      </c>
      <c r="AT496" s="35">
        <f>VLOOKUP(Tabla44[[#This Row],[SERVICIO 2025]],$J$2:$V$15,10,0)*Tabla44[[#This Row],[TOTAL COBERTURA]]*$X$7</f>
        <v>27118224</v>
      </c>
      <c r="AU496" s="39">
        <f>Tabla44[[#This Row],[TOTAL CONTRATO (ICBF+EAS)]]+Tabla44[[#This Row],[VALOR COMPONENTE ALIMENTACION NO ASIGNADO]]</f>
        <v>54465714</v>
      </c>
      <c r="AV49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7459290</v>
      </c>
      <c r="AW496" s="35">
        <f>(VLOOKUP(Tabla44[[#This Row],[SERVICIO 2025]],$J$2:$V$15,3,0)*Tabla44[[#This Row],[TOTAL COBERTURA]])+VLOOKUP(Tabla44[[#This Row],[SERVICIO 2025]],$J$2:$V$15,10,0)*Tabla44[[#This Row],[TOTAL COBERTURA]]</f>
        <v>6617898</v>
      </c>
      <c r="AX496" s="35">
        <f>(VLOOKUP(Tabla44[[#This Row],[SERVICIO 2025]],$J$2:$V$15,3,0)*Tabla44[[#This Row],[TOTAL COBERTURA]])+VLOOKUP(Tabla44[[#This Row],[SERVICIO 2025]],$J$2:$V$15,10,0)*Tabla44[[#This Row],[TOTAL COBERTURA]]</f>
        <v>6617898</v>
      </c>
      <c r="AY496" s="35">
        <f>(VLOOKUP(Tabla44[[#This Row],[SERVICIO 2025]],$J$2:$V$15,3,0)*Tabla44[[#This Row],[TOTAL COBERTURA]])+VLOOKUP(Tabla44[[#This Row],[SERVICIO 2025]],$J$2:$V$15,10,0)*Tabla44[[#This Row],[TOTAL COBERTURA]]</f>
        <v>6617898</v>
      </c>
      <c r="AZ496" s="35">
        <f>(VLOOKUP(Tabla44[[#This Row],[SERVICIO 2025]],$J$2:$V$15,3,0)*Tabla44[[#This Row],[TOTAL COBERTURA]])+VLOOKUP(Tabla44[[#This Row],[SERVICIO 2025]],$J$2:$V$15,10,0)*Tabla44[[#This Row],[TOTAL COBERTURA]]</f>
        <v>6617898</v>
      </c>
      <c r="BA496" s="35">
        <f>(VLOOKUP(Tabla44[[#This Row],[SERVICIO 2025]],$J$2:$V$15,3,0)*Tabla44[[#This Row],[TOTAL COBERTURA]])+VLOOKUP(Tabla44[[#This Row],[SERVICIO 2025]],$J$2:$V$15,10,0)*Tabla44[[#This Row],[TOTAL COBERTURA]]</f>
        <v>6617898</v>
      </c>
      <c r="BB496" s="35">
        <f>(VLOOKUP(Tabla44[[#This Row],[SERVICIO 2025]],$J$2:$V$15,3,0)*Tabla44[[#This Row],[TOTAL COBERTURA]])+VLOOKUP(Tabla44[[#This Row],[SERVICIO 2025]],$J$2:$V$15,10,0)*Tabla44[[#This Row],[TOTAL COBERTURA]]</f>
        <v>6617898</v>
      </c>
      <c r="BC49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7299036</v>
      </c>
      <c r="BD496" s="35">
        <f>SUM(Tabla44[[#This Row],[DESEMBOLSO 1]:[DESEMBOLSO 8]])</f>
        <v>54465714</v>
      </c>
      <c r="BE496" s="12" t="b">
        <f>EXACT(Tabla44[[#This Row],[VALOR ATENCIÓN (8 MESES)]],Tabla44[[#This Row],[VALOR TOTAL]])</f>
        <v>1</v>
      </c>
      <c r="BF496" s="23">
        <f>Tabla44[[#This Row],[VALOR ATENCIÓN (8 MESES)]]-Tabla44[[#This Row],[VALOR TOTAL]]</f>
        <v>0</v>
      </c>
      <c r="BG496" s="12" t="b">
        <f>EXACT(Tabla44[[#This Row],[TOTAL DESEMBOLSOS]],Tabla44[[#This Row],[VALOR TOTAL DEL CONTRATO INCLUIDO EL COMPONENTE DE ALIMENTACIÓN]])</f>
        <v>1</v>
      </c>
      <c r="BH496" s="29">
        <f>Tabla44[[#This Row],[TOTAL DESEMBOLSOS]]-Tabla44[[#This Row],[VALOR TOTAL DEL CONTRATO INCLUIDO EL COMPONENTE DE ALIMENTACIÓN]]</f>
        <v>0</v>
      </c>
      <c r="BI496" t="s">
        <v>98</v>
      </c>
    </row>
    <row r="497" spans="1:61">
      <c r="A497" s="13">
        <v>2023</v>
      </c>
      <c r="B497" s="13"/>
      <c r="C497" s="12" t="s">
        <v>87</v>
      </c>
      <c r="D497" s="12" t="s">
        <v>673</v>
      </c>
      <c r="E497" s="12" t="s">
        <v>3764</v>
      </c>
      <c r="F497" s="12" t="s">
        <v>21</v>
      </c>
      <c r="G497" s="12" t="s">
        <v>90</v>
      </c>
      <c r="H497" s="12" t="s">
        <v>3765</v>
      </c>
      <c r="I497" s="36">
        <v>58901119053</v>
      </c>
      <c r="J497" s="12" t="s">
        <v>3766</v>
      </c>
      <c r="K497" s="12">
        <v>1</v>
      </c>
      <c r="L497" s="12">
        <v>6</v>
      </c>
      <c r="M497" s="12"/>
      <c r="N497" s="13">
        <v>2023</v>
      </c>
      <c r="O497" s="12" t="s">
        <v>2850</v>
      </c>
      <c r="P497" s="12"/>
      <c r="Q497" s="12"/>
      <c r="R497" s="12" t="s">
        <v>94</v>
      </c>
      <c r="S497" s="12">
        <v>10</v>
      </c>
      <c r="T497" s="12">
        <v>830508092</v>
      </c>
      <c r="U497" s="12" t="s">
        <v>584</v>
      </c>
      <c r="V497" s="12">
        <f>VLOOKUP(Tabla44[[#This Row],[ZONA DEFINITIVO]],[1]Hoja1!$A$1:$D$125,3,0)</f>
        <v>229947</v>
      </c>
      <c r="W497" s="12">
        <f>VLOOKUP(Tabla44[[#This Row],[ZONA DEFINITIVO]],[1]Hoja1!$A$1:$D$125,2,0)</f>
        <v>17263</v>
      </c>
      <c r="X497" s="12">
        <f>VLOOKUP(Tabla44[[#This Row],[ZONA DEFINITIVO]],[1]Hoja1!$A$1:$D$125,4,0)</f>
        <v>104925</v>
      </c>
      <c r="Y497" s="12">
        <f>+IF(Tabla44[[#This Row],[AGRUPACIONES]]=1,SUMIFS(Tabla44[UDS],Tabla44[ZONA DEFINITIVO],Tabla44[[#This Row],[ZONA DEFINITIVO]])," ")</f>
        <v>48</v>
      </c>
      <c r="Z497" s="12">
        <f>+IF(Tabla44[[#This Row],[AGRUPACIONES]]=1,SUMIFS(Tabla44[TOTAL COBERTURA],Tabla44[ZONA DEFINITIVO],Tabla44[[#This Row],[ZONA DEFINITIVO]])," ")</f>
        <v>859</v>
      </c>
      <c r="AA497" s="12"/>
      <c r="AB497" s="35">
        <v>9115830</v>
      </c>
      <c r="AC497" s="37">
        <v>0</v>
      </c>
      <c r="AD497" s="35">
        <f t="shared" si="8"/>
        <v>0</v>
      </c>
      <c r="AE497" s="12"/>
      <c r="AF497" s="12">
        <f>COUNTIF($A$20:A497,A497)</f>
        <v>1</v>
      </c>
      <c r="AG497" s="38">
        <v>9115830</v>
      </c>
      <c r="AH497" s="38">
        <f>Tabla44[[#This Row],[VALOR CONTRAPARTIDA]]+Tabla44[[#This Row],[TOTAL APORTES ICBF]]</f>
        <v>9115830</v>
      </c>
      <c r="AI497" s="35">
        <f>+IF(Tabla44[[#This Row],[AGRUPACIONES]]=1,SUMIFS(Tabla44[TOTAL APORTES ICBF],Tabla44[ZONA DEFINITIVO],Tabla44[[#This Row],[ZONA DEFINITIVO]])," ")</f>
        <v>1686969425</v>
      </c>
      <c r="AJ497" s="38">
        <f>ROUND(+IF(Tabla44[[#This Row],[AGRUPACIONES]]=1,SUMIFS(Tabla44[VALOR CONTRAPARTIDA],Tabla44[ZONA DEFINITIVO],Tabla44[[#This Row],[ZONA DEFINITIVO]])," "),0)</f>
        <v>0</v>
      </c>
      <c r="AK497" s="38">
        <f>Tabla44[[#This Row],[TOTAL APORTES ICBF AGRUPADO]]+Tabla44[[#This Row],[TOTAL CONTRAPARTIDA AGRUPADO]]</f>
        <v>1686969425</v>
      </c>
      <c r="AL497" s="35">
        <f>Tabla44[[#This Row],[TOTAL APORTES ICBF AGRUPADO]]/$AL$18</f>
        <v>1185.0856515630487</v>
      </c>
      <c r="AM497" s="35">
        <f>VLOOKUP(Tabla44[[#This Row],[SERVICIO 2025]],$J$2:$V$15,5,0)*Tabla44[[#This Row],[TOTAL COBERTURA]]</f>
        <v>280464</v>
      </c>
      <c r="AN497" s="35">
        <f>VLOOKUP(Tabla44[[#This Row],[SERVICIO 2025]],$J$2:$V$15,6,0)*Tabla44[[#This Row],[TOTAL COBERTURA]]</f>
        <v>227046</v>
      </c>
      <c r="AO497" s="35">
        <f>VLOOKUP(Tabla44[[#This Row],[SERVICIO 2025]],$J$2:$V$15,8,0)*Tabla44[[#This Row],[TOTAL COBERTURA]]</f>
        <v>0</v>
      </c>
      <c r="AP497" s="35">
        <f>VLOOKUP(Tabla44[[#This Row],[SERVICIO 2025]],$J$2:$V$15,3,0)*Tabla44[[#This Row],[TOTAL COBERTURA]]*8</f>
        <v>8608320</v>
      </c>
      <c r="AQ497" s="35"/>
      <c r="AR497" s="35">
        <f>SUM(Tabla44[[#This Row],[VALOR FASE PREPARATORIA DE ALISTAMIENTO]:[VALOR RACION PREPARADA]])</f>
        <v>9115830</v>
      </c>
      <c r="AS497" s="35">
        <f>+IF(Tabla44[[#This Row],[AGRUPACIONES]]=1,SUMIFS(Tabla44[VALOR TOTAL],Tabla44[ZONA DEFINITIVO],Tabla44[[#This Row],[ZONA DEFINITIVO]])," ")</f>
        <v>1686969425</v>
      </c>
      <c r="AT497" s="35">
        <f>VLOOKUP(Tabla44[[#This Row],[SERVICIO 2025]],$J$2:$V$15,10,0)*Tabla44[[#This Row],[TOTAL COBERTURA]]*$X$7</f>
        <v>9039408</v>
      </c>
      <c r="AU497" s="39">
        <f>Tabla44[[#This Row],[TOTAL CONTRATO (ICBF+EAS)]]+Tabla44[[#This Row],[VALOR COMPONENTE ALIMENTACION NO ASIGNADO]]</f>
        <v>18155238</v>
      </c>
      <c r="AV49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2486430</v>
      </c>
      <c r="AW497" s="35">
        <f>(VLOOKUP(Tabla44[[#This Row],[SERVICIO 2025]],$J$2:$V$15,3,0)*Tabla44[[#This Row],[TOTAL COBERTURA]])+VLOOKUP(Tabla44[[#This Row],[SERVICIO 2025]],$J$2:$V$15,10,0)*Tabla44[[#This Row],[TOTAL COBERTURA]]</f>
        <v>2205966</v>
      </c>
      <c r="AX497" s="35">
        <f>(VLOOKUP(Tabla44[[#This Row],[SERVICIO 2025]],$J$2:$V$15,3,0)*Tabla44[[#This Row],[TOTAL COBERTURA]])+VLOOKUP(Tabla44[[#This Row],[SERVICIO 2025]],$J$2:$V$15,10,0)*Tabla44[[#This Row],[TOTAL COBERTURA]]</f>
        <v>2205966</v>
      </c>
      <c r="AY497" s="35">
        <f>(VLOOKUP(Tabla44[[#This Row],[SERVICIO 2025]],$J$2:$V$15,3,0)*Tabla44[[#This Row],[TOTAL COBERTURA]])+VLOOKUP(Tabla44[[#This Row],[SERVICIO 2025]],$J$2:$V$15,10,0)*Tabla44[[#This Row],[TOTAL COBERTURA]]</f>
        <v>2205966</v>
      </c>
      <c r="AZ497" s="35">
        <f>(VLOOKUP(Tabla44[[#This Row],[SERVICIO 2025]],$J$2:$V$15,3,0)*Tabla44[[#This Row],[TOTAL COBERTURA]])+VLOOKUP(Tabla44[[#This Row],[SERVICIO 2025]],$J$2:$V$15,10,0)*Tabla44[[#This Row],[TOTAL COBERTURA]]</f>
        <v>2205966</v>
      </c>
      <c r="BA497" s="35">
        <f>(VLOOKUP(Tabla44[[#This Row],[SERVICIO 2025]],$J$2:$V$15,3,0)*Tabla44[[#This Row],[TOTAL COBERTURA]])+VLOOKUP(Tabla44[[#This Row],[SERVICIO 2025]],$J$2:$V$15,10,0)*Tabla44[[#This Row],[TOTAL COBERTURA]]</f>
        <v>2205966</v>
      </c>
      <c r="BB497" s="35">
        <f>(VLOOKUP(Tabla44[[#This Row],[SERVICIO 2025]],$J$2:$V$15,3,0)*Tabla44[[#This Row],[TOTAL COBERTURA]])+VLOOKUP(Tabla44[[#This Row],[SERVICIO 2025]],$J$2:$V$15,10,0)*Tabla44[[#This Row],[TOTAL COBERTURA]]</f>
        <v>2205966</v>
      </c>
      <c r="BC49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2433012</v>
      </c>
      <c r="BD497" s="35">
        <f>SUM(Tabla44[[#This Row],[DESEMBOLSO 1]:[DESEMBOLSO 8]])</f>
        <v>18155238</v>
      </c>
      <c r="BE497" s="12" t="b">
        <f>EXACT(Tabla44[[#This Row],[VALOR ATENCIÓN (8 MESES)]],Tabla44[[#This Row],[VALOR TOTAL]])</f>
        <v>1</v>
      </c>
      <c r="BF497" s="23">
        <f>Tabla44[[#This Row],[VALOR ATENCIÓN (8 MESES)]]-Tabla44[[#This Row],[VALOR TOTAL]]</f>
        <v>0</v>
      </c>
      <c r="BG497" s="12" t="b">
        <f>EXACT(Tabla44[[#This Row],[TOTAL DESEMBOLSOS]],Tabla44[[#This Row],[VALOR TOTAL DEL CONTRATO INCLUIDO EL COMPONENTE DE ALIMENTACIÓN]])</f>
        <v>1</v>
      </c>
      <c r="BH497" s="29">
        <f>Tabla44[[#This Row],[TOTAL DESEMBOLSOS]]-Tabla44[[#This Row],[VALOR TOTAL DEL CONTRATO INCLUIDO EL COMPONENTE DE ALIMENTACIÓN]]</f>
        <v>0</v>
      </c>
      <c r="BI497" t="s">
        <v>98</v>
      </c>
    </row>
    <row r="498" spans="1:61">
      <c r="A498" s="13">
        <v>2023</v>
      </c>
      <c r="B498" s="13"/>
      <c r="C498" s="12" t="s">
        <v>87</v>
      </c>
      <c r="D498" s="12" t="s">
        <v>673</v>
      </c>
      <c r="E498" s="12" t="s">
        <v>3764</v>
      </c>
      <c r="F498" s="12" t="s">
        <v>21</v>
      </c>
      <c r="G498" s="12" t="s">
        <v>90</v>
      </c>
      <c r="H498" s="12" t="s">
        <v>3767</v>
      </c>
      <c r="I498" s="36">
        <v>58901119057</v>
      </c>
      <c r="J498" s="12" t="s">
        <v>3768</v>
      </c>
      <c r="K498" s="12">
        <v>1</v>
      </c>
      <c r="L498" s="12">
        <v>5</v>
      </c>
      <c r="M498" s="12"/>
      <c r="N498" s="13">
        <v>2023</v>
      </c>
      <c r="O498" s="12" t="s">
        <v>2850</v>
      </c>
      <c r="P498" s="12"/>
      <c r="Q498" s="12"/>
      <c r="R498" s="12" t="s">
        <v>94</v>
      </c>
      <c r="S498" s="12">
        <v>10</v>
      </c>
      <c r="T498" s="12">
        <v>830508092</v>
      </c>
      <c r="U498" s="12" t="s">
        <v>584</v>
      </c>
      <c r="V498" s="12">
        <f>VLOOKUP(Tabla44[[#This Row],[ZONA DEFINITIVO]],[1]Hoja1!$A$1:$D$125,3,0)</f>
        <v>229947</v>
      </c>
      <c r="W498" s="12">
        <f>VLOOKUP(Tabla44[[#This Row],[ZONA DEFINITIVO]],[1]Hoja1!$A$1:$D$125,2,0)</f>
        <v>17263</v>
      </c>
      <c r="X498" s="12">
        <f>VLOOKUP(Tabla44[[#This Row],[ZONA DEFINITIVO]],[1]Hoja1!$A$1:$D$125,4,0)</f>
        <v>104925</v>
      </c>
      <c r="Y498" s="12" t="str">
        <f>+IF(Tabla44[[#This Row],[AGRUPACIONES]]=1,SUMIFS(Tabla44[UDS],Tabla44[ZONA DEFINITIVO],Tabla44[[#This Row],[ZONA DEFINITIVO]])," ")</f>
        <v xml:space="preserve"> </v>
      </c>
      <c r="Z498" s="12" t="str">
        <f>+IF(Tabla44[[#This Row],[AGRUPACIONES]]=1,SUMIFS(Tabla44[TOTAL COBERTURA],Tabla44[ZONA DEFINITIVO],Tabla44[[#This Row],[ZONA DEFINITIVO]])," ")</f>
        <v xml:space="preserve"> </v>
      </c>
      <c r="AA498" s="12"/>
      <c r="AB498" s="35">
        <v>7596525</v>
      </c>
      <c r="AC498" s="37">
        <v>0</v>
      </c>
      <c r="AD498" s="35">
        <f t="shared" si="8"/>
        <v>0</v>
      </c>
      <c r="AE498" s="12"/>
      <c r="AF498" s="12">
        <f>COUNTIF($A$20:A498,A498)</f>
        <v>2</v>
      </c>
      <c r="AG498" s="38">
        <v>7596525</v>
      </c>
      <c r="AH498" s="38">
        <f>Tabla44[[#This Row],[VALOR CONTRAPARTIDA]]+Tabla44[[#This Row],[TOTAL APORTES ICBF]]</f>
        <v>7596525</v>
      </c>
      <c r="AI498" s="35" t="str">
        <f>+IF(Tabla44[[#This Row],[AGRUPACIONES]]=1,SUMIFS(Tabla44[TOTAL APORTES ICBF],Tabla44[ZONA DEFINITIVO],Tabla44[[#This Row],[ZONA DEFINITIVO]])," ")</f>
        <v xml:space="preserve"> </v>
      </c>
      <c r="AJ498" s="38"/>
      <c r="AK498" s="38"/>
      <c r="AL498" s="35"/>
      <c r="AM498" s="35">
        <f>VLOOKUP(Tabla44[[#This Row],[SERVICIO 2025]],$J$2:$V$15,5,0)*Tabla44[[#This Row],[TOTAL COBERTURA]]</f>
        <v>233720</v>
      </c>
      <c r="AN498" s="35">
        <f>VLOOKUP(Tabla44[[#This Row],[SERVICIO 2025]],$J$2:$V$15,6,0)*Tabla44[[#This Row],[TOTAL COBERTURA]]</f>
        <v>189205</v>
      </c>
      <c r="AO498" s="35">
        <f>VLOOKUP(Tabla44[[#This Row],[SERVICIO 2025]],$J$2:$V$15,8,0)*Tabla44[[#This Row],[TOTAL COBERTURA]]</f>
        <v>0</v>
      </c>
      <c r="AP498" s="35">
        <f>VLOOKUP(Tabla44[[#This Row],[SERVICIO 2025]],$J$2:$V$15,3,0)*Tabla44[[#This Row],[TOTAL COBERTURA]]*8</f>
        <v>7173600</v>
      </c>
      <c r="AQ498" s="35"/>
      <c r="AR498" s="35">
        <f>SUM(Tabla44[[#This Row],[VALOR FASE PREPARATORIA DE ALISTAMIENTO]:[VALOR RACION PREPARADA]])</f>
        <v>7596525</v>
      </c>
      <c r="AS498" s="35" t="str">
        <f>+IF(Tabla44[[#This Row],[AGRUPACIONES]]=1,SUMIFS(Tabla44[VALOR TOTAL],Tabla44[ZONA DEFINITIVO],Tabla44[[#This Row],[ZONA DEFINITIVO]])," ")</f>
        <v xml:space="preserve"> </v>
      </c>
      <c r="AT498" s="35">
        <f>VLOOKUP(Tabla44[[#This Row],[SERVICIO 2025]],$J$2:$V$15,10,0)*Tabla44[[#This Row],[TOTAL COBERTURA]]*$X$7</f>
        <v>7532840</v>
      </c>
      <c r="AU498" s="39">
        <f>Tabla44[[#This Row],[TOTAL CONTRATO (ICBF+EAS)]]+Tabla44[[#This Row],[VALOR COMPONENTE ALIMENTACION NO ASIGNADO]]</f>
        <v>15129365</v>
      </c>
      <c r="AV49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</v>
      </c>
      <c r="AW498" s="35">
        <f>(VLOOKUP(Tabla44[[#This Row],[SERVICIO 2025]],$J$2:$V$15,3,0)*Tabla44[[#This Row],[TOTAL COBERTURA]])+VLOOKUP(Tabla44[[#This Row],[SERVICIO 2025]],$J$2:$V$15,10,0)*Tabla44[[#This Row],[TOTAL COBERTURA]]</f>
        <v>1838305</v>
      </c>
      <c r="AX498" s="35">
        <f>(VLOOKUP(Tabla44[[#This Row],[SERVICIO 2025]],$J$2:$V$15,3,0)*Tabla44[[#This Row],[TOTAL COBERTURA]])+VLOOKUP(Tabla44[[#This Row],[SERVICIO 2025]],$J$2:$V$15,10,0)*Tabla44[[#This Row],[TOTAL COBERTURA]]</f>
        <v>1838305</v>
      </c>
      <c r="AY498" s="35">
        <f>(VLOOKUP(Tabla44[[#This Row],[SERVICIO 2025]],$J$2:$V$15,3,0)*Tabla44[[#This Row],[TOTAL COBERTURA]])+VLOOKUP(Tabla44[[#This Row],[SERVICIO 2025]],$J$2:$V$15,10,0)*Tabla44[[#This Row],[TOTAL COBERTURA]]</f>
        <v>1838305</v>
      </c>
      <c r="AZ498" s="35">
        <f>(VLOOKUP(Tabla44[[#This Row],[SERVICIO 2025]],$J$2:$V$15,3,0)*Tabla44[[#This Row],[TOTAL COBERTURA]])+VLOOKUP(Tabla44[[#This Row],[SERVICIO 2025]],$J$2:$V$15,10,0)*Tabla44[[#This Row],[TOTAL COBERTURA]]</f>
        <v>1838305</v>
      </c>
      <c r="BA498" s="35">
        <f>(VLOOKUP(Tabla44[[#This Row],[SERVICIO 2025]],$J$2:$V$15,3,0)*Tabla44[[#This Row],[TOTAL COBERTURA]])+VLOOKUP(Tabla44[[#This Row],[SERVICIO 2025]],$J$2:$V$15,10,0)*Tabla44[[#This Row],[TOTAL COBERTURA]]</f>
        <v>1838305</v>
      </c>
      <c r="BB498" s="35">
        <f>(VLOOKUP(Tabla44[[#This Row],[SERVICIO 2025]],$J$2:$V$15,3,0)*Tabla44[[#This Row],[TOTAL COBERTURA]])+VLOOKUP(Tabla44[[#This Row],[SERVICIO 2025]],$J$2:$V$15,10,0)*Tabla44[[#This Row],[TOTAL COBERTURA]]</f>
        <v>1838305</v>
      </c>
      <c r="BC49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</v>
      </c>
      <c r="BD498" s="35">
        <f>SUM(Tabla44[[#This Row],[DESEMBOLSO 1]:[DESEMBOLSO 8]])</f>
        <v>15129365</v>
      </c>
      <c r="BE498" s="12" t="b">
        <f>EXACT(Tabla44[[#This Row],[VALOR ATENCIÓN (8 MESES)]],Tabla44[[#This Row],[VALOR TOTAL]])</f>
        <v>1</v>
      </c>
      <c r="BF498" s="23">
        <f>Tabla44[[#This Row],[VALOR ATENCIÓN (8 MESES)]]-Tabla44[[#This Row],[VALOR TOTAL]]</f>
        <v>0</v>
      </c>
      <c r="BG498" s="12" t="b">
        <f>EXACT(Tabla44[[#This Row],[TOTAL DESEMBOLSOS]],Tabla44[[#This Row],[VALOR TOTAL DEL CONTRATO INCLUIDO EL COMPONENTE DE ALIMENTACIÓN]])</f>
        <v>1</v>
      </c>
      <c r="BH498" s="29">
        <f>Tabla44[[#This Row],[TOTAL DESEMBOLSOS]]-Tabla44[[#This Row],[VALOR TOTAL DEL CONTRATO INCLUIDO EL COMPONENTE DE ALIMENTACIÓN]]</f>
        <v>0</v>
      </c>
      <c r="BI498" t="s">
        <v>98</v>
      </c>
    </row>
    <row r="499" spans="1:61">
      <c r="A499" s="13">
        <v>2023</v>
      </c>
      <c r="B499" s="13"/>
      <c r="C499" s="12" t="s">
        <v>87</v>
      </c>
      <c r="D499" s="12" t="s">
        <v>673</v>
      </c>
      <c r="E499" s="12" t="s">
        <v>3764</v>
      </c>
      <c r="F499" s="12" t="s">
        <v>21</v>
      </c>
      <c r="G499" s="12" t="s">
        <v>90</v>
      </c>
      <c r="H499" s="12" t="s">
        <v>3769</v>
      </c>
      <c r="I499" s="36">
        <v>58901119059</v>
      </c>
      <c r="J499" s="12" t="s">
        <v>3770</v>
      </c>
      <c r="K499" s="12">
        <v>1</v>
      </c>
      <c r="L499" s="12">
        <v>25</v>
      </c>
      <c r="M499" s="12"/>
      <c r="N499" s="13">
        <v>2023</v>
      </c>
      <c r="O499" s="12" t="s">
        <v>2850</v>
      </c>
      <c r="P499" s="12"/>
      <c r="Q499" s="12"/>
      <c r="R499" s="12" t="s">
        <v>94</v>
      </c>
      <c r="S499" s="12">
        <v>10</v>
      </c>
      <c r="T499" s="12">
        <v>830508092</v>
      </c>
      <c r="U499" s="12" t="s">
        <v>584</v>
      </c>
      <c r="V499" s="12">
        <f>VLOOKUP(Tabla44[[#This Row],[ZONA DEFINITIVO]],[1]Hoja1!$A$1:$D$125,3,0)</f>
        <v>229947</v>
      </c>
      <c r="W499" s="12">
        <f>VLOOKUP(Tabla44[[#This Row],[ZONA DEFINITIVO]],[1]Hoja1!$A$1:$D$125,2,0)</f>
        <v>17263</v>
      </c>
      <c r="X499" s="12">
        <f>VLOOKUP(Tabla44[[#This Row],[ZONA DEFINITIVO]],[1]Hoja1!$A$1:$D$125,4,0)</f>
        <v>104925</v>
      </c>
      <c r="Y499" s="12" t="str">
        <f>+IF(Tabla44[[#This Row],[AGRUPACIONES]]=1,SUMIFS(Tabla44[UDS],Tabla44[ZONA DEFINITIVO],Tabla44[[#This Row],[ZONA DEFINITIVO]])," ")</f>
        <v xml:space="preserve"> </v>
      </c>
      <c r="Z499" s="12" t="str">
        <f>+IF(Tabla44[[#This Row],[AGRUPACIONES]]=1,SUMIFS(Tabla44[TOTAL COBERTURA],Tabla44[ZONA DEFINITIVO],Tabla44[[#This Row],[ZONA DEFINITIVO]])," ")</f>
        <v xml:space="preserve"> </v>
      </c>
      <c r="AA499" s="12"/>
      <c r="AB499" s="35">
        <v>37982625</v>
      </c>
      <c r="AC499" s="37">
        <v>0</v>
      </c>
      <c r="AD499" s="35">
        <f t="shared" si="8"/>
        <v>0</v>
      </c>
      <c r="AE499" s="12"/>
      <c r="AF499" s="12">
        <f>COUNTIF($A$20:A499,A499)</f>
        <v>3</v>
      </c>
      <c r="AG499" s="38">
        <v>37982625</v>
      </c>
      <c r="AH499" s="38">
        <f>Tabla44[[#This Row],[VALOR CONTRAPARTIDA]]+Tabla44[[#This Row],[TOTAL APORTES ICBF]]</f>
        <v>37982625</v>
      </c>
      <c r="AI499" s="35" t="str">
        <f>+IF(Tabla44[[#This Row],[AGRUPACIONES]]=1,SUMIFS(Tabla44[TOTAL APORTES ICBF],Tabla44[ZONA DEFINITIVO],Tabla44[[#This Row],[ZONA DEFINITIVO]])," ")</f>
        <v xml:space="preserve"> </v>
      </c>
      <c r="AJ499" s="38"/>
      <c r="AK499" s="38"/>
      <c r="AL499" s="35"/>
      <c r="AM499" s="35">
        <f>VLOOKUP(Tabla44[[#This Row],[SERVICIO 2025]],$J$2:$V$15,5,0)*Tabla44[[#This Row],[TOTAL COBERTURA]]</f>
        <v>1168600</v>
      </c>
      <c r="AN499" s="35">
        <f>VLOOKUP(Tabla44[[#This Row],[SERVICIO 2025]],$J$2:$V$15,6,0)*Tabla44[[#This Row],[TOTAL COBERTURA]]</f>
        <v>946025</v>
      </c>
      <c r="AO499" s="35">
        <f>VLOOKUP(Tabla44[[#This Row],[SERVICIO 2025]],$J$2:$V$15,8,0)*Tabla44[[#This Row],[TOTAL COBERTURA]]</f>
        <v>0</v>
      </c>
      <c r="AP499" s="35">
        <f>VLOOKUP(Tabla44[[#This Row],[SERVICIO 2025]],$J$2:$V$15,3,0)*Tabla44[[#This Row],[TOTAL COBERTURA]]*8</f>
        <v>35868000</v>
      </c>
      <c r="AQ499" s="35"/>
      <c r="AR499" s="35">
        <f>SUM(Tabla44[[#This Row],[VALOR FASE PREPARATORIA DE ALISTAMIENTO]:[VALOR RACION PREPARADA]])</f>
        <v>37982625</v>
      </c>
      <c r="AS499" s="35" t="str">
        <f>+IF(Tabla44[[#This Row],[AGRUPACIONES]]=1,SUMIFS(Tabla44[VALOR TOTAL],Tabla44[ZONA DEFINITIVO],Tabla44[[#This Row],[ZONA DEFINITIVO]])," ")</f>
        <v xml:space="preserve"> </v>
      </c>
      <c r="AT499" s="35">
        <f>VLOOKUP(Tabla44[[#This Row],[SERVICIO 2025]],$J$2:$V$15,10,0)*Tabla44[[#This Row],[TOTAL COBERTURA]]*$X$7</f>
        <v>37664200</v>
      </c>
      <c r="AU499" s="39">
        <f>Tabla44[[#This Row],[TOTAL CONTRATO (ICBF+EAS)]]+Tabla44[[#This Row],[VALOR COMPONENTE ALIMENTACION NO ASIGNADO]]</f>
        <v>75646825</v>
      </c>
      <c r="AV49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10360125</v>
      </c>
      <c r="AW499" s="35">
        <f>(VLOOKUP(Tabla44[[#This Row],[SERVICIO 2025]],$J$2:$V$15,3,0)*Tabla44[[#This Row],[TOTAL COBERTURA]])+VLOOKUP(Tabla44[[#This Row],[SERVICIO 2025]],$J$2:$V$15,10,0)*Tabla44[[#This Row],[TOTAL COBERTURA]]</f>
        <v>9191525</v>
      </c>
      <c r="AX499" s="35">
        <f>(VLOOKUP(Tabla44[[#This Row],[SERVICIO 2025]],$J$2:$V$15,3,0)*Tabla44[[#This Row],[TOTAL COBERTURA]])+VLOOKUP(Tabla44[[#This Row],[SERVICIO 2025]],$J$2:$V$15,10,0)*Tabla44[[#This Row],[TOTAL COBERTURA]]</f>
        <v>9191525</v>
      </c>
      <c r="AY499" s="35">
        <f>(VLOOKUP(Tabla44[[#This Row],[SERVICIO 2025]],$J$2:$V$15,3,0)*Tabla44[[#This Row],[TOTAL COBERTURA]])+VLOOKUP(Tabla44[[#This Row],[SERVICIO 2025]],$J$2:$V$15,10,0)*Tabla44[[#This Row],[TOTAL COBERTURA]]</f>
        <v>9191525</v>
      </c>
      <c r="AZ499" s="35">
        <f>(VLOOKUP(Tabla44[[#This Row],[SERVICIO 2025]],$J$2:$V$15,3,0)*Tabla44[[#This Row],[TOTAL COBERTURA]])+VLOOKUP(Tabla44[[#This Row],[SERVICIO 2025]],$J$2:$V$15,10,0)*Tabla44[[#This Row],[TOTAL COBERTURA]]</f>
        <v>9191525</v>
      </c>
      <c r="BA499" s="35">
        <f>(VLOOKUP(Tabla44[[#This Row],[SERVICIO 2025]],$J$2:$V$15,3,0)*Tabla44[[#This Row],[TOTAL COBERTURA]])+VLOOKUP(Tabla44[[#This Row],[SERVICIO 2025]],$J$2:$V$15,10,0)*Tabla44[[#This Row],[TOTAL COBERTURA]]</f>
        <v>9191525</v>
      </c>
      <c r="BB499" s="35">
        <f>(VLOOKUP(Tabla44[[#This Row],[SERVICIO 2025]],$J$2:$V$15,3,0)*Tabla44[[#This Row],[TOTAL COBERTURA]])+VLOOKUP(Tabla44[[#This Row],[SERVICIO 2025]],$J$2:$V$15,10,0)*Tabla44[[#This Row],[TOTAL COBERTURA]]</f>
        <v>9191525</v>
      </c>
      <c r="BC49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10137550</v>
      </c>
      <c r="BD499" s="35">
        <f>SUM(Tabla44[[#This Row],[DESEMBOLSO 1]:[DESEMBOLSO 8]])</f>
        <v>75646825</v>
      </c>
      <c r="BE499" s="12" t="b">
        <f>EXACT(Tabla44[[#This Row],[VALOR ATENCIÓN (8 MESES)]],Tabla44[[#This Row],[VALOR TOTAL]])</f>
        <v>1</v>
      </c>
      <c r="BF499" s="23">
        <f>Tabla44[[#This Row],[VALOR ATENCIÓN (8 MESES)]]-Tabla44[[#This Row],[VALOR TOTAL]]</f>
        <v>0</v>
      </c>
      <c r="BG499" s="12" t="b">
        <f>EXACT(Tabla44[[#This Row],[TOTAL DESEMBOLSOS]],Tabla44[[#This Row],[VALOR TOTAL DEL CONTRATO INCLUIDO EL COMPONENTE DE ALIMENTACIÓN]])</f>
        <v>1</v>
      </c>
      <c r="BH499" s="29">
        <f>Tabla44[[#This Row],[TOTAL DESEMBOLSOS]]-Tabla44[[#This Row],[VALOR TOTAL DEL CONTRATO INCLUIDO EL COMPONENTE DE ALIMENTACIÓN]]</f>
        <v>0</v>
      </c>
      <c r="BI499" t="s">
        <v>98</v>
      </c>
    </row>
    <row r="500" spans="1:61">
      <c r="A500" s="13">
        <v>2023</v>
      </c>
      <c r="B500" s="13"/>
      <c r="C500" s="12" t="s">
        <v>87</v>
      </c>
      <c r="D500" s="12" t="s">
        <v>673</v>
      </c>
      <c r="E500" s="12" t="s">
        <v>3764</v>
      </c>
      <c r="F500" s="12" t="s">
        <v>21</v>
      </c>
      <c r="G500" s="12" t="s">
        <v>90</v>
      </c>
      <c r="H500" s="12" t="s">
        <v>3771</v>
      </c>
      <c r="I500" s="36">
        <v>58901119061</v>
      </c>
      <c r="J500" s="12" t="s">
        <v>3772</v>
      </c>
      <c r="K500" s="12">
        <v>1</v>
      </c>
      <c r="L500" s="12">
        <v>13</v>
      </c>
      <c r="M500" s="12"/>
      <c r="N500" s="13">
        <v>2023</v>
      </c>
      <c r="O500" s="12" t="s">
        <v>2850</v>
      </c>
      <c r="P500" s="12"/>
      <c r="Q500" s="12"/>
      <c r="R500" s="12" t="s">
        <v>94</v>
      </c>
      <c r="S500" s="12">
        <v>10</v>
      </c>
      <c r="T500" s="12">
        <v>830508092</v>
      </c>
      <c r="U500" s="12" t="s">
        <v>584</v>
      </c>
      <c r="V500" s="12">
        <f>VLOOKUP(Tabla44[[#This Row],[ZONA DEFINITIVO]],[1]Hoja1!$A$1:$D$125,3,0)</f>
        <v>229947</v>
      </c>
      <c r="W500" s="12">
        <f>VLOOKUP(Tabla44[[#This Row],[ZONA DEFINITIVO]],[1]Hoja1!$A$1:$D$125,2,0)</f>
        <v>17263</v>
      </c>
      <c r="X500" s="12">
        <f>VLOOKUP(Tabla44[[#This Row],[ZONA DEFINITIVO]],[1]Hoja1!$A$1:$D$125,4,0)</f>
        <v>104925</v>
      </c>
      <c r="Y500" s="12" t="str">
        <f>+IF(Tabla44[[#This Row],[AGRUPACIONES]]=1,SUMIFS(Tabla44[UDS],Tabla44[ZONA DEFINITIVO],Tabla44[[#This Row],[ZONA DEFINITIVO]])," ")</f>
        <v xml:space="preserve"> </v>
      </c>
      <c r="Z500" s="12" t="str">
        <f>+IF(Tabla44[[#This Row],[AGRUPACIONES]]=1,SUMIFS(Tabla44[TOTAL COBERTURA],Tabla44[ZONA DEFINITIVO],Tabla44[[#This Row],[ZONA DEFINITIVO]])," ")</f>
        <v xml:space="preserve"> </v>
      </c>
      <c r="AA500" s="12"/>
      <c r="AB500" s="35">
        <v>19750965</v>
      </c>
      <c r="AC500" s="37">
        <v>0</v>
      </c>
      <c r="AD500" s="35">
        <f t="shared" si="8"/>
        <v>0</v>
      </c>
      <c r="AE500" s="12"/>
      <c r="AF500" s="12">
        <f>COUNTIF($A$20:A500,A500)</f>
        <v>4</v>
      </c>
      <c r="AG500" s="38">
        <v>19750965</v>
      </c>
      <c r="AH500" s="38">
        <f>Tabla44[[#This Row],[VALOR CONTRAPARTIDA]]+Tabla44[[#This Row],[TOTAL APORTES ICBF]]</f>
        <v>19750965</v>
      </c>
      <c r="AI500" s="35" t="str">
        <f>+IF(Tabla44[[#This Row],[AGRUPACIONES]]=1,SUMIFS(Tabla44[TOTAL APORTES ICBF],Tabla44[ZONA DEFINITIVO],Tabla44[[#This Row],[ZONA DEFINITIVO]])," ")</f>
        <v xml:space="preserve"> </v>
      </c>
      <c r="AJ500" s="38"/>
      <c r="AK500" s="38"/>
      <c r="AL500" s="35"/>
      <c r="AM500" s="35">
        <f>VLOOKUP(Tabla44[[#This Row],[SERVICIO 2025]],$J$2:$V$15,5,0)*Tabla44[[#This Row],[TOTAL COBERTURA]]</f>
        <v>607672</v>
      </c>
      <c r="AN500" s="35">
        <f>VLOOKUP(Tabla44[[#This Row],[SERVICIO 2025]],$J$2:$V$15,6,0)*Tabla44[[#This Row],[TOTAL COBERTURA]]</f>
        <v>491933</v>
      </c>
      <c r="AO500" s="35">
        <f>VLOOKUP(Tabla44[[#This Row],[SERVICIO 2025]],$J$2:$V$15,8,0)*Tabla44[[#This Row],[TOTAL COBERTURA]]</f>
        <v>0</v>
      </c>
      <c r="AP500" s="35">
        <f>VLOOKUP(Tabla44[[#This Row],[SERVICIO 2025]],$J$2:$V$15,3,0)*Tabla44[[#This Row],[TOTAL COBERTURA]]*8</f>
        <v>18651360</v>
      </c>
      <c r="AQ500" s="35"/>
      <c r="AR500" s="35">
        <f>SUM(Tabla44[[#This Row],[VALOR FASE PREPARATORIA DE ALISTAMIENTO]:[VALOR RACION PREPARADA]])</f>
        <v>19750965</v>
      </c>
      <c r="AS500" s="35" t="str">
        <f>+IF(Tabla44[[#This Row],[AGRUPACIONES]]=1,SUMIFS(Tabla44[VALOR TOTAL],Tabla44[ZONA DEFINITIVO],Tabla44[[#This Row],[ZONA DEFINITIVO]])," ")</f>
        <v xml:space="preserve"> </v>
      </c>
      <c r="AT500" s="35">
        <f>VLOOKUP(Tabla44[[#This Row],[SERVICIO 2025]],$J$2:$V$15,10,0)*Tabla44[[#This Row],[TOTAL COBERTURA]]*$X$7</f>
        <v>19585384</v>
      </c>
      <c r="AU500" s="39">
        <f>Tabla44[[#This Row],[TOTAL CONTRATO (ICBF+EAS)]]+Tabla44[[#This Row],[VALOR COMPONENTE ALIMENTACION NO ASIGNADO]]</f>
        <v>39336349</v>
      </c>
      <c r="AV50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5387265</v>
      </c>
      <c r="AW500" s="35">
        <f>(VLOOKUP(Tabla44[[#This Row],[SERVICIO 2025]],$J$2:$V$15,3,0)*Tabla44[[#This Row],[TOTAL COBERTURA]])+VLOOKUP(Tabla44[[#This Row],[SERVICIO 2025]],$J$2:$V$15,10,0)*Tabla44[[#This Row],[TOTAL COBERTURA]]</f>
        <v>4779593</v>
      </c>
      <c r="AX500" s="35">
        <f>(VLOOKUP(Tabla44[[#This Row],[SERVICIO 2025]],$J$2:$V$15,3,0)*Tabla44[[#This Row],[TOTAL COBERTURA]])+VLOOKUP(Tabla44[[#This Row],[SERVICIO 2025]],$J$2:$V$15,10,0)*Tabla44[[#This Row],[TOTAL COBERTURA]]</f>
        <v>4779593</v>
      </c>
      <c r="AY500" s="35">
        <f>(VLOOKUP(Tabla44[[#This Row],[SERVICIO 2025]],$J$2:$V$15,3,0)*Tabla44[[#This Row],[TOTAL COBERTURA]])+VLOOKUP(Tabla44[[#This Row],[SERVICIO 2025]],$J$2:$V$15,10,0)*Tabla44[[#This Row],[TOTAL COBERTURA]]</f>
        <v>4779593</v>
      </c>
      <c r="AZ500" s="35">
        <f>(VLOOKUP(Tabla44[[#This Row],[SERVICIO 2025]],$J$2:$V$15,3,0)*Tabla44[[#This Row],[TOTAL COBERTURA]])+VLOOKUP(Tabla44[[#This Row],[SERVICIO 2025]],$J$2:$V$15,10,0)*Tabla44[[#This Row],[TOTAL COBERTURA]]</f>
        <v>4779593</v>
      </c>
      <c r="BA500" s="35">
        <f>(VLOOKUP(Tabla44[[#This Row],[SERVICIO 2025]],$J$2:$V$15,3,0)*Tabla44[[#This Row],[TOTAL COBERTURA]])+VLOOKUP(Tabla44[[#This Row],[SERVICIO 2025]],$J$2:$V$15,10,0)*Tabla44[[#This Row],[TOTAL COBERTURA]]</f>
        <v>4779593</v>
      </c>
      <c r="BB500" s="35">
        <f>(VLOOKUP(Tabla44[[#This Row],[SERVICIO 2025]],$J$2:$V$15,3,0)*Tabla44[[#This Row],[TOTAL COBERTURA]])+VLOOKUP(Tabla44[[#This Row],[SERVICIO 2025]],$J$2:$V$15,10,0)*Tabla44[[#This Row],[TOTAL COBERTURA]]</f>
        <v>4779593</v>
      </c>
      <c r="BC50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5271526</v>
      </c>
      <c r="BD500" s="35">
        <f>SUM(Tabla44[[#This Row],[DESEMBOLSO 1]:[DESEMBOLSO 8]])</f>
        <v>39336349</v>
      </c>
      <c r="BE500" s="12" t="b">
        <f>EXACT(Tabla44[[#This Row],[VALOR ATENCIÓN (8 MESES)]],Tabla44[[#This Row],[VALOR TOTAL]])</f>
        <v>1</v>
      </c>
      <c r="BF500" s="23">
        <f>Tabla44[[#This Row],[VALOR ATENCIÓN (8 MESES)]]-Tabla44[[#This Row],[VALOR TOTAL]]</f>
        <v>0</v>
      </c>
      <c r="BG500" s="12" t="b">
        <f>EXACT(Tabla44[[#This Row],[TOTAL DESEMBOLSOS]],Tabla44[[#This Row],[VALOR TOTAL DEL CONTRATO INCLUIDO EL COMPONENTE DE ALIMENTACIÓN]])</f>
        <v>1</v>
      </c>
      <c r="BH500" s="29">
        <f>Tabla44[[#This Row],[TOTAL DESEMBOLSOS]]-Tabla44[[#This Row],[VALOR TOTAL DEL CONTRATO INCLUIDO EL COMPONENTE DE ALIMENTACIÓN]]</f>
        <v>0</v>
      </c>
      <c r="BI500" t="s">
        <v>98</v>
      </c>
    </row>
    <row r="501" spans="1:61">
      <c r="A501" s="13">
        <v>2023</v>
      </c>
      <c r="B501" s="13"/>
      <c r="C501" s="12" t="s">
        <v>87</v>
      </c>
      <c r="D501" s="12" t="s">
        <v>673</v>
      </c>
      <c r="E501" s="12" t="s">
        <v>3764</v>
      </c>
      <c r="F501" s="12" t="s">
        <v>21</v>
      </c>
      <c r="G501" s="12" t="s">
        <v>90</v>
      </c>
      <c r="H501" s="12" t="s">
        <v>3434</v>
      </c>
      <c r="I501" s="36">
        <v>58901119064</v>
      </c>
      <c r="J501" s="12" t="s">
        <v>3773</v>
      </c>
      <c r="K501" s="12">
        <v>1</v>
      </c>
      <c r="L501" s="12">
        <v>9</v>
      </c>
      <c r="M501" s="12"/>
      <c r="N501" s="13">
        <v>2023</v>
      </c>
      <c r="O501" s="12" t="s">
        <v>2850</v>
      </c>
      <c r="P501" s="12"/>
      <c r="Q501" s="12"/>
      <c r="R501" s="12" t="s">
        <v>94</v>
      </c>
      <c r="S501" s="12">
        <v>10</v>
      </c>
      <c r="T501" s="12">
        <v>830508092</v>
      </c>
      <c r="U501" s="12" t="s">
        <v>584</v>
      </c>
      <c r="V501" s="12">
        <f>VLOOKUP(Tabla44[[#This Row],[ZONA DEFINITIVO]],[1]Hoja1!$A$1:$D$125,3,0)</f>
        <v>229947</v>
      </c>
      <c r="W501" s="12">
        <f>VLOOKUP(Tabla44[[#This Row],[ZONA DEFINITIVO]],[1]Hoja1!$A$1:$D$125,2,0)</f>
        <v>17263</v>
      </c>
      <c r="X501" s="12">
        <f>VLOOKUP(Tabla44[[#This Row],[ZONA DEFINITIVO]],[1]Hoja1!$A$1:$D$125,4,0)</f>
        <v>104925</v>
      </c>
      <c r="Y501" s="12" t="str">
        <f>+IF(Tabla44[[#This Row],[AGRUPACIONES]]=1,SUMIFS(Tabla44[UDS],Tabla44[ZONA DEFINITIVO],Tabla44[[#This Row],[ZONA DEFINITIVO]])," ")</f>
        <v xml:space="preserve"> </v>
      </c>
      <c r="Z501" s="12" t="str">
        <f>+IF(Tabla44[[#This Row],[AGRUPACIONES]]=1,SUMIFS(Tabla44[TOTAL COBERTURA],Tabla44[ZONA DEFINITIVO],Tabla44[[#This Row],[ZONA DEFINITIVO]])," ")</f>
        <v xml:space="preserve"> </v>
      </c>
      <c r="AA501" s="12"/>
      <c r="AB501" s="35">
        <v>13673745</v>
      </c>
      <c r="AC501" s="37">
        <v>0</v>
      </c>
      <c r="AD501" s="35">
        <f t="shared" si="8"/>
        <v>0</v>
      </c>
      <c r="AE501" s="12"/>
      <c r="AF501" s="12">
        <f>COUNTIF($A$20:A501,A501)</f>
        <v>5</v>
      </c>
      <c r="AG501" s="38">
        <v>13673745</v>
      </c>
      <c r="AH501" s="38">
        <f>Tabla44[[#This Row],[VALOR CONTRAPARTIDA]]+Tabla44[[#This Row],[TOTAL APORTES ICBF]]</f>
        <v>13673745</v>
      </c>
      <c r="AI501" s="35" t="str">
        <f>+IF(Tabla44[[#This Row],[AGRUPACIONES]]=1,SUMIFS(Tabla44[TOTAL APORTES ICBF],Tabla44[ZONA DEFINITIVO],Tabla44[[#This Row],[ZONA DEFINITIVO]])," ")</f>
        <v xml:space="preserve"> </v>
      </c>
      <c r="AJ501" s="38"/>
      <c r="AK501" s="38"/>
      <c r="AL501" s="35"/>
      <c r="AM501" s="35">
        <f>VLOOKUP(Tabla44[[#This Row],[SERVICIO 2025]],$J$2:$V$15,5,0)*Tabla44[[#This Row],[TOTAL COBERTURA]]</f>
        <v>420696</v>
      </c>
      <c r="AN501" s="35">
        <f>VLOOKUP(Tabla44[[#This Row],[SERVICIO 2025]],$J$2:$V$15,6,0)*Tabla44[[#This Row],[TOTAL COBERTURA]]</f>
        <v>340569</v>
      </c>
      <c r="AO501" s="35">
        <f>VLOOKUP(Tabla44[[#This Row],[SERVICIO 2025]],$J$2:$V$15,8,0)*Tabla44[[#This Row],[TOTAL COBERTURA]]</f>
        <v>0</v>
      </c>
      <c r="AP501" s="35">
        <f>VLOOKUP(Tabla44[[#This Row],[SERVICIO 2025]],$J$2:$V$15,3,0)*Tabla44[[#This Row],[TOTAL COBERTURA]]*8</f>
        <v>12912480</v>
      </c>
      <c r="AQ501" s="35"/>
      <c r="AR501" s="35">
        <f>SUM(Tabla44[[#This Row],[VALOR FASE PREPARATORIA DE ALISTAMIENTO]:[VALOR RACION PREPARADA]])</f>
        <v>13673745</v>
      </c>
      <c r="AS501" s="35" t="str">
        <f>+IF(Tabla44[[#This Row],[AGRUPACIONES]]=1,SUMIFS(Tabla44[VALOR TOTAL],Tabla44[ZONA DEFINITIVO],Tabla44[[#This Row],[ZONA DEFINITIVO]])," ")</f>
        <v xml:space="preserve"> </v>
      </c>
      <c r="AT501" s="35">
        <f>VLOOKUP(Tabla44[[#This Row],[SERVICIO 2025]],$J$2:$V$15,10,0)*Tabla44[[#This Row],[TOTAL COBERTURA]]*$X$7</f>
        <v>13559112</v>
      </c>
      <c r="AU501" s="39">
        <f>Tabla44[[#This Row],[TOTAL CONTRATO (ICBF+EAS)]]+Tabla44[[#This Row],[VALOR COMPONENTE ALIMENTACION NO ASIGNADO]]</f>
        <v>27232857</v>
      </c>
      <c r="AV50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3729645</v>
      </c>
      <c r="AW501" s="35">
        <f>(VLOOKUP(Tabla44[[#This Row],[SERVICIO 2025]],$J$2:$V$15,3,0)*Tabla44[[#This Row],[TOTAL COBERTURA]])+VLOOKUP(Tabla44[[#This Row],[SERVICIO 2025]],$J$2:$V$15,10,0)*Tabla44[[#This Row],[TOTAL COBERTURA]]</f>
        <v>3308949</v>
      </c>
      <c r="AX501" s="35">
        <f>(VLOOKUP(Tabla44[[#This Row],[SERVICIO 2025]],$J$2:$V$15,3,0)*Tabla44[[#This Row],[TOTAL COBERTURA]])+VLOOKUP(Tabla44[[#This Row],[SERVICIO 2025]],$J$2:$V$15,10,0)*Tabla44[[#This Row],[TOTAL COBERTURA]]</f>
        <v>3308949</v>
      </c>
      <c r="AY501" s="35">
        <f>(VLOOKUP(Tabla44[[#This Row],[SERVICIO 2025]],$J$2:$V$15,3,0)*Tabla44[[#This Row],[TOTAL COBERTURA]])+VLOOKUP(Tabla44[[#This Row],[SERVICIO 2025]],$J$2:$V$15,10,0)*Tabla44[[#This Row],[TOTAL COBERTURA]]</f>
        <v>3308949</v>
      </c>
      <c r="AZ501" s="35">
        <f>(VLOOKUP(Tabla44[[#This Row],[SERVICIO 2025]],$J$2:$V$15,3,0)*Tabla44[[#This Row],[TOTAL COBERTURA]])+VLOOKUP(Tabla44[[#This Row],[SERVICIO 2025]],$J$2:$V$15,10,0)*Tabla44[[#This Row],[TOTAL COBERTURA]]</f>
        <v>3308949</v>
      </c>
      <c r="BA501" s="35">
        <f>(VLOOKUP(Tabla44[[#This Row],[SERVICIO 2025]],$J$2:$V$15,3,0)*Tabla44[[#This Row],[TOTAL COBERTURA]])+VLOOKUP(Tabla44[[#This Row],[SERVICIO 2025]],$J$2:$V$15,10,0)*Tabla44[[#This Row],[TOTAL COBERTURA]]</f>
        <v>3308949</v>
      </c>
      <c r="BB501" s="35">
        <f>(VLOOKUP(Tabla44[[#This Row],[SERVICIO 2025]],$J$2:$V$15,3,0)*Tabla44[[#This Row],[TOTAL COBERTURA]])+VLOOKUP(Tabla44[[#This Row],[SERVICIO 2025]],$J$2:$V$15,10,0)*Tabla44[[#This Row],[TOTAL COBERTURA]]</f>
        <v>3308949</v>
      </c>
      <c r="BC50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3649518</v>
      </c>
      <c r="BD501" s="35">
        <f>SUM(Tabla44[[#This Row],[DESEMBOLSO 1]:[DESEMBOLSO 8]])</f>
        <v>27232857</v>
      </c>
      <c r="BE501" s="12" t="b">
        <f>EXACT(Tabla44[[#This Row],[VALOR ATENCIÓN (8 MESES)]],Tabla44[[#This Row],[VALOR TOTAL]])</f>
        <v>1</v>
      </c>
      <c r="BF501" s="23">
        <f>Tabla44[[#This Row],[VALOR ATENCIÓN (8 MESES)]]-Tabla44[[#This Row],[VALOR TOTAL]]</f>
        <v>0</v>
      </c>
      <c r="BG501" s="12" t="b">
        <f>EXACT(Tabla44[[#This Row],[TOTAL DESEMBOLSOS]],Tabla44[[#This Row],[VALOR TOTAL DEL CONTRATO INCLUIDO EL COMPONENTE DE ALIMENTACIÓN]])</f>
        <v>1</v>
      </c>
      <c r="BH501" s="29">
        <f>Tabla44[[#This Row],[TOTAL DESEMBOLSOS]]-Tabla44[[#This Row],[VALOR TOTAL DEL CONTRATO INCLUIDO EL COMPONENTE DE ALIMENTACIÓN]]</f>
        <v>0</v>
      </c>
      <c r="BI501" t="s">
        <v>98</v>
      </c>
    </row>
    <row r="502" spans="1:61">
      <c r="A502" s="13">
        <v>2023</v>
      </c>
      <c r="B502" s="13"/>
      <c r="C502" s="12" t="s">
        <v>87</v>
      </c>
      <c r="D502" s="12" t="s">
        <v>673</v>
      </c>
      <c r="E502" s="12" t="s">
        <v>3764</v>
      </c>
      <c r="F502" s="12" t="s">
        <v>21</v>
      </c>
      <c r="G502" s="12" t="s">
        <v>90</v>
      </c>
      <c r="H502" s="12" t="s">
        <v>123</v>
      </c>
      <c r="I502" s="36">
        <v>58901119065</v>
      </c>
      <c r="J502" s="12" t="s">
        <v>3774</v>
      </c>
      <c r="K502" s="12">
        <v>1</v>
      </c>
      <c r="L502" s="12">
        <v>25</v>
      </c>
      <c r="M502" s="12"/>
      <c r="N502" s="13">
        <v>2023</v>
      </c>
      <c r="O502" s="12" t="s">
        <v>2850</v>
      </c>
      <c r="P502" s="12"/>
      <c r="Q502" s="12"/>
      <c r="R502" s="12" t="s">
        <v>94</v>
      </c>
      <c r="S502" s="12">
        <v>10</v>
      </c>
      <c r="T502" s="12">
        <v>830508092</v>
      </c>
      <c r="U502" s="12" t="s">
        <v>584</v>
      </c>
      <c r="V502" s="12">
        <f>VLOOKUP(Tabla44[[#This Row],[ZONA DEFINITIVO]],[1]Hoja1!$A$1:$D$125,3,0)</f>
        <v>229947</v>
      </c>
      <c r="W502" s="12">
        <f>VLOOKUP(Tabla44[[#This Row],[ZONA DEFINITIVO]],[1]Hoja1!$A$1:$D$125,2,0)</f>
        <v>17263</v>
      </c>
      <c r="X502" s="12">
        <f>VLOOKUP(Tabla44[[#This Row],[ZONA DEFINITIVO]],[1]Hoja1!$A$1:$D$125,4,0)</f>
        <v>104925</v>
      </c>
      <c r="Y502" s="12" t="str">
        <f>+IF(Tabla44[[#This Row],[AGRUPACIONES]]=1,SUMIFS(Tabla44[UDS],Tabla44[ZONA DEFINITIVO],Tabla44[[#This Row],[ZONA DEFINITIVO]])," ")</f>
        <v xml:space="preserve"> </v>
      </c>
      <c r="Z502" s="12" t="str">
        <f>+IF(Tabla44[[#This Row],[AGRUPACIONES]]=1,SUMIFS(Tabla44[TOTAL COBERTURA],Tabla44[ZONA DEFINITIVO],Tabla44[[#This Row],[ZONA DEFINITIVO]])," ")</f>
        <v xml:space="preserve"> </v>
      </c>
      <c r="AA502" s="12"/>
      <c r="AB502" s="35">
        <v>37982625</v>
      </c>
      <c r="AC502" s="37">
        <v>0</v>
      </c>
      <c r="AD502" s="35">
        <f t="shared" si="8"/>
        <v>0</v>
      </c>
      <c r="AE502" s="12"/>
      <c r="AF502" s="12">
        <f>COUNTIF($A$20:A502,A502)</f>
        <v>6</v>
      </c>
      <c r="AG502" s="38">
        <v>37982625</v>
      </c>
      <c r="AH502" s="38">
        <f>Tabla44[[#This Row],[VALOR CONTRAPARTIDA]]+Tabla44[[#This Row],[TOTAL APORTES ICBF]]</f>
        <v>37982625</v>
      </c>
      <c r="AI502" s="35" t="str">
        <f>+IF(Tabla44[[#This Row],[AGRUPACIONES]]=1,SUMIFS(Tabla44[TOTAL APORTES ICBF],Tabla44[ZONA DEFINITIVO],Tabla44[[#This Row],[ZONA DEFINITIVO]])," ")</f>
        <v xml:space="preserve"> </v>
      </c>
      <c r="AJ502" s="38"/>
      <c r="AK502" s="38"/>
      <c r="AL502" s="35"/>
      <c r="AM502" s="35">
        <f>VLOOKUP(Tabla44[[#This Row],[SERVICIO 2025]],$J$2:$V$15,5,0)*Tabla44[[#This Row],[TOTAL COBERTURA]]</f>
        <v>1168600</v>
      </c>
      <c r="AN502" s="35">
        <f>VLOOKUP(Tabla44[[#This Row],[SERVICIO 2025]],$J$2:$V$15,6,0)*Tabla44[[#This Row],[TOTAL COBERTURA]]</f>
        <v>946025</v>
      </c>
      <c r="AO502" s="35">
        <f>VLOOKUP(Tabla44[[#This Row],[SERVICIO 2025]],$J$2:$V$15,8,0)*Tabla44[[#This Row],[TOTAL COBERTURA]]</f>
        <v>0</v>
      </c>
      <c r="AP502" s="35">
        <f>VLOOKUP(Tabla44[[#This Row],[SERVICIO 2025]],$J$2:$V$15,3,0)*Tabla44[[#This Row],[TOTAL COBERTURA]]*8</f>
        <v>35868000</v>
      </c>
      <c r="AQ502" s="35"/>
      <c r="AR502" s="35">
        <f>SUM(Tabla44[[#This Row],[VALOR FASE PREPARATORIA DE ALISTAMIENTO]:[VALOR RACION PREPARADA]])</f>
        <v>37982625</v>
      </c>
      <c r="AS502" s="35" t="str">
        <f>+IF(Tabla44[[#This Row],[AGRUPACIONES]]=1,SUMIFS(Tabla44[VALOR TOTAL],Tabla44[ZONA DEFINITIVO],Tabla44[[#This Row],[ZONA DEFINITIVO]])," ")</f>
        <v xml:space="preserve"> </v>
      </c>
      <c r="AT502" s="35">
        <f>VLOOKUP(Tabla44[[#This Row],[SERVICIO 2025]],$J$2:$V$15,10,0)*Tabla44[[#This Row],[TOTAL COBERTURA]]*$X$7</f>
        <v>37664200</v>
      </c>
      <c r="AU502" s="39">
        <f>Tabla44[[#This Row],[TOTAL CONTRATO (ICBF+EAS)]]+Tabla44[[#This Row],[VALOR COMPONENTE ALIMENTACION NO ASIGNADO]]</f>
        <v>75646825</v>
      </c>
      <c r="AV50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10360125</v>
      </c>
      <c r="AW502" s="35">
        <f>(VLOOKUP(Tabla44[[#This Row],[SERVICIO 2025]],$J$2:$V$15,3,0)*Tabla44[[#This Row],[TOTAL COBERTURA]])+VLOOKUP(Tabla44[[#This Row],[SERVICIO 2025]],$J$2:$V$15,10,0)*Tabla44[[#This Row],[TOTAL COBERTURA]]</f>
        <v>9191525</v>
      </c>
      <c r="AX502" s="35">
        <f>(VLOOKUP(Tabla44[[#This Row],[SERVICIO 2025]],$J$2:$V$15,3,0)*Tabla44[[#This Row],[TOTAL COBERTURA]])+VLOOKUP(Tabla44[[#This Row],[SERVICIO 2025]],$J$2:$V$15,10,0)*Tabla44[[#This Row],[TOTAL COBERTURA]]</f>
        <v>9191525</v>
      </c>
      <c r="AY502" s="35">
        <f>(VLOOKUP(Tabla44[[#This Row],[SERVICIO 2025]],$J$2:$V$15,3,0)*Tabla44[[#This Row],[TOTAL COBERTURA]])+VLOOKUP(Tabla44[[#This Row],[SERVICIO 2025]],$J$2:$V$15,10,0)*Tabla44[[#This Row],[TOTAL COBERTURA]]</f>
        <v>9191525</v>
      </c>
      <c r="AZ502" s="35">
        <f>(VLOOKUP(Tabla44[[#This Row],[SERVICIO 2025]],$J$2:$V$15,3,0)*Tabla44[[#This Row],[TOTAL COBERTURA]])+VLOOKUP(Tabla44[[#This Row],[SERVICIO 2025]],$J$2:$V$15,10,0)*Tabla44[[#This Row],[TOTAL COBERTURA]]</f>
        <v>9191525</v>
      </c>
      <c r="BA502" s="35">
        <f>(VLOOKUP(Tabla44[[#This Row],[SERVICIO 2025]],$J$2:$V$15,3,0)*Tabla44[[#This Row],[TOTAL COBERTURA]])+VLOOKUP(Tabla44[[#This Row],[SERVICIO 2025]],$J$2:$V$15,10,0)*Tabla44[[#This Row],[TOTAL COBERTURA]]</f>
        <v>9191525</v>
      </c>
      <c r="BB502" s="35">
        <f>(VLOOKUP(Tabla44[[#This Row],[SERVICIO 2025]],$J$2:$V$15,3,0)*Tabla44[[#This Row],[TOTAL COBERTURA]])+VLOOKUP(Tabla44[[#This Row],[SERVICIO 2025]],$J$2:$V$15,10,0)*Tabla44[[#This Row],[TOTAL COBERTURA]]</f>
        <v>9191525</v>
      </c>
      <c r="BC50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10137550</v>
      </c>
      <c r="BD502" s="35">
        <f>SUM(Tabla44[[#This Row],[DESEMBOLSO 1]:[DESEMBOLSO 8]])</f>
        <v>75646825</v>
      </c>
      <c r="BE502" s="12" t="b">
        <f>EXACT(Tabla44[[#This Row],[VALOR ATENCIÓN (8 MESES)]],Tabla44[[#This Row],[VALOR TOTAL]])</f>
        <v>1</v>
      </c>
      <c r="BF502" s="23">
        <f>Tabla44[[#This Row],[VALOR ATENCIÓN (8 MESES)]]-Tabla44[[#This Row],[VALOR TOTAL]]</f>
        <v>0</v>
      </c>
      <c r="BG502" s="12" t="b">
        <f>EXACT(Tabla44[[#This Row],[TOTAL DESEMBOLSOS]],Tabla44[[#This Row],[VALOR TOTAL DEL CONTRATO INCLUIDO EL COMPONENTE DE ALIMENTACIÓN]])</f>
        <v>1</v>
      </c>
      <c r="BH502" s="29">
        <f>Tabla44[[#This Row],[TOTAL DESEMBOLSOS]]-Tabla44[[#This Row],[VALOR TOTAL DEL CONTRATO INCLUIDO EL COMPONENTE DE ALIMENTACIÓN]]</f>
        <v>0</v>
      </c>
      <c r="BI502" t="s">
        <v>98</v>
      </c>
    </row>
    <row r="503" spans="1:61">
      <c r="A503" s="13">
        <v>2023</v>
      </c>
      <c r="B503" s="13"/>
      <c r="C503" s="12" t="s">
        <v>87</v>
      </c>
      <c r="D503" s="12" t="s">
        <v>673</v>
      </c>
      <c r="E503" s="12" t="s">
        <v>3764</v>
      </c>
      <c r="F503" s="12" t="s">
        <v>21</v>
      </c>
      <c r="G503" s="12" t="s">
        <v>90</v>
      </c>
      <c r="H503" s="12" t="s">
        <v>3775</v>
      </c>
      <c r="I503" s="36">
        <v>58901119070</v>
      </c>
      <c r="J503" s="12" t="s">
        <v>3776</v>
      </c>
      <c r="K503" s="12">
        <v>1</v>
      </c>
      <c r="L503" s="12">
        <v>13</v>
      </c>
      <c r="M503" s="12"/>
      <c r="N503" s="13">
        <v>2023</v>
      </c>
      <c r="O503" s="12" t="s">
        <v>2850</v>
      </c>
      <c r="P503" s="12"/>
      <c r="Q503" s="12"/>
      <c r="R503" s="12" t="s">
        <v>94</v>
      </c>
      <c r="S503" s="12">
        <v>10</v>
      </c>
      <c r="T503" s="12">
        <v>830508092</v>
      </c>
      <c r="U503" s="12" t="s">
        <v>584</v>
      </c>
      <c r="V503" s="12">
        <f>VLOOKUP(Tabla44[[#This Row],[ZONA DEFINITIVO]],[1]Hoja1!$A$1:$D$125,3,0)</f>
        <v>229947</v>
      </c>
      <c r="W503" s="12">
        <f>VLOOKUP(Tabla44[[#This Row],[ZONA DEFINITIVO]],[1]Hoja1!$A$1:$D$125,2,0)</f>
        <v>17263</v>
      </c>
      <c r="X503" s="12">
        <f>VLOOKUP(Tabla44[[#This Row],[ZONA DEFINITIVO]],[1]Hoja1!$A$1:$D$125,4,0)</f>
        <v>104925</v>
      </c>
      <c r="Y503" s="12" t="str">
        <f>+IF(Tabla44[[#This Row],[AGRUPACIONES]]=1,SUMIFS(Tabla44[UDS],Tabla44[ZONA DEFINITIVO],Tabla44[[#This Row],[ZONA DEFINITIVO]])," ")</f>
        <v xml:space="preserve"> </v>
      </c>
      <c r="Z503" s="12" t="str">
        <f>+IF(Tabla44[[#This Row],[AGRUPACIONES]]=1,SUMIFS(Tabla44[TOTAL COBERTURA],Tabla44[ZONA DEFINITIVO],Tabla44[[#This Row],[ZONA DEFINITIVO]])," ")</f>
        <v xml:space="preserve"> </v>
      </c>
      <c r="AA503" s="12"/>
      <c r="AB503" s="35">
        <v>19750965</v>
      </c>
      <c r="AC503" s="37">
        <v>0</v>
      </c>
      <c r="AD503" s="35">
        <f t="shared" si="8"/>
        <v>0</v>
      </c>
      <c r="AE503" s="12"/>
      <c r="AF503" s="12">
        <f>COUNTIF($A$20:A503,A503)</f>
        <v>7</v>
      </c>
      <c r="AG503" s="38">
        <v>19750965</v>
      </c>
      <c r="AH503" s="38">
        <f>Tabla44[[#This Row],[VALOR CONTRAPARTIDA]]+Tabla44[[#This Row],[TOTAL APORTES ICBF]]</f>
        <v>19750965</v>
      </c>
      <c r="AI503" s="35" t="str">
        <f>+IF(Tabla44[[#This Row],[AGRUPACIONES]]=1,SUMIFS(Tabla44[TOTAL APORTES ICBF],Tabla44[ZONA DEFINITIVO],Tabla44[[#This Row],[ZONA DEFINITIVO]])," ")</f>
        <v xml:space="preserve"> </v>
      </c>
      <c r="AJ503" s="38"/>
      <c r="AK503" s="38"/>
      <c r="AL503" s="35"/>
      <c r="AM503" s="35">
        <f>VLOOKUP(Tabla44[[#This Row],[SERVICIO 2025]],$J$2:$V$15,5,0)*Tabla44[[#This Row],[TOTAL COBERTURA]]</f>
        <v>607672</v>
      </c>
      <c r="AN503" s="35">
        <f>VLOOKUP(Tabla44[[#This Row],[SERVICIO 2025]],$J$2:$V$15,6,0)*Tabla44[[#This Row],[TOTAL COBERTURA]]</f>
        <v>491933</v>
      </c>
      <c r="AO503" s="35">
        <f>VLOOKUP(Tabla44[[#This Row],[SERVICIO 2025]],$J$2:$V$15,8,0)*Tabla44[[#This Row],[TOTAL COBERTURA]]</f>
        <v>0</v>
      </c>
      <c r="AP503" s="35">
        <f>VLOOKUP(Tabla44[[#This Row],[SERVICIO 2025]],$J$2:$V$15,3,0)*Tabla44[[#This Row],[TOTAL COBERTURA]]*8</f>
        <v>18651360</v>
      </c>
      <c r="AQ503" s="35"/>
      <c r="AR503" s="35">
        <f>SUM(Tabla44[[#This Row],[VALOR FASE PREPARATORIA DE ALISTAMIENTO]:[VALOR RACION PREPARADA]])</f>
        <v>19750965</v>
      </c>
      <c r="AS503" s="35" t="str">
        <f>+IF(Tabla44[[#This Row],[AGRUPACIONES]]=1,SUMIFS(Tabla44[VALOR TOTAL],Tabla44[ZONA DEFINITIVO],Tabla44[[#This Row],[ZONA DEFINITIVO]])," ")</f>
        <v xml:space="preserve"> </v>
      </c>
      <c r="AT503" s="35">
        <f>VLOOKUP(Tabla44[[#This Row],[SERVICIO 2025]],$J$2:$V$15,10,0)*Tabla44[[#This Row],[TOTAL COBERTURA]]*$X$7</f>
        <v>19585384</v>
      </c>
      <c r="AU503" s="39">
        <f>Tabla44[[#This Row],[TOTAL CONTRATO (ICBF+EAS)]]+Tabla44[[#This Row],[VALOR COMPONENTE ALIMENTACION NO ASIGNADO]]</f>
        <v>39336349</v>
      </c>
      <c r="AV50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5387265</v>
      </c>
      <c r="AW503" s="35">
        <f>(VLOOKUP(Tabla44[[#This Row],[SERVICIO 2025]],$J$2:$V$15,3,0)*Tabla44[[#This Row],[TOTAL COBERTURA]])+VLOOKUP(Tabla44[[#This Row],[SERVICIO 2025]],$J$2:$V$15,10,0)*Tabla44[[#This Row],[TOTAL COBERTURA]]</f>
        <v>4779593</v>
      </c>
      <c r="AX503" s="35">
        <f>(VLOOKUP(Tabla44[[#This Row],[SERVICIO 2025]],$J$2:$V$15,3,0)*Tabla44[[#This Row],[TOTAL COBERTURA]])+VLOOKUP(Tabla44[[#This Row],[SERVICIO 2025]],$J$2:$V$15,10,0)*Tabla44[[#This Row],[TOTAL COBERTURA]]</f>
        <v>4779593</v>
      </c>
      <c r="AY503" s="35">
        <f>(VLOOKUP(Tabla44[[#This Row],[SERVICIO 2025]],$J$2:$V$15,3,0)*Tabla44[[#This Row],[TOTAL COBERTURA]])+VLOOKUP(Tabla44[[#This Row],[SERVICIO 2025]],$J$2:$V$15,10,0)*Tabla44[[#This Row],[TOTAL COBERTURA]]</f>
        <v>4779593</v>
      </c>
      <c r="AZ503" s="35">
        <f>(VLOOKUP(Tabla44[[#This Row],[SERVICIO 2025]],$J$2:$V$15,3,0)*Tabla44[[#This Row],[TOTAL COBERTURA]])+VLOOKUP(Tabla44[[#This Row],[SERVICIO 2025]],$J$2:$V$15,10,0)*Tabla44[[#This Row],[TOTAL COBERTURA]]</f>
        <v>4779593</v>
      </c>
      <c r="BA503" s="35">
        <f>(VLOOKUP(Tabla44[[#This Row],[SERVICIO 2025]],$J$2:$V$15,3,0)*Tabla44[[#This Row],[TOTAL COBERTURA]])+VLOOKUP(Tabla44[[#This Row],[SERVICIO 2025]],$J$2:$V$15,10,0)*Tabla44[[#This Row],[TOTAL COBERTURA]]</f>
        <v>4779593</v>
      </c>
      <c r="BB503" s="35">
        <f>(VLOOKUP(Tabla44[[#This Row],[SERVICIO 2025]],$J$2:$V$15,3,0)*Tabla44[[#This Row],[TOTAL COBERTURA]])+VLOOKUP(Tabla44[[#This Row],[SERVICIO 2025]],$J$2:$V$15,10,0)*Tabla44[[#This Row],[TOTAL COBERTURA]]</f>
        <v>4779593</v>
      </c>
      <c r="BC50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5271526</v>
      </c>
      <c r="BD503" s="35">
        <f>SUM(Tabla44[[#This Row],[DESEMBOLSO 1]:[DESEMBOLSO 8]])</f>
        <v>39336349</v>
      </c>
      <c r="BE503" s="12" t="b">
        <f>EXACT(Tabla44[[#This Row],[VALOR ATENCIÓN (8 MESES)]],Tabla44[[#This Row],[VALOR TOTAL]])</f>
        <v>1</v>
      </c>
      <c r="BF503" s="23">
        <f>Tabla44[[#This Row],[VALOR ATENCIÓN (8 MESES)]]-Tabla44[[#This Row],[VALOR TOTAL]]</f>
        <v>0</v>
      </c>
      <c r="BG503" s="12" t="b">
        <f>EXACT(Tabla44[[#This Row],[TOTAL DESEMBOLSOS]],Tabla44[[#This Row],[VALOR TOTAL DEL CONTRATO INCLUIDO EL COMPONENTE DE ALIMENTACIÓN]])</f>
        <v>1</v>
      </c>
      <c r="BH503" s="29">
        <f>Tabla44[[#This Row],[TOTAL DESEMBOLSOS]]-Tabla44[[#This Row],[VALOR TOTAL DEL CONTRATO INCLUIDO EL COMPONENTE DE ALIMENTACIÓN]]</f>
        <v>0</v>
      </c>
      <c r="BI503" t="s">
        <v>98</v>
      </c>
    </row>
    <row r="504" spans="1:61">
      <c r="A504" s="13">
        <v>2023</v>
      </c>
      <c r="B504" s="13"/>
      <c r="C504" s="12" t="s">
        <v>87</v>
      </c>
      <c r="D504" s="12" t="s">
        <v>673</v>
      </c>
      <c r="E504" s="12" t="s">
        <v>3764</v>
      </c>
      <c r="F504" s="12" t="s">
        <v>21</v>
      </c>
      <c r="G504" s="12" t="s">
        <v>90</v>
      </c>
      <c r="H504" s="12" t="s">
        <v>3777</v>
      </c>
      <c r="I504" s="36">
        <v>58901134574</v>
      </c>
      <c r="J504" s="12" t="s">
        <v>3778</v>
      </c>
      <c r="K504" s="12">
        <v>1</v>
      </c>
      <c r="L504" s="12">
        <v>10</v>
      </c>
      <c r="M504" s="12"/>
      <c r="N504" s="13">
        <v>2023</v>
      </c>
      <c r="O504" s="12" t="s">
        <v>2850</v>
      </c>
      <c r="P504" s="12"/>
      <c r="Q504" s="12"/>
      <c r="R504" s="12" t="s">
        <v>94</v>
      </c>
      <c r="S504" s="12">
        <v>10</v>
      </c>
      <c r="T504" s="12">
        <v>830508092</v>
      </c>
      <c r="U504" s="12" t="s">
        <v>584</v>
      </c>
      <c r="V504" s="12">
        <f>VLOOKUP(Tabla44[[#This Row],[ZONA DEFINITIVO]],[1]Hoja1!$A$1:$D$125,3,0)</f>
        <v>229947</v>
      </c>
      <c r="W504" s="12">
        <f>VLOOKUP(Tabla44[[#This Row],[ZONA DEFINITIVO]],[1]Hoja1!$A$1:$D$125,2,0)</f>
        <v>17263</v>
      </c>
      <c r="X504" s="12">
        <f>VLOOKUP(Tabla44[[#This Row],[ZONA DEFINITIVO]],[1]Hoja1!$A$1:$D$125,4,0)</f>
        <v>104925</v>
      </c>
      <c r="Y504" s="12" t="str">
        <f>+IF(Tabla44[[#This Row],[AGRUPACIONES]]=1,SUMIFS(Tabla44[UDS],Tabla44[ZONA DEFINITIVO],Tabla44[[#This Row],[ZONA DEFINITIVO]])," ")</f>
        <v xml:space="preserve"> </v>
      </c>
      <c r="Z504" s="12" t="str">
        <f>+IF(Tabla44[[#This Row],[AGRUPACIONES]]=1,SUMIFS(Tabla44[TOTAL COBERTURA],Tabla44[ZONA DEFINITIVO],Tabla44[[#This Row],[ZONA DEFINITIVO]])," ")</f>
        <v xml:space="preserve"> </v>
      </c>
      <c r="AA504" s="12"/>
      <c r="AB504" s="35">
        <v>15193050</v>
      </c>
      <c r="AC504" s="37">
        <v>0</v>
      </c>
      <c r="AD504" s="35">
        <f t="shared" si="8"/>
        <v>0</v>
      </c>
      <c r="AE504" s="12"/>
      <c r="AF504" s="12">
        <f>COUNTIF($A$20:A504,A504)</f>
        <v>8</v>
      </c>
      <c r="AG504" s="38">
        <v>15193050</v>
      </c>
      <c r="AH504" s="38">
        <f>Tabla44[[#This Row],[VALOR CONTRAPARTIDA]]+Tabla44[[#This Row],[TOTAL APORTES ICBF]]</f>
        <v>15193050</v>
      </c>
      <c r="AI504" s="35" t="str">
        <f>+IF(Tabla44[[#This Row],[AGRUPACIONES]]=1,SUMIFS(Tabla44[TOTAL APORTES ICBF],Tabla44[ZONA DEFINITIVO],Tabla44[[#This Row],[ZONA DEFINITIVO]])," ")</f>
        <v xml:space="preserve"> </v>
      </c>
      <c r="AJ504" s="38"/>
      <c r="AK504" s="38"/>
      <c r="AL504" s="35"/>
      <c r="AM504" s="35">
        <f>VLOOKUP(Tabla44[[#This Row],[SERVICIO 2025]],$J$2:$V$15,5,0)*Tabla44[[#This Row],[TOTAL COBERTURA]]</f>
        <v>467440</v>
      </c>
      <c r="AN504" s="35">
        <f>VLOOKUP(Tabla44[[#This Row],[SERVICIO 2025]],$J$2:$V$15,6,0)*Tabla44[[#This Row],[TOTAL COBERTURA]]</f>
        <v>378410</v>
      </c>
      <c r="AO504" s="35">
        <f>VLOOKUP(Tabla44[[#This Row],[SERVICIO 2025]],$J$2:$V$15,8,0)*Tabla44[[#This Row],[TOTAL COBERTURA]]</f>
        <v>0</v>
      </c>
      <c r="AP504" s="35">
        <f>VLOOKUP(Tabla44[[#This Row],[SERVICIO 2025]],$J$2:$V$15,3,0)*Tabla44[[#This Row],[TOTAL COBERTURA]]*8</f>
        <v>14347200</v>
      </c>
      <c r="AQ504" s="35"/>
      <c r="AR504" s="35">
        <f>SUM(Tabla44[[#This Row],[VALOR FASE PREPARATORIA DE ALISTAMIENTO]:[VALOR RACION PREPARADA]])</f>
        <v>15193050</v>
      </c>
      <c r="AS504" s="35" t="str">
        <f>+IF(Tabla44[[#This Row],[AGRUPACIONES]]=1,SUMIFS(Tabla44[VALOR TOTAL],Tabla44[ZONA DEFINITIVO],Tabla44[[#This Row],[ZONA DEFINITIVO]])," ")</f>
        <v xml:space="preserve"> </v>
      </c>
      <c r="AT504" s="35">
        <f>VLOOKUP(Tabla44[[#This Row],[SERVICIO 2025]],$J$2:$V$15,10,0)*Tabla44[[#This Row],[TOTAL COBERTURA]]*$X$7</f>
        <v>15065680</v>
      </c>
      <c r="AU504" s="39">
        <f>Tabla44[[#This Row],[TOTAL CONTRATO (ICBF+EAS)]]+Tabla44[[#This Row],[VALOR COMPONENTE ALIMENTACION NO ASIGNADO]]</f>
        <v>30258730</v>
      </c>
      <c r="AV50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4144050</v>
      </c>
      <c r="AW504" s="35">
        <f>(VLOOKUP(Tabla44[[#This Row],[SERVICIO 2025]],$J$2:$V$15,3,0)*Tabla44[[#This Row],[TOTAL COBERTURA]])+VLOOKUP(Tabla44[[#This Row],[SERVICIO 2025]],$J$2:$V$15,10,0)*Tabla44[[#This Row],[TOTAL COBERTURA]]</f>
        <v>3676610</v>
      </c>
      <c r="AX504" s="35">
        <f>(VLOOKUP(Tabla44[[#This Row],[SERVICIO 2025]],$J$2:$V$15,3,0)*Tabla44[[#This Row],[TOTAL COBERTURA]])+VLOOKUP(Tabla44[[#This Row],[SERVICIO 2025]],$J$2:$V$15,10,0)*Tabla44[[#This Row],[TOTAL COBERTURA]]</f>
        <v>3676610</v>
      </c>
      <c r="AY504" s="35">
        <f>(VLOOKUP(Tabla44[[#This Row],[SERVICIO 2025]],$J$2:$V$15,3,0)*Tabla44[[#This Row],[TOTAL COBERTURA]])+VLOOKUP(Tabla44[[#This Row],[SERVICIO 2025]],$J$2:$V$15,10,0)*Tabla44[[#This Row],[TOTAL COBERTURA]]</f>
        <v>3676610</v>
      </c>
      <c r="AZ504" s="35">
        <f>(VLOOKUP(Tabla44[[#This Row],[SERVICIO 2025]],$J$2:$V$15,3,0)*Tabla44[[#This Row],[TOTAL COBERTURA]])+VLOOKUP(Tabla44[[#This Row],[SERVICIO 2025]],$J$2:$V$15,10,0)*Tabla44[[#This Row],[TOTAL COBERTURA]]</f>
        <v>3676610</v>
      </c>
      <c r="BA504" s="35">
        <f>(VLOOKUP(Tabla44[[#This Row],[SERVICIO 2025]],$J$2:$V$15,3,0)*Tabla44[[#This Row],[TOTAL COBERTURA]])+VLOOKUP(Tabla44[[#This Row],[SERVICIO 2025]],$J$2:$V$15,10,0)*Tabla44[[#This Row],[TOTAL COBERTURA]]</f>
        <v>3676610</v>
      </c>
      <c r="BB504" s="35">
        <f>(VLOOKUP(Tabla44[[#This Row],[SERVICIO 2025]],$J$2:$V$15,3,0)*Tabla44[[#This Row],[TOTAL COBERTURA]])+VLOOKUP(Tabla44[[#This Row],[SERVICIO 2025]],$J$2:$V$15,10,0)*Tabla44[[#This Row],[TOTAL COBERTURA]]</f>
        <v>3676610</v>
      </c>
      <c r="BC50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4055020</v>
      </c>
      <c r="BD504" s="35">
        <f>SUM(Tabla44[[#This Row],[DESEMBOLSO 1]:[DESEMBOLSO 8]])</f>
        <v>30258730</v>
      </c>
      <c r="BE504" s="12" t="b">
        <f>EXACT(Tabla44[[#This Row],[VALOR ATENCIÓN (8 MESES)]],Tabla44[[#This Row],[VALOR TOTAL]])</f>
        <v>1</v>
      </c>
      <c r="BF504" s="23">
        <f>Tabla44[[#This Row],[VALOR ATENCIÓN (8 MESES)]]-Tabla44[[#This Row],[VALOR TOTAL]]</f>
        <v>0</v>
      </c>
      <c r="BG504" s="12" t="b">
        <f>EXACT(Tabla44[[#This Row],[TOTAL DESEMBOLSOS]],Tabla44[[#This Row],[VALOR TOTAL DEL CONTRATO INCLUIDO EL COMPONENTE DE ALIMENTACIÓN]])</f>
        <v>1</v>
      </c>
      <c r="BH504" s="29">
        <f>Tabla44[[#This Row],[TOTAL DESEMBOLSOS]]-Tabla44[[#This Row],[VALOR TOTAL DEL CONTRATO INCLUIDO EL COMPONENTE DE ALIMENTACIÓN]]</f>
        <v>0</v>
      </c>
      <c r="BI504" t="s">
        <v>98</v>
      </c>
    </row>
    <row r="505" spans="1:61">
      <c r="A505" s="13">
        <v>2023</v>
      </c>
      <c r="B505" s="13"/>
      <c r="C505" s="12" t="s">
        <v>87</v>
      </c>
      <c r="D505" s="12" t="s">
        <v>673</v>
      </c>
      <c r="E505" s="12" t="s">
        <v>3764</v>
      </c>
      <c r="F505" s="12" t="s">
        <v>21</v>
      </c>
      <c r="G505" s="12" t="s">
        <v>90</v>
      </c>
      <c r="H505" s="12" t="s">
        <v>3779</v>
      </c>
      <c r="I505" s="36">
        <v>58901134580</v>
      </c>
      <c r="J505" s="12" t="s">
        <v>3780</v>
      </c>
      <c r="K505" s="12">
        <v>1</v>
      </c>
      <c r="L505" s="12">
        <v>10</v>
      </c>
      <c r="M505" s="12"/>
      <c r="N505" s="13">
        <v>2023</v>
      </c>
      <c r="O505" s="12" t="s">
        <v>2850</v>
      </c>
      <c r="P505" s="12"/>
      <c r="Q505" s="12"/>
      <c r="R505" s="12" t="s">
        <v>94</v>
      </c>
      <c r="S505" s="12">
        <v>10</v>
      </c>
      <c r="T505" s="12">
        <v>830508092</v>
      </c>
      <c r="U505" s="12" t="s">
        <v>584</v>
      </c>
      <c r="V505" s="12">
        <f>VLOOKUP(Tabla44[[#This Row],[ZONA DEFINITIVO]],[1]Hoja1!$A$1:$D$125,3,0)</f>
        <v>229947</v>
      </c>
      <c r="W505" s="12">
        <f>VLOOKUP(Tabla44[[#This Row],[ZONA DEFINITIVO]],[1]Hoja1!$A$1:$D$125,2,0)</f>
        <v>17263</v>
      </c>
      <c r="X505" s="12">
        <f>VLOOKUP(Tabla44[[#This Row],[ZONA DEFINITIVO]],[1]Hoja1!$A$1:$D$125,4,0)</f>
        <v>104925</v>
      </c>
      <c r="Y505" s="12" t="str">
        <f>+IF(Tabla44[[#This Row],[AGRUPACIONES]]=1,SUMIFS(Tabla44[UDS],Tabla44[ZONA DEFINITIVO],Tabla44[[#This Row],[ZONA DEFINITIVO]])," ")</f>
        <v xml:space="preserve"> </v>
      </c>
      <c r="Z505" s="12" t="str">
        <f>+IF(Tabla44[[#This Row],[AGRUPACIONES]]=1,SUMIFS(Tabla44[TOTAL COBERTURA],Tabla44[ZONA DEFINITIVO],Tabla44[[#This Row],[ZONA DEFINITIVO]])," ")</f>
        <v xml:space="preserve"> </v>
      </c>
      <c r="AA505" s="12"/>
      <c r="AB505" s="35">
        <v>15193050</v>
      </c>
      <c r="AC505" s="37">
        <v>0</v>
      </c>
      <c r="AD505" s="35">
        <f t="shared" si="8"/>
        <v>0</v>
      </c>
      <c r="AE505" s="12"/>
      <c r="AF505" s="12">
        <f>COUNTIF($A$20:A505,A505)</f>
        <v>9</v>
      </c>
      <c r="AG505" s="38">
        <v>15193050</v>
      </c>
      <c r="AH505" s="38">
        <f>Tabla44[[#This Row],[VALOR CONTRAPARTIDA]]+Tabla44[[#This Row],[TOTAL APORTES ICBF]]</f>
        <v>15193050</v>
      </c>
      <c r="AI505" s="35" t="str">
        <f>+IF(Tabla44[[#This Row],[AGRUPACIONES]]=1,SUMIFS(Tabla44[TOTAL APORTES ICBF],Tabla44[ZONA DEFINITIVO],Tabla44[[#This Row],[ZONA DEFINITIVO]])," ")</f>
        <v xml:space="preserve"> </v>
      </c>
      <c r="AJ505" s="38"/>
      <c r="AK505" s="38"/>
      <c r="AL505" s="35"/>
      <c r="AM505" s="35">
        <f>VLOOKUP(Tabla44[[#This Row],[SERVICIO 2025]],$J$2:$V$15,5,0)*Tabla44[[#This Row],[TOTAL COBERTURA]]</f>
        <v>467440</v>
      </c>
      <c r="AN505" s="35">
        <f>VLOOKUP(Tabla44[[#This Row],[SERVICIO 2025]],$J$2:$V$15,6,0)*Tabla44[[#This Row],[TOTAL COBERTURA]]</f>
        <v>378410</v>
      </c>
      <c r="AO505" s="35">
        <f>VLOOKUP(Tabla44[[#This Row],[SERVICIO 2025]],$J$2:$V$15,8,0)*Tabla44[[#This Row],[TOTAL COBERTURA]]</f>
        <v>0</v>
      </c>
      <c r="AP505" s="35">
        <f>VLOOKUP(Tabla44[[#This Row],[SERVICIO 2025]],$J$2:$V$15,3,0)*Tabla44[[#This Row],[TOTAL COBERTURA]]*8</f>
        <v>14347200</v>
      </c>
      <c r="AQ505" s="35"/>
      <c r="AR505" s="35">
        <f>SUM(Tabla44[[#This Row],[VALOR FASE PREPARATORIA DE ALISTAMIENTO]:[VALOR RACION PREPARADA]])</f>
        <v>15193050</v>
      </c>
      <c r="AS505" s="35" t="str">
        <f>+IF(Tabla44[[#This Row],[AGRUPACIONES]]=1,SUMIFS(Tabla44[VALOR TOTAL],Tabla44[ZONA DEFINITIVO],Tabla44[[#This Row],[ZONA DEFINITIVO]])," ")</f>
        <v xml:space="preserve"> </v>
      </c>
      <c r="AT505" s="35">
        <f>VLOOKUP(Tabla44[[#This Row],[SERVICIO 2025]],$J$2:$V$15,10,0)*Tabla44[[#This Row],[TOTAL COBERTURA]]*$X$7</f>
        <v>15065680</v>
      </c>
      <c r="AU505" s="39">
        <f>Tabla44[[#This Row],[TOTAL CONTRATO (ICBF+EAS)]]+Tabla44[[#This Row],[VALOR COMPONENTE ALIMENTACION NO ASIGNADO]]</f>
        <v>30258730</v>
      </c>
      <c r="AV50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4144050</v>
      </c>
      <c r="AW505" s="35">
        <f>(VLOOKUP(Tabla44[[#This Row],[SERVICIO 2025]],$J$2:$V$15,3,0)*Tabla44[[#This Row],[TOTAL COBERTURA]])+VLOOKUP(Tabla44[[#This Row],[SERVICIO 2025]],$J$2:$V$15,10,0)*Tabla44[[#This Row],[TOTAL COBERTURA]]</f>
        <v>3676610</v>
      </c>
      <c r="AX505" s="35">
        <f>(VLOOKUP(Tabla44[[#This Row],[SERVICIO 2025]],$J$2:$V$15,3,0)*Tabla44[[#This Row],[TOTAL COBERTURA]])+VLOOKUP(Tabla44[[#This Row],[SERVICIO 2025]],$J$2:$V$15,10,0)*Tabla44[[#This Row],[TOTAL COBERTURA]]</f>
        <v>3676610</v>
      </c>
      <c r="AY505" s="35">
        <f>(VLOOKUP(Tabla44[[#This Row],[SERVICIO 2025]],$J$2:$V$15,3,0)*Tabla44[[#This Row],[TOTAL COBERTURA]])+VLOOKUP(Tabla44[[#This Row],[SERVICIO 2025]],$J$2:$V$15,10,0)*Tabla44[[#This Row],[TOTAL COBERTURA]]</f>
        <v>3676610</v>
      </c>
      <c r="AZ505" s="35">
        <f>(VLOOKUP(Tabla44[[#This Row],[SERVICIO 2025]],$J$2:$V$15,3,0)*Tabla44[[#This Row],[TOTAL COBERTURA]])+VLOOKUP(Tabla44[[#This Row],[SERVICIO 2025]],$J$2:$V$15,10,0)*Tabla44[[#This Row],[TOTAL COBERTURA]]</f>
        <v>3676610</v>
      </c>
      <c r="BA505" s="35">
        <f>(VLOOKUP(Tabla44[[#This Row],[SERVICIO 2025]],$J$2:$V$15,3,0)*Tabla44[[#This Row],[TOTAL COBERTURA]])+VLOOKUP(Tabla44[[#This Row],[SERVICIO 2025]],$J$2:$V$15,10,0)*Tabla44[[#This Row],[TOTAL COBERTURA]]</f>
        <v>3676610</v>
      </c>
      <c r="BB505" s="35">
        <f>(VLOOKUP(Tabla44[[#This Row],[SERVICIO 2025]],$J$2:$V$15,3,0)*Tabla44[[#This Row],[TOTAL COBERTURA]])+VLOOKUP(Tabla44[[#This Row],[SERVICIO 2025]],$J$2:$V$15,10,0)*Tabla44[[#This Row],[TOTAL COBERTURA]]</f>
        <v>3676610</v>
      </c>
      <c r="BC50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4055020</v>
      </c>
      <c r="BD505" s="35">
        <f>SUM(Tabla44[[#This Row],[DESEMBOLSO 1]:[DESEMBOLSO 8]])</f>
        <v>30258730</v>
      </c>
      <c r="BE505" s="12" t="b">
        <f>EXACT(Tabla44[[#This Row],[VALOR ATENCIÓN (8 MESES)]],Tabla44[[#This Row],[VALOR TOTAL]])</f>
        <v>1</v>
      </c>
      <c r="BF505" s="23">
        <f>Tabla44[[#This Row],[VALOR ATENCIÓN (8 MESES)]]-Tabla44[[#This Row],[VALOR TOTAL]]</f>
        <v>0</v>
      </c>
      <c r="BG505" s="12" t="b">
        <f>EXACT(Tabla44[[#This Row],[TOTAL DESEMBOLSOS]],Tabla44[[#This Row],[VALOR TOTAL DEL CONTRATO INCLUIDO EL COMPONENTE DE ALIMENTACIÓN]])</f>
        <v>1</v>
      </c>
      <c r="BH505" s="29">
        <f>Tabla44[[#This Row],[TOTAL DESEMBOLSOS]]-Tabla44[[#This Row],[VALOR TOTAL DEL CONTRATO INCLUIDO EL COMPONENTE DE ALIMENTACIÓN]]</f>
        <v>0</v>
      </c>
      <c r="BI505" t="s">
        <v>98</v>
      </c>
    </row>
    <row r="506" spans="1:61">
      <c r="A506" s="13">
        <v>2023</v>
      </c>
      <c r="B506" s="13"/>
      <c r="C506" s="12" t="s">
        <v>87</v>
      </c>
      <c r="D506" s="12" t="s">
        <v>673</v>
      </c>
      <c r="E506" s="12" t="s">
        <v>3764</v>
      </c>
      <c r="F506" s="12" t="s">
        <v>21</v>
      </c>
      <c r="G506" s="12" t="s">
        <v>90</v>
      </c>
      <c r="H506" s="12" t="s">
        <v>3781</v>
      </c>
      <c r="I506" s="36">
        <v>58901134581</v>
      </c>
      <c r="J506" s="12" t="s">
        <v>3782</v>
      </c>
      <c r="K506" s="12">
        <v>1</v>
      </c>
      <c r="L506" s="12">
        <v>5</v>
      </c>
      <c r="M506" s="12"/>
      <c r="N506" s="13">
        <v>2023</v>
      </c>
      <c r="O506" s="12" t="s">
        <v>2850</v>
      </c>
      <c r="P506" s="12"/>
      <c r="Q506" s="12"/>
      <c r="R506" s="12" t="s">
        <v>94</v>
      </c>
      <c r="S506" s="12">
        <v>10</v>
      </c>
      <c r="T506" s="12">
        <v>830508092</v>
      </c>
      <c r="U506" s="12" t="s">
        <v>584</v>
      </c>
      <c r="V506" s="12">
        <f>VLOOKUP(Tabla44[[#This Row],[ZONA DEFINITIVO]],[1]Hoja1!$A$1:$D$125,3,0)</f>
        <v>229947</v>
      </c>
      <c r="W506" s="12">
        <f>VLOOKUP(Tabla44[[#This Row],[ZONA DEFINITIVO]],[1]Hoja1!$A$1:$D$125,2,0)</f>
        <v>17263</v>
      </c>
      <c r="X506" s="12">
        <f>VLOOKUP(Tabla44[[#This Row],[ZONA DEFINITIVO]],[1]Hoja1!$A$1:$D$125,4,0)</f>
        <v>104925</v>
      </c>
      <c r="Y506" s="12" t="str">
        <f>+IF(Tabla44[[#This Row],[AGRUPACIONES]]=1,SUMIFS(Tabla44[UDS],Tabla44[ZONA DEFINITIVO],Tabla44[[#This Row],[ZONA DEFINITIVO]])," ")</f>
        <v xml:space="preserve"> </v>
      </c>
      <c r="Z506" s="12" t="str">
        <f>+IF(Tabla44[[#This Row],[AGRUPACIONES]]=1,SUMIFS(Tabla44[TOTAL COBERTURA],Tabla44[ZONA DEFINITIVO],Tabla44[[#This Row],[ZONA DEFINITIVO]])," ")</f>
        <v xml:space="preserve"> </v>
      </c>
      <c r="AA506" s="12"/>
      <c r="AB506" s="35">
        <v>7596525</v>
      </c>
      <c r="AC506" s="37">
        <v>0</v>
      </c>
      <c r="AD506" s="35">
        <f t="shared" si="8"/>
        <v>0</v>
      </c>
      <c r="AE506" s="12"/>
      <c r="AF506" s="12">
        <f>COUNTIF($A$20:A506,A506)</f>
        <v>10</v>
      </c>
      <c r="AG506" s="38">
        <v>7596525</v>
      </c>
      <c r="AH506" s="38">
        <f>Tabla44[[#This Row],[VALOR CONTRAPARTIDA]]+Tabla44[[#This Row],[TOTAL APORTES ICBF]]</f>
        <v>7596525</v>
      </c>
      <c r="AI506" s="35" t="str">
        <f>+IF(Tabla44[[#This Row],[AGRUPACIONES]]=1,SUMIFS(Tabla44[TOTAL APORTES ICBF],Tabla44[ZONA DEFINITIVO],Tabla44[[#This Row],[ZONA DEFINITIVO]])," ")</f>
        <v xml:space="preserve"> </v>
      </c>
      <c r="AJ506" s="38"/>
      <c r="AK506" s="38"/>
      <c r="AL506" s="35"/>
      <c r="AM506" s="35">
        <f>VLOOKUP(Tabla44[[#This Row],[SERVICIO 2025]],$J$2:$V$15,5,0)*Tabla44[[#This Row],[TOTAL COBERTURA]]</f>
        <v>233720</v>
      </c>
      <c r="AN506" s="35">
        <f>VLOOKUP(Tabla44[[#This Row],[SERVICIO 2025]],$J$2:$V$15,6,0)*Tabla44[[#This Row],[TOTAL COBERTURA]]</f>
        <v>189205</v>
      </c>
      <c r="AO506" s="35">
        <f>VLOOKUP(Tabla44[[#This Row],[SERVICIO 2025]],$J$2:$V$15,8,0)*Tabla44[[#This Row],[TOTAL COBERTURA]]</f>
        <v>0</v>
      </c>
      <c r="AP506" s="35">
        <f>VLOOKUP(Tabla44[[#This Row],[SERVICIO 2025]],$J$2:$V$15,3,0)*Tabla44[[#This Row],[TOTAL COBERTURA]]*8</f>
        <v>7173600</v>
      </c>
      <c r="AQ506" s="35"/>
      <c r="AR506" s="35">
        <f>SUM(Tabla44[[#This Row],[VALOR FASE PREPARATORIA DE ALISTAMIENTO]:[VALOR RACION PREPARADA]])</f>
        <v>7596525</v>
      </c>
      <c r="AS506" s="35" t="str">
        <f>+IF(Tabla44[[#This Row],[AGRUPACIONES]]=1,SUMIFS(Tabla44[VALOR TOTAL],Tabla44[ZONA DEFINITIVO],Tabla44[[#This Row],[ZONA DEFINITIVO]])," ")</f>
        <v xml:space="preserve"> </v>
      </c>
      <c r="AT506" s="35">
        <f>VLOOKUP(Tabla44[[#This Row],[SERVICIO 2025]],$J$2:$V$15,10,0)*Tabla44[[#This Row],[TOTAL COBERTURA]]*$X$7</f>
        <v>7532840</v>
      </c>
      <c r="AU506" s="39">
        <f>Tabla44[[#This Row],[TOTAL CONTRATO (ICBF+EAS)]]+Tabla44[[#This Row],[VALOR COMPONENTE ALIMENTACION NO ASIGNADO]]</f>
        <v>15129365</v>
      </c>
      <c r="AV50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</v>
      </c>
      <c r="AW506" s="35">
        <f>(VLOOKUP(Tabla44[[#This Row],[SERVICIO 2025]],$J$2:$V$15,3,0)*Tabla44[[#This Row],[TOTAL COBERTURA]])+VLOOKUP(Tabla44[[#This Row],[SERVICIO 2025]],$J$2:$V$15,10,0)*Tabla44[[#This Row],[TOTAL COBERTURA]]</f>
        <v>1838305</v>
      </c>
      <c r="AX506" s="35">
        <f>(VLOOKUP(Tabla44[[#This Row],[SERVICIO 2025]],$J$2:$V$15,3,0)*Tabla44[[#This Row],[TOTAL COBERTURA]])+VLOOKUP(Tabla44[[#This Row],[SERVICIO 2025]],$J$2:$V$15,10,0)*Tabla44[[#This Row],[TOTAL COBERTURA]]</f>
        <v>1838305</v>
      </c>
      <c r="AY506" s="35">
        <f>(VLOOKUP(Tabla44[[#This Row],[SERVICIO 2025]],$J$2:$V$15,3,0)*Tabla44[[#This Row],[TOTAL COBERTURA]])+VLOOKUP(Tabla44[[#This Row],[SERVICIO 2025]],$J$2:$V$15,10,0)*Tabla44[[#This Row],[TOTAL COBERTURA]]</f>
        <v>1838305</v>
      </c>
      <c r="AZ506" s="35">
        <f>(VLOOKUP(Tabla44[[#This Row],[SERVICIO 2025]],$J$2:$V$15,3,0)*Tabla44[[#This Row],[TOTAL COBERTURA]])+VLOOKUP(Tabla44[[#This Row],[SERVICIO 2025]],$J$2:$V$15,10,0)*Tabla44[[#This Row],[TOTAL COBERTURA]]</f>
        <v>1838305</v>
      </c>
      <c r="BA506" s="35">
        <f>(VLOOKUP(Tabla44[[#This Row],[SERVICIO 2025]],$J$2:$V$15,3,0)*Tabla44[[#This Row],[TOTAL COBERTURA]])+VLOOKUP(Tabla44[[#This Row],[SERVICIO 2025]],$J$2:$V$15,10,0)*Tabla44[[#This Row],[TOTAL COBERTURA]]</f>
        <v>1838305</v>
      </c>
      <c r="BB506" s="35">
        <f>(VLOOKUP(Tabla44[[#This Row],[SERVICIO 2025]],$J$2:$V$15,3,0)*Tabla44[[#This Row],[TOTAL COBERTURA]])+VLOOKUP(Tabla44[[#This Row],[SERVICIO 2025]],$J$2:$V$15,10,0)*Tabla44[[#This Row],[TOTAL COBERTURA]]</f>
        <v>1838305</v>
      </c>
      <c r="BC50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</v>
      </c>
      <c r="BD506" s="35">
        <f>SUM(Tabla44[[#This Row],[DESEMBOLSO 1]:[DESEMBOLSO 8]])</f>
        <v>15129365</v>
      </c>
      <c r="BE506" s="12" t="b">
        <f>EXACT(Tabla44[[#This Row],[VALOR ATENCIÓN (8 MESES)]],Tabla44[[#This Row],[VALOR TOTAL]])</f>
        <v>1</v>
      </c>
      <c r="BF506" s="23">
        <f>Tabla44[[#This Row],[VALOR ATENCIÓN (8 MESES)]]-Tabla44[[#This Row],[VALOR TOTAL]]</f>
        <v>0</v>
      </c>
      <c r="BG506" s="12" t="b">
        <f>EXACT(Tabla44[[#This Row],[TOTAL DESEMBOLSOS]],Tabla44[[#This Row],[VALOR TOTAL DEL CONTRATO INCLUIDO EL COMPONENTE DE ALIMENTACIÓN]])</f>
        <v>1</v>
      </c>
      <c r="BH506" s="29">
        <f>Tabla44[[#This Row],[TOTAL DESEMBOLSOS]]-Tabla44[[#This Row],[VALOR TOTAL DEL CONTRATO INCLUIDO EL COMPONENTE DE ALIMENTACIÓN]]</f>
        <v>0</v>
      </c>
      <c r="BI506" t="s">
        <v>98</v>
      </c>
    </row>
    <row r="507" spans="1:61">
      <c r="A507" s="13">
        <v>2023</v>
      </c>
      <c r="B507" s="13"/>
      <c r="C507" s="12" t="s">
        <v>87</v>
      </c>
      <c r="D507" s="12" t="s">
        <v>673</v>
      </c>
      <c r="E507" s="12" t="s">
        <v>3764</v>
      </c>
      <c r="F507" s="12" t="s">
        <v>21</v>
      </c>
      <c r="G507" s="12" t="s">
        <v>90</v>
      </c>
      <c r="H507" s="12" t="s">
        <v>3783</v>
      </c>
      <c r="I507" s="36">
        <v>58901134583</v>
      </c>
      <c r="J507" s="12" t="s">
        <v>3784</v>
      </c>
      <c r="K507" s="12">
        <v>1</v>
      </c>
      <c r="L507" s="12">
        <v>4</v>
      </c>
      <c r="M507" s="12"/>
      <c r="N507" s="13">
        <v>2023</v>
      </c>
      <c r="O507" s="12" t="s">
        <v>2850</v>
      </c>
      <c r="P507" s="12"/>
      <c r="Q507" s="12"/>
      <c r="R507" s="12" t="s">
        <v>94</v>
      </c>
      <c r="S507" s="12">
        <v>10</v>
      </c>
      <c r="T507" s="12">
        <v>830508092</v>
      </c>
      <c r="U507" s="12" t="s">
        <v>584</v>
      </c>
      <c r="V507" s="12">
        <f>VLOOKUP(Tabla44[[#This Row],[ZONA DEFINITIVO]],[1]Hoja1!$A$1:$D$125,3,0)</f>
        <v>229947</v>
      </c>
      <c r="W507" s="12">
        <f>VLOOKUP(Tabla44[[#This Row],[ZONA DEFINITIVO]],[1]Hoja1!$A$1:$D$125,2,0)</f>
        <v>17263</v>
      </c>
      <c r="X507" s="12">
        <f>VLOOKUP(Tabla44[[#This Row],[ZONA DEFINITIVO]],[1]Hoja1!$A$1:$D$125,4,0)</f>
        <v>104925</v>
      </c>
      <c r="Y507" s="12" t="str">
        <f>+IF(Tabla44[[#This Row],[AGRUPACIONES]]=1,SUMIFS(Tabla44[UDS],Tabla44[ZONA DEFINITIVO],Tabla44[[#This Row],[ZONA DEFINITIVO]])," ")</f>
        <v xml:space="preserve"> </v>
      </c>
      <c r="Z507" s="12" t="str">
        <f>+IF(Tabla44[[#This Row],[AGRUPACIONES]]=1,SUMIFS(Tabla44[TOTAL COBERTURA],Tabla44[ZONA DEFINITIVO],Tabla44[[#This Row],[ZONA DEFINITIVO]])," ")</f>
        <v xml:space="preserve"> </v>
      </c>
      <c r="AA507" s="12"/>
      <c r="AB507" s="35">
        <v>6077220</v>
      </c>
      <c r="AC507" s="37">
        <v>0</v>
      </c>
      <c r="AD507" s="35">
        <f t="shared" si="8"/>
        <v>0</v>
      </c>
      <c r="AE507" s="12"/>
      <c r="AF507" s="12">
        <f>COUNTIF($A$20:A507,A507)</f>
        <v>11</v>
      </c>
      <c r="AG507" s="38">
        <v>6077220</v>
      </c>
      <c r="AH507" s="38">
        <f>Tabla44[[#This Row],[VALOR CONTRAPARTIDA]]+Tabla44[[#This Row],[TOTAL APORTES ICBF]]</f>
        <v>6077220</v>
      </c>
      <c r="AI507" s="35" t="str">
        <f>+IF(Tabla44[[#This Row],[AGRUPACIONES]]=1,SUMIFS(Tabla44[TOTAL APORTES ICBF],Tabla44[ZONA DEFINITIVO],Tabla44[[#This Row],[ZONA DEFINITIVO]])," ")</f>
        <v xml:space="preserve"> </v>
      </c>
      <c r="AJ507" s="38"/>
      <c r="AK507" s="38"/>
      <c r="AL507" s="35"/>
      <c r="AM507" s="35">
        <f>VLOOKUP(Tabla44[[#This Row],[SERVICIO 2025]],$J$2:$V$15,5,0)*Tabla44[[#This Row],[TOTAL COBERTURA]]</f>
        <v>186976</v>
      </c>
      <c r="AN507" s="35">
        <f>VLOOKUP(Tabla44[[#This Row],[SERVICIO 2025]],$J$2:$V$15,6,0)*Tabla44[[#This Row],[TOTAL COBERTURA]]</f>
        <v>151364</v>
      </c>
      <c r="AO507" s="35">
        <f>VLOOKUP(Tabla44[[#This Row],[SERVICIO 2025]],$J$2:$V$15,8,0)*Tabla44[[#This Row],[TOTAL COBERTURA]]</f>
        <v>0</v>
      </c>
      <c r="AP507" s="35">
        <f>VLOOKUP(Tabla44[[#This Row],[SERVICIO 2025]],$J$2:$V$15,3,0)*Tabla44[[#This Row],[TOTAL COBERTURA]]*8</f>
        <v>5738880</v>
      </c>
      <c r="AQ507" s="35"/>
      <c r="AR507" s="35">
        <f>SUM(Tabla44[[#This Row],[VALOR FASE PREPARATORIA DE ALISTAMIENTO]:[VALOR RACION PREPARADA]])</f>
        <v>6077220</v>
      </c>
      <c r="AS507" s="35" t="str">
        <f>+IF(Tabla44[[#This Row],[AGRUPACIONES]]=1,SUMIFS(Tabla44[VALOR TOTAL],Tabla44[ZONA DEFINITIVO],Tabla44[[#This Row],[ZONA DEFINITIVO]])," ")</f>
        <v xml:space="preserve"> </v>
      </c>
      <c r="AT507" s="35">
        <f>VLOOKUP(Tabla44[[#This Row],[SERVICIO 2025]],$J$2:$V$15,10,0)*Tabla44[[#This Row],[TOTAL COBERTURA]]*$X$7</f>
        <v>6026272</v>
      </c>
      <c r="AU507" s="39">
        <f>Tabla44[[#This Row],[TOTAL CONTRATO (ICBF+EAS)]]+Tabla44[[#This Row],[VALOR COMPONENTE ALIMENTACION NO ASIGNADO]]</f>
        <v>12103492</v>
      </c>
      <c r="AV50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1657620</v>
      </c>
      <c r="AW507" s="35">
        <f>(VLOOKUP(Tabla44[[#This Row],[SERVICIO 2025]],$J$2:$V$15,3,0)*Tabla44[[#This Row],[TOTAL COBERTURA]])+VLOOKUP(Tabla44[[#This Row],[SERVICIO 2025]],$J$2:$V$15,10,0)*Tabla44[[#This Row],[TOTAL COBERTURA]]</f>
        <v>1470644</v>
      </c>
      <c r="AX507" s="35">
        <f>(VLOOKUP(Tabla44[[#This Row],[SERVICIO 2025]],$J$2:$V$15,3,0)*Tabla44[[#This Row],[TOTAL COBERTURA]])+VLOOKUP(Tabla44[[#This Row],[SERVICIO 2025]],$J$2:$V$15,10,0)*Tabla44[[#This Row],[TOTAL COBERTURA]]</f>
        <v>1470644</v>
      </c>
      <c r="AY507" s="35">
        <f>(VLOOKUP(Tabla44[[#This Row],[SERVICIO 2025]],$J$2:$V$15,3,0)*Tabla44[[#This Row],[TOTAL COBERTURA]])+VLOOKUP(Tabla44[[#This Row],[SERVICIO 2025]],$J$2:$V$15,10,0)*Tabla44[[#This Row],[TOTAL COBERTURA]]</f>
        <v>1470644</v>
      </c>
      <c r="AZ507" s="35">
        <f>(VLOOKUP(Tabla44[[#This Row],[SERVICIO 2025]],$J$2:$V$15,3,0)*Tabla44[[#This Row],[TOTAL COBERTURA]])+VLOOKUP(Tabla44[[#This Row],[SERVICIO 2025]],$J$2:$V$15,10,0)*Tabla44[[#This Row],[TOTAL COBERTURA]]</f>
        <v>1470644</v>
      </c>
      <c r="BA507" s="35">
        <f>(VLOOKUP(Tabla44[[#This Row],[SERVICIO 2025]],$J$2:$V$15,3,0)*Tabla44[[#This Row],[TOTAL COBERTURA]])+VLOOKUP(Tabla44[[#This Row],[SERVICIO 2025]],$J$2:$V$15,10,0)*Tabla44[[#This Row],[TOTAL COBERTURA]]</f>
        <v>1470644</v>
      </c>
      <c r="BB507" s="35">
        <f>(VLOOKUP(Tabla44[[#This Row],[SERVICIO 2025]],$J$2:$V$15,3,0)*Tabla44[[#This Row],[TOTAL COBERTURA]])+VLOOKUP(Tabla44[[#This Row],[SERVICIO 2025]],$J$2:$V$15,10,0)*Tabla44[[#This Row],[TOTAL COBERTURA]]</f>
        <v>1470644</v>
      </c>
      <c r="BC50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1622008</v>
      </c>
      <c r="BD507" s="35">
        <f>SUM(Tabla44[[#This Row],[DESEMBOLSO 1]:[DESEMBOLSO 8]])</f>
        <v>12103492</v>
      </c>
      <c r="BE507" s="12" t="b">
        <f>EXACT(Tabla44[[#This Row],[VALOR ATENCIÓN (8 MESES)]],Tabla44[[#This Row],[VALOR TOTAL]])</f>
        <v>1</v>
      </c>
      <c r="BF507" s="23">
        <f>Tabla44[[#This Row],[VALOR ATENCIÓN (8 MESES)]]-Tabla44[[#This Row],[VALOR TOTAL]]</f>
        <v>0</v>
      </c>
      <c r="BG507" s="12" t="b">
        <f>EXACT(Tabla44[[#This Row],[TOTAL DESEMBOLSOS]],Tabla44[[#This Row],[VALOR TOTAL DEL CONTRATO INCLUIDO EL COMPONENTE DE ALIMENTACIÓN]])</f>
        <v>1</v>
      </c>
      <c r="BH507" s="29">
        <f>Tabla44[[#This Row],[TOTAL DESEMBOLSOS]]-Tabla44[[#This Row],[VALOR TOTAL DEL CONTRATO INCLUIDO EL COMPONENTE DE ALIMENTACIÓN]]</f>
        <v>0</v>
      </c>
      <c r="BI507" t="s">
        <v>98</v>
      </c>
    </row>
    <row r="508" spans="1:61">
      <c r="A508" s="13">
        <v>2023</v>
      </c>
      <c r="B508" s="13"/>
      <c r="C508" s="12" t="s">
        <v>87</v>
      </c>
      <c r="D508" s="12" t="s">
        <v>673</v>
      </c>
      <c r="E508" s="12" t="s">
        <v>3764</v>
      </c>
      <c r="F508" s="12" t="s">
        <v>21</v>
      </c>
      <c r="G508" s="12" t="s">
        <v>90</v>
      </c>
      <c r="H508" s="12" t="s">
        <v>3785</v>
      </c>
      <c r="I508" s="36">
        <v>58901134722</v>
      </c>
      <c r="J508" s="12" t="s">
        <v>3786</v>
      </c>
      <c r="K508" s="12">
        <v>1</v>
      </c>
      <c r="L508" s="12">
        <v>16</v>
      </c>
      <c r="M508" s="12"/>
      <c r="N508" s="13">
        <v>2023</v>
      </c>
      <c r="O508" s="12" t="s">
        <v>2850</v>
      </c>
      <c r="P508" s="12"/>
      <c r="Q508" s="12"/>
      <c r="R508" s="12" t="s">
        <v>94</v>
      </c>
      <c r="S508" s="12">
        <v>10</v>
      </c>
      <c r="T508" s="12">
        <v>830508092</v>
      </c>
      <c r="U508" s="12" t="s">
        <v>584</v>
      </c>
      <c r="V508" s="12">
        <f>VLOOKUP(Tabla44[[#This Row],[ZONA DEFINITIVO]],[1]Hoja1!$A$1:$D$125,3,0)</f>
        <v>229947</v>
      </c>
      <c r="W508" s="12">
        <f>VLOOKUP(Tabla44[[#This Row],[ZONA DEFINITIVO]],[1]Hoja1!$A$1:$D$125,2,0)</f>
        <v>17263</v>
      </c>
      <c r="X508" s="12">
        <f>VLOOKUP(Tabla44[[#This Row],[ZONA DEFINITIVO]],[1]Hoja1!$A$1:$D$125,4,0)</f>
        <v>104925</v>
      </c>
      <c r="Y508" s="12" t="str">
        <f>+IF(Tabla44[[#This Row],[AGRUPACIONES]]=1,SUMIFS(Tabla44[UDS],Tabla44[ZONA DEFINITIVO],Tabla44[[#This Row],[ZONA DEFINITIVO]])," ")</f>
        <v xml:space="preserve"> </v>
      </c>
      <c r="Z508" s="12" t="str">
        <f>+IF(Tabla44[[#This Row],[AGRUPACIONES]]=1,SUMIFS(Tabla44[TOTAL COBERTURA],Tabla44[ZONA DEFINITIVO],Tabla44[[#This Row],[ZONA DEFINITIVO]])," ")</f>
        <v xml:space="preserve"> </v>
      </c>
      <c r="AA508" s="12"/>
      <c r="AB508" s="35">
        <v>24308880</v>
      </c>
      <c r="AC508" s="37">
        <v>0</v>
      </c>
      <c r="AD508" s="35">
        <f t="shared" si="8"/>
        <v>0</v>
      </c>
      <c r="AE508" s="12"/>
      <c r="AF508" s="12">
        <f>COUNTIF($A$20:A508,A508)</f>
        <v>12</v>
      </c>
      <c r="AG508" s="38">
        <v>24308880</v>
      </c>
      <c r="AH508" s="38">
        <f>Tabla44[[#This Row],[VALOR CONTRAPARTIDA]]+Tabla44[[#This Row],[TOTAL APORTES ICBF]]</f>
        <v>24308880</v>
      </c>
      <c r="AI508" s="35" t="str">
        <f>+IF(Tabla44[[#This Row],[AGRUPACIONES]]=1,SUMIFS(Tabla44[TOTAL APORTES ICBF],Tabla44[ZONA DEFINITIVO],Tabla44[[#This Row],[ZONA DEFINITIVO]])," ")</f>
        <v xml:space="preserve"> </v>
      </c>
      <c r="AJ508" s="38"/>
      <c r="AK508" s="38"/>
      <c r="AL508" s="35"/>
      <c r="AM508" s="35">
        <f>VLOOKUP(Tabla44[[#This Row],[SERVICIO 2025]],$J$2:$V$15,5,0)*Tabla44[[#This Row],[TOTAL COBERTURA]]</f>
        <v>747904</v>
      </c>
      <c r="AN508" s="35">
        <f>VLOOKUP(Tabla44[[#This Row],[SERVICIO 2025]],$J$2:$V$15,6,0)*Tabla44[[#This Row],[TOTAL COBERTURA]]</f>
        <v>605456</v>
      </c>
      <c r="AO508" s="35">
        <f>VLOOKUP(Tabla44[[#This Row],[SERVICIO 2025]],$J$2:$V$15,8,0)*Tabla44[[#This Row],[TOTAL COBERTURA]]</f>
        <v>0</v>
      </c>
      <c r="AP508" s="35">
        <f>VLOOKUP(Tabla44[[#This Row],[SERVICIO 2025]],$J$2:$V$15,3,0)*Tabla44[[#This Row],[TOTAL COBERTURA]]*8</f>
        <v>22955520</v>
      </c>
      <c r="AQ508" s="35"/>
      <c r="AR508" s="35">
        <f>SUM(Tabla44[[#This Row],[VALOR FASE PREPARATORIA DE ALISTAMIENTO]:[VALOR RACION PREPARADA]])</f>
        <v>24308880</v>
      </c>
      <c r="AS508" s="35" t="str">
        <f>+IF(Tabla44[[#This Row],[AGRUPACIONES]]=1,SUMIFS(Tabla44[VALOR TOTAL],Tabla44[ZONA DEFINITIVO],Tabla44[[#This Row],[ZONA DEFINITIVO]])," ")</f>
        <v xml:space="preserve"> </v>
      </c>
      <c r="AT508" s="35">
        <f>VLOOKUP(Tabla44[[#This Row],[SERVICIO 2025]],$J$2:$V$15,10,0)*Tabla44[[#This Row],[TOTAL COBERTURA]]*$X$7</f>
        <v>24105088</v>
      </c>
      <c r="AU508" s="39">
        <f>Tabla44[[#This Row],[TOTAL CONTRATO (ICBF+EAS)]]+Tabla44[[#This Row],[VALOR COMPONENTE ALIMENTACION NO ASIGNADO]]</f>
        <v>48413968</v>
      </c>
      <c r="AV50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6630480</v>
      </c>
      <c r="AW508" s="35">
        <f>(VLOOKUP(Tabla44[[#This Row],[SERVICIO 2025]],$J$2:$V$15,3,0)*Tabla44[[#This Row],[TOTAL COBERTURA]])+VLOOKUP(Tabla44[[#This Row],[SERVICIO 2025]],$J$2:$V$15,10,0)*Tabla44[[#This Row],[TOTAL COBERTURA]]</f>
        <v>5882576</v>
      </c>
      <c r="AX508" s="35">
        <f>(VLOOKUP(Tabla44[[#This Row],[SERVICIO 2025]],$J$2:$V$15,3,0)*Tabla44[[#This Row],[TOTAL COBERTURA]])+VLOOKUP(Tabla44[[#This Row],[SERVICIO 2025]],$J$2:$V$15,10,0)*Tabla44[[#This Row],[TOTAL COBERTURA]]</f>
        <v>5882576</v>
      </c>
      <c r="AY508" s="35">
        <f>(VLOOKUP(Tabla44[[#This Row],[SERVICIO 2025]],$J$2:$V$15,3,0)*Tabla44[[#This Row],[TOTAL COBERTURA]])+VLOOKUP(Tabla44[[#This Row],[SERVICIO 2025]],$J$2:$V$15,10,0)*Tabla44[[#This Row],[TOTAL COBERTURA]]</f>
        <v>5882576</v>
      </c>
      <c r="AZ508" s="35">
        <f>(VLOOKUP(Tabla44[[#This Row],[SERVICIO 2025]],$J$2:$V$15,3,0)*Tabla44[[#This Row],[TOTAL COBERTURA]])+VLOOKUP(Tabla44[[#This Row],[SERVICIO 2025]],$J$2:$V$15,10,0)*Tabla44[[#This Row],[TOTAL COBERTURA]]</f>
        <v>5882576</v>
      </c>
      <c r="BA508" s="35">
        <f>(VLOOKUP(Tabla44[[#This Row],[SERVICIO 2025]],$J$2:$V$15,3,0)*Tabla44[[#This Row],[TOTAL COBERTURA]])+VLOOKUP(Tabla44[[#This Row],[SERVICIO 2025]],$J$2:$V$15,10,0)*Tabla44[[#This Row],[TOTAL COBERTURA]]</f>
        <v>5882576</v>
      </c>
      <c r="BB508" s="35">
        <f>(VLOOKUP(Tabla44[[#This Row],[SERVICIO 2025]],$J$2:$V$15,3,0)*Tabla44[[#This Row],[TOTAL COBERTURA]])+VLOOKUP(Tabla44[[#This Row],[SERVICIO 2025]],$J$2:$V$15,10,0)*Tabla44[[#This Row],[TOTAL COBERTURA]]</f>
        <v>5882576</v>
      </c>
      <c r="BC50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6488032</v>
      </c>
      <c r="BD508" s="35">
        <f>SUM(Tabla44[[#This Row],[DESEMBOLSO 1]:[DESEMBOLSO 8]])</f>
        <v>48413968</v>
      </c>
      <c r="BE508" s="12" t="b">
        <f>EXACT(Tabla44[[#This Row],[VALOR ATENCIÓN (8 MESES)]],Tabla44[[#This Row],[VALOR TOTAL]])</f>
        <v>1</v>
      </c>
      <c r="BF508" s="23">
        <f>Tabla44[[#This Row],[VALOR ATENCIÓN (8 MESES)]]-Tabla44[[#This Row],[VALOR TOTAL]]</f>
        <v>0</v>
      </c>
      <c r="BG508" s="12" t="b">
        <f>EXACT(Tabla44[[#This Row],[TOTAL DESEMBOLSOS]],Tabla44[[#This Row],[VALOR TOTAL DEL CONTRATO INCLUIDO EL COMPONENTE DE ALIMENTACIÓN]])</f>
        <v>1</v>
      </c>
      <c r="BH508" s="29">
        <f>Tabla44[[#This Row],[TOTAL DESEMBOLSOS]]-Tabla44[[#This Row],[VALOR TOTAL DEL CONTRATO INCLUIDO EL COMPONENTE DE ALIMENTACIÓN]]</f>
        <v>0</v>
      </c>
      <c r="BI508" t="s">
        <v>98</v>
      </c>
    </row>
    <row r="509" spans="1:61">
      <c r="A509" s="13">
        <v>2023</v>
      </c>
      <c r="B509" s="13"/>
      <c r="C509" s="12" t="s">
        <v>87</v>
      </c>
      <c r="D509" s="12" t="s">
        <v>673</v>
      </c>
      <c r="E509" s="12" t="s">
        <v>3764</v>
      </c>
      <c r="F509" s="12" t="s">
        <v>21</v>
      </c>
      <c r="G509" s="12" t="s">
        <v>90</v>
      </c>
      <c r="H509" s="12" t="s">
        <v>3787</v>
      </c>
      <c r="I509" s="36">
        <v>58901134967</v>
      </c>
      <c r="J509" s="12" t="s">
        <v>3788</v>
      </c>
      <c r="K509" s="12">
        <v>1</v>
      </c>
      <c r="L509" s="12">
        <v>13</v>
      </c>
      <c r="M509" s="12"/>
      <c r="N509" s="13">
        <v>2023</v>
      </c>
      <c r="O509" s="12" t="s">
        <v>2850</v>
      </c>
      <c r="P509" s="12"/>
      <c r="Q509" s="12"/>
      <c r="R509" s="12" t="s">
        <v>94</v>
      </c>
      <c r="S509" s="12">
        <v>10</v>
      </c>
      <c r="T509" s="12">
        <v>830508092</v>
      </c>
      <c r="U509" s="12" t="s">
        <v>584</v>
      </c>
      <c r="V509" s="12">
        <f>VLOOKUP(Tabla44[[#This Row],[ZONA DEFINITIVO]],[1]Hoja1!$A$1:$D$125,3,0)</f>
        <v>229947</v>
      </c>
      <c r="W509" s="12">
        <f>VLOOKUP(Tabla44[[#This Row],[ZONA DEFINITIVO]],[1]Hoja1!$A$1:$D$125,2,0)</f>
        <v>17263</v>
      </c>
      <c r="X509" s="12">
        <f>VLOOKUP(Tabla44[[#This Row],[ZONA DEFINITIVO]],[1]Hoja1!$A$1:$D$125,4,0)</f>
        <v>104925</v>
      </c>
      <c r="Y509" s="12" t="str">
        <f>+IF(Tabla44[[#This Row],[AGRUPACIONES]]=1,SUMIFS(Tabla44[UDS],Tabla44[ZONA DEFINITIVO],Tabla44[[#This Row],[ZONA DEFINITIVO]])," ")</f>
        <v xml:space="preserve"> </v>
      </c>
      <c r="Z509" s="12" t="str">
        <f>+IF(Tabla44[[#This Row],[AGRUPACIONES]]=1,SUMIFS(Tabla44[TOTAL COBERTURA],Tabla44[ZONA DEFINITIVO],Tabla44[[#This Row],[ZONA DEFINITIVO]])," ")</f>
        <v xml:space="preserve"> </v>
      </c>
      <c r="AA509" s="12"/>
      <c r="AB509" s="35">
        <v>19750965</v>
      </c>
      <c r="AC509" s="37">
        <v>0</v>
      </c>
      <c r="AD509" s="35">
        <f t="shared" si="8"/>
        <v>0</v>
      </c>
      <c r="AE509" s="12"/>
      <c r="AF509" s="12">
        <f>COUNTIF($A$20:A509,A509)</f>
        <v>13</v>
      </c>
      <c r="AG509" s="38">
        <v>19750965</v>
      </c>
      <c r="AH509" s="38">
        <f>Tabla44[[#This Row],[VALOR CONTRAPARTIDA]]+Tabla44[[#This Row],[TOTAL APORTES ICBF]]</f>
        <v>19750965</v>
      </c>
      <c r="AI509" s="35" t="str">
        <f>+IF(Tabla44[[#This Row],[AGRUPACIONES]]=1,SUMIFS(Tabla44[TOTAL APORTES ICBF],Tabla44[ZONA DEFINITIVO],Tabla44[[#This Row],[ZONA DEFINITIVO]])," ")</f>
        <v xml:space="preserve"> </v>
      </c>
      <c r="AJ509" s="38"/>
      <c r="AK509" s="38"/>
      <c r="AL509" s="35"/>
      <c r="AM509" s="35">
        <f>VLOOKUP(Tabla44[[#This Row],[SERVICIO 2025]],$J$2:$V$15,5,0)*Tabla44[[#This Row],[TOTAL COBERTURA]]</f>
        <v>607672</v>
      </c>
      <c r="AN509" s="35">
        <f>VLOOKUP(Tabla44[[#This Row],[SERVICIO 2025]],$J$2:$V$15,6,0)*Tabla44[[#This Row],[TOTAL COBERTURA]]</f>
        <v>491933</v>
      </c>
      <c r="AO509" s="35">
        <f>VLOOKUP(Tabla44[[#This Row],[SERVICIO 2025]],$J$2:$V$15,8,0)*Tabla44[[#This Row],[TOTAL COBERTURA]]</f>
        <v>0</v>
      </c>
      <c r="AP509" s="35">
        <f>VLOOKUP(Tabla44[[#This Row],[SERVICIO 2025]],$J$2:$V$15,3,0)*Tabla44[[#This Row],[TOTAL COBERTURA]]*8</f>
        <v>18651360</v>
      </c>
      <c r="AQ509" s="35"/>
      <c r="AR509" s="35">
        <f>SUM(Tabla44[[#This Row],[VALOR FASE PREPARATORIA DE ALISTAMIENTO]:[VALOR RACION PREPARADA]])</f>
        <v>19750965</v>
      </c>
      <c r="AS509" s="35" t="str">
        <f>+IF(Tabla44[[#This Row],[AGRUPACIONES]]=1,SUMIFS(Tabla44[VALOR TOTAL],Tabla44[ZONA DEFINITIVO],Tabla44[[#This Row],[ZONA DEFINITIVO]])," ")</f>
        <v xml:space="preserve"> </v>
      </c>
      <c r="AT509" s="35">
        <f>VLOOKUP(Tabla44[[#This Row],[SERVICIO 2025]],$J$2:$V$15,10,0)*Tabla44[[#This Row],[TOTAL COBERTURA]]*$X$7</f>
        <v>19585384</v>
      </c>
      <c r="AU509" s="39">
        <f>Tabla44[[#This Row],[TOTAL CONTRATO (ICBF+EAS)]]+Tabla44[[#This Row],[VALOR COMPONENTE ALIMENTACION NO ASIGNADO]]</f>
        <v>39336349</v>
      </c>
      <c r="AV50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5387265</v>
      </c>
      <c r="AW509" s="35">
        <f>(VLOOKUP(Tabla44[[#This Row],[SERVICIO 2025]],$J$2:$V$15,3,0)*Tabla44[[#This Row],[TOTAL COBERTURA]])+VLOOKUP(Tabla44[[#This Row],[SERVICIO 2025]],$J$2:$V$15,10,0)*Tabla44[[#This Row],[TOTAL COBERTURA]]</f>
        <v>4779593</v>
      </c>
      <c r="AX509" s="35">
        <f>(VLOOKUP(Tabla44[[#This Row],[SERVICIO 2025]],$J$2:$V$15,3,0)*Tabla44[[#This Row],[TOTAL COBERTURA]])+VLOOKUP(Tabla44[[#This Row],[SERVICIO 2025]],$J$2:$V$15,10,0)*Tabla44[[#This Row],[TOTAL COBERTURA]]</f>
        <v>4779593</v>
      </c>
      <c r="AY509" s="35">
        <f>(VLOOKUP(Tabla44[[#This Row],[SERVICIO 2025]],$J$2:$V$15,3,0)*Tabla44[[#This Row],[TOTAL COBERTURA]])+VLOOKUP(Tabla44[[#This Row],[SERVICIO 2025]],$J$2:$V$15,10,0)*Tabla44[[#This Row],[TOTAL COBERTURA]]</f>
        <v>4779593</v>
      </c>
      <c r="AZ509" s="35">
        <f>(VLOOKUP(Tabla44[[#This Row],[SERVICIO 2025]],$J$2:$V$15,3,0)*Tabla44[[#This Row],[TOTAL COBERTURA]])+VLOOKUP(Tabla44[[#This Row],[SERVICIO 2025]],$J$2:$V$15,10,0)*Tabla44[[#This Row],[TOTAL COBERTURA]]</f>
        <v>4779593</v>
      </c>
      <c r="BA509" s="35">
        <f>(VLOOKUP(Tabla44[[#This Row],[SERVICIO 2025]],$J$2:$V$15,3,0)*Tabla44[[#This Row],[TOTAL COBERTURA]])+VLOOKUP(Tabla44[[#This Row],[SERVICIO 2025]],$J$2:$V$15,10,0)*Tabla44[[#This Row],[TOTAL COBERTURA]]</f>
        <v>4779593</v>
      </c>
      <c r="BB509" s="35">
        <f>(VLOOKUP(Tabla44[[#This Row],[SERVICIO 2025]],$J$2:$V$15,3,0)*Tabla44[[#This Row],[TOTAL COBERTURA]])+VLOOKUP(Tabla44[[#This Row],[SERVICIO 2025]],$J$2:$V$15,10,0)*Tabla44[[#This Row],[TOTAL COBERTURA]]</f>
        <v>4779593</v>
      </c>
      <c r="BC50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5271526</v>
      </c>
      <c r="BD509" s="35">
        <f>SUM(Tabla44[[#This Row],[DESEMBOLSO 1]:[DESEMBOLSO 8]])</f>
        <v>39336349</v>
      </c>
      <c r="BE509" s="12" t="b">
        <f>EXACT(Tabla44[[#This Row],[VALOR ATENCIÓN (8 MESES)]],Tabla44[[#This Row],[VALOR TOTAL]])</f>
        <v>1</v>
      </c>
      <c r="BF509" s="23">
        <f>Tabla44[[#This Row],[VALOR ATENCIÓN (8 MESES)]]-Tabla44[[#This Row],[VALOR TOTAL]]</f>
        <v>0</v>
      </c>
      <c r="BG509" s="12" t="b">
        <f>EXACT(Tabla44[[#This Row],[TOTAL DESEMBOLSOS]],Tabla44[[#This Row],[VALOR TOTAL DEL CONTRATO INCLUIDO EL COMPONENTE DE ALIMENTACIÓN]])</f>
        <v>1</v>
      </c>
      <c r="BH509" s="29">
        <f>Tabla44[[#This Row],[TOTAL DESEMBOLSOS]]-Tabla44[[#This Row],[VALOR TOTAL DEL CONTRATO INCLUIDO EL COMPONENTE DE ALIMENTACIÓN]]</f>
        <v>0</v>
      </c>
      <c r="BI509" t="s">
        <v>98</v>
      </c>
    </row>
    <row r="510" spans="1:61">
      <c r="A510" s="13">
        <v>2023</v>
      </c>
      <c r="B510" s="13"/>
      <c r="C510" s="12" t="s">
        <v>87</v>
      </c>
      <c r="D510" s="12" t="s">
        <v>673</v>
      </c>
      <c r="E510" s="12" t="s">
        <v>3764</v>
      </c>
      <c r="F510" s="12" t="s">
        <v>21</v>
      </c>
      <c r="G510" s="12" t="s">
        <v>90</v>
      </c>
      <c r="H510" s="12" t="s">
        <v>3417</v>
      </c>
      <c r="I510" s="36">
        <v>58901134970</v>
      </c>
      <c r="J510" s="12" t="s">
        <v>3789</v>
      </c>
      <c r="K510" s="12">
        <v>1</v>
      </c>
      <c r="L510" s="12">
        <v>14</v>
      </c>
      <c r="M510" s="12"/>
      <c r="N510" s="13">
        <v>2023</v>
      </c>
      <c r="O510" s="12" t="s">
        <v>2850</v>
      </c>
      <c r="P510" s="12"/>
      <c r="Q510" s="12"/>
      <c r="R510" s="12" t="s">
        <v>94</v>
      </c>
      <c r="S510" s="12">
        <v>10</v>
      </c>
      <c r="T510" s="12">
        <v>830508092</v>
      </c>
      <c r="U510" s="12" t="s">
        <v>584</v>
      </c>
      <c r="V510" s="12">
        <f>VLOOKUP(Tabla44[[#This Row],[ZONA DEFINITIVO]],[1]Hoja1!$A$1:$D$125,3,0)</f>
        <v>229947</v>
      </c>
      <c r="W510" s="12">
        <f>VLOOKUP(Tabla44[[#This Row],[ZONA DEFINITIVO]],[1]Hoja1!$A$1:$D$125,2,0)</f>
        <v>17263</v>
      </c>
      <c r="X510" s="12">
        <f>VLOOKUP(Tabla44[[#This Row],[ZONA DEFINITIVO]],[1]Hoja1!$A$1:$D$125,4,0)</f>
        <v>104925</v>
      </c>
      <c r="Y510" s="12" t="str">
        <f>+IF(Tabla44[[#This Row],[AGRUPACIONES]]=1,SUMIFS(Tabla44[UDS],Tabla44[ZONA DEFINITIVO],Tabla44[[#This Row],[ZONA DEFINITIVO]])," ")</f>
        <v xml:space="preserve"> </v>
      </c>
      <c r="Z510" s="12" t="str">
        <f>+IF(Tabla44[[#This Row],[AGRUPACIONES]]=1,SUMIFS(Tabla44[TOTAL COBERTURA],Tabla44[ZONA DEFINITIVO],Tabla44[[#This Row],[ZONA DEFINITIVO]])," ")</f>
        <v xml:space="preserve"> </v>
      </c>
      <c r="AA510" s="12"/>
      <c r="AB510" s="35">
        <v>21270270</v>
      </c>
      <c r="AC510" s="37">
        <v>0</v>
      </c>
      <c r="AD510" s="35">
        <f t="shared" si="8"/>
        <v>0</v>
      </c>
      <c r="AE510" s="12"/>
      <c r="AF510" s="12">
        <f>COUNTIF($A$20:A510,A510)</f>
        <v>14</v>
      </c>
      <c r="AG510" s="38">
        <v>21270270</v>
      </c>
      <c r="AH510" s="38">
        <f>Tabla44[[#This Row],[VALOR CONTRAPARTIDA]]+Tabla44[[#This Row],[TOTAL APORTES ICBF]]</f>
        <v>21270270</v>
      </c>
      <c r="AI510" s="35" t="str">
        <f>+IF(Tabla44[[#This Row],[AGRUPACIONES]]=1,SUMIFS(Tabla44[TOTAL APORTES ICBF],Tabla44[ZONA DEFINITIVO],Tabla44[[#This Row],[ZONA DEFINITIVO]])," ")</f>
        <v xml:space="preserve"> </v>
      </c>
      <c r="AJ510" s="38"/>
      <c r="AK510" s="38"/>
      <c r="AL510" s="35"/>
      <c r="AM510" s="35">
        <f>VLOOKUP(Tabla44[[#This Row],[SERVICIO 2025]],$J$2:$V$15,5,0)*Tabla44[[#This Row],[TOTAL COBERTURA]]</f>
        <v>654416</v>
      </c>
      <c r="AN510" s="35">
        <f>VLOOKUP(Tabla44[[#This Row],[SERVICIO 2025]],$J$2:$V$15,6,0)*Tabla44[[#This Row],[TOTAL COBERTURA]]</f>
        <v>529774</v>
      </c>
      <c r="AO510" s="35">
        <f>VLOOKUP(Tabla44[[#This Row],[SERVICIO 2025]],$J$2:$V$15,8,0)*Tabla44[[#This Row],[TOTAL COBERTURA]]</f>
        <v>0</v>
      </c>
      <c r="AP510" s="35">
        <f>VLOOKUP(Tabla44[[#This Row],[SERVICIO 2025]],$J$2:$V$15,3,0)*Tabla44[[#This Row],[TOTAL COBERTURA]]*8</f>
        <v>20086080</v>
      </c>
      <c r="AQ510" s="35"/>
      <c r="AR510" s="35">
        <f>SUM(Tabla44[[#This Row],[VALOR FASE PREPARATORIA DE ALISTAMIENTO]:[VALOR RACION PREPARADA]])</f>
        <v>21270270</v>
      </c>
      <c r="AS510" s="35" t="str">
        <f>+IF(Tabla44[[#This Row],[AGRUPACIONES]]=1,SUMIFS(Tabla44[VALOR TOTAL],Tabla44[ZONA DEFINITIVO],Tabla44[[#This Row],[ZONA DEFINITIVO]])," ")</f>
        <v xml:space="preserve"> </v>
      </c>
      <c r="AT510" s="35">
        <f>VLOOKUP(Tabla44[[#This Row],[SERVICIO 2025]],$J$2:$V$15,10,0)*Tabla44[[#This Row],[TOTAL COBERTURA]]*$X$7</f>
        <v>21091952</v>
      </c>
      <c r="AU510" s="39">
        <f>Tabla44[[#This Row],[TOTAL CONTRATO (ICBF+EAS)]]+Tabla44[[#This Row],[VALOR COMPONENTE ALIMENTACION NO ASIGNADO]]</f>
        <v>42362222</v>
      </c>
      <c r="AV51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5801670</v>
      </c>
      <c r="AW510" s="35">
        <f>(VLOOKUP(Tabla44[[#This Row],[SERVICIO 2025]],$J$2:$V$15,3,0)*Tabla44[[#This Row],[TOTAL COBERTURA]])+VLOOKUP(Tabla44[[#This Row],[SERVICIO 2025]],$J$2:$V$15,10,0)*Tabla44[[#This Row],[TOTAL COBERTURA]]</f>
        <v>5147254</v>
      </c>
      <c r="AX510" s="35">
        <f>(VLOOKUP(Tabla44[[#This Row],[SERVICIO 2025]],$J$2:$V$15,3,0)*Tabla44[[#This Row],[TOTAL COBERTURA]])+VLOOKUP(Tabla44[[#This Row],[SERVICIO 2025]],$J$2:$V$15,10,0)*Tabla44[[#This Row],[TOTAL COBERTURA]]</f>
        <v>5147254</v>
      </c>
      <c r="AY510" s="35">
        <f>(VLOOKUP(Tabla44[[#This Row],[SERVICIO 2025]],$J$2:$V$15,3,0)*Tabla44[[#This Row],[TOTAL COBERTURA]])+VLOOKUP(Tabla44[[#This Row],[SERVICIO 2025]],$J$2:$V$15,10,0)*Tabla44[[#This Row],[TOTAL COBERTURA]]</f>
        <v>5147254</v>
      </c>
      <c r="AZ510" s="35">
        <f>(VLOOKUP(Tabla44[[#This Row],[SERVICIO 2025]],$J$2:$V$15,3,0)*Tabla44[[#This Row],[TOTAL COBERTURA]])+VLOOKUP(Tabla44[[#This Row],[SERVICIO 2025]],$J$2:$V$15,10,0)*Tabla44[[#This Row],[TOTAL COBERTURA]]</f>
        <v>5147254</v>
      </c>
      <c r="BA510" s="35">
        <f>(VLOOKUP(Tabla44[[#This Row],[SERVICIO 2025]],$J$2:$V$15,3,0)*Tabla44[[#This Row],[TOTAL COBERTURA]])+VLOOKUP(Tabla44[[#This Row],[SERVICIO 2025]],$J$2:$V$15,10,0)*Tabla44[[#This Row],[TOTAL COBERTURA]]</f>
        <v>5147254</v>
      </c>
      <c r="BB510" s="35">
        <f>(VLOOKUP(Tabla44[[#This Row],[SERVICIO 2025]],$J$2:$V$15,3,0)*Tabla44[[#This Row],[TOTAL COBERTURA]])+VLOOKUP(Tabla44[[#This Row],[SERVICIO 2025]],$J$2:$V$15,10,0)*Tabla44[[#This Row],[TOTAL COBERTURA]]</f>
        <v>5147254</v>
      </c>
      <c r="BC51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5677028</v>
      </c>
      <c r="BD510" s="35">
        <f>SUM(Tabla44[[#This Row],[DESEMBOLSO 1]:[DESEMBOLSO 8]])</f>
        <v>42362222</v>
      </c>
      <c r="BE510" s="12" t="b">
        <f>EXACT(Tabla44[[#This Row],[VALOR ATENCIÓN (8 MESES)]],Tabla44[[#This Row],[VALOR TOTAL]])</f>
        <v>1</v>
      </c>
      <c r="BF510" s="23">
        <f>Tabla44[[#This Row],[VALOR ATENCIÓN (8 MESES)]]-Tabla44[[#This Row],[VALOR TOTAL]]</f>
        <v>0</v>
      </c>
      <c r="BG510" s="12" t="b">
        <f>EXACT(Tabla44[[#This Row],[TOTAL DESEMBOLSOS]],Tabla44[[#This Row],[VALOR TOTAL DEL CONTRATO INCLUIDO EL COMPONENTE DE ALIMENTACIÓN]])</f>
        <v>1</v>
      </c>
      <c r="BH510" s="29">
        <f>Tabla44[[#This Row],[TOTAL DESEMBOLSOS]]-Tabla44[[#This Row],[VALOR TOTAL DEL CONTRATO INCLUIDO EL COMPONENTE DE ALIMENTACIÓN]]</f>
        <v>0</v>
      </c>
      <c r="BI510" t="s">
        <v>98</v>
      </c>
    </row>
    <row r="511" spans="1:61">
      <c r="A511" s="13">
        <v>2023</v>
      </c>
      <c r="B511" s="13"/>
      <c r="C511" s="12" t="s">
        <v>87</v>
      </c>
      <c r="D511" s="12" t="s">
        <v>673</v>
      </c>
      <c r="E511" s="12" t="s">
        <v>3764</v>
      </c>
      <c r="F511" s="12" t="s">
        <v>21</v>
      </c>
      <c r="G511" s="12" t="s">
        <v>90</v>
      </c>
      <c r="H511" s="12" t="s">
        <v>1653</v>
      </c>
      <c r="I511" s="36">
        <v>58901134983</v>
      </c>
      <c r="J511" s="12" t="s">
        <v>3790</v>
      </c>
      <c r="K511" s="12">
        <v>1</v>
      </c>
      <c r="L511" s="12">
        <v>11</v>
      </c>
      <c r="M511" s="12"/>
      <c r="N511" s="13">
        <v>2023</v>
      </c>
      <c r="O511" s="12" t="s">
        <v>2850</v>
      </c>
      <c r="P511" s="12"/>
      <c r="Q511" s="12"/>
      <c r="R511" s="12" t="s">
        <v>94</v>
      </c>
      <c r="S511" s="12">
        <v>10</v>
      </c>
      <c r="T511" s="12">
        <v>830508092</v>
      </c>
      <c r="U511" s="12" t="s">
        <v>584</v>
      </c>
      <c r="V511" s="12">
        <f>VLOOKUP(Tabla44[[#This Row],[ZONA DEFINITIVO]],[1]Hoja1!$A$1:$D$125,3,0)</f>
        <v>229947</v>
      </c>
      <c r="W511" s="12">
        <f>VLOOKUP(Tabla44[[#This Row],[ZONA DEFINITIVO]],[1]Hoja1!$A$1:$D$125,2,0)</f>
        <v>17263</v>
      </c>
      <c r="X511" s="12">
        <f>VLOOKUP(Tabla44[[#This Row],[ZONA DEFINITIVO]],[1]Hoja1!$A$1:$D$125,4,0)</f>
        <v>104925</v>
      </c>
      <c r="Y511" s="12" t="str">
        <f>+IF(Tabla44[[#This Row],[AGRUPACIONES]]=1,SUMIFS(Tabla44[UDS],Tabla44[ZONA DEFINITIVO],Tabla44[[#This Row],[ZONA DEFINITIVO]])," ")</f>
        <v xml:space="preserve"> </v>
      </c>
      <c r="Z511" s="12" t="str">
        <f>+IF(Tabla44[[#This Row],[AGRUPACIONES]]=1,SUMIFS(Tabla44[TOTAL COBERTURA],Tabla44[ZONA DEFINITIVO],Tabla44[[#This Row],[ZONA DEFINITIVO]])," ")</f>
        <v xml:space="preserve"> </v>
      </c>
      <c r="AA511" s="12"/>
      <c r="AB511" s="35">
        <v>16712355</v>
      </c>
      <c r="AC511" s="37">
        <v>0</v>
      </c>
      <c r="AD511" s="35">
        <f t="shared" si="8"/>
        <v>0</v>
      </c>
      <c r="AE511" s="12"/>
      <c r="AF511" s="12">
        <f>COUNTIF($A$20:A511,A511)</f>
        <v>15</v>
      </c>
      <c r="AG511" s="38">
        <v>16712355</v>
      </c>
      <c r="AH511" s="38">
        <f>Tabla44[[#This Row],[VALOR CONTRAPARTIDA]]+Tabla44[[#This Row],[TOTAL APORTES ICBF]]</f>
        <v>16712355</v>
      </c>
      <c r="AI511" s="35" t="str">
        <f>+IF(Tabla44[[#This Row],[AGRUPACIONES]]=1,SUMIFS(Tabla44[TOTAL APORTES ICBF],Tabla44[ZONA DEFINITIVO],Tabla44[[#This Row],[ZONA DEFINITIVO]])," ")</f>
        <v xml:space="preserve"> </v>
      </c>
      <c r="AJ511" s="38"/>
      <c r="AK511" s="38"/>
      <c r="AL511" s="35"/>
      <c r="AM511" s="35">
        <f>VLOOKUP(Tabla44[[#This Row],[SERVICIO 2025]],$J$2:$V$15,5,0)*Tabla44[[#This Row],[TOTAL COBERTURA]]</f>
        <v>514184</v>
      </c>
      <c r="AN511" s="35">
        <f>VLOOKUP(Tabla44[[#This Row],[SERVICIO 2025]],$J$2:$V$15,6,0)*Tabla44[[#This Row],[TOTAL COBERTURA]]</f>
        <v>416251</v>
      </c>
      <c r="AO511" s="35">
        <f>VLOOKUP(Tabla44[[#This Row],[SERVICIO 2025]],$J$2:$V$15,8,0)*Tabla44[[#This Row],[TOTAL COBERTURA]]</f>
        <v>0</v>
      </c>
      <c r="AP511" s="35">
        <f>VLOOKUP(Tabla44[[#This Row],[SERVICIO 2025]],$J$2:$V$15,3,0)*Tabla44[[#This Row],[TOTAL COBERTURA]]*8</f>
        <v>15781920</v>
      </c>
      <c r="AQ511" s="35"/>
      <c r="AR511" s="35">
        <f>SUM(Tabla44[[#This Row],[VALOR FASE PREPARATORIA DE ALISTAMIENTO]:[VALOR RACION PREPARADA]])</f>
        <v>16712355</v>
      </c>
      <c r="AS511" s="35" t="str">
        <f>+IF(Tabla44[[#This Row],[AGRUPACIONES]]=1,SUMIFS(Tabla44[VALOR TOTAL],Tabla44[ZONA DEFINITIVO],Tabla44[[#This Row],[ZONA DEFINITIVO]])," ")</f>
        <v xml:space="preserve"> </v>
      </c>
      <c r="AT511" s="35">
        <f>VLOOKUP(Tabla44[[#This Row],[SERVICIO 2025]],$J$2:$V$15,10,0)*Tabla44[[#This Row],[TOTAL COBERTURA]]*$X$7</f>
        <v>16572248</v>
      </c>
      <c r="AU511" s="39">
        <f>Tabla44[[#This Row],[TOTAL CONTRATO (ICBF+EAS)]]+Tabla44[[#This Row],[VALOR COMPONENTE ALIMENTACION NO ASIGNADO]]</f>
        <v>33284603</v>
      </c>
      <c r="AV51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511" s="35">
        <f>(VLOOKUP(Tabla44[[#This Row],[SERVICIO 2025]],$J$2:$V$15,3,0)*Tabla44[[#This Row],[TOTAL COBERTURA]])+VLOOKUP(Tabla44[[#This Row],[SERVICIO 2025]],$J$2:$V$15,10,0)*Tabla44[[#This Row],[TOTAL COBERTURA]]</f>
        <v>4044271</v>
      </c>
      <c r="AX511" s="35">
        <f>(VLOOKUP(Tabla44[[#This Row],[SERVICIO 2025]],$J$2:$V$15,3,0)*Tabla44[[#This Row],[TOTAL COBERTURA]])+VLOOKUP(Tabla44[[#This Row],[SERVICIO 2025]],$J$2:$V$15,10,0)*Tabla44[[#This Row],[TOTAL COBERTURA]]</f>
        <v>4044271</v>
      </c>
      <c r="AY511" s="35">
        <f>(VLOOKUP(Tabla44[[#This Row],[SERVICIO 2025]],$J$2:$V$15,3,0)*Tabla44[[#This Row],[TOTAL COBERTURA]])+VLOOKUP(Tabla44[[#This Row],[SERVICIO 2025]],$J$2:$V$15,10,0)*Tabla44[[#This Row],[TOTAL COBERTURA]]</f>
        <v>4044271</v>
      </c>
      <c r="AZ511" s="35">
        <f>(VLOOKUP(Tabla44[[#This Row],[SERVICIO 2025]],$J$2:$V$15,3,0)*Tabla44[[#This Row],[TOTAL COBERTURA]])+VLOOKUP(Tabla44[[#This Row],[SERVICIO 2025]],$J$2:$V$15,10,0)*Tabla44[[#This Row],[TOTAL COBERTURA]]</f>
        <v>4044271</v>
      </c>
      <c r="BA511" s="35">
        <f>(VLOOKUP(Tabla44[[#This Row],[SERVICIO 2025]],$J$2:$V$15,3,0)*Tabla44[[#This Row],[TOTAL COBERTURA]])+VLOOKUP(Tabla44[[#This Row],[SERVICIO 2025]],$J$2:$V$15,10,0)*Tabla44[[#This Row],[TOTAL COBERTURA]]</f>
        <v>4044271</v>
      </c>
      <c r="BB511" s="35">
        <f>(VLOOKUP(Tabla44[[#This Row],[SERVICIO 2025]],$J$2:$V$15,3,0)*Tabla44[[#This Row],[TOTAL COBERTURA]])+VLOOKUP(Tabla44[[#This Row],[SERVICIO 2025]],$J$2:$V$15,10,0)*Tabla44[[#This Row],[TOTAL COBERTURA]]</f>
        <v>4044271</v>
      </c>
      <c r="BC51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511" s="35">
        <f>SUM(Tabla44[[#This Row],[DESEMBOLSO 1]:[DESEMBOLSO 8]])</f>
        <v>33284603</v>
      </c>
      <c r="BE511" s="12" t="b">
        <f>EXACT(Tabla44[[#This Row],[VALOR ATENCIÓN (8 MESES)]],Tabla44[[#This Row],[VALOR TOTAL]])</f>
        <v>1</v>
      </c>
      <c r="BF511" s="23">
        <f>Tabla44[[#This Row],[VALOR ATENCIÓN (8 MESES)]]-Tabla44[[#This Row],[VALOR TOTAL]]</f>
        <v>0</v>
      </c>
      <c r="BG511" s="12" t="b">
        <f>EXACT(Tabla44[[#This Row],[TOTAL DESEMBOLSOS]],Tabla44[[#This Row],[VALOR TOTAL DEL CONTRATO INCLUIDO EL COMPONENTE DE ALIMENTACIÓN]])</f>
        <v>1</v>
      </c>
      <c r="BH511" s="29">
        <f>Tabla44[[#This Row],[TOTAL DESEMBOLSOS]]-Tabla44[[#This Row],[VALOR TOTAL DEL CONTRATO INCLUIDO EL COMPONENTE DE ALIMENTACIÓN]]</f>
        <v>0</v>
      </c>
      <c r="BI511" t="s">
        <v>98</v>
      </c>
    </row>
    <row r="512" spans="1:61">
      <c r="A512" s="13">
        <v>2023</v>
      </c>
      <c r="B512" s="13"/>
      <c r="C512" s="12" t="s">
        <v>87</v>
      </c>
      <c r="D512" s="12" t="s">
        <v>673</v>
      </c>
      <c r="E512" s="12" t="s">
        <v>3764</v>
      </c>
      <c r="F512" s="12" t="s">
        <v>21</v>
      </c>
      <c r="G512" s="12" t="s">
        <v>90</v>
      </c>
      <c r="H512" s="12" t="s">
        <v>955</v>
      </c>
      <c r="I512" s="36">
        <v>58901134988</v>
      </c>
      <c r="J512" s="12" t="s">
        <v>3791</v>
      </c>
      <c r="K512" s="12">
        <v>1</v>
      </c>
      <c r="L512" s="12">
        <v>5</v>
      </c>
      <c r="M512" s="12"/>
      <c r="N512" s="13">
        <v>2023</v>
      </c>
      <c r="O512" s="12" t="s">
        <v>2850</v>
      </c>
      <c r="P512" s="12"/>
      <c r="Q512" s="12"/>
      <c r="R512" s="12" t="s">
        <v>94</v>
      </c>
      <c r="S512" s="12">
        <v>10</v>
      </c>
      <c r="T512" s="12">
        <v>830508092</v>
      </c>
      <c r="U512" s="12" t="s">
        <v>584</v>
      </c>
      <c r="V512" s="12">
        <f>VLOOKUP(Tabla44[[#This Row],[ZONA DEFINITIVO]],[1]Hoja1!$A$1:$D$125,3,0)</f>
        <v>229947</v>
      </c>
      <c r="W512" s="12">
        <f>VLOOKUP(Tabla44[[#This Row],[ZONA DEFINITIVO]],[1]Hoja1!$A$1:$D$125,2,0)</f>
        <v>17263</v>
      </c>
      <c r="X512" s="12">
        <f>VLOOKUP(Tabla44[[#This Row],[ZONA DEFINITIVO]],[1]Hoja1!$A$1:$D$125,4,0)</f>
        <v>104925</v>
      </c>
      <c r="Y512" s="12" t="str">
        <f>+IF(Tabla44[[#This Row],[AGRUPACIONES]]=1,SUMIFS(Tabla44[UDS],Tabla44[ZONA DEFINITIVO],Tabla44[[#This Row],[ZONA DEFINITIVO]])," ")</f>
        <v xml:space="preserve"> </v>
      </c>
      <c r="Z512" s="12" t="str">
        <f>+IF(Tabla44[[#This Row],[AGRUPACIONES]]=1,SUMIFS(Tabla44[TOTAL COBERTURA],Tabla44[ZONA DEFINITIVO],Tabla44[[#This Row],[ZONA DEFINITIVO]])," ")</f>
        <v xml:space="preserve"> </v>
      </c>
      <c r="AA512" s="12"/>
      <c r="AB512" s="35">
        <v>7596525</v>
      </c>
      <c r="AC512" s="37">
        <v>0</v>
      </c>
      <c r="AD512" s="35">
        <f t="shared" si="8"/>
        <v>0</v>
      </c>
      <c r="AE512" s="12"/>
      <c r="AF512" s="12">
        <f>COUNTIF($A$20:A512,A512)</f>
        <v>16</v>
      </c>
      <c r="AG512" s="38">
        <v>7596525</v>
      </c>
      <c r="AH512" s="38">
        <f>Tabla44[[#This Row],[VALOR CONTRAPARTIDA]]+Tabla44[[#This Row],[TOTAL APORTES ICBF]]</f>
        <v>7596525</v>
      </c>
      <c r="AI512" s="35" t="str">
        <f>+IF(Tabla44[[#This Row],[AGRUPACIONES]]=1,SUMIFS(Tabla44[TOTAL APORTES ICBF],Tabla44[ZONA DEFINITIVO],Tabla44[[#This Row],[ZONA DEFINITIVO]])," ")</f>
        <v xml:space="preserve"> </v>
      </c>
      <c r="AJ512" s="38"/>
      <c r="AK512" s="38"/>
      <c r="AL512" s="35"/>
      <c r="AM512" s="35">
        <f>VLOOKUP(Tabla44[[#This Row],[SERVICIO 2025]],$J$2:$V$15,5,0)*Tabla44[[#This Row],[TOTAL COBERTURA]]</f>
        <v>233720</v>
      </c>
      <c r="AN512" s="35">
        <f>VLOOKUP(Tabla44[[#This Row],[SERVICIO 2025]],$J$2:$V$15,6,0)*Tabla44[[#This Row],[TOTAL COBERTURA]]</f>
        <v>189205</v>
      </c>
      <c r="AO512" s="35">
        <f>VLOOKUP(Tabla44[[#This Row],[SERVICIO 2025]],$J$2:$V$15,8,0)*Tabla44[[#This Row],[TOTAL COBERTURA]]</f>
        <v>0</v>
      </c>
      <c r="AP512" s="35">
        <f>VLOOKUP(Tabla44[[#This Row],[SERVICIO 2025]],$J$2:$V$15,3,0)*Tabla44[[#This Row],[TOTAL COBERTURA]]*8</f>
        <v>7173600</v>
      </c>
      <c r="AQ512" s="35"/>
      <c r="AR512" s="35">
        <f>SUM(Tabla44[[#This Row],[VALOR FASE PREPARATORIA DE ALISTAMIENTO]:[VALOR RACION PREPARADA]])</f>
        <v>7596525</v>
      </c>
      <c r="AS512" s="35" t="str">
        <f>+IF(Tabla44[[#This Row],[AGRUPACIONES]]=1,SUMIFS(Tabla44[VALOR TOTAL],Tabla44[ZONA DEFINITIVO],Tabla44[[#This Row],[ZONA DEFINITIVO]])," ")</f>
        <v xml:space="preserve"> </v>
      </c>
      <c r="AT512" s="35">
        <f>VLOOKUP(Tabla44[[#This Row],[SERVICIO 2025]],$J$2:$V$15,10,0)*Tabla44[[#This Row],[TOTAL COBERTURA]]*$X$7</f>
        <v>7532840</v>
      </c>
      <c r="AU512" s="39">
        <f>Tabla44[[#This Row],[TOTAL CONTRATO (ICBF+EAS)]]+Tabla44[[#This Row],[VALOR COMPONENTE ALIMENTACION NO ASIGNADO]]</f>
        <v>15129365</v>
      </c>
      <c r="AV51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</v>
      </c>
      <c r="AW512" s="35">
        <f>(VLOOKUP(Tabla44[[#This Row],[SERVICIO 2025]],$J$2:$V$15,3,0)*Tabla44[[#This Row],[TOTAL COBERTURA]])+VLOOKUP(Tabla44[[#This Row],[SERVICIO 2025]],$J$2:$V$15,10,0)*Tabla44[[#This Row],[TOTAL COBERTURA]]</f>
        <v>1838305</v>
      </c>
      <c r="AX512" s="35">
        <f>(VLOOKUP(Tabla44[[#This Row],[SERVICIO 2025]],$J$2:$V$15,3,0)*Tabla44[[#This Row],[TOTAL COBERTURA]])+VLOOKUP(Tabla44[[#This Row],[SERVICIO 2025]],$J$2:$V$15,10,0)*Tabla44[[#This Row],[TOTAL COBERTURA]]</f>
        <v>1838305</v>
      </c>
      <c r="AY512" s="35">
        <f>(VLOOKUP(Tabla44[[#This Row],[SERVICIO 2025]],$J$2:$V$15,3,0)*Tabla44[[#This Row],[TOTAL COBERTURA]])+VLOOKUP(Tabla44[[#This Row],[SERVICIO 2025]],$J$2:$V$15,10,0)*Tabla44[[#This Row],[TOTAL COBERTURA]]</f>
        <v>1838305</v>
      </c>
      <c r="AZ512" s="35">
        <f>(VLOOKUP(Tabla44[[#This Row],[SERVICIO 2025]],$J$2:$V$15,3,0)*Tabla44[[#This Row],[TOTAL COBERTURA]])+VLOOKUP(Tabla44[[#This Row],[SERVICIO 2025]],$J$2:$V$15,10,0)*Tabla44[[#This Row],[TOTAL COBERTURA]]</f>
        <v>1838305</v>
      </c>
      <c r="BA512" s="35">
        <f>(VLOOKUP(Tabla44[[#This Row],[SERVICIO 2025]],$J$2:$V$15,3,0)*Tabla44[[#This Row],[TOTAL COBERTURA]])+VLOOKUP(Tabla44[[#This Row],[SERVICIO 2025]],$J$2:$V$15,10,0)*Tabla44[[#This Row],[TOTAL COBERTURA]]</f>
        <v>1838305</v>
      </c>
      <c r="BB512" s="35">
        <f>(VLOOKUP(Tabla44[[#This Row],[SERVICIO 2025]],$J$2:$V$15,3,0)*Tabla44[[#This Row],[TOTAL COBERTURA]])+VLOOKUP(Tabla44[[#This Row],[SERVICIO 2025]],$J$2:$V$15,10,0)*Tabla44[[#This Row],[TOTAL COBERTURA]]</f>
        <v>1838305</v>
      </c>
      <c r="BC51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</v>
      </c>
      <c r="BD512" s="35">
        <f>SUM(Tabla44[[#This Row],[DESEMBOLSO 1]:[DESEMBOLSO 8]])</f>
        <v>15129365</v>
      </c>
      <c r="BE512" s="12" t="b">
        <f>EXACT(Tabla44[[#This Row],[VALOR ATENCIÓN (8 MESES)]],Tabla44[[#This Row],[VALOR TOTAL]])</f>
        <v>1</v>
      </c>
      <c r="BF512" s="23">
        <f>Tabla44[[#This Row],[VALOR ATENCIÓN (8 MESES)]]-Tabla44[[#This Row],[VALOR TOTAL]]</f>
        <v>0</v>
      </c>
      <c r="BG512" s="12" t="b">
        <f>EXACT(Tabla44[[#This Row],[TOTAL DESEMBOLSOS]],Tabla44[[#This Row],[VALOR TOTAL DEL CONTRATO INCLUIDO EL COMPONENTE DE ALIMENTACIÓN]])</f>
        <v>1</v>
      </c>
      <c r="BH512" s="29">
        <f>Tabla44[[#This Row],[TOTAL DESEMBOLSOS]]-Tabla44[[#This Row],[VALOR TOTAL DEL CONTRATO INCLUIDO EL COMPONENTE DE ALIMENTACIÓN]]</f>
        <v>0</v>
      </c>
      <c r="BI512" t="s">
        <v>98</v>
      </c>
    </row>
    <row r="513" spans="1:61">
      <c r="A513" s="13">
        <v>2023</v>
      </c>
      <c r="B513" s="13"/>
      <c r="C513" s="12" t="s">
        <v>87</v>
      </c>
      <c r="D513" s="12" t="s">
        <v>673</v>
      </c>
      <c r="E513" s="12" t="s">
        <v>3764</v>
      </c>
      <c r="F513" s="12" t="s">
        <v>21</v>
      </c>
      <c r="G513" s="12" t="s">
        <v>90</v>
      </c>
      <c r="H513" s="12" t="s">
        <v>3792</v>
      </c>
      <c r="I513" s="36">
        <v>58901134992</v>
      </c>
      <c r="J513" s="12" t="s">
        <v>3793</v>
      </c>
      <c r="K513" s="12">
        <v>1</v>
      </c>
      <c r="L513" s="12">
        <v>12</v>
      </c>
      <c r="M513" s="12"/>
      <c r="N513" s="13">
        <v>2023</v>
      </c>
      <c r="O513" s="12" t="s">
        <v>2850</v>
      </c>
      <c r="P513" s="12"/>
      <c r="Q513" s="12"/>
      <c r="R513" s="12" t="s">
        <v>94</v>
      </c>
      <c r="S513" s="12">
        <v>10</v>
      </c>
      <c r="T513" s="12">
        <v>830508092</v>
      </c>
      <c r="U513" s="12" t="s">
        <v>584</v>
      </c>
      <c r="V513" s="12">
        <f>VLOOKUP(Tabla44[[#This Row],[ZONA DEFINITIVO]],[1]Hoja1!$A$1:$D$125,3,0)</f>
        <v>229947</v>
      </c>
      <c r="W513" s="12">
        <f>VLOOKUP(Tabla44[[#This Row],[ZONA DEFINITIVO]],[1]Hoja1!$A$1:$D$125,2,0)</f>
        <v>17263</v>
      </c>
      <c r="X513" s="12">
        <f>VLOOKUP(Tabla44[[#This Row],[ZONA DEFINITIVO]],[1]Hoja1!$A$1:$D$125,4,0)</f>
        <v>104925</v>
      </c>
      <c r="Y513" s="12" t="str">
        <f>+IF(Tabla44[[#This Row],[AGRUPACIONES]]=1,SUMIFS(Tabla44[UDS],Tabla44[ZONA DEFINITIVO],Tabla44[[#This Row],[ZONA DEFINITIVO]])," ")</f>
        <v xml:space="preserve"> </v>
      </c>
      <c r="Z513" s="12" t="str">
        <f>+IF(Tabla44[[#This Row],[AGRUPACIONES]]=1,SUMIFS(Tabla44[TOTAL COBERTURA],Tabla44[ZONA DEFINITIVO],Tabla44[[#This Row],[ZONA DEFINITIVO]])," ")</f>
        <v xml:space="preserve"> </v>
      </c>
      <c r="AA513" s="12"/>
      <c r="AB513" s="35">
        <v>18231660</v>
      </c>
      <c r="AC513" s="37">
        <v>0</v>
      </c>
      <c r="AD513" s="35">
        <f t="shared" si="8"/>
        <v>0</v>
      </c>
      <c r="AE513" s="12"/>
      <c r="AF513" s="12">
        <f>COUNTIF($A$20:A513,A513)</f>
        <v>17</v>
      </c>
      <c r="AG513" s="38">
        <v>18231660</v>
      </c>
      <c r="AH513" s="38">
        <f>Tabla44[[#This Row],[VALOR CONTRAPARTIDA]]+Tabla44[[#This Row],[TOTAL APORTES ICBF]]</f>
        <v>18231660</v>
      </c>
      <c r="AI513" s="35" t="str">
        <f>+IF(Tabla44[[#This Row],[AGRUPACIONES]]=1,SUMIFS(Tabla44[TOTAL APORTES ICBF],Tabla44[ZONA DEFINITIVO],Tabla44[[#This Row],[ZONA DEFINITIVO]])," ")</f>
        <v xml:space="preserve"> </v>
      </c>
      <c r="AJ513" s="38"/>
      <c r="AK513" s="38"/>
      <c r="AL513" s="35"/>
      <c r="AM513" s="35">
        <f>VLOOKUP(Tabla44[[#This Row],[SERVICIO 2025]],$J$2:$V$15,5,0)*Tabla44[[#This Row],[TOTAL COBERTURA]]</f>
        <v>560928</v>
      </c>
      <c r="AN513" s="35">
        <f>VLOOKUP(Tabla44[[#This Row],[SERVICIO 2025]],$J$2:$V$15,6,0)*Tabla44[[#This Row],[TOTAL COBERTURA]]</f>
        <v>454092</v>
      </c>
      <c r="AO513" s="35">
        <f>VLOOKUP(Tabla44[[#This Row],[SERVICIO 2025]],$J$2:$V$15,8,0)*Tabla44[[#This Row],[TOTAL COBERTURA]]</f>
        <v>0</v>
      </c>
      <c r="AP513" s="35">
        <f>VLOOKUP(Tabla44[[#This Row],[SERVICIO 2025]],$J$2:$V$15,3,0)*Tabla44[[#This Row],[TOTAL COBERTURA]]*8</f>
        <v>17216640</v>
      </c>
      <c r="AQ513" s="35"/>
      <c r="AR513" s="35">
        <f>SUM(Tabla44[[#This Row],[VALOR FASE PREPARATORIA DE ALISTAMIENTO]:[VALOR RACION PREPARADA]])</f>
        <v>18231660</v>
      </c>
      <c r="AS513" s="35" t="str">
        <f>+IF(Tabla44[[#This Row],[AGRUPACIONES]]=1,SUMIFS(Tabla44[VALOR TOTAL],Tabla44[ZONA DEFINITIVO],Tabla44[[#This Row],[ZONA DEFINITIVO]])," ")</f>
        <v xml:space="preserve"> </v>
      </c>
      <c r="AT513" s="35">
        <f>VLOOKUP(Tabla44[[#This Row],[SERVICIO 2025]],$J$2:$V$15,10,0)*Tabla44[[#This Row],[TOTAL COBERTURA]]*$X$7</f>
        <v>18078816</v>
      </c>
      <c r="AU513" s="39">
        <f>Tabla44[[#This Row],[TOTAL CONTRATO (ICBF+EAS)]]+Tabla44[[#This Row],[VALOR COMPONENTE ALIMENTACION NO ASIGNADO]]</f>
        <v>36310476</v>
      </c>
      <c r="AV51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4972860</v>
      </c>
      <c r="AW513" s="35">
        <f>(VLOOKUP(Tabla44[[#This Row],[SERVICIO 2025]],$J$2:$V$15,3,0)*Tabla44[[#This Row],[TOTAL COBERTURA]])+VLOOKUP(Tabla44[[#This Row],[SERVICIO 2025]],$J$2:$V$15,10,0)*Tabla44[[#This Row],[TOTAL COBERTURA]]</f>
        <v>4411932</v>
      </c>
      <c r="AX513" s="35">
        <f>(VLOOKUP(Tabla44[[#This Row],[SERVICIO 2025]],$J$2:$V$15,3,0)*Tabla44[[#This Row],[TOTAL COBERTURA]])+VLOOKUP(Tabla44[[#This Row],[SERVICIO 2025]],$J$2:$V$15,10,0)*Tabla44[[#This Row],[TOTAL COBERTURA]]</f>
        <v>4411932</v>
      </c>
      <c r="AY513" s="35">
        <f>(VLOOKUP(Tabla44[[#This Row],[SERVICIO 2025]],$J$2:$V$15,3,0)*Tabla44[[#This Row],[TOTAL COBERTURA]])+VLOOKUP(Tabla44[[#This Row],[SERVICIO 2025]],$J$2:$V$15,10,0)*Tabla44[[#This Row],[TOTAL COBERTURA]]</f>
        <v>4411932</v>
      </c>
      <c r="AZ513" s="35">
        <f>(VLOOKUP(Tabla44[[#This Row],[SERVICIO 2025]],$J$2:$V$15,3,0)*Tabla44[[#This Row],[TOTAL COBERTURA]])+VLOOKUP(Tabla44[[#This Row],[SERVICIO 2025]],$J$2:$V$15,10,0)*Tabla44[[#This Row],[TOTAL COBERTURA]]</f>
        <v>4411932</v>
      </c>
      <c r="BA513" s="35">
        <f>(VLOOKUP(Tabla44[[#This Row],[SERVICIO 2025]],$J$2:$V$15,3,0)*Tabla44[[#This Row],[TOTAL COBERTURA]])+VLOOKUP(Tabla44[[#This Row],[SERVICIO 2025]],$J$2:$V$15,10,0)*Tabla44[[#This Row],[TOTAL COBERTURA]]</f>
        <v>4411932</v>
      </c>
      <c r="BB513" s="35">
        <f>(VLOOKUP(Tabla44[[#This Row],[SERVICIO 2025]],$J$2:$V$15,3,0)*Tabla44[[#This Row],[TOTAL COBERTURA]])+VLOOKUP(Tabla44[[#This Row],[SERVICIO 2025]],$J$2:$V$15,10,0)*Tabla44[[#This Row],[TOTAL COBERTURA]]</f>
        <v>4411932</v>
      </c>
      <c r="BC51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4866024</v>
      </c>
      <c r="BD513" s="35">
        <f>SUM(Tabla44[[#This Row],[DESEMBOLSO 1]:[DESEMBOLSO 8]])</f>
        <v>36310476</v>
      </c>
      <c r="BE513" s="12" t="b">
        <f>EXACT(Tabla44[[#This Row],[VALOR ATENCIÓN (8 MESES)]],Tabla44[[#This Row],[VALOR TOTAL]])</f>
        <v>1</v>
      </c>
      <c r="BF513" s="23">
        <f>Tabla44[[#This Row],[VALOR ATENCIÓN (8 MESES)]]-Tabla44[[#This Row],[VALOR TOTAL]]</f>
        <v>0</v>
      </c>
      <c r="BG513" s="12" t="b">
        <f>EXACT(Tabla44[[#This Row],[TOTAL DESEMBOLSOS]],Tabla44[[#This Row],[VALOR TOTAL DEL CONTRATO INCLUIDO EL COMPONENTE DE ALIMENTACIÓN]])</f>
        <v>1</v>
      </c>
      <c r="BH513" s="29">
        <f>Tabla44[[#This Row],[TOTAL DESEMBOLSOS]]-Tabla44[[#This Row],[VALOR TOTAL DEL CONTRATO INCLUIDO EL COMPONENTE DE ALIMENTACIÓN]]</f>
        <v>0</v>
      </c>
      <c r="BI513" t="s">
        <v>98</v>
      </c>
    </row>
    <row r="514" spans="1:61">
      <c r="A514" s="13">
        <v>2023</v>
      </c>
      <c r="B514" s="13"/>
      <c r="C514" s="12" t="s">
        <v>87</v>
      </c>
      <c r="D514" s="12" t="s">
        <v>673</v>
      </c>
      <c r="E514" s="12" t="s">
        <v>3764</v>
      </c>
      <c r="F514" s="12" t="s">
        <v>21</v>
      </c>
      <c r="G514" s="12" t="s">
        <v>90</v>
      </c>
      <c r="H514" s="12" t="s">
        <v>3794</v>
      </c>
      <c r="I514" s="36">
        <v>58901135002</v>
      </c>
      <c r="J514" s="12" t="s">
        <v>3795</v>
      </c>
      <c r="K514" s="12">
        <v>1</v>
      </c>
      <c r="L514" s="12">
        <v>8</v>
      </c>
      <c r="M514" s="12"/>
      <c r="N514" s="13">
        <v>2023</v>
      </c>
      <c r="O514" s="12" t="s">
        <v>2850</v>
      </c>
      <c r="P514" s="12"/>
      <c r="Q514" s="12"/>
      <c r="R514" s="12" t="s">
        <v>94</v>
      </c>
      <c r="S514" s="12">
        <v>10</v>
      </c>
      <c r="T514" s="12">
        <v>830508092</v>
      </c>
      <c r="U514" s="12" t="s">
        <v>584</v>
      </c>
      <c r="V514" s="12">
        <f>VLOOKUP(Tabla44[[#This Row],[ZONA DEFINITIVO]],[1]Hoja1!$A$1:$D$125,3,0)</f>
        <v>229947</v>
      </c>
      <c r="W514" s="12">
        <f>VLOOKUP(Tabla44[[#This Row],[ZONA DEFINITIVO]],[1]Hoja1!$A$1:$D$125,2,0)</f>
        <v>17263</v>
      </c>
      <c r="X514" s="12">
        <f>VLOOKUP(Tabla44[[#This Row],[ZONA DEFINITIVO]],[1]Hoja1!$A$1:$D$125,4,0)</f>
        <v>104925</v>
      </c>
      <c r="Y514" s="12" t="str">
        <f>+IF(Tabla44[[#This Row],[AGRUPACIONES]]=1,SUMIFS(Tabla44[UDS],Tabla44[ZONA DEFINITIVO],Tabla44[[#This Row],[ZONA DEFINITIVO]])," ")</f>
        <v xml:space="preserve"> </v>
      </c>
      <c r="Z514" s="12" t="str">
        <f>+IF(Tabla44[[#This Row],[AGRUPACIONES]]=1,SUMIFS(Tabla44[TOTAL COBERTURA],Tabla44[ZONA DEFINITIVO],Tabla44[[#This Row],[ZONA DEFINITIVO]])," ")</f>
        <v xml:space="preserve"> </v>
      </c>
      <c r="AA514" s="12"/>
      <c r="AB514" s="35">
        <v>12154440</v>
      </c>
      <c r="AC514" s="37">
        <v>0</v>
      </c>
      <c r="AD514" s="35">
        <f t="shared" si="8"/>
        <v>0</v>
      </c>
      <c r="AE514" s="12"/>
      <c r="AF514" s="12">
        <f>COUNTIF($A$20:A514,A514)</f>
        <v>18</v>
      </c>
      <c r="AG514" s="38">
        <v>12154440</v>
      </c>
      <c r="AH514" s="38">
        <f>Tabla44[[#This Row],[VALOR CONTRAPARTIDA]]+Tabla44[[#This Row],[TOTAL APORTES ICBF]]</f>
        <v>12154440</v>
      </c>
      <c r="AI514" s="35" t="str">
        <f>+IF(Tabla44[[#This Row],[AGRUPACIONES]]=1,SUMIFS(Tabla44[TOTAL APORTES ICBF],Tabla44[ZONA DEFINITIVO],Tabla44[[#This Row],[ZONA DEFINITIVO]])," ")</f>
        <v xml:space="preserve"> </v>
      </c>
      <c r="AJ514" s="38"/>
      <c r="AK514" s="38"/>
      <c r="AL514" s="35"/>
      <c r="AM514" s="35">
        <f>VLOOKUP(Tabla44[[#This Row],[SERVICIO 2025]],$J$2:$V$15,5,0)*Tabla44[[#This Row],[TOTAL COBERTURA]]</f>
        <v>373952</v>
      </c>
      <c r="AN514" s="35">
        <f>VLOOKUP(Tabla44[[#This Row],[SERVICIO 2025]],$J$2:$V$15,6,0)*Tabla44[[#This Row],[TOTAL COBERTURA]]</f>
        <v>302728</v>
      </c>
      <c r="AO514" s="35">
        <f>VLOOKUP(Tabla44[[#This Row],[SERVICIO 2025]],$J$2:$V$15,8,0)*Tabla44[[#This Row],[TOTAL COBERTURA]]</f>
        <v>0</v>
      </c>
      <c r="AP514" s="35">
        <f>VLOOKUP(Tabla44[[#This Row],[SERVICIO 2025]],$J$2:$V$15,3,0)*Tabla44[[#This Row],[TOTAL COBERTURA]]*8</f>
        <v>11477760</v>
      </c>
      <c r="AQ514" s="35"/>
      <c r="AR514" s="35">
        <f>SUM(Tabla44[[#This Row],[VALOR FASE PREPARATORIA DE ALISTAMIENTO]:[VALOR RACION PREPARADA]])</f>
        <v>12154440</v>
      </c>
      <c r="AS514" s="35" t="str">
        <f>+IF(Tabla44[[#This Row],[AGRUPACIONES]]=1,SUMIFS(Tabla44[VALOR TOTAL],Tabla44[ZONA DEFINITIVO],Tabla44[[#This Row],[ZONA DEFINITIVO]])," ")</f>
        <v xml:space="preserve"> </v>
      </c>
      <c r="AT514" s="35">
        <f>VLOOKUP(Tabla44[[#This Row],[SERVICIO 2025]],$J$2:$V$15,10,0)*Tabla44[[#This Row],[TOTAL COBERTURA]]*$X$7</f>
        <v>12052544</v>
      </c>
      <c r="AU514" s="39">
        <f>Tabla44[[#This Row],[TOTAL CONTRATO (ICBF+EAS)]]+Tabla44[[#This Row],[VALOR COMPONENTE ALIMENTACION NO ASIGNADO]]</f>
        <v>24206984</v>
      </c>
      <c r="AV51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3315240</v>
      </c>
      <c r="AW514" s="35">
        <f>(VLOOKUP(Tabla44[[#This Row],[SERVICIO 2025]],$J$2:$V$15,3,0)*Tabla44[[#This Row],[TOTAL COBERTURA]])+VLOOKUP(Tabla44[[#This Row],[SERVICIO 2025]],$J$2:$V$15,10,0)*Tabla44[[#This Row],[TOTAL COBERTURA]]</f>
        <v>2941288</v>
      </c>
      <c r="AX514" s="35">
        <f>(VLOOKUP(Tabla44[[#This Row],[SERVICIO 2025]],$J$2:$V$15,3,0)*Tabla44[[#This Row],[TOTAL COBERTURA]])+VLOOKUP(Tabla44[[#This Row],[SERVICIO 2025]],$J$2:$V$15,10,0)*Tabla44[[#This Row],[TOTAL COBERTURA]]</f>
        <v>2941288</v>
      </c>
      <c r="AY514" s="35">
        <f>(VLOOKUP(Tabla44[[#This Row],[SERVICIO 2025]],$J$2:$V$15,3,0)*Tabla44[[#This Row],[TOTAL COBERTURA]])+VLOOKUP(Tabla44[[#This Row],[SERVICIO 2025]],$J$2:$V$15,10,0)*Tabla44[[#This Row],[TOTAL COBERTURA]]</f>
        <v>2941288</v>
      </c>
      <c r="AZ514" s="35">
        <f>(VLOOKUP(Tabla44[[#This Row],[SERVICIO 2025]],$J$2:$V$15,3,0)*Tabla44[[#This Row],[TOTAL COBERTURA]])+VLOOKUP(Tabla44[[#This Row],[SERVICIO 2025]],$J$2:$V$15,10,0)*Tabla44[[#This Row],[TOTAL COBERTURA]]</f>
        <v>2941288</v>
      </c>
      <c r="BA514" s="35">
        <f>(VLOOKUP(Tabla44[[#This Row],[SERVICIO 2025]],$J$2:$V$15,3,0)*Tabla44[[#This Row],[TOTAL COBERTURA]])+VLOOKUP(Tabla44[[#This Row],[SERVICIO 2025]],$J$2:$V$15,10,0)*Tabla44[[#This Row],[TOTAL COBERTURA]]</f>
        <v>2941288</v>
      </c>
      <c r="BB514" s="35">
        <f>(VLOOKUP(Tabla44[[#This Row],[SERVICIO 2025]],$J$2:$V$15,3,0)*Tabla44[[#This Row],[TOTAL COBERTURA]])+VLOOKUP(Tabla44[[#This Row],[SERVICIO 2025]],$J$2:$V$15,10,0)*Tabla44[[#This Row],[TOTAL COBERTURA]]</f>
        <v>2941288</v>
      </c>
      <c r="BC51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3244016</v>
      </c>
      <c r="BD514" s="35">
        <f>SUM(Tabla44[[#This Row],[DESEMBOLSO 1]:[DESEMBOLSO 8]])</f>
        <v>24206984</v>
      </c>
      <c r="BE514" s="12" t="b">
        <f>EXACT(Tabla44[[#This Row],[VALOR ATENCIÓN (8 MESES)]],Tabla44[[#This Row],[VALOR TOTAL]])</f>
        <v>1</v>
      </c>
      <c r="BF514" s="23">
        <f>Tabla44[[#This Row],[VALOR ATENCIÓN (8 MESES)]]-Tabla44[[#This Row],[VALOR TOTAL]]</f>
        <v>0</v>
      </c>
      <c r="BG514" s="12" t="b">
        <f>EXACT(Tabla44[[#This Row],[TOTAL DESEMBOLSOS]],Tabla44[[#This Row],[VALOR TOTAL DEL CONTRATO INCLUIDO EL COMPONENTE DE ALIMENTACIÓN]])</f>
        <v>1</v>
      </c>
      <c r="BH514" s="29">
        <f>Tabla44[[#This Row],[TOTAL DESEMBOLSOS]]-Tabla44[[#This Row],[VALOR TOTAL DEL CONTRATO INCLUIDO EL COMPONENTE DE ALIMENTACIÓN]]</f>
        <v>0</v>
      </c>
      <c r="BI514" t="s">
        <v>98</v>
      </c>
    </row>
    <row r="515" spans="1:61">
      <c r="A515" s="13">
        <v>2023</v>
      </c>
      <c r="B515" s="13"/>
      <c r="C515" s="12" t="s">
        <v>87</v>
      </c>
      <c r="D515" s="12" t="s">
        <v>673</v>
      </c>
      <c r="E515" s="12" t="s">
        <v>3764</v>
      </c>
      <c r="F515" s="12" t="s">
        <v>21</v>
      </c>
      <c r="G515" s="12" t="s">
        <v>90</v>
      </c>
      <c r="H515" s="12" t="s">
        <v>3796</v>
      </c>
      <c r="I515" s="36">
        <v>58901136053</v>
      </c>
      <c r="J515" s="12" t="s">
        <v>3797</v>
      </c>
      <c r="K515" s="12">
        <v>1</v>
      </c>
      <c r="L515" s="12">
        <v>14</v>
      </c>
      <c r="M515" s="12"/>
      <c r="N515" s="13">
        <v>2023</v>
      </c>
      <c r="O515" s="12" t="s">
        <v>2850</v>
      </c>
      <c r="P515" s="12"/>
      <c r="Q515" s="12"/>
      <c r="R515" s="12" t="s">
        <v>94</v>
      </c>
      <c r="S515" s="12">
        <v>10</v>
      </c>
      <c r="T515" s="12">
        <v>830508092</v>
      </c>
      <c r="U515" s="12" t="s">
        <v>584</v>
      </c>
      <c r="V515" s="12">
        <f>VLOOKUP(Tabla44[[#This Row],[ZONA DEFINITIVO]],[1]Hoja1!$A$1:$D$125,3,0)</f>
        <v>229947</v>
      </c>
      <c r="W515" s="12">
        <f>VLOOKUP(Tabla44[[#This Row],[ZONA DEFINITIVO]],[1]Hoja1!$A$1:$D$125,2,0)</f>
        <v>17263</v>
      </c>
      <c r="X515" s="12">
        <f>VLOOKUP(Tabla44[[#This Row],[ZONA DEFINITIVO]],[1]Hoja1!$A$1:$D$125,4,0)</f>
        <v>104925</v>
      </c>
      <c r="Y515" s="12" t="str">
        <f>+IF(Tabla44[[#This Row],[AGRUPACIONES]]=1,SUMIFS(Tabla44[UDS],Tabla44[ZONA DEFINITIVO],Tabla44[[#This Row],[ZONA DEFINITIVO]])," ")</f>
        <v xml:space="preserve"> </v>
      </c>
      <c r="Z515" s="12" t="str">
        <f>+IF(Tabla44[[#This Row],[AGRUPACIONES]]=1,SUMIFS(Tabla44[TOTAL COBERTURA],Tabla44[ZONA DEFINITIVO],Tabla44[[#This Row],[ZONA DEFINITIVO]])," ")</f>
        <v xml:space="preserve"> </v>
      </c>
      <c r="AA515" s="12"/>
      <c r="AB515" s="35">
        <v>21270270</v>
      </c>
      <c r="AC515" s="37">
        <v>0</v>
      </c>
      <c r="AD515" s="35">
        <f t="shared" si="8"/>
        <v>0</v>
      </c>
      <c r="AE515" s="12"/>
      <c r="AF515" s="12">
        <f>COUNTIF($A$20:A515,A515)</f>
        <v>19</v>
      </c>
      <c r="AG515" s="38">
        <v>21270270</v>
      </c>
      <c r="AH515" s="38">
        <f>Tabla44[[#This Row],[VALOR CONTRAPARTIDA]]+Tabla44[[#This Row],[TOTAL APORTES ICBF]]</f>
        <v>21270270</v>
      </c>
      <c r="AI515" s="35" t="str">
        <f>+IF(Tabla44[[#This Row],[AGRUPACIONES]]=1,SUMIFS(Tabla44[TOTAL APORTES ICBF],Tabla44[ZONA DEFINITIVO],Tabla44[[#This Row],[ZONA DEFINITIVO]])," ")</f>
        <v xml:space="preserve"> </v>
      </c>
      <c r="AJ515" s="38"/>
      <c r="AK515" s="38"/>
      <c r="AL515" s="35"/>
      <c r="AM515" s="35">
        <f>VLOOKUP(Tabla44[[#This Row],[SERVICIO 2025]],$J$2:$V$15,5,0)*Tabla44[[#This Row],[TOTAL COBERTURA]]</f>
        <v>654416</v>
      </c>
      <c r="AN515" s="35">
        <f>VLOOKUP(Tabla44[[#This Row],[SERVICIO 2025]],$J$2:$V$15,6,0)*Tabla44[[#This Row],[TOTAL COBERTURA]]</f>
        <v>529774</v>
      </c>
      <c r="AO515" s="35">
        <f>VLOOKUP(Tabla44[[#This Row],[SERVICIO 2025]],$J$2:$V$15,8,0)*Tabla44[[#This Row],[TOTAL COBERTURA]]</f>
        <v>0</v>
      </c>
      <c r="AP515" s="35">
        <f>VLOOKUP(Tabla44[[#This Row],[SERVICIO 2025]],$J$2:$V$15,3,0)*Tabla44[[#This Row],[TOTAL COBERTURA]]*8</f>
        <v>20086080</v>
      </c>
      <c r="AQ515" s="35"/>
      <c r="AR515" s="35">
        <f>SUM(Tabla44[[#This Row],[VALOR FASE PREPARATORIA DE ALISTAMIENTO]:[VALOR RACION PREPARADA]])</f>
        <v>21270270</v>
      </c>
      <c r="AS515" s="35" t="str">
        <f>+IF(Tabla44[[#This Row],[AGRUPACIONES]]=1,SUMIFS(Tabla44[VALOR TOTAL],Tabla44[ZONA DEFINITIVO],Tabla44[[#This Row],[ZONA DEFINITIVO]])," ")</f>
        <v xml:space="preserve"> </v>
      </c>
      <c r="AT515" s="35">
        <f>VLOOKUP(Tabla44[[#This Row],[SERVICIO 2025]],$J$2:$V$15,10,0)*Tabla44[[#This Row],[TOTAL COBERTURA]]*$X$7</f>
        <v>21091952</v>
      </c>
      <c r="AU515" s="39">
        <f>Tabla44[[#This Row],[TOTAL CONTRATO (ICBF+EAS)]]+Tabla44[[#This Row],[VALOR COMPONENTE ALIMENTACION NO ASIGNADO]]</f>
        <v>42362222</v>
      </c>
      <c r="AV51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5801670</v>
      </c>
      <c r="AW515" s="35">
        <f>(VLOOKUP(Tabla44[[#This Row],[SERVICIO 2025]],$J$2:$V$15,3,0)*Tabla44[[#This Row],[TOTAL COBERTURA]])+VLOOKUP(Tabla44[[#This Row],[SERVICIO 2025]],$J$2:$V$15,10,0)*Tabla44[[#This Row],[TOTAL COBERTURA]]</f>
        <v>5147254</v>
      </c>
      <c r="AX515" s="35">
        <f>(VLOOKUP(Tabla44[[#This Row],[SERVICIO 2025]],$J$2:$V$15,3,0)*Tabla44[[#This Row],[TOTAL COBERTURA]])+VLOOKUP(Tabla44[[#This Row],[SERVICIO 2025]],$J$2:$V$15,10,0)*Tabla44[[#This Row],[TOTAL COBERTURA]]</f>
        <v>5147254</v>
      </c>
      <c r="AY515" s="35">
        <f>(VLOOKUP(Tabla44[[#This Row],[SERVICIO 2025]],$J$2:$V$15,3,0)*Tabla44[[#This Row],[TOTAL COBERTURA]])+VLOOKUP(Tabla44[[#This Row],[SERVICIO 2025]],$J$2:$V$15,10,0)*Tabla44[[#This Row],[TOTAL COBERTURA]]</f>
        <v>5147254</v>
      </c>
      <c r="AZ515" s="35">
        <f>(VLOOKUP(Tabla44[[#This Row],[SERVICIO 2025]],$J$2:$V$15,3,0)*Tabla44[[#This Row],[TOTAL COBERTURA]])+VLOOKUP(Tabla44[[#This Row],[SERVICIO 2025]],$J$2:$V$15,10,0)*Tabla44[[#This Row],[TOTAL COBERTURA]]</f>
        <v>5147254</v>
      </c>
      <c r="BA515" s="35">
        <f>(VLOOKUP(Tabla44[[#This Row],[SERVICIO 2025]],$J$2:$V$15,3,0)*Tabla44[[#This Row],[TOTAL COBERTURA]])+VLOOKUP(Tabla44[[#This Row],[SERVICIO 2025]],$J$2:$V$15,10,0)*Tabla44[[#This Row],[TOTAL COBERTURA]]</f>
        <v>5147254</v>
      </c>
      <c r="BB515" s="35">
        <f>(VLOOKUP(Tabla44[[#This Row],[SERVICIO 2025]],$J$2:$V$15,3,0)*Tabla44[[#This Row],[TOTAL COBERTURA]])+VLOOKUP(Tabla44[[#This Row],[SERVICIO 2025]],$J$2:$V$15,10,0)*Tabla44[[#This Row],[TOTAL COBERTURA]]</f>
        <v>5147254</v>
      </c>
      <c r="BC51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5677028</v>
      </c>
      <c r="BD515" s="35">
        <f>SUM(Tabla44[[#This Row],[DESEMBOLSO 1]:[DESEMBOLSO 8]])</f>
        <v>42362222</v>
      </c>
      <c r="BE515" s="12" t="b">
        <f>EXACT(Tabla44[[#This Row],[VALOR ATENCIÓN (8 MESES)]],Tabla44[[#This Row],[VALOR TOTAL]])</f>
        <v>1</v>
      </c>
      <c r="BF515" s="23">
        <f>Tabla44[[#This Row],[VALOR ATENCIÓN (8 MESES)]]-Tabla44[[#This Row],[VALOR TOTAL]]</f>
        <v>0</v>
      </c>
      <c r="BG515" s="12" t="b">
        <f>EXACT(Tabla44[[#This Row],[TOTAL DESEMBOLSOS]],Tabla44[[#This Row],[VALOR TOTAL DEL CONTRATO INCLUIDO EL COMPONENTE DE ALIMENTACIÓN]])</f>
        <v>1</v>
      </c>
      <c r="BH515" s="29">
        <f>Tabla44[[#This Row],[TOTAL DESEMBOLSOS]]-Tabla44[[#This Row],[VALOR TOTAL DEL CONTRATO INCLUIDO EL COMPONENTE DE ALIMENTACIÓN]]</f>
        <v>0</v>
      </c>
      <c r="BI515" t="s">
        <v>98</v>
      </c>
    </row>
    <row r="516" spans="1:61">
      <c r="A516" s="13">
        <v>2023</v>
      </c>
      <c r="B516" s="13"/>
      <c r="C516" s="12" t="s">
        <v>87</v>
      </c>
      <c r="D516" s="12" t="s">
        <v>673</v>
      </c>
      <c r="E516" s="12" t="s">
        <v>3764</v>
      </c>
      <c r="F516" s="12" t="s">
        <v>21</v>
      </c>
      <c r="G516" s="12" t="s">
        <v>90</v>
      </c>
      <c r="H516" s="12" t="s">
        <v>3798</v>
      </c>
      <c r="I516" s="36">
        <v>58901137878</v>
      </c>
      <c r="J516" s="12" t="s">
        <v>3799</v>
      </c>
      <c r="K516" s="12">
        <v>1</v>
      </c>
      <c r="L516" s="12">
        <v>10</v>
      </c>
      <c r="M516" s="12"/>
      <c r="N516" s="13">
        <v>2023</v>
      </c>
      <c r="O516" s="12" t="s">
        <v>2850</v>
      </c>
      <c r="P516" s="12"/>
      <c r="Q516" s="12"/>
      <c r="R516" s="12" t="s">
        <v>94</v>
      </c>
      <c r="S516" s="12">
        <v>10</v>
      </c>
      <c r="T516" s="12">
        <v>830508092</v>
      </c>
      <c r="U516" s="12" t="s">
        <v>584</v>
      </c>
      <c r="V516" s="12">
        <f>VLOOKUP(Tabla44[[#This Row],[ZONA DEFINITIVO]],[1]Hoja1!$A$1:$D$125,3,0)</f>
        <v>229947</v>
      </c>
      <c r="W516" s="12">
        <f>VLOOKUP(Tabla44[[#This Row],[ZONA DEFINITIVO]],[1]Hoja1!$A$1:$D$125,2,0)</f>
        <v>17263</v>
      </c>
      <c r="X516" s="12">
        <f>VLOOKUP(Tabla44[[#This Row],[ZONA DEFINITIVO]],[1]Hoja1!$A$1:$D$125,4,0)</f>
        <v>104925</v>
      </c>
      <c r="Y516" s="12" t="str">
        <f>+IF(Tabla44[[#This Row],[AGRUPACIONES]]=1,SUMIFS(Tabla44[UDS],Tabla44[ZONA DEFINITIVO],Tabla44[[#This Row],[ZONA DEFINITIVO]])," ")</f>
        <v xml:space="preserve"> </v>
      </c>
      <c r="Z516" s="12" t="str">
        <f>+IF(Tabla44[[#This Row],[AGRUPACIONES]]=1,SUMIFS(Tabla44[TOTAL COBERTURA],Tabla44[ZONA DEFINITIVO],Tabla44[[#This Row],[ZONA DEFINITIVO]])," ")</f>
        <v xml:space="preserve"> </v>
      </c>
      <c r="AA516" s="12"/>
      <c r="AB516" s="35">
        <v>15193050</v>
      </c>
      <c r="AC516" s="37">
        <v>0</v>
      </c>
      <c r="AD516" s="35">
        <f t="shared" si="8"/>
        <v>0</v>
      </c>
      <c r="AE516" s="12"/>
      <c r="AF516" s="12">
        <f>COUNTIF($A$20:A516,A516)</f>
        <v>20</v>
      </c>
      <c r="AG516" s="38">
        <v>15193050</v>
      </c>
      <c r="AH516" s="38">
        <f>Tabla44[[#This Row],[VALOR CONTRAPARTIDA]]+Tabla44[[#This Row],[TOTAL APORTES ICBF]]</f>
        <v>15193050</v>
      </c>
      <c r="AI516" s="35" t="str">
        <f>+IF(Tabla44[[#This Row],[AGRUPACIONES]]=1,SUMIFS(Tabla44[TOTAL APORTES ICBF],Tabla44[ZONA DEFINITIVO],Tabla44[[#This Row],[ZONA DEFINITIVO]])," ")</f>
        <v xml:space="preserve"> </v>
      </c>
      <c r="AJ516" s="38"/>
      <c r="AK516" s="38"/>
      <c r="AL516" s="35"/>
      <c r="AM516" s="35">
        <f>VLOOKUP(Tabla44[[#This Row],[SERVICIO 2025]],$J$2:$V$15,5,0)*Tabla44[[#This Row],[TOTAL COBERTURA]]</f>
        <v>467440</v>
      </c>
      <c r="AN516" s="35">
        <f>VLOOKUP(Tabla44[[#This Row],[SERVICIO 2025]],$J$2:$V$15,6,0)*Tabla44[[#This Row],[TOTAL COBERTURA]]</f>
        <v>378410</v>
      </c>
      <c r="AO516" s="35">
        <f>VLOOKUP(Tabla44[[#This Row],[SERVICIO 2025]],$J$2:$V$15,8,0)*Tabla44[[#This Row],[TOTAL COBERTURA]]</f>
        <v>0</v>
      </c>
      <c r="AP516" s="35">
        <f>VLOOKUP(Tabla44[[#This Row],[SERVICIO 2025]],$J$2:$V$15,3,0)*Tabla44[[#This Row],[TOTAL COBERTURA]]*8</f>
        <v>14347200</v>
      </c>
      <c r="AQ516" s="35"/>
      <c r="AR516" s="35">
        <f>SUM(Tabla44[[#This Row],[VALOR FASE PREPARATORIA DE ALISTAMIENTO]:[VALOR RACION PREPARADA]])</f>
        <v>15193050</v>
      </c>
      <c r="AS516" s="35" t="str">
        <f>+IF(Tabla44[[#This Row],[AGRUPACIONES]]=1,SUMIFS(Tabla44[VALOR TOTAL],Tabla44[ZONA DEFINITIVO],Tabla44[[#This Row],[ZONA DEFINITIVO]])," ")</f>
        <v xml:space="preserve"> </v>
      </c>
      <c r="AT516" s="35">
        <f>VLOOKUP(Tabla44[[#This Row],[SERVICIO 2025]],$J$2:$V$15,10,0)*Tabla44[[#This Row],[TOTAL COBERTURA]]*$X$7</f>
        <v>15065680</v>
      </c>
      <c r="AU516" s="39">
        <f>Tabla44[[#This Row],[TOTAL CONTRATO (ICBF+EAS)]]+Tabla44[[#This Row],[VALOR COMPONENTE ALIMENTACION NO ASIGNADO]]</f>
        <v>30258730</v>
      </c>
      <c r="AV51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4144050</v>
      </c>
      <c r="AW516" s="35">
        <f>(VLOOKUP(Tabla44[[#This Row],[SERVICIO 2025]],$J$2:$V$15,3,0)*Tabla44[[#This Row],[TOTAL COBERTURA]])+VLOOKUP(Tabla44[[#This Row],[SERVICIO 2025]],$J$2:$V$15,10,0)*Tabla44[[#This Row],[TOTAL COBERTURA]]</f>
        <v>3676610</v>
      </c>
      <c r="AX516" s="35">
        <f>(VLOOKUP(Tabla44[[#This Row],[SERVICIO 2025]],$J$2:$V$15,3,0)*Tabla44[[#This Row],[TOTAL COBERTURA]])+VLOOKUP(Tabla44[[#This Row],[SERVICIO 2025]],$J$2:$V$15,10,0)*Tabla44[[#This Row],[TOTAL COBERTURA]]</f>
        <v>3676610</v>
      </c>
      <c r="AY516" s="35">
        <f>(VLOOKUP(Tabla44[[#This Row],[SERVICIO 2025]],$J$2:$V$15,3,0)*Tabla44[[#This Row],[TOTAL COBERTURA]])+VLOOKUP(Tabla44[[#This Row],[SERVICIO 2025]],$J$2:$V$15,10,0)*Tabla44[[#This Row],[TOTAL COBERTURA]]</f>
        <v>3676610</v>
      </c>
      <c r="AZ516" s="35">
        <f>(VLOOKUP(Tabla44[[#This Row],[SERVICIO 2025]],$J$2:$V$15,3,0)*Tabla44[[#This Row],[TOTAL COBERTURA]])+VLOOKUP(Tabla44[[#This Row],[SERVICIO 2025]],$J$2:$V$15,10,0)*Tabla44[[#This Row],[TOTAL COBERTURA]]</f>
        <v>3676610</v>
      </c>
      <c r="BA516" s="35">
        <f>(VLOOKUP(Tabla44[[#This Row],[SERVICIO 2025]],$J$2:$V$15,3,0)*Tabla44[[#This Row],[TOTAL COBERTURA]])+VLOOKUP(Tabla44[[#This Row],[SERVICIO 2025]],$J$2:$V$15,10,0)*Tabla44[[#This Row],[TOTAL COBERTURA]]</f>
        <v>3676610</v>
      </c>
      <c r="BB516" s="35">
        <f>(VLOOKUP(Tabla44[[#This Row],[SERVICIO 2025]],$J$2:$V$15,3,0)*Tabla44[[#This Row],[TOTAL COBERTURA]])+VLOOKUP(Tabla44[[#This Row],[SERVICIO 2025]],$J$2:$V$15,10,0)*Tabla44[[#This Row],[TOTAL COBERTURA]]</f>
        <v>3676610</v>
      </c>
      <c r="BC51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4055020</v>
      </c>
      <c r="BD516" s="35">
        <f>SUM(Tabla44[[#This Row],[DESEMBOLSO 1]:[DESEMBOLSO 8]])</f>
        <v>30258730</v>
      </c>
      <c r="BE516" s="12" t="b">
        <f>EXACT(Tabla44[[#This Row],[VALOR ATENCIÓN (8 MESES)]],Tabla44[[#This Row],[VALOR TOTAL]])</f>
        <v>1</v>
      </c>
      <c r="BF516" s="23">
        <f>Tabla44[[#This Row],[VALOR ATENCIÓN (8 MESES)]]-Tabla44[[#This Row],[VALOR TOTAL]]</f>
        <v>0</v>
      </c>
      <c r="BG516" s="12" t="b">
        <f>EXACT(Tabla44[[#This Row],[TOTAL DESEMBOLSOS]],Tabla44[[#This Row],[VALOR TOTAL DEL CONTRATO INCLUIDO EL COMPONENTE DE ALIMENTACIÓN]])</f>
        <v>1</v>
      </c>
      <c r="BH516" s="29">
        <f>Tabla44[[#This Row],[TOTAL DESEMBOLSOS]]-Tabla44[[#This Row],[VALOR TOTAL DEL CONTRATO INCLUIDO EL COMPONENTE DE ALIMENTACIÓN]]</f>
        <v>0</v>
      </c>
      <c r="BI516" t="s">
        <v>98</v>
      </c>
    </row>
    <row r="517" spans="1:61">
      <c r="A517" s="13">
        <v>2023</v>
      </c>
      <c r="B517" s="13"/>
      <c r="C517" s="12" t="s">
        <v>87</v>
      </c>
      <c r="D517" s="12" t="s">
        <v>673</v>
      </c>
      <c r="E517" s="12" t="s">
        <v>3764</v>
      </c>
      <c r="F517" s="12" t="s">
        <v>21</v>
      </c>
      <c r="G517" s="12" t="s">
        <v>90</v>
      </c>
      <c r="H517" s="12" t="s">
        <v>3800</v>
      </c>
      <c r="I517" s="36">
        <v>58901138235</v>
      </c>
      <c r="J517" s="12" t="s">
        <v>3801</v>
      </c>
      <c r="K517" s="12">
        <v>1</v>
      </c>
      <c r="L517" s="12">
        <v>9</v>
      </c>
      <c r="M517" s="12"/>
      <c r="N517" s="13">
        <v>2023</v>
      </c>
      <c r="O517" s="12" t="s">
        <v>2850</v>
      </c>
      <c r="P517" s="12"/>
      <c r="Q517" s="12"/>
      <c r="R517" s="12" t="s">
        <v>94</v>
      </c>
      <c r="S517" s="12">
        <v>10</v>
      </c>
      <c r="T517" s="12">
        <v>830508092</v>
      </c>
      <c r="U517" s="12" t="s">
        <v>584</v>
      </c>
      <c r="V517" s="12">
        <f>VLOOKUP(Tabla44[[#This Row],[ZONA DEFINITIVO]],[1]Hoja1!$A$1:$D$125,3,0)</f>
        <v>229947</v>
      </c>
      <c r="W517" s="12">
        <f>VLOOKUP(Tabla44[[#This Row],[ZONA DEFINITIVO]],[1]Hoja1!$A$1:$D$125,2,0)</f>
        <v>17263</v>
      </c>
      <c r="X517" s="12">
        <f>VLOOKUP(Tabla44[[#This Row],[ZONA DEFINITIVO]],[1]Hoja1!$A$1:$D$125,4,0)</f>
        <v>104925</v>
      </c>
      <c r="Y517" s="12" t="str">
        <f>+IF(Tabla44[[#This Row],[AGRUPACIONES]]=1,SUMIFS(Tabla44[UDS],Tabla44[ZONA DEFINITIVO],Tabla44[[#This Row],[ZONA DEFINITIVO]])," ")</f>
        <v xml:space="preserve"> </v>
      </c>
      <c r="Z517" s="12" t="str">
        <f>+IF(Tabla44[[#This Row],[AGRUPACIONES]]=1,SUMIFS(Tabla44[TOTAL COBERTURA],Tabla44[ZONA DEFINITIVO],Tabla44[[#This Row],[ZONA DEFINITIVO]])," ")</f>
        <v xml:space="preserve"> </v>
      </c>
      <c r="AA517" s="12"/>
      <c r="AB517" s="35">
        <v>13673745</v>
      </c>
      <c r="AC517" s="37">
        <v>0</v>
      </c>
      <c r="AD517" s="35">
        <f t="shared" si="8"/>
        <v>0</v>
      </c>
      <c r="AE517" s="12"/>
      <c r="AF517" s="12">
        <f>COUNTIF($A$20:A517,A517)</f>
        <v>21</v>
      </c>
      <c r="AG517" s="38">
        <v>13673745</v>
      </c>
      <c r="AH517" s="38">
        <f>Tabla44[[#This Row],[VALOR CONTRAPARTIDA]]+Tabla44[[#This Row],[TOTAL APORTES ICBF]]</f>
        <v>13673745</v>
      </c>
      <c r="AI517" s="35" t="str">
        <f>+IF(Tabla44[[#This Row],[AGRUPACIONES]]=1,SUMIFS(Tabla44[TOTAL APORTES ICBF],Tabla44[ZONA DEFINITIVO],Tabla44[[#This Row],[ZONA DEFINITIVO]])," ")</f>
        <v xml:space="preserve"> </v>
      </c>
      <c r="AJ517" s="38"/>
      <c r="AK517" s="38"/>
      <c r="AL517" s="35"/>
      <c r="AM517" s="35">
        <f>VLOOKUP(Tabla44[[#This Row],[SERVICIO 2025]],$J$2:$V$15,5,0)*Tabla44[[#This Row],[TOTAL COBERTURA]]</f>
        <v>420696</v>
      </c>
      <c r="AN517" s="35">
        <f>VLOOKUP(Tabla44[[#This Row],[SERVICIO 2025]],$J$2:$V$15,6,0)*Tabla44[[#This Row],[TOTAL COBERTURA]]</f>
        <v>340569</v>
      </c>
      <c r="AO517" s="35">
        <f>VLOOKUP(Tabla44[[#This Row],[SERVICIO 2025]],$J$2:$V$15,8,0)*Tabla44[[#This Row],[TOTAL COBERTURA]]</f>
        <v>0</v>
      </c>
      <c r="AP517" s="35">
        <f>VLOOKUP(Tabla44[[#This Row],[SERVICIO 2025]],$J$2:$V$15,3,0)*Tabla44[[#This Row],[TOTAL COBERTURA]]*8</f>
        <v>12912480</v>
      </c>
      <c r="AQ517" s="35"/>
      <c r="AR517" s="35">
        <f>SUM(Tabla44[[#This Row],[VALOR FASE PREPARATORIA DE ALISTAMIENTO]:[VALOR RACION PREPARADA]])</f>
        <v>13673745</v>
      </c>
      <c r="AS517" s="35" t="str">
        <f>+IF(Tabla44[[#This Row],[AGRUPACIONES]]=1,SUMIFS(Tabla44[VALOR TOTAL],Tabla44[ZONA DEFINITIVO],Tabla44[[#This Row],[ZONA DEFINITIVO]])," ")</f>
        <v xml:space="preserve"> </v>
      </c>
      <c r="AT517" s="35">
        <f>VLOOKUP(Tabla44[[#This Row],[SERVICIO 2025]],$J$2:$V$15,10,0)*Tabla44[[#This Row],[TOTAL COBERTURA]]*$X$7</f>
        <v>13559112</v>
      </c>
      <c r="AU517" s="39">
        <f>Tabla44[[#This Row],[TOTAL CONTRATO (ICBF+EAS)]]+Tabla44[[#This Row],[VALOR COMPONENTE ALIMENTACION NO ASIGNADO]]</f>
        <v>27232857</v>
      </c>
      <c r="AV51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3729645</v>
      </c>
      <c r="AW517" s="35">
        <f>(VLOOKUP(Tabla44[[#This Row],[SERVICIO 2025]],$J$2:$V$15,3,0)*Tabla44[[#This Row],[TOTAL COBERTURA]])+VLOOKUP(Tabla44[[#This Row],[SERVICIO 2025]],$J$2:$V$15,10,0)*Tabla44[[#This Row],[TOTAL COBERTURA]]</f>
        <v>3308949</v>
      </c>
      <c r="AX517" s="35">
        <f>(VLOOKUP(Tabla44[[#This Row],[SERVICIO 2025]],$J$2:$V$15,3,0)*Tabla44[[#This Row],[TOTAL COBERTURA]])+VLOOKUP(Tabla44[[#This Row],[SERVICIO 2025]],$J$2:$V$15,10,0)*Tabla44[[#This Row],[TOTAL COBERTURA]]</f>
        <v>3308949</v>
      </c>
      <c r="AY517" s="35">
        <f>(VLOOKUP(Tabla44[[#This Row],[SERVICIO 2025]],$J$2:$V$15,3,0)*Tabla44[[#This Row],[TOTAL COBERTURA]])+VLOOKUP(Tabla44[[#This Row],[SERVICIO 2025]],$J$2:$V$15,10,0)*Tabla44[[#This Row],[TOTAL COBERTURA]]</f>
        <v>3308949</v>
      </c>
      <c r="AZ517" s="35">
        <f>(VLOOKUP(Tabla44[[#This Row],[SERVICIO 2025]],$J$2:$V$15,3,0)*Tabla44[[#This Row],[TOTAL COBERTURA]])+VLOOKUP(Tabla44[[#This Row],[SERVICIO 2025]],$J$2:$V$15,10,0)*Tabla44[[#This Row],[TOTAL COBERTURA]]</f>
        <v>3308949</v>
      </c>
      <c r="BA517" s="35">
        <f>(VLOOKUP(Tabla44[[#This Row],[SERVICIO 2025]],$J$2:$V$15,3,0)*Tabla44[[#This Row],[TOTAL COBERTURA]])+VLOOKUP(Tabla44[[#This Row],[SERVICIO 2025]],$J$2:$V$15,10,0)*Tabla44[[#This Row],[TOTAL COBERTURA]]</f>
        <v>3308949</v>
      </c>
      <c r="BB517" s="35">
        <f>(VLOOKUP(Tabla44[[#This Row],[SERVICIO 2025]],$J$2:$V$15,3,0)*Tabla44[[#This Row],[TOTAL COBERTURA]])+VLOOKUP(Tabla44[[#This Row],[SERVICIO 2025]],$J$2:$V$15,10,0)*Tabla44[[#This Row],[TOTAL COBERTURA]]</f>
        <v>3308949</v>
      </c>
      <c r="BC51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3649518</v>
      </c>
      <c r="BD517" s="35">
        <f>SUM(Tabla44[[#This Row],[DESEMBOLSO 1]:[DESEMBOLSO 8]])</f>
        <v>27232857</v>
      </c>
      <c r="BE517" s="12" t="b">
        <f>EXACT(Tabla44[[#This Row],[VALOR ATENCIÓN (8 MESES)]],Tabla44[[#This Row],[VALOR TOTAL]])</f>
        <v>1</v>
      </c>
      <c r="BF517" s="23">
        <f>Tabla44[[#This Row],[VALOR ATENCIÓN (8 MESES)]]-Tabla44[[#This Row],[VALOR TOTAL]]</f>
        <v>0</v>
      </c>
      <c r="BG517" s="12" t="b">
        <f>EXACT(Tabla44[[#This Row],[TOTAL DESEMBOLSOS]],Tabla44[[#This Row],[VALOR TOTAL DEL CONTRATO INCLUIDO EL COMPONENTE DE ALIMENTACIÓN]])</f>
        <v>1</v>
      </c>
      <c r="BH517" s="29">
        <f>Tabla44[[#This Row],[TOTAL DESEMBOLSOS]]-Tabla44[[#This Row],[VALOR TOTAL DEL CONTRATO INCLUIDO EL COMPONENTE DE ALIMENTACIÓN]]</f>
        <v>0</v>
      </c>
      <c r="BI517" t="s">
        <v>98</v>
      </c>
    </row>
    <row r="518" spans="1:61">
      <c r="A518" s="13">
        <v>2023</v>
      </c>
      <c r="B518" s="13"/>
      <c r="C518" s="12" t="s">
        <v>87</v>
      </c>
      <c r="D518" s="12" t="s">
        <v>673</v>
      </c>
      <c r="E518" s="12" t="s">
        <v>3764</v>
      </c>
      <c r="F518" s="12" t="s">
        <v>21</v>
      </c>
      <c r="G518" s="12" t="s">
        <v>90</v>
      </c>
      <c r="H518" s="12" t="s">
        <v>3802</v>
      </c>
      <c r="I518" s="36">
        <v>58901138241</v>
      </c>
      <c r="J518" s="12" t="s">
        <v>3803</v>
      </c>
      <c r="K518" s="12">
        <v>1</v>
      </c>
      <c r="L518" s="12">
        <v>10</v>
      </c>
      <c r="M518" s="12"/>
      <c r="N518" s="13">
        <v>2023</v>
      </c>
      <c r="O518" s="12" t="s">
        <v>2850</v>
      </c>
      <c r="P518" s="12"/>
      <c r="Q518" s="12"/>
      <c r="R518" s="12" t="s">
        <v>94</v>
      </c>
      <c r="S518" s="12">
        <v>10</v>
      </c>
      <c r="T518" s="12">
        <v>830508092</v>
      </c>
      <c r="U518" s="12" t="s">
        <v>584</v>
      </c>
      <c r="V518" s="12">
        <f>VLOOKUP(Tabla44[[#This Row],[ZONA DEFINITIVO]],[1]Hoja1!$A$1:$D$125,3,0)</f>
        <v>229947</v>
      </c>
      <c r="W518" s="12">
        <f>VLOOKUP(Tabla44[[#This Row],[ZONA DEFINITIVO]],[1]Hoja1!$A$1:$D$125,2,0)</f>
        <v>17263</v>
      </c>
      <c r="X518" s="12">
        <f>VLOOKUP(Tabla44[[#This Row],[ZONA DEFINITIVO]],[1]Hoja1!$A$1:$D$125,4,0)</f>
        <v>104925</v>
      </c>
      <c r="Y518" s="12" t="str">
        <f>+IF(Tabla44[[#This Row],[AGRUPACIONES]]=1,SUMIFS(Tabla44[UDS],Tabla44[ZONA DEFINITIVO],Tabla44[[#This Row],[ZONA DEFINITIVO]])," ")</f>
        <v xml:space="preserve"> </v>
      </c>
      <c r="Z518" s="12" t="str">
        <f>+IF(Tabla44[[#This Row],[AGRUPACIONES]]=1,SUMIFS(Tabla44[TOTAL COBERTURA],Tabla44[ZONA DEFINITIVO],Tabla44[[#This Row],[ZONA DEFINITIVO]])," ")</f>
        <v xml:space="preserve"> </v>
      </c>
      <c r="AA518" s="12"/>
      <c r="AB518" s="35">
        <v>15193050</v>
      </c>
      <c r="AC518" s="37">
        <v>0</v>
      </c>
      <c r="AD518" s="35">
        <f t="shared" si="8"/>
        <v>0</v>
      </c>
      <c r="AE518" s="12"/>
      <c r="AF518" s="12">
        <f>COUNTIF($A$20:A518,A518)</f>
        <v>22</v>
      </c>
      <c r="AG518" s="38">
        <v>15193050</v>
      </c>
      <c r="AH518" s="38">
        <f>Tabla44[[#This Row],[VALOR CONTRAPARTIDA]]+Tabla44[[#This Row],[TOTAL APORTES ICBF]]</f>
        <v>15193050</v>
      </c>
      <c r="AI518" s="35" t="str">
        <f>+IF(Tabla44[[#This Row],[AGRUPACIONES]]=1,SUMIFS(Tabla44[TOTAL APORTES ICBF],Tabla44[ZONA DEFINITIVO],Tabla44[[#This Row],[ZONA DEFINITIVO]])," ")</f>
        <v xml:space="preserve"> </v>
      </c>
      <c r="AJ518" s="38"/>
      <c r="AK518" s="38"/>
      <c r="AL518" s="35"/>
      <c r="AM518" s="35">
        <f>VLOOKUP(Tabla44[[#This Row],[SERVICIO 2025]],$J$2:$V$15,5,0)*Tabla44[[#This Row],[TOTAL COBERTURA]]</f>
        <v>467440</v>
      </c>
      <c r="AN518" s="35">
        <f>VLOOKUP(Tabla44[[#This Row],[SERVICIO 2025]],$J$2:$V$15,6,0)*Tabla44[[#This Row],[TOTAL COBERTURA]]</f>
        <v>378410</v>
      </c>
      <c r="AO518" s="35">
        <f>VLOOKUP(Tabla44[[#This Row],[SERVICIO 2025]],$J$2:$V$15,8,0)*Tabla44[[#This Row],[TOTAL COBERTURA]]</f>
        <v>0</v>
      </c>
      <c r="AP518" s="35">
        <f>VLOOKUP(Tabla44[[#This Row],[SERVICIO 2025]],$J$2:$V$15,3,0)*Tabla44[[#This Row],[TOTAL COBERTURA]]*8</f>
        <v>14347200</v>
      </c>
      <c r="AQ518" s="35"/>
      <c r="AR518" s="35">
        <f>SUM(Tabla44[[#This Row],[VALOR FASE PREPARATORIA DE ALISTAMIENTO]:[VALOR RACION PREPARADA]])</f>
        <v>15193050</v>
      </c>
      <c r="AS518" s="35" t="str">
        <f>+IF(Tabla44[[#This Row],[AGRUPACIONES]]=1,SUMIFS(Tabla44[VALOR TOTAL],Tabla44[ZONA DEFINITIVO],Tabla44[[#This Row],[ZONA DEFINITIVO]])," ")</f>
        <v xml:space="preserve"> </v>
      </c>
      <c r="AT518" s="35">
        <f>VLOOKUP(Tabla44[[#This Row],[SERVICIO 2025]],$J$2:$V$15,10,0)*Tabla44[[#This Row],[TOTAL COBERTURA]]*$X$7</f>
        <v>15065680</v>
      </c>
      <c r="AU518" s="39">
        <f>Tabla44[[#This Row],[TOTAL CONTRATO (ICBF+EAS)]]+Tabla44[[#This Row],[VALOR COMPONENTE ALIMENTACION NO ASIGNADO]]</f>
        <v>30258730</v>
      </c>
      <c r="AV51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4144050</v>
      </c>
      <c r="AW518" s="35">
        <f>(VLOOKUP(Tabla44[[#This Row],[SERVICIO 2025]],$J$2:$V$15,3,0)*Tabla44[[#This Row],[TOTAL COBERTURA]])+VLOOKUP(Tabla44[[#This Row],[SERVICIO 2025]],$J$2:$V$15,10,0)*Tabla44[[#This Row],[TOTAL COBERTURA]]</f>
        <v>3676610</v>
      </c>
      <c r="AX518" s="35">
        <f>(VLOOKUP(Tabla44[[#This Row],[SERVICIO 2025]],$J$2:$V$15,3,0)*Tabla44[[#This Row],[TOTAL COBERTURA]])+VLOOKUP(Tabla44[[#This Row],[SERVICIO 2025]],$J$2:$V$15,10,0)*Tabla44[[#This Row],[TOTAL COBERTURA]]</f>
        <v>3676610</v>
      </c>
      <c r="AY518" s="35">
        <f>(VLOOKUP(Tabla44[[#This Row],[SERVICIO 2025]],$J$2:$V$15,3,0)*Tabla44[[#This Row],[TOTAL COBERTURA]])+VLOOKUP(Tabla44[[#This Row],[SERVICIO 2025]],$J$2:$V$15,10,0)*Tabla44[[#This Row],[TOTAL COBERTURA]]</f>
        <v>3676610</v>
      </c>
      <c r="AZ518" s="35">
        <f>(VLOOKUP(Tabla44[[#This Row],[SERVICIO 2025]],$J$2:$V$15,3,0)*Tabla44[[#This Row],[TOTAL COBERTURA]])+VLOOKUP(Tabla44[[#This Row],[SERVICIO 2025]],$J$2:$V$15,10,0)*Tabla44[[#This Row],[TOTAL COBERTURA]]</f>
        <v>3676610</v>
      </c>
      <c r="BA518" s="35">
        <f>(VLOOKUP(Tabla44[[#This Row],[SERVICIO 2025]],$J$2:$V$15,3,0)*Tabla44[[#This Row],[TOTAL COBERTURA]])+VLOOKUP(Tabla44[[#This Row],[SERVICIO 2025]],$J$2:$V$15,10,0)*Tabla44[[#This Row],[TOTAL COBERTURA]]</f>
        <v>3676610</v>
      </c>
      <c r="BB518" s="35">
        <f>(VLOOKUP(Tabla44[[#This Row],[SERVICIO 2025]],$J$2:$V$15,3,0)*Tabla44[[#This Row],[TOTAL COBERTURA]])+VLOOKUP(Tabla44[[#This Row],[SERVICIO 2025]],$J$2:$V$15,10,0)*Tabla44[[#This Row],[TOTAL COBERTURA]]</f>
        <v>3676610</v>
      </c>
      <c r="BC51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4055020</v>
      </c>
      <c r="BD518" s="35">
        <f>SUM(Tabla44[[#This Row],[DESEMBOLSO 1]:[DESEMBOLSO 8]])</f>
        <v>30258730</v>
      </c>
      <c r="BE518" s="12" t="b">
        <f>EXACT(Tabla44[[#This Row],[VALOR ATENCIÓN (8 MESES)]],Tabla44[[#This Row],[VALOR TOTAL]])</f>
        <v>1</v>
      </c>
      <c r="BF518" s="23">
        <f>Tabla44[[#This Row],[VALOR ATENCIÓN (8 MESES)]]-Tabla44[[#This Row],[VALOR TOTAL]]</f>
        <v>0</v>
      </c>
      <c r="BG518" s="12" t="b">
        <f>EXACT(Tabla44[[#This Row],[TOTAL DESEMBOLSOS]],Tabla44[[#This Row],[VALOR TOTAL DEL CONTRATO INCLUIDO EL COMPONENTE DE ALIMENTACIÓN]])</f>
        <v>1</v>
      </c>
      <c r="BH518" s="29">
        <f>Tabla44[[#This Row],[TOTAL DESEMBOLSOS]]-Tabla44[[#This Row],[VALOR TOTAL DEL CONTRATO INCLUIDO EL COMPONENTE DE ALIMENTACIÓN]]</f>
        <v>0</v>
      </c>
      <c r="BI518" t="s">
        <v>98</v>
      </c>
    </row>
    <row r="519" spans="1:61">
      <c r="A519" s="13">
        <v>2023</v>
      </c>
      <c r="B519" s="13"/>
      <c r="C519" s="12" t="s">
        <v>87</v>
      </c>
      <c r="D519" s="12" t="s">
        <v>673</v>
      </c>
      <c r="E519" s="12" t="s">
        <v>3764</v>
      </c>
      <c r="F519" s="12" t="s">
        <v>21</v>
      </c>
      <c r="G519" s="12" t="s">
        <v>90</v>
      </c>
      <c r="H519" s="12" t="s">
        <v>3804</v>
      </c>
      <c r="I519" s="36">
        <v>58901138255</v>
      </c>
      <c r="J519" s="12" t="s">
        <v>3805</v>
      </c>
      <c r="K519" s="12">
        <v>1</v>
      </c>
      <c r="L519" s="12">
        <v>12</v>
      </c>
      <c r="M519" s="12"/>
      <c r="N519" s="13">
        <v>2023</v>
      </c>
      <c r="O519" s="12" t="s">
        <v>2850</v>
      </c>
      <c r="P519" s="12"/>
      <c r="Q519" s="12"/>
      <c r="R519" s="12" t="s">
        <v>94</v>
      </c>
      <c r="S519" s="12">
        <v>10</v>
      </c>
      <c r="T519" s="12">
        <v>830508092</v>
      </c>
      <c r="U519" s="12" t="s">
        <v>584</v>
      </c>
      <c r="V519" s="12">
        <f>VLOOKUP(Tabla44[[#This Row],[ZONA DEFINITIVO]],[1]Hoja1!$A$1:$D$125,3,0)</f>
        <v>229947</v>
      </c>
      <c r="W519" s="12">
        <f>VLOOKUP(Tabla44[[#This Row],[ZONA DEFINITIVO]],[1]Hoja1!$A$1:$D$125,2,0)</f>
        <v>17263</v>
      </c>
      <c r="X519" s="12">
        <f>VLOOKUP(Tabla44[[#This Row],[ZONA DEFINITIVO]],[1]Hoja1!$A$1:$D$125,4,0)</f>
        <v>104925</v>
      </c>
      <c r="Y519" s="12" t="str">
        <f>+IF(Tabla44[[#This Row],[AGRUPACIONES]]=1,SUMIFS(Tabla44[UDS],Tabla44[ZONA DEFINITIVO],Tabla44[[#This Row],[ZONA DEFINITIVO]])," ")</f>
        <v xml:space="preserve"> </v>
      </c>
      <c r="Z519" s="12" t="str">
        <f>+IF(Tabla44[[#This Row],[AGRUPACIONES]]=1,SUMIFS(Tabla44[TOTAL COBERTURA],Tabla44[ZONA DEFINITIVO],Tabla44[[#This Row],[ZONA DEFINITIVO]])," ")</f>
        <v xml:space="preserve"> </v>
      </c>
      <c r="AA519" s="12"/>
      <c r="AB519" s="35">
        <v>18231660</v>
      </c>
      <c r="AC519" s="37">
        <v>0</v>
      </c>
      <c r="AD519" s="35">
        <f t="shared" si="8"/>
        <v>0</v>
      </c>
      <c r="AE519" s="12"/>
      <c r="AF519" s="12">
        <f>COUNTIF($A$20:A519,A519)</f>
        <v>23</v>
      </c>
      <c r="AG519" s="38">
        <v>18231660</v>
      </c>
      <c r="AH519" s="38">
        <f>Tabla44[[#This Row],[VALOR CONTRAPARTIDA]]+Tabla44[[#This Row],[TOTAL APORTES ICBF]]</f>
        <v>18231660</v>
      </c>
      <c r="AI519" s="35" t="str">
        <f>+IF(Tabla44[[#This Row],[AGRUPACIONES]]=1,SUMIFS(Tabla44[TOTAL APORTES ICBF],Tabla44[ZONA DEFINITIVO],Tabla44[[#This Row],[ZONA DEFINITIVO]])," ")</f>
        <v xml:space="preserve"> </v>
      </c>
      <c r="AJ519" s="38"/>
      <c r="AK519" s="38"/>
      <c r="AL519" s="35"/>
      <c r="AM519" s="35">
        <f>VLOOKUP(Tabla44[[#This Row],[SERVICIO 2025]],$J$2:$V$15,5,0)*Tabla44[[#This Row],[TOTAL COBERTURA]]</f>
        <v>560928</v>
      </c>
      <c r="AN519" s="35">
        <f>VLOOKUP(Tabla44[[#This Row],[SERVICIO 2025]],$J$2:$V$15,6,0)*Tabla44[[#This Row],[TOTAL COBERTURA]]</f>
        <v>454092</v>
      </c>
      <c r="AO519" s="35">
        <f>VLOOKUP(Tabla44[[#This Row],[SERVICIO 2025]],$J$2:$V$15,8,0)*Tabla44[[#This Row],[TOTAL COBERTURA]]</f>
        <v>0</v>
      </c>
      <c r="AP519" s="35">
        <f>VLOOKUP(Tabla44[[#This Row],[SERVICIO 2025]],$J$2:$V$15,3,0)*Tabla44[[#This Row],[TOTAL COBERTURA]]*8</f>
        <v>17216640</v>
      </c>
      <c r="AQ519" s="35"/>
      <c r="AR519" s="35">
        <f>SUM(Tabla44[[#This Row],[VALOR FASE PREPARATORIA DE ALISTAMIENTO]:[VALOR RACION PREPARADA]])</f>
        <v>18231660</v>
      </c>
      <c r="AS519" s="35" t="str">
        <f>+IF(Tabla44[[#This Row],[AGRUPACIONES]]=1,SUMIFS(Tabla44[VALOR TOTAL],Tabla44[ZONA DEFINITIVO],Tabla44[[#This Row],[ZONA DEFINITIVO]])," ")</f>
        <v xml:space="preserve"> </v>
      </c>
      <c r="AT519" s="35">
        <f>VLOOKUP(Tabla44[[#This Row],[SERVICIO 2025]],$J$2:$V$15,10,0)*Tabla44[[#This Row],[TOTAL COBERTURA]]*$X$7</f>
        <v>18078816</v>
      </c>
      <c r="AU519" s="39">
        <f>Tabla44[[#This Row],[TOTAL CONTRATO (ICBF+EAS)]]+Tabla44[[#This Row],[VALOR COMPONENTE ALIMENTACION NO ASIGNADO]]</f>
        <v>36310476</v>
      </c>
      <c r="AV51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4972860</v>
      </c>
      <c r="AW519" s="35">
        <f>(VLOOKUP(Tabla44[[#This Row],[SERVICIO 2025]],$J$2:$V$15,3,0)*Tabla44[[#This Row],[TOTAL COBERTURA]])+VLOOKUP(Tabla44[[#This Row],[SERVICIO 2025]],$J$2:$V$15,10,0)*Tabla44[[#This Row],[TOTAL COBERTURA]]</f>
        <v>4411932</v>
      </c>
      <c r="AX519" s="35">
        <f>(VLOOKUP(Tabla44[[#This Row],[SERVICIO 2025]],$J$2:$V$15,3,0)*Tabla44[[#This Row],[TOTAL COBERTURA]])+VLOOKUP(Tabla44[[#This Row],[SERVICIO 2025]],$J$2:$V$15,10,0)*Tabla44[[#This Row],[TOTAL COBERTURA]]</f>
        <v>4411932</v>
      </c>
      <c r="AY519" s="35">
        <f>(VLOOKUP(Tabla44[[#This Row],[SERVICIO 2025]],$J$2:$V$15,3,0)*Tabla44[[#This Row],[TOTAL COBERTURA]])+VLOOKUP(Tabla44[[#This Row],[SERVICIO 2025]],$J$2:$V$15,10,0)*Tabla44[[#This Row],[TOTAL COBERTURA]]</f>
        <v>4411932</v>
      </c>
      <c r="AZ519" s="35">
        <f>(VLOOKUP(Tabla44[[#This Row],[SERVICIO 2025]],$J$2:$V$15,3,0)*Tabla44[[#This Row],[TOTAL COBERTURA]])+VLOOKUP(Tabla44[[#This Row],[SERVICIO 2025]],$J$2:$V$15,10,0)*Tabla44[[#This Row],[TOTAL COBERTURA]]</f>
        <v>4411932</v>
      </c>
      <c r="BA519" s="35">
        <f>(VLOOKUP(Tabla44[[#This Row],[SERVICIO 2025]],$J$2:$V$15,3,0)*Tabla44[[#This Row],[TOTAL COBERTURA]])+VLOOKUP(Tabla44[[#This Row],[SERVICIO 2025]],$J$2:$V$15,10,0)*Tabla44[[#This Row],[TOTAL COBERTURA]]</f>
        <v>4411932</v>
      </c>
      <c r="BB519" s="35">
        <f>(VLOOKUP(Tabla44[[#This Row],[SERVICIO 2025]],$J$2:$V$15,3,0)*Tabla44[[#This Row],[TOTAL COBERTURA]])+VLOOKUP(Tabla44[[#This Row],[SERVICIO 2025]],$J$2:$V$15,10,0)*Tabla44[[#This Row],[TOTAL COBERTURA]]</f>
        <v>4411932</v>
      </c>
      <c r="BC51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4866024</v>
      </c>
      <c r="BD519" s="35">
        <f>SUM(Tabla44[[#This Row],[DESEMBOLSO 1]:[DESEMBOLSO 8]])</f>
        <v>36310476</v>
      </c>
      <c r="BE519" s="12" t="b">
        <f>EXACT(Tabla44[[#This Row],[VALOR ATENCIÓN (8 MESES)]],Tabla44[[#This Row],[VALOR TOTAL]])</f>
        <v>1</v>
      </c>
      <c r="BF519" s="23">
        <f>Tabla44[[#This Row],[VALOR ATENCIÓN (8 MESES)]]-Tabla44[[#This Row],[VALOR TOTAL]]</f>
        <v>0</v>
      </c>
      <c r="BG519" s="12" t="b">
        <f>EXACT(Tabla44[[#This Row],[TOTAL DESEMBOLSOS]],Tabla44[[#This Row],[VALOR TOTAL DEL CONTRATO INCLUIDO EL COMPONENTE DE ALIMENTACIÓN]])</f>
        <v>1</v>
      </c>
      <c r="BH519" s="29">
        <f>Tabla44[[#This Row],[TOTAL DESEMBOLSOS]]-Tabla44[[#This Row],[VALOR TOTAL DEL CONTRATO INCLUIDO EL COMPONENTE DE ALIMENTACIÓN]]</f>
        <v>0</v>
      </c>
      <c r="BI519" t="s">
        <v>98</v>
      </c>
    </row>
    <row r="520" spans="1:61">
      <c r="A520" s="13">
        <v>2023</v>
      </c>
      <c r="B520" s="13"/>
      <c r="C520" s="12" t="s">
        <v>87</v>
      </c>
      <c r="D520" s="12" t="s">
        <v>673</v>
      </c>
      <c r="E520" s="12" t="s">
        <v>3764</v>
      </c>
      <c r="F520" s="12" t="s">
        <v>21</v>
      </c>
      <c r="G520" s="12" t="s">
        <v>90</v>
      </c>
      <c r="H520" s="12" t="s">
        <v>3806</v>
      </c>
      <c r="I520" s="36">
        <v>58901148753</v>
      </c>
      <c r="J520" s="12" t="s">
        <v>3807</v>
      </c>
      <c r="K520" s="12">
        <v>1</v>
      </c>
      <c r="L520" s="12">
        <v>10</v>
      </c>
      <c r="M520" s="12"/>
      <c r="N520" s="13">
        <v>2023</v>
      </c>
      <c r="O520" s="12" t="s">
        <v>2850</v>
      </c>
      <c r="P520" s="12"/>
      <c r="Q520" s="12"/>
      <c r="R520" s="12" t="s">
        <v>94</v>
      </c>
      <c r="S520" s="12">
        <v>10</v>
      </c>
      <c r="T520" s="12">
        <v>830508092</v>
      </c>
      <c r="U520" s="12" t="s">
        <v>584</v>
      </c>
      <c r="V520" s="12">
        <f>VLOOKUP(Tabla44[[#This Row],[ZONA DEFINITIVO]],[1]Hoja1!$A$1:$D$125,3,0)</f>
        <v>229947</v>
      </c>
      <c r="W520" s="12">
        <f>VLOOKUP(Tabla44[[#This Row],[ZONA DEFINITIVO]],[1]Hoja1!$A$1:$D$125,2,0)</f>
        <v>17263</v>
      </c>
      <c r="X520" s="12">
        <f>VLOOKUP(Tabla44[[#This Row],[ZONA DEFINITIVO]],[1]Hoja1!$A$1:$D$125,4,0)</f>
        <v>104925</v>
      </c>
      <c r="Y520" s="12" t="str">
        <f>+IF(Tabla44[[#This Row],[AGRUPACIONES]]=1,SUMIFS(Tabla44[UDS],Tabla44[ZONA DEFINITIVO],Tabla44[[#This Row],[ZONA DEFINITIVO]])," ")</f>
        <v xml:space="preserve"> </v>
      </c>
      <c r="Z520" s="12" t="str">
        <f>+IF(Tabla44[[#This Row],[AGRUPACIONES]]=1,SUMIFS(Tabla44[TOTAL COBERTURA],Tabla44[ZONA DEFINITIVO],Tabla44[[#This Row],[ZONA DEFINITIVO]])," ")</f>
        <v xml:space="preserve"> </v>
      </c>
      <c r="AA520" s="12"/>
      <c r="AB520" s="35">
        <v>15193050</v>
      </c>
      <c r="AC520" s="37">
        <v>0</v>
      </c>
      <c r="AD520" s="35">
        <f t="shared" si="8"/>
        <v>0</v>
      </c>
      <c r="AE520" s="12"/>
      <c r="AF520" s="12">
        <f>COUNTIF($A$20:A520,A520)</f>
        <v>24</v>
      </c>
      <c r="AG520" s="38">
        <v>15193050</v>
      </c>
      <c r="AH520" s="38">
        <f>Tabla44[[#This Row],[VALOR CONTRAPARTIDA]]+Tabla44[[#This Row],[TOTAL APORTES ICBF]]</f>
        <v>15193050</v>
      </c>
      <c r="AI520" s="35" t="str">
        <f>+IF(Tabla44[[#This Row],[AGRUPACIONES]]=1,SUMIFS(Tabla44[TOTAL APORTES ICBF],Tabla44[ZONA DEFINITIVO],Tabla44[[#This Row],[ZONA DEFINITIVO]])," ")</f>
        <v xml:space="preserve"> </v>
      </c>
      <c r="AJ520" s="38"/>
      <c r="AK520" s="38"/>
      <c r="AL520" s="35"/>
      <c r="AM520" s="35">
        <f>VLOOKUP(Tabla44[[#This Row],[SERVICIO 2025]],$J$2:$V$15,5,0)*Tabla44[[#This Row],[TOTAL COBERTURA]]</f>
        <v>467440</v>
      </c>
      <c r="AN520" s="35">
        <f>VLOOKUP(Tabla44[[#This Row],[SERVICIO 2025]],$J$2:$V$15,6,0)*Tabla44[[#This Row],[TOTAL COBERTURA]]</f>
        <v>378410</v>
      </c>
      <c r="AO520" s="35">
        <f>VLOOKUP(Tabla44[[#This Row],[SERVICIO 2025]],$J$2:$V$15,8,0)*Tabla44[[#This Row],[TOTAL COBERTURA]]</f>
        <v>0</v>
      </c>
      <c r="AP520" s="35">
        <f>VLOOKUP(Tabla44[[#This Row],[SERVICIO 2025]],$J$2:$V$15,3,0)*Tabla44[[#This Row],[TOTAL COBERTURA]]*8</f>
        <v>14347200</v>
      </c>
      <c r="AQ520" s="35"/>
      <c r="AR520" s="35">
        <f>SUM(Tabla44[[#This Row],[VALOR FASE PREPARATORIA DE ALISTAMIENTO]:[VALOR RACION PREPARADA]])</f>
        <v>15193050</v>
      </c>
      <c r="AS520" s="35" t="str">
        <f>+IF(Tabla44[[#This Row],[AGRUPACIONES]]=1,SUMIFS(Tabla44[VALOR TOTAL],Tabla44[ZONA DEFINITIVO],Tabla44[[#This Row],[ZONA DEFINITIVO]])," ")</f>
        <v xml:space="preserve"> </v>
      </c>
      <c r="AT520" s="35">
        <f>VLOOKUP(Tabla44[[#This Row],[SERVICIO 2025]],$J$2:$V$15,10,0)*Tabla44[[#This Row],[TOTAL COBERTURA]]*$X$7</f>
        <v>15065680</v>
      </c>
      <c r="AU520" s="39">
        <f>Tabla44[[#This Row],[TOTAL CONTRATO (ICBF+EAS)]]+Tabla44[[#This Row],[VALOR COMPONENTE ALIMENTACION NO ASIGNADO]]</f>
        <v>30258730</v>
      </c>
      <c r="AV52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4144050</v>
      </c>
      <c r="AW520" s="35">
        <f>(VLOOKUP(Tabla44[[#This Row],[SERVICIO 2025]],$J$2:$V$15,3,0)*Tabla44[[#This Row],[TOTAL COBERTURA]])+VLOOKUP(Tabla44[[#This Row],[SERVICIO 2025]],$J$2:$V$15,10,0)*Tabla44[[#This Row],[TOTAL COBERTURA]]</f>
        <v>3676610</v>
      </c>
      <c r="AX520" s="35">
        <f>(VLOOKUP(Tabla44[[#This Row],[SERVICIO 2025]],$J$2:$V$15,3,0)*Tabla44[[#This Row],[TOTAL COBERTURA]])+VLOOKUP(Tabla44[[#This Row],[SERVICIO 2025]],$J$2:$V$15,10,0)*Tabla44[[#This Row],[TOTAL COBERTURA]]</f>
        <v>3676610</v>
      </c>
      <c r="AY520" s="35">
        <f>(VLOOKUP(Tabla44[[#This Row],[SERVICIO 2025]],$J$2:$V$15,3,0)*Tabla44[[#This Row],[TOTAL COBERTURA]])+VLOOKUP(Tabla44[[#This Row],[SERVICIO 2025]],$J$2:$V$15,10,0)*Tabla44[[#This Row],[TOTAL COBERTURA]]</f>
        <v>3676610</v>
      </c>
      <c r="AZ520" s="35">
        <f>(VLOOKUP(Tabla44[[#This Row],[SERVICIO 2025]],$J$2:$V$15,3,0)*Tabla44[[#This Row],[TOTAL COBERTURA]])+VLOOKUP(Tabla44[[#This Row],[SERVICIO 2025]],$J$2:$V$15,10,0)*Tabla44[[#This Row],[TOTAL COBERTURA]]</f>
        <v>3676610</v>
      </c>
      <c r="BA520" s="35">
        <f>(VLOOKUP(Tabla44[[#This Row],[SERVICIO 2025]],$J$2:$V$15,3,0)*Tabla44[[#This Row],[TOTAL COBERTURA]])+VLOOKUP(Tabla44[[#This Row],[SERVICIO 2025]],$J$2:$V$15,10,0)*Tabla44[[#This Row],[TOTAL COBERTURA]]</f>
        <v>3676610</v>
      </c>
      <c r="BB520" s="35">
        <f>(VLOOKUP(Tabla44[[#This Row],[SERVICIO 2025]],$J$2:$V$15,3,0)*Tabla44[[#This Row],[TOTAL COBERTURA]])+VLOOKUP(Tabla44[[#This Row],[SERVICIO 2025]],$J$2:$V$15,10,0)*Tabla44[[#This Row],[TOTAL COBERTURA]]</f>
        <v>3676610</v>
      </c>
      <c r="BC52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4055020</v>
      </c>
      <c r="BD520" s="35">
        <f>SUM(Tabla44[[#This Row],[DESEMBOLSO 1]:[DESEMBOLSO 8]])</f>
        <v>30258730</v>
      </c>
      <c r="BE520" s="12" t="b">
        <f>EXACT(Tabla44[[#This Row],[VALOR ATENCIÓN (8 MESES)]],Tabla44[[#This Row],[VALOR TOTAL]])</f>
        <v>1</v>
      </c>
      <c r="BF520" s="23">
        <f>Tabla44[[#This Row],[VALOR ATENCIÓN (8 MESES)]]-Tabla44[[#This Row],[VALOR TOTAL]]</f>
        <v>0</v>
      </c>
      <c r="BG520" s="12" t="b">
        <f>EXACT(Tabla44[[#This Row],[TOTAL DESEMBOLSOS]],Tabla44[[#This Row],[VALOR TOTAL DEL CONTRATO INCLUIDO EL COMPONENTE DE ALIMENTACIÓN]])</f>
        <v>1</v>
      </c>
      <c r="BH520" s="29">
        <f>Tabla44[[#This Row],[TOTAL DESEMBOLSOS]]-Tabla44[[#This Row],[VALOR TOTAL DEL CONTRATO INCLUIDO EL COMPONENTE DE ALIMENTACIÓN]]</f>
        <v>0</v>
      </c>
      <c r="BI520" t="s">
        <v>98</v>
      </c>
    </row>
    <row r="521" spans="1:61">
      <c r="A521" s="13">
        <v>2023</v>
      </c>
      <c r="B521" s="13"/>
      <c r="C521" s="12" t="s">
        <v>87</v>
      </c>
      <c r="D521" s="12" t="s">
        <v>673</v>
      </c>
      <c r="E521" s="12" t="s">
        <v>3764</v>
      </c>
      <c r="F521" s="12" t="s">
        <v>21</v>
      </c>
      <c r="G521" s="12" t="s">
        <v>90</v>
      </c>
      <c r="H521" s="12" t="s">
        <v>3808</v>
      </c>
      <c r="I521" s="36">
        <v>58901148755</v>
      </c>
      <c r="J521" s="12" t="s">
        <v>3809</v>
      </c>
      <c r="K521" s="12">
        <v>1</v>
      </c>
      <c r="L521" s="12">
        <v>19</v>
      </c>
      <c r="M521" s="12"/>
      <c r="N521" s="13">
        <v>2023</v>
      </c>
      <c r="O521" s="12" t="s">
        <v>2850</v>
      </c>
      <c r="P521" s="12"/>
      <c r="Q521" s="12"/>
      <c r="R521" s="12" t="s">
        <v>94</v>
      </c>
      <c r="S521" s="12">
        <v>10</v>
      </c>
      <c r="T521" s="12">
        <v>830508092</v>
      </c>
      <c r="U521" s="12" t="s">
        <v>584</v>
      </c>
      <c r="V521" s="12">
        <f>VLOOKUP(Tabla44[[#This Row],[ZONA DEFINITIVO]],[1]Hoja1!$A$1:$D$125,3,0)</f>
        <v>229947</v>
      </c>
      <c r="W521" s="12">
        <f>VLOOKUP(Tabla44[[#This Row],[ZONA DEFINITIVO]],[1]Hoja1!$A$1:$D$125,2,0)</f>
        <v>17263</v>
      </c>
      <c r="X521" s="12">
        <f>VLOOKUP(Tabla44[[#This Row],[ZONA DEFINITIVO]],[1]Hoja1!$A$1:$D$125,4,0)</f>
        <v>104925</v>
      </c>
      <c r="Y521" s="12" t="str">
        <f>+IF(Tabla44[[#This Row],[AGRUPACIONES]]=1,SUMIFS(Tabla44[UDS],Tabla44[ZONA DEFINITIVO],Tabla44[[#This Row],[ZONA DEFINITIVO]])," ")</f>
        <v xml:space="preserve"> </v>
      </c>
      <c r="Z521" s="12" t="str">
        <f>+IF(Tabla44[[#This Row],[AGRUPACIONES]]=1,SUMIFS(Tabla44[TOTAL COBERTURA],Tabla44[ZONA DEFINITIVO],Tabla44[[#This Row],[ZONA DEFINITIVO]])," ")</f>
        <v xml:space="preserve"> </v>
      </c>
      <c r="AA521" s="12"/>
      <c r="AB521" s="35">
        <v>28866795</v>
      </c>
      <c r="AC521" s="37">
        <v>0</v>
      </c>
      <c r="AD521" s="35">
        <f t="shared" si="8"/>
        <v>0</v>
      </c>
      <c r="AE521" s="12"/>
      <c r="AF521" s="12">
        <f>COUNTIF($A$20:A521,A521)</f>
        <v>25</v>
      </c>
      <c r="AG521" s="38">
        <v>28866795</v>
      </c>
      <c r="AH521" s="38">
        <f>Tabla44[[#This Row],[VALOR CONTRAPARTIDA]]+Tabla44[[#This Row],[TOTAL APORTES ICBF]]</f>
        <v>28866795</v>
      </c>
      <c r="AI521" s="35" t="str">
        <f>+IF(Tabla44[[#This Row],[AGRUPACIONES]]=1,SUMIFS(Tabla44[TOTAL APORTES ICBF],Tabla44[ZONA DEFINITIVO],Tabla44[[#This Row],[ZONA DEFINITIVO]])," ")</f>
        <v xml:space="preserve"> </v>
      </c>
      <c r="AJ521" s="38"/>
      <c r="AK521" s="38"/>
      <c r="AL521" s="35"/>
      <c r="AM521" s="35">
        <f>VLOOKUP(Tabla44[[#This Row],[SERVICIO 2025]],$J$2:$V$15,5,0)*Tabla44[[#This Row],[TOTAL COBERTURA]]</f>
        <v>888136</v>
      </c>
      <c r="AN521" s="35">
        <f>VLOOKUP(Tabla44[[#This Row],[SERVICIO 2025]],$J$2:$V$15,6,0)*Tabla44[[#This Row],[TOTAL COBERTURA]]</f>
        <v>718979</v>
      </c>
      <c r="AO521" s="35">
        <f>VLOOKUP(Tabla44[[#This Row],[SERVICIO 2025]],$J$2:$V$15,8,0)*Tabla44[[#This Row],[TOTAL COBERTURA]]</f>
        <v>0</v>
      </c>
      <c r="AP521" s="35">
        <f>VLOOKUP(Tabla44[[#This Row],[SERVICIO 2025]],$J$2:$V$15,3,0)*Tabla44[[#This Row],[TOTAL COBERTURA]]*8</f>
        <v>27259680</v>
      </c>
      <c r="AQ521" s="35"/>
      <c r="AR521" s="35">
        <f>SUM(Tabla44[[#This Row],[VALOR FASE PREPARATORIA DE ALISTAMIENTO]:[VALOR RACION PREPARADA]])</f>
        <v>28866795</v>
      </c>
      <c r="AS521" s="35" t="str">
        <f>+IF(Tabla44[[#This Row],[AGRUPACIONES]]=1,SUMIFS(Tabla44[VALOR TOTAL],Tabla44[ZONA DEFINITIVO],Tabla44[[#This Row],[ZONA DEFINITIVO]])," ")</f>
        <v xml:space="preserve"> </v>
      </c>
      <c r="AT521" s="35">
        <f>VLOOKUP(Tabla44[[#This Row],[SERVICIO 2025]],$J$2:$V$15,10,0)*Tabla44[[#This Row],[TOTAL COBERTURA]]*$X$7</f>
        <v>28624792</v>
      </c>
      <c r="AU521" s="39">
        <f>Tabla44[[#This Row],[TOTAL CONTRATO (ICBF+EAS)]]+Tabla44[[#This Row],[VALOR COMPONENTE ALIMENTACION NO ASIGNADO]]</f>
        <v>57491587</v>
      </c>
      <c r="AV52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7873695</v>
      </c>
      <c r="AW521" s="35">
        <f>(VLOOKUP(Tabla44[[#This Row],[SERVICIO 2025]],$J$2:$V$15,3,0)*Tabla44[[#This Row],[TOTAL COBERTURA]])+VLOOKUP(Tabla44[[#This Row],[SERVICIO 2025]],$J$2:$V$15,10,0)*Tabla44[[#This Row],[TOTAL COBERTURA]]</f>
        <v>6985559</v>
      </c>
      <c r="AX521" s="35">
        <f>(VLOOKUP(Tabla44[[#This Row],[SERVICIO 2025]],$J$2:$V$15,3,0)*Tabla44[[#This Row],[TOTAL COBERTURA]])+VLOOKUP(Tabla44[[#This Row],[SERVICIO 2025]],$J$2:$V$15,10,0)*Tabla44[[#This Row],[TOTAL COBERTURA]]</f>
        <v>6985559</v>
      </c>
      <c r="AY521" s="35">
        <f>(VLOOKUP(Tabla44[[#This Row],[SERVICIO 2025]],$J$2:$V$15,3,0)*Tabla44[[#This Row],[TOTAL COBERTURA]])+VLOOKUP(Tabla44[[#This Row],[SERVICIO 2025]],$J$2:$V$15,10,0)*Tabla44[[#This Row],[TOTAL COBERTURA]]</f>
        <v>6985559</v>
      </c>
      <c r="AZ521" s="35">
        <f>(VLOOKUP(Tabla44[[#This Row],[SERVICIO 2025]],$J$2:$V$15,3,0)*Tabla44[[#This Row],[TOTAL COBERTURA]])+VLOOKUP(Tabla44[[#This Row],[SERVICIO 2025]],$J$2:$V$15,10,0)*Tabla44[[#This Row],[TOTAL COBERTURA]]</f>
        <v>6985559</v>
      </c>
      <c r="BA521" s="35">
        <f>(VLOOKUP(Tabla44[[#This Row],[SERVICIO 2025]],$J$2:$V$15,3,0)*Tabla44[[#This Row],[TOTAL COBERTURA]])+VLOOKUP(Tabla44[[#This Row],[SERVICIO 2025]],$J$2:$V$15,10,0)*Tabla44[[#This Row],[TOTAL COBERTURA]]</f>
        <v>6985559</v>
      </c>
      <c r="BB521" s="35">
        <f>(VLOOKUP(Tabla44[[#This Row],[SERVICIO 2025]],$J$2:$V$15,3,0)*Tabla44[[#This Row],[TOTAL COBERTURA]])+VLOOKUP(Tabla44[[#This Row],[SERVICIO 2025]],$J$2:$V$15,10,0)*Tabla44[[#This Row],[TOTAL COBERTURA]]</f>
        <v>6985559</v>
      </c>
      <c r="BC52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7704538</v>
      </c>
      <c r="BD521" s="35">
        <f>SUM(Tabla44[[#This Row],[DESEMBOLSO 1]:[DESEMBOLSO 8]])</f>
        <v>57491587</v>
      </c>
      <c r="BE521" s="12" t="b">
        <f>EXACT(Tabla44[[#This Row],[VALOR ATENCIÓN (8 MESES)]],Tabla44[[#This Row],[VALOR TOTAL]])</f>
        <v>1</v>
      </c>
      <c r="BF521" s="23">
        <f>Tabla44[[#This Row],[VALOR ATENCIÓN (8 MESES)]]-Tabla44[[#This Row],[VALOR TOTAL]]</f>
        <v>0</v>
      </c>
      <c r="BG521" s="12" t="b">
        <f>EXACT(Tabla44[[#This Row],[TOTAL DESEMBOLSOS]],Tabla44[[#This Row],[VALOR TOTAL DEL CONTRATO INCLUIDO EL COMPONENTE DE ALIMENTACIÓN]])</f>
        <v>1</v>
      </c>
      <c r="BH521" s="29">
        <f>Tabla44[[#This Row],[TOTAL DESEMBOLSOS]]-Tabla44[[#This Row],[VALOR TOTAL DEL CONTRATO INCLUIDO EL COMPONENTE DE ALIMENTACIÓN]]</f>
        <v>0</v>
      </c>
      <c r="BI521" t="s">
        <v>98</v>
      </c>
    </row>
    <row r="522" spans="1:61">
      <c r="A522" s="13">
        <v>2023</v>
      </c>
      <c r="B522" s="13"/>
      <c r="C522" s="12" t="s">
        <v>87</v>
      </c>
      <c r="D522" s="12" t="s">
        <v>673</v>
      </c>
      <c r="E522" s="12" t="s">
        <v>3764</v>
      </c>
      <c r="F522" s="12" t="s">
        <v>21</v>
      </c>
      <c r="G522" s="12" t="s">
        <v>90</v>
      </c>
      <c r="H522" s="12" t="s">
        <v>3810</v>
      </c>
      <c r="I522" s="36">
        <v>58901148756</v>
      </c>
      <c r="J522" s="12" t="s">
        <v>3811</v>
      </c>
      <c r="K522" s="12">
        <v>1</v>
      </c>
      <c r="L522" s="12">
        <v>5</v>
      </c>
      <c r="M522" s="12"/>
      <c r="N522" s="13">
        <v>2023</v>
      </c>
      <c r="O522" s="12" t="s">
        <v>2850</v>
      </c>
      <c r="P522" s="12"/>
      <c r="Q522" s="12"/>
      <c r="R522" s="12" t="s">
        <v>94</v>
      </c>
      <c r="S522" s="12">
        <v>10</v>
      </c>
      <c r="T522" s="12">
        <v>830508092</v>
      </c>
      <c r="U522" s="12" t="s">
        <v>584</v>
      </c>
      <c r="V522" s="12">
        <f>VLOOKUP(Tabla44[[#This Row],[ZONA DEFINITIVO]],[1]Hoja1!$A$1:$D$125,3,0)</f>
        <v>229947</v>
      </c>
      <c r="W522" s="12">
        <f>VLOOKUP(Tabla44[[#This Row],[ZONA DEFINITIVO]],[1]Hoja1!$A$1:$D$125,2,0)</f>
        <v>17263</v>
      </c>
      <c r="X522" s="12">
        <f>VLOOKUP(Tabla44[[#This Row],[ZONA DEFINITIVO]],[1]Hoja1!$A$1:$D$125,4,0)</f>
        <v>104925</v>
      </c>
      <c r="Y522" s="12" t="str">
        <f>+IF(Tabla44[[#This Row],[AGRUPACIONES]]=1,SUMIFS(Tabla44[UDS],Tabla44[ZONA DEFINITIVO],Tabla44[[#This Row],[ZONA DEFINITIVO]])," ")</f>
        <v xml:space="preserve"> </v>
      </c>
      <c r="Z522" s="12" t="str">
        <f>+IF(Tabla44[[#This Row],[AGRUPACIONES]]=1,SUMIFS(Tabla44[TOTAL COBERTURA],Tabla44[ZONA DEFINITIVO],Tabla44[[#This Row],[ZONA DEFINITIVO]])," ")</f>
        <v xml:space="preserve"> </v>
      </c>
      <c r="AA522" s="12"/>
      <c r="AB522" s="35">
        <v>7596525</v>
      </c>
      <c r="AC522" s="37">
        <v>0</v>
      </c>
      <c r="AD522" s="35">
        <f t="shared" si="8"/>
        <v>0</v>
      </c>
      <c r="AE522" s="12"/>
      <c r="AF522" s="12">
        <f>COUNTIF($A$20:A522,A522)</f>
        <v>26</v>
      </c>
      <c r="AG522" s="38">
        <v>7596525</v>
      </c>
      <c r="AH522" s="38">
        <f>Tabla44[[#This Row],[VALOR CONTRAPARTIDA]]+Tabla44[[#This Row],[TOTAL APORTES ICBF]]</f>
        <v>7596525</v>
      </c>
      <c r="AI522" s="35" t="str">
        <f>+IF(Tabla44[[#This Row],[AGRUPACIONES]]=1,SUMIFS(Tabla44[TOTAL APORTES ICBF],Tabla44[ZONA DEFINITIVO],Tabla44[[#This Row],[ZONA DEFINITIVO]])," ")</f>
        <v xml:space="preserve"> </v>
      </c>
      <c r="AJ522" s="38"/>
      <c r="AK522" s="38"/>
      <c r="AL522" s="35"/>
      <c r="AM522" s="35">
        <f>VLOOKUP(Tabla44[[#This Row],[SERVICIO 2025]],$J$2:$V$15,5,0)*Tabla44[[#This Row],[TOTAL COBERTURA]]</f>
        <v>233720</v>
      </c>
      <c r="AN522" s="35">
        <f>VLOOKUP(Tabla44[[#This Row],[SERVICIO 2025]],$J$2:$V$15,6,0)*Tabla44[[#This Row],[TOTAL COBERTURA]]</f>
        <v>189205</v>
      </c>
      <c r="AO522" s="35">
        <f>VLOOKUP(Tabla44[[#This Row],[SERVICIO 2025]],$J$2:$V$15,8,0)*Tabla44[[#This Row],[TOTAL COBERTURA]]</f>
        <v>0</v>
      </c>
      <c r="AP522" s="35">
        <f>VLOOKUP(Tabla44[[#This Row],[SERVICIO 2025]],$J$2:$V$15,3,0)*Tabla44[[#This Row],[TOTAL COBERTURA]]*8</f>
        <v>7173600</v>
      </c>
      <c r="AQ522" s="35"/>
      <c r="AR522" s="35">
        <f>SUM(Tabla44[[#This Row],[VALOR FASE PREPARATORIA DE ALISTAMIENTO]:[VALOR RACION PREPARADA]])</f>
        <v>7596525</v>
      </c>
      <c r="AS522" s="35" t="str">
        <f>+IF(Tabla44[[#This Row],[AGRUPACIONES]]=1,SUMIFS(Tabla44[VALOR TOTAL],Tabla44[ZONA DEFINITIVO],Tabla44[[#This Row],[ZONA DEFINITIVO]])," ")</f>
        <v xml:space="preserve"> </v>
      </c>
      <c r="AT522" s="35">
        <f>VLOOKUP(Tabla44[[#This Row],[SERVICIO 2025]],$J$2:$V$15,10,0)*Tabla44[[#This Row],[TOTAL COBERTURA]]*$X$7</f>
        <v>7532840</v>
      </c>
      <c r="AU522" s="39">
        <f>Tabla44[[#This Row],[TOTAL CONTRATO (ICBF+EAS)]]+Tabla44[[#This Row],[VALOR COMPONENTE ALIMENTACION NO ASIGNADO]]</f>
        <v>15129365</v>
      </c>
      <c r="AV52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</v>
      </c>
      <c r="AW522" s="35">
        <f>(VLOOKUP(Tabla44[[#This Row],[SERVICIO 2025]],$J$2:$V$15,3,0)*Tabla44[[#This Row],[TOTAL COBERTURA]])+VLOOKUP(Tabla44[[#This Row],[SERVICIO 2025]],$J$2:$V$15,10,0)*Tabla44[[#This Row],[TOTAL COBERTURA]]</f>
        <v>1838305</v>
      </c>
      <c r="AX522" s="35">
        <f>(VLOOKUP(Tabla44[[#This Row],[SERVICIO 2025]],$J$2:$V$15,3,0)*Tabla44[[#This Row],[TOTAL COBERTURA]])+VLOOKUP(Tabla44[[#This Row],[SERVICIO 2025]],$J$2:$V$15,10,0)*Tabla44[[#This Row],[TOTAL COBERTURA]]</f>
        <v>1838305</v>
      </c>
      <c r="AY522" s="35">
        <f>(VLOOKUP(Tabla44[[#This Row],[SERVICIO 2025]],$J$2:$V$15,3,0)*Tabla44[[#This Row],[TOTAL COBERTURA]])+VLOOKUP(Tabla44[[#This Row],[SERVICIO 2025]],$J$2:$V$15,10,0)*Tabla44[[#This Row],[TOTAL COBERTURA]]</f>
        <v>1838305</v>
      </c>
      <c r="AZ522" s="35">
        <f>(VLOOKUP(Tabla44[[#This Row],[SERVICIO 2025]],$J$2:$V$15,3,0)*Tabla44[[#This Row],[TOTAL COBERTURA]])+VLOOKUP(Tabla44[[#This Row],[SERVICIO 2025]],$J$2:$V$15,10,0)*Tabla44[[#This Row],[TOTAL COBERTURA]]</f>
        <v>1838305</v>
      </c>
      <c r="BA522" s="35">
        <f>(VLOOKUP(Tabla44[[#This Row],[SERVICIO 2025]],$J$2:$V$15,3,0)*Tabla44[[#This Row],[TOTAL COBERTURA]])+VLOOKUP(Tabla44[[#This Row],[SERVICIO 2025]],$J$2:$V$15,10,0)*Tabla44[[#This Row],[TOTAL COBERTURA]]</f>
        <v>1838305</v>
      </c>
      <c r="BB522" s="35">
        <f>(VLOOKUP(Tabla44[[#This Row],[SERVICIO 2025]],$J$2:$V$15,3,0)*Tabla44[[#This Row],[TOTAL COBERTURA]])+VLOOKUP(Tabla44[[#This Row],[SERVICIO 2025]],$J$2:$V$15,10,0)*Tabla44[[#This Row],[TOTAL COBERTURA]]</f>
        <v>1838305</v>
      </c>
      <c r="BC52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</v>
      </c>
      <c r="BD522" s="35">
        <f>SUM(Tabla44[[#This Row],[DESEMBOLSO 1]:[DESEMBOLSO 8]])</f>
        <v>15129365</v>
      </c>
      <c r="BE522" s="12" t="b">
        <f>EXACT(Tabla44[[#This Row],[VALOR ATENCIÓN (8 MESES)]],Tabla44[[#This Row],[VALOR TOTAL]])</f>
        <v>1</v>
      </c>
      <c r="BF522" s="23">
        <f>Tabla44[[#This Row],[VALOR ATENCIÓN (8 MESES)]]-Tabla44[[#This Row],[VALOR TOTAL]]</f>
        <v>0</v>
      </c>
      <c r="BG522" s="12" t="b">
        <f>EXACT(Tabla44[[#This Row],[TOTAL DESEMBOLSOS]],Tabla44[[#This Row],[VALOR TOTAL DEL CONTRATO INCLUIDO EL COMPONENTE DE ALIMENTACIÓN]])</f>
        <v>1</v>
      </c>
      <c r="BH522" s="29">
        <f>Tabla44[[#This Row],[TOTAL DESEMBOLSOS]]-Tabla44[[#This Row],[VALOR TOTAL DEL CONTRATO INCLUIDO EL COMPONENTE DE ALIMENTACIÓN]]</f>
        <v>0</v>
      </c>
      <c r="BI522" t="s">
        <v>98</v>
      </c>
    </row>
    <row r="523" spans="1:61">
      <c r="A523" s="13">
        <v>2023</v>
      </c>
      <c r="B523" s="13"/>
      <c r="C523" s="12" t="s">
        <v>87</v>
      </c>
      <c r="D523" s="12" t="s">
        <v>673</v>
      </c>
      <c r="E523" s="12" t="s">
        <v>3764</v>
      </c>
      <c r="F523" s="12" t="s">
        <v>21</v>
      </c>
      <c r="G523" s="12" t="s">
        <v>90</v>
      </c>
      <c r="H523" s="12" t="s">
        <v>3812</v>
      </c>
      <c r="I523" s="36">
        <v>58901148761</v>
      </c>
      <c r="J523" s="12" t="s">
        <v>3813</v>
      </c>
      <c r="K523" s="12">
        <v>1</v>
      </c>
      <c r="L523" s="12">
        <v>13</v>
      </c>
      <c r="M523" s="12"/>
      <c r="N523" s="13">
        <v>2023</v>
      </c>
      <c r="O523" s="12" t="s">
        <v>2850</v>
      </c>
      <c r="P523" s="12"/>
      <c r="Q523" s="12"/>
      <c r="R523" s="12" t="s">
        <v>94</v>
      </c>
      <c r="S523" s="12">
        <v>10</v>
      </c>
      <c r="T523" s="12">
        <v>830508092</v>
      </c>
      <c r="U523" s="12" t="s">
        <v>584</v>
      </c>
      <c r="V523" s="12">
        <f>VLOOKUP(Tabla44[[#This Row],[ZONA DEFINITIVO]],[1]Hoja1!$A$1:$D$125,3,0)</f>
        <v>229947</v>
      </c>
      <c r="W523" s="12">
        <f>VLOOKUP(Tabla44[[#This Row],[ZONA DEFINITIVO]],[1]Hoja1!$A$1:$D$125,2,0)</f>
        <v>17263</v>
      </c>
      <c r="X523" s="12">
        <f>VLOOKUP(Tabla44[[#This Row],[ZONA DEFINITIVO]],[1]Hoja1!$A$1:$D$125,4,0)</f>
        <v>104925</v>
      </c>
      <c r="Y523" s="12" t="str">
        <f>+IF(Tabla44[[#This Row],[AGRUPACIONES]]=1,SUMIFS(Tabla44[UDS],Tabla44[ZONA DEFINITIVO],Tabla44[[#This Row],[ZONA DEFINITIVO]])," ")</f>
        <v xml:space="preserve"> </v>
      </c>
      <c r="Z523" s="12" t="str">
        <f>+IF(Tabla44[[#This Row],[AGRUPACIONES]]=1,SUMIFS(Tabla44[TOTAL COBERTURA],Tabla44[ZONA DEFINITIVO],Tabla44[[#This Row],[ZONA DEFINITIVO]])," ")</f>
        <v xml:space="preserve"> </v>
      </c>
      <c r="AA523" s="12"/>
      <c r="AB523" s="35">
        <v>19750965</v>
      </c>
      <c r="AC523" s="37">
        <v>0</v>
      </c>
      <c r="AD523" s="35">
        <f t="shared" si="8"/>
        <v>0</v>
      </c>
      <c r="AE523" s="12"/>
      <c r="AF523" s="12">
        <f>COUNTIF($A$20:A523,A523)</f>
        <v>27</v>
      </c>
      <c r="AG523" s="38">
        <v>19750965</v>
      </c>
      <c r="AH523" s="38">
        <f>Tabla44[[#This Row],[VALOR CONTRAPARTIDA]]+Tabla44[[#This Row],[TOTAL APORTES ICBF]]</f>
        <v>19750965</v>
      </c>
      <c r="AI523" s="35" t="str">
        <f>+IF(Tabla44[[#This Row],[AGRUPACIONES]]=1,SUMIFS(Tabla44[TOTAL APORTES ICBF],Tabla44[ZONA DEFINITIVO],Tabla44[[#This Row],[ZONA DEFINITIVO]])," ")</f>
        <v xml:space="preserve"> </v>
      </c>
      <c r="AJ523" s="38"/>
      <c r="AK523" s="38"/>
      <c r="AL523" s="35"/>
      <c r="AM523" s="35">
        <f>VLOOKUP(Tabla44[[#This Row],[SERVICIO 2025]],$J$2:$V$15,5,0)*Tabla44[[#This Row],[TOTAL COBERTURA]]</f>
        <v>607672</v>
      </c>
      <c r="AN523" s="35">
        <f>VLOOKUP(Tabla44[[#This Row],[SERVICIO 2025]],$J$2:$V$15,6,0)*Tabla44[[#This Row],[TOTAL COBERTURA]]</f>
        <v>491933</v>
      </c>
      <c r="AO523" s="35">
        <f>VLOOKUP(Tabla44[[#This Row],[SERVICIO 2025]],$J$2:$V$15,8,0)*Tabla44[[#This Row],[TOTAL COBERTURA]]</f>
        <v>0</v>
      </c>
      <c r="AP523" s="35">
        <f>VLOOKUP(Tabla44[[#This Row],[SERVICIO 2025]],$J$2:$V$15,3,0)*Tabla44[[#This Row],[TOTAL COBERTURA]]*8</f>
        <v>18651360</v>
      </c>
      <c r="AQ523" s="35"/>
      <c r="AR523" s="35">
        <f>SUM(Tabla44[[#This Row],[VALOR FASE PREPARATORIA DE ALISTAMIENTO]:[VALOR RACION PREPARADA]])</f>
        <v>19750965</v>
      </c>
      <c r="AS523" s="35" t="str">
        <f>+IF(Tabla44[[#This Row],[AGRUPACIONES]]=1,SUMIFS(Tabla44[VALOR TOTAL],Tabla44[ZONA DEFINITIVO],Tabla44[[#This Row],[ZONA DEFINITIVO]])," ")</f>
        <v xml:space="preserve"> </v>
      </c>
      <c r="AT523" s="35">
        <f>VLOOKUP(Tabla44[[#This Row],[SERVICIO 2025]],$J$2:$V$15,10,0)*Tabla44[[#This Row],[TOTAL COBERTURA]]*$X$7</f>
        <v>19585384</v>
      </c>
      <c r="AU523" s="39">
        <f>Tabla44[[#This Row],[TOTAL CONTRATO (ICBF+EAS)]]+Tabla44[[#This Row],[VALOR COMPONENTE ALIMENTACION NO ASIGNADO]]</f>
        <v>39336349</v>
      </c>
      <c r="AV52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5387265</v>
      </c>
      <c r="AW523" s="35">
        <f>(VLOOKUP(Tabla44[[#This Row],[SERVICIO 2025]],$J$2:$V$15,3,0)*Tabla44[[#This Row],[TOTAL COBERTURA]])+VLOOKUP(Tabla44[[#This Row],[SERVICIO 2025]],$J$2:$V$15,10,0)*Tabla44[[#This Row],[TOTAL COBERTURA]]</f>
        <v>4779593</v>
      </c>
      <c r="AX523" s="35">
        <f>(VLOOKUP(Tabla44[[#This Row],[SERVICIO 2025]],$J$2:$V$15,3,0)*Tabla44[[#This Row],[TOTAL COBERTURA]])+VLOOKUP(Tabla44[[#This Row],[SERVICIO 2025]],$J$2:$V$15,10,0)*Tabla44[[#This Row],[TOTAL COBERTURA]]</f>
        <v>4779593</v>
      </c>
      <c r="AY523" s="35">
        <f>(VLOOKUP(Tabla44[[#This Row],[SERVICIO 2025]],$J$2:$V$15,3,0)*Tabla44[[#This Row],[TOTAL COBERTURA]])+VLOOKUP(Tabla44[[#This Row],[SERVICIO 2025]],$J$2:$V$15,10,0)*Tabla44[[#This Row],[TOTAL COBERTURA]]</f>
        <v>4779593</v>
      </c>
      <c r="AZ523" s="35">
        <f>(VLOOKUP(Tabla44[[#This Row],[SERVICIO 2025]],$J$2:$V$15,3,0)*Tabla44[[#This Row],[TOTAL COBERTURA]])+VLOOKUP(Tabla44[[#This Row],[SERVICIO 2025]],$J$2:$V$15,10,0)*Tabla44[[#This Row],[TOTAL COBERTURA]]</f>
        <v>4779593</v>
      </c>
      <c r="BA523" s="35">
        <f>(VLOOKUP(Tabla44[[#This Row],[SERVICIO 2025]],$J$2:$V$15,3,0)*Tabla44[[#This Row],[TOTAL COBERTURA]])+VLOOKUP(Tabla44[[#This Row],[SERVICIO 2025]],$J$2:$V$15,10,0)*Tabla44[[#This Row],[TOTAL COBERTURA]]</f>
        <v>4779593</v>
      </c>
      <c r="BB523" s="35">
        <f>(VLOOKUP(Tabla44[[#This Row],[SERVICIO 2025]],$J$2:$V$15,3,0)*Tabla44[[#This Row],[TOTAL COBERTURA]])+VLOOKUP(Tabla44[[#This Row],[SERVICIO 2025]],$J$2:$V$15,10,0)*Tabla44[[#This Row],[TOTAL COBERTURA]]</f>
        <v>4779593</v>
      </c>
      <c r="BC52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5271526</v>
      </c>
      <c r="BD523" s="35">
        <f>SUM(Tabla44[[#This Row],[DESEMBOLSO 1]:[DESEMBOLSO 8]])</f>
        <v>39336349</v>
      </c>
      <c r="BE523" s="12" t="b">
        <f>EXACT(Tabla44[[#This Row],[VALOR ATENCIÓN (8 MESES)]],Tabla44[[#This Row],[VALOR TOTAL]])</f>
        <v>1</v>
      </c>
      <c r="BF523" s="23">
        <f>Tabla44[[#This Row],[VALOR ATENCIÓN (8 MESES)]]-Tabla44[[#This Row],[VALOR TOTAL]]</f>
        <v>0</v>
      </c>
      <c r="BG523" s="12" t="b">
        <f>EXACT(Tabla44[[#This Row],[TOTAL DESEMBOLSOS]],Tabla44[[#This Row],[VALOR TOTAL DEL CONTRATO INCLUIDO EL COMPONENTE DE ALIMENTACIÓN]])</f>
        <v>1</v>
      </c>
      <c r="BH523" s="29">
        <f>Tabla44[[#This Row],[TOTAL DESEMBOLSOS]]-Tabla44[[#This Row],[VALOR TOTAL DEL CONTRATO INCLUIDO EL COMPONENTE DE ALIMENTACIÓN]]</f>
        <v>0</v>
      </c>
      <c r="BI523" t="s">
        <v>98</v>
      </c>
    </row>
    <row r="524" spans="1:61">
      <c r="A524" s="13">
        <v>2023</v>
      </c>
      <c r="B524" s="13"/>
      <c r="C524" s="12" t="s">
        <v>87</v>
      </c>
      <c r="D524" s="12" t="s">
        <v>673</v>
      </c>
      <c r="E524" s="12" t="s">
        <v>3764</v>
      </c>
      <c r="F524" s="12" t="s">
        <v>21</v>
      </c>
      <c r="G524" s="12" t="s">
        <v>90</v>
      </c>
      <c r="H524" s="12" t="s">
        <v>3814</v>
      </c>
      <c r="I524" s="36">
        <v>58901148776</v>
      </c>
      <c r="J524" s="12" t="s">
        <v>3815</v>
      </c>
      <c r="K524" s="12">
        <v>1</v>
      </c>
      <c r="L524" s="12">
        <v>55</v>
      </c>
      <c r="M524" s="12"/>
      <c r="N524" s="13">
        <v>2023</v>
      </c>
      <c r="O524" s="12" t="s">
        <v>2850</v>
      </c>
      <c r="P524" s="12"/>
      <c r="Q524" s="12"/>
      <c r="R524" s="12" t="s">
        <v>94</v>
      </c>
      <c r="S524" s="12">
        <v>10</v>
      </c>
      <c r="T524" s="12">
        <v>830508092</v>
      </c>
      <c r="U524" s="12" t="s">
        <v>584</v>
      </c>
      <c r="V524" s="12">
        <f>VLOOKUP(Tabla44[[#This Row],[ZONA DEFINITIVO]],[1]Hoja1!$A$1:$D$125,3,0)</f>
        <v>229947</v>
      </c>
      <c r="W524" s="12">
        <f>VLOOKUP(Tabla44[[#This Row],[ZONA DEFINITIVO]],[1]Hoja1!$A$1:$D$125,2,0)</f>
        <v>17263</v>
      </c>
      <c r="X524" s="12">
        <f>VLOOKUP(Tabla44[[#This Row],[ZONA DEFINITIVO]],[1]Hoja1!$A$1:$D$125,4,0)</f>
        <v>104925</v>
      </c>
      <c r="Y524" s="12" t="str">
        <f>+IF(Tabla44[[#This Row],[AGRUPACIONES]]=1,SUMIFS(Tabla44[UDS],Tabla44[ZONA DEFINITIVO],Tabla44[[#This Row],[ZONA DEFINITIVO]])," ")</f>
        <v xml:space="preserve"> </v>
      </c>
      <c r="Z524" s="12" t="str">
        <f>+IF(Tabla44[[#This Row],[AGRUPACIONES]]=1,SUMIFS(Tabla44[TOTAL COBERTURA],Tabla44[ZONA DEFINITIVO],Tabla44[[#This Row],[ZONA DEFINITIVO]])," ")</f>
        <v xml:space="preserve"> </v>
      </c>
      <c r="AA524" s="12"/>
      <c r="AB524" s="35">
        <v>83561775</v>
      </c>
      <c r="AC524" s="37">
        <v>0</v>
      </c>
      <c r="AD524" s="35">
        <f t="shared" si="8"/>
        <v>0</v>
      </c>
      <c r="AE524" s="12"/>
      <c r="AF524" s="12">
        <f>COUNTIF($A$20:A524,A524)</f>
        <v>28</v>
      </c>
      <c r="AG524" s="38">
        <v>83561775</v>
      </c>
      <c r="AH524" s="38">
        <f>Tabla44[[#This Row],[VALOR CONTRAPARTIDA]]+Tabla44[[#This Row],[TOTAL APORTES ICBF]]</f>
        <v>83561775</v>
      </c>
      <c r="AI524" s="35" t="str">
        <f>+IF(Tabla44[[#This Row],[AGRUPACIONES]]=1,SUMIFS(Tabla44[TOTAL APORTES ICBF],Tabla44[ZONA DEFINITIVO],Tabla44[[#This Row],[ZONA DEFINITIVO]])," ")</f>
        <v xml:space="preserve"> </v>
      </c>
      <c r="AJ524" s="38"/>
      <c r="AK524" s="38"/>
      <c r="AL524" s="35"/>
      <c r="AM524" s="35">
        <f>VLOOKUP(Tabla44[[#This Row],[SERVICIO 2025]],$J$2:$V$15,5,0)*Tabla44[[#This Row],[TOTAL COBERTURA]]</f>
        <v>2570920</v>
      </c>
      <c r="AN524" s="35">
        <f>VLOOKUP(Tabla44[[#This Row],[SERVICIO 2025]],$J$2:$V$15,6,0)*Tabla44[[#This Row],[TOTAL COBERTURA]]</f>
        <v>2081255</v>
      </c>
      <c r="AO524" s="35">
        <f>VLOOKUP(Tabla44[[#This Row],[SERVICIO 2025]],$J$2:$V$15,8,0)*Tabla44[[#This Row],[TOTAL COBERTURA]]</f>
        <v>0</v>
      </c>
      <c r="AP524" s="35">
        <f>VLOOKUP(Tabla44[[#This Row],[SERVICIO 2025]],$J$2:$V$15,3,0)*Tabla44[[#This Row],[TOTAL COBERTURA]]*8</f>
        <v>78909600</v>
      </c>
      <c r="AQ524" s="35"/>
      <c r="AR524" s="35">
        <f>SUM(Tabla44[[#This Row],[VALOR FASE PREPARATORIA DE ALISTAMIENTO]:[VALOR RACION PREPARADA]])</f>
        <v>83561775</v>
      </c>
      <c r="AS524" s="35" t="str">
        <f>+IF(Tabla44[[#This Row],[AGRUPACIONES]]=1,SUMIFS(Tabla44[VALOR TOTAL],Tabla44[ZONA DEFINITIVO],Tabla44[[#This Row],[ZONA DEFINITIVO]])," ")</f>
        <v xml:space="preserve"> </v>
      </c>
      <c r="AT524" s="35">
        <f>VLOOKUP(Tabla44[[#This Row],[SERVICIO 2025]],$J$2:$V$15,10,0)*Tabla44[[#This Row],[TOTAL COBERTURA]]*$X$7</f>
        <v>82861240</v>
      </c>
      <c r="AU524" s="39">
        <f>Tabla44[[#This Row],[TOTAL CONTRATO (ICBF+EAS)]]+Tabla44[[#This Row],[VALOR COMPONENTE ALIMENTACION NO ASIGNADO]]</f>
        <v>166423015</v>
      </c>
      <c r="AV52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22792275</v>
      </c>
      <c r="AW524" s="35">
        <f>(VLOOKUP(Tabla44[[#This Row],[SERVICIO 2025]],$J$2:$V$15,3,0)*Tabla44[[#This Row],[TOTAL COBERTURA]])+VLOOKUP(Tabla44[[#This Row],[SERVICIO 2025]],$J$2:$V$15,10,0)*Tabla44[[#This Row],[TOTAL COBERTURA]]</f>
        <v>20221355</v>
      </c>
      <c r="AX524" s="35">
        <f>(VLOOKUP(Tabla44[[#This Row],[SERVICIO 2025]],$J$2:$V$15,3,0)*Tabla44[[#This Row],[TOTAL COBERTURA]])+VLOOKUP(Tabla44[[#This Row],[SERVICIO 2025]],$J$2:$V$15,10,0)*Tabla44[[#This Row],[TOTAL COBERTURA]]</f>
        <v>20221355</v>
      </c>
      <c r="AY524" s="35">
        <f>(VLOOKUP(Tabla44[[#This Row],[SERVICIO 2025]],$J$2:$V$15,3,0)*Tabla44[[#This Row],[TOTAL COBERTURA]])+VLOOKUP(Tabla44[[#This Row],[SERVICIO 2025]],$J$2:$V$15,10,0)*Tabla44[[#This Row],[TOTAL COBERTURA]]</f>
        <v>20221355</v>
      </c>
      <c r="AZ524" s="35">
        <f>(VLOOKUP(Tabla44[[#This Row],[SERVICIO 2025]],$J$2:$V$15,3,0)*Tabla44[[#This Row],[TOTAL COBERTURA]])+VLOOKUP(Tabla44[[#This Row],[SERVICIO 2025]],$J$2:$V$15,10,0)*Tabla44[[#This Row],[TOTAL COBERTURA]]</f>
        <v>20221355</v>
      </c>
      <c r="BA524" s="35">
        <f>(VLOOKUP(Tabla44[[#This Row],[SERVICIO 2025]],$J$2:$V$15,3,0)*Tabla44[[#This Row],[TOTAL COBERTURA]])+VLOOKUP(Tabla44[[#This Row],[SERVICIO 2025]],$J$2:$V$15,10,0)*Tabla44[[#This Row],[TOTAL COBERTURA]]</f>
        <v>20221355</v>
      </c>
      <c r="BB524" s="35">
        <f>(VLOOKUP(Tabla44[[#This Row],[SERVICIO 2025]],$J$2:$V$15,3,0)*Tabla44[[#This Row],[TOTAL COBERTURA]])+VLOOKUP(Tabla44[[#This Row],[SERVICIO 2025]],$J$2:$V$15,10,0)*Tabla44[[#This Row],[TOTAL COBERTURA]]</f>
        <v>20221355</v>
      </c>
      <c r="BC52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22302610</v>
      </c>
      <c r="BD524" s="35">
        <f>SUM(Tabla44[[#This Row],[DESEMBOLSO 1]:[DESEMBOLSO 8]])</f>
        <v>166423015</v>
      </c>
      <c r="BE524" s="12" t="b">
        <f>EXACT(Tabla44[[#This Row],[VALOR ATENCIÓN (8 MESES)]],Tabla44[[#This Row],[VALOR TOTAL]])</f>
        <v>1</v>
      </c>
      <c r="BF524" s="23">
        <f>Tabla44[[#This Row],[VALOR ATENCIÓN (8 MESES)]]-Tabla44[[#This Row],[VALOR TOTAL]]</f>
        <v>0</v>
      </c>
      <c r="BG524" s="12" t="b">
        <f>EXACT(Tabla44[[#This Row],[TOTAL DESEMBOLSOS]],Tabla44[[#This Row],[VALOR TOTAL DEL CONTRATO INCLUIDO EL COMPONENTE DE ALIMENTACIÓN]])</f>
        <v>1</v>
      </c>
      <c r="BH524" s="29">
        <f>Tabla44[[#This Row],[TOTAL DESEMBOLSOS]]-Tabla44[[#This Row],[VALOR TOTAL DEL CONTRATO INCLUIDO EL COMPONENTE DE ALIMENTACIÓN]]</f>
        <v>0</v>
      </c>
      <c r="BI524" t="s">
        <v>98</v>
      </c>
    </row>
    <row r="525" spans="1:61">
      <c r="A525" s="13">
        <v>2023</v>
      </c>
      <c r="B525" s="13"/>
      <c r="C525" s="12" t="s">
        <v>87</v>
      </c>
      <c r="D525" s="12" t="s">
        <v>673</v>
      </c>
      <c r="E525" s="12" t="s">
        <v>3764</v>
      </c>
      <c r="F525" s="12" t="s">
        <v>21</v>
      </c>
      <c r="G525" s="12" t="s">
        <v>90</v>
      </c>
      <c r="H525" s="12" t="s">
        <v>3816</v>
      </c>
      <c r="I525" s="36">
        <v>58901148779</v>
      </c>
      <c r="J525" s="12" t="s">
        <v>3817</v>
      </c>
      <c r="K525" s="12">
        <v>1</v>
      </c>
      <c r="L525" s="12">
        <v>6</v>
      </c>
      <c r="M525" s="12"/>
      <c r="N525" s="13">
        <v>2023</v>
      </c>
      <c r="O525" s="12" t="s">
        <v>2850</v>
      </c>
      <c r="P525" s="12"/>
      <c r="Q525" s="12"/>
      <c r="R525" s="12" t="s">
        <v>94</v>
      </c>
      <c r="S525" s="12">
        <v>10</v>
      </c>
      <c r="T525" s="12">
        <v>830508092</v>
      </c>
      <c r="U525" s="12" t="s">
        <v>584</v>
      </c>
      <c r="V525" s="12">
        <f>VLOOKUP(Tabla44[[#This Row],[ZONA DEFINITIVO]],[1]Hoja1!$A$1:$D$125,3,0)</f>
        <v>229947</v>
      </c>
      <c r="W525" s="12">
        <f>VLOOKUP(Tabla44[[#This Row],[ZONA DEFINITIVO]],[1]Hoja1!$A$1:$D$125,2,0)</f>
        <v>17263</v>
      </c>
      <c r="X525" s="12">
        <f>VLOOKUP(Tabla44[[#This Row],[ZONA DEFINITIVO]],[1]Hoja1!$A$1:$D$125,4,0)</f>
        <v>104925</v>
      </c>
      <c r="Y525" s="12" t="str">
        <f>+IF(Tabla44[[#This Row],[AGRUPACIONES]]=1,SUMIFS(Tabla44[UDS],Tabla44[ZONA DEFINITIVO],Tabla44[[#This Row],[ZONA DEFINITIVO]])," ")</f>
        <v xml:space="preserve"> </v>
      </c>
      <c r="Z525" s="12" t="str">
        <f>+IF(Tabla44[[#This Row],[AGRUPACIONES]]=1,SUMIFS(Tabla44[TOTAL COBERTURA],Tabla44[ZONA DEFINITIVO],Tabla44[[#This Row],[ZONA DEFINITIVO]])," ")</f>
        <v xml:space="preserve"> </v>
      </c>
      <c r="AA525" s="12"/>
      <c r="AB525" s="35">
        <v>9115830</v>
      </c>
      <c r="AC525" s="37">
        <v>0</v>
      </c>
      <c r="AD525" s="35">
        <f t="shared" si="8"/>
        <v>0</v>
      </c>
      <c r="AE525" s="12"/>
      <c r="AF525" s="12">
        <f>COUNTIF($A$20:A525,A525)</f>
        <v>29</v>
      </c>
      <c r="AG525" s="38">
        <v>9115830</v>
      </c>
      <c r="AH525" s="38">
        <f>Tabla44[[#This Row],[VALOR CONTRAPARTIDA]]+Tabla44[[#This Row],[TOTAL APORTES ICBF]]</f>
        <v>9115830</v>
      </c>
      <c r="AI525" s="35" t="str">
        <f>+IF(Tabla44[[#This Row],[AGRUPACIONES]]=1,SUMIFS(Tabla44[TOTAL APORTES ICBF],Tabla44[ZONA DEFINITIVO],Tabla44[[#This Row],[ZONA DEFINITIVO]])," ")</f>
        <v xml:space="preserve"> </v>
      </c>
      <c r="AJ525" s="38"/>
      <c r="AK525" s="38"/>
      <c r="AL525" s="35"/>
      <c r="AM525" s="35">
        <f>VLOOKUP(Tabla44[[#This Row],[SERVICIO 2025]],$J$2:$V$15,5,0)*Tabla44[[#This Row],[TOTAL COBERTURA]]</f>
        <v>280464</v>
      </c>
      <c r="AN525" s="35">
        <f>VLOOKUP(Tabla44[[#This Row],[SERVICIO 2025]],$J$2:$V$15,6,0)*Tabla44[[#This Row],[TOTAL COBERTURA]]</f>
        <v>227046</v>
      </c>
      <c r="AO525" s="35">
        <f>VLOOKUP(Tabla44[[#This Row],[SERVICIO 2025]],$J$2:$V$15,8,0)*Tabla44[[#This Row],[TOTAL COBERTURA]]</f>
        <v>0</v>
      </c>
      <c r="AP525" s="35">
        <f>VLOOKUP(Tabla44[[#This Row],[SERVICIO 2025]],$J$2:$V$15,3,0)*Tabla44[[#This Row],[TOTAL COBERTURA]]*8</f>
        <v>8608320</v>
      </c>
      <c r="AQ525" s="35"/>
      <c r="AR525" s="35">
        <f>SUM(Tabla44[[#This Row],[VALOR FASE PREPARATORIA DE ALISTAMIENTO]:[VALOR RACION PREPARADA]])</f>
        <v>9115830</v>
      </c>
      <c r="AS525" s="35" t="str">
        <f>+IF(Tabla44[[#This Row],[AGRUPACIONES]]=1,SUMIFS(Tabla44[VALOR TOTAL],Tabla44[ZONA DEFINITIVO],Tabla44[[#This Row],[ZONA DEFINITIVO]])," ")</f>
        <v xml:space="preserve"> </v>
      </c>
      <c r="AT525" s="35">
        <f>VLOOKUP(Tabla44[[#This Row],[SERVICIO 2025]],$J$2:$V$15,10,0)*Tabla44[[#This Row],[TOTAL COBERTURA]]*$X$7</f>
        <v>9039408</v>
      </c>
      <c r="AU525" s="39">
        <f>Tabla44[[#This Row],[TOTAL CONTRATO (ICBF+EAS)]]+Tabla44[[#This Row],[VALOR COMPONENTE ALIMENTACION NO ASIGNADO]]</f>
        <v>18155238</v>
      </c>
      <c r="AV52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2486430</v>
      </c>
      <c r="AW525" s="35">
        <f>(VLOOKUP(Tabla44[[#This Row],[SERVICIO 2025]],$J$2:$V$15,3,0)*Tabla44[[#This Row],[TOTAL COBERTURA]])+VLOOKUP(Tabla44[[#This Row],[SERVICIO 2025]],$J$2:$V$15,10,0)*Tabla44[[#This Row],[TOTAL COBERTURA]]</f>
        <v>2205966</v>
      </c>
      <c r="AX525" s="35">
        <f>(VLOOKUP(Tabla44[[#This Row],[SERVICIO 2025]],$J$2:$V$15,3,0)*Tabla44[[#This Row],[TOTAL COBERTURA]])+VLOOKUP(Tabla44[[#This Row],[SERVICIO 2025]],$J$2:$V$15,10,0)*Tabla44[[#This Row],[TOTAL COBERTURA]]</f>
        <v>2205966</v>
      </c>
      <c r="AY525" s="35">
        <f>(VLOOKUP(Tabla44[[#This Row],[SERVICIO 2025]],$J$2:$V$15,3,0)*Tabla44[[#This Row],[TOTAL COBERTURA]])+VLOOKUP(Tabla44[[#This Row],[SERVICIO 2025]],$J$2:$V$15,10,0)*Tabla44[[#This Row],[TOTAL COBERTURA]]</f>
        <v>2205966</v>
      </c>
      <c r="AZ525" s="35">
        <f>(VLOOKUP(Tabla44[[#This Row],[SERVICIO 2025]],$J$2:$V$15,3,0)*Tabla44[[#This Row],[TOTAL COBERTURA]])+VLOOKUP(Tabla44[[#This Row],[SERVICIO 2025]],$J$2:$V$15,10,0)*Tabla44[[#This Row],[TOTAL COBERTURA]]</f>
        <v>2205966</v>
      </c>
      <c r="BA525" s="35">
        <f>(VLOOKUP(Tabla44[[#This Row],[SERVICIO 2025]],$J$2:$V$15,3,0)*Tabla44[[#This Row],[TOTAL COBERTURA]])+VLOOKUP(Tabla44[[#This Row],[SERVICIO 2025]],$J$2:$V$15,10,0)*Tabla44[[#This Row],[TOTAL COBERTURA]]</f>
        <v>2205966</v>
      </c>
      <c r="BB525" s="35">
        <f>(VLOOKUP(Tabla44[[#This Row],[SERVICIO 2025]],$J$2:$V$15,3,0)*Tabla44[[#This Row],[TOTAL COBERTURA]])+VLOOKUP(Tabla44[[#This Row],[SERVICIO 2025]],$J$2:$V$15,10,0)*Tabla44[[#This Row],[TOTAL COBERTURA]]</f>
        <v>2205966</v>
      </c>
      <c r="BC52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2433012</v>
      </c>
      <c r="BD525" s="35">
        <f>SUM(Tabla44[[#This Row],[DESEMBOLSO 1]:[DESEMBOLSO 8]])</f>
        <v>18155238</v>
      </c>
      <c r="BE525" s="12" t="b">
        <f>EXACT(Tabla44[[#This Row],[VALOR ATENCIÓN (8 MESES)]],Tabla44[[#This Row],[VALOR TOTAL]])</f>
        <v>1</v>
      </c>
      <c r="BF525" s="23">
        <f>Tabla44[[#This Row],[VALOR ATENCIÓN (8 MESES)]]-Tabla44[[#This Row],[VALOR TOTAL]]</f>
        <v>0</v>
      </c>
      <c r="BG525" s="12" t="b">
        <f>EXACT(Tabla44[[#This Row],[TOTAL DESEMBOLSOS]],Tabla44[[#This Row],[VALOR TOTAL DEL CONTRATO INCLUIDO EL COMPONENTE DE ALIMENTACIÓN]])</f>
        <v>1</v>
      </c>
      <c r="BH525" s="29">
        <f>Tabla44[[#This Row],[TOTAL DESEMBOLSOS]]-Tabla44[[#This Row],[VALOR TOTAL DEL CONTRATO INCLUIDO EL COMPONENTE DE ALIMENTACIÓN]]</f>
        <v>0</v>
      </c>
      <c r="BI525" t="s">
        <v>98</v>
      </c>
    </row>
    <row r="526" spans="1:61">
      <c r="A526" s="13">
        <v>2023</v>
      </c>
      <c r="B526" s="13"/>
      <c r="C526" s="12" t="s">
        <v>87</v>
      </c>
      <c r="D526" s="12" t="s">
        <v>673</v>
      </c>
      <c r="E526" s="12" t="s">
        <v>3764</v>
      </c>
      <c r="F526" s="12" t="s">
        <v>21</v>
      </c>
      <c r="G526" s="12" t="s">
        <v>90</v>
      </c>
      <c r="H526" s="12" t="s">
        <v>3818</v>
      </c>
      <c r="I526" s="36">
        <v>58901148810</v>
      </c>
      <c r="J526" s="12" t="s">
        <v>3819</v>
      </c>
      <c r="K526" s="12">
        <v>1</v>
      </c>
      <c r="L526" s="12">
        <v>14</v>
      </c>
      <c r="M526" s="12"/>
      <c r="N526" s="13">
        <v>2023</v>
      </c>
      <c r="O526" s="12" t="s">
        <v>2850</v>
      </c>
      <c r="P526" s="12"/>
      <c r="Q526" s="12"/>
      <c r="R526" s="12" t="s">
        <v>94</v>
      </c>
      <c r="S526" s="12">
        <v>10</v>
      </c>
      <c r="T526" s="12">
        <v>830508092</v>
      </c>
      <c r="U526" s="12" t="s">
        <v>584</v>
      </c>
      <c r="V526" s="12">
        <f>VLOOKUP(Tabla44[[#This Row],[ZONA DEFINITIVO]],[1]Hoja1!$A$1:$D$125,3,0)</f>
        <v>229947</v>
      </c>
      <c r="W526" s="12">
        <f>VLOOKUP(Tabla44[[#This Row],[ZONA DEFINITIVO]],[1]Hoja1!$A$1:$D$125,2,0)</f>
        <v>17263</v>
      </c>
      <c r="X526" s="12">
        <f>VLOOKUP(Tabla44[[#This Row],[ZONA DEFINITIVO]],[1]Hoja1!$A$1:$D$125,4,0)</f>
        <v>104925</v>
      </c>
      <c r="Y526" s="12" t="str">
        <f>+IF(Tabla44[[#This Row],[AGRUPACIONES]]=1,SUMIFS(Tabla44[UDS],Tabla44[ZONA DEFINITIVO],Tabla44[[#This Row],[ZONA DEFINITIVO]])," ")</f>
        <v xml:space="preserve"> </v>
      </c>
      <c r="Z526" s="12" t="str">
        <f>+IF(Tabla44[[#This Row],[AGRUPACIONES]]=1,SUMIFS(Tabla44[TOTAL COBERTURA],Tabla44[ZONA DEFINITIVO],Tabla44[[#This Row],[ZONA DEFINITIVO]])," ")</f>
        <v xml:space="preserve"> </v>
      </c>
      <c r="AA526" s="12"/>
      <c r="AB526" s="35">
        <v>21270270</v>
      </c>
      <c r="AC526" s="37">
        <v>0</v>
      </c>
      <c r="AD526" s="35">
        <f t="shared" si="8"/>
        <v>0</v>
      </c>
      <c r="AE526" s="12"/>
      <c r="AF526" s="12">
        <f>COUNTIF($A$20:A526,A526)</f>
        <v>30</v>
      </c>
      <c r="AG526" s="38">
        <v>21270270</v>
      </c>
      <c r="AH526" s="38">
        <f>Tabla44[[#This Row],[VALOR CONTRAPARTIDA]]+Tabla44[[#This Row],[TOTAL APORTES ICBF]]</f>
        <v>21270270</v>
      </c>
      <c r="AI526" s="35" t="str">
        <f>+IF(Tabla44[[#This Row],[AGRUPACIONES]]=1,SUMIFS(Tabla44[TOTAL APORTES ICBF],Tabla44[ZONA DEFINITIVO],Tabla44[[#This Row],[ZONA DEFINITIVO]])," ")</f>
        <v xml:space="preserve"> </v>
      </c>
      <c r="AJ526" s="38"/>
      <c r="AK526" s="38"/>
      <c r="AL526" s="35"/>
      <c r="AM526" s="35">
        <f>VLOOKUP(Tabla44[[#This Row],[SERVICIO 2025]],$J$2:$V$15,5,0)*Tabla44[[#This Row],[TOTAL COBERTURA]]</f>
        <v>654416</v>
      </c>
      <c r="AN526" s="35">
        <f>VLOOKUP(Tabla44[[#This Row],[SERVICIO 2025]],$J$2:$V$15,6,0)*Tabla44[[#This Row],[TOTAL COBERTURA]]</f>
        <v>529774</v>
      </c>
      <c r="AO526" s="35">
        <f>VLOOKUP(Tabla44[[#This Row],[SERVICIO 2025]],$J$2:$V$15,8,0)*Tabla44[[#This Row],[TOTAL COBERTURA]]</f>
        <v>0</v>
      </c>
      <c r="AP526" s="35">
        <f>VLOOKUP(Tabla44[[#This Row],[SERVICIO 2025]],$J$2:$V$15,3,0)*Tabla44[[#This Row],[TOTAL COBERTURA]]*8</f>
        <v>20086080</v>
      </c>
      <c r="AQ526" s="35"/>
      <c r="AR526" s="35">
        <f>SUM(Tabla44[[#This Row],[VALOR FASE PREPARATORIA DE ALISTAMIENTO]:[VALOR RACION PREPARADA]])</f>
        <v>21270270</v>
      </c>
      <c r="AS526" s="35" t="str">
        <f>+IF(Tabla44[[#This Row],[AGRUPACIONES]]=1,SUMIFS(Tabla44[VALOR TOTAL],Tabla44[ZONA DEFINITIVO],Tabla44[[#This Row],[ZONA DEFINITIVO]])," ")</f>
        <v xml:space="preserve"> </v>
      </c>
      <c r="AT526" s="35">
        <f>VLOOKUP(Tabla44[[#This Row],[SERVICIO 2025]],$J$2:$V$15,10,0)*Tabla44[[#This Row],[TOTAL COBERTURA]]*$X$7</f>
        <v>21091952</v>
      </c>
      <c r="AU526" s="39">
        <f>Tabla44[[#This Row],[TOTAL CONTRATO (ICBF+EAS)]]+Tabla44[[#This Row],[VALOR COMPONENTE ALIMENTACION NO ASIGNADO]]</f>
        <v>42362222</v>
      </c>
      <c r="AV52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5801670</v>
      </c>
      <c r="AW526" s="35">
        <f>(VLOOKUP(Tabla44[[#This Row],[SERVICIO 2025]],$J$2:$V$15,3,0)*Tabla44[[#This Row],[TOTAL COBERTURA]])+VLOOKUP(Tabla44[[#This Row],[SERVICIO 2025]],$J$2:$V$15,10,0)*Tabla44[[#This Row],[TOTAL COBERTURA]]</f>
        <v>5147254</v>
      </c>
      <c r="AX526" s="35">
        <f>(VLOOKUP(Tabla44[[#This Row],[SERVICIO 2025]],$J$2:$V$15,3,0)*Tabla44[[#This Row],[TOTAL COBERTURA]])+VLOOKUP(Tabla44[[#This Row],[SERVICIO 2025]],$J$2:$V$15,10,0)*Tabla44[[#This Row],[TOTAL COBERTURA]]</f>
        <v>5147254</v>
      </c>
      <c r="AY526" s="35">
        <f>(VLOOKUP(Tabla44[[#This Row],[SERVICIO 2025]],$J$2:$V$15,3,0)*Tabla44[[#This Row],[TOTAL COBERTURA]])+VLOOKUP(Tabla44[[#This Row],[SERVICIO 2025]],$J$2:$V$15,10,0)*Tabla44[[#This Row],[TOTAL COBERTURA]]</f>
        <v>5147254</v>
      </c>
      <c r="AZ526" s="35">
        <f>(VLOOKUP(Tabla44[[#This Row],[SERVICIO 2025]],$J$2:$V$15,3,0)*Tabla44[[#This Row],[TOTAL COBERTURA]])+VLOOKUP(Tabla44[[#This Row],[SERVICIO 2025]],$J$2:$V$15,10,0)*Tabla44[[#This Row],[TOTAL COBERTURA]]</f>
        <v>5147254</v>
      </c>
      <c r="BA526" s="35">
        <f>(VLOOKUP(Tabla44[[#This Row],[SERVICIO 2025]],$J$2:$V$15,3,0)*Tabla44[[#This Row],[TOTAL COBERTURA]])+VLOOKUP(Tabla44[[#This Row],[SERVICIO 2025]],$J$2:$V$15,10,0)*Tabla44[[#This Row],[TOTAL COBERTURA]]</f>
        <v>5147254</v>
      </c>
      <c r="BB526" s="35">
        <f>(VLOOKUP(Tabla44[[#This Row],[SERVICIO 2025]],$J$2:$V$15,3,0)*Tabla44[[#This Row],[TOTAL COBERTURA]])+VLOOKUP(Tabla44[[#This Row],[SERVICIO 2025]],$J$2:$V$15,10,0)*Tabla44[[#This Row],[TOTAL COBERTURA]]</f>
        <v>5147254</v>
      </c>
      <c r="BC52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5677028</v>
      </c>
      <c r="BD526" s="35">
        <f>SUM(Tabla44[[#This Row],[DESEMBOLSO 1]:[DESEMBOLSO 8]])</f>
        <v>42362222</v>
      </c>
      <c r="BE526" s="12" t="b">
        <f>EXACT(Tabla44[[#This Row],[VALOR ATENCIÓN (8 MESES)]],Tabla44[[#This Row],[VALOR TOTAL]])</f>
        <v>1</v>
      </c>
      <c r="BF526" s="23">
        <f>Tabla44[[#This Row],[VALOR ATENCIÓN (8 MESES)]]-Tabla44[[#This Row],[VALOR TOTAL]]</f>
        <v>0</v>
      </c>
      <c r="BG526" s="12" t="b">
        <f>EXACT(Tabla44[[#This Row],[TOTAL DESEMBOLSOS]],Tabla44[[#This Row],[VALOR TOTAL DEL CONTRATO INCLUIDO EL COMPONENTE DE ALIMENTACIÓN]])</f>
        <v>1</v>
      </c>
      <c r="BH526" s="29">
        <f>Tabla44[[#This Row],[TOTAL DESEMBOLSOS]]-Tabla44[[#This Row],[VALOR TOTAL DEL CONTRATO INCLUIDO EL COMPONENTE DE ALIMENTACIÓN]]</f>
        <v>0</v>
      </c>
      <c r="BI526" t="s">
        <v>98</v>
      </c>
    </row>
    <row r="527" spans="1:61">
      <c r="A527" s="13">
        <v>2023</v>
      </c>
      <c r="B527" s="13"/>
      <c r="C527" s="12" t="s">
        <v>87</v>
      </c>
      <c r="D527" s="12" t="s">
        <v>673</v>
      </c>
      <c r="E527" s="12" t="s">
        <v>3764</v>
      </c>
      <c r="F527" s="12" t="s">
        <v>21</v>
      </c>
      <c r="G527" s="12" t="s">
        <v>90</v>
      </c>
      <c r="H527" s="12" t="s">
        <v>3820</v>
      </c>
      <c r="I527" s="36">
        <v>58901148811</v>
      </c>
      <c r="J527" s="12" t="s">
        <v>3821</v>
      </c>
      <c r="K527" s="12">
        <v>1</v>
      </c>
      <c r="L527" s="12">
        <v>11</v>
      </c>
      <c r="M527" s="12"/>
      <c r="N527" s="13">
        <v>2023</v>
      </c>
      <c r="O527" s="12" t="s">
        <v>2850</v>
      </c>
      <c r="P527" s="12"/>
      <c r="Q527" s="12"/>
      <c r="R527" s="12" t="s">
        <v>94</v>
      </c>
      <c r="S527" s="12">
        <v>10</v>
      </c>
      <c r="T527" s="12">
        <v>830508092</v>
      </c>
      <c r="U527" s="12" t="s">
        <v>584</v>
      </c>
      <c r="V527" s="12">
        <f>VLOOKUP(Tabla44[[#This Row],[ZONA DEFINITIVO]],[1]Hoja1!$A$1:$D$125,3,0)</f>
        <v>229947</v>
      </c>
      <c r="W527" s="12">
        <f>VLOOKUP(Tabla44[[#This Row],[ZONA DEFINITIVO]],[1]Hoja1!$A$1:$D$125,2,0)</f>
        <v>17263</v>
      </c>
      <c r="X527" s="12">
        <f>VLOOKUP(Tabla44[[#This Row],[ZONA DEFINITIVO]],[1]Hoja1!$A$1:$D$125,4,0)</f>
        <v>104925</v>
      </c>
      <c r="Y527" s="12" t="str">
        <f>+IF(Tabla44[[#This Row],[AGRUPACIONES]]=1,SUMIFS(Tabla44[UDS],Tabla44[ZONA DEFINITIVO],Tabla44[[#This Row],[ZONA DEFINITIVO]])," ")</f>
        <v xml:space="preserve"> </v>
      </c>
      <c r="Z527" s="12" t="str">
        <f>+IF(Tabla44[[#This Row],[AGRUPACIONES]]=1,SUMIFS(Tabla44[TOTAL COBERTURA],Tabla44[ZONA DEFINITIVO],Tabla44[[#This Row],[ZONA DEFINITIVO]])," ")</f>
        <v xml:space="preserve"> </v>
      </c>
      <c r="AA527" s="12"/>
      <c r="AB527" s="35">
        <v>16712355</v>
      </c>
      <c r="AC527" s="37">
        <v>0</v>
      </c>
      <c r="AD527" s="35">
        <f t="shared" si="8"/>
        <v>0</v>
      </c>
      <c r="AE527" s="12"/>
      <c r="AF527" s="12">
        <f>COUNTIF($A$20:A527,A527)</f>
        <v>31</v>
      </c>
      <c r="AG527" s="38">
        <v>16712355</v>
      </c>
      <c r="AH527" s="38">
        <f>Tabla44[[#This Row],[VALOR CONTRAPARTIDA]]+Tabla44[[#This Row],[TOTAL APORTES ICBF]]</f>
        <v>16712355</v>
      </c>
      <c r="AI527" s="35" t="str">
        <f>+IF(Tabla44[[#This Row],[AGRUPACIONES]]=1,SUMIFS(Tabla44[TOTAL APORTES ICBF],Tabla44[ZONA DEFINITIVO],Tabla44[[#This Row],[ZONA DEFINITIVO]])," ")</f>
        <v xml:space="preserve"> </v>
      </c>
      <c r="AJ527" s="38"/>
      <c r="AK527" s="38"/>
      <c r="AL527" s="35"/>
      <c r="AM527" s="35">
        <f>VLOOKUP(Tabla44[[#This Row],[SERVICIO 2025]],$J$2:$V$15,5,0)*Tabla44[[#This Row],[TOTAL COBERTURA]]</f>
        <v>514184</v>
      </c>
      <c r="AN527" s="35">
        <f>VLOOKUP(Tabla44[[#This Row],[SERVICIO 2025]],$J$2:$V$15,6,0)*Tabla44[[#This Row],[TOTAL COBERTURA]]</f>
        <v>416251</v>
      </c>
      <c r="AO527" s="35">
        <f>VLOOKUP(Tabla44[[#This Row],[SERVICIO 2025]],$J$2:$V$15,8,0)*Tabla44[[#This Row],[TOTAL COBERTURA]]</f>
        <v>0</v>
      </c>
      <c r="AP527" s="35">
        <f>VLOOKUP(Tabla44[[#This Row],[SERVICIO 2025]],$J$2:$V$15,3,0)*Tabla44[[#This Row],[TOTAL COBERTURA]]*8</f>
        <v>15781920</v>
      </c>
      <c r="AQ527" s="35"/>
      <c r="AR527" s="35">
        <f>SUM(Tabla44[[#This Row],[VALOR FASE PREPARATORIA DE ALISTAMIENTO]:[VALOR RACION PREPARADA]])</f>
        <v>16712355</v>
      </c>
      <c r="AS527" s="35" t="str">
        <f>+IF(Tabla44[[#This Row],[AGRUPACIONES]]=1,SUMIFS(Tabla44[VALOR TOTAL],Tabla44[ZONA DEFINITIVO],Tabla44[[#This Row],[ZONA DEFINITIVO]])," ")</f>
        <v xml:space="preserve"> </v>
      </c>
      <c r="AT527" s="35">
        <f>VLOOKUP(Tabla44[[#This Row],[SERVICIO 2025]],$J$2:$V$15,10,0)*Tabla44[[#This Row],[TOTAL COBERTURA]]*$X$7</f>
        <v>16572248</v>
      </c>
      <c r="AU527" s="39">
        <f>Tabla44[[#This Row],[TOTAL CONTRATO (ICBF+EAS)]]+Tabla44[[#This Row],[VALOR COMPONENTE ALIMENTACION NO ASIGNADO]]</f>
        <v>33284603</v>
      </c>
      <c r="AV52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4558455</v>
      </c>
      <c r="AW527" s="35">
        <f>(VLOOKUP(Tabla44[[#This Row],[SERVICIO 2025]],$J$2:$V$15,3,0)*Tabla44[[#This Row],[TOTAL COBERTURA]])+VLOOKUP(Tabla44[[#This Row],[SERVICIO 2025]],$J$2:$V$15,10,0)*Tabla44[[#This Row],[TOTAL COBERTURA]]</f>
        <v>4044271</v>
      </c>
      <c r="AX527" s="35">
        <f>(VLOOKUP(Tabla44[[#This Row],[SERVICIO 2025]],$J$2:$V$15,3,0)*Tabla44[[#This Row],[TOTAL COBERTURA]])+VLOOKUP(Tabla44[[#This Row],[SERVICIO 2025]],$J$2:$V$15,10,0)*Tabla44[[#This Row],[TOTAL COBERTURA]]</f>
        <v>4044271</v>
      </c>
      <c r="AY527" s="35">
        <f>(VLOOKUP(Tabla44[[#This Row],[SERVICIO 2025]],$J$2:$V$15,3,0)*Tabla44[[#This Row],[TOTAL COBERTURA]])+VLOOKUP(Tabla44[[#This Row],[SERVICIO 2025]],$J$2:$V$15,10,0)*Tabla44[[#This Row],[TOTAL COBERTURA]]</f>
        <v>4044271</v>
      </c>
      <c r="AZ527" s="35">
        <f>(VLOOKUP(Tabla44[[#This Row],[SERVICIO 2025]],$J$2:$V$15,3,0)*Tabla44[[#This Row],[TOTAL COBERTURA]])+VLOOKUP(Tabla44[[#This Row],[SERVICIO 2025]],$J$2:$V$15,10,0)*Tabla44[[#This Row],[TOTAL COBERTURA]]</f>
        <v>4044271</v>
      </c>
      <c r="BA527" s="35">
        <f>(VLOOKUP(Tabla44[[#This Row],[SERVICIO 2025]],$J$2:$V$15,3,0)*Tabla44[[#This Row],[TOTAL COBERTURA]])+VLOOKUP(Tabla44[[#This Row],[SERVICIO 2025]],$J$2:$V$15,10,0)*Tabla44[[#This Row],[TOTAL COBERTURA]]</f>
        <v>4044271</v>
      </c>
      <c r="BB527" s="35">
        <f>(VLOOKUP(Tabla44[[#This Row],[SERVICIO 2025]],$J$2:$V$15,3,0)*Tabla44[[#This Row],[TOTAL COBERTURA]])+VLOOKUP(Tabla44[[#This Row],[SERVICIO 2025]],$J$2:$V$15,10,0)*Tabla44[[#This Row],[TOTAL COBERTURA]]</f>
        <v>4044271</v>
      </c>
      <c r="BC52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4460522</v>
      </c>
      <c r="BD527" s="35">
        <f>SUM(Tabla44[[#This Row],[DESEMBOLSO 1]:[DESEMBOLSO 8]])</f>
        <v>33284603</v>
      </c>
      <c r="BE527" s="12" t="b">
        <f>EXACT(Tabla44[[#This Row],[VALOR ATENCIÓN (8 MESES)]],Tabla44[[#This Row],[VALOR TOTAL]])</f>
        <v>1</v>
      </c>
      <c r="BF527" s="23">
        <f>Tabla44[[#This Row],[VALOR ATENCIÓN (8 MESES)]]-Tabla44[[#This Row],[VALOR TOTAL]]</f>
        <v>0</v>
      </c>
      <c r="BG527" s="12" t="b">
        <f>EXACT(Tabla44[[#This Row],[TOTAL DESEMBOLSOS]],Tabla44[[#This Row],[VALOR TOTAL DEL CONTRATO INCLUIDO EL COMPONENTE DE ALIMENTACIÓN]])</f>
        <v>1</v>
      </c>
      <c r="BH527" s="29">
        <f>Tabla44[[#This Row],[TOTAL DESEMBOLSOS]]-Tabla44[[#This Row],[VALOR TOTAL DEL CONTRATO INCLUIDO EL COMPONENTE DE ALIMENTACIÓN]]</f>
        <v>0</v>
      </c>
      <c r="BI527" t="s">
        <v>98</v>
      </c>
    </row>
    <row r="528" spans="1:61">
      <c r="A528" s="13">
        <v>2023</v>
      </c>
      <c r="B528" s="13"/>
      <c r="C528" s="12" t="s">
        <v>87</v>
      </c>
      <c r="D528" s="12" t="s">
        <v>673</v>
      </c>
      <c r="E528" s="12" t="s">
        <v>3764</v>
      </c>
      <c r="F528" s="12" t="s">
        <v>21</v>
      </c>
      <c r="G528" s="12" t="s">
        <v>90</v>
      </c>
      <c r="H528" s="12" t="s">
        <v>2992</v>
      </c>
      <c r="I528" s="36">
        <v>58901148812</v>
      </c>
      <c r="J528" s="12" t="s">
        <v>3822</v>
      </c>
      <c r="K528" s="12">
        <v>1</v>
      </c>
      <c r="L528" s="12">
        <v>19</v>
      </c>
      <c r="M528" s="12"/>
      <c r="N528" s="13">
        <v>2023</v>
      </c>
      <c r="O528" s="12" t="s">
        <v>2850</v>
      </c>
      <c r="P528" s="12"/>
      <c r="Q528" s="12"/>
      <c r="R528" s="12" t="s">
        <v>94</v>
      </c>
      <c r="S528" s="12">
        <v>10</v>
      </c>
      <c r="T528" s="12">
        <v>830508092</v>
      </c>
      <c r="U528" s="12" t="s">
        <v>584</v>
      </c>
      <c r="V528" s="12">
        <f>VLOOKUP(Tabla44[[#This Row],[ZONA DEFINITIVO]],[1]Hoja1!$A$1:$D$125,3,0)</f>
        <v>229947</v>
      </c>
      <c r="W528" s="12">
        <f>VLOOKUP(Tabla44[[#This Row],[ZONA DEFINITIVO]],[1]Hoja1!$A$1:$D$125,2,0)</f>
        <v>17263</v>
      </c>
      <c r="X528" s="12">
        <f>VLOOKUP(Tabla44[[#This Row],[ZONA DEFINITIVO]],[1]Hoja1!$A$1:$D$125,4,0)</f>
        <v>104925</v>
      </c>
      <c r="Y528" s="12" t="str">
        <f>+IF(Tabla44[[#This Row],[AGRUPACIONES]]=1,SUMIFS(Tabla44[UDS],Tabla44[ZONA DEFINITIVO],Tabla44[[#This Row],[ZONA DEFINITIVO]])," ")</f>
        <v xml:space="preserve"> </v>
      </c>
      <c r="Z528" s="12" t="str">
        <f>+IF(Tabla44[[#This Row],[AGRUPACIONES]]=1,SUMIFS(Tabla44[TOTAL COBERTURA],Tabla44[ZONA DEFINITIVO],Tabla44[[#This Row],[ZONA DEFINITIVO]])," ")</f>
        <v xml:space="preserve"> </v>
      </c>
      <c r="AA528" s="12"/>
      <c r="AB528" s="35">
        <v>28866795</v>
      </c>
      <c r="AC528" s="37">
        <v>0</v>
      </c>
      <c r="AD528" s="35">
        <f t="shared" si="8"/>
        <v>0</v>
      </c>
      <c r="AE528" s="12"/>
      <c r="AF528" s="12">
        <f>COUNTIF($A$20:A528,A528)</f>
        <v>32</v>
      </c>
      <c r="AG528" s="38">
        <v>28866795</v>
      </c>
      <c r="AH528" s="38">
        <f>Tabla44[[#This Row],[VALOR CONTRAPARTIDA]]+Tabla44[[#This Row],[TOTAL APORTES ICBF]]</f>
        <v>28866795</v>
      </c>
      <c r="AI528" s="35" t="str">
        <f>+IF(Tabla44[[#This Row],[AGRUPACIONES]]=1,SUMIFS(Tabla44[TOTAL APORTES ICBF],Tabla44[ZONA DEFINITIVO],Tabla44[[#This Row],[ZONA DEFINITIVO]])," ")</f>
        <v xml:space="preserve"> </v>
      </c>
      <c r="AJ528" s="38"/>
      <c r="AK528" s="38"/>
      <c r="AL528" s="35"/>
      <c r="AM528" s="35">
        <f>VLOOKUP(Tabla44[[#This Row],[SERVICIO 2025]],$J$2:$V$15,5,0)*Tabla44[[#This Row],[TOTAL COBERTURA]]</f>
        <v>888136</v>
      </c>
      <c r="AN528" s="35">
        <f>VLOOKUP(Tabla44[[#This Row],[SERVICIO 2025]],$J$2:$V$15,6,0)*Tabla44[[#This Row],[TOTAL COBERTURA]]</f>
        <v>718979</v>
      </c>
      <c r="AO528" s="35">
        <f>VLOOKUP(Tabla44[[#This Row],[SERVICIO 2025]],$J$2:$V$15,8,0)*Tabla44[[#This Row],[TOTAL COBERTURA]]</f>
        <v>0</v>
      </c>
      <c r="AP528" s="35">
        <f>VLOOKUP(Tabla44[[#This Row],[SERVICIO 2025]],$J$2:$V$15,3,0)*Tabla44[[#This Row],[TOTAL COBERTURA]]*8</f>
        <v>27259680</v>
      </c>
      <c r="AQ528" s="35"/>
      <c r="AR528" s="35">
        <f>SUM(Tabla44[[#This Row],[VALOR FASE PREPARATORIA DE ALISTAMIENTO]:[VALOR RACION PREPARADA]])</f>
        <v>28866795</v>
      </c>
      <c r="AS528" s="35" t="str">
        <f>+IF(Tabla44[[#This Row],[AGRUPACIONES]]=1,SUMIFS(Tabla44[VALOR TOTAL],Tabla44[ZONA DEFINITIVO],Tabla44[[#This Row],[ZONA DEFINITIVO]])," ")</f>
        <v xml:space="preserve"> </v>
      </c>
      <c r="AT528" s="35">
        <f>VLOOKUP(Tabla44[[#This Row],[SERVICIO 2025]],$J$2:$V$15,10,0)*Tabla44[[#This Row],[TOTAL COBERTURA]]*$X$7</f>
        <v>28624792</v>
      </c>
      <c r="AU528" s="39">
        <f>Tabla44[[#This Row],[TOTAL CONTRATO (ICBF+EAS)]]+Tabla44[[#This Row],[VALOR COMPONENTE ALIMENTACION NO ASIGNADO]]</f>
        <v>57491587</v>
      </c>
      <c r="AV52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7873695</v>
      </c>
      <c r="AW528" s="35">
        <f>(VLOOKUP(Tabla44[[#This Row],[SERVICIO 2025]],$J$2:$V$15,3,0)*Tabla44[[#This Row],[TOTAL COBERTURA]])+VLOOKUP(Tabla44[[#This Row],[SERVICIO 2025]],$J$2:$V$15,10,0)*Tabla44[[#This Row],[TOTAL COBERTURA]]</f>
        <v>6985559</v>
      </c>
      <c r="AX528" s="35">
        <f>(VLOOKUP(Tabla44[[#This Row],[SERVICIO 2025]],$J$2:$V$15,3,0)*Tabla44[[#This Row],[TOTAL COBERTURA]])+VLOOKUP(Tabla44[[#This Row],[SERVICIO 2025]],$J$2:$V$15,10,0)*Tabla44[[#This Row],[TOTAL COBERTURA]]</f>
        <v>6985559</v>
      </c>
      <c r="AY528" s="35">
        <f>(VLOOKUP(Tabla44[[#This Row],[SERVICIO 2025]],$J$2:$V$15,3,0)*Tabla44[[#This Row],[TOTAL COBERTURA]])+VLOOKUP(Tabla44[[#This Row],[SERVICIO 2025]],$J$2:$V$15,10,0)*Tabla44[[#This Row],[TOTAL COBERTURA]]</f>
        <v>6985559</v>
      </c>
      <c r="AZ528" s="35">
        <f>(VLOOKUP(Tabla44[[#This Row],[SERVICIO 2025]],$J$2:$V$15,3,0)*Tabla44[[#This Row],[TOTAL COBERTURA]])+VLOOKUP(Tabla44[[#This Row],[SERVICIO 2025]],$J$2:$V$15,10,0)*Tabla44[[#This Row],[TOTAL COBERTURA]]</f>
        <v>6985559</v>
      </c>
      <c r="BA528" s="35">
        <f>(VLOOKUP(Tabla44[[#This Row],[SERVICIO 2025]],$J$2:$V$15,3,0)*Tabla44[[#This Row],[TOTAL COBERTURA]])+VLOOKUP(Tabla44[[#This Row],[SERVICIO 2025]],$J$2:$V$15,10,0)*Tabla44[[#This Row],[TOTAL COBERTURA]]</f>
        <v>6985559</v>
      </c>
      <c r="BB528" s="35">
        <f>(VLOOKUP(Tabla44[[#This Row],[SERVICIO 2025]],$J$2:$V$15,3,0)*Tabla44[[#This Row],[TOTAL COBERTURA]])+VLOOKUP(Tabla44[[#This Row],[SERVICIO 2025]],$J$2:$V$15,10,0)*Tabla44[[#This Row],[TOTAL COBERTURA]]</f>
        <v>6985559</v>
      </c>
      <c r="BC52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7704538</v>
      </c>
      <c r="BD528" s="35">
        <f>SUM(Tabla44[[#This Row],[DESEMBOLSO 1]:[DESEMBOLSO 8]])</f>
        <v>57491587</v>
      </c>
      <c r="BE528" s="12" t="b">
        <f>EXACT(Tabla44[[#This Row],[VALOR ATENCIÓN (8 MESES)]],Tabla44[[#This Row],[VALOR TOTAL]])</f>
        <v>1</v>
      </c>
      <c r="BF528" s="23">
        <f>Tabla44[[#This Row],[VALOR ATENCIÓN (8 MESES)]]-Tabla44[[#This Row],[VALOR TOTAL]]</f>
        <v>0</v>
      </c>
      <c r="BG528" s="12" t="b">
        <f>EXACT(Tabla44[[#This Row],[TOTAL DESEMBOLSOS]],Tabla44[[#This Row],[VALOR TOTAL DEL CONTRATO INCLUIDO EL COMPONENTE DE ALIMENTACIÓN]])</f>
        <v>1</v>
      </c>
      <c r="BH528" s="29">
        <f>Tabla44[[#This Row],[TOTAL DESEMBOLSOS]]-Tabla44[[#This Row],[VALOR TOTAL DEL CONTRATO INCLUIDO EL COMPONENTE DE ALIMENTACIÓN]]</f>
        <v>0</v>
      </c>
      <c r="BI528" t="s">
        <v>98</v>
      </c>
    </row>
    <row r="529" spans="1:61">
      <c r="A529" s="13">
        <v>2023</v>
      </c>
      <c r="B529" s="13"/>
      <c r="C529" s="12" t="s">
        <v>87</v>
      </c>
      <c r="D529" s="12" t="s">
        <v>673</v>
      </c>
      <c r="E529" s="12" t="s">
        <v>3764</v>
      </c>
      <c r="F529" s="12" t="s">
        <v>21</v>
      </c>
      <c r="G529" s="12" t="s">
        <v>90</v>
      </c>
      <c r="H529" s="12" t="s">
        <v>3150</v>
      </c>
      <c r="I529" s="36">
        <v>58901148841</v>
      </c>
      <c r="J529" s="12" t="s">
        <v>3823</v>
      </c>
      <c r="K529" s="12">
        <v>1</v>
      </c>
      <c r="L529" s="12">
        <v>6</v>
      </c>
      <c r="M529" s="12"/>
      <c r="N529" s="13">
        <v>2023</v>
      </c>
      <c r="O529" s="12" t="s">
        <v>2850</v>
      </c>
      <c r="P529" s="12"/>
      <c r="Q529" s="12"/>
      <c r="R529" s="12" t="s">
        <v>94</v>
      </c>
      <c r="S529" s="12">
        <v>10</v>
      </c>
      <c r="T529" s="12">
        <v>830508092</v>
      </c>
      <c r="U529" s="12" t="s">
        <v>584</v>
      </c>
      <c r="V529" s="12">
        <f>VLOOKUP(Tabla44[[#This Row],[ZONA DEFINITIVO]],[1]Hoja1!$A$1:$D$125,3,0)</f>
        <v>229947</v>
      </c>
      <c r="W529" s="12">
        <f>VLOOKUP(Tabla44[[#This Row],[ZONA DEFINITIVO]],[1]Hoja1!$A$1:$D$125,2,0)</f>
        <v>17263</v>
      </c>
      <c r="X529" s="12">
        <f>VLOOKUP(Tabla44[[#This Row],[ZONA DEFINITIVO]],[1]Hoja1!$A$1:$D$125,4,0)</f>
        <v>104925</v>
      </c>
      <c r="Y529" s="12" t="str">
        <f>+IF(Tabla44[[#This Row],[AGRUPACIONES]]=1,SUMIFS(Tabla44[UDS],Tabla44[ZONA DEFINITIVO],Tabla44[[#This Row],[ZONA DEFINITIVO]])," ")</f>
        <v xml:space="preserve"> </v>
      </c>
      <c r="Z529" s="12" t="str">
        <f>+IF(Tabla44[[#This Row],[AGRUPACIONES]]=1,SUMIFS(Tabla44[TOTAL COBERTURA],Tabla44[ZONA DEFINITIVO],Tabla44[[#This Row],[ZONA DEFINITIVO]])," ")</f>
        <v xml:space="preserve"> </v>
      </c>
      <c r="AA529" s="12"/>
      <c r="AB529" s="35">
        <v>9115830</v>
      </c>
      <c r="AC529" s="37">
        <v>0</v>
      </c>
      <c r="AD529" s="35">
        <f t="shared" si="8"/>
        <v>0</v>
      </c>
      <c r="AE529" s="12"/>
      <c r="AF529" s="12">
        <f>COUNTIF($A$20:A529,A529)</f>
        <v>33</v>
      </c>
      <c r="AG529" s="38">
        <v>9115830</v>
      </c>
      <c r="AH529" s="38">
        <f>Tabla44[[#This Row],[VALOR CONTRAPARTIDA]]+Tabla44[[#This Row],[TOTAL APORTES ICBF]]</f>
        <v>9115830</v>
      </c>
      <c r="AI529" s="35" t="str">
        <f>+IF(Tabla44[[#This Row],[AGRUPACIONES]]=1,SUMIFS(Tabla44[TOTAL APORTES ICBF],Tabla44[ZONA DEFINITIVO],Tabla44[[#This Row],[ZONA DEFINITIVO]])," ")</f>
        <v xml:space="preserve"> </v>
      </c>
      <c r="AJ529" s="38"/>
      <c r="AK529" s="38"/>
      <c r="AL529" s="35"/>
      <c r="AM529" s="35">
        <f>VLOOKUP(Tabla44[[#This Row],[SERVICIO 2025]],$J$2:$V$15,5,0)*Tabla44[[#This Row],[TOTAL COBERTURA]]</f>
        <v>280464</v>
      </c>
      <c r="AN529" s="35">
        <f>VLOOKUP(Tabla44[[#This Row],[SERVICIO 2025]],$J$2:$V$15,6,0)*Tabla44[[#This Row],[TOTAL COBERTURA]]</f>
        <v>227046</v>
      </c>
      <c r="AO529" s="35">
        <f>VLOOKUP(Tabla44[[#This Row],[SERVICIO 2025]],$J$2:$V$15,8,0)*Tabla44[[#This Row],[TOTAL COBERTURA]]</f>
        <v>0</v>
      </c>
      <c r="AP529" s="35">
        <f>VLOOKUP(Tabla44[[#This Row],[SERVICIO 2025]],$J$2:$V$15,3,0)*Tabla44[[#This Row],[TOTAL COBERTURA]]*8</f>
        <v>8608320</v>
      </c>
      <c r="AQ529" s="35"/>
      <c r="AR529" s="35">
        <f>SUM(Tabla44[[#This Row],[VALOR FASE PREPARATORIA DE ALISTAMIENTO]:[VALOR RACION PREPARADA]])</f>
        <v>9115830</v>
      </c>
      <c r="AS529" s="35" t="str">
        <f>+IF(Tabla44[[#This Row],[AGRUPACIONES]]=1,SUMIFS(Tabla44[VALOR TOTAL],Tabla44[ZONA DEFINITIVO],Tabla44[[#This Row],[ZONA DEFINITIVO]])," ")</f>
        <v xml:space="preserve"> </v>
      </c>
      <c r="AT529" s="35">
        <f>VLOOKUP(Tabla44[[#This Row],[SERVICIO 2025]],$J$2:$V$15,10,0)*Tabla44[[#This Row],[TOTAL COBERTURA]]*$X$7</f>
        <v>9039408</v>
      </c>
      <c r="AU529" s="39">
        <f>Tabla44[[#This Row],[TOTAL CONTRATO (ICBF+EAS)]]+Tabla44[[#This Row],[VALOR COMPONENTE ALIMENTACION NO ASIGNADO]]</f>
        <v>18155238</v>
      </c>
      <c r="AV52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2486430</v>
      </c>
      <c r="AW529" s="35">
        <f>(VLOOKUP(Tabla44[[#This Row],[SERVICIO 2025]],$J$2:$V$15,3,0)*Tabla44[[#This Row],[TOTAL COBERTURA]])+VLOOKUP(Tabla44[[#This Row],[SERVICIO 2025]],$J$2:$V$15,10,0)*Tabla44[[#This Row],[TOTAL COBERTURA]]</f>
        <v>2205966</v>
      </c>
      <c r="AX529" s="35">
        <f>(VLOOKUP(Tabla44[[#This Row],[SERVICIO 2025]],$J$2:$V$15,3,0)*Tabla44[[#This Row],[TOTAL COBERTURA]])+VLOOKUP(Tabla44[[#This Row],[SERVICIO 2025]],$J$2:$V$15,10,0)*Tabla44[[#This Row],[TOTAL COBERTURA]]</f>
        <v>2205966</v>
      </c>
      <c r="AY529" s="35">
        <f>(VLOOKUP(Tabla44[[#This Row],[SERVICIO 2025]],$J$2:$V$15,3,0)*Tabla44[[#This Row],[TOTAL COBERTURA]])+VLOOKUP(Tabla44[[#This Row],[SERVICIO 2025]],$J$2:$V$15,10,0)*Tabla44[[#This Row],[TOTAL COBERTURA]]</f>
        <v>2205966</v>
      </c>
      <c r="AZ529" s="35">
        <f>(VLOOKUP(Tabla44[[#This Row],[SERVICIO 2025]],$J$2:$V$15,3,0)*Tabla44[[#This Row],[TOTAL COBERTURA]])+VLOOKUP(Tabla44[[#This Row],[SERVICIO 2025]],$J$2:$V$15,10,0)*Tabla44[[#This Row],[TOTAL COBERTURA]]</f>
        <v>2205966</v>
      </c>
      <c r="BA529" s="35">
        <f>(VLOOKUP(Tabla44[[#This Row],[SERVICIO 2025]],$J$2:$V$15,3,0)*Tabla44[[#This Row],[TOTAL COBERTURA]])+VLOOKUP(Tabla44[[#This Row],[SERVICIO 2025]],$J$2:$V$15,10,0)*Tabla44[[#This Row],[TOTAL COBERTURA]]</f>
        <v>2205966</v>
      </c>
      <c r="BB529" s="35">
        <f>(VLOOKUP(Tabla44[[#This Row],[SERVICIO 2025]],$J$2:$V$15,3,0)*Tabla44[[#This Row],[TOTAL COBERTURA]])+VLOOKUP(Tabla44[[#This Row],[SERVICIO 2025]],$J$2:$V$15,10,0)*Tabla44[[#This Row],[TOTAL COBERTURA]]</f>
        <v>2205966</v>
      </c>
      <c r="BC52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2433012</v>
      </c>
      <c r="BD529" s="35">
        <f>SUM(Tabla44[[#This Row],[DESEMBOLSO 1]:[DESEMBOLSO 8]])</f>
        <v>18155238</v>
      </c>
      <c r="BE529" s="12" t="b">
        <f>EXACT(Tabla44[[#This Row],[VALOR ATENCIÓN (8 MESES)]],Tabla44[[#This Row],[VALOR TOTAL]])</f>
        <v>1</v>
      </c>
      <c r="BF529" s="23">
        <f>Tabla44[[#This Row],[VALOR ATENCIÓN (8 MESES)]]-Tabla44[[#This Row],[VALOR TOTAL]]</f>
        <v>0</v>
      </c>
      <c r="BG529" s="12" t="b">
        <f>EXACT(Tabla44[[#This Row],[TOTAL DESEMBOLSOS]],Tabla44[[#This Row],[VALOR TOTAL DEL CONTRATO INCLUIDO EL COMPONENTE DE ALIMENTACIÓN]])</f>
        <v>1</v>
      </c>
      <c r="BH529" s="29">
        <f>Tabla44[[#This Row],[TOTAL DESEMBOLSOS]]-Tabla44[[#This Row],[VALOR TOTAL DEL CONTRATO INCLUIDO EL COMPONENTE DE ALIMENTACIÓN]]</f>
        <v>0</v>
      </c>
      <c r="BI529" t="s">
        <v>98</v>
      </c>
    </row>
    <row r="530" spans="1:61">
      <c r="A530" s="13">
        <v>2023</v>
      </c>
      <c r="B530" s="13"/>
      <c r="C530" s="12" t="s">
        <v>87</v>
      </c>
      <c r="D530" s="12" t="s">
        <v>673</v>
      </c>
      <c r="E530" s="12" t="s">
        <v>3764</v>
      </c>
      <c r="F530" s="12" t="s">
        <v>21</v>
      </c>
      <c r="G530" s="12" t="s">
        <v>90</v>
      </c>
      <c r="H530" s="12" t="s">
        <v>3824</v>
      </c>
      <c r="I530" s="36">
        <v>58901152039</v>
      </c>
      <c r="J530" s="12" t="s">
        <v>3825</v>
      </c>
      <c r="K530" s="12">
        <v>1</v>
      </c>
      <c r="L530" s="12">
        <v>18</v>
      </c>
      <c r="M530" s="12"/>
      <c r="N530" s="13">
        <v>2023</v>
      </c>
      <c r="O530" s="12" t="s">
        <v>2850</v>
      </c>
      <c r="P530" s="12"/>
      <c r="Q530" s="12"/>
      <c r="R530" s="12" t="s">
        <v>94</v>
      </c>
      <c r="S530" s="12">
        <v>10</v>
      </c>
      <c r="T530" s="12">
        <v>830508092</v>
      </c>
      <c r="U530" s="12" t="s">
        <v>584</v>
      </c>
      <c r="V530" s="12">
        <f>VLOOKUP(Tabla44[[#This Row],[ZONA DEFINITIVO]],[1]Hoja1!$A$1:$D$125,3,0)</f>
        <v>229947</v>
      </c>
      <c r="W530" s="12">
        <f>VLOOKUP(Tabla44[[#This Row],[ZONA DEFINITIVO]],[1]Hoja1!$A$1:$D$125,2,0)</f>
        <v>17263</v>
      </c>
      <c r="X530" s="12">
        <f>VLOOKUP(Tabla44[[#This Row],[ZONA DEFINITIVO]],[1]Hoja1!$A$1:$D$125,4,0)</f>
        <v>104925</v>
      </c>
      <c r="Y530" s="12" t="str">
        <f>+IF(Tabla44[[#This Row],[AGRUPACIONES]]=1,SUMIFS(Tabla44[UDS],Tabla44[ZONA DEFINITIVO],Tabla44[[#This Row],[ZONA DEFINITIVO]])," ")</f>
        <v xml:space="preserve"> </v>
      </c>
      <c r="Z530" s="12" t="str">
        <f>+IF(Tabla44[[#This Row],[AGRUPACIONES]]=1,SUMIFS(Tabla44[TOTAL COBERTURA],Tabla44[ZONA DEFINITIVO],Tabla44[[#This Row],[ZONA DEFINITIVO]])," ")</f>
        <v xml:space="preserve"> </v>
      </c>
      <c r="AA530" s="12"/>
      <c r="AB530" s="35">
        <v>27347490</v>
      </c>
      <c r="AC530" s="37">
        <v>0</v>
      </c>
      <c r="AD530" s="35">
        <f t="shared" si="8"/>
        <v>0</v>
      </c>
      <c r="AE530" s="12"/>
      <c r="AF530" s="12">
        <f>COUNTIF($A$20:A530,A530)</f>
        <v>34</v>
      </c>
      <c r="AG530" s="38">
        <v>27347490</v>
      </c>
      <c r="AH530" s="38">
        <f>Tabla44[[#This Row],[VALOR CONTRAPARTIDA]]+Tabla44[[#This Row],[TOTAL APORTES ICBF]]</f>
        <v>27347490</v>
      </c>
      <c r="AI530" s="35" t="str">
        <f>+IF(Tabla44[[#This Row],[AGRUPACIONES]]=1,SUMIFS(Tabla44[TOTAL APORTES ICBF],Tabla44[ZONA DEFINITIVO],Tabla44[[#This Row],[ZONA DEFINITIVO]])," ")</f>
        <v xml:space="preserve"> </v>
      </c>
      <c r="AJ530" s="38"/>
      <c r="AK530" s="38"/>
      <c r="AL530" s="35"/>
      <c r="AM530" s="35">
        <f>VLOOKUP(Tabla44[[#This Row],[SERVICIO 2025]],$J$2:$V$15,5,0)*Tabla44[[#This Row],[TOTAL COBERTURA]]</f>
        <v>841392</v>
      </c>
      <c r="AN530" s="35">
        <f>VLOOKUP(Tabla44[[#This Row],[SERVICIO 2025]],$J$2:$V$15,6,0)*Tabla44[[#This Row],[TOTAL COBERTURA]]</f>
        <v>681138</v>
      </c>
      <c r="AO530" s="35">
        <f>VLOOKUP(Tabla44[[#This Row],[SERVICIO 2025]],$J$2:$V$15,8,0)*Tabla44[[#This Row],[TOTAL COBERTURA]]</f>
        <v>0</v>
      </c>
      <c r="AP530" s="35">
        <f>VLOOKUP(Tabla44[[#This Row],[SERVICIO 2025]],$J$2:$V$15,3,0)*Tabla44[[#This Row],[TOTAL COBERTURA]]*8</f>
        <v>25824960</v>
      </c>
      <c r="AQ530" s="35"/>
      <c r="AR530" s="35">
        <f>SUM(Tabla44[[#This Row],[VALOR FASE PREPARATORIA DE ALISTAMIENTO]:[VALOR RACION PREPARADA]])</f>
        <v>27347490</v>
      </c>
      <c r="AS530" s="35" t="str">
        <f>+IF(Tabla44[[#This Row],[AGRUPACIONES]]=1,SUMIFS(Tabla44[VALOR TOTAL],Tabla44[ZONA DEFINITIVO],Tabla44[[#This Row],[ZONA DEFINITIVO]])," ")</f>
        <v xml:space="preserve"> </v>
      </c>
      <c r="AT530" s="35">
        <f>VLOOKUP(Tabla44[[#This Row],[SERVICIO 2025]],$J$2:$V$15,10,0)*Tabla44[[#This Row],[TOTAL COBERTURA]]*$X$7</f>
        <v>27118224</v>
      </c>
      <c r="AU530" s="39">
        <f>Tabla44[[#This Row],[TOTAL CONTRATO (ICBF+EAS)]]+Tabla44[[#This Row],[VALOR COMPONENTE ALIMENTACION NO ASIGNADO]]</f>
        <v>54465714</v>
      </c>
      <c r="AV53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7459290</v>
      </c>
      <c r="AW530" s="35">
        <f>(VLOOKUP(Tabla44[[#This Row],[SERVICIO 2025]],$J$2:$V$15,3,0)*Tabla44[[#This Row],[TOTAL COBERTURA]])+VLOOKUP(Tabla44[[#This Row],[SERVICIO 2025]],$J$2:$V$15,10,0)*Tabla44[[#This Row],[TOTAL COBERTURA]]</f>
        <v>6617898</v>
      </c>
      <c r="AX530" s="35">
        <f>(VLOOKUP(Tabla44[[#This Row],[SERVICIO 2025]],$J$2:$V$15,3,0)*Tabla44[[#This Row],[TOTAL COBERTURA]])+VLOOKUP(Tabla44[[#This Row],[SERVICIO 2025]],$J$2:$V$15,10,0)*Tabla44[[#This Row],[TOTAL COBERTURA]]</f>
        <v>6617898</v>
      </c>
      <c r="AY530" s="35">
        <f>(VLOOKUP(Tabla44[[#This Row],[SERVICIO 2025]],$J$2:$V$15,3,0)*Tabla44[[#This Row],[TOTAL COBERTURA]])+VLOOKUP(Tabla44[[#This Row],[SERVICIO 2025]],$J$2:$V$15,10,0)*Tabla44[[#This Row],[TOTAL COBERTURA]]</f>
        <v>6617898</v>
      </c>
      <c r="AZ530" s="35">
        <f>(VLOOKUP(Tabla44[[#This Row],[SERVICIO 2025]],$J$2:$V$15,3,0)*Tabla44[[#This Row],[TOTAL COBERTURA]])+VLOOKUP(Tabla44[[#This Row],[SERVICIO 2025]],$J$2:$V$15,10,0)*Tabla44[[#This Row],[TOTAL COBERTURA]]</f>
        <v>6617898</v>
      </c>
      <c r="BA530" s="35">
        <f>(VLOOKUP(Tabla44[[#This Row],[SERVICIO 2025]],$J$2:$V$15,3,0)*Tabla44[[#This Row],[TOTAL COBERTURA]])+VLOOKUP(Tabla44[[#This Row],[SERVICIO 2025]],$J$2:$V$15,10,0)*Tabla44[[#This Row],[TOTAL COBERTURA]]</f>
        <v>6617898</v>
      </c>
      <c r="BB530" s="35">
        <f>(VLOOKUP(Tabla44[[#This Row],[SERVICIO 2025]],$J$2:$V$15,3,0)*Tabla44[[#This Row],[TOTAL COBERTURA]])+VLOOKUP(Tabla44[[#This Row],[SERVICIO 2025]],$J$2:$V$15,10,0)*Tabla44[[#This Row],[TOTAL COBERTURA]]</f>
        <v>6617898</v>
      </c>
      <c r="BC53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7299036</v>
      </c>
      <c r="BD530" s="35">
        <f>SUM(Tabla44[[#This Row],[DESEMBOLSO 1]:[DESEMBOLSO 8]])</f>
        <v>54465714</v>
      </c>
      <c r="BE530" s="12" t="b">
        <f>EXACT(Tabla44[[#This Row],[VALOR ATENCIÓN (8 MESES)]],Tabla44[[#This Row],[VALOR TOTAL]])</f>
        <v>1</v>
      </c>
      <c r="BF530" s="23">
        <f>Tabla44[[#This Row],[VALOR ATENCIÓN (8 MESES)]]-Tabla44[[#This Row],[VALOR TOTAL]]</f>
        <v>0</v>
      </c>
      <c r="BG530" s="12" t="b">
        <f>EXACT(Tabla44[[#This Row],[TOTAL DESEMBOLSOS]],Tabla44[[#This Row],[VALOR TOTAL DEL CONTRATO INCLUIDO EL COMPONENTE DE ALIMENTACIÓN]])</f>
        <v>1</v>
      </c>
      <c r="BH530" s="29">
        <f>Tabla44[[#This Row],[TOTAL DESEMBOLSOS]]-Tabla44[[#This Row],[VALOR TOTAL DEL CONTRATO INCLUIDO EL COMPONENTE DE ALIMENTACIÓN]]</f>
        <v>0</v>
      </c>
      <c r="BI530" t="s">
        <v>98</v>
      </c>
    </row>
    <row r="531" spans="1:61">
      <c r="A531" s="13">
        <v>2023</v>
      </c>
      <c r="B531" s="13"/>
      <c r="C531" s="12" t="s">
        <v>87</v>
      </c>
      <c r="D531" s="12" t="s">
        <v>673</v>
      </c>
      <c r="E531" s="12" t="s">
        <v>3764</v>
      </c>
      <c r="F531" s="12" t="s">
        <v>21</v>
      </c>
      <c r="G531" s="12" t="s">
        <v>90</v>
      </c>
      <c r="H531" s="12" t="s">
        <v>3826</v>
      </c>
      <c r="I531" s="36">
        <v>58901153191</v>
      </c>
      <c r="J531" s="12" t="s">
        <v>3827</v>
      </c>
      <c r="K531" s="12">
        <v>1</v>
      </c>
      <c r="L531" s="12">
        <v>17</v>
      </c>
      <c r="M531" s="12"/>
      <c r="N531" s="13">
        <v>2023</v>
      </c>
      <c r="O531" s="12" t="s">
        <v>2850</v>
      </c>
      <c r="P531" s="12"/>
      <c r="Q531" s="12"/>
      <c r="R531" s="12" t="s">
        <v>94</v>
      </c>
      <c r="S531" s="12">
        <v>10</v>
      </c>
      <c r="T531" s="12">
        <v>830508092</v>
      </c>
      <c r="U531" s="12" t="s">
        <v>584</v>
      </c>
      <c r="V531" s="12">
        <f>VLOOKUP(Tabla44[[#This Row],[ZONA DEFINITIVO]],[1]Hoja1!$A$1:$D$125,3,0)</f>
        <v>229947</v>
      </c>
      <c r="W531" s="12">
        <f>VLOOKUP(Tabla44[[#This Row],[ZONA DEFINITIVO]],[1]Hoja1!$A$1:$D$125,2,0)</f>
        <v>17263</v>
      </c>
      <c r="X531" s="12">
        <f>VLOOKUP(Tabla44[[#This Row],[ZONA DEFINITIVO]],[1]Hoja1!$A$1:$D$125,4,0)</f>
        <v>104925</v>
      </c>
      <c r="Y531" s="12" t="str">
        <f>+IF(Tabla44[[#This Row],[AGRUPACIONES]]=1,SUMIFS(Tabla44[UDS],Tabla44[ZONA DEFINITIVO],Tabla44[[#This Row],[ZONA DEFINITIVO]])," ")</f>
        <v xml:space="preserve"> </v>
      </c>
      <c r="Z531" s="12" t="str">
        <f>+IF(Tabla44[[#This Row],[AGRUPACIONES]]=1,SUMIFS(Tabla44[TOTAL COBERTURA],Tabla44[ZONA DEFINITIVO],Tabla44[[#This Row],[ZONA DEFINITIVO]])," ")</f>
        <v xml:space="preserve"> </v>
      </c>
      <c r="AA531" s="12"/>
      <c r="AB531" s="35">
        <v>25828185</v>
      </c>
      <c r="AC531" s="37">
        <v>0</v>
      </c>
      <c r="AD531" s="35">
        <f t="shared" si="8"/>
        <v>0</v>
      </c>
      <c r="AE531" s="12"/>
      <c r="AF531" s="12">
        <f>COUNTIF($A$20:A531,A531)</f>
        <v>35</v>
      </c>
      <c r="AG531" s="38">
        <v>25828185</v>
      </c>
      <c r="AH531" s="38">
        <f>Tabla44[[#This Row],[VALOR CONTRAPARTIDA]]+Tabla44[[#This Row],[TOTAL APORTES ICBF]]</f>
        <v>25828185</v>
      </c>
      <c r="AI531" s="35" t="str">
        <f>+IF(Tabla44[[#This Row],[AGRUPACIONES]]=1,SUMIFS(Tabla44[TOTAL APORTES ICBF],Tabla44[ZONA DEFINITIVO],Tabla44[[#This Row],[ZONA DEFINITIVO]])," ")</f>
        <v xml:space="preserve"> </v>
      </c>
      <c r="AJ531" s="38"/>
      <c r="AK531" s="38"/>
      <c r="AL531" s="35"/>
      <c r="AM531" s="35">
        <f>VLOOKUP(Tabla44[[#This Row],[SERVICIO 2025]],$J$2:$V$15,5,0)*Tabla44[[#This Row],[TOTAL COBERTURA]]</f>
        <v>794648</v>
      </c>
      <c r="AN531" s="35">
        <f>VLOOKUP(Tabla44[[#This Row],[SERVICIO 2025]],$J$2:$V$15,6,0)*Tabla44[[#This Row],[TOTAL COBERTURA]]</f>
        <v>643297</v>
      </c>
      <c r="AO531" s="35">
        <f>VLOOKUP(Tabla44[[#This Row],[SERVICIO 2025]],$J$2:$V$15,8,0)*Tabla44[[#This Row],[TOTAL COBERTURA]]</f>
        <v>0</v>
      </c>
      <c r="AP531" s="35">
        <f>VLOOKUP(Tabla44[[#This Row],[SERVICIO 2025]],$J$2:$V$15,3,0)*Tabla44[[#This Row],[TOTAL COBERTURA]]*8</f>
        <v>24390240</v>
      </c>
      <c r="AQ531" s="35"/>
      <c r="AR531" s="35">
        <f>SUM(Tabla44[[#This Row],[VALOR FASE PREPARATORIA DE ALISTAMIENTO]:[VALOR RACION PREPARADA]])</f>
        <v>25828185</v>
      </c>
      <c r="AS531" s="35" t="str">
        <f>+IF(Tabla44[[#This Row],[AGRUPACIONES]]=1,SUMIFS(Tabla44[VALOR TOTAL],Tabla44[ZONA DEFINITIVO],Tabla44[[#This Row],[ZONA DEFINITIVO]])," ")</f>
        <v xml:space="preserve"> </v>
      </c>
      <c r="AT531" s="35">
        <f>VLOOKUP(Tabla44[[#This Row],[SERVICIO 2025]],$J$2:$V$15,10,0)*Tabla44[[#This Row],[TOTAL COBERTURA]]*$X$7</f>
        <v>25611656</v>
      </c>
      <c r="AU531" s="39">
        <f>Tabla44[[#This Row],[TOTAL CONTRATO (ICBF+EAS)]]+Tabla44[[#This Row],[VALOR COMPONENTE ALIMENTACION NO ASIGNADO]]</f>
        <v>51439841</v>
      </c>
      <c r="AV53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7044885</v>
      </c>
      <c r="AW531" s="35">
        <f>(VLOOKUP(Tabla44[[#This Row],[SERVICIO 2025]],$J$2:$V$15,3,0)*Tabla44[[#This Row],[TOTAL COBERTURA]])+VLOOKUP(Tabla44[[#This Row],[SERVICIO 2025]],$J$2:$V$15,10,0)*Tabla44[[#This Row],[TOTAL COBERTURA]]</f>
        <v>6250237</v>
      </c>
      <c r="AX531" s="35">
        <f>(VLOOKUP(Tabla44[[#This Row],[SERVICIO 2025]],$J$2:$V$15,3,0)*Tabla44[[#This Row],[TOTAL COBERTURA]])+VLOOKUP(Tabla44[[#This Row],[SERVICIO 2025]],$J$2:$V$15,10,0)*Tabla44[[#This Row],[TOTAL COBERTURA]]</f>
        <v>6250237</v>
      </c>
      <c r="AY531" s="35">
        <f>(VLOOKUP(Tabla44[[#This Row],[SERVICIO 2025]],$J$2:$V$15,3,0)*Tabla44[[#This Row],[TOTAL COBERTURA]])+VLOOKUP(Tabla44[[#This Row],[SERVICIO 2025]],$J$2:$V$15,10,0)*Tabla44[[#This Row],[TOTAL COBERTURA]]</f>
        <v>6250237</v>
      </c>
      <c r="AZ531" s="35">
        <f>(VLOOKUP(Tabla44[[#This Row],[SERVICIO 2025]],$J$2:$V$15,3,0)*Tabla44[[#This Row],[TOTAL COBERTURA]])+VLOOKUP(Tabla44[[#This Row],[SERVICIO 2025]],$J$2:$V$15,10,0)*Tabla44[[#This Row],[TOTAL COBERTURA]]</f>
        <v>6250237</v>
      </c>
      <c r="BA531" s="35">
        <f>(VLOOKUP(Tabla44[[#This Row],[SERVICIO 2025]],$J$2:$V$15,3,0)*Tabla44[[#This Row],[TOTAL COBERTURA]])+VLOOKUP(Tabla44[[#This Row],[SERVICIO 2025]],$J$2:$V$15,10,0)*Tabla44[[#This Row],[TOTAL COBERTURA]]</f>
        <v>6250237</v>
      </c>
      <c r="BB531" s="35">
        <f>(VLOOKUP(Tabla44[[#This Row],[SERVICIO 2025]],$J$2:$V$15,3,0)*Tabla44[[#This Row],[TOTAL COBERTURA]])+VLOOKUP(Tabla44[[#This Row],[SERVICIO 2025]],$J$2:$V$15,10,0)*Tabla44[[#This Row],[TOTAL COBERTURA]]</f>
        <v>6250237</v>
      </c>
      <c r="BC53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6893534</v>
      </c>
      <c r="BD531" s="35">
        <f>SUM(Tabla44[[#This Row],[DESEMBOLSO 1]:[DESEMBOLSO 8]])</f>
        <v>51439841</v>
      </c>
      <c r="BE531" s="12" t="b">
        <f>EXACT(Tabla44[[#This Row],[VALOR ATENCIÓN (8 MESES)]],Tabla44[[#This Row],[VALOR TOTAL]])</f>
        <v>1</v>
      </c>
      <c r="BF531" s="23">
        <f>Tabla44[[#This Row],[VALOR ATENCIÓN (8 MESES)]]-Tabla44[[#This Row],[VALOR TOTAL]]</f>
        <v>0</v>
      </c>
      <c r="BG531" s="12" t="b">
        <f>EXACT(Tabla44[[#This Row],[TOTAL DESEMBOLSOS]],Tabla44[[#This Row],[VALOR TOTAL DEL CONTRATO INCLUIDO EL COMPONENTE DE ALIMENTACIÓN]])</f>
        <v>1</v>
      </c>
      <c r="BH531" s="29">
        <f>Tabla44[[#This Row],[TOTAL DESEMBOLSOS]]-Tabla44[[#This Row],[VALOR TOTAL DEL CONTRATO INCLUIDO EL COMPONENTE DE ALIMENTACIÓN]]</f>
        <v>0</v>
      </c>
      <c r="BI531" t="s">
        <v>98</v>
      </c>
    </row>
    <row r="532" spans="1:61">
      <c r="A532" s="13">
        <v>2023</v>
      </c>
      <c r="B532" s="13"/>
      <c r="C532" s="12" t="s">
        <v>87</v>
      </c>
      <c r="D532" s="12" t="s">
        <v>673</v>
      </c>
      <c r="E532" s="12" t="s">
        <v>3764</v>
      </c>
      <c r="F532" s="12" t="s">
        <v>21</v>
      </c>
      <c r="G532" s="12" t="s">
        <v>90</v>
      </c>
      <c r="H532" s="12" t="s">
        <v>3828</v>
      </c>
      <c r="I532" s="36">
        <v>58901153192</v>
      </c>
      <c r="J532" s="12" t="s">
        <v>3829</v>
      </c>
      <c r="K532" s="12">
        <v>1</v>
      </c>
      <c r="L532" s="12">
        <v>38</v>
      </c>
      <c r="M532" s="12"/>
      <c r="N532" s="13">
        <v>2023</v>
      </c>
      <c r="O532" s="12" t="s">
        <v>2850</v>
      </c>
      <c r="P532" s="12"/>
      <c r="Q532" s="12"/>
      <c r="R532" s="12" t="s">
        <v>94</v>
      </c>
      <c r="S532" s="12">
        <v>10</v>
      </c>
      <c r="T532" s="12">
        <v>830508092</v>
      </c>
      <c r="U532" s="12" t="s">
        <v>584</v>
      </c>
      <c r="V532" s="12">
        <f>VLOOKUP(Tabla44[[#This Row],[ZONA DEFINITIVO]],[1]Hoja1!$A$1:$D$125,3,0)</f>
        <v>229947</v>
      </c>
      <c r="W532" s="12">
        <f>VLOOKUP(Tabla44[[#This Row],[ZONA DEFINITIVO]],[1]Hoja1!$A$1:$D$125,2,0)</f>
        <v>17263</v>
      </c>
      <c r="X532" s="12">
        <f>VLOOKUP(Tabla44[[#This Row],[ZONA DEFINITIVO]],[1]Hoja1!$A$1:$D$125,4,0)</f>
        <v>104925</v>
      </c>
      <c r="Y532" s="12" t="str">
        <f>+IF(Tabla44[[#This Row],[AGRUPACIONES]]=1,SUMIFS(Tabla44[UDS],Tabla44[ZONA DEFINITIVO],Tabla44[[#This Row],[ZONA DEFINITIVO]])," ")</f>
        <v xml:space="preserve"> </v>
      </c>
      <c r="Z532" s="12" t="str">
        <f>+IF(Tabla44[[#This Row],[AGRUPACIONES]]=1,SUMIFS(Tabla44[TOTAL COBERTURA],Tabla44[ZONA DEFINITIVO],Tabla44[[#This Row],[ZONA DEFINITIVO]])," ")</f>
        <v xml:space="preserve"> </v>
      </c>
      <c r="AA532" s="12"/>
      <c r="AB532" s="35">
        <v>57733590</v>
      </c>
      <c r="AC532" s="37">
        <v>0</v>
      </c>
      <c r="AD532" s="35">
        <f t="shared" ref="AD532:AD561" si="9">AB532*AC532</f>
        <v>0</v>
      </c>
      <c r="AE532" s="12"/>
      <c r="AF532" s="12">
        <f>COUNTIF($A$20:A532,A532)</f>
        <v>36</v>
      </c>
      <c r="AG532" s="38">
        <v>57733590</v>
      </c>
      <c r="AH532" s="38">
        <f>Tabla44[[#This Row],[VALOR CONTRAPARTIDA]]+Tabla44[[#This Row],[TOTAL APORTES ICBF]]</f>
        <v>57733590</v>
      </c>
      <c r="AI532" s="35" t="str">
        <f>+IF(Tabla44[[#This Row],[AGRUPACIONES]]=1,SUMIFS(Tabla44[TOTAL APORTES ICBF],Tabla44[ZONA DEFINITIVO],Tabla44[[#This Row],[ZONA DEFINITIVO]])," ")</f>
        <v xml:space="preserve"> </v>
      </c>
      <c r="AJ532" s="38"/>
      <c r="AK532" s="38"/>
      <c r="AL532" s="35"/>
      <c r="AM532" s="35">
        <f>VLOOKUP(Tabla44[[#This Row],[SERVICIO 2025]],$J$2:$V$15,5,0)*Tabla44[[#This Row],[TOTAL COBERTURA]]</f>
        <v>1776272</v>
      </c>
      <c r="AN532" s="35">
        <f>VLOOKUP(Tabla44[[#This Row],[SERVICIO 2025]],$J$2:$V$15,6,0)*Tabla44[[#This Row],[TOTAL COBERTURA]]</f>
        <v>1437958</v>
      </c>
      <c r="AO532" s="35">
        <f>VLOOKUP(Tabla44[[#This Row],[SERVICIO 2025]],$J$2:$V$15,8,0)*Tabla44[[#This Row],[TOTAL COBERTURA]]</f>
        <v>0</v>
      </c>
      <c r="AP532" s="35">
        <f>VLOOKUP(Tabla44[[#This Row],[SERVICIO 2025]],$J$2:$V$15,3,0)*Tabla44[[#This Row],[TOTAL COBERTURA]]*8</f>
        <v>54519360</v>
      </c>
      <c r="AQ532" s="35"/>
      <c r="AR532" s="35">
        <f>SUM(Tabla44[[#This Row],[VALOR FASE PREPARATORIA DE ALISTAMIENTO]:[VALOR RACION PREPARADA]])</f>
        <v>57733590</v>
      </c>
      <c r="AS532" s="35" t="str">
        <f>+IF(Tabla44[[#This Row],[AGRUPACIONES]]=1,SUMIFS(Tabla44[VALOR TOTAL],Tabla44[ZONA DEFINITIVO],Tabla44[[#This Row],[ZONA DEFINITIVO]])," ")</f>
        <v xml:space="preserve"> </v>
      </c>
      <c r="AT532" s="35">
        <f>VLOOKUP(Tabla44[[#This Row],[SERVICIO 2025]],$J$2:$V$15,10,0)*Tabla44[[#This Row],[TOTAL COBERTURA]]*$X$7</f>
        <v>57249584</v>
      </c>
      <c r="AU532" s="39">
        <f>Tabla44[[#This Row],[TOTAL CONTRATO (ICBF+EAS)]]+Tabla44[[#This Row],[VALOR COMPONENTE ALIMENTACION NO ASIGNADO]]</f>
        <v>114983174</v>
      </c>
      <c r="AV53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15747390</v>
      </c>
      <c r="AW532" s="35">
        <f>(VLOOKUP(Tabla44[[#This Row],[SERVICIO 2025]],$J$2:$V$15,3,0)*Tabla44[[#This Row],[TOTAL COBERTURA]])+VLOOKUP(Tabla44[[#This Row],[SERVICIO 2025]],$J$2:$V$15,10,0)*Tabla44[[#This Row],[TOTAL COBERTURA]]</f>
        <v>13971118</v>
      </c>
      <c r="AX532" s="35">
        <f>(VLOOKUP(Tabla44[[#This Row],[SERVICIO 2025]],$J$2:$V$15,3,0)*Tabla44[[#This Row],[TOTAL COBERTURA]])+VLOOKUP(Tabla44[[#This Row],[SERVICIO 2025]],$J$2:$V$15,10,0)*Tabla44[[#This Row],[TOTAL COBERTURA]]</f>
        <v>13971118</v>
      </c>
      <c r="AY532" s="35">
        <f>(VLOOKUP(Tabla44[[#This Row],[SERVICIO 2025]],$J$2:$V$15,3,0)*Tabla44[[#This Row],[TOTAL COBERTURA]])+VLOOKUP(Tabla44[[#This Row],[SERVICIO 2025]],$J$2:$V$15,10,0)*Tabla44[[#This Row],[TOTAL COBERTURA]]</f>
        <v>13971118</v>
      </c>
      <c r="AZ532" s="35">
        <f>(VLOOKUP(Tabla44[[#This Row],[SERVICIO 2025]],$J$2:$V$15,3,0)*Tabla44[[#This Row],[TOTAL COBERTURA]])+VLOOKUP(Tabla44[[#This Row],[SERVICIO 2025]],$J$2:$V$15,10,0)*Tabla44[[#This Row],[TOTAL COBERTURA]]</f>
        <v>13971118</v>
      </c>
      <c r="BA532" s="35">
        <f>(VLOOKUP(Tabla44[[#This Row],[SERVICIO 2025]],$J$2:$V$15,3,0)*Tabla44[[#This Row],[TOTAL COBERTURA]])+VLOOKUP(Tabla44[[#This Row],[SERVICIO 2025]],$J$2:$V$15,10,0)*Tabla44[[#This Row],[TOTAL COBERTURA]]</f>
        <v>13971118</v>
      </c>
      <c r="BB532" s="35">
        <f>(VLOOKUP(Tabla44[[#This Row],[SERVICIO 2025]],$J$2:$V$15,3,0)*Tabla44[[#This Row],[TOTAL COBERTURA]])+VLOOKUP(Tabla44[[#This Row],[SERVICIO 2025]],$J$2:$V$15,10,0)*Tabla44[[#This Row],[TOTAL COBERTURA]]</f>
        <v>13971118</v>
      </c>
      <c r="BC53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15409076</v>
      </c>
      <c r="BD532" s="35">
        <f>SUM(Tabla44[[#This Row],[DESEMBOLSO 1]:[DESEMBOLSO 8]])</f>
        <v>114983174</v>
      </c>
      <c r="BE532" s="12" t="b">
        <f>EXACT(Tabla44[[#This Row],[VALOR ATENCIÓN (8 MESES)]],Tabla44[[#This Row],[VALOR TOTAL]])</f>
        <v>1</v>
      </c>
      <c r="BF532" s="23">
        <f>Tabla44[[#This Row],[VALOR ATENCIÓN (8 MESES)]]-Tabla44[[#This Row],[VALOR TOTAL]]</f>
        <v>0</v>
      </c>
      <c r="BG532" s="12" t="b">
        <f>EXACT(Tabla44[[#This Row],[TOTAL DESEMBOLSOS]],Tabla44[[#This Row],[VALOR TOTAL DEL CONTRATO INCLUIDO EL COMPONENTE DE ALIMENTACIÓN]])</f>
        <v>1</v>
      </c>
      <c r="BH532" s="29">
        <f>Tabla44[[#This Row],[TOTAL DESEMBOLSOS]]-Tabla44[[#This Row],[VALOR TOTAL DEL CONTRATO INCLUIDO EL COMPONENTE DE ALIMENTACIÓN]]</f>
        <v>0</v>
      </c>
      <c r="BI532" t="s">
        <v>98</v>
      </c>
    </row>
    <row r="533" spans="1:61">
      <c r="A533" s="13">
        <v>2023</v>
      </c>
      <c r="B533" s="13"/>
      <c r="C533" s="12" t="s">
        <v>87</v>
      </c>
      <c r="D533" s="12" t="s">
        <v>673</v>
      </c>
      <c r="E533" s="12" t="s">
        <v>3764</v>
      </c>
      <c r="F533" s="12" t="s">
        <v>21</v>
      </c>
      <c r="G533" s="12" t="s">
        <v>90</v>
      </c>
      <c r="H533" s="12" t="s">
        <v>3830</v>
      </c>
      <c r="I533" s="36">
        <v>58901153193</v>
      </c>
      <c r="J533" s="12" t="s">
        <v>3831</v>
      </c>
      <c r="K533" s="12">
        <v>1</v>
      </c>
      <c r="L533" s="12">
        <v>102</v>
      </c>
      <c r="M533" s="12"/>
      <c r="N533" s="13">
        <v>2023</v>
      </c>
      <c r="O533" s="12" t="s">
        <v>2850</v>
      </c>
      <c r="P533" s="12"/>
      <c r="Q533" s="12"/>
      <c r="R533" s="12" t="s">
        <v>94</v>
      </c>
      <c r="S533" s="12">
        <v>10</v>
      </c>
      <c r="T533" s="12">
        <v>830508092</v>
      </c>
      <c r="U533" s="12" t="s">
        <v>584</v>
      </c>
      <c r="V533" s="12">
        <f>VLOOKUP(Tabla44[[#This Row],[ZONA DEFINITIVO]],[1]Hoja1!$A$1:$D$125,3,0)</f>
        <v>229947</v>
      </c>
      <c r="W533" s="12">
        <f>VLOOKUP(Tabla44[[#This Row],[ZONA DEFINITIVO]],[1]Hoja1!$A$1:$D$125,2,0)</f>
        <v>17263</v>
      </c>
      <c r="X533" s="12">
        <f>VLOOKUP(Tabla44[[#This Row],[ZONA DEFINITIVO]],[1]Hoja1!$A$1:$D$125,4,0)</f>
        <v>104925</v>
      </c>
      <c r="Y533" s="12" t="str">
        <f>+IF(Tabla44[[#This Row],[AGRUPACIONES]]=1,SUMIFS(Tabla44[UDS],Tabla44[ZONA DEFINITIVO],Tabla44[[#This Row],[ZONA DEFINITIVO]])," ")</f>
        <v xml:space="preserve"> </v>
      </c>
      <c r="Z533" s="12" t="str">
        <f>+IF(Tabla44[[#This Row],[AGRUPACIONES]]=1,SUMIFS(Tabla44[TOTAL COBERTURA],Tabla44[ZONA DEFINITIVO],Tabla44[[#This Row],[ZONA DEFINITIVO]])," ")</f>
        <v xml:space="preserve"> </v>
      </c>
      <c r="AA533" s="12"/>
      <c r="AB533" s="35">
        <v>154969110</v>
      </c>
      <c r="AC533" s="37">
        <v>0</v>
      </c>
      <c r="AD533" s="35">
        <f t="shared" si="9"/>
        <v>0</v>
      </c>
      <c r="AE533" s="12"/>
      <c r="AF533" s="12">
        <f>COUNTIF($A$20:A533,A533)</f>
        <v>37</v>
      </c>
      <c r="AG533" s="38">
        <v>154969110</v>
      </c>
      <c r="AH533" s="38">
        <f>Tabla44[[#This Row],[VALOR CONTRAPARTIDA]]+Tabla44[[#This Row],[TOTAL APORTES ICBF]]</f>
        <v>154969110</v>
      </c>
      <c r="AI533" s="35" t="str">
        <f>+IF(Tabla44[[#This Row],[AGRUPACIONES]]=1,SUMIFS(Tabla44[TOTAL APORTES ICBF],Tabla44[ZONA DEFINITIVO],Tabla44[[#This Row],[ZONA DEFINITIVO]])," ")</f>
        <v xml:space="preserve"> </v>
      </c>
      <c r="AJ533" s="38"/>
      <c r="AK533" s="38"/>
      <c r="AL533" s="35"/>
      <c r="AM533" s="35">
        <f>VLOOKUP(Tabla44[[#This Row],[SERVICIO 2025]],$J$2:$V$15,5,0)*Tabla44[[#This Row],[TOTAL COBERTURA]]</f>
        <v>4767888</v>
      </c>
      <c r="AN533" s="35">
        <f>VLOOKUP(Tabla44[[#This Row],[SERVICIO 2025]],$J$2:$V$15,6,0)*Tabla44[[#This Row],[TOTAL COBERTURA]]</f>
        <v>3859782</v>
      </c>
      <c r="AO533" s="35">
        <f>VLOOKUP(Tabla44[[#This Row],[SERVICIO 2025]],$J$2:$V$15,8,0)*Tabla44[[#This Row],[TOTAL COBERTURA]]</f>
        <v>0</v>
      </c>
      <c r="AP533" s="35">
        <f>VLOOKUP(Tabla44[[#This Row],[SERVICIO 2025]],$J$2:$V$15,3,0)*Tabla44[[#This Row],[TOTAL COBERTURA]]*8</f>
        <v>146341440</v>
      </c>
      <c r="AQ533" s="35"/>
      <c r="AR533" s="35">
        <f>SUM(Tabla44[[#This Row],[VALOR FASE PREPARATORIA DE ALISTAMIENTO]:[VALOR RACION PREPARADA]])</f>
        <v>154969110</v>
      </c>
      <c r="AS533" s="35" t="str">
        <f>+IF(Tabla44[[#This Row],[AGRUPACIONES]]=1,SUMIFS(Tabla44[VALOR TOTAL],Tabla44[ZONA DEFINITIVO],Tabla44[[#This Row],[ZONA DEFINITIVO]])," ")</f>
        <v xml:space="preserve"> </v>
      </c>
      <c r="AT533" s="35">
        <f>VLOOKUP(Tabla44[[#This Row],[SERVICIO 2025]],$J$2:$V$15,10,0)*Tabla44[[#This Row],[TOTAL COBERTURA]]*$X$7</f>
        <v>153669936</v>
      </c>
      <c r="AU533" s="39">
        <f>Tabla44[[#This Row],[TOTAL CONTRATO (ICBF+EAS)]]+Tabla44[[#This Row],[VALOR COMPONENTE ALIMENTACION NO ASIGNADO]]</f>
        <v>308639046</v>
      </c>
      <c r="AV53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42269310</v>
      </c>
      <c r="AW533" s="35">
        <f>(VLOOKUP(Tabla44[[#This Row],[SERVICIO 2025]],$J$2:$V$15,3,0)*Tabla44[[#This Row],[TOTAL COBERTURA]])+VLOOKUP(Tabla44[[#This Row],[SERVICIO 2025]],$J$2:$V$15,10,0)*Tabla44[[#This Row],[TOTAL COBERTURA]]</f>
        <v>37501422</v>
      </c>
      <c r="AX533" s="35">
        <f>(VLOOKUP(Tabla44[[#This Row],[SERVICIO 2025]],$J$2:$V$15,3,0)*Tabla44[[#This Row],[TOTAL COBERTURA]])+VLOOKUP(Tabla44[[#This Row],[SERVICIO 2025]],$J$2:$V$15,10,0)*Tabla44[[#This Row],[TOTAL COBERTURA]]</f>
        <v>37501422</v>
      </c>
      <c r="AY533" s="35">
        <f>(VLOOKUP(Tabla44[[#This Row],[SERVICIO 2025]],$J$2:$V$15,3,0)*Tabla44[[#This Row],[TOTAL COBERTURA]])+VLOOKUP(Tabla44[[#This Row],[SERVICIO 2025]],$J$2:$V$15,10,0)*Tabla44[[#This Row],[TOTAL COBERTURA]]</f>
        <v>37501422</v>
      </c>
      <c r="AZ533" s="35">
        <f>(VLOOKUP(Tabla44[[#This Row],[SERVICIO 2025]],$J$2:$V$15,3,0)*Tabla44[[#This Row],[TOTAL COBERTURA]])+VLOOKUP(Tabla44[[#This Row],[SERVICIO 2025]],$J$2:$V$15,10,0)*Tabla44[[#This Row],[TOTAL COBERTURA]]</f>
        <v>37501422</v>
      </c>
      <c r="BA533" s="35">
        <f>(VLOOKUP(Tabla44[[#This Row],[SERVICIO 2025]],$J$2:$V$15,3,0)*Tabla44[[#This Row],[TOTAL COBERTURA]])+VLOOKUP(Tabla44[[#This Row],[SERVICIO 2025]],$J$2:$V$15,10,0)*Tabla44[[#This Row],[TOTAL COBERTURA]]</f>
        <v>37501422</v>
      </c>
      <c r="BB533" s="35">
        <f>(VLOOKUP(Tabla44[[#This Row],[SERVICIO 2025]],$J$2:$V$15,3,0)*Tabla44[[#This Row],[TOTAL COBERTURA]])+VLOOKUP(Tabla44[[#This Row],[SERVICIO 2025]],$J$2:$V$15,10,0)*Tabla44[[#This Row],[TOTAL COBERTURA]]</f>
        <v>37501422</v>
      </c>
      <c r="BC53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41361204</v>
      </c>
      <c r="BD533" s="35">
        <f>SUM(Tabla44[[#This Row],[DESEMBOLSO 1]:[DESEMBOLSO 8]])</f>
        <v>308639046</v>
      </c>
      <c r="BE533" s="12" t="b">
        <f>EXACT(Tabla44[[#This Row],[VALOR ATENCIÓN (8 MESES)]],Tabla44[[#This Row],[VALOR TOTAL]])</f>
        <v>1</v>
      </c>
      <c r="BF533" s="23">
        <f>Tabla44[[#This Row],[VALOR ATENCIÓN (8 MESES)]]-Tabla44[[#This Row],[VALOR TOTAL]]</f>
        <v>0</v>
      </c>
      <c r="BG533" s="12" t="b">
        <f>EXACT(Tabla44[[#This Row],[TOTAL DESEMBOLSOS]],Tabla44[[#This Row],[VALOR TOTAL DEL CONTRATO INCLUIDO EL COMPONENTE DE ALIMENTACIÓN]])</f>
        <v>1</v>
      </c>
      <c r="BH533" s="29">
        <f>Tabla44[[#This Row],[TOTAL DESEMBOLSOS]]-Tabla44[[#This Row],[VALOR TOTAL DEL CONTRATO INCLUIDO EL COMPONENTE DE ALIMENTACIÓN]]</f>
        <v>0</v>
      </c>
      <c r="BI533" t="s">
        <v>98</v>
      </c>
    </row>
    <row r="534" spans="1:61">
      <c r="A534" s="13">
        <v>2023</v>
      </c>
      <c r="B534" s="13"/>
      <c r="C534" s="12" t="s">
        <v>87</v>
      </c>
      <c r="D534" s="12" t="s">
        <v>673</v>
      </c>
      <c r="E534" s="12" t="s">
        <v>3764</v>
      </c>
      <c r="F534" s="12" t="s">
        <v>21</v>
      </c>
      <c r="G534" s="12" t="s">
        <v>90</v>
      </c>
      <c r="H534" s="12" t="s">
        <v>3832</v>
      </c>
      <c r="I534" s="36">
        <v>58901153194</v>
      </c>
      <c r="J534" s="12" t="s">
        <v>3833</v>
      </c>
      <c r="K534" s="12">
        <v>1</v>
      </c>
      <c r="L534" s="12">
        <v>7</v>
      </c>
      <c r="M534" s="12"/>
      <c r="N534" s="13">
        <v>2023</v>
      </c>
      <c r="O534" s="12" t="s">
        <v>2850</v>
      </c>
      <c r="P534" s="12"/>
      <c r="Q534" s="12"/>
      <c r="R534" s="12" t="s">
        <v>94</v>
      </c>
      <c r="S534" s="12">
        <v>10</v>
      </c>
      <c r="T534" s="12">
        <v>830508092</v>
      </c>
      <c r="U534" s="12" t="s">
        <v>584</v>
      </c>
      <c r="V534" s="12">
        <f>VLOOKUP(Tabla44[[#This Row],[ZONA DEFINITIVO]],[1]Hoja1!$A$1:$D$125,3,0)</f>
        <v>229947</v>
      </c>
      <c r="W534" s="12">
        <f>VLOOKUP(Tabla44[[#This Row],[ZONA DEFINITIVO]],[1]Hoja1!$A$1:$D$125,2,0)</f>
        <v>17263</v>
      </c>
      <c r="X534" s="12">
        <f>VLOOKUP(Tabla44[[#This Row],[ZONA DEFINITIVO]],[1]Hoja1!$A$1:$D$125,4,0)</f>
        <v>104925</v>
      </c>
      <c r="Y534" s="12" t="str">
        <f>+IF(Tabla44[[#This Row],[AGRUPACIONES]]=1,SUMIFS(Tabla44[UDS],Tabla44[ZONA DEFINITIVO],Tabla44[[#This Row],[ZONA DEFINITIVO]])," ")</f>
        <v xml:space="preserve"> </v>
      </c>
      <c r="Z534" s="12" t="str">
        <f>+IF(Tabla44[[#This Row],[AGRUPACIONES]]=1,SUMIFS(Tabla44[TOTAL COBERTURA],Tabla44[ZONA DEFINITIVO],Tabla44[[#This Row],[ZONA DEFINITIVO]])," ")</f>
        <v xml:space="preserve"> </v>
      </c>
      <c r="AA534" s="12"/>
      <c r="AB534" s="35">
        <v>10635135</v>
      </c>
      <c r="AC534" s="37">
        <v>0</v>
      </c>
      <c r="AD534" s="35">
        <f t="shared" si="9"/>
        <v>0</v>
      </c>
      <c r="AE534" s="12"/>
      <c r="AF534" s="12">
        <f>COUNTIF($A$20:A534,A534)</f>
        <v>38</v>
      </c>
      <c r="AG534" s="38">
        <v>10635135</v>
      </c>
      <c r="AH534" s="38">
        <f>Tabla44[[#This Row],[VALOR CONTRAPARTIDA]]+Tabla44[[#This Row],[TOTAL APORTES ICBF]]</f>
        <v>10635135</v>
      </c>
      <c r="AI534" s="35" t="str">
        <f>+IF(Tabla44[[#This Row],[AGRUPACIONES]]=1,SUMIFS(Tabla44[TOTAL APORTES ICBF],Tabla44[ZONA DEFINITIVO],Tabla44[[#This Row],[ZONA DEFINITIVO]])," ")</f>
        <v xml:space="preserve"> </v>
      </c>
      <c r="AJ534" s="38"/>
      <c r="AK534" s="38"/>
      <c r="AL534" s="35"/>
      <c r="AM534" s="35">
        <f>VLOOKUP(Tabla44[[#This Row],[SERVICIO 2025]],$J$2:$V$15,5,0)*Tabla44[[#This Row],[TOTAL COBERTURA]]</f>
        <v>327208</v>
      </c>
      <c r="AN534" s="35">
        <f>VLOOKUP(Tabla44[[#This Row],[SERVICIO 2025]],$J$2:$V$15,6,0)*Tabla44[[#This Row],[TOTAL COBERTURA]]</f>
        <v>264887</v>
      </c>
      <c r="AO534" s="35">
        <f>VLOOKUP(Tabla44[[#This Row],[SERVICIO 2025]],$J$2:$V$15,8,0)*Tabla44[[#This Row],[TOTAL COBERTURA]]</f>
        <v>0</v>
      </c>
      <c r="AP534" s="35">
        <f>VLOOKUP(Tabla44[[#This Row],[SERVICIO 2025]],$J$2:$V$15,3,0)*Tabla44[[#This Row],[TOTAL COBERTURA]]*8</f>
        <v>10043040</v>
      </c>
      <c r="AQ534" s="35"/>
      <c r="AR534" s="35">
        <f>SUM(Tabla44[[#This Row],[VALOR FASE PREPARATORIA DE ALISTAMIENTO]:[VALOR RACION PREPARADA]])</f>
        <v>10635135</v>
      </c>
      <c r="AS534" s="35" t="str">
        <f>+IF(Tabla44[[#This Row],[AGRUPACIONES]]=1,SUMIFS(Tabla44[VALOR TOTAL],Tabla44[ZONA DEFINITIVO],Tabla44[[#This Row],[ZONA DEFINITIVO]])," ")</f>
        <v xml:space="preserve"> </v>
      </c>
      <c r="AT534" s="35">
        <f>VLOOKUP(Tabla44[[#This Row],[SERVICIO 2025]],$J$2:$V$15,10,0)*Tabla44[[#This Row],[TOTAL COBERTURA]]*$X$7</f>
        <v>10545976</v>
      </c>
      <c r="AU534" s="39">
        <f>Tabla44[[#This Row],[TOTAL CONTRATO (ICBF+EAS)]]+Tabla44[[#This Row],[VALOR COMPONENTE ALIMENTACION NO ASIGNADO]]</f>
        <v>21181111</v>
      </c>
      <c r="AV53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2900835</v>
      </c>
      <c r="AW534" s="35">
        <f>(VLOOKUP(Tabla44[[#This Row],[SERVICIO 2025]],$J$2:$V$15,3,0)*Tabla44[[#This Row],[TOTAL COBERTURA]])+VLOOKUP(Tabla44[[#This Row],[SERVICIO 2025]],$J$2:$V$15,10,0)*Tabla44[[#This Row],[TOTAL COBERTURA]]</f>
        <v>2573627</v>
      </c>
      <c r="AX534" s="35">
        <f>(VLOOKUP(Tabla44[[#This Row],[SERVICIO 2025]],$J$2:$V$15,3,0)*Tabla44[[#This Row],[TOTAL COBERTURA]])+VLOOKUP(Tabla44[[#This Row],[SERVICIO 2025]],$J$2:$V$15,10,0)*Tabla44[[#This Row],[TOTAL COBERTURA]]</f>
        <v>2573627</v>
      </c>
      <c r="AY534" s="35">
        <f>(VLOOKUP(Tabla44[[#This Row],[SERVICIO 2025]],$J$2:$V$15,3,0)*Tabla44[[#This Row],[TOTAL COBERTURA]])+VLOOKUP(Tabla44[[#This Row],[SERVICIO 2025]],$J$2:$V$15,10,0)*Tabla44[[#This Row],[TOTAL COBERTURA]]</f>
        <v>2573627</v>
      </c>
      <c r="AZ534" s="35">
        <f>(VLOOKUP(Tabla44[[#This Row],[SERVICIO 2025]],$J$2:$V$15,3,0)*Tabla44[[#This Row],[TOTAL COBERTURA]])+VLOOKUP(Tabla44[[#This Row],[SERVICIO 2025]],$J$2:$V$15,10,0)*Tabla44[[#This Row],[TOTAL COBERTURA]]</f>
        <v>2573627</v>
      </c>
      <c r="BA534" s="35">
        <f>(VLOOKUP(Tabla44[[#This Row],[SERVICIO 2025]],$J$2:$V$15,3,0)*Tabla44[[#This Row],[TOTAL COBERTURA]])+VLOOKUP(Tabla44[[#This Row],[SERVICIO 2025]],$J$2:$V$15,10,0)*Tabla44[[#This Row],[TOTAL COBERTURA]]</f>
        <v>2573627</v>
      </c>
      <c r="BB534" s="35">
        <f>(VLOOKUP(Tabla44[[#This Row],[SERVICIO 2025]],$J$2:$V$15,3,0)*Tabla44[[#This Row],[TOTAL COBERTURA]])+VLOOKUP(Tabla44[[#This Row],[SERVICIO 2025]],$J$2:$V$15,10,0)*Tabla44[[#This Row],[TOTAL COBERTURA]]</f>
        <v>2573627</v>
      </c>
      <c r="BC53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2838514</v>
      </c>
      <c r="BD534" s="35">
        <f>SUM(Tabla44[[#This Row],[DESEMBOLSO 1]:[DESEMBOLSO 8]])</f>
        <v>21181111</v>
      </c>
      <c r="BE534" s="12" t="b">
        <f>EXACT(Tabla44[[#This Row],[VALOR ATENCIÓN (8 MESES)]],Tabla44[[#This Row],[VALOR TOTAL]])</f>
        <v>1</v>
      </c>
      <c r="BF534" s="23">
        <f>Tabla44[[#This Row],[VALOR ATENCIÓN (8 MESES)]]-Tabla44[[#This Row],[VALOR TOTAL]]</f>
        <v>0</v>
      </c>
      <c r="BG534" s="12" t="b">
        <f>EXACT(Tabla44[[#This Row],[TOTAL DESEMBOLSOS]],Tabla44[[#This Row],[VALOR TOTAL DEL CONTRATO INCLUIDO EL COMPONENTE DE ALIMENTACIÓN]])</f>
        <v>1</v>
      </c>
      <c r="BH534" s="29">
        <f>Tabla44[[#This Row],[TOTAL DESEMBOLSOS]]-Tabla44[[#This Row],[VALOR TOTAL DEL CONTRATO INCLUIDO EL COMPONENTE DE ALIMENTACIÓN]]</f>
        <v>0</v>
      </c>
      <c r="BI534" t="s">
        <v>98</v>
      </c>
    </row>
    <row r="535" spans="1:61">
      <c r="A535" s="13">
        <v>2023</v>
      </c>
      <c r="B535" s="13"/>
      <c r="C535" s="12" t="s">
        <v>87</v>
      </c>
      <c r="D535" s="12" t="s">
        <v>673</v>
      </c>
      <c r="E535" s="12" t="s">
        <v>3764</v>
      </c>
      <c r="F535" s="12" t="s">
        <v>21</v>
      </c>
      <c r="G535" s="12" t="s">
        <v>90</v>
      </c>
      <c r="H535" s="12" t="s">
        <v>3834</v>
      </c>
      <c r="I535" s="36">
        <v>58901153402</v>
      </c>
      <c r="J535" s="12" t="s">
        <v>3835</v>
      </c>
      <c r="K535" s="12">
        <v>1</v>
      </c>
      <c r="L535" s="12">
        <v>18</v>
      </c>
      <c r="M535" s="12"/>
      <c r="N535" s="13">
        <v>2023</v>
      </c>
      <c r="O535" s="12" t="s">
        <v>2850</v>
      </c>
      <c r="P535" s="12"/>
      <c r="Q535" s="12"/>
      <c r="R535" s="12" t="s">
        <v>94</v>
      </c>
      <c r="S535" s="12">
        <v>10</v>
      </c>
      <c r="T535" s="12">
        <v>830508092</v>
      </c>
      <c r="U535" s="12" t="s">
        <v>584</v>
      </c>
      <c r="V535" s="12">
        <f>VLOOKUP(Tabla44[[#This Row],[ZONA DEFINITIVO]],[1]Hoja1!$A$1:$D$125,3,0)</f>
        <v>229947</v>
      </c>
      <c r="W535" s="12">
        <f>VLOOKUP(Tabla44[[#This Row],[ZONA DEFINITIVO]],[1]Hoja1!$A$1:$D$125,2,0)</f>
        <v>17263</v>
      </c>
      <c r="X535" s="12">
        <f>VLOOKUP(Tabla44[[#This Row],[ZONA DEFINITIVO]],[1]Hoja1!$A$1:$D$125,4,0)</f>
        <v>104925</v>
      </c>
      <c r="Y535" s="12" t="str">
        <f>+IF(Tabla44[[#This Row],[AGRUPACIONES]]=1,SUMIFS(Tabla44[UDS],Tabla44[ZONA DEFINITIVO],Tabla44[[#This Row],[ZONA DEFINITIVO]])," ")</f>
        <v xml:space="preserve"> </v>
      </c>
      <c r="Z535" s="12" t="str">
        <f>+IF(Tabla44[[#This Row],[AGRUPACIONES]]=1,SUMIFS(Tabla44[TOTAL COBERTURA],Tabla44[ZONA DEFINITIVO],Tabla44[[#This Row],[ZONA DEFINITIVO]])," ")</f>
        <v xml:space="preserve"> </v>
      </c>
      <c r="AA535" s="12"/>
      <c r="AB535" s="35">
        <v>27347490</v>
      </c>
      <c r="AC535" s="37">
        <v>0</v>
      </c>
      <c r="AD535" s="35">
        <f t="shared" si="9"/>
        <v>0</v>
      </c>
      <c r="AE535" s="12"/>
      <c r="AF535" s="12">
        <f>COUNTIF($A$20:A535,A535)</f>
        <v>39</v>
      </c>
      <c r="AG535" s="38">
        <v>27347490</v>
      </c>
      <c r="AH535" s="38">
        <f>Tabla44[[#This Row],[VALOR CONTRAPARTIDA]]+Tabla44[[#This Row],[TOTAL APORTES ICBF]]</f>
        <v>27347490</v>
      </c>
      <c r="AI535" s="35" t="str">
        <f>+IF(Tabla44[[#This Row],[AGRUPACIONES]]=1,SUMIFS(Tabla44[TOTAL APORTES ICBF],Tabla44[ZONA DEFINITIVO],Tabla44[[#This Row],[ZONA DEFINITIVO]])," ")</f>
        <v xml:space="preserve"> </v>
      </c>
      <c r="AJ535" s="38"/>
      <c r="AK535" s="38"/>
      <c r="AL535" s="35"/>
      <c r="AM535" s="35">
        <f>VLOOKUP(Tabla44[[#This Row],[SERVICIO 2025]],$J$2:$V$15,5,0)*Tabla44[[#This Row],[TOTAL COBERTURA]]</f>
        <v>841392</v>
      </c>
      <c r="AN535" s="35">
        <f>VLOOKUP(Tabla44[[#This Row],[SERVICIO 2025]],$J$2:$V$15,6,0)*Tabla44[[#This Row],[TOTAL COBERTURA]]</f>
        <v>681138</v>
      </c>
      <c r="AO535" s="35">
        <f>VLOOKUP(Tabla44[[#This Row],[SERVICIO 2025]],$J$2:$V$15,8,0)*Tabla44[[#This Row],[TOTAL COBERTURA]]</f>
        <v>0</v>
      </c>
      <c r="AP535" s="35">
        <f>VLOOKUP(Tabla44[[#This Row],[SERVICIO 2025]],$J$2:$V$15,3,0)*Tabla44[[#This Row],[TOTAL COBERTURA]]*8</f>
        <v>25824960</v>
      </c>
      <c r="AQ535" s="35"/>
      <c r="AR535" s="35">
        <f>SUM(Tabla44[[#This Row],[VALOR FASE PREPARATORIA DE ALISTAMIENTO]:[VALOR RACION PREPARADA]])</f>
        <v>27347490</v>
      </c>
      <c r="AS535" s="35" t="str">
        <f>+IF(Tabla44[[#This Row],[AGRUPACIONES]]=1,SUMIFS(Tabla44[VALOR TOTAL],Tabla44[ZONA DEFINITIVO],Tabla44[[#This Row],[ZONA DEFINITIVO]])," ")</f>
        <v xml:space="preserve"> </v>
      </c>
      <c r="AT535" s="35">
        <f>VLOOKUP(Tabla44[[#This Row],[SERVICIO 2025]],$J$2:$V$15,10,0)*Tabla44[[#This Row],[TOTAL COBERTURA]]*$X$7</f>
        <v>27118224</v>
      </c>
      <c r="AU535" s="39">
        <f>Tabla44[[#This Row],[TOTAL CONTRATO (ICBF+EAS)]]+Tabla44[[#This Row],[VALOR COMPONENTE ALIMENTACION NO ASIGNADO]]</f>
        <v>54465714</v>
      </c>
      <c r="AV53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7459290</v>
      </c>
      <c r="AW535" s="35">
        <f>(VLOOKUP(Tabla44[[#This Row],[SERVICIO 2025]],$J$2:$V$15,3,0)*Tabla44[[#This Row],[TOTAL COBERTURA]])+VLOOKUP(Tabla44[[#This Row],[SERVICIO 2025]],$J$2:$V$15,10,0)*Tabla44[[#This Row],[TOTAL COBERTURA]]</f>
        <v>6617898</v>
      </c>
      <c r="AX535" s="35">
        <f>(VLOOKUP(Tabla44[[#This Row],[SERVICIO 2025]],$J$2:$V$15,3,0)*Tabla44[[#This Row],[TOTAL COBERTURA]])+VLOOKUP(Tabla44[[#This Row],[SERVICIO 2025]],$J$2:$V$15,10,0)*Tabla44[[#This Row],[TOTAL COBERTURA]]</f>
        <v>6617898</v>
      </c>
      <c r="AY535" s="35">
        <f>(VLOOKUP(Tabla44[[#This Row],[SERVICIO 2025]],$J$2:$V$15,3,0)*Tabla44[[#This Row],[TOTAL COBERTURA]])+VLOOKUP(Tabla44[[#This Row],[SERVICIO 2025]],$J$2:$V$15,10,0)*Tabla44[[#This Row],[TOTAL COBERTURA]]</f>
        <v>6617898</v>
      </c>
      <c r="AZ535" s="35">
        <f>(VLOOKUP(Tabla44[[#This Row],[SERVICIO 2025]],$J$2:$V$15,3,0)*Tabla44[[#This Row],[TOTAL COBERTURA]])+VLOOKUP(Tabla44[[#This Row],[SERVICIO 2025]],$J$2:$V$15,10,0)*Tabla44[[#This Row],[TOTAL COBERTURA]]</f>
        <v>6617898</v>
      </c>
      <c r="BA535" s="35">
        <f>(VLOOKUP(Tabla44[[#This Row],[SERVICIO 2025]],$J$2:$V$15,3,0)*Tabla44[[#This Row],[TOTAL COBERTURA]])+VLOOKUP(Tabla44[[#This Row],[SERVICIO 2025]],$J$2:$V$15,10,0)*Tabla44[[#This Row],[TOTAL COBERTURA]]</f>
        <v>6617898</v>
      </c>
      <c r="BB535" s="35">
        <f>(VLOOKUP(Tabla44[[#This Row],[SERVICIO 2025]],$J$2:$V$15,3,0)*Tabla44[[#This Row],[TOTAL COBERTURA]])+VLOOKUP(Tabla44[[#This Row],[SERVICIO 2025]],$J$2:$V$15,10,0)*Tabla44[[#This Row],[TOTAL COBERTURA]]</f>
        <v>6617898</v>
      </c>
      <c r="BC53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7299036</v>
      </c>
      <c r="BD535" s="35">
        <f>SUM(Tabla44[[#This Row],[DESEMBOLSO 1]:[DESEMBOLSO 8]])</f>
        <v>54465714</v>
      </c>
      <c r="BE535" s="12" t="b">
        <f>EXACT(Tabla44[[#This Row],[VALOR ATENCIÓN (8 MESES)]],Tabla44[[#This Row],[VALOR TOTAL]])</f>
        <v>1</v>
      </c>
      <c r="BF535" s="23">
        <f>Tabla44[[#This Row],[VALOR ATENCIÓN (8 MESES)]]-Tabla44[[#This Row],[VALOR TOTAL]]</f>
        <v>0</v>
      </c>
      <c r="BG535" s="12" t="b">
        <f>EXACT(Tabla44[[#This Row],[TOTAL DESEMBOLSOS]],Tabla44[[#This Row],[VALOR TOTAL DEL CONTRATO INCLUIDO EL COMPONENTE DE ALIMENTACIÓN]])</f>
        <v>1</v>
      </c>
      <c r="BH535" s="29">
        <f>Tabla44[[#This Row],[TOTAL DESEMBOLSOS]]-Tabla44[[#This Row],[VALOR TOTAL DEL CONTRATO INCLUIDO EL COMPONENTE DE ALIMENTACIÓN]]</f>
        <v>0</v>
      </c>
      <c r="BI535" t="s">
        <v>98</v>
      </c>
    </row>
    <row r="536" spans="1:61">
      <c r="A536" s="13">
        <v>2023</v>
      </c>
      <c r="B536" s="13"/>
      <c r="C536" s="12" t="s">
        <v>87</v>
      </c>
      <c r="D536" s="12" t="s">
        <v>673</v>
      </c>
      <c r="E536" s="12" t="s">
        <v>3764</v>
      </c>
      <c r="F536" s="12" t="s">
        <v>21</v>
      </c>
      <c r="G536" s="12" t="s">
        <v>90</v>
      </c>
      <c r="H536" s="12" t="s">
        <v>3836</v>
      </c>
      <c r="I536" s="36">
        <v>58901153405</v>
      </c>
      <c r="J536" s="12" t="s">
        <v>3837</v>
      </c>
      <c r="K536" s="12">
        <v>1</v>
      </c>
      <c r="L536" s="12">
        <v>15</v>
      </c>
      <c r="M536" s="12"/>
      <c r="N536" s="13">
        <v>2023</v>
      </c>
      <c r="O536" s="12" t="s">
        <v>2850</v>
      </c>
      <c r="P536" s="12"/>
      <c r="Q536" s="12"/>
      <c r="R536" s="12" t="s">
        <v>94</v>
      </c>
      <c r="S536" s="12">
        <v>10</v>
      </c>
      <c r="T536" s="12">
        <v>830508092</v>
      </c>
      <c r="U536" s="12" t="s">
        <v>584</v>
      </c>
      <c r="V536" s="12">
        <f>VLOOKUP(Tabla44[[#This Row],[ZONA DEFINITIVO]],[1]Hoja1!$A$1:$D$125,3,0)</f>
        <v>229947</v>
      </c>
      <c r="W536" s="12">
        <f>VLOOKUP(Tabla44[[#This Row],[ZONA DEFINITIVO]],[1]Hoja1!$A$1:$D$125,2,0)</f>
        <v>17263</v>
      </c>
      <c r="X536" s="12">
        <f>VLOOKUP(Tabla44[[#This Row],[ZONA DEFINITIVO]],[1]Hoja1!$A$1:$D$125,4,0)</f>
        <v>104925</v>
      </c>
      <c r="Y536" s="12" t="str">
        <f>+IF(Tabla44[[#This Row],[AGRUPACIONES]]=1,SUMIFS(Tabla44[UDS],Tabla44[ZONA DEFINITIVO],Tabla44[[#This Row],[ZONA DEFINITIVO]])," ")</f>
        <v xml:space="preserve"> </v>
      </c>
      <c r="Z536" s="12" t="str">
        <f>+IF(Tabla44[[#This Row],[AGRUPACIONES]]=1,SUMIFS(Tabla44[TOTAL COBERTURA],Tabla44[ZONA DEFINITIVO],Tabla44[[#This Row],[ZONA DEFINITIVO]])," ")</f>
        <v xml:space="preserve"> </v>
      </c>
      <c r="AA536" s="12"/>
      <c r="AB536" s="35">
        <v>22789575</v>
      </c>
      <c r="AC536" s="37">
        <v>0</v>
      </c>
      <c r="AD536" s="35">
        <f t="shared" si="9"/>
        <v>0</v>
      </c>
      <c r="AE536" s="12"/>
      <c r="AF536" s="12">
        <f>COUNTIF($A$20:A536,A536)</f>
        <v>40</v>
      </c>
      <c r="AG536" s="38">
        <v>22789575</v>
      </c>
      <c r="AH536" s="38">
        <f>Tabla44[[#This Row],[VALOR CONTRAPARTIDA]]+Tabla44[[#This Row],[TOTAL APORTES ICBF]]</f>
        <v>22789575</v>
      </c>
      <c r="AI536" s="35" t="str">
        <f>+IF(Tabla44[[#This Row],[AGRUPACIONES]]=1,SUMIFS(Tabla44[TOTAL APORTES ICBF],Tabla44[ZONA DEFINITIVO],Tabla44[[#This Row],[ZONA DEFINITIVO]])," ")</f>
        <v xml:space="preserve"> </v>
      </c>
      <c r="AJ536" s="38"/>
      <c r="AK536" s="38"/>
      <c r="AL536" s="35"/>
      <c r="AM536" s="35">
        <f>VLOOKUP(Tabla44[[#This Row],[SERVICIO 2025]],$J$2:$V$15,5,0)*Tabla44[[#This Row],[TOTAL COBERTURA]]</f>
        <v>701160</v>
      </c>
      <c r="AN536" s="35">
        <f>VLOOKUP(Tabla44[[#This Row],[SERVICIO 2025]],$J$2:$V$15,6,0)*Tabla44[[#This Row],[TOTAL COBERTURA]]</f>
        <v>567615</v>
      </c>
      <c r="AO536" s="35">
        <f>VLOOKUP(Tabla44[[#This Row],[SERVICIO 2025]],$J$2:$V$15,8,0)*Tabla44[[#This Row],[TOTAL COBERTURA]]</f>
        <v>0</v>
      </c>
      <c r="AP536" s="35">
        <f>VLOOKUP(Tabla44[[#This Row],[SERVICIO 2025]],$J$2:$V$15,3,0)*Tabla44[[#This Row],[TOTAL COBERTURA]]*8</f>
        <v>21520800</v>
      </c>
      <c r="AQ536" s="35"/>
      <c r="AR536" s="35">
        <f>SUM(Tabla44[[#This Row],[VALOR FASE PREPARATORIA DE ALISTAMIENTO]:[VALOR RACION PREPARADA]])</f>
        <v>22789575</v>
      </c>
      <c r="AS536" s="35" t="str">
        <f>+IF(Tabla44[[#This Row],[AGRUPACIONES]]=1,SUMIFS(Tabla44[VALOR TOTAL],Tabla44[ZONA DEFINITIVO],Tabla44[[#This Row],[ZONA DEFINITIVO]])," ")</f>
        <v xml:space="preserve"> </v>
      </c>
      <c r="AT536" s="35">
        <f>VLOOKUP(Tabla44[[#This Row],[SERVICIO 2025]],$J$2:$V$15,10,0)*Tabla44[[#This Row],[TOTAL COBERTURA]]*$X$7</f>
        <v>22598520</v>
      </c>
      <c r="AU536" s="39">
        <f>Tabla44[[#This Row],[TOTAL CONTRATO (ICBF+EAS)]]+Tabla44[[#This Row],[VALOR COMPONENTE ALIMENTACION NO ASIGNADO]]</f>
        <v>45388095</v>
      </c>
      <c r="AV53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6216075</v>
      </c>
      <c r="AW536" s="35">
        <f>(VLOOKUP(Tabla44[[#This Row],[SERVICIO 2025]],$J$2:$V$15,3,0)*Tabla44[[#This Row],[TOTAL COBERTURA]])+VLOOKUP(Tabla44[[#This Row],[SERVICIO 2025]],$J$2:$V$15,10,0)*Tabla44[[#This Row],[TOTAL COBERTURA]]</f>
        <v>5514915</v>
      </c>
      <c r="AX536" s="35">
        <f>(VLOOKUP(Tabla44[[#This Row],[SERVICIO 2025]],$J$2:$V$15,3,0)*Tabla44[[#This Row],[TOTAL COBERTURA]])+VLOOKUP(Tabla44[[#This Row],[SERVICIO 2025]],$J$2:$V$15,10,0)*Tabla44[[#This Row],[TOTAL COBERTURA]]</f>
        <v>5514915</v>
      </c>
      <c r="AY536" s="35">
        <f>(VLOOKUP(Tabla44[[#This Row],[SERVICIO 2025]],$J$2:$V$15,3,0)*Tabla44[[#This Row],[TOTAL COBERTURA]])+VLOOKUP(Tabla44[[#This Row],[SERVICIO 2025]],$J$2:$V$15,10,0)*Tabla44[[#This Row],[TOTAL COBERTURA]]</f>
        <v>5514915</v>
      </c>
      <c r="AZ536" s="35">
        <f>(VLOOKUP(Tabla44[[#This Row],[SERVICIO 2025]],$J$2:$V$15,3,0)*Tabla44[[#This Row],[TOTAL COBERTURA]])+VLOOKUP(Tabla44[[#This Row],[SERVICIO 2025]],$J$2:$V$15,10,0)*Tabla44[[#This Row],[TOTAL COBERTURA]]</f>
        <v>5514915</v>
      </c>
      <c r="BA536" s="35">
        <f>(VLOOKUP(Tabla44[[#This Row],[SERVICIO 2025]],$J$2:$V$15,3,0)*Tabla44[[#This Row],[TOTAL COBERTURA]])+VLOOKUP(Tabla44[[#This Row],[SERVICIO 2025]],$J$2:$V$15,10,0)*Tabla44[[#This Row],[TOTAL COBERTURA]]</f>
        <v>5514915</v>
      </c>
      <c r="BB536" s="35">
        <f>(VLOOKUP(Tabla44[[#This Row],[SERVICIO 2025]],$J$2:$V$15,3,0)*Tabla44[[#This Row],[TOTAL COBERTURA]])+VLOOKUP(Tabla44[[#This Row],[SERVICIO 2025]],$J$2:$V$15,10,0)*Tabla44[[#This Row],[TOTAL COBERTURA]]</f>
        <v>5514915</v>
      </c>
      <c r="BC53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6082530</v>
      </c>
      <c r="BD536" s="35">
        <f>SUM(Tabla44[[#This Row],[DESEMBOLSO 1]:[DESEMBOLSO 8]])</f>
        <v>45388095</v>
      </c>
      <c r="BE536" s="12" t="b">
        <f>EXACT(Tabla44[[#This Row],[VALOR ATENCIÓN (8 MESES)]],Tabla44[[#This Row],[VALOR TOTAL]])</f>
        <v>1</v>
      </c>
      <c r="BF536" s="23">
        <f>Tabla44[[#This Row],[VALOR ATENCIÓN (8 MESES)]]-Tabla44[[#This Row],[VALOR TOTAL]]</f>
        <v>0</v>
      </c>
      <c r="BG536" s="12" t="b">
        <f>EXACT(Tabla44[[#This Row],[TOTAL DESEMBOLSOS]],Tabla44[[#This Row],[VALOR TOTAL DEL CONTRATO INCLUIDO EL COMPONENTE DE ALIMENTACIÓN]])</f>
        <v>1</v>
      </c>
      <c r="BH536" s="29">
        <f>Tabla44[[#This Row],[TOTAL DESEMBOLSOS]]-Tabla44[[#This Row],[VALOR TOTAL DEL CONTRATO INCLUIDO EL COMPONENTE DE ALIMENTACIÓN]]</f>
        <v>0</v>
      </c>
      <c r="BI536" t="s">
        <v>98</v>
      </c>
    </row>
    <row r="537" spans="1:61">
      <c r="A537" s="13">
        <v>2023</v>
      </c>
      <c r="B537" s="13"/>
      <c r="C537" s="12" t="s">
        <v>87</v>
      </c>
      <c r="D537" s="12" t="s">
        <v>673</v>
      </c>
      <c r="E537" s="12" t="s">
        <v>3764</v>
      </c>
      <c r="F537" s="12" t="s">
        <v>21</v>
      </c>
      <c r="G537" s="12" t="s">
        <v>90</v>
      </c>
      <c r="H537" s="12" t="s">
        <v>3838</v>
      </c>
      <c r="I537" s="36">
        <v>58901153406</v>
      </c>
      <c r="J537" s="12" t="s">
        <v>3839</v>
      </c>
      <c r="K537" s="12">
        <v>1</v>
      </c>
      <c r="L537" s="12">
        <v>13</v>
      </c>
      <c r="M537" s="12"/>
      <c r="N537" s="13">
        <v>2023</v>
      </c>
      <c r="O537" s="12" t="s">
        <v>2850</v>
      </c>
      <c r="P537" s="12"/>
      <c r="Q537" s="12"/>
      <c r="R537" s="12" t="s">
        <v>94</v>
      </c>
      <c r="S537" s="12">
        <v>10</v>
      </c>
      <c r="T537" s="12">
        <v>830508092</v>
      </c>
      <c r="U537" s="12" t="s">
        <v>584</v>
      </c>
      <c r="V537" s="12">
        <f>VLOOKUP(Tabla44[[#This Row],[ZONA DEFINITIVO]],[1]Hoja1!$A$1:$D$125,3,0)</f>
        <v>229947</v>
      </c>
      <c r="W537" s="12">
        <f>VLOOKUP(Tabla44[[#This Row],[ZONA DEFINITIVO]],[1]Hoja1!$A$1:$D$125,2,0)</f>
        <v>17263</v>
      </c>
      <c r="X537" s="12">
        <f>VLOOKUP(Tabla44[[#This Row],[ZONA DEFINITIVO]],[1]Hoja1!$A$1:$D$125,4,0)</f>
        <v>104925</v>
      </c>
      <c r="Y537" s="12" t="str">
        <f>+IF(Tabla44[[#This Row],[AGRUPACIONES]]=1,SUMIFS(Tabla44[UDS],Tabla44[ZONA DEFINITIVO],Tabla44[[#This Row],[ZONA DEFINITIVO]])," ")</f>
        <v xml:space="preserve"> </v>
      </c>
      <c r="Z537" s="12" t="str">
        <f>+IF(Tabla44[[#This Row],[AGRUPACIONES]]=1,SUMIFS(Tabla44[TOTAL COBERTURA],Tabla44[ZONA DEFINITIVO],Tabla44[[#This Row],[ZONA DEFINITIVO]])," ")</f>
        <v xml:space="preserve"> </v>
      </c>
      <c r="AA537" s="12"/>
      <c r="AB537" s="35">
        <v>19750965</v>
      </c>
      <c r="AC537" s="37">
        <v>0</v>
      </c>
      <c r="AD537" s="35">
        <f t="shared" si="9"/>
        <v>0</v>
      </c>
      <c r="AE537" s="12"/>
      <c r="AF537" s="12">
        <f>COUNTIF($A$20:A537,A537)</f>
        <v>41</v>
      </c>
      <c r="AG537" s="38">
        <v>19750965</v>
      </c>
      <c r="AH537" s="38">
        <f>Tabla44[[#This Row],[VALOR CONTRAPARTIDA]]+Tabla44[[#This Row],[TOTAL APORTES ICBF]]</f>
        <v>19750965</v>
      </c>
      <c r="AI537" s="35" t="str">
        <f>+IF(Tabla44[[#This Row],[AGRUPACIONES]]=1,SUMIFS(Tabla44[TOTAL APORTES ICBF],Tabla44[ZONA DEFINITIVO],Tabla44[[#This Row],[ZONA DEFINITIVO]])," ")</f>
        <v xml:space="preserve"> </v>
      </c>
      <c r="AJ537" s="38"/>
      <c r="AK537" s="38"/>
      <c r="AL537" s="35"/>
      <c r="AM537" s="35">
        <f>VLOOKUP(Tabla44[[#This Row],[SERVICIO 2025]],$J$2:$V$15,5,0)*Tabla44[[#This Row],[TOTAL COBERTURA]]</f>
        <v>607672</v>
      </c>
      <c r="AN537" s="35">
        <f>VLOOKUP(Tabla44[[#This Row],[SERVICIO 2025]],$J$2:$V$15,6,0)*Tabla44[[#This Row],[TOTAL COBERTURA]]</f>
        <v>491933</v>
      </c>
      <c r="AO537" s="35">
        <f>VLOOKUP(Tabla44[[#This Row],[SERVICIO 2025]],$J$2:$V$15,8,0)*Tabla44[[#This Row],[TOTAL COBERTURA]]</f>
        <v>0</v>
      </c>
      <c r="AP537" s="35">
        <f>VLOOKUP(Tabla44[[#This Row],[SERVICIO 2025]],$J$2:$V$15,3,0)*Tabla44[[#This Row],[TOTAL COBERTURA]]*8</f>
        <v>18651360</v>
      </c>
      <c r="AQ537" s="35"/>
      <c r="AR537" s="35">
        <f>SUM(Tabla44[[#This Row],[VALOR FASE PREPARATORIA DE ALISTAMIENTO]:[VALOR RACION PREPARADA]])</f>
        <v>19750965</v>
      </c>
      <c r="AS537" s="35" t="str">
        <f>+IF(Tabla44[[#This Row],[AGRUPACIONES]]=1,SUMIFS(Tabla44[VALOR TOTAL],Tabla44[ZONA DEFINITIVO],Tabla44[[#This Row],[ZONA DEFINITIVO]])," ")</f>
        <v xml:space="preserve"> </v>
      </c>
      <c r="AT537" s="35">
        <f>VLOOKUP(Tabla44[[#This Row],[SERVICIO 2025]],$J$2:$V$15,10,0)*Tabla44[[#This Row],[TOTAL COBERTURA]]*$X$7</f>
        <v>19585384</v>
      </c>
      <c r="AU537" s="39">
        <f>Tabla44[[#This Row],[TOTAL CONTRATO (ICBF+EAS)]]+Tabla44[[#This Row],[VALOR COMPONENTE ALIMENTACION NO ASIGNADO]]</f>
        <v>39336349</v>
      </c>
      <c r="AV53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5387265</v>
      </c>
      <c r="AW537" s="35">
        <f>(VLOOKUP(Tabla44[[#This Row],[SERVICIO 2025]],$J$2:$V$15,3,0)*Tabla44[[#This Row],[TOTAL COBERTURA]])+VLOOKUP(Tabla44[[#This Row],[SERVICIO 2025]],$J$2:$V$15,10,0)*Tabla44[[#This Row],[TOTAL COBERTURA]]</f>
        <v>4779593</v>
      </c>
      <c r="AX537" s="35">
        <f>(VLOOKUP(Tabla44[[#This Row],[SERVICIO 2025]],$J$2:$V$15,3,0)*Tabla44[[#This Row],[TOTAL COBERTURA]])+VLOOKUP(Tabla44[[#This Row],[SERVICIO 2025]],$J$2:$V$15,10,0)*Tabla44[[#This Row],[TOTAL COBERTURA]]</f>
        <v>4779593</v>
      </c>
      <c r="AY537" s="35">
        <f>(VLOOKUP(Tabla44[[#This Row],[SERVICIO 2025]],$J$2:$V$15,3,0)*Tabla44[[#This Row],[TOTAL COBERTURA]])+VLOOKUP(Tabla44[[#This Row],[SERVICIO 2025]],$J$2:$V$15,10,0)*Tabla44[[#This Row],[TOTAL COBERTURA]]</f>
        <v>4779593</v>
      </c>
      <c r="AZ537" s="35">
        <f>(VLOOKUP(Tabla44[[#This Row],[SERVICIO 2025]],$J$2:$V$15,3,0)*Tabla44[[#This Row],[TOTAL COBERTURA]])+VLOOKUP(Tabla44[[#This Row],[SERVICIO 2025]],$J$2:$V$15,10,0)*Tabla44[[#This Row],[TOTAL COBERTURA]]</f>
        <v>4779593</v>
      </c>
      <c r="BA537" s="35">
        <f>(VLOOKUP(Tabla44[[#This Row],[SERVICIO 2025]],$J$2:$V$15,3,0)*Tabla44[[#This Row],[TOTAL COBERTURA]])+VLOOKUP(Tabla44[[#This Row],[SERVICIO 2025]],$J$2:$V$15,10,0)*Tabla44[[#This Row],[TOTAL COBERTURA]]</f>
        <v>4779593</v>
      </c>
      <c r="BB537" s="35">
        <f>(VLOOKUP(Tabla44[[#This Row],[SERVICIO 2025]],$J$2:$V$15,3,0)*Tabla44[[#This Row],[TOTAL COBERTURA]])+VLOOKUP(Tabla44[[#This Row],[SERVICIO 2025]],$J$2:$V$15,10,0)*Tabla44[[#This Row],[TOTAL COBERTURA]]</f>
        <v>4779593</v>
      </c>
      <c r="BC537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5271526</v>
      </c>
      <c r="BD537" s="35">
        <f>SUM(Tabla44[[#This Row],[DESEMBOLSO 1]:[DESEMBOLSO 8]])</f>
        <v>39336349</v>
      </c>
      <c r="BE537" s="12" t="b">
        <f>EXACT(Tabla44[[#This Row],[VALOR ATENCIÓN (8 MESES)]],Tabla44[[#This Row],[VALOR TOTAL]])</f>
        <v>1</v>
      </c>
      <c r="BF537" s="23">
        <f>Tabla44[[#This Row],[VALOR ATENCIÓN (8 MESES)]]-Tabla44[[#This Row],[VALOR TOTAL]]</f>
        <v>0</v>
      </c>
      <c r="BG537" s="12" t="b">
        <f>EXACT(Tabla44[[#This Row],[TOTAL DESEMBOLSOS]],Tabla44[[#This Row],[VALOR TOTAL DEL CONTRATO INCLUIDO EL COMPONENTE DE ALIMENTACIÓN]])</f>
        <v>1</v>
      </c>
      <c r="BH537" s="29">
        <f>Tabla44[[#This Row],[TOTAL DESEMBOLSOS]]-Tabla44[[#This Row],[VALOR TOTAL DEL CONTRATO INCLUIDO EL COMPONENTE DE ALIMENTACIÓN]]</f>
        <v>0</v>
      </c>
      <c r="BI537" t="s">
        <v>98</v>
      </c>
    </row>
    <row r="538" spans="1:61">
      <c r="A538" s="13">
        <v>2023</v>
      </c>
      <c r="B538" s="13"/>
      <c r="C538" s="12" t="s">
        <v>87</v>
      </c>
      <c r="D538" s="12" t="s">
        <v>673</v>
      </c>
      <c r="E538" s="12" t="s">
        <v>3764</v>
      </c>
      <c r="F538" s="12" t="s">
        <v>21</v>
      </c>
      <c r="G538" s="12" t="s">
        <v>90</v>
      </c>
      <c r="H538" s="12" t="s">
        <v>3840</v>
      </c>
      <c r="I538" s="36">
        <v>58901153409</v>
      </c>
      <c r="J538" s="12" t="s">
        <v>3841</v>
      </c>
      <c r="K538" s="12">
        <v>1</v>
      </c>
      <c r="L538" s="12">
        <v>42</v>
      </c>
      <c r="M538" s="12"/>
      <c r="N538" s="13">
        <v>2023</v>
      </c>
      <c r="O538" s="12" t="s">
        <v>2850</v>
      </c>
      <c r="P538" s="12"/>
      <c r="Q538" s="12"/>
      <c r="R538" s="12" t="s">
        <v>94</v>
      </c>
      <c r="S538" s="12">
        <v>10</v>
      </c>
      <c r="T538" s="12">
        <v>830508092</v>
      </c>
      <c r="U538" s="12" t="s">
        <v>584</v>
      </c>
      <c r="V538" s="12">
        <f>VLOOKUP(Tabla44[[#This Row],[ZONA DEFINITIVO]],[1]Hoja1!$A$1:$D$125,3,0)</f>
        <v>229947</v>
      </c>
      <c r="W538" s="12">
        <f>VLOOKUP(Tabla44[[#This Row],[ZONA DEFINITIVO]],[1]Hoja1!$A$1:$D$125,2,0)</f>
        <v>17263</v>
      </c>
      <c r="X538" s="12">
        <f>VLOOKUP(Tabla44[[#This Row],[ZONA DEFINITIVO]],[1]Hoja1!$A$1:$D$125,4,0)</f>
        <v>104925</v>
      </c>
      <c r="Y538" s="12" t="str">
        <f>+IF(Tabla44[[#This Row],[AGRUPACIONES]]=1,SUMIFS(Tabla44[UDS],Tabla44[ZONA DEFINITIVO],Tabla44[[#This Row],[ZONA DEFINITIVO]])," ")</f>
        <v xml:space="preserve"> </v>
      </c>
      <c r="Z538" s="12" t="str">
        <f>+IF(Tabla44[[#This Row],[AGRUPACIONES]]=1,SUMIFS(Tabla44[TOTAL COBERTURA],Tabla44[ZONA DEFINITIVO],Tabla44[[#This Row],[ZONA DEFINITIVO]])," ")</f>
        <v xml:space="preserve"> </v>
      </c>
      <c r="AA538" s="12"/>
      <c r="AB538" s="35">
        <v>63810810</v>
      </c>
      <c r="AC538" s="37">
        <v>0</v>
      </c>
      <c r="AD538" s="35">
        <f t="shared" si="9"/>
        <v>0</v>
      </c>
      <c r="AE538" s="12"/>
      <c r="AF538" s="12">
        <f>COUNTIF($A$20:A538,A538)</f>
        <v>42</v>
      </c>
      <c r="AG538" s="38">
        <v>63810810</v>
      </c>
      <c r="AH538" s="38">
        <f>Tabla44[[#This Row],[VALOR CONTRAPARTIDA]]+Tabla44[[#This Row],[TOTAL APORTES ICBF]]</f>
        <v>63810810</v>
      </c>
      <c r="AI538" s="35" t="str">
        <f>+IF(Tabla44[[#This Row],[AGRUPACIONES]]=1,SUMIFS(Tabla44[TOTAL APORTES ICBF],Tabla44[ZONA DEFINITIVO],Tabla44[[#This Row],[ZONA DEFINITIVO]])," ")</f>
        <v xml:space="preserve"> </v>
      </c>
      <c r="AJ538" s="38"/>
      <c r="AK538" s="38"/>
      <c r="AL538" s="35"/>
      <c r="AM538" s="35">
        <f>VLOOKUP(Tabla44[[#This Row],[SERVICIO 2025]],$J$2:$V$15,5,0)*Tabla44[[#This Row],[TOTAL COBERTURA]]</f>
        <v>1963248</v>
      </c>
      <c r="AN538" s="35">
        <f>VLOOKUP(Tabla44[[#This Row],[SERVICIO 2025]],$J$2:$V$15,6,0)*Tabla44[[#This Row],[TOTAL COBERTURA]]</f>
        <v>1589322</v>
      </c>
      <c r="AO538" s="35">
        <f>VLOOKUP(Tabla44[[#This Row],[SERVICIO 2025]],$J$2:$V$15,8,0)*Tabla44[[#This Row],[TOTAL COBERTURA]]</f>
        <v>0</v>
      </c>
      <c r="AP538" s="35">
        <f>VLOOKUP(Tabla44[[#This Row],[SERVICIO 2025]],$J$2:$V$15,3,0)*Tabla44[[#This Row],[TOTAL COBERTURA]]*8</f>
        <v>60258240</v>
      </c>
      <c r="AQ538" s="35"/>
      <c r="AR538" s="35">
        <f>SUM(Tabla44[[#This Row],[VALOR FASE PREPARATORIA DE ALISTAMIENTO]:[VALOR RACION PREPARADA]])</f>
        <v>63810810</v>
      </c>
      <c r="AS538" s="35" t="str">
        <f>+IF(Tabla44[[#This Row],[AGRUPACIONES]]=1,SUMIFS(Tabla44[VALOR TOTAL],Tabla44[ZONA DEFINITIVO],Tabla44[[#This Row],[ZONA DEFINITIVO]])," ")</f>
        <v xml:space="preserve"> </v>
      </c>
      <c r="AT538" s="35">
        <f>VLOOKUP(Tabla44[[#This Row],[SERVICIO 2025]],$J$2:$V$15,10,0)*Tabla44[[#This Row],[TOTAL COBERTURA]]*$X$7</f>
        <v>63275856</v>
      </c>
      <c r="AU538" s="39">
        <f>Tabla44[[#This Row],[TOTAL CONTRATO (ICBF+EAS)]]+Tabla44[[#This Row],[VALOR COMPONENTE ALIMENTACION NO ASIGNADO]]</f>
        <v>127086666</v>
      </c>
      <c r="AV53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17405010</v>
      </c>
      <c r="AW538" s="35">
        <f>(VLOOKUP(Tabla44[[#This Row],[SERVICIO 2025]],$J$2:$V$15,3,0)*Tabla44[[#This Row],[TOTAL COBERTURA]])+VLOOKUP(Tabla44[[#This Row],[SERVICIO 2025]],$J$2:$V$15,10,0)*Tabla44[[#This Row],[TOTAL COBERTURA]]</f>
        <v>15441762</v>
      </c>
      <c r="AX538" s="35">
        <f>(VLOOKUP(Tabla44[[#This Row],[SERVICIO 2025]],$J$2:$V$15,3,0)*Tabla44[[#This Row],[TOTAL COBERTURA]])+VLOOKUP(Tabla44[[#This Row],[SERVICIO 2025]],$J$2:$V$15,10,0)*Tabla44[[#This Row],[TOTAL COBERTURA]]</f>
        <v>15441762</v>
      </c>
      <c r="AY538" s="35">
        <f>(VLOOKUP(Tabla44[[#This Row],[SERVICIO 2025]],$J$2:$V$15,3,0)*Tabla44[[#This Row],[TOTAL COBERTURA]])+VLOOKUP(Tabla44[[#This Row],[SERVICIO 2025]],$J$2:$V$15,10,0)*Tabla44[[#This Row],[TOTAL COBERTURA]]</f>
        <v>15441762</v>
      </c>
      <c r="AZ538" s="35">
        <f>(VLOOKUP(Tabla44[[#This Row],[SERVICIO 2025]],$J$2:$V$15,3,0)*Tabla44[[#This Row],[TOTAL COBERTURA]])+VLOOKUP(Tabla44[[#This Row],[SERVICIO 2025]],$J$2:$V$15,10,0)*Tabla44[[#This Row],[TOTAL COBERTURA]]</f>
        <v>15441762</v>
      </c>
      <c r="BA538" s="35">
        <f>(VLOOKUP(Tabla44[[#This Row],[SERVICIO 2025]],$J$2:$V$15,3,0)*Tabla44[[#This Row],[TOTAL COBERTURA]])+VLOOKUP(Tabla44[[#This Row],[SERVICIO 2025]],$J$2:$V$15,10,0)*Tabla44[[#This Row],[TOTAL COBERTURA]]</f>
        <v>15441762</v>
      </c>
      <c r="BB538" s="35">
        <f>(VLOOKUP(Tabla44[[#This Row],[SERVICIO 2025]],$J$2:$V$15,3,0)*Tabla44[[#This Row],[TOTAL COBERTURA]])+VLOOKUP(Tabla44[[#This Row],[SERVICIO 2025]],$J$2:$V$15,10,0)*Tabla44[[#This Row],[TOTAL COBERTURA]]</f>
        <v>15441762</v>
      </c>
      <c r="BC53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17031084</v>
      </c>
      <c r="BD538" s="35">
        <f>SUM(Tabla44[[#This Row],[DESEMBOLSO 1]:[DESEMBOLSO 8]])</f>
        <v>127086666</v>
      </c>
      <c r="BE538" s="12" t="b">
        <f>EXACT(Tabla44[[#This Row],[VALOR ATENCIÓN (8 MESES)]],Tabla44[[#This Row],[VALOR TOTAL]])</f>
        <v>1</v>
      </c>
      <c r="BF538" s="23">
        <f>Tabla44[[#This Row],[VALOR ATENCIÓN (8 MESES)]]-Tabla44[[#This Row],[VALOR TOTAL]]</f>
        <v>0</v>
      </c>
      <c r="BG538" s="12" t="b">
        <f>EXACT(Tabla44[[#This Row],[TOTAL DESEMBOLSOS]],Tabla44[[#This Row],[VALOR TOTAL DEL CONTRATO INCLUIDO EL COMPONENTE DE ALIMENTACIÓN]])</f>
        <v>1</v>
      </c>
      <c r="BH538" s="29">
        <f>Tabla44[[#This Row],[TOTAL DESEMBOLSOS]]-Tabla44[[#This Row],[VALOR TOTAL DEL CONTRATO INCLUIDO EL COMPONENTE DE ALIMENTACIÓN]]</f>
        <v>0</v>
      </c>
      <c r="BI538" t="s">
        <v>98</v>
      </c>
    </row>
    <row r="539" spans="1:61">
      <c r="A539" s="13">
        <v>2023</v>
      </c>
      <c r="B539" s="13"/>
      <c r="C539" s="12" t="s">
        <v>87</v>
      </c>
      <c r="D539" s="12" t="s">
        <v>673</v>
      </c>
      <c r="E539" s="12" t="s">
        <v>3764</v>
      </c>
      <c r="F539" s="12" t="s">
        <v>14</v>
      </c>
      <c r="G539" s="12" t="s">
        <v>90</v>
      </c>
      <c r="H539" s="12" t="s">
        <v>3842</v>
      </c>
      <c r="I539" s="36">
        <v>589000053494</v>
      </c>
      <c r="J539" s="12" t="s">
        <v>3843</v>
      </c>
      <c r="K539" s="12">
        <v>1</v>
      </c>
      <c r="L539" s="12">
        <v>63</v>
      </c>
      <c r="M539" s="12"/>
      <c r="N539" s="13">
        <v>2023</v>
      </c>
      <c r="O539" s="12" t="s">
        <v>2850</v>
      </c>
      <c r="P539" s="12"/>
      <c r="Q539" s="12"/>
      <c r="R539" s="12" t="s">
        <v>94</v>
      </c>
      <c r="S539" s="12">
        <v>10</v>
      </c>
      <c r="T539" s="12">
        <v>830508092</v>
      </c>
      <c r="U539" s="12" t="s">
        <v>584</v>
      </c>
      <c r="V539" s="12">
        <f>VLOOKUP(Tabla44[[#This Row],[ZONA DEFINITIVO]],[1]Hoja1!$A$1:$D$125,3,0)</f>
        <v>229947</v>
      </c>
      <c r="W539" s="12">
        <f>VLOOKUP(Tabla44[[#This Row],[ZONA DEFINITIVO]],[1]Hoja1!$A$1:$D$125,2,0)</f>
        <v>17263</v>
      </c>
      <c r="X539" s="12">
        <f>VLOOKUP(Tabla44[[#This Row],[ZONA DEFINITIVO]],[1]Hoja1!$A$1:$D$125,4,0)</f>
        <v>104925</v>
      </c>
      <c r="Y539" s="12" t="str">
        <f>+IF(Tabla44[[#This Row],[AGRUPACIONES]]=1,SUMIFS(Tabla44[UDS],Tabla44[ZONA DEFINITIVO],Tabla44[[#This Row],[ZONA DEFINITIVO]])," ")</f>
        <v xml:space="preserve"> </v>
      </c>
      <c r="Z539" s="12" t="str">
        <f>+IF(Tabla44[[#This Row],[AGRUPACIONES]]=1,SUMIFS(Tabla44[TOTAL COBERTURA],Tabla44[ZONA DEFINITIVO],Tabla44[[#This Row],[ZONA DEFINITIVO]])," ")</f>
        <v xml:space="preserve"> </v>
      </c>
      <c r="AA539" s="12"/>
      <c r="AB539" s="35">
        <v>263897550</v>
      </c>
      <c r="AC539" s="37">
        <v>0</v>
      </c>
      <c r="AD539" s="35">
        <f t="shared" si="9"/>
        <v>0</v>
      </c>
      <c r="AE539" s="12"/>
      <c r="AF539" s="12">
        <f>COUNTIF($A$20:A539,A539)</f>
        <v>43</v>
      </c>
      <c r="AG539" s="38">
        <v>263897550</v>
      </c>
      <c r="AH539" s="38">
        <f>Tabla44[[#This Row],[VALOR CONTRAPARTIDA]]+Tabla44[[#This Row],[TOTAL APORTES ICBF]]</f>
        <v>263897550</v>
      </c>
      <c r="AI539" s="35" t="str">
        <f>+IF(Tabla44[[#This Row],[AGRUPACIONES]]=1,SUMIFS(Tabla44[TOTAL APORTES ICBF],Tabla44[ZONA DEFINITIVO],Tabla44[[#This Row],[ZONA DEFINITIVO]])," ")</f>
        <v xml:space="preserve"> </v>
      </c>
      <c r="AJ539" s="38"/>
      <c r="AK539" s="38"/>
      <c r="AL539" s="35"/>
      <c r="AM539" s="35">
        <f>VLOOKUP(Tabla44[[#This Row],[SERVICIO 2025]],$J$2:$V$15,5,0)*Tabla44[[#This Row],[TOTAL COBERTURA]]</f>
        <v>5553009</v>
      </c>
      <c r="AN539" s="35">
        <f>VLOOKUP(Tabla44[[#This Row],[SERVICIO 2025]],$J$2:$V$15,6,0)*Tabla44[[#This Row],[TOTAL COBERTURA]]</f>
        <v>4727709</v>
      </c>
      <c r="AO539" s="35">
        <f>VLOOKUP(Tabla44[[#This Row],[SERVICIO 2025]],$J$2:$V$15,8,0)*Tabla44[[#This Row],[TOTAL COBERTURA]]</f>
        <v>0</v>
      </c>
      <c r="AP539" s="35">
        <f>VLOOKUP(Tabla44[[#This Row],[SERVICIO 2025]],$J$2:$V$15,3,0)*Tabla44[[#This Row],[TOTAL COBERTURA]]*8</f>
        <v>253616832</v>
      </c>
      <c r="AQ539" s="35"/>
      <c r="AR539" s="35">
        <f>SUM(Tabla44[[#This Row],[VALOR FASE PREPARATORIA DE ALISTAMIENTO]:[VALOR RACION PREPARADA]])</f>
        <v>263897550</v>
      </c>
      <c r="AS539" s="35" t="str">
        <f>+IF(Tabla44[[#This Row],[AGRUPACIONES]]=1,SUMIFS(Tabla44[VALOR TOTAL],Tabla44[ZONA DEFINITIVO],Tabla44[[#This Row],[ZONA DEFINITIVO]])," ")</f>
        <v xml:space="preserve"> </v>
      </c>
      <c r="AT539" s="35">
        <f>VLOOKUP(Tabla44[[#This Row],[SERVICIO 2025]],$J$2:$V$15,10,0)*Tabla44[[#This Row],[TOTAL COBERTURA]]*$X$7</f>
        <v>0</v>
      </c>
      <c r="AU539" s="39">
        <f>Tabla44[[#This Row],[TOTAL CONTRATO (ICBF+EAS)]]+Tabla44[[#This Row],[VALOR COMPONENTE ALIMENTACION NO ASIGNADO]]</f>
        <v>263897550</v>
      </c>
      <c r="AV53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37255113</v>
      </c>
      <c r="AW539" s="35">
        <f>(VLOOKUP(Tabla44[[#This Row],[SERVICIO 2025]],$J$2:$V$15,3,0)*Tabla44[[#This Row],[TOTAL COBERTURA]])+VLOOKUP(Tabla44[[#This Row],[SERVICIO 2025]],$J$2:$V$15,10,0)*Tabla44[[#This Row],[TOTAL COBERTURA]]</f>
        <v>31702104</v>
      </c>
      <c r="AX539" s="35">
        <f>(VLOOKUP(Tabla44[[#This Row],[SERVICIO 2025]],$J$2:$V$15,3,0)*Tabla44[[#This Row],[TOTAL COBERTURA]])+VLOOKUP(Tabla44[[#This Row],[SERVICIO 2025]],$J$2:$V$15,10,0)*Tabla44[[#This Row],[TOTAL COBERTURA]]</f>
        <v>31702104</v>
      </c>
      <c r="AY539" s="35">
        <f>(VLOOKUP(Tabla44[[#This Row],[SERVICIO 2025]],$J$2:$V$15,3,0)*Tabla44[[#This Row],[TOTAL COBERTURA]])+VLOOKUP(Tabla44[[#This Row],[SERVICIO 2025]],$J$2:$V$15,10,0)*Tabla44[[#This Row],[TOTAL COBERTURA]]</f>
        <v>31702104</v>
      </c>
      <c r="AZ539" s="35">
        <f>(VLOOKUP(Tabla44[[#This Row],[SERVICIO 2025]],$J$2:$V$15,3,0)*Tabla44[[#This Row],[TOTAL COBERTURA]])+VLOOKUP(Tabla44[[#This Row],[SERVICIO 2025]],$J$2:$V$15,10,0)*Tabla44[[#This Row],[TOTAL COBERTURA]]</f>
        <v>31702104</v>
      </c>
      <c r="BA539" s="35">
        <f>(VLOOKUP(Tabla44[[#This Row],[SERVICIO 2025]],$J$2:$V$15,3,0)*Tabla44[[#This Row],[TOTAL COBERTURA]])+VLOOKUP(Tabla44[[#This Row],[SERVICIO 2025]],$J$2:$V$15,10,0)*Tabla44[[#This Row],[TOTAL COBERTURA]]</f>
        <v>31702104</v>
      </c>
      <c r="BB539" s="35">
        <f>(VLOOKUP(Tabla44[[#This Row],[SERVICIO 2025]],$J$2:$V$15,3,0)*Tabla44[[#This Row],[TOTAL COBERTURA]])+VLOOKUP(Tabla44[[#This Row],[SERVICIO 2025]],$J$2:$V$15,10,0)*Tabla44[[#This Row],[TOTAL COBERTURA]]</f>
        <v>31702104</v>
      </c>
      <c r="BC53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36429813</v>
      </c>
      <c r="BD539" s="35">
        <f>SUM(Tabla44[[#This Row],[DESEMBOLSO 1]:[DESEMBOLSO 8]])</f>
        <v>263897550</v>
      </c>
      <c r="BE539" s="12" t="b">
        <f>EXACT(Tabla44[[#This Row],[VALOR ATENCIÓN (8 MESES)]],Tabla44[[#This Row],[VALOR TOTAL]])</f>
        <v>1</v>
      </c>
      <c r="BF539" s="23">
        <f>Tabla44[[#This Row],[VALOR ATENCIÓN (8 MESES)]]-Tabla44[[#This Row],[VALOR TOTAL]]</f>
        <v>0</v>
      </c>
      <c r="BG539" s="12" t="b">
        <f>EXACT(Tabla44[[#This Row],[TOTAL DESEMBOLSOS]],Tabla44[[#This Row],[VALOR TOTAL DEL CONTRATO INCLUIDO EL COMPONENTE DE ALIMENTACIÓN]])</f>
        <v>1</v>
      </c>
      <c r="BH539" s="29">
        <f>Tabla44[[#This Row],[TOTAL DESEMBOLSOS]]-Tabla44[[#This Row],[VALOR TOTAL DEL CONTRATO INCLUIDO EL COMPONENTE DE ALIMENTACIÓN]]</f>
        <v>0</v>
      </c>
      <c r="BI539" t="s">
        <v>98</v>
      </c>
    </row>
    <row r="540" spans="1:61">
      <c r="A540" s="13">
        <v>2023</v>
      </c>
      <c r="B540" s="13"/>
      <c r="C540" s="12" t="s">
        <v>87</v>
      </c>
      <c r="D540" s="12" t="s">
        <v>673</v>
      </c>
      <c r="E540" s="12" t="s">
        <v>3764</v>
      </c>
      <c r="F540" s="12" t="s">
        <v>15</v>
      </c>
      <c r="G540" s="12" t="s">
        <v>90</v>
      </c>
      <c r="H540" s="12" t="s">
        <v>3844</v>
      </c>
      <c r="I540" s="36">
        <v>589000066085</v>
      </c>
      <c r="J540" s="12" t="s">
        <v>3845</v>
      </c>
      <c r="K540" s="12">
        <v>1</v>
      </c>
      <c r="L540" s="12">
        <v>20</v>
      </c>
      <c r="M540" s="12"/>
      <c r="N540" s="13">
        <v>2023</v>
      </c>
      <c r="O540" s="12" t="s">
        <v>2850</v>
      </c>
      <c r="P540" s="12"/>
      <c r="Q540" s="12"/>
      <c r="R540" s="12" t="s">
        <v>94</v>
      </c>
      <c r="S540" s="12">
        <v>10</v>
      </c>
      <c r="T540" s="12">
        <v>830508092</v>
      </c>
      <c r="U540" s="12" t="s">
        <v>584</v>
      </c>
      <c r="V540" s="12">
        <f>VLOOKUP(Tabla44[[#This Row],[ZONA DEFINITIVO]],[1]Hoja1!$A$1:$D$125,3,0)</f>
        <v>229947</v>
      </c>
      <c r="W540" s="12">
        <f>VLOOKUP(Tabla44[[#This Row],[ZONA DEFINITIVO]],[1]Hoja1!$A$1:$D$125,2,0)</f>
        <v>17263</v>
      </c>
      <c r="X540" s="12">
        <f>VLOOKUP(Tabla44[[#This Row],[ZONA DEFINITIVO]],[1]Hoja1!$A$1:$D$125,4,0)</f>
        <v>104925</v>
      </c>
      <c r="Y540" s="12" t="str">
        <f>+IF(Tabla44[[#This Row],[AGRUPACIONES]]=1,SUMIFS(Tabla44[UDS],Tabla44[ZONA DEFINITIVO],Tabla44[[#This Row],[ZONA DEFINITIVO]])," ")</f>
        <v xml:space="preserve"> </v>
      </c>
      <c r="Z540" s="12" t="str">
        <f>+IF(Tabla44[[#This Row],[AGRUPACIONES]]=1,SUMIFS(Tabla44[TOTAL COBERTURA],Tabla44[ZONA DEFINITIVO],Tabla44[[#This Row],[ZONA DEFINITIVO]])," ")</f>
        <v xml:space="preserve"> </v>
      </c>
      <c r="AA540" s="12"/>
      <c r="AB540" s="35">
        <v>86588040</v>
      </c>
      <c r="AC540" s="37">
        <v>0</v>
      </c>
      <c r="AD540" s="35">
        <f t="shared" si="9"/>
        <v>0</v>
      </c>
      <c r="AE540" s="12"/>
      <c r="AF540" s="12">
        <f>COUNTIF($A$20:A540,A540)</f>
        <v>44</v>
      </c>
      <c r="AG540" s="38">
        <v>86588040</v>
      </c>
      <c r="AH540" s="38">
        <f>Tabla44[[#This Row],[VALOR CONTRAPARTIDA]]+Tabla44[[#This Row],[TOTAL APORTES ICBF]]</f>
        <v>86588040</v>
      </c>
      <c r="AI540" s="35" t="str">
        <f>+IF(Tabla44[[#This Row],[AGRUPACIONES]]=1,SUMIFS(Tabla44[TOTAL APORTES ICBF],Tabla44[ZONA DEFINITIVO],Tabla44[[#This Row],[ZONA DEFINITIVO]])," ")</f>
        <v xml:space="preserve"> </v>
      </c>
      <c r="AJ540" s="38"/>
      <c r="AK540" s="38"/>
      <c r="AL540" s="35"/>
      <c r="AM540" s="35">
        <f>VLOOKUP(Tabla44[[#This Row],[SERVICIO 2025]],$J$2:$V$15,5,0)*Tabla44[[#This Row],[TOTAL COBERTURA]]</f>
        <v>1762860</v>
      </c>
      <c r="AN540" s="35">
        <f>VLOOKUP(Tabla44[[#This Row],[SERVICIO 2025]],$J$2:$V$15,6,0)*Tabla44[[#This Row],[TOTAL COBERTURA]]</f>
        <v>1500860</v>
      </c>
      <c r="AO540" s="35">
        <f>VLOOKUP(Tabla44[[#This Row],[SERVICIO 2025]],$J$2:$V$15,8,0)*Tabla44[[#This Row],[TOTAL COBERTURA]]</f>
        <v>0</v>
      </c>
      <c r="AP540" s="35">
        <f>VLOOKUP(Tabla44[[#This Row],[SERVICIO 2025]],$J$2:$V$15,3,0)*Tabla44[[#This Row],[TOTAL COBERTURA]]*8</f>
        <v>83324320</v>
      </c>
      <c r="AQ540" s="35"/>
      <c r="AR540" s="35">
        <f>SUM(Tabla44[[#This Row],[VALOR FASE PREPARATORIA DE ALISTAMIENTO]:[VALOR RACION PREPARADA]])</f>
        <v>86588040</v>
      </c>
      <c r="AS540" s="35" t="str">
        <f>+IF(Tabla44[[#This Row],[AGRUPACIONES]]=1,SUMIFS(Tabla44[VALOR TOTAL],Tabla44[ZONA DEFINITIVO],Tabla44[[#This Row],[ZONA DEFINITIVO]])," ")</f>
        <v xml:space="preserve"> </v>
      </c>
      <c r="AT540" s="35">
        <f>VLOOKUP(Tabla44[[#This Row],[SERVICIO 2025]],$J$2:$V$15,10,0)*Tabla44[[#This Row],[TOTAL COBERTURA]]*$X$7</f>
        <v>0</v>
      </c>
      <c r="AU540" s="39">
        <f>Tabla44[[#This Row],[TOTAL CONTRATO (ICBF+EAS)]]+Tabla44[[#This Row],[VALOR COMPONENTE ALIMENTACION NO ASIGNADO]]</f>
        <v>86588040</v>
      </c>
      <c r="AV54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12178400</v>
      </c>
      <c r="AW540" s="35">
        <f>(VLOOKUP(Tabla44[[#This Row],[SERVICIO 2025]],$J$2:$V$15,3,0)*Tabla44[[#This Row],[TOTAL COBERTURA]])+VLOOKUP(Tabla44[[#This Row],[SERVICIO 2025]],$J$2:$V$15,10,0)*Tabla44[[#This Row],[TOTAL COBERTURA]]</f>
        <v>10415540</v>
      </c>
      <c r="AX540" s="35">
        <f>(VLOOKUP(Tabla44[[#This Row],[SERVICIO 2025]],$J$2:$V$15,3,0)*Tabla44[[#This Row],[TOTAL COBERTURA]])+VLOOKUP(Tabla44[[#This Row],[SERVICIO 2025]],$J$2:$V$15,10,0)*Tabla44[[#This Row],[TOTAL COBERTURA]]</f>
        <v>10415540</v>
      </c>
      <c r="AY540" s="35">
        <f>(VLOOKUP(Tabla44[[#This Row],[SERVICIO 2025]],$J$2:$V$15,3,0)*Tabla44[[#This Row],[TOTAL COBERTURA]])+VLOOKUP(Tabla44[[#This Row],[SERVICIO 2025]],$J$2:$V$15,10,0)*Tabla44[[#This Row],[TOTAL COBERTURA]]</f>
        <v>10415540</v>
      </c>
      <c r="AZ540" s="35">
        <f>(VLOOKUP(Tabla44[[#This Row],[SERVICIO 2025]],$J$2:$V$15,3,0)*Tabla44[[#This Row],[TOTAL COBERTURA]])+VLOOKUP(Tabla44[[#This Row],[SERVICIO 2025]],$J$2:$V$15,10,0)*Tabla44[[#This Row],[TOTAL COBERTURA]]</f>
        <v>10415540</v>
      </c>
      <c r="BA540" s="35">
        <f>(VLOOKUP(Tabla44[[#This Row],[SERVICIO 2025]],$J$2:$V$15,3,0)*Tabla44[[#This Row],[TOTAL COBERTURA]])+VLOOKUP(Tabla44[[#This Row],[SERVICIO 2025]],$J$2:$V$15,10,0)*Tabla44[[#This Row],[TOTAL COBERTURA]]</f>
        <v>10415540</v>
      </c>
      <c r="BB540" s="35">
        <f>(VLOOKUP(Tabla44[[#This Row],[SERVICIO 2025]],$J$2:$V$15,3,0)*Tabla44[[#This Row],[TOTAL COBERTURA]])+VLOOKUP(Tabla44[[#This Row],[SERVICIO 2025]],$J$2:$V$15,10,0)*Tabla44[[#This Row],[TOTAL COBERTURA]]</f>
        <v>10415540</v>
      </c>
      <c r="BC54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11916400</v>
      </c>
      <c r="BD540" s="35">
        <f>SUM(Tabla44[[#This Row],[DESEMBOLSO 1]:[DESEMBOLSO 8]])</f>
        <v>86588040</v>
      </c>
      <c r="BE540" s="12" t="b">
        <f>EXACT(Tabla44[[#This Row],[VALOR ATENCIÓN (8 MESES)]],Tabla44[[#This Row],[VALOR TOTAL]])</f>
        <v>1</v>
      </c>
      <c r="BF540" s="23">
        <f>Tabla44[[#This Row],[VALOR ATENCIÓN (8 MESES)]]-Tabla44[[#This Row],[VALOR TOTAL]]</f>
        <v>0</v>
      </c>
      <c r="BG540" s="12" t="b">
        <f>EXACT(Tabla44[[#This Row],[TOTAL DESEMBOLSOS]],Tabla44[[#This Row],[VALOR TOTAL DEL CONTRATO INCLUIDO EL COMPONENTE DE ALIMENTACIÓN]])</f>
        <v>1</v>
      </c>
      <c r="BH540" s="29">
        <f>Tabla44[[#This Row],[TOTAL DESEMBOLSOS]]-Tabla44[[#This Row],[VALOR TOTAL DEL CONTRATO INCLUIDO EL COMPONENTE DE ALIMENTACIÓN]]</f>
        <v>0</v>
      </c>
      <c r="BI540" t="s">
        <v>98</v>
      </c>
    </row>
    <row r="541" spans="1:61">
      <c r="A541" s="13">
        <v>2023</v>
      </c>
      <c r="B541" s="13"/>
      <c r="C541" s="12" t="s">
        <v>87</v>
      </c>
      <c r="D541" s="12" t="s">
        <v>673</v>
      </c>
      <c r="E541" s="12" t="s">
        <v>3764</v>
      </c>
      <c r="F541" s="12" t="s">
        <v>14</v>
      </c>
      <c r="G541" s="12" t="s">
        <v>90</v>
      </c>
      <c r="H541" s="12" t="s">
        <v>3846</v>
      </c>
      <c r="I541" s="36">
        <v>589000080860</v>
      </c>
      <c r="J541" s="12" t="s">
        <v>3847</v>
      </c>
      <c r="K541" s="12">
        <v>1</v>
      </c>
      <c r="L541" s="12">
        <v>22</v>
      </c>
      <c r="M541" s="12"/>
      <c r="N541" s="13">
        <v>2023</v>
      </c>
      <c r="O541" s="12" t="s">
        <v>2850</v>
      </c>
      <c r="P541" s="12"/>
      <c r="Q541" s="12"/>
      <c r="R541" s="12" t="s">
        <v>94</v>
      </c>
      <c r="S541" s="12">
        <v>10</v>
      </c>
      <c r="T541" s="12">
        <v>830508092</v>
      </c>
      <c r="U541" s="12" t="s">
        <v>584</v>
      </c>
      <c r="V541" s="12">
        <f>VLOOKUP(Tabla44[[#This Row],[ZONA DEFINITIVO]],[1]Hoja1!$A$1:$D$125,3,0)</f>
        <v>229947</v>
      </c>
      <c r="W541" s="12">
        <f>VLOOKUP(Tabla44[[#This Row],[ZONA DEFINITIVO]],[1]Hoja1!$A$1:$D$125,2,0)</f>
        <v>17263</v>
      </c>
      <c r="X541" s="12">
        <f>VLOOKUP(Tabla44[[#This Row],[ZONA DEFINITIVO]],[1]Hoja1!$A$1:$D$125,4,0)</f>
        <v>104925</v>
      </c>
      <c r="Y541" s="12" t="str">
        <f>+IF(Tabla44[[#This Row],[AGRUPACIONES]]=1,SUMIFS(Tabla44[UDS],Tabla44[ZONA DEFINITIVO],Tabla44[[#This Row],[ZONA DEFINITIVO]])," ")</f>
        <v xml:space="preserve"> </v>
      </c>
      <c r="Z541" s="12" t="str">
        <f>+IF(Tabla44[[#This Row],[AGRUPACIONES]]=1,SUMIFS(Tabla44[TOTAL COBERTURA],Tabla44[ZONA DEFINITIVO],Tabla44[[#This Row],[ZONA DEFINITIVO]])," ")</f>
        <v xml:space="preserve"> </v>
      </c>
      <c r="AA541" s="12"/>
      <c r="AB541" s="35">
        <v>92154700</v>
      </c>
      <c r="AC541" s="37">
        <v>0</v>
      </c>
      <c r="AD541" s="35">
        <f t="shared" si="9"/>
        <v>0</v>
      </c>
      <c r="AE541" s="12"/>
      <c r="AF541" s="12">
        <f>COUNTIF($A$20:A541,A541)</f>
        <v>45</v>
      </c>
      <c r="AG541" s="38">
        <v>92154700</v>
      </c>
      <c r="AH541" s="38">
        <f>Tabla44[[#This Row],[VALOR CONTRAPARTIDA]]+Tabla44[[#This Row],[TOTAL APORTES ICBF]]</f>
        <v>92154700</v>
      </c>
      <c r="AI541" s="35" t="str">
        <f>+IF(Tabla44[[#This Row],[AGRUPACIONES]]=1,SUMIFS(Tabla44[TOTAL APORTES ICBF],Tabla44[ZONA DEFINITIVO],Tabla44[[#This Row],[ZONA DEFINITIVO]])," ")</f>
        <v xml:space="preserve"> </v>
      </c>
      <c r="AJ541" s="38"/>
      <c r="AK541" s="38"/>
      <c r="AL541" s="35"/>
      <c r="AM541" s="35">
        <f>VLOOKUP(Tabla44[[#This Row],[SERVICIO 2025]],$J$2:$V$15,5,0)*Tabla44[[#This Row],[TOTAL COBERTURA]]</f>
        <v>1939146</v>
      </c>
      <c r="AN541" s="35">
        <f>VLOOKUP(Tabla44[[#This Row],[SERVICIO 2025]],$J$2:$V$15,6,0)*Tabla44[[#This Row],[TOTAL COBERTURA]]</f>
        <v>1650946</v>
      </c>
      <c r="AO541" s="35">
        <f>VLOOKUP(Tabla44[[#This Row],[SERVICIO 2025]],$J$2:$V$15,8,0)*Tabla44[[#This Row],[TOTAL COBERTURA]]</f>
        <v>0</v>
      </c>
      <c r="AP541" s="35">
        <f>VLOOKUP(Tabla44[[#This Row],[SERVICIO 2025]],$J$2:$V$15,3,0)*Tabla44[[#This Row],[TOTAL COBERTURA]]*8</f>
        <v>88564608</v>
      </c>
      <c r="AQ541" s="35"/>
      <c r="AR541" s="35">
        <f>SUM(Tabla44[[#This Row],[VALOR FASE PREPARATORIA DE ALISTAMIENTO]:[VALOR RACION PREPARADA]])</f>
        <v>92154700</v>
      </c>
      <c r="AS541" s="35" t="str">
        <f>+IF(Tabla44[[#This Row],[AGRUPACIONES]]=1,SUMIFS(Tabla44[VALOR TOTAL],Tabla44[ZONA DEFINITIVO],Tabla44[[#This Row],[ZONA DEFINITIVO]])," ")</f>
        <v xml:space="preserve"> </v>
      </c>
      <c r="AT541" s="35">
        <f>VLOOKUP(Tabla44[[#This Row],[SERVICIO 2025]],$J$2:$V$15,10,0)*Tabla44[[#This Row],[TOTAL COBERTURA]]*$X$7</f>
        <v>0</v>
      </c>
      <c r="AU541" s="39">
        <f>Tabla44[[#This Row],[TOTAL CONTRATO (ICBF+EAS)]]+Tabla44[[#This Row],[VALOR COMPONENTE ALIMENTACION NO ASIGNADO]]</f>
        <v>92154700</v>
      </c>
      <c r="AV54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13009722</v>
      </c>
      <c r="AW541" s="35">
        <f>(VLOOKUP(Tabla44[[#This Row],[SERVICIO 2025]],$J$2:$V$15,3,0)*Tabla44[[#This Row],[TOTAL COBERTURA]])+VLOOKUP(Tabla44[[#This Row],[SERVICIO 2025]],$J$2:$V$15,10,0)*Tabla44[[#This Row],[TOTAL COBERTURA]]</f>
        <v>11070576</v>
      </c>
      <c r="AX541" s="35">
        <f>(VLOOKUP(Tabla44[[#This Row],[SERVICIO 2025]],$J$2:$V$15,3,0)*Tabla44[[#This Row],[TOTAL COBERTURA]])+VLOOKUP(Tabla44[[#This Row],[SERVICIO 2025]],$J$2:$V$15,10,0)*Tabla44[[#This Row],[TOTAL COBERTURA]]</f>
        <v>11070576</v>
      </c>
      <c r="AY541" s="35">
        <f>(VLOOKUP(Tabla44[[#This Row],[SERVICIO 2025]],$J$2:$V$15,3,0)*Tabla44[[#This Row],[TOTAL COBERTURA]])+VLOOKUP(Tabla44[[#This Row],[SERVICIO 2025]],$J$2:$V$15,10,0)*Tabla44[[#This Row],[TOTAL COBERTURA]]</f>
        <v>11070576</v>
      </c>
      <c r="AZ541" s="35">
        <f>(VLOOKUP(Tabla44[[#This Row],[SERVICIO 2025]],$J$2:$V$15,3,0)*Tabla44[[#This Row],[TOTAL COBERTURA]])+VLOOKUP(Tabla44[[#This Row],[SERVICIO 2025]],$J$2:$V$15,10,0)*Tabla44[[#This Row],[TOTAL COBERTURA]]</f>
        <v>11070576</v>
      </c>
      <c r="BA541" s="35">
        <f>(VLOOKUP(Tabla44[[#This Row],[SERVICIO 2025]],$J$2:$V$15,3,0)*Tabla44[[#This Row],[TOTAL COBERTURA]])+VLOOKUP(Tabla44[[#This Row],[SERVICIO 2025]],$J$2:$V$15,10,0)*Tabla44[[#This Row],[TOTAL COBERTURA]]</f>
        <v>11070576</v>
      </c>
      <c r="BB541" s="35">
        <f>(VLOOKUP(Tabla44[[#This Row],[SERVICIO 2025]],$J$2:$V$15,3,0)*Tabla44[[#This Row],[TOTAL COBERTURA]])+VLOOKUP(Tabla44[[#This Row],[SERVICIO 2025]],$J$2:$V$15,10,0)*Tabla44[[#This Row],[TOTAL COBERTURA]]</f>
        <v>11070576</v>
      </c>
      <c r="BC54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12721522</v>
      </c>
      <c r="BD541" s="35">
        <f>SUM(Tabla44[[#This Row],[DESEMBOLSO 1]:[DESEMBOLSO 8]])</f>
        <v>92154700</v>
      </c>
      <c r="BE541" s="12" t="b">
        <f>EXACT(Tabla44[[#This Row],[VALOR ATENCIÓN (8 MESES)]],Tabla44[[#This Row],[VALOR TOTAL]])</f>
        <v>1</v>
      </c>
      <c r="BF541" s="23">
        <f>Tabla44[[#This Row],[VALOR ATENCIÓN (8 MESES)]]-Tabla44[[#This Row],[VALOR TOTAL]]</f>
        <v>0</v>
      </c>
      <c r="BG541" s="12" t="b">
        <f>EXACT(Tabla44[[#This Row],[TOTAL DESEMBOLSOS]],Tabla44[[#This Row],[VALOR TOTAL DEL CONTRATO INCLUIDO EL COMPONENTE DE ALIMENTACIÓN]])</f>
        <v>1</v>
      </c>
      <c r="BH541" s="29">
        <f>Tabla44[[#This Row],[TOTAL DESEMBOLSOS]]-Tabla44[[#This Row],[VALOR TOTAL DEL CONTRATO INCLUIDO EL COMPONENTE DE ALIMENTACIÓN]]</f>
        <v>0</v>
      </c>
      <c r="BI541" t="s">
        <v>98</v>
      </c>
    </row>
    <row r="542" spans="1:61">
      <c r="A542" s="13">
        <v>2023</v>
      </c>
      <c r="B542" s="13"/>
      <c r="C542" s="12" t="s">
        <v>87</v>
      </c>
      <c r="D542" s="12" t="s">
        <v>673</v>
      </c>
      <c r="E542" s="12" t="s">
        <v>3764</v>
      </c>
      <c r="F542" s="12" t="s">
        <v>14</v>
      </c>
      <c r="G542" s="12" t="s">
        <v>90</v>
      </c>
      <c r="H542" s="12" t="s">
        <v>3848</v>
      </c>
      <c r="I542" s="36">
        <v>589000080869</v>
      </c>
      <c r="J542" s="12" t="s">
        <v>3849</v>
      </c>
      <c r="K542" s="12">
        <v>1</v>
      </c>
      <c r="L542" s="12">
        <v>37</v>
      </c>
      <c r="M542" s="12"/>
      <c r="N542" s="13">
        <v>2023</v>
      </c>
      <c r="O542" s="12" t="s">
        <v>2850</v>
      </c>
      <c r="P542" s="12"/>
      <c r="Q542" s="12"/>
      <c r="R542" s="12" t="s">
        <v>94</v>
      </c>
      <c r="S542" s="12">
        <v>10</v>
      </c>
      <c r="T542" s="12">
        <v>830508092</v>
      </c>
      <c r="U542" s="12" t="s">
        <v>584</v>
      </c>
      <c r="V542" s="12">
        <f>VLOOKUP(Tabla44[[#This Row],[ZONA DEFINITIVO]],[1]Hoja1!$A$1:$D$125,3,0)</f>
        <v>229947</v>
      </c>
      <c r="W542" s="12">
        <f>VLOOKUP(Tabla44[[#This Row],[ZONA DEFINITIVO]],[1]Hoja1!$A$1:$D$125,2,0)</f>
        <v>17263</v>
      </c>
      <c r="X542" s="12">
        <f>VLOOKUP(Tabla44[[#This Row],[ZONA DEFINITIVO]],[1]Hoja1!$A$1:$D$125,4,0)</f>
        <v>104925</v>
      </c>
      <c r="Y542" s="12" t="str">
        <f>+IF(Tabla44[[#This Row],[AGRUPACIONES]]=1,SUMIFS(Tabla44[UDS],Tabla44[ZONA DEFINITIVO],Tabla44[[#This Row],[ZONA DEFINITIVO]])," ")</f>
        <v xml:space="preserve"> </v>
      </c>
      <c r="Z542" s="12" t="str">
        <f>+IF(Tabla44[[#This Row],[AGRUPACIONES]]=1,SUMIFS(Tabla44[TOTAL COBERTURA],Tabla44[ZONA DEFINITIVO],Tabla44[[#This Row],[ZONA DEFINITIVO]])," ")</f>
        <v xml:space="preserve"> </v>
      </c>
      <c r="AA542" s="12"/>
      <c r="AB542" s="35">
        <v>154987450</v>
      </c>
      <c r="AC542" s="37">
        <v>0</v>
      </c>
      <c r="AD542" s="35">
        <f t="shared" si="9"/>
        <v>0</v>
      </c>
      <c r="AE542" s="12"/>
      <c r="AF542" s="12">
        <f>COUNTIF($A$20:A542,A542)</f>
        <v>46</v>
      </c>
      <c r="AG542" s="38">
        <v>154987450</v>
      </c>
      <c r="AH542" s="38">
        <f>Tabla44[[#This Row],[VALOR CONTRAPARTIDA]]+Tabla44[[#This Row],[TOTAL APORTES ICBF]]</f>
        <v>154987450</v>
      </c>
      <c r="AI542" s="35" t="str">
        <f>+IF(Tabla44[[#This Row],[AGRUPACIONES]]=1,SUMIFS(Tabla44[TOTAL APORTES ICBF],Tabla44[ZONA DEFINITIVO],Tabla44[[#This Row],[ZONA DEFINITIVO]])," ")</f>
        <v xml:space="preserve"> </v>
      </c>
      <c r="AJ542" s="38"/>
      <c r="AK542" s="38"/>
      <c r="AL542" s="35"/>
      <c r="AM542" s="35">
        <f>VLOOKUP(Tabla44[[#This Row],[SERVICIO 2025]],$J$2:$V$15,5,0)*Tabla44[[#This Row],[TOTAL COBERTURA]]</f>
        <v>3261291</v>
      </c>
      <c r="AN542" s="35">
        <f>VLOOKUP(Tabla44[[#This Row],[SERVICIO 2025]],$J$2:$V$15,6,0)*Tabla44[[#This Row],[TOTAL COBERTURA]]</f>
        <v>2776591</v>
      </c>
      <c r="AO542" s="35">
        <f>VLOOKUP(Tabla44[[#This Row],[SERVICIO 2025]],$J$2:$V$15,8,0)*Tabla44[[#This Row],[TOTAL COBERTURA]]</f>
        <v>0</v>
      </c>
      <c r="AP542" s="35">
        <f>VLOOKUP(Tabla44[[#This Row],[SERVICIO 2025]],$J$2:$V$15,3,0)*Tabla44[[#This Row],[TOTAL COBERTURA]]*8</f>
        <v>148949568</v>
      </c>
      <c r="AQ542" s="35"/>
      <c r="AR542" s="35">
        <f>SUM(Tabla44[[#This Row],[VALOR FASE PREPARATORIA DE ALISTAMIENTO]:[VALOR RACION PREPARADA]])</f>
        <v>154987450</v>
      </c>
      <c r="AS542" s="35" t="str">
        <f>+IF(Tabla44[[#This Row],[AGRUPACIONES]]=1,SUMIFS(Tabla44[VALOR TOTAL],Tabla44[ZONA DEFINITIVO],Tabla44[[#This Row],[ZONA DEFINITIVO]])," ")</f>
        <v xml:space="preserve"> </v>
      </c>
      <c r="AT542" s="35">
        <f>VLOOKUP(Tabla44[[#This Row],[SERVICIO 2025]],$J$2:$V$15,10,0)*Tabla44[[#This Row],[TOTAL COBERTURA]]*$X$7</f>
        <v>0</v>
      </c>
      <c r="AU542" s="39">
        <f>Tabla44[[#This Row],[TOTAL CONTRATO (ICBF+EAS)]]+Tabla44[[#This Row],[VALOR COMPONENTE ALIMENTACION NO ASIGNADO]]</f>
        <v>154987450</v>
      </c>
      <c r="AV54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21879987</v>
      </c>
      <c r="AW542" s="35">
        <f>(VLOOKUP(Tabla44[[#This Row],[SERVICIO 2025]],$J$2:$V$15,3,0)*Tabla44[[#This Row],[TOTAL COBERTURA]])+VLOOKUP(Tabla44[[#This Row],[SERVICIO 2025]],$J$2:$V$15,10,0)*Tabla44[[#This Row],[TOTAL COBERTURA]]</f>
        <v>18618696</v>
      </c>
      <c r="AX542" s="35">
        <f>(VLOOKUP(Tabla44[[#This Row],[SERVICIO 2025]],$J$2:$V$15,3,0)*Tabla44[[#This Row],[TOTAL COBERTURA]])+VLOOKUP(Tabla44[[#This Row],[SERVICIO 2025]],$J$2:$V$15,10,0)*Tabla44[[#This Row],[TOTAL COBERTURA]]</f>
        <v>18618696</v>
      </c>
      <c r="AY542" s="35">
        <f>(VLOOKUP(Tabla44[[#This Row],[SERVICIO 2025]],$J$2:$V$15,3,0)*Tabla44[[#This Row],[TOTAL COBERTURA]])+VLOOKUP(Tabla44[[#This Row],[SERVICIO 2025]],$J$2:$V$15,10,0)*Tabla44[[#This Row],[TOTAL COBERTURA]]</f>
        <v>18618696</v>
      </c>
      <c r="AZ542" s="35">
        <f>(VLOOKUP(Tabla44[[#This Row],[SERVICIO 2025]],$J$2:$V$15,3,0)*Tabla44[[#This Row],[TOTAL COBERTURA]])+VLOOKUP(Tabla44[[#This Row],[SERVICIO 2025]],$J$2:$V$15,10,0)*Tabla44[[#This Row],[TOTAL COBERTURA]]</f>
        <v>18618696</v>
      </c>
      <c r="BA542" s="35">
        <f>(VLOOKUP(Tabla44[[#This Row],[SERVICIO 2025]],$J$2:$V$15,3,0)*Tabla44[[#This Row],[TOTAL COBERTURA]])+VLOOKUP(Tabla44[[#This Row],[SERVICIO 2025]],$J$2:$V$15,10,0)*Tabla44[[#This Row],[TOTAL COBERTURA]]</f>
        <v>18618696</v>
      </c>
      <c r="BB542" s="35">
        <f>(VLOOKUP(Tabla44[[#This Row],[SERVICIO 2025]],$J$2:$V$15,3,0)*Tabla44[[#This Row],[TOTAL COBERTURA]])+VLOOKUP(Tabla44[[#This Row],[SERVICIO 2025]],$J$2:$V$15,10,0)*Tabla44[[#This Row],[TOTAL COBERTURA]]</f>
        <v>18618696</v>
      </c>
      <c r="BC54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21395287</v>
      </c>
      <c r="BD542" s="35">
        <f>SUM(Tabla44[[#This Row],[DESEMBOLSO 1]:[DESEMBOLSO 8]])</f>
        <v>154987450</v>
      </c>
      <c r="BE542" s="12" t="b">
        <f>EXACT(Tabla44[[#This Row],[VALOR ATENCIÓN (8 MESES)]],Tabla44[[#This Row],[VALOR TOTAL]])</f>
        <v>1</v>
      </c>
      <c r="BF542" s="23">
        <f>Tabla44[[#This Row],[VALOR ATENCIÓN (8 MESES)]]-Tabla44[[#This Row],[VALOR TOTAL]]</f>
        <v>0</v>
      </c>
      <c r="BG542" s="12" t="b">
        <f>EXACT(Tabla44[[#This Row],[TOTAL DESEMBOLSOS]],Tabla44[[#This Row],[VALOR TOTAL DEL CONTRATO INCLUIDO EL COMPONENTE DE ALIMENTACIÓN]])</f>
        <v>1</v>
      </c>
      <c r="BH542" s="29">
        <f>Tabla44[[#This Row],[TOTAL DESEMBOLSOS]]-Tabla44[[#This Row],[VALOR TOTAL DEL CONTRATO INCLUIDO EL COMPONENTE DE ALIMENTACIÓN]]</f>
        <v>0</v>
      </c>
      <c r="BI542" t="s">
        <v>98</v>
      </c>
    </row>
    <row r="543" spans="1:61">
      <c r="A543" s="13">
        <v>2023</v>
      </c>
      <c r="B543" s="13"/>
      <c r="C543" s="12" t="s">
        <v>87</v>
      </c>
      <c r="D543" s="12" t="s">
        <v>673</v>
      </c>
      <c r="E543" s="12" t="s">
        <v>3764</v>
      </c>
      <c r="F543" s="12" t="s">
        <v>21</v>
      </c>
      <c r="G543" s="12" t="s">
        <v>90</v>
      </c>
      <c r="H543" s="12" t="s">
        <v>3850</v>
      </c>
      <c r="I543" s="36">
        <v>589000080882</v>
      </c>
      <c r="J543" s="12" t="s">
        <v>3851</v>
      </c>
      <c r="K543" s="12">
        <v>1</v>
      </c>
      <c r="L543" s="12">
        <v>20</v>
      </c>
      <c r="M543" s="12"/>
      <c r="N543" s="13">
        <v>2023</v>
      </c>
      <c r="O543" s="12" t="s">
        <v>2850</v>
      </c>
      <c r="P543" s="12"/>
      <c r="Q543" s="12"/>
      <c r="R543" s="12" t="s">
        <v>94</v>
      </c>
      <c r="S543" s="12">
        <v>10</v>
      </c>
      <c r="T543" s="12">
        <v>830508092</v>
      </c>
      <c r="U543" s="12" t="s">
        <v>584</v>
      </c>
      <c r="V543" s="12">
        <f>VLOOKUP(Tabla44[[#This Row],[ZONA DEFINITIVO]],[1]Hoja1!$A$1:$D$125,3,0)</f>
        <v>229947</v>
      </c>
      <c r="W543" s="12">
        <f>VLOOKUP(Tabla44[[#This Row],[ZONA DEFINITIVO]],[1]Hoja1!$A$1:$D$125,2,0)</f>
        <v>17263</v>
      </c>
      <c r="X543" s="12">
        <f>VLOOKUP(Tabla44[[#This Row],[ZONA DEFINITIVO]],[1]Hoja1!$A$1:$D$125,4,0)</f>
        <v>104925</v>
      </c>
      <c r="Y543" s="12" t="str">
        <f>+IF(Tabla44[[#This Row],[AGRUPACIONES]]=1,SUMIFS(Tabla44[UDS],Tabla44[ZONA DEFINITIVO],Tabla44[[#This Row],[ZONA DEFINITIVO]])," ")</f>
        <v xml:space="preserve"> </v>
      </c>
      <c r="Z543" s="12" t="str">
        <f>+IF(Tabla44[[#This Row],[AGRUPACIONES]]=1,SUMIFS(Tabla44[TOTAL COBERTURA],Tabla44[ZONA DEFINITIVO],Tabla44[[#This Row],[ZONA DEFINITIVO]])," ")</f>
        <v xml:space="preserve"> </v>
      </c>
      <c r="AA543" s="12"/>
      <c r="AB543" s="35">
        <v>30386100</v>
      </c>
      <c r="AC543" s="37">
        <v>0</v>
      </c>
      <c r="AD543" s="35">
        <f t="shared" si="9"/>
        <v>0</v>
      </c>
      <c r="AE543" s="12"/>
      <c r="AF543" s="12">
        <f>COUNTIF($A$20:A543,A543)</f>
        <v>47</v>
      </c>
      <c r="AG543" s="38">
        <v>30386100</v>
      </c>
      <c r="AH543" s="38">
        <f>Tabla44[[#This Row],[VALOR CONTRAPARTIDA]]+Tabla44[[#This Row],[TOTAL APORTES ICBF]]</f>
        <v>30386100</v>
      </c>
      <c r="AI543" s="35" t="str">
        <f>+IF(Tabla44[[#This Row],[AGRUPACIONES]]=1,SUMIFS(Tabla44[TOTAL APORTES ICBF],Tabla44[ZONA DEFINITIVO],Tabla44[[#This Row],[ZONA DEFINITIVO]])," ")</f>
        <v xml:space="preserve"> </v>
      </c>
      <c r="AJ543" s="38"/>
      <c r="AK543" s="38"/>
      <c r="AL543" s="35"/>
      <c r="AM543" s="35">
        <f>VLOOKUP(Tabla44[[#This Row],[SERVICIO 2025]],$J$2:$V$15,5,0)*Tabla44[[#This Row],[TOTAL COBERTURA]]</f>
        <v>934880</v>
      </c>
      <c r="AN543" s="35">
        <f>VLOOKUP(Tabla44[[#This Row],[SERVICIO 2025]],$J$2:$V$15,6,0)*Tabla44[[#This Row],[TOTAL COBERTURA]]</f>
        <v>756820</v>
      </c>
      <c r="AO543" s="35">
        <f>VLOOKUP(Tabla44[[#This Row],[SERVICIO 2025]],$J$2:$V$15,8,0)*Tabla44[[#This Row],[TOTAL COBERTURA]]</f>
        <v>0</v>
      </c>
      <c r="AP543" s="35">
        <f>VLOOKUP(Tabla44[[#This Row],[SERVICIO 2025]],$J$2:$V$15,3,0)*Tabla44[[#This Row],[TOTAL COBERTURA]]*8</f>
        <v>28694400</v>
      </c>
      <c r="AQ543" s="35"/>
      <c r="AR543" s="35">
        <f>SUM(Tabla44[[#This Row],[VALOR FASE PREPARATORIA DE ALISTAMIENTO]:[VALOR RACION PREPARADA]])</f>
        <v>30386100</v>
      </c>
      <c r="AS543" s="35" t="str">
        <f>+IF(Tabla44[[#This Row],[AGRUPACIONES]]=1,SUMIFS(Tabla44[VALOR TOTAL],Tabla44[ZONA DEFINITIVO],Tabla44[[#This Row],[ZONA DEFINITIVO]])," ")</f>
        <v xml:space="preserve"> </v>
      </c>
      <c r="AT543" s="35">
        <f>VLOOKUP(Tabla44[[#This Row],[SERVICIO 2025]],$J$2:$V$15,10,0)*Tabla44[[#This Row],[TOTAL COBERTURA]]*$X$7</f>
        <v>30131360</v>
      </c>
      <c r="AU543" s="39">
        <f>Tabla44[[#This Row],[TOTAL CONTRATO (ICBF+EAS)]]+Tabla44[[#This Row],[VALOR COMPONENTE ALIMENTACION NO ASIGNADO]]</f>
        <v>60517460</v>
      </c>
      <c r="AV54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8288100</v>
      </c>
      <c r="AW543" s="35">
        <f>(VLOOKUP(Tabla44[[#This Row],[SERVICIO 2025]],$J$2:$V$15,3,0)*Tabla44[[#This Row],[TOTAL COBERTURA]])+VLOOKUP(Tabla44[[#This Row],[SERVICIO 2025]],$J$2:$V$15,10,0)*Tabla44[[#This Row],[TOTAL COBERTURA]]</f>
        <v>7353220</v>
      </c>
      <c r="AX543" s="35">
        <f>(VLOOKUP(Tabla44[[#This Row],[SERVICIO 2025]],$J$2:$V$15,3,0)*Tabla44[[#This Row],[TOTAL COBERTURA]])+VLOOKUP(Tabla44[[#This Row],[SERVICIO 2025]],$J$2:$V$15,10,0)*Tabla44[[#This Row],[TOTAL COBERTURA]]</f>
        <v>7353220</v>
      </c>
      <c r="AY543" s="35">
        <f>(VLOOKUP(Tabla44[[#This Row],[SERVICIO 2025]],$J$2:$V$15,3,0)*Tabla44[[#This Row],[TOTAL COBERTURA]])+VLOOKUP(Tabla44[[#This Row],[SERVICIO 2025]],$J$2:$V$15,10,0)*Tabla44[[#This Row],[TOTAL COBERTURA]]</f>
        <v>7353220</v>
      </c>
      <c r="AZ543" s="35">
        <f>(VLOOKUP(Tabla44[[#This Row],[SERVICIO 2025]],$J$2:$V$15,3,0)*Tabla44[[#This Row],[TOTAL COBERTURA]])+VLOOKUP(Tabla44[[#This Row],[SERVICIO 2025]],$J$2:$V$15,10,0)*Tabla44[[#This Row],[TOTAL COBERTURA]]</f>
        <v>7353220</v>
      </c>
      <c r="BA543" s="35">
        <f>(VLOOKUP(Tabla44[[#This Row],[SERVICIO 2025]],$J$2:$V$15,3,0)*Tabla44[[#This Row],[TOTAL COBERTURA]])+VLOOKUP(Tabla44[[#This Row],[SERVICIO 2025]],$J$2:$V$15,10,0)*Tabla44[[#This Row],[TOTAL COBERTURA]]</f>
        <v>7353220</v>
      </c>
      <c r="BB543" s="35">
        <f>(VLOOKUP(Tabla44[[#This Row],[SERVICIO 2025]],$J$2:$V$15,3,0)*Tabla44[[#This Row],[TOTAL COBERTURA]])+VLOOKUP(Tabla44[[#This Row],[SERVICIO 2025]],$J$2:$V$15,10,0)*Tabla44[[#This Row],[TOTAL COBERTURA]]</f>
        <v>7353220</v>
      </c>
      <c r="BC54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8110040</v>
      </c>
      <c r="BD543" s="35">
        <f>SUM(Tabla44[[#This Row],[DESEMBOLSO 1]:[DESEMBOLSO 8]])</f>
        <v>60517460</v>
      </c>
      <c r="BE543" s="12" t="b">
        <f>EXACT(Tabla44[[#This Row],[VALOR ATENCIÓN (8 MESES)]],Tabla44[[#This Row],[VALOR TOTAL]])</f>
        <v>1</v>
      </c>
      <c r="BF543" s="23">
        <f>Tabla44[[#This Row],[VALOR ATENCIÓN (8 MESES)]]-Tabla44[[#This Row],[VALOR TOTAL]]</f>
        <v>0</v>
      </c>
      <c r="BG543" s="12" t="b">
        <f>EXACT(Tabla44[[#This Row],[TOTAL DESEMBOLSOS]],Tabla44[[#This Row],[VALOR TOTAL DEL CONTRATO INCLUIDO EL COMPONENTE DE ALIMENTACIÓN]])</f>
        <v>1</v>
      </c>
      <c r="BH543" s="29">
        <f>Tabla44[[#This Row],[TOTAL DESEMBOLSOS]]-Tabla44[[#This Row],[VALOR TOTAL DEL CONTRATO INCLUIDO EL COMPONENTE DE ALIMENTACIÓN]]</f>
        <v>0</v>
      </c>
      <c r="BI543" t="s">
        <v>98</v>
      </c>
    </row>
    <row r="544" spans="1:61">
      <c r="A544" s="13">
        <v>2023</v>
      </c>
      <c r="B544" s="13"/>
      <c r="C544" s="12" t="s">
        <v>87</v>
      </c>
      <c r="D544" s="12" t="s">
        <v>673</v>
      </c>
      <c r="E544" s="12" t="s">
        <v>3764</v>
      </c>
      <c r="F544" s="12" t="s">
        <v>21</v>
      </c>
      <c r="G544" s="12" t="s">
        <v>90</v>
      </c>
      <c r="H544" s="12" t="s">
        <v>3852</v>
      </c>
      <c r="I544" s="36">
        <v>589000101968</v>
      </c>
      <c r="J544" s="12" t="s">
        <v>3853</v>
      </c>
      <c r="K544" s="12">
        <v>1</v>
      </c>
      <c r="L544" s="12">
        <v>10</v>
      </c>
      <c r="M544" s="12"/>
      <c r="N544" s="13">
        <v>2023</v>
      </c>
      <c r="O544" s="12" t="s">
        <v>2850</v>
      </c>
      <c r="P544" s="12"/>
      <c r="Q544" s="12"/>
      <c r="R544" s="12" t="s">
        <v>94</v>
      </c>
      <c r="S544" s="12">
        <v>10</v>
      </c>
      <c r="T544" s="12">
        <v>830508092</v>
      </c>
      <c r="U544" s="12" t="s">
        <v>584</v>
      </c>
      <c r="V544" s="12">
        <f>VLOOKUP(Tabla44[[#This Row],[ZONA DEFINITIVO]],[1]Hoja1!$A$1:$D$125,3,0)</f>
        <v>229947</v>
      </c>
      <c r="W544" s="12">
        <f>VLOOKUP(Tabla44[[#This Row],[ZONA DEFINITIVO]],[1]Hoja1!$A$1:$D$125,2,0)</f>
        <v>17263</v>
      </c>
      <c r="X544" s="12">
        <f>VLOOKUP(Tabla44[[#This Row],[ZONA DEFINITIVO]],[1]Hoja1!$A$1:$D$125,4,0)</f>
        <v>104925</v>
      </c>
      <c r="Y544" s="12" t="str">
        <f>+IF(Tabla44[[#This Row],[AGRUPACIONES]]=1,SUMIFS(Tabla44[UDS],Tabla44[ZONA DEFINITIVO],Tabla44[[#This Row],[ZONA DEFINITIVO]])," ")</f>
        <v xml:space="preserve"> </v>
      </c>
      <c r="Z544" s="12" t="str">
        <f>+IF(Tabla44[[#This Row],[AGRUPACIONES]]=1,SUMIFS(Tabla44[TOTAL COBERTURA],Tabla44[ZONA DEFINITIVO],Tabla44[[#This Row],[ZONA DEFINITIVO]])," ")</f>
        <v xml:space="preserve"> </v>
      </c>
      <c r="AA544" s="12"/>
      <c r="AB544" s="35">
        <v>15193050</v>
      </c>
      <c r="AC544" s="37">
        <v>0</v>
      </c>
      <c r="AD544" s="35">
        <f t="shared" si="9"/>
        <v>0</v>
      </c>
      <c r="AE544" s="12"/>
      <c r="AF544" s="12">
        <f>COUNTIF($A$20:A544,A544)</f>
        <v>48</v>
      </c>
      <c r="AG544" s="38">
        <v>15193050</v>
      </c>
      <c r="AH544" s="38">
        <f>Tabla44[[#This Row],[VALOR CONTRAPARTIDA]]+Tabla44[[#This Row],[TOTAL APORTES ICBF]]</f>
        <v>15193050</v>
      </c>
      <c r="AI544" s="35" t="str">
        <f>+IF(Tabla44[[#This Row],[AGRUPACIONES]]=1,SUMIFS(Tabla44[TOTAL APORTES ICBF],Tabla44[ZONA DEFINITIVO],Tabla44[[#This Row],[ZONA DEFINITIVO]])," ")</f>
        <v xml:space="preserve"> </v>
      </c>
      <c r="AJ544" s="38"/>
      <c r="AK544" s="38"/>
      <c r="AL544" s="35"/>
      <c r="AM544" s="35">
        <f>VLOOKUP(Tabla44[[#This Row],[SERVICIO 2025]],$J$2:$V$15,5,0)*Tabla44[[#This Row],[TOTAL COBERTURA]]</f>
        <v>467440</v>
      </c>
      <c r="AN544" s="35">
        <f>VLOOKUP(Tabla44[[#This Row],[SERVICIO 2025]],$J$2:$V$15,6,0)*Tabla44[[#This Row],[TOTAL COBERTURA]]</f>
        <v>378410</v>
      </c>
      <c r="AO544" s="35">
        <f>VLOOKUP(Tabla44[[#This Row],[SERVICIO 2025]],$J$2:$V$15,8,0)*Tabla44[[#This Row],[TOTAL COBERTURA]]</f>
        <v>0</v>
      </c>
      <c r="AP544" s="35">
        <f>VLOOKUP(Tabla44[[#This Row],[SERVICIO 2025]],$J$2:$V$15,3,0)*Tabla44[[#This Row],[TOTAL COBERTURA]]*8</f>
        <v>14347200</v>
      </c>
      <c r="AQ544" s="35"/>
      <c r="AR544" s="35">
        <f>SUM(Tabla44[[#This Row],[VALOR FASE PREPARATORIA DE ALISTAMIENTO]:[VALOR RACION PREPARADA]])</f>
        <v>15193050</v>
      </c>
      <c r="AS544" s="35" t="str">
        <f>+IF(Tabla44[[#This Row],[AGRUPACIONES]]=1,SUMIFS(Tabla44[VALOR TOTAL],Tabla44[ZONA DEFINITIVO],Tabla44[[#This Row],[ZONA DEFINITIVO]])," ")</f>
        <v xml:space="preserve"> </v>
      </c>
      <c r="AT544" s="35">
        <f>VLOOKUP(Tabla44[[#This Row],[SERVICIO 2025]],$J$2:$V$15,10,0)*Tabla44[[#This Row],[TOTAL COBERTURA]]*$X$7</f>
        <v>15065680</v>
      </c>
      <c r="AU544" s="39">
        <f>Tabla44[[#This Row],[TOTAL CONTRATO (ICBF+EAS)]]+Tabla44[[#This Row],[VALOR COMPONENTE ALIMENTACION NO ASIGNADO]]</f>
        <v>30258730</v>
      </c>
      <c r="AV54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4144050</v>
      </c>
      <c r="AW544" s="35">
        <f>(VLOOKUP(Tabla44[[#This Row],[SERVICIO 2025]],$J$2:$V$15,3,0)*Tabla44[[#This Row],[TOTAL COBERTURA]])+VLOOKUP(Tabla44[[#This Row],[SERVICIO 2025]],$J$2:$V$15,10,0)*Tabla44[[#This Row],[TOTAL COBERTURA]]</f>
        <v>3676610</v>
      </c>
      <c r="AX544" s="35">
        <f>(VLOOKUP(Tabla44[[#This Row],[SERVICIO 2025]],$J$2:$V$15,3,0)*Tabla44[[#This Row],[TOTAL COBERTURA]])+VLOOKUP(Tabla44[[#This Row],[SERVICIO 2025]],$J$2:$V$15,10,0)*Tabla44[[#This Row],[TOTAL COBERTURA]]</f>
        <v>3676610</v>
      </c>
      <c r="AY544" s="35">
        <f>(VLOOKUP(Tabla44[[#This Row],[SERVICIO 2025]],$J$2:$V$15,3,0)*Tabla44[[#This Row],[TOTAL COBERTURA]])+VLOOKUP(Tabla44[[#This Row],[SERVICIO 2025]],$J$2:$V$15,10,0)*Tabla44[[#This Row],[TOTAL COBERTURA]]</f>
        <v>3676610</v>
      </c>
      <c r="AZ544" s="35">
        <f>(VLOOKUP(Tabla44[[#This Row],[SERVICIO 2025]],$J$2:$V$15,3,0)*Tabla44[[#This Row],[TOTAL COBERTURA]])+VLOOKUP(Tabla44[[#This Row],[SERVICIO 2025]],$J$2:$V$15,10,0)*Tabla44[[#This Row],[TOTAL COBERTURA]]</f>
        <v>3676610</v>
      </c>
      <c r="BA544" s="35">
        <f>(VLOOKUP(Tabla44[[#This Row],[SERVICIO 2025]],$J$2:$V$15,3,0)*Tabla44[[#This Row],[TOTAL COBERTURA]])+VLOOKUP(Tabla44[[#This Row],[SERVICIO 2025]],$J$2:$V$15,10,0)*Tabla44[[#This Row],[TOTAL COBERTURA]]</f>
        <v>3676610</v>
      </c>
      <c r="BB544" s="35">
        <f>(VLOOKUP(Tabla44[[#This Row],[SERVICIO 2025]],$J$2:$V$15,3,0)*Tabla44[[#This Row],[TOTAL COBERTURA]])+VLOOKUP(Tabla44[[#This Row],[SERVICIO 2025]],$J$2:$V$15,10,0)*Tabla44[[#This Row],[TOTAL COBERTURA]]</f>
        <v>3676610</v>
      </c>
      <c r="BC54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4055020</v>
      </c>
      <c r="BD544" s="35">
        <f>SUM(Tabla44[[#This Row],[DESEMBOLSO 1]:[DESEMBOLSO 8]])</f>
        <v>30258730</v>
      </c>
      <c r="BE544" s="12" t="b">
        <f>EXACT(Tabla44[[#This Row],[VALOR ATENCIÓN (8 MESES)]],Tabla44[[#This Row],[VALOR TOTAL]])</f>
        <v>1</v>
      </c>
      <c r="BF544" s="23">
        <f>Tabla44[[#This Row],[VALOR ATENCIÓN (8 MESES)]]-Tabla44[[#This Row],[VALOR TOTAL]]</f>
        <v>0</v>
      </c>
      <c r="BG544" s="12" t="b">
        <f>EXACT(Tabla44[[#This Row],[TOTAL DESEMBOLSOS]],Tabla44[[#This Row],[VALOR TOTAL DEL CONTRATO INCLUIDO EL COMPONENTE DE ALIMENTACIÓN]])</f>
        <v>1</v>
      </c>
      <c r="BH544" s="29">
        <f>Tabla44[[#This Row],[TOTAL DESEMBOLSOS]]-Tabla44[[#This Row],[VALOR TOTAL DEL CONTRATO INCLUIDO EL COMPONENTE DE ALIMENTACIÓN]]</f>
        <v>0</v>
      </c>
      <c r="BI544" t="s">
        <v>98</v>
      </c>
    </row>
    <row r="545" spans="1:61">
      <c r="A545" s="13">
        <v>2032</v>
      </c>
      <c r="B545" s="13"/>
      <c r="C545" s="12" t="s">
        <v>87</v>
      </c>
      <c r="D545" s="12" t="s">
        <v>3854</v>
      </c>
      <c r="E545" s="12" t="s">
        <v>2847</v>
      </c>
      <c r="F545" s="12" t="s">
        <v>22</v>
      </c>
      <c r="G545" s="12" t="s">
        <v>90</v>
      </c>
      <c r="H545" s="12" t="s">
        <v>3855</v>
      </c>
      <c r="I545" s="36">
        <v>50011113579</v>
      </c>
      <c r="J545" s="12" t="s">
        <v>3856</v>
      </c>
      <c r="K545" s="12">
        <v>1</v>
      </c>
      <c r="L545" s="12">
        <v>37</v>
      </c>
      <c r="M545" s="12"/>
      <c r="N545" s="13">
        <v>2032</v>
      </c>
      <c r="O545" s="12" t="s">
        <v>2850</v>
      </c>
      <c r="P545" s="12"/>
      <c r="Q545" s="12"/>
      <c r="R545" s="12" t="s">
        <v>94</v>
      </c>
      <c r="S545" s="12">
        <v>10</v>
      </c>
      <c r="T545" s="12">
        <v>800055665</v>
      </c>
      <c r="U545" s="12" t="s">
        <v>3857</v>
      </c>
      <c r="V545" s="12">
        <f>VLOOKUP(Tabla44[[#This Row],[ZONA DEFINITIVO]],[1]Hoja1!$A$1:$D$125,3,0)</f>
        <v>229948</v>
      </c>
      <c r="W545" s="12">
        <f>VLOOKUP(Tabla44[[#This Row],[ZONA DEFINITIVO]],[1]Hoja1!$A$1:$D$125,2,0)</f>
        <v>17272</v>
      </c>
      <c r="X545" s="12">
        <f>VLOOKUP(Tabla44[[#This Row],[ZONA DEFINITIVO]],[1]Hoja1!$A$1:$D$125,4,0)</f>
        <v>105525</v>
      </c>
      <c r="Y545" s="12">
        <f>+IF(Tabla44[[#This Row],[AGRUPACIONES]]=1,SUMIFS(Tabla44[UDS],Tabla44[ZONA DEFINITIVO],Tabla44[[#This Row],[ZONA DEFINITIVO]])," ")</f>
        <v>3</v>
      </c>
      <c r="Z545" s="12">
        <f>+IF(Tabla44[[#This Row],[AGRUPACIONES]]=1,SUMIFS(Tabla44[TOTAL COBERTURA],Tabla44[ZONA DEFINITIVO],Tabla44[[#This Row],[ZONA DEFINITIVO]])," ")</f>
        <v>123</v>
      </c>
      <c r="AA545" s="12"/>
      <c r="AB545" s="35">
        <v>154987450</v>
      </c>
      <c r="AC545" s="37">
        <v>0</v>
      </c>
      <c r="AD545" s="35">
        <f t="shared" si="9"/>
        <v>0</v>
      </c>
      <c r="AE545" s="12"/>
      <c r="AF545" s="12">
        <f>COUNTIF($A$20:A545,A545)</f>
        <v>1</v>
      </c>
      <c r="AG545" s="38">
        <v>154987450</v>
      </c>
      <c r="AH545" s="38">
        <f>Tabla44[[#This Row],[VALOR CONTRAPARTIDA]]+Tabla44[[#This Row],[TOTAL APORTES ICBF]]</f>
        <v>154987450</v>
      </c>
      <c r="AI545" s="35">
        <f>+IF(Tabla44[[#This Row],[AGRUPACIONES]]=1,SUMIFS(Tabla44[TOTAL APORTES ICBF],Tabla44[ZONA DEFINITIVO],Tabla44[[#This Row],[ZONA DEFINITIVO]])," ")</f>
        <v>515228550</v>
      </c>
      <c r="AJ545" s="38">
        <f>ROUND(+IF(Tabla44[[#This Row],[AGRUPACIONES]]=1,SUMIFS(Tabla44[VALOR CONTRAPARTIDA],Tabla44[ZONA DEFINITIVO],Tabla44[[#This Row],[ZONA DEFINITIVO]])," "),0)</f>
        <v>0</v>
      </c>
      <c r="AK545" s="38">
        <f>Tabla44[[#This Row],[TOTAL APORTES ICBF AGRUPADO]]+Tabla44[[#This Row],[TOTAL CONTRAPARTIDA AGRUPADO]]</f>
        <v>515228550</v>
      </c>
      <c r="AL545" s="35">
        <f>Tabla44[[#This Row],[TOTAL APORTES ICBF AGRUPADO]]/$AL$18</f>
        <v>361.94488935721813</v>
      </c>
      <c r="AM545" s="35">
        <f>VLOOKUP(Tabla44[[#This Row],[SERVICIO 2025]],$J$2:$V$15,5,0)*Tabla44[[#This Row],[TOTAL COBERTURA]]</f>
        <v>3261291</v>
      </c>
      <c r="AN545" s="35">
        <f>VLOOKUP(Tabla44[[#This Row],[SERVICIO 2025]],$J$2:$V$15,6,0)*Tabla44[[#This Row],[TOTAL COBERTURA]]</f>
        <v>2776591</v>
      </c>
      <c r="AO545" s="35">
        <f>VLOOKUP(Tabla44[[#This Row],[SERVICIO 2025]],$J$2:$V$15,8,0)*Tabla44[[#This Row],[TOTAL COBERTURA]]</f>
        <v>0</v>
      </c>
      <c r="AP545" s="35">
        <f>VLOOKUP(Tabla44[[#This Row],[SERVICIO 2025]],$J$2:$V$15,3,0)*Tabla44[[#This Row],[TOTAL COBERTURA]]*8</f>
        <v>148949568</v>
      </c>
      <c r="AQ545" s="35"/>
      <c r="AR545" s="35">
        <f>SUM(Tabla44[[#This Row],[VALOR FASE PREPARATORIA DE ALISTAMIENTO]:[VALOR RACION PREPARADA]])</f>
        <v>154987450</v>
      </c>
      <c r="AS545" s="35">
        <f>+IF(Tabla44[[#This Row],[AGRUPACIONES]]=1,SUMIFS(Tabla44[VALOR TOTAL],Tabla44[ZONA DEFINITIVO],Tabla44[[#This Row],[ZONA DEFINITIVO]])," ")</f>
        <v>515228550</v>
      </c>
      <c r="AT545" s="35">
        <f>VLOOKUP(Tabla44[[#This Row],[SERVICIO 2025]],$J$2:$V$15,10,0)*Tabla44[[#This Row],[TOTAL COBERTURA]]*$X$7</f>
        <v>0</v>
      </c>
      <c r="AU545" s="39">
        <f>Tabla44[[#This Row],[TOTAL CONTRATO (ICBF+EAS)]]+Tabla44[[#This Row],[VALOR COMPONENTE ALIMENTACION NO ASIGNADO]]</f>
        <v>154987450</v>
      </c>
      <c r="AV54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21879987</v>
      </c>
      <c r="AW545" s="35">
        <f>(VLOOKUP(Tabla44[[#This Row],[SERVICIO 2025]],$J$2:$V$15,3,0)*Tabla44[[#This Row],[TOTAL COBERTURA]])+VLOOKUP(Tabla44[[#This Row],[SERVICIO 2025]],$J$2:$V$15,10,0)*Tabla44[[#This Row],[TOTAL COBERTURA]]</f>
        <v>18618696</v>
      </c>
      <c r="AX545" s="35">
        <f>(VLOOKUP(Tabla44[[#This Row],[SERVICIO 2025]],$J$2:$V$15,3,0)*Tabla44[[#This Row],[TOTAL COBERTURA]])+VLOOKUP(Tabla44[[#This Row],[SERVICIO 2025]],$J$2:$V$15,10,0)*Tabla44[[#This Row],[TOTAL COBERTURA]]</f>
        <v>18618696</v>
      </c>
      <c r="AY545" s="35">
        <f>(VLOOKUP(Tabla44[[#This Row],[SERVICIO 2025]],$J$2:$V$15,3,0)*Tabla44[[#This Row],[TOTAL COBERTURA]])+VLOOKUP(Tabla44[[#This Row],[SERVICIO 2025]],$J$2:$V$15,10,0)*Tabla44[[#This Row],[TOTAL COBERTURA]]</f>
        <v>18618696</v>
      </c>
      <c r="AZ545" s="35">
        <f>(VLOOKUP(Tabla44[[#This Row],[SERVICIO 2025]],$J$2:$V$15,3,0)*Tabla44[[#This Row],[TOTAL COBERTURA]])+VLOOKUP(Tabla44[[#This Row],[SERVICIO 2025]],$J$2:$V$15,10,0)*Tabla44[[#This Row],[TOTAL COBERTURA]]</f>
        <v>18618696</v>
      </c>
      <c r="BA545" s="35">
        <f>(VLOOKUP(Tabla44[[#This Row],[SERVICIO 2025]],$J$2:$V$15,3,0)*Tabla44[[#This Row],[TOTAL COBERTURA]])+VLOOKUP(Tabla44[[#This Row],[SERVICIO 2025]],$J$2:$V$15,10,0)*Tabla44[[#This Row],[TOTAL COBERTURA]]</f>
        <v>18618696</v>
      </c>
      <c r="BB545" s="35">
        <f>(VLOOKUP(Tabla44[[#This Row],[SERVICIO 2025]],$J$2:$V$15,3,0)*Tabla44[[#This Row],[TOTAL COBERTURA]])+VLOOKUP(Tabla44[[#This Row],[SERVICIO 2025]],$J$2:$V$15,10,0)*Tabla44[[#This Row],[TOTAL COBERTURA]]</f>
        <v>18618696</v>
      </c>
      <c r="BC545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21395287</v>
      </c>
      <c r="BD545" s="35">
        <f>SUM(Tabla44[[#This Row],[DESEMBOLSO 1]:[DESEMBOLSO 8]])</f>
        <v>154987450</v>
      </c>
      <c r="BE545" s="12" t="b">
        <f>EXACT(Tabla44[[#This Row],[VALOR ATENCIÓN (8 MESES)]],Tabla44[[#This Row],[VALOR TOTAL]])</f>
        <v>1</v>
      </c>
      <c r="BF545" s="23">
        <f>Tabla44[[#This Row],[VALOR ATENCIÓN (8 MESES)]]-Tabla44[[#This Row],[VALOR TOTAL]]</f>
        <v>0</v>
      </c>
      <c r="BG545" s="12" t="b">
        <f>EXACT(Tabla44[[#This Row],[TOTAL DESEMBOLSOS]],Tabla44[[#This Row],[VALOR TOTAL DEL CONTRATO INCLUIDO EL COMPONENTE DE ALIMENTACIÓN]])</f>
        <v>1</v>
      </c>
      <c r="BH545" s="29">
        <f>Tabla44[[#This Row],[TOTAL DESEMBOLSOS]]-Tabla44[[#This Row],[VALOR TOTAL DEL CONTRATO INCLUIDO EL COMPONENTE DE ALIMENTACIÓN]]</f>
        <v>0</v>
      </c>
      <c r="BI545" t="s">
        <v>98</v>
      </c>
    </row>
    <row r="546" spans="1:61">
      <c r="A546" s="13">
        <v>2032</v>
      </c>
      <c r="B546" s="13"/>
      <c r="C546" s="12" t="s">
        <v>87</v>
      </c>
      <c r="D546" s="12" t="s">
        <v>3854</v>
      </c>
      <c r="E546" s="12" t="s">
        <v>2847</v>
      </c>
      <c r="F546" s="12" t="s">
        <v>22</v>
      </c>
      <c r="G546" s="12" t="s">
        <v>90</v>
      </c>
      <c r="H546" s="12" t="s">
        <v>3858</v>
      </c>
      <c r="I546" s="36">
        <v>500100067255</v>
      </c>
      <c r="J546" s="12" t="s">
        <v>3859</v>
      </c>
      <c r="K546" s="12">
        <v>1</v>
      </c>
      <c r="L546" s="12">
        <v>27</v>
      </c>
      <c r="M546" s="12"/>
      <c r="N546" s="13">
        <v>2032</v>
      </c>
      <c r="O546" s="12" t="s">
        <v>2850</v>
      </c>
      <c r="P546" s="12"/>
      <c r="Q546" s="12"/>
      <c r="R546" s="12" t="s">
        <v>94</v>
      </c>
      <c r="S546" s="12">
        <v>10</v>
      </c>
      <c r="T546" s="12">
        <v>800055665</v>
      </c>
      <c r="U546" s="12" t="s">
        <v>3857</v>
      </c>
      <c r="V546" s="12">
        <f>VLOOKUP(Tabla44[[#This Row],[ZONA DEFINITIVO]],[1]Hoja1!$A$1:$D$125,3,0)</f>
        <v>229948</v>
      </c>
      <c r="W546" s="12">
        <f>VLOOKUP(Tabla44[[#This Row],[ZONA DEFINITIVO]],[1]Hoja1!$A$1:$D$125,2,0)</f>
        <v>17272</v>
      </c>
      <c r="X546" s="12">
        <f>VLOOKUP(Tabla44[[#This Row],[ZONA DEFINITIVO]],[1]Hoja1!$A$1:$D$125,4,0)</f>
        <v>105525</v>
      </c>
      <c r="Y546" s="12" t="str">
        <f>+IF(Tabla44[[#This Row],[AGRUPACIONES]]=1,SUMIFS(Tabla44[UDS],Tabla44[ZONA DEFINITIVO],Tabla44[[#This Row],[ZONA DEFINITIVO]])," ")</f>
        <v xml:space="preserve"> </v>
      </c>
      <c r="Z546" s="12" t="str">
        <f>+IF(Tabla44[[#This Row],[AGRUPACIONES]]=1,SUMIFS(Tabla44[TOTAL COBERTURA],Tabla44[ZONA DEFINITIVO],Tabla44[[#This Row],[ZONA DEFINITIVO]])," ")</f>
        <v xml:space="preserve"> </v>
      </c>
      <c r="AA546" s="12"/>
      <c r="AB546" s="35">
        <v>113098950</v>
      </c>
      <c r="AC546" s="37">
        <v>0</v>
      </c>
      <c r="AD546" s="35">
        <f t="shared" si="9"/>
        <v>0</v>
      </c>
      <c r="AE546" s="12"/>
      <c r="AF546" s="12">
        <f>COUNTIF($A$20:A546,A546)</f>
        <v>2</v>
      </c>
      <c r="AG546" s="38">
        <v>113098950</v>
      </c>
      <c r="AH546" s="38">
        <f>Tabla44[[#This Row],[VALOR CONTRAPARTIDA]]+Tabla44[[#This Row],[TOTAL APORTES ICBF]]</f>
        <v>113098950</v>
      </c>
      <c r="AI546" s="35" t="str">
        <f>+IF(Tabla44[[#This Row],[AGRUPACIONES]]=1,SUMIFS(Tabla44[TOTAL APORTES ICBF],Tabla44[ZONA DEFINITIVO],Tabla44[[#This Row],[ZONA DEFINITIVO]])," ")</f>
        <v xml:space="preserve"> </v>
      </c>
      <c r="AJ546" s="38"/>
      <c r="AK546" s="38"/>
      <c r="AL546" s="35"/>
      <c r="AM546" s="35">
        <f>VLOOKUP(Tabla44[[#This Row],[SERVICIO 2025]],$J$2:$V$15,5,0)*Tabla44[[#This Row],[TOTAL COBERTURA]]</f>
        <v>2379861</v>
      </c>
      <c r="AN546" s="35">
        <f>VLOOKUP(Tabla44[[#This Row],[SERVICIO 2025]],$J$2:$V$15,6,0)*Tabla44[[#This Row],[TOTAL COBERTURA]]</f>
        <v>2026161</v>
      </c>
      <c r="AO546" s="35">
        <f>VLOOKUP(Tabla44[[#This Row],[SERVICIO 2025]],$J$2:$V$15,8,0)*Tabla44[[#This Row],[TOTAL COBERTURA]]</f>
        <v>0</v>
      </c>
      <c r="AP546" s="35">
        <f>VLOOKUP(Tabla44[[#This Row],[SERVICIO 2025]],$J$2:$V$15,3,0)*Tabla44[[#This Row],[TOTAL COBERTURA]]*8</f>
        <v>108692928</v>
      </c>
      <c r="AQ546" s="35"/>
      <c r="AR546" s="35">
        <f>SUM(Tabla44[[#This Row],[VALOR FASE PREPARATORIA DE ALISTAMIENTO]:[VALOR RACION PREPARADA]])</f>
        <v>113098950</v>
      </c>
      <c r="AS546" s="35" t="str">
        <f>+IF(Tabla44[[#This Row],[AGRUPACIONES]]=1,SUMIFS(Tabla44[VALOR TOTAL],Tabla44[ZONA DEFINITIVO],Tabla44[[#This Row],[ZONA DEFINITIVO]])," ")</f>
        <v xml:space="preserve"> </v>
      </c>
      <c r="AT546" s="35">
        <f>VLOOKUP(Tabla44[[#This Row],[SERVICIO 2025]],$J$2:$V$15,10,0)*Tabla44[[#This Row],[TOTAL COBERTURA]]*$X$7</f>
        <v>0</v>
      </c>
      <c r="AU546" s="39">
        <f>Tabla44[[#This Row],[TOTAL CONTRATO (ICBF+EAS)]]+Tabla44[[#This Row],[VALOR COMPONENTE ALIMENTACION NO ASIGNADO]]</f>
        <v>113098950</v>
      </c>
      <c r="AV54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15966477</v>
      </c>
      <c r="AW546" s="35">
        <f>(VLOOKUP(Tabla44[[#This Row],[SERVICIO 2025]],$J$2:$V$15,3,0)*Tabla44[[#This Row],[TOTAL COBERTURA]])+VLOOKUP(Tabla44[[#This Row],[SERVICIO 2025]],$J$2:$V$15,10,0)*Tabla44[[#This Row],[TOTAL COBERTURA]]</f>
        <v>13586616</v>
      </c>
      <c r="AX546" s="35">
        <f>(VLOOKUP(Tabla44[[#This Row],[SERVICIO 2025]],$J$2:$V$15,3,0)*Tabla44[[#This Row],[TOTAL COBERTURA]])+VLOOKUP(Tabla44[[#This Row],[SERVICIO 2025]],$J$2:$V$15,10,0)*Tabla44[[#This Row],[TOTAL COBERTURA]]</f>
        <v>13586616</v>
      </c>
      <c r="AY546" s="35">
        <f>(VLOOKUP(Tabla44[[#This Row],[SERVICIO 2025]],$J$2:$V$15,3,0)*Tabla44[[#This Row],[TOTAL COBERTURA]])+VLOOKUP(Tabla44[[#This Row],[SERVICIO 2025]],$J$2:$V$15,10,0)*Tabla44[[#This Row],[TOTAL COBERTURA]]</f>
        <v>13586616</v>
      </c>
      <c r="AZ546" s="35">
        <f>(VLOOKUP(Tabla44[[#This Row],[SERVICIO 2025]],$J$2:$V$15,3,0)*Tabla44[[#This Row],[TOTAL COBERTURA]])+VLOOKUP(Tabla44[[#This Row],[SERVICIO 2025]],$J$2:$V$15,10,0)*Tabla44[[#This Row],[TOTAL COBERTURA]]</f>
        <v>13586616</v>
      </c>
      <c r="BA546" s="35">
        <f>(VLOOKUP(Tabla44[[#This Row],[SERVICIO 2025]],$J$2:$V$15,3,0)*Tabla44[[#This Row],[TOTAL COBERTURA]])+VLOOKUP(Tabla44[[#This Row],[SERVICIO 2025]],$J$2:$V$15,10,0)*Tabla44[[#This Row],[TOTAL COBERTURA]]</f>
        <v>13586616</v>
      </c>
      <c r="BB546" s="35">
        <f>(VLOOKUP(Tabla44[[#This Row],[SERVICIO 2025]],$J$2:$V$15,3,0)*Tabla44[[#This Row],[TOTAL COBERTURA]])+VLOOKUP(Tabla44[[#This Row],[SERVICIO 2025]],$J$2:$V$15,10,0)*Tabla44[[#This Row],[TOTAL COBERTURA]]</f>
        <v>13586616</v>
      </c>
      <c r="BC54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15612777</v>
      </c>
      <c r="BD546" s="35">
        <f>SUM(Tabla44[[#This Row],[DESEMBOLSO 1]:[DESEMBOLSO 8]])</f>
        <v>113098950</v>
      </c>
      <c r="BE546" s="12" t="b">
        <f>EXACT(Tabla44[[#This Row],[VALOR ATENCIÓN (8 MESES)]],Tabla44[[#This Row],[VALOR TOTAL]])</f>
        <v>1</v>
      </c>
      <c r="BF546" s="23">
        <f>Tabla44[[#This Row],[VALOR ATENCIÓN (8 MESES)]]-Tabla44[[#This Row],[VALOR TOTAL]]</f>
        <v>0</v>
      </c>
      <c r="BG546" s="12" t="b">
        <f>EXACT(Tabla44[[#This Row],[TOTAL DESEMBOLSOS]],Tabla44[[#This Row],[VALOR TOTAL DEL CONTRATO INCLUIDO EL COMPONENTE DE ALIMENTACIÓN]])</f>
        <v>1</v>
      </c>
      <c r="BH546" s="29">
        <f>Tabla44[[#This Row],[TOTAL DESEMBOLSOS]]-Tabla44[[#This Row],[VALOR TOTAL DEL CONTRATO INCLUIDO EL COMPONENTE DE ALIMENTACIÓN]]</f>
        <v>0</v>
      </c>
      <c r="BI546" t="s">
        <v>98</v>
      </c>
    </row>
    <row r="547" spans="1:61">
      <c r="A547" s="21">
        <v>2032</v>
      </c>
      <c r="B547" s="21"/>
      <c r="C547" s="22" t="s">
        <v>87</v>
      </c>
      <c r="D547" s="22" t="s">
        <v>3854</v>
      </c>
      <c r="E547" s="22" t="s">
        <v>2847</v>
      </c>
      <c r="F547" s="22" t="s">
        <v>22</v>
      </c>
      <c r="G547" s="12" t="s">
        <v>90</v>
      </c>
      <c r="H547" s="22" t="s">
        <v>3860</v>
      </c>
      <c r="I547" s="36">
        <v>500100078146</v>
      </c>
      <c r="J547" s="22" t="s">
        <v>3861</v>
      </c>
      <c r="K547" s="12">
        <v>1</v>
      </c>
      <c r="L547" s="22">
        <v>59</v>
      </c>
      <c r="M547" s="22"/>
      <c r="N547" s="21">
        <v>2032</v>
      </c>
      <c r="O547" s="22" t="s">
        <v>2850</v>
      </c>
      <c r="P547" s="22"/>
      <c r="Q547" s="22"/>
      <c r="R547" s="12" t="s">
        <v>94</v>
      </c>
      <c r="S547" s="12">
        <v>10</v>
      </c>
      <c r="T547" s="12">
        <v>800055665</v>
      </c>
      <c r="U547" s="12" t="s">
        <v>3857</v>
      </c>
      <c r="V547" s="22">
        <f>VLOOKUP(Tabla44[[#This Row],[ZONA DEFINITIVO]],[1]Hoja1!$A$1:$D$125,3,0)</f>
        <v>229948</v>
      </c>
      <c r="W547" s="22">
        <f>VLOOKUP(Tabla44[[#This Row],[ZONA DEFINITIVO]],[1]Hoja1!$A$1:$D$125,2,0)</f>
        <v>17272</v>
      </c>
      <c r="X547" s="22">
        <f>VLOOKUP(Tabla44[[#This Row],[ZONA DEFINITIVO]],[1]Hoja1!$A$1:$D$125,4,0)</f>
        <v>105525</v>
      </c>
      <c r="Y547" s="22" t="str">
        <f>+IF(Tabla44[[#This Row],[AGRUPACIONES]]=1,SUMIFS(Tabla44[UDS],Tabla44[ZONA DEFINITIVO],Tabla44[[#This Row],[ZONA DEFINITIVO]])," ")</f>
        <v xml:space="preserve"> </v>
      </c>
      <c r="Z547" s="22" t="str">
        <f>+IF(Tabla44[[#This Row],[AGRUPACIONES]]=1,SUMIFS(Tabla44[TOTAL COBERTURA],Tabla44[ZONA DEFINITIVO],Tabla44[[#This Row],[ZONA DEFINITIVO]])," ")</f>
        <v xml:space="preserve"> </v>
      </c>
      <c r="AA547" s="22"/>
      <c r="AB547" s="40">
        <v>247142150</v>
      </c>
      <c r="AC547" s="37">
        <v>0</v>
      </c>
      <c r="AD547" s="40">
        <f t="shared" si="9"/>
        <v>0</v>
      </c>
      <c r="AE547" s="22"/>
      <c r="AF547" s="12">
        <f>COUNTIF($A$20:A547,A547)</f>
        <v>3</v>
      </c>
      <c r="AG547" s="41">
        <v>247142150</v>
      </c>
      <c r="AH547" s="41">
        <f>Tabla44[[#This Row],[VALOR CONTRAPARTIDA]]+Tabla44[[#This Row],[TOTAL APORTES ICBF]]</f>
        <v>247142150</v>
      </c>
      <c r="AI547" s="40" t="str">
        <f>+IF(Tabla44[[#This Row],[AGRUPACIONES]]=1,SUMIFS(Tabla44[TOTAL APORTES ICBF],Tabla44[ZONA DEFINITIVO],Tabla44[[#This Row],[ZONA DEFINITIVO]])," ")</f>
        <v xml:space="preserve"> </v>
      </c>
      <c r="AJ547" s="41"/>
      <c r="AK547" s="41"/>
      <c r="AL547" s="40"/>
      <c r="AM547" s="40">
        <f>VLOOKUP(Tabla44[[#This Row],[SERVICIO 2025]],$J$2:$V$15,5,0)*Tabla44[[#This Row],[TOTAL COBERTURA]]</f>
        <v>5200437</v>
      </c>
      <c r="AN547" s="40">
        <f>VLOOKUP(Tabla44[[#This Row],[SERVICIO 2025]],$J$2:$V$15,6,0)*Tabla44[[#This Row],[TOTAL COBERTURA]]</f>
        <v>4427537</v>
      </c>
      <c r="AO547" s="40">
        <f>VLOOKUP(Tabla44[[#This Row],[SERVICIO 2025]],$J$2:$V$15,8,0)*Tabla44[[#This Row],[TOTAL COBERTURA]]</f>
        <v>0</v>
      </c>
      <c r="AP547" s="40">
        <f>VLOOKUP(Tabla44[[#This Row],[SERVICIO 2025]],$J$2:$V$15,3,0)*Tabla44[[#This Row],[TOTAL COBERTURA]]*8</f>
        <v>237514176</v>
      </c>
      <c r="AQ547" s="40"/>
      <c r="AR547" s="40">
        <f>SUM(Tabla44[[#This Row],[VALOR FASE PREPARATORIA DE ALISTAMIENTO]:[VALOR RACION PREPARADA]])</f>
        <v>247142150</v>
      </c>
      <c r="AS547" s="40" t="str">
        <f>+IF(Tabla44[[#This Row],[AGRUPACIONES]]=1,SUMIFS(Tabla44[VALOR TOTAL],Tabla44[ZONA DEFINITIVO],Tabla44[[#This Row],[ZONA DEFINITIVO]])," ")</f>
        <v xml:space="preserve"> </v>
      </c>
      <c r="AT547" s="35">
        <f>VLOOKUP(Tabla44[[#This Row],[SERVICIO 2025]],$J$2:$V$15,10,0)*Tabla44[[#This Row],[TOTAL COBERTURA]]*$X$7</f>
        <v>0</v>
      </c>
      <c r="AU547" s="42">
        <f>Tabla44[[#This Row],[TOTAL CONTRATO (ICBF+EAS)]]+Tabla44[[#This Row],[VALOR COMPONENTE ALIMENTACION NO ASIGNADO]]</f>
        <v>247142150</v>
      </c>
      <c r="AV54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34889709</v>
      </c>
      <c r="AW547" s="35">
        <f>(VLOOKUP(Tabla44[[#This Row],[SERVICIO 2025]],$J$2:$V$15,3,0)*Tabla44[[#This Row],[TOTAL COBERTURA]])+VLOOKUP(Tabla44[[#This Row],[SERVICIO 2025]],$J$2:$V$15,10,0)*Tabla44[[#This Row],[TOTAL COBERTURA]]</f>
        <v>29689272</v>
      </c>
      <c r="AX547" s="40">
        <f>(VLOOKUP(Tabla44[[#This Row],[SERVICIO 2025]],$J$2:$V$15,3,0)*Tabla44[[#This Row],[TOTAL COBERTURA]])+VLOOKUP(Tabla44[[#This Row],[SERVICIO 2025]],$J$2:$V$15,10,0)*Tabla44[[#This Row],[TOTAL COBERTURA]]</f>
        <v>29689272</v>
      </c>
      <c r="AY547" s="40">
        <f>(VLOOKUP(Tabla44[[#This Row],[SERVICIO 2025]],$J$2:$V$15,3,0)*Tabla44[[#This Row],[TOTAL COBERTURA]])+VLOOKUP(Tabla44[[#This Row],[SERVICIO 2025]],$J$2:$V$15,10,0)*Tabla44[[#This Row],[TOTAL COBERTURA]]</f>
        <v>29689272</v>
      </c>
      <c r="AZ547" s="40">
        <f>(VLOOKUP(Tabla44[[#This Row],[SERVICIO 2025]],$J$2:$V$15,3,0)*Tabla44[[#This Row],[TOTAL COBERTURA]])+VLOOKUP(Tabla44[[#This Row],[SERVICIO 2025]],$J$2:$V$15,10,0)*Tabla44[[#This Row],[TOTAL COBERTURA]]</f>
        <v>29689272</v>
      </c>
      <c r="BA547" s="40">
        <f>(VLOOKUP(Tabla44[[#This Row],[SERVICIO 2025]],$J$2:$V$15,3,0)*Tabla44[[#This Row],[TOTAL COBERTURA]])+VLOOKUP(Tabla44[[#This Row],[SERVICIO 2025]],$J$2:$V$15,10,0)*Tabla44[[#This Row],[TOTAL COBERTURA]]</f>
        <v>29689272</v>
      </c>
      <c r="BB547" s="40">
        <f>(VLOOKUP(Tabla44[[#This Row],[SERVICIO 2025]],$J$2:$V$15,3,0)*Tabla44[[#This Row],[TOTAL COBERTURA]])+VLOOKUP(Tabla44[[#This Row],[SERVICIO 2025]],$J$2:$V$15,10,0)*Tabla44[[#This Row],[TOTAL COBERTURA]]</f>
        <v>29689272</v>
      </c>
      <c r="BC547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34116809</v>
      </c>
      <c r="BD547" s="40">
        <f>SUM(Tabla44[[#This Row],[DESEMBOLSO 1]:[DESEMBOLSO 8]])</f>
        <v>247142150</v>
      </c>
      <c r="BE547" s="22" t="b">
        <f>EXACT(Tabla44[[#This Row],[VALOR ATENCIÓN (8 MESES)]],Tabla44[[#This Row],[VALOR TOTAL]])</f>
        <v>1</v>
      </c>
      <c r="BF547" s="28">
        <f>Tabla44[[#This Row],[VALOR ATENCIÓN (8 MESES)]]-Tabla44[[#This Row],[VALOR TOTAL]]</f>
        <v>0</v>
      </c>
      <c r="BG547" s="22" t="b">
        <f>EXACT(Tabla44[[#This Row],[TOTAL DESEMBOLSOS]],Tabla44[[#This Row],[VALOR TOTAL DEL CONTRATO INCLUIDO EL COMPONENTE DE ALIMENTACIÓN]])</f>
        <v>1</v>
      </c>
      <c r="BH547" s="29">
        <f>Tabla44[[#This Row],[TOTAL DESEMBOLSOS]]-Tabla44[[#This Row],[VALOR TOTAL DEL CONTRATO INCLUIDO EL COMPONENTE DE ALIMENTACIÓN]]</f>
        <v>0</v>
      </c>
      <c r="BI547" t="s">
        <v>98</v>
      </c>
    </row>
    <row r="548" spans="1:61">
      <c r="A548" s="13">
        <v>2033</v>
      </c>
      <c r="B548" s="13"/>
      <c r="C548" s="12" t="s">
        <v>87</v>
      </c>
      <c r="D548" s="12" t="s">
        <v>527</v>
      </c>
      <c r="E548" s="12" t="s">
        <v>3862</v>
      </c>
      <c r="F548" s="12" t="s">
        <v>21</v>
      </c>
      <c r="G548" s="12" t="s">
        <v>90</v>
      </c>
      <c r="H548" s="12" t="s">
        <v>3254</v>
      </c>
      <c r="I548" s="36">
        <v>50211114778</v>
      </c>
      <c r="J548" s="12" t="s">
        <v>3863</v>
      </c>
      <c r="K548" s="12">
        <v>1</v>
      </c>
      <c r="L548" s="12">
        <v>46</v>
      </c>
      <c r="M548" s="12"/>
      <c r="N548" s="13">
        <v>2033</v>
      </c>
      <c r="O548" s="12" t="s">
        <v>2850</v>
      </c>
      <c r="P548" s="12"/>
      <c r="Q548" s="12"/>
      <c r="R548" s="12" t="s">
        <v>94</v>
      </c>
      <c r="S548" s="12">
        <v>10</v>
      </c>
      <c r="T548" s="12">
        <v>800069965</v>
      </c>
      <c r="U548" s="12" t="s">
        <v>3864</v>
      </c>
      <c r="V548" s="12">
        <f>VLOOKUP(Tabla44[[#This Row],[ZONA DEFINITIVO]],[1]Hoja1!$A$1:$D$125,3,0)</f>
        <v>229949</v>
      </c>
      <c r="W548" s="12">
        <f>VLOOKUP(Tabla44[[#This Row],[ZONA DEFINITIVO]],[1]Hoja1!$A$1:$D$125,2,0)</f>
        <v>17270</v>
      </c>
      <c r="X548" s="12">
        <f>VLOOKUP(Tabla44[[#This Row],[ZONA DEFINITIVO]],[1]Hoja1!$A$1:$D$125,4,0)</f>
        <v>105425</v>
      </c>
      <c r="Y548" s="12">
        <f>+IF(Tabla44[[#This Row],[AGRUPACIONES]]=1,SUMIFS(Tabla44[UDS],Tabla44[ZONA DEFINITIVO],Tabla44[[#This Row],[ZONA DEFINITIVO]])," ")</f>
        <v>14</v>
      </c>
      <c r="Z548" s="12">
        <f>+IF(Tabla44[[#This Row],[AGRUPACIONES]]=1,SUMIFS(Tabla44[TOTAL COBERTURA],Tabla44[ZONA DEFINITIVO],Tabla44[[#This Row],[ZONA DEFINITIVO]])," ")</f>
        <v>764</v>
      </c>
      <c r="AA548" s="12"/>
      <c r="AB548" s="35">
        <v>69888030</v>
      </c>
      <c r="AC548" s="37">
        <v>0</v>
      </c>
      <c r="AD548" s="35">
        <f t="shared" si="9"/>
        <v>0</v>
      </c>
      <c r="AE548" s="12"/>
      <c r="AF548" s="12">
        <f>COUNTIF($A$20:A548,A548)</f>
        <v>1</v>
      </c>
      <c r="AG548" s="38">
        <v>69888030</v>
      </c>
      <c r="AH548" s="38">
        <f>Tabla44[[#This Row],[VALOR CONTRAPARTIDA]]+Tabla44[[#This Row],[TOTAL APORTES ICBF]]</f>
        <v>69888030</v>
      </c>
      <c r="AI548" s="35">
        <f>+IF(Tabla44[[#This Row],[AGRUPACIONES]]=1,SUMIFS(Tabla44[TOTAL APORTES ICBF],Tabla44[ZONA DEFINITIVO],Tabla44[[#This Row],[ZONA DEFINITIVO]])," ")</f>
        <v>1700815730</v>
      </c>
      <c r="AJ548" s="38">
        <f>ROUND(+IF(Tabla44[[#This Row],[AGRUPACIONES]]=1,SUMIFS(Tabla44[VALOR CONTRAPARTIDA],Tabla44[ZONA DEFINITIVO],Tabla44[[#This Row],[ZONA DEFINITIVO]])," "),0)</f>
        <v>0</v>
      </c>
      <c r="AK548" s="38">
        <f>Tabla44[[#This Row],[TOTAL APORTES ICBF AGRUPADO]]+Tabla44[[#This Row],[TOTAL CONTRAPARTIDA AGRUPADO]]</f>
        <v>1700815730</v>
      </c>
      <c r="AL548" s="35">
        <f>Tabla44[[#This Row],[TOTAL APORTES ICBF AGRUPADO]]/$AL$18</f>
        <v>1194.8125957147874</v>
      </c>
      <c r="AM548" s="35">
        <f>VLOOKUP(Tabla44[[#This Row],[SERVICIO 2025]],$J$2:$V$15,5,0)*Tabla44[[#This Row],[TOTAL COBERTURA]]</f>
        <v>2150224</v>
      </c>
      <c r="AN548" s="35">
        <f>VLOOKUP(Tabla44[[#This Row],[SERVICIO 2025]],$J$2:$V$15,6,0)*Tabla44[[#This Row],[TOTAL COBERTURA]]</f>
        <v>1740686</v>
      </c>
      <c r="AO548" s="35">
        <f>VLOOKUP(Tabla44[[#This Row],[SERVICIO 2025]],$J$2:$V$15,8,0)*Tabla44[[#This Row],[TOTAL COBERTURA]]</f>
        <v>0</v>
      </c>
      <c r="AP548" s="35">
        <f>VLOOKUP(Tabla44[[#This Row],[SERVICIO 2025]],$J$2:$V$15,3,0)*Tabla44[[#This Row],[TOTAL COBERTURA]]*8</f>
        <v>65997120</v>
      </c>
      <c r="AQ548" s="35"/>
      <c r="AR548" s="35">
        <f>SUM(Tabla44[[#This Row],[VALOR FASE PREPARATORIA DE ALISTAMIENTO]:[VALOR RACION PREPARADA]])</f>
        <v>69888030</v>
      </c>
      <c r="AS548" s="35">
        <f>+IF(Tabla44[[#This Row],[AGRUPACIONES]]=1,SUMIFS(Tabla44[VALOR TOTAL],Tabla44[ZONA DEFINITIVO],Tabla44[[#This Row],[ZONA DEFINITIVO]])," ")</f>
        <v>1700815730</v>
      </c>
      <c r="AT548" s="35">
        <f>VLOOKUP(Tabla44[[#This Row],[SERVICIO 2025]],$J$2:$V$15,10,0)*Tabla44[[#This Row],[TOTAL COBERTURA]]*$X$7</f>
        <v>69302128</v>
      </c>
      <c r="AU548" s="39">
        <f>Tabla44[[#This Row],[TOTAL CONTRATO (ICBF+EAS)]]+Tabla44[[#This Row],[VALOR COMPONENTE ALIMENTACION NO ASIGNADO]]</f>
        <v>139190158</v>
      </c>
      <c r="AV54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19062630</v>
      </c>
      <c r="AW548" s="35">
        <f>(VLOOKUP(Tabla44[[#This Row],[SERVICIO 2025]],$J$2:$V$15,3,0)*Tabla44[[#This Row],[TOTAL COBERTURA]])+VLOOKUP(Tabla44[[#This Row],[SERVICIO 2025]],$J$2:$V$15,10,0)*Tabla44[[#This Row],[TOTAL COBERTURA]]</f>
        <v>16912406</v>
      </c>
      <c r="AX548" s="35">
        <f>(VLOOKUP(Tabla44[[#This Row],[SERVICIO 2025]],$J$2:$V$15,3,0)*Tabla44[[#This Row],[TOTAL COBERTURA]])+VLOOKUP(Tabla44[[#This Row],[SERVICIO 2025]],$J$2:$V$15,10,0)*Tabla44[[#This Row],[TOTAL COBERTURA]]</f>
        <v>16912406</v>
      </c>
      <c r="AY548" s="35">
        <f>(VLOOKUP(Tabla44[[#This Row],[SERVICIO 2025]],$J$2:$V$15,3,0)*Tabla44[[#This Row],[TOTAL COBERTURA]])+VLOOKUP(Tabla44[[#This Row],[SERVICIO 2025]],$J$2:$V$15,10,0)*Tabla44[[#This Row],[TOTAL COBERTURA]]</f>
        <v>16912406</v>
      </c>
      <c r="AZ548" s="35">
        <f>(VLOOKUP(Tabla44[[#This Row],[SERVICIO 2025]],$J$2:$V$15,3,0)*Tabla44[[#This Row],[TOTAL COBERTURA]])+VLOOKUP(Tabla44[[#This Row],[SERVICIO 2025]],$J$2:$V$15,10,0)*Tabla44[[#This Row],[TOTAL COBERTURA]]</f>
        <v>16912406</v>
      </c>
      <c r="BA548" s="35">
        <f>(VLOOKUP(Tabla44[[#This Row],[SERVICIO 2025]],$J$2:$V$15,3,0)*Tabla44[[#This Row],[TOTAL COBERTURA]])+VLOOKUP(Tabla44[[#This Row],[SERVICIO 2025]],$J$2:$V$15,10,0)*Tabla44[[#This Row],[TOTAL COBERTURA]]</f>
        <v>16912406</v>
      </c>
      <c r="BB548" s="35">
        <f>(VLOOKUP(Tabla44[[#This Row],[SERVICIO 2025]],$J$2:$V$15,3,0)*Tabla44[[#This Row],[TOTAL COBERTURA]])+VLOOKUP(Tabla44[[#This Row],[SERVICIO 2025]],$J$2:$V$15,10,0)*Tabla44[[#This Row],[TOTAL COBERTURA]]</f>
        <v>16912406</v>
      </c>
      <c r="BC548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18653092</v>
      </c>
      <c r="BD548" s="35">
        <f>SUM(Tabla44[[#This Row],[DESEMBOLSO 1]:[DESEMBOLSO 8]])</f>
        <v>139190158</v>
      </c>
      <c r="BE548" s="12" t="b">
        <f>EXACT(Tabla44[[#This Row],[VALOR ATENCIÓN (8 MESES)]],Tabla44[[#This Row],[VALOR TOTAL]])</f>
        <v>1</v>
      </c>
      <c r="BF548" s="23">
        <f>Tabla44[[#This Row],[VALOR ATENCIÓN (8 MESES)]]-Tabla44[[#This Row],[VALOR TOTAL]]</f>
        <v>0</v>
      </c>
      <c r="BG548" s="12" t="b">
        <f>EXACT(Tabla44[[#This Row],[TOTAL DESEMBOLSOS]],Tabla44[[#This Row],[VALOR TOTAL DEL CONTRATO INCLUIDO EL COMPONENTE DE ALIMENTACIÓN]])</f>
        <v>1</v>
      </c>
      <c r="BH548" s="29">
        <f>Tabla44[[#This Row],[TOTAL DESEMBOLSOS]]-Tabla44[[#This Row],[VALOR TOTAL DEL CONTRATO INCLUIDO EL COMPONENTE DE ALIMENTACIÓN]]</f>
        <v>0</v>
      </c>
      <c r="BI548" t="s">
        <v>98</v>
      </c>
    </row>
    <row r="549" spans="1:61">
      <c r="A549" s="13">
        <v>2033</v>
      </c>
      <c r="B549" s="13"/>
      <c r="C549" s="12" t="s">
        <v>87</v>
      </c>
      <c r="D549" s="12" t="s">
        <v>527</v>
      </c>
      <c r="E549" s="12" t="s">
        <v>3862</v>
      </c>
      <c r="F549" s="12" t="s">
        <v>21</v>
      </c>
      <c r="G549" s="12" t="s">
        <v>90</v>
      </c>
      <c r="H549" s="12" t="s">
        <v>3542</v>
      </c>
      <c r="I549" s="36">
        <v>50211114787</v>
      </c>
      <c r="J549" s="12" t="s">
        <v>260</v>
      </c>
      <c r="K549" s="12">
        <v>1</v>
      </c>
      <c r="L549" s="12">
        <v>45</v>
      </c>
      <c r="M549" s="12"/>
      <c r="N549" s="13">
        <v>2033</v>
      </c>
      <c r="O549" s="12" t="s">
        <v>2850</v>
      </c>
      <c r="P549" s="12"/>
      <c r="Q549" s="12"/>
      <c r="R549" s="12" t="s">
        <v>94</v>
      </c>
      <c r="S549" s="12">
        <v>10</v>
      </c>
      <c r="T549" s="12">
        <v>800069965</v>
      </c>
      <c r="U549" s="12" t="s">
        <v>3864</v>
      </c>
      <c r="V549" s="12">
        <f>VLOOKUP(Tabla44[[#This Row],[ZONA DEFINITIVO]],[1]Hoja1!$A$1:$D$125,3,0)</f>
        <v>229949</v>
      </c>
      <c r="W549" s="12">
        <f>VLOOKUP(Tabla44[[#This Row],[ZONA DEFINITIVO]],[1]Hoja1!$A$1:$D$125,2,0)</f>
        <v>17270</v>
      </c>
      <c r="X549" s="12">
        <f>VLOOKUP(Tabla44[[#This Row],[ZONA DEFINITIVO]],[1]Hoja1!$A$1:$D$125,4,0)</f>
        <v>105425</v>
      </c>
      <c r="Y549" s="12" t="str">
        <f>+IF(Tabla44[[#This Row],[AGRUPACIONES]]=1,SUMIFS(Tabla44[UDS],Tabla44[ZONA DEFINITIVO],Tabla44[[#This Row],[ZONA DEFINITIVO]])," ")</f>
        <v xml:space="preserve"> </v>
      </c>
      <c r="Z549" s="12" t="str">
        <f>+IF(Tabla44[[#This Row],[AGRUPACIONES]]=1,SUMIFS(Tabla44[TOTAL COBERTURA],Tabla44[ZONA DEFINITIVO],Tabla44[[#This Row],[ZONA DEFINITIVO]])," ")</f>
        <v xml:space="preserve"> </v>
      </c>
      <c r="AA549" s="12"/>
      <c r="AB549" s="35">
        <v>68368725</v>
      </c>
      <c r="AC549" s="37">
        <v>0</v>
      </c>
      <c r="AD549" s="35">
        <f t="shared" si="9"/>
        <v>0</v>
      </c>
      <c r="AE549" s="12"/>
      <c r="AF549" s="12">
        <f>COUNTIF($A$20:A549,A549)</f>
        <v>2</v>
      </c>
      <c r="AG549" s="38">
        <v>68368725</v>
      </c>
      <c r="AH549" s="38">
        <f>Tabla44[[#This Row],[VALOR CONTRAPARTIDA]]+Tabla44[[#This Row],[TOTAL APORTES ICBF]]</f>
        <v>68368725</v>
      </c>
      <c r="AI549" s="35" t="str">
        <f>+IF(Tabla44[[#This Row],[AGRUPACIONES]]=1,SUMIFS(Tabla44[TOTAL APORTES ICBF],Tabla44[ZONA DEFINITIVO],Tabla44[[#This Row],[ZONA DEFINITIVO]])," ")</f>
        <v xml:space="preserve"> </v>
      </c>
      <c r="AJ549" s="38"/>
      <c r="AK549" s="38"/>
      <c r="AL549" s="35"/>
      <c r="AM549" s="35">
        <f>VLOOKUP(Tabla44[[#This Row],[SERVICIO 2025]],$J$2:$V$15,5,0)*Tabla44[[#This Row],[TOTAL COBERTURA]]</f>
        <v>2103480</v>
      </c>
      <c r="AN549" s="35">
        <f>VLOOKUP(Tabla44[[#This Row],[SERVICIO 2025]],$J$2:$V$15,6,0)*Tabla44[[#This Row],[TOTAL COBERTURA]]</f>
        <v>1702845</v>
      </c>
      <c r="AO549" s="35">
        <f>VLOOKUP(Tabla44[[#This Row],[SERVICIO 2025]],$J$2:$V$15,8,0)*Tabla44[[#This Row],[TOTAL COBERTURA]]</f>
        <v>0</v>
      </c>
      <c r="AP549" s="35">
        <f>VLOOKUP(Tabla44[[#This Row],[SERVICIO 2025]],$J$2:$V$15,3,0)*Tabla44[[#This Row],[TOTAL COBERTURA]]*8</f>
        <v>64562400</v>
      </c>
      <c r="AQ549" s="35"/>
      <c r="AR549" s="35">
        <f>SUM(Tabla44[[#This Row],[VALOR FASE PREPARATORIA DE ALISTAMIENTO]:[VALOR RACION PREPARADA]])</f>
        <v>68368725</v>
      </c>
      <c r="AS549" s="35" t="str">
        <f>+IF(Tabla44[[#This Row],[AGRUPACIONES]]=1,SUMIFS(Tabla44[VALOR TOTAL],Tabla44[ZONA DEFINITIVO],Tabla44[[#This Row],[ZONA DEFINITIVO]])," ")</f>
        <v xml:space="preserve"> </v>
      </c>
      <c r="AT549" s="35">
        <f>VLOOKUP(Tabla44[[#This Row],[SERVICIO 2025]],$J$2:$V$15,10,0)*Tabla44[[#This Row],[TOTAL COBERTURA]]*$X$7</f>
        <v>67795560</v>
      </c>
      <c r="AU549" s="39">
        <f>Tabla44[[#This Row],[TOTAL CONTRATO (ICBF+EAS)]]+Tabla44[[#This Row],[VALOR COMPONENTE ALIMENTACION NO ASIGNADO]]</f>
        <v>136164285</v>
      </c>
      <c r="AV54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18648225</v>
      </c>
      <c r="AW549" s="35">
        <f>(VLOOKUP(Tabla44[[#This Row],[SERVICIO 2025]],$J$2:$V$15,3,0)*Tabla44[[#This Row],[TOTAL COBERTURA]])+VLOOKUP(Tabla44[[#This Row],[SERVICIO 2025]],$J$2:$V$15,10,0)*Tabla44[[#This Row],[TOTAL COBERTURA]]</f>
        <v>16544745</v>
      </c>
      <c r="AX549" s="35">
        <f>(VLOOKUP(Tabla44[[#This Row],[SERVICIO 2025]],$J$2:$V$15,3,0)*Tabla44[[#This Row],[TOTAL COBERTURA]])+VLOOKUP(Tabla44[[#This Row],[SERVICIO 2025]],$J$2:$V$15,10,0)*Tabla44[[#This Row],[TOTAL COBERTURA]]</f>
        <v>16544745</v>
      </c>
      <c r="AY549" s="35">
        <f>(VLOOKUP(Tabla44[[#This Row],[SERVICIO 2025]],$J$2:$V$15,3,0)*Tabla44[[#This Row],[TOTAL COBERTURA]])+VLOOKUP(Tabla44[[#This Row],[SERVICIO 2025]],$J$2:$V$15,10,0)*Tabla44[[#This Row],[TOTAL COBERTURA]]</f>
        <v>16544745</v>
      </c>
      <c r="AZ549" s="35">
        <f>(VLOOKUP(Tabla44[[#This Row],[SERVICIO 2025]],$J$2:$V$15,3,0)*Tabla44[[#This Row],[TOTAL COBERTURA]])+VLOOKUP(Tabla44[[#This Row],[SERVICIO 2025]],$J$2:$V$15,10,0)*Tabla44[[#This Row],[TOTAL COBERTURA]]</f>
        <v>16544745</v>
      </c>
      <c r="BA549" s="35">
        <f>(VLOOKUP(Tabla44[[#This Row],[SERVICIO 2025]],$J$2:$V$15,3,0)*Tabla44[[#This Row],[TOTAL COBERTURA]])+VLOOKUP(Tabla44[[#This Row],[SERVICIO 2025]],$J$2:$V$15,10,0)*Tabla44[[#This Row],[TOTAL COBERTURA]]</f>
        <v>16544745</v>
      </c>
      <c r="BB549" s="35">
        <f>(VLOOKUP(Tabla44[[#This Row],[SERVICIO 2025]],$J$2:$V$15,3,0)*Tabla44[[#This Row],[TOTAL COBERTURA]])+VLOOKUP(Tabla44[[#This Row],[SERVICIO 2025]],$J$2:$V$15,10,0)*Tabla44[[#This Row],[TOTAL COBERTURA]]</f>
        <v>16544745</v>
      </c>
      <c r="BC54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18247590</v>
      </c>
      <c r="BD549" s="35">
        <f>SUM(Tabla44[[#This Row],[DESEMBOLSO 1]:[DESEMBOLSO 8]])</f>
        <v>136164285</v>
      </c>
      <c r="BE549" s="12" t="b">
        <f>EXACT(Tabla44[[#This Row],[VALOR ATENCIÓN (8 MESES)]],Tabla44[[#This Row],[VALOR TOTAL]])</f>
        <v>1</v>
      </c>
      <c r="BF549" s="23">
        <f>Tabla44[[#This Row],[VALOR ATENCIÓN (8 MESES)]]-Tabla44[[#This Row],[VALOR TOTAL]]</f>
        <v>0</v>
      </c>
      <c r="BG549" s="12" t="b">
        <f>EXACT(Tabla44[[#This Row],[TOTAL DESEMBOLSOS]],Tabla44[[#This Row],[VALOR TOTAL DEL CONTRATO INCLUIDO EL COMPONENTE DE ALIMENTACIÓN]])</f>
        <v>1</v>
      </c>
      <c r="BH549" s="29">
        <f>Tabla44[[#This Row],[TOTAL DESEMBOLSOS]]-Tabla44[[#This Row],[VALOR TOTAL DEL CONTRATO INCLUIDO EL COMPONENTE DE ALIMENTACIÓN]]</f>
        <v>0</v>
      </c>
      <c r="BI549" t="s">
        <v>98</v>
      </c>
    </row>
    <row r="550" spans="1:61">
      <c r="A550" s="13">
        <v>2033</v>
      </c>
      <c r="B550" s="13"/>
      <c r="C550" s="12" t="s">
        <v>87</v>
      </c>
      <c r="D550" s="12" t="s">
        <v>527</v>
      </c>
      <c r="E550" s="12" t="s">
        <v>3862</v>
      </c>
      <c r="F550" s="12" t="s">
        <v>21</v>
      </c>
      <c r="G550" s="12" t="s">
        <v>90</v>
      </c>
      <c r="H550" s="12" t="s">
        <v>3865</v>
      </c>
      <c r="I550" s="36">
        <v>50211136553</v>
      </c>
      <c r="J550" s="12" t="s">
        <v>3866</v>
      </c>
      <c r="K550" s="12">
        <v>1</v>
      </c>
      <c r="L550" s="12">
        <v>49</v>
      </c>
      <c r="M550" s="12"/>
      <c r="N550" s="13">
        <v>2033</v>
      </c>
      <c r="O550" s="12" t="s">
        <v>2850</v>
      </c>
      <c r="P550" s="12"/>
      <c r="Q550" s="12"/>
      <c r="R550" s="12" t="s">
        <v>94</v>
      </c>
      <c r="S550" s="12">
        <v>10</v>
      </c>
      <c r="T550" s="12">
        <v>800069965</v>
      </c>
      <c r="U550" s="12" t="s">
        <v>3864</v>
      </c>
      <c r="V550" s="12">
        <f>VLOOKUP(Tabla44[[#This Row],[ZONA DEFINITIVO]],[1]Hoja1!$A$1:$D$125,3,0)</f>
        <v>229949</v>
      </c>
      <c r="W550" s="12">
        <f>VLOOKUP(Tabla44[[#This Row],[ZONA DEFINITIVO]],[1]Hoja1!$A$1:$D$125,2,0)</f>
        <v>17270</v>
      </c>
      <c r="X550" s="12">
        <f>VLOOKUP(Tabla44[[#This Row],[ZONA DEFINITIVO]],[1]Hoja1!$A$1:$D$125,4,0)</f>
        <v>105425</v>
      </c>
      <c r="Y550" s="12" t="str">
        <f>+IF(Tabla44[[#This Row],[AGRUPACIONES]]=1,SUMIFS(Tabla44[UDS],Tabla44[ZONA DEFINITIVO],Tabla44[[#This Row],[ZONA DEFINITIVO]])," ")</f>
        <v xml:space="preserve"> </v>
      </c>
      <c r="Z550" s="12" t="str">
        <f>+IF(Tabla44[[#This Row],[AGRUPACIONES]]=1,SUMIFS(Tabla44[TOTAL COBERTURA],Tabla44[ZONA DEFINITIVO],Tabla44[[#This Row],[ZONA DEFINITIVO]])," ")</f>
        <v xml:space="preserve"> </v>
      </c>
      <c r="AA550" s="12"/>
      <c r="AB550" s="35">
        <v>74445945</v>
      </c>
      <c r="AC550" s="37">
        <v>0</v>
      </c>
      <c r="AD550" s="35">
        <f t="shared" si="9"/>
        <v>0</v>
      </c>
      <c r="AE550" s="12"/>
      <c r="AF550" s="12">
        <f>COUNTIF($A$20:A550,A550)</f>
        <v>3</v>
      </c>
      <c r="AG550" s="38">
        <v>74445945</v>
      </c>
      <c r="AH550" s="38">
        <f>Tabla44[[#This Row],[VALOR CONTRAPARTIDA]]+Tabla44[[#This Row],[TOTAL APORTES ICBF]]</f>
        <v>74445945</v>
      </c>
      <c r="AI550" s="35" t="str">
        <f>+IF(Tabla44[[#This Row],[AGRUPACIONES]]=1,SUMIFS(Tabla44[TOTAL APORTES ICBF],Tabla44[ZONA DEFINITIVO],Tabla44[[#This Row],[ZONA DEFINITIVO]])," ")</f>
        <v xml:space="preserve"> </v>
      </c>
      <c r="AJ550" s="38"/>
      <c r="AK550" s="38"/>
      <c r="AL550" s="35"/>
      <c r="AM550" s="35">
        <f>VLOOKUP(Tabla44[[#This Row],[SERVICIO 2025]],$J$2:$V$15,5,0)*Tabla44[[#This Row],[TOTAL COBERTURA]]</f>
        <v>2290456</v>
      </c>
      <c r="AN550" s="35">
        <f>VLOOKUP(Tabla44[[#This Row],[SERVICIO 2025]],$J$2:$V$15,6,0)*Tabla44[[#This Row],[TOTAL COBERTURA]]</f>
        <v>1854209</v>
      </c>
      <c r="AO550" s="35">
        <f>VLOOKUP(Tabla44[[#This Row],[SERVICIO 2025]],$J$2:$V$15,8,0)*Tabla44[[#This Row],[TOTAL COBERTURA]]</f>
        <v>0</v>
      </c>
      <c r="AP550" s="35">
        <f>VLOOKUP(Tabla44[[#This Row],[SERVICIO 2025]],$J$2:$V$15,3,0)*Tabla44[[#This Row],[TOTAL COBERTURA]]*8</f>
        <v>70301280</v>
      </c>
      <c r="AQ550" s="35"/>
      <c r="AR550" s="35">
        <f>SUM(Tabla44[[#This Row],[VALOR FASE PREPARATORIA DE ALISTAMIENTO]:[VALOR RACION PREPARADA]])</f>
        <v>74445945</v>
      </c>
      <c r="AS550" s="35" t="str">
        <f>+IF(Tabla44[[#This Row],[AGRUPACIONES]]=1,SUMIFS(Tabla44[VALOR TOTAL],Tabla44[ZONA DEFINITIVO],Tabla44[[#This Row],[ZONA DEFINITIVO]])," ")</f>
        <v xml:space="preserve"> </v>
      </c>
      <c r="AT550" s="35">
        <f>VLOOKUP(Tabla44[[#This Row],[SERVICIO 2025]],$J$2:$V$15,10,0)*Tabla44[[#This Row],[TOTAL COBERTURA]]*$X$7</f>
        <v>73821832</v>
      </c>
      <c r="AU550" s="39">
        <f>Tabla44[[#This Row],[TOTAL CONTRATO (ICBF+EAS)]]+Tabla44[[#This Row],[VALOR COMPONENTE ALIMENTACION NO ASIGNADO]]</f>
        <v>148267777</v>
      </c>
      <c r="AV55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20305845</v>
      </c>
      <c r="AW550" s="35">
        <f>(VLOOKUP(Tabla44[[#This Row],[SERVICIO 2025]],$J$2:$V$15,3,0)*Tabla44[[#This Row],[TOTAL COBERTURA]])+VLOOKUP(Tabla44[[#This Row],[SERVICIO 2025]],$J$2:$V$15,10,0)*Tabla44[[#This Row],[TOTAL COBERTURA]]</f>
        <v>18015389</v>
      </c>
      <c r="AX550" s="35">
        <f>(VLOOKUP(Tabla44[[#This Row],[SERVICIO 2025]],$J$2:$V$15,3,0)*Tabla44[[#This Row],[TOTAL COBERTURA]])+VLOOKUP(Tabla44[[#This Row],[SERVICIO 2025]],$J$2:$V$15,10,0)*Tabla44[[#This Row],[TOTAL COBERTURA]]</f>
        <v>18015389</v>
      </c>
      <c r="AY550" s="35">
        <f>(VLOOKUP(Tabla44[[#This Row],[SERVICIO 2025]],$J$2:$V$15,3,0)*Tabla44[[#This Row],[TOTAL COBERTURA]])+VLOOKUP(Tabla44[[#This Row],[SERVICIO 2025]],$J$2:$V$15,10,0)*Tabla44[[#This Row],[TOTAL COBERTURA]]</f>
        <v>18015389</v>
      </c>
      <c r="AZ550" s="35">
        <f>(VLOOKUP(Tabla44[[#This Row],[SERVICIO 2025]],$J$2:$V$15,3,0)*Tabla44[[#This Row],[TOTAL COBERTURA]])+VLOOKUP(Tabla44[[#This Row],[SERVICIO 2025]],$J$2:$V$15,10,0)*Tabla44[[#This Row],[TOTAL COBERTURA]]</f>
        <v>18015389</v>
      </c>
      <c r="BA550" s="35">
        <f>(VLOOKUP(Tabla44[[#This Row],[SERVICIO 2025]],$J$2:$V$15,3,0)*Tabla44[[#This Row],[TOTAL COBERTURA]])+VLOOKUP(Tabla44[[#This Row],[SERVICIO 2025]],$J$2:$V$15,10,0)*Tabla44[[#This Row],[TOTAL COBERTURA]]</f>
        <v>18015389</v>
      </c>
      <c r="BB550" s="35">
        <f>(VLOOKUP(Tabla44[[#This Row],[SERVICIO 2025]],$J$2:$V$15,3,0)*Tabla44[[#This Row],[TOTAL COBERTURA]])+VLOOKUP(Tabla44[[#This Row],[SERVICIO 2025]],$J$2:$V$15,10,0)*Tabla44[[#This Row],[TOTAL COBERTURA]]</f>
        <v>18015389</v>
      </c>
      <c r="BC550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19869598</v>
      </c>
      <c r="BD550" s="35">
        <f>SUM(Tabla44[[#This Row],[DESEMBOLSO 1]:[DESEMBOLSO 8]])</f>
        <v>148267777</v>
      </c>
      <c r="BE550" s="12" t="b">
        <f>EXACT(Tabla44[[#This Row],[VALOR ATENCIÓN (8 MESES)]],Tabla44[[#This Row],[VALOR TOTAL]])</f>
        <v>1</v>
      </c>
      <c r="BF550" s="23">
        <f>Tabla44[[#This Row],[VALOR ATENCIÓN (8 MESES)]]-Tabla44[[#This Row],[VALOR TOTAL]]</f>
        <v>0</v>
      </c>
      <c r="BG550" s="12" t="b">
        <f>EXACT(Tabla44[[#This Row],[TOTAL DESEMBOLSOS]],Tabla44[[#This Row],[VALOR TOTAL DEL CONTRATO INCLUIDO EL COMPONENTE DE ALIMENTACIÓN]])</f>
        <v>1</v>
      </c>
      <c r="BH550" s="29">
        <f>Tabla44[[#This Row],[TOTAL DESEMBOLSOS]]-Tabla44[[#This Row],[VALOR TOTAL DEL CONTRATO INCLUIDO EL COMPONENTE DE ALIMENTACIÓN]]</f>
        <v>0</v>
      </c>
      <c r="BI550" t="s">
        <v>98</v>
      </c>
    </row>
    <row r="551" spans="1:61">
      <c r="A551" s="13">
        <v>2033</v>
      </c>
      <c r="B551" s="13"/>
      <c r="C551" s="12" t="s">
        <v>87</v>
      </c>
      <c r="D551" s="12" t="s">
        <v>527</v>
      </c>
      <c r="E551" s="12" t="s">
        <v>3862</v>
      </c>
      <c r="F551" s="12" t="s">
        <v>21</v>
      </c>
      <c r="G551" s="12" t="s">
        <v>90</v>
      </c>
      <c r="H551" s="12" t="s">
        <v>3867</v>
      </c>
      <c r="I551" s="36">
        <v>50211152916</v>
      </c>
      <c r="J551" s="12" t="s">
        <v>3868</v>
      </c>
      <c r="K551" s="12">
        <v>1</v>
      </c>
      <c r="L551" s="12">
        <v>48</v>
      </c>
      <c r="M551" s="12"/>
      <c r="N551" s="13">
        <v>2033</v>
      </c>
      <c r="O551" s="12" t="s">
        <v>2850</v>
      </c>
      <c r="P551" s="12"/>
      <c r="Q551" s="12"/>
      <c r="R551" s="12" t="s">
        <v>94</v>
      </c>
      <c r="S551" s="12">
        <v>10</v>
      </c>
      <c r="T551" s="12">
        <v>800069965</v>
      </c>
      <c r="U551" s="12" t="s">
        <v>3864</v>
      </c>
      <c r="V551" s="12">
        <f>VLOOKUP(Tabla44[[#This Row],[ZONA DEFINITIVO]],[1]Hoja1!$A$1:$D$125,3,0)</f>
        <v>229949</v>
      </c>
      <c r="W551" s="12">
        <f>VLOOKUP(Tabla44[[#This Row],[ZONA DEFINITIVO]],[1]Hoja1!$A$1:$D$125,2,0)</f>
        <v>17270</v>
      </c>
      <c r="X551" s="12">
        <f>VLOOKUP(Tabla44[[#This Row],[ZONA DEFINITIVO]],[1]Hoja1!$A$1:$D$125,4,0)</f>
        <v>105425</v>
      </c>
      <c r="Y551" s="12" t="str">
        <f>+IF(Tabla44[[#This Row],[AGRUPACIONES]]=1,SUMIFS(Tabla44[UDS],Tabla44[ZONA DEFINITIVO],Tabla44[[#This Row],[ZONA DEFINITIVO]])," ")</f>
        <v xml:space="preserve"> </v>
      </c>
      <c r="Z551" s="12" t="str">
        <f>+IF(Tabla44[[#This Row],[AGRUPACIONES]]=1,SUMIFS(Tabla44[TOTAL COBERTURA],Tabla44[ZONA DEFINITIVO],Tabla44[[#This Row],[ZONA DEFINITIVO]])," ")</f>
        <v xml:space="preserve"> </v>
      </c>
      <c r="AA551" s="12"/>
      <c r="AB551" s="35">
        <v>72926640</v>
      </c>
      <c r="AC551" s="37">
        <v>0</v>
      </c>
      <c r="AD551" s="35">
        <f t="shared" si="9"/>
        <v>0</v>
      </c>
      <c r="AE551" s="12"/>
      <c r="AF551" s="12">
        <f>COUNTIF($A$20:A551,A551)</f>
        <v>4</v>
      </c>
      <c r="AG551" s="38">
        <v>72926640</v>
      </c>
      <c r="AH551" s="38">
        <f>Tabla44[[#This Row],[VALOR CONTRAPARTIDA]]+Tabla44[[#This Row],[TOTAL APORTES ICBF]]</f>
        <v>72926640</v>
      </c>
      <c r="AI551" s="35" t="str">
        <f>+IF(Tabla44[[#This Row],[AGRUPACIONES]]=1,SUMIFS(Tabla44[TOTAL APORTES ICBF],Tabla44[ZONA DEFINITIVO],Tabla44[[#This Row],[ZONA DEFINITIVO]])," ")</f>
        <v xml:space="preserve"> </v>
      </c>
      <c r="AJ551" s="38"/>
      <c r="AK551" s="38"/>
      <c r="AL551" s="35"/>
      <c r="AM551" s="35">
        <f>VLOOKUP(Tabla44[[#This Row],[SERVICIO 2025]],$J$2:$V$15,5,0)*Tabla44[[#This Row],[TOTAL COBERTURA]]</f>
        <v>2243712</v>
      </c>
      <c r="AN551" s="35">
        <f>VLOOKUP(Tabla44[[#This Row],[SERVICIO 2025]],$J$2:$V$15,6,0)*Tabla44[[#This Row],[TOTAL COBERTURA]]</f>
        <v>1816368</v>
      </c>
      <c r="AO551" s="35">
        <f>VLOOKUP(Tabla44[[#This Row],[SERVICIO 2025]],$J$2:$V$15,8,0)*Tabla44[[#This Row],[TOTAL COBERTURA]]</f>
        <v>0</v>
      </c>
      <c r="AP551" s="35">
        <f>VLOOKUP(Tabla44[[#This Row],[SERVICIO 2025]],$J$2:$V$15,3,0)*Tabla44[[#This Row],[TOTAL COBERTURA]]*8</f>
        <v>68866560</v>
      </c>
      <c r="AQ551" s="35"/>
      <c r="AR551" s="35">
        <f>SUM(Tabla44[[#This Row],[VALOR FASE PREPARATORIA DE ALISTAMIENTO]:[VALOR RACION PREPARADA]])</f>
        <v>72926640</v>
      </c>
      <c r="AS551" s="35" t="str">
        <f>+IF(Tabla44[[#This Row],[AGRUPACIONES]]=1,SUMIFS(Tabla44[VALOR TOTAL],Tabla44[ZONA DEFINITIVO],Tabla44[[#This Row],[ZONA DEFINITIVO]])," ")</f>
        <v xml:space="preserve"> </v>
      </c>
      <c r="AT551" s="35">
        <f>VLOOKUP(Tabla44[[#This Row],[SERVICIO 2025]],$J$2:$V$15,10,0)*Tabla44[[#This Row],[TOTAL COBERTURA]]*$X$7</f>
        <v>72315264</v>
      </c>
      <c r="AU551" s="39">
        <f>Tabla44[[#This Row],[TOTAL CONTRATO (ICBF+EAS)]]+Tabla44[[#This Row],[VALOR COMPONENTE ALIMENTACION NO ASIGNADO]]</f>
        <v>145241904</v>
      </c>
      <c r="AV55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19891440</v>
      </c>
      <c r="AW551" s="35">
        <f>(VLOOKUP(Tabla44[[#This Row],[SERVICIO 2025]],$J$2:$V$15,3,0)*Tabla44[[#This Row],[TOTAL COBERTURA]])+VLOOKUP(Tabla44[[#This Row],[SERVICIO 2025]],$J$2:$V$15,10,0)*Tabla44[[#This Row],[TOTAL COBERTURA]]</f>
        <v>17647728</v>
      </c>
      <c r="AX551" s="35">
        <f>(VLOOKUP(Tabla44[[#This Row],[SERVICIO 2025]],$J$2:$V$15,3,0)*Tabla44[[#This Row],[TOTAL COBERTURA]])+VLOOKUP(Tabla44[[#This Row],[SERVICIO 2025]],$J$2:$V$15,10,0)*Tabla44[[#This Row],[TOTAL COBERTURA]]</f>
        <v>17647728</v>
      </c>
      <c r="AY551" s="35">
        <f>(VLOOKUP(Tabla44[[#This Row],[SERVICIO 2025]],$J$2:$V$15,3,0)*Tabla44[[#This Row],[TOTAL COBERTURA]])+VLOOKUP(Tabla44[[#This Row],[SERVICIO 2025]],$J$2:$V$15,10,0)*Tabla44[[#This Row],[TOTAL COBERTURA]]</f>
        <v>17647728</v>
      </c>
      <c r="AZ551" s="35">
        <f>(VLOOKUP(Tabla44[[#This Row],[SERVICIO 2025]],$J$2:$V$15,3,0)*Tabla44[[#This Row],[TOTAL COBERTURA]])+VLOOKUP(Tabla44[[#This Row],[SERVICIO 2025]],$J$2:$V$15,10,0)*Tabla44[[#This Row],[TOTAL COBERTURA]]</f>
        <v>17647728</v>
      </c>
      <c r="BA551" s="35">
        <f>(VLOOKUP(Tabla44[[#This Row],[SERVICIO 2025]],$J$2:$V$15,3,0)*Tabla44[[#This Row],[TOTAL COBERTURA]])+VLOOKUP(Tabla44[[#This Row],[SERVICIO 2025]],$J$2:$V$15,10,0)*Tabla44[[#This Row],[TOTAL COBERTURA]]</f>
        <v>17647728</v>
      </c>
      <c r="BB551" s="35">
        <f>(VLOOKUP(Tabla44[[#This Row],[SERVICIO 2025]],$J$2:$V$15,3,0)*Tabla44[[#This Row],[TOTAL COBERTURA]])+VLOOKUP(Tabla44[[#This Row],[SERVICIO 2025]],$J$2:$V$15,10,0)*Tabla44[[#This Row],[TOTAL COBERTURA]]</f>
        <v>17647728</v>
      </c>
      <c r="BC551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19464096</v>
      </c>
      <c r="BD551" s="35">
        <f>SUM(Tabla44[[#This Row],[DESEMBOLSO 1]:[DESEMBOLSO 8]])</f>
        <v>145241904</v>
      </c>
      <c r="BE551" s="12" t="b">
        <f>EXACT(Tabla44[[#This Row],[VALOR ATENCIÓN (8 MESES)]],Tabla44[[#This Row],[VALOR TOTAL]])</f>
        <v>1</v>
      </c>
      <c r="BF551" s="23">
        <f>Tabla44[[#This Row],[VALOR ATENCIÓN (8 MESES)]]-Tabla44[[#This Row],[VALOR TOTAL]]</f>
        <v>0</v>
      </c>
      <c r="BG551" s="12" t="b">
        <f>EXACT(Tabla44[[#This Row],[TOTAL DESEMBOLSOS]],Tabla44[[#This Row],[VALOR TOTAL DEL CONTRATO INCLUIDO EL COMPONENTE DE ALIMENTACIÓN]])</f>
        <v>1</v>
      </c>
      <c r="BH551" s="29">
        <f>Tabla44[[#This Row],[TOTAL DESEMBOLSOS]]-Tabla44[[#This Row],[VALOR TOTAL DEL CONTRATO INCLUIDO EL COMPONENTE DE ALIMENTACIÓN]]</f>
        <v>0</v>
      </c>
      <c r="BI551" t="s">
        <v>98</v>
      </c>
    </row>
    <row r="552" spans="1:61">
      <c r="A552" s="13">
        <v>2033</v>
      </c>
      <c r="B552" s="13"/>
      <c r="C552" s="12" t="s">
        <v>87</v>
      </c>
      <c r="D552" s="12" t="s">
        <v>527</v>
      </c>
      <c r="E552" s="12" t="s">
        <v>3869</v>
      </c>
      <c r="F552" s="12" t="s">
        <v>21</v>
      </c>
      <c r="G552" s="12" t="s">
        <v>90</v>
      </c>
      <c r="H552" s="12" t="s">
        <v>3870</v>
      </c>
      <c r="I552" s="36">
        <v>52061136695</v>
      </c>
      <c r="J552" s="12" t="s">
        <v>3871</v>
      </c>
      <c r="K552" s="12">
        <v>1</v>
      </c>
      <c r="L552" s="12">
        <v>46</v>
      </c>
      <c r="M552" s="12"/>
      <c r="N552" s="13">
        <v>2033</v>
      </c>
      <c r="O552" s="12" t="s">
        <v>2850</v>
      </c>
      <c r="P552" s="12"/>
      <c r="Q552" s="12"/>
      <c r="R552" s="12" t="s">
        <v>94</v>
      </c>
      <c r="S552" s="12">
        <v>10</v>
      </c>
      <c r="T552" s="12">
        <v>800069965</v>
      </c>
      <c r="U552" s="12" t="s">
        <v>3864</v>
      </c>
      <c r="V552" s="12">
        <f>VLOOKUP(Tabla44[[#This Row],[ZONA DEFINITIVO]],[1]Hoja1!$A$1:$D$125,3,0)</f>
        <v>229949</v>
      </c>
      <c r="W552" s="12">
        <f>VLOOKUP(Tabla44[[#This Row],[ZONA DEFINITIVO]],[1]Hoja1!$A$1:$D$125,2,0)</f>
        <v>17270</v>
      </c>
      <c r="X552" s="12">
        <f>VLOOKUP(Tabla44[[#This Row],[ZONA DEFINITIVO]],[1]Hoja1!$A$1:$D$125,4,0)</f>
        <v>105425</v>
      </c>
      <c r="Y552" s="12" t="str">
        <f>+IF(Tabla44[[#This Row],[AGRUPACIONES]]=1,SUMIFS(Tabla44[UDS],Tabla44[ZONA DEFINITIVO],Tabla44[[#This Row],[ZONA DEFINITIVO]])," ")</f>
        <v xml:space="preserve"> </v>
      </c>
      <c r="Z552" s="12" t="str">
        <f>+IF(Tabla44[[#This Row],[AGRUPACIONES]]=1,SUMIFS(Tabla44[TOTAL COBERTURA],Tabla44[ZONA DEFINITIVO],Tabla44[[#This Row],[ZONA DEFINITIVO]])," ")</f>
        <v xml:space="preserve"> </v>
      </c>
      <c r="AA552" s="12"/>
      <c r="AB552" s="35">
        <v>69888030</v>
      </c>
      <c r="AC552" s="37">
        <v>0</v>
      </c>
      <c r="AD552" s="35">
        <f t="shared" si="9"/>
        <v>0</v>
      </c>
      <c r="AE552" s="12"/>
      <c r="AF552" s="12">
        <f>COUNTIF($A$20:A552,A552)</f>
        <v>5</v>
      </c>
      <c r="AG552" s="38">
        <v>69888030</v>
      </c>
      <c r="AH552" s="38">
        <f>Tabla44[[#This Row],[VALOR CONTRAPARTIDA]]+Tabla44[[#This Row],[TOTAL APORTES ICBF]]</f>
        <v>69888030</v>
      </c>
      <c r="AI552" s="35" t="str">
        <f>+IF(Tabla44[[#This Row],[AGRUPACIONES]]=1,SUMIFS(Tabla44[TOTAL APORTES ICBF],Tabla44[ZONA DEFINITIVO],Tabla44[[#This Row],[ZONA DEFINITIVO]])," ")</f>
        <v xml:space="preserve"> </v>
      </c>
      <c r="AJ552" s="38"/>
      <c r="AK552" s="38"/>
      <c r="AL552" s="35"/>
      <c r="AM552" s="35">
        <f>VLOOKUP(Tabla44[[#This Row],[SERVICIO 2025]],$J$2:$V$15,5,0)*Tabla44[[#This Row],[TOTAL COBERTURA]]</f>
        <v>2150224</v>
      </c>
      <c r="AN552" s="35">
        <f>VLOOKUP(Tabla44[[#This Row],[SERVICIO 2025]],$J$2:$V$15,6,0)*Tabla44[[#This Row],[TOTAL COBERTURA]]</f>
        <v>1740686</v>
      </c>
      <c r="AO552" s="35">
        <f>VLOOKUP(Tabla44[[#This Row],[SERVICIO 2025]],$J$2:$V$15,8,0)*Tabla44[[#This Row],[TOTAL COBERTURA]]</f>
        <v>0</v>
      </c>
      <c r="AP552" s="35">
        <f>VLOOKUP(Tabla44[[#This Row],[SERVICIO 2025]],$J$2:$V$15,3,0)*Tabla44[[#This Row],[TOTAL COBERTURA]]*8</f>
        <v>65997120</v>
      </c>
      <c r="AQ552" s="35"/>
      <c r="AR552" s="35">
        <f>SUM(Tabla44[[#This Row],[VALOR FASE PREPARATORIA DE ALISTAMIENTO]:[VALOR RACION PREPARADA]])</f>
        <v>69888030</v>
      </c>
      <c r="AS552" s="35" t="str">
        <f>+IF(Tabla44[[#This Row],[AGRUPACIONES]]=1,SUMIFS(Tabla44[VALOR TOTAL],Tabla44[ZONA DEFINITIVO],Tabla44[[#This Row],[ZONA DEFINITIVO]])," ")</f>
        <v xml:space="preserve"> </v>
      </c>
      <c r="AT552" s="35">
        <f>VLOOKUP(Tabla44[[#This Row],[SERVICIO 2025]],$J$2:$V$15,10,0)*Tabla44[[#This Row],[TOTAL COBERTURA]]*$X$7</f>
        <v>69302128</v>
      </c>
      <c r="AU552" s="39">
        <f>Tabla44[[#This Row],[TOTAL CONTRATO (ICBF+EAS)]]+Tabla44[[#This Row],[VALOR COMPONENTE ALIMENTACION NO ASIGNADO]]</f>
        <v>139190158</v>
      </c>
      <c r="AV552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19062630</v>
      </c>
      <c r="AW552" s="35">
        <f>(VLOOKUP(Tabla44[[#This Row],[SERVICIO 2025]],$J$2:$V$15,3,0)*Tabla44[[#This Row],[TOTAL COBERTURA]])+VLOOKUP(Tabla44[[#This Row],[SERVICIO 2025]],$J$2:$V$15,10,0)*Tabla44[[#This Row],[TOTAL COBERTURA]]</f>
        <v>16912406</v>
      </c>
      <c r="AX552" s="35">
        <f>(VLOOKUP(Tabla44[[#This Row],[SERVICIO 2025]],$J$2:$V$15,3,0)*Tabla44[[#This Row],[TOTAL COBERTURA]])+VLOOKUP(Tabla44[[#This Row],[SERVICIO 2025]],$J$2:$V$15,10,0)*Tabla44[[#This Row],[TOTAL COBERTURA]]</f>
        <v>16912406</v>
      </c>
      <c r="AY552" s="35">
        <f>(VLOOKUP(Tabla44[[#This Row],[SERVICIO 2025]],$J$2:$V$15,3,0)*Tabla44[[#This Row],[TOTAL COBERTURA]])+VLOOKUP(Tabla44[[#This Row],[SERVICIO 2025]],$J$2:$V$15,10,0)*Tabla44[[#This Row],[TOTAL COBERTURA]]</f>
        <v>16912406</v>
      </c>
      <c r="AZ552" s="35">
        <f>(VLOOKUP(Tabla44[[#This Row],[SERVICIO 2025]],$J$2:$V$15,3,0)*Tabla44[[#This Row],[TOTAL COBERTURA]])+VLOOKUP(Tabla44[[#This Row],[SERVICIO 2025]],$J$2:$V$15,10,0)*Tabla44[[#This Row],[TOTAL COBERTURA]]</f>
        <v>16912406</v>
      </c>
      <c r="BA552" s="35">
        <f>(VLOOKUP(Tabla44[[#This Row],[SERVICIO 2025]],$J$2:$V$15,3,0)*Tabla44[[#This Row],[TOTAL COBERTURA]])+VLOOKUP(Tabla44[[#This Row],[SERVICIO 2025]],$J$2:$V$15,10,0)*Tabla44[[#This Row],[TOTAL COBERTURA]]</f>
        <v>16912406</v>
      </c>
      <c r="BB552" s="35">
        <f>(VLOOKUP(Tabla44[[#This Row],[SERVICIO 2025]],$J$2:$V$15,3,0)*Tabla44[[#This Row],[TOTAL COBERTURA]])+VLOOKUP(Tabla44[[#This Row],[SERVICIO 2025]],$J$2:$V$15,10,0)*Tabla44[[#This Row],[TOTAL COBERTURA]]</f>
        <v>16912406</v>
      </c>
      <c r="BC552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18653092</v>
      </c>
      <c r="BD552" s="35">
        <f>SUM(Tabla44[[#This Row],[DESEMBOLSO 1]:[DESEMBOLSO 8]])</f>
        <v>139190158</v>
      </c>
      <c r="BE552" s="12" t="b">
        <f>EXACT(Tabla44[[#This Row],[VALOR ATENCIÓN (8 MESES)]],Tabla44[[#This Row],[VALOR TOTAL]])</f>
        <v>1</v>
      </c>
      <c r="BF552" s="23">
        <f>Tabla44[[#This Row],[VALOR ATENCIÓN (8 MESES)]]-Tabla44[[#This Row],[VALOR TOTAL]]</f>
        <v>0</v>
      </c>
      <c r="BG552" s="12" t="b">
        <f>EXACT(Tabla44[[#This Row],[TOTAL DESEMBOLSOS]],Tabla44[[#This Row],[VALOR TOTAL DEL CONTRATO INCLUIDO EL COMPONENTE DE ALIMENTACIÓN]])</f>
        <v>1</v>
      </c>
      <c r="BH552" s="29">
        <f>Tabla44[[#This Row],[TOTAL DESEMBOLSOS]]-Tabla44[[#This Row],[VALOR TOTAL DEL CONTRATO INCLUIDO EL COMPONENTE DE ALIMENTACIÓN]]</f>
        <v>0</v>
      </c>
      <c r="BI552" t="s">
        <v>98</v>
      </c>
    </row>
    <row r="553" spans="1:61">
      <c r="A553" s="13">
        <v>2033</v>
      </c>
      <c r="B553" s="13"/>
      <c r="C553" s="12" t="s">
        <v>87</v>
      </c>
      <c r="D553" s="12" t="s">
        <v>527</v>
      </c>
      <c r="E553" s="12" t="s">
        <v>3869</v>
      </c>
      <c r="F553" s="12" t="s">
        <v>21</v>
      </c>
      <c r="G553" s="12" t="s">
        <v>90</v>
      </c>
      <c r="H553" s="12" t="s">
        <v>3872</v>
      </c>
      <c r="I553" s="36">
        <v>52061136699</v>
      </c>
      <c r="J553" s="12" t="s">
        <v>3873</v>
      </c>
      <c r="K553" s="12">
        <v>1</v>
      </c>
      <c r="L553" s="12">
        <v>50</v>
      </c>
      <c r="M553" s="12"/>
      <c r="N553" s="13">
        <v>2033</v>
      </c>
      <c r="O553" s="12" t="s">
        <v>2850</v>
      </c>
      <c r="P553" s="12"/>
      <c r="Q553" s="12"/>
      <c r="R553" s="12" t="s">
        <v>94</v>
      </c>
      <c r="S553" s="12">
        <v>10</v>
      </c>
      <c r="T553" s="12">
        <v>800069965</v>
      </c>
      <c r="U553" s="12" t="s">
        <v>3864</v>
      </c>
      <c r="V553" s="12">
        <f>VLOOKUP(Tabla44[[#This Row],[ZONA DEFINITIVO]],[1]Hoja1!$A$1:$D$125,3,0)</f>
        <v>229949</v>
      </c>
      <c r="W553" s="12">
        <f>VLOOKUP(Tabla44[[#This Row],[ZONA DEFINITIVO]],[1]Hoja1!$A$1:$D$125,2,0)</f>
        <v>17270</v>
      </c>
      <c r="X553" s="12">
        <f>VLOOKUP(Tabla44[[#This Row],[ZONA DEFINITIVO]],[1]Hoja1!$A$1:$D$125,4,0)</f>
        <v>105425</v>
      </c>
      <c r="Y553" s="12" t="str">
        <f>+IF(Tabla44[[#This Row],[AGRUPACIONES]]=1,SUMIFS(Tabla44[UDS],Tabla44[ZONA DEFINITIVO],Tabla44[[#This Row],[ZONA DEFINITIVO]])," ")</f>
        <v xml:space="preserve"> </v>
      </c>
      <c r="Z553" s="12" t="str">
        <f>+IF(Tabla44[[#This Row],[AGRUPACIONES]]=1,SUMIFS(Tabla44[TOTAL COBERTURA],Tabla44[ZONA DEFINITIVO],Tabla44[[#This Row],[ZONA DEFINITIVO]])," ")</f>
        <v xml:space="preserve"> </v>
      </c>
      <c r="AA553" s="12"/>
      <c r="AB553" s="35">
        <v>75965250</v>
      </c>
      <c r="AC553" s="37">
        <v>0</v>
      </c>
      <c r="AD553" s="35">
        <f t="shared" si="9"/>
        <v>0</v>
      </c>
      <c r="AE553" s="12"/>
      <c r="AF553" s="12">
        <f>COUNTIF($A$20:A553,A553)</f>
        <v>6</v>
      </c>
      <c r="AG553" s="38">
        <v>75965250</v>
      </c>
      <c r="AH553" s="38">
        <f>Tabla44[[#This Row],[VALOR CONTRAPARTIDA]]+Tabla44[[#This Row],[TOTAL APORTES ICBF]]</f>
        <v>75965250</v>
      </c>
      <c r="AI553" s="35" t="str">
        <f>+IF(Tabla44[[#This Row],[AGRUPACIONES]]=1,SUMIFS(Tabla44[TOTAL APORTES ICBF],Tabla44[ZONA DEFINITIVO],Tabla44[[#This Row],[ZONA DEFINITIVO]])," ")</f>
        <v xml:space="preserve"> </v>
      </c>
      <c r="AJ553" s="38"/>
      <c r="AK553" s="38"/>
      <c r="AL553" s="35"/>
      <c r="AM553" s="35">
        <f>VLOOKUP(Tabla44[[#This Row],[SERVICIO 2025]],$J$2:$V$15,5,0)*Tabla44[[#This Row],[TOTAL COBERTURA]]</f>
        <v>2337200</v>
      </c>
      <c r="AN553" s="35">
        <f>VLOOKUP(Tabla44[[#This Row],[SERVICIO 2025]],$J$2:$V$15,6,0)*Tabla44[[#This Row],[TOTAL COBERTURA]]</f>
        <v>1892050</v>
      </c>
      <c r="AO553" s="35">
        <f>VLOOKUP(Tabla44[[#This Row],[SERVICIO 2025]],$J$2:$V$15,8,0)*Tabla44[[#This Row],[TOTAL COBERTURA]]</f>
        <v>0</v>
      </c>
      <c r="AP553" s="35">
        <f>VLOOKUP(Tabla44[[#This Row],[SERVICIO 2025]],$J$2:$V$15,3,0)*Tabla44[[#This Row],[TOTAL COBERTURA]]*8</f>
        <v>71736000</v>
      </c>
      <c r="AQ553" s="35"/>
      <c r="AR553" s="35">
        <f>SUM(Tabla44[[#This Row],[VALOR FASE PREPARATORIA DE ALISTAMIENTO]:[VALOR RACION PREPARADA]])</f>
        <v>75965250</v>
      </c>
      <c r="AS553" s="35" t="str">
        <f>+IF(Tabla44[[#This Row],[AGRUPACIONES]]=1,SUMIFS(Tabla44[VALOR TOTAL],Tabla44[ZONA DEFINITIVO],Tabla44[[#This Row],[ZONA DEFINITIVO]])," ")</f>
        <v xml:space="preserve"> </v>
      </c>
      <c r="AT553" s="35">
        <f>VLOOKUP(Tabla44[[#This Row],[SERVICIO 2025]],$J$2:$V$15,10,0)*Tabla44[[#This Row],[TOTAL COBERTURA]]*$X$7</f>
        <v>75328400</v>
      </c>
      <c r="AU553" s="39">
        <f>Tabla44[[#This Row],[TOTAL CONTRATO (ICBF+EAS)]]+Tabla44[[#This Row],[VALOR COMPONENTE ALIMENTACION NO ASIGNADO]]</f>
        <v>151293650</v>
      </c>
      <c r="AV553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20720250</v>
      </c>
      <c r="AW553" s="35">
        <f>(VLOOKUP(Tabla44[[#This Row],[SERVICIO 2025]],$J$2:$V$15,3,0)*Tabla44[[#This Row],[TOTAL COBERTURA]])+VLOOKUP(Tabla44[[#This Row],[SERVICIO 2025]],$J$2:$V$15,10,0)*Tabla44[[#This Row],[TOTAL COBERTURA]]</f>
        <v>18383050</v>
      </c>
      <c r="AX553" s="35">
        <f>(VLOOKUP(Tabla44[[#This Row],[SERVICIO 2025]],$J$2:$V$15,3,0)*Tabla44[[#This Row],[TOTAL COBERTURA]])+VLOOKUP(Tabla44[[#This Row],[SERVICIO 2025]],$J$2:$V$15,10,0)*Tabla44[[#This Row],[TOTAL COBERTURA]]</f>
        <v>18383050</v>
      </c>
      <c r="AY553" s="35">
        <f>(VLOOKUP(Tabla44[[#This Row],[SERVICIO 2025]],$J$2:$V$15,3,0)*Tabla44[[#This Row],[TOTAL COBERTURA]])+VLOOKUP(Tabla44[[#This Row],[SERVICIO 2025]],$J$2:$V$15,10,0)*Tabla44[[#This Row],[TOTAL COBERTURA]]</f>
        <v>18383050</v>
      </c>
      <c r="AZ553" s="35">
        <f>(VLOOKUP(Tabla44[[#This Row],[SERVICIO 2025]],$J$2:$V$15,3,0)*Tabla44[[#This Row],[TOTAL COBERTURA]])+VLOOKUP(Tabla44[[#This Row],[SERVICIO 2025]],$J$2:$V$15,10,0)*Tabla44[[#This Row],[TOTAL COBERTURA]]</f>
        <v>18383050</v>
      </c>
      <c r="BA553" s="35">
        <f>(VLOOKUP(Tabla44[[#This Row],[SERVICIO 2025]],$J$2:$V$15,3,0)*Tabla44[[#This Row],[TOTAL COBERTURA]])+VLOOKUP(Tabla44[[#This Row],[SERVICIO 2025]],$J$2:$V$15,10,0)*Tabla44[[#This Row],[TOTAL COBERTURA]]</f>
        <v>18383050</v>
      </c>
      <c r="BB553" s="35">
        <f>(VLOOKUP(Tabla44[[#This Row],[SERVICIO 2025]],$J$2:$V$15,3,0)*Tabla44[[#This Row],[TOTAL COBERTURA]])+VLOOKUP(Tabla44[[#This Row],[SERVICIO 2025]],$J$2:$V$15,10,0)*Tabla44[[#This Row],[TOTAL COBERTURA]]</f>
        <v>18383050</v>
      </c>
      <c r="BC553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20275100</v>
      </c>
      <c r="BD553" s="35">
        <f>SUM(Tabla44[[#This Row],[DESEMBOLSO 1]:[DESEMBOLSO 8]])</f>
        <v>151293650</v>
      </c>
      <c r="BE553" s="12" t="b">
        <f>EXACT(Tabla44[[#This Row],[VALOR ATENCIÓN (8 MESES)]],Tabla44[[#This Row],[VALOR TOTAL]])</f>
        <v>1</v>
      </c>
      <c r="BF553" s="23">
        <f>Tabla44[[#This Row],[VALOR ATENCIÓN (8 MESES)]]-Tabla44[[#This Row],[VALOR TOTAL]]</f>
        <v>0</v>
      </c>
      <c r="BG553" s="12" t="b">
        <f>EXACT(Tabla44[[#This Row],[TOTAL DESEMBOLSOS]],Tabla44[[#This Row],[VALOR TOTAL DEL CONTRATO INCLUIDO EL COMPONENTE DE ALIMENTACIÓN]])</f>
        <v>1</v>
      </c>
      <c r="BH553" s="29">
        <f>Tabla44[[#This Row],[TOTAL DESEMBOLSOS]]-Tabla44[[#This Row],[VALOR TOTAL DEL CONTRATO INCLUIDO EL COMPONENTE DE ALIMENTACIÓN]]</f>
        <v>0</v>
      </c>
      <c r="BI553" t="s">
        <v>98</v>
      </c>
    </row>
    <row r="554" spans="1:61">
      <c r="A554" s="13">
        <v>2033</v>
      </c>
      <c r="B554" s="13"/>
      <c r="C554" s="12" t="s">
        <v>87</v>
      </c>
      <c r="D554" s="12" t="s">
        <v>527</v>
      </c>
      <c r="E554" s="12" t="s">
        <v>3869</v>
      </c>
      <c r="F554" s="12" t="s">
        <v>21</v>
      </c>
      <c r="G554" s="12" t="s">
        <v>90</v>
      </c>
      <c r="H554" s="12" t="s">
        <v>3874</v>
      </c>
      <c r="I554" s="36">
        <v>52061143679</v>
      </c>
      <c r="J554" s="12" t="s">
        <v>2126</v>
      </c>
      <c r="K554" s="12">
        <v>1</v>
      </c>
      <c r="L554" s="12">
        <v>50</v>
      </c>
      <c r="M554" s="12"/>
      <c r="N554" s="13">
        <v>2033</v>
      </c>
      <c r="O554" s="12" t="s">
        <v>2850</v>
      </c>
      <c r="P554" s="12"/>
      <c r="Q554" s="12"/>
      <c r="R554" s="12" t="s">
        <v>94</v>
      </c>
      <c r="S554" s="12">
        <v>10</v>
      </c>
      <c r="T554" s="12">
        <v>800069965</v>
      </c>
      <c r="U554" s="12" t="s">
        <v>3864</v>
      </c>
      <c r="V554" s="12">
        <f>VLOOKUP(Tabla44[[#This Row],[ZONA DEFINITIVO]],[1]Hoja1!$A$1:$D$125,3,0)</f>
        <v>229949</v>
      </c>
      <c r="W554" s="12">
        <f>VLOOKUP(Tabla44[[#This Row],[ZONA DEFINITIVO]],[1]Hoja1!$A$1:$D$125,2,0)</f>
        <v>17270</v>
      </c>
      <c r="X554" s="12">
        <f>VLOOKUP(Tabla44[[#This Row],[ZONA DEFINITIVO]],[1]Hoja1!$A$1:$D$125,4,0)</f>
        <v>105425</v>
      </c>
      <c r="Y554" s="12" t="str">
        <f>+IF(Tabla44[[#This Row],[AGRUPACIONES]]=1,SUMIFS(Tabla44[UDS],Tabla44[ZONA DEFINITIVO],Tabla44[[#This Row],[ZONA DEFINITIVO]])," ")</f>
        <v xml:space="preserve"> </v>
      </c>
      <c r="Z554" s="12" t="str">
        <f>+IF(Tabla44[[#This Row],[AGRUPACIONES]]=1,SUMIFS(Tabla44[TOTAL COBERTURA],Tabla44[ZONA DEFINITIVO],Tabla44[[#This Row],[ZONA DEFINITIVO]])," ")</f>
        <v xml:space="preserve"> </v>
      </c>
      <c r="AA554" s="12"/>
      <c r="AB554" s="35">
        <v>75965250</v>
      </c>
      <c r="AC554" s="37">
        <v>0</v>
      </c>
      <c r="AD554" s="35">
        <f t="shared" si="9"/>
        <v>0</v>
      </c>
      <c r="AE554" s="12"/>
      <c r="AF554" s="12">
        <f>COUNTIF($A$20:A554,A554)</f>
        <v>7</v>
      </c>
      <c r="AG554" s="38">
        <v>75965250</v>
      </c>
      <c r="AH554" s="38">
        <f>Tabla44[[#This Row],[VALOR CONTRAPARTIDA]]+Tabla44[[#This Row],[TOTAL APORTES ICBF]]</f>
        <v>75965250</v>
      </c>
      <c r="AI554" s="35" t="str">
        <f>+IF(Tabla44[[#This Row],[AGRUPACIONES]]=1,SUMIFS(Tabla44[TOTAL APORTES ICBF],Tabla44[ZONA DEFINITIVO],Tabla44[[#This Row],[ZONA DEFINITIVO]])," ")</f>
        <v xml:space="preserve"> </v>
      </c>
      <c r="AJ554" s="38"/>
      <c r="AK554" s="38"/>
      <c r="AL554" s="35"/>
      <c r="AM554" s="35">
        <f>VLOOKUP(Tabla44[[#This Row],[SERVICIO 2025]],$J$2:$V$15,5,0)*Tabla44[[#This Row],[TOTAL COBERTURA]]</f>
        <v>2337200</v>
      </c>
      <c r="AN554" s="35">
        <f>VLOOKUP(Tabla44[[#This Row],[SERVICIO 2025]],$J$2:$V$15,6,0)*Tabla44[[#This Row],[TOTAL COBERTURA]]</f>
        <v>1892050</v>
      </c>
      <c r="AO554" s="35">
        <f>VLOOKUP(Tabla44[[#This Row],[SERVICIO 2025]],$J$2:$V$15,8,0)*Tabla44[[#This Row],[TOTAL COBERTURA]]</f>
        <v>0</v>
      </c>
      <c r="AP554" s="35">
        <f>VLOOKUP(Tabla44[[#This Row],[SERVICIO 2025]],$J$2:$V$15,3,0)*Tabla44[[#This Row],[TOTAL COBERTURA]]*8</f>
        <v>71736000</v>
      </c>
      <c r="AQ554" s="35"/>
      <c r="AR554" s="35">
        <f>SUM(Tabla44[[#This Row],[VALOR FASE PREPARATORIA DE ALISTAMIENTO]:[VALOR RACION PREPARADA]])</f>
        <v>75965250</v>
      </c>
      <c r="AS554" s="35" t="str">
        <f>+IF(Tabla44[[#This Row],[AGRUPACIONES]]=1,SUMIFS(Tabla44[VALOR TOTAL],Tabla44[ZONA DEFINITIVO],Tabla44[[#This Row],[ZONA DEFINITIVO]])," ")</f>
        <v xml:space="preserve"> </v>
      </c>
      <c r="AT554" s="35">
        <f>VLOOKUP(Tabla44[[#This Row],[SERVICIO 2025]],$J$2:$V$15,10,0)*Tabla44[[#This Row],[TOTAL COBERTURA]]*$X$7</f>
        <v>75328400</v>
      </c>
      <c r="AU554" s="39">
        <f>Tabla44[[#This Row],[TOTAL CONTRATO (ICBF+EAS)]]+Tabla44[[#This Row],[VALOR COMPONENTE ALIMENTACION NO ASIGNADO]]</f>
        <v>151293650</v>
      </c>
      <c r="AV554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20720250</v>
      </c>
      <c r="AW554" s="35">
        <f>(VLOOKUP(Tabla44[[#This Row],[SERVICIO 2025]],$J$2:$V$15,3,0)*Tabla44[[#This Row],[TOTAL COBERTURA]])+VLOOKUP(Tabla44[[#This Row],[SERVICIO 2025]],$J$2:$V$15,10,0)*Tabla44[[#This Row],[TOTAL COBERTURA]]</f>
        <v>18383050</v>
      </c>
      <c r="AX554" s="35">
        <f>(VLOOKUP(Tabla44[[#This Row],[SERVICIO 2025]],$J$2:$V$15,3,0)*Tabla44[[#This Row],[TOTAL COBERTURA]])+VLOOKUP(Tabla44[[#This Row],[SERVICIO 2025]],$J$2:$V$15,10,0)*Tabla44[[#This Row],[TOTAL COBERTURA]]</f>
        <v>18383050</v>
      </c>
      <c r="AY554" s="35">
        <f>(VLOOKUP(Tabla44[[#This Row],[SERVICIO 2025]],$J$2:$V$15,3,0)*Tabla44[[#This Row],[TOTAL COBERTURA]])+VLOOKUP(Tabla44[[#This Row],[SERVICIO 2025]],$J$2:$V$15,10,0)*Tabla44[[#This Row],[TOTAL COBERTURA]]</f>
        <v>18383050</v>
      </c>
      <c r="AZ554" s="35">
        <f>(VLOOKUP(Tabla44[[#This Row],[SERVICIO 2025]],$J$2:$V$15,3,0)*Tabla44[[#This Row],[TOTAL COBERTURA]])+VLOOKUP(Tabla44[[#This Row],[SERVICIO 2025]],$J$2:$V$15,10,0)*Tabla44[[#This Row],[TOTAL COBERTURA]]</f>
        <v>18383050</v>
      </c>
      <c r="BA554" s="35">
        <f>(VLOOKUP(Tabla44[[#This Row],[SERVICIO 2025]],$J$2:$V$15,3,0)*Tabla44[[#This Row],[TOTAL COBERTURA]])+VLOOKUP(Tabla44[[#This Row],[SERVICIO 2025]],$J$2:$V$15,10,0)*Tabla44[[#This Row],[TOTAL COBERTURA]]</f>
        <v>18383050</v>
      </c>
      <c r="BB554" s="35">
        <f>(VLOOKUP(Tabla44[[#This Row],[SERVICIO 2025]],$J$2:$V$15,3,0)*Tabla44[[#This Row],[TOTAL COBERTURA]])+VLOOKUP(Tabla44[[#This Row],[SERVICIO 2025]],$J$2:$V$15,10,0)*Tabla44[[#This Row],[TOTAL COBERTURA]]</f>
        <v>18383050</v>
      </c>
      <c r="BC554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20275100</v>
      </c>
      <c r="BD554" s="35">
        <f>SUM(Tabla44[[#This Row],[DESEMBOLSO 1]:[DESEMBOLSO 8]])</f>
        <v>151293650</v>
      </c>
      <c r="BE554" s="12" t="b">
        <f>EXACT(Tabla44[[#This Row],[VALOR ATENCIÓN (8 MESES)]],Tabla44[[#This Row],[VALOR TOTAL]])</f>
        <v>1</v>
      </c>
      <c r="BF554" s="23">
        <f>Tabla44[[#This Row],[VALOR ATENCIÓN (8 MESES)]]-Tabla44[[#This Row],[VALOR TOTAL]]</f>
        <v>0</v>
      </c>
      <c r="BG554" s="12" t="b">
        <f>EXACT(Tabla44[[#This Row],[TOTAL DESEMBOLSOS]],Tabla44[[#This Row],[VALOR TOTAL DEL CONTRATO INCLUIDO EL COMPONENTE DE ALIMENTACIÓN]])</f>
        <v>1</v>
      </c>
      <c r="BH554" s="29">
        <f>Tabla44[[#This Row],[TOTAL DESEMBOLSOS]]-Tabla44[[#This Row],[VALOR TOTAL DEL CONTRATO INCLUIDO EL COMPONENTE DE ALIMENTACIÓN]]</f>
        <v>0</v>
      </c>
      <c r="BI554" t="s">
        <v>98</v>
      </c>
    </row>
    <row r="555" spans="1:61">
      <c r="A555" s="21">
        <v>2033</v>
      </c>
      <c r="B555" s="21"/>
      <c r="C555" s="22" t="s">
        <v>87</v>
      </c>
      <c r="D555" s="22" t="s">
        <v>527</v>
      </c>
      <c r="E555" s="22" t="s">
        <v>3869</v>
      </c>
      <c r="F555" s="22" t="s">
        <v>14</v>
      </c>
      <c r="G555" s="12" t="s">
        <v>90</v>
      </c>
      <c r="H555" s="22" t="s">
        <v>3875</v>
      </c>
      <c r="I555" s="36">
        <v>520600025308</v>
      </c>
      <c r="J555" s="22" t="s">
        <v>3876</v>
      </c>
      <c r="K555" s="12">
        <v>1</v>
      </c>
      <c r="L555" s="22">
        <v>50</v>
      </c>
      <c r="M555" s="22"/>
      <c r="N555" s="21">
        <v>2033</v>
      </c>
      <c r="O555" s="22" t="s">
        <v>2850</v>
      </c>
      <c r="P555" s="22"/>
      <c r="Q555" s="22"/>
      <c r="R555" s="12" t="s">
        <v>94</v>
      </c>
      <c r="S555" s="12">
        <v>10</v>
      </c>
      <c r="T555" s="12">
        <v>800069965</v>
      </c>
      <c r="U555" s="12" t="s">
        <v>3864</v>
      </c>
      <c r="V555" s="22">
        <f>VLOOKUP(Tabla44[[#This Row],[ZONA DEFINITIVO]],[1]Hoja1!$A$1:$D$125,3,0)</f>
        <v>229949</v>
      </c>
      <c r="W555" s="22">
        <f>VLOOKUP(Tabla44[[#This Row],[ZONA DEFINITIVO]],[1]Hoja1!$A$1:$D$125,2,0)</f>
        <v>17270</v>
      </c>
      <c r="X555" s="22">
        <f>VLOOKUP(Tabla44[[#This Row],[ZONA DEFINITIVO]],[1]Hoja1!$A$1:$D$125,4,0)</f>
        <v>105425</v>
      </c>
      <c r="Y555" s="22" t="str">
        <f>+IF(Tabla44[[#This Row],[AGRUPACIONES]]=1,SUMIFS(Tabla44[UDS],Tabla44[ZONA DEFINITIVO],Tabla44[[#This Row],[ZONA DEFINITIVO]])," ")</f>
        <v xml:space="preserve"> </v>
      </c>
      <c r="Z555" s="22" t="str">
        <f>+IF(Tabla44[[#This Row],[AGRUPACIONES]]=1,SUMIFS(Tabla44[TOTAL COBERTURA],Tabla44[ZONA DEFINITIVO],Tabla44[[#This Row],[ZONA DEFINITIVO]])," ")</f>
        <v xml:space="preserve"> </v>
      </c>
      <c r="AA555" s="22"/>
      <c r="AB555" s="40">
        <v>209442500</v>
      </c>
      <c r="AC555" s="37">
        <v>0</v>
      </c>
      <c r="AD555" s="40">
        <f t="shared" si="9"/>
        <v>0</v>
      </c>
      <c r="AE555" s="22"/>
      <c r="AF555" s="12">
        <f>COUNTIF($A$20:A555,A555)</f>
        <v>8</v>
      </c>
      <c r="AG555" s="41">
        <v>209442500</v>
      </c>
      <c r="AH555" s="41">
        <f>Tabla44[[#This Row],[VALOR CONTRAPARTIDA]]+Tabla44[[#This Row],[TOTAL APORTES ICBF]]</f>
        <v>209442500</v>
      </c>
      <c r="AI555" s="40" t="str">
        <f>+IF(Tabla44[[#This Row],[AGRUPACIONES]]=1,SUMIFS(Tabla44[TOTAL APORTES ICBF],Tabla44[ZONA DEFINITIVO],Tabla44[[#This Row],[ZONA DEFINITIVO]])," ")</f>
        <v xml:space="preserve"> </v>
      </c>
      <c r="AJ555" s="41"/>
      <c r="AK555" s="41"/>
      <c r="AL555" s="40"/>
      <c r="AM555" s="40">
        <f>VLOOKUP(Tabla44[[#This Row],[SERVICIO 2025]],$J$2:$V$15,5,0)*Tabla44[[#This Row],[TOTAL COBERTURA]]</f>
        <v>4407150</v>
      </c>
      <c r="AN555" s="40">
        <f>VLOOKUP(Tabla44[[#This Row],[SERVICIO 2025]],$J$2:$V$15,6,0)*Tabla44[[#This Row],[TOTAL COBERTURA]]</f>
        <v>3752150</v>
      </c>
      <c r="AO555" s="40">
        <f>VLOOKUP(Tabla44[[#This Row],[SERVICIO 2025]],$J$2:$V$15,8,0)*Tabla44[[#This Row],[TOTAL COBERTURA]]</f>
        <v>0</v>
      </c>
      <c r="AP555" s="40">
        <f>VLOOKUP(Tabla44[[#This Row],[SERVICIO 2025]],$J$2:$V$15,3,0)*Tabla44[[#This Row],[TOTAL COBERTURA]]*8</f>
        <v>201283200</v>
      </c>
      <c r="AQ555" s="40"/>
      <c r="AR555" s="40">
        <f>SUM(Tabla44[[#This Row],[VALOR FASE PREPARATORIA DE ALISTAMIENTO]:[VALOR RACION PREPARADA]])</f>
        <v>209442500</v>
      </c>
      <c r="AS555" s="40" t="str">
        <f>+IF(Tabla44[[#This Row],[AGRUPACIONES]]=1,SUMIFS(Tabla44[VALOR TOTAL],Tabla44[ZONA DEFINITIVO],Tabla44[[#This Row],[ZONA DEFINITIVO]])," ")</f>
        <v xml:space="preserve"> </v>
      </c>
      <c r="AT555" s="35">
        <f>VLOOKUP(Tabla44[[#This Row],[SERVICIO 2025]],$J$2:$V$15,10,0)*Tabla44[[#This Row],[TOTAL COBERTURA]]*$X$7</f>
        <v>0</v>
      </c>
      <c r="AU555" s="42">
        <f>Tabla44[[#This Row],[TOTAL CONTRATO (ICBF+EAS)]]+Tabla44[[#This Row],[VALOR COMPONENTE ALIMENTACION NO ASIGNADO]]</f>
        <v>209442500</v>
      </c>
      <c r="AV555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29567550</v>
      </c>
      <c r="AW555" s="35">
        <f>(VLOOKUP(Tabla44[[#This Row],[SERVICIO 2025]],$J$2:$V$15,3,0)*Tabla44[[#This Row],[TOTAL COBERTURA]])+VLOOKUP(Tabla44[[#This Row],[SERVICIO 2025]],$J$2:$V$15,10,0)*Tabla44[[#This Row],[TOTAL COBERTURA]]</f>
        <v>25160400</v>
      </c>
      <c r="AX555" s="40">
        <f>(VLOOKUP(Tabla44[[#This Row],[SERVICIO 2025]],$J$2:$V$15,3,0)*Tabla44[[#This Row],[TOTAL COBERTURA]])+VLOOKUP(Tabla44[[#This Row],[SERVICIO 2025]],$J$2:$V$15,10,0)*Tabla44[[#This Row],[TOTAL COBERTURA]]</f>
        <v>25160400</v>
      </c>
      <c r="AY555" s="40">
        <f>(VLOOKUP(Tabla44[[#This Row],[SERVICIO 2025]],$J$2:$V$15,3,0)*Tabla44[[#This Row],[TOTAL COBERTURA]])+VLOOKUP(Tabla44[[#This Row],[SERVICIO 2025]],$J$2:$V$15,10,0)*Tabla44[[#This Row],[TOTAL COBERTURA]]</f>
        <v>25160400</v>
      </c>
      <c r="AZ555" s="40">
        <f>(VLOOKUP(Tabla44[[#This Row],[SERVICIO 2025]],$J$2:$V$15,3,0)*Tabla44[[#This Row],[TOTAL COBERTURA]])+VLOOKUP(Tabla44[[#This Row],[SERVICIO 2025]],$J$2:$V$15,10,0)*Tabla44[[#This Row],[TOTAL COBERTURA]]</f>
        <v>25160400</v>
      </c>
      <c r="BA555" s="40">
        <f>(VLOOKUP(Tabla44[[#This Row],[SERVICIO 2025]],$J$2:$V$15,3,0)*Tabla44[[#This Row],[TOTAL COBERTURA]])+VLOOKUP(Tabla44[[#This Row],[SERVICIO 2025]],$J$2:$V$15,10,0)*Tabla44[[#This Row],[TOTAL COBERTURA]]</f>
        <v>25160400</v>
      </c>
      <c r="BB555" s="40">
        <f>(VLOOKUP(Tabla44[[#This Row],[SERVICIO 2025]],$J$2:$V$15,3,0)*Tabla44[[#This Row],[TOTAL COBERTURA]])+VLOOKUP(Tabla44[[#This Row],[SERVICIO 2025]],$J$2:$V$15,10,0)*Tabla44[[#This Row],[TOTAL COBERTURA]]</f>
        <v>25160400</v>
      </c>
      <c r="BC555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28912550</v>
      </c>
      <c r="BD555" s="40">
        <f>SUM(Tabla44[[#This Row],[DESEMBOLSO 1]:[DESEMBOLSO 8]])</f>
        <v>209442500</v>
      </c>
      <c r="BE555" s="22" t="b">
        <f>EXACT(Tabla44[[#This Row],[VALOR ATENCIÓN (8 MESES)]],Tabla44[[#This Row],[VALOR TOTAL]])</f>
        <v>1</v>
      </c>
      <c r="BF555" s="28">
        <f>Tabla44[[#This Row],[VALOR ATENCIÓN (8 MESES)]]-Tabla44[[#This Row],[VALOR TOTAL]]</f>
        <v>0</v>
      </c>
      <c r="BG555" s="22" t="b">
        <f>EXACT(Tabla44[[#This Row],[TOTAL DESEMBOLSOS]],Tabla44[[#This Row],[VALOR TOTAL DEL CONTRATO INCLUIDO EL COMPONENTE DE ALIMENTACIÓN]])</f>
        <v>1</v>
      </c>
      <c r="BH555" s="29">
        <f>Tabla44[[#This Row],[TOTAL DESEMBOLSOS]]-Tabla44[[#This Row],[VALOR TOTAL DEL CONTRATO INCLUIDO EL COMPONENTE DE ALIMENTACIÓN]]</f>
        <v>0</v>
      </c>
      <c r="BI555" t="s">
        <v>98</v>
      </c>
    </row>
    <row r="556" spans="1:61">
      <c r="A556" s="21">
        <v>2033</v>
      </c>
      <c r="B556" s="21"/>
      <c r="C556" s="22" t="s">
        <v>87</v>
      </c>
      <c r="D556" s="22" t="s">
        <v>527</v>
      </c>
      <c r="E556" s="12" t="s">
        <v>3877</v>
      </c>
      <c r="F556" s="12" t="s">
        <v>21</v>
      </c>
      <c r="G556" s="12" t="s">
        <v>90</v>
      </c>
      <c r="H556" s="12" t="s">
        <v>760</v>
      </c>
      <c r="I556" s="43">
        <v>56741143764</v>
      </c>
      <c r="J556" s="12" t="s">
        <v>3878</v>
      </c>
      <c r="K556" s="12">
        <v>1</v>
      </c>
      <c r="L556" s="12">
        <v>50</v>
      </c>
      <c r="M556" s="12"/>
      <c r="N556" s="21">
        <v>2033</v>
      </c>
      <c r="O556" s="12" t="s">
        <v>2850</v>
      </c>
      <c r="P556" s="12"/>
      <c r="Q556" s="12"/>
      <c r="R556" s="12" t="s">
        <v>94</v>
      </c>
      <c r="S556" s="12">
        <v>10</v>
      </c>
      <c r="T556" s="12">
        <v>800069965</v>
      </c>
      <c r="U556" s="12" t="s">
        <v>3864</v>
      </c>
      <c r="V556" s="12">
        <f>VLOOKUP(Tabla44[[#This Row],[ZONA DEFINITIVO]],[1]Hoja1!$A$1:$D$125,3,0)</f>
        <v>229949</v>
      </c>
      <c r="W556" s="12">
        <f>VLOOKUP(Tabla44[[#This Row],[ZONA DEFINITIVO]],[1]Hoja1!$A$1:$D$125,2,0)</f>
        <v>17270</v>
      </c>
      <c r="X556" s="12">
        <f>VLOOKUP(Tabla44[[#This Row],[ZONA DEFINITIVO]],[1]Hoja1!$A$1:$D$125,4,0)</f>
        <v>105425</v>
      </c>
      <c r="Y556" s="12" t="str">
        <f>+IF(Tabla44[[#This Row],[AGRUPACIONES]]=1,SUMIFS(Tabla44[UDS],Tabla44[ZONA DEFINITIVO],Tabla44[[#This Row],[ZONA DEFINITIVO]])," ")</f>
        <v xml:space="preserve"> </v>
      </c>
      <c r="Z556" s="12" t="str">
        <f>+IF(Tabla44[[#This Row],[AGRUPACIONES]]=1,SUMIFS(Tabla44[TOTAL COBERTURA],Tabla44[ZONA DEFINITIVO],Tabla44[[#This Row],[ZONA DEFINITIVO]])," ")</f>
        <v xml:space="preserve"> </v>
      </c>
      <c r="AA556" s="12"/>
      <c r="AB556" s="35">
        <v>75965250</v>
      </c>
      <c r="AC556" s="37">
        <v>0</v>
      </c>
      <c r="AD556" s="35">
        <f t="shared" si="9"/>
        <v>0</v>
      </c>
      <c r="AE556" s="12"/>
      <c r="AF556" s="12">
        <f>COUNTIF($A$20:A556,A556)</f>
        <v>9</v>
      </c>
      <c r="AG556" s="38">
        <v>75965250</v>
      </c>
      <c r="AH556" s="38">
        <f>Tabla44[[#This Row],[VALOR CONTRAPARTIDA]]+Tabla44[[#This Row],[TOTAL APORTES ICBF]]</f>
        <v>75965250</v>
      </c>
      <c r="AI556" s="35" t="str">
        <f>+IF(Tabla44[[#This Row],[AGRUPACIONES]]=1,SUMIFS(Tabla44[TOTAL APORTES ICBF],Tabla44[ZONA DEFINITIVO],Tabla44[[#This Row],[ZONA DEFINITIVO]])," ")</f>
        <v xml:space="preserve"> </v>
      </c>
      <c r="AJ556" s="38"/>
      <c r="AK556" s="38"/>
      <c r="AL556" s="35"/>
      <c r="AM556" s="35">
        <f>VLOOKUP(Tabla44[[#This Row],[SERVICIO 2025]],$J$2:$V$15,5,0)*Tabla44[[#This Row],[TOTAL COBERTURA]]</f>
        <v>2337200</v>
      </c>
      <c r="AN556" s="35">
        <f>VLOOKUP(Tabla44[[#This Row],[SERVICIO 2025]],$J$2:$V$15,6,0)*Tabla44[[#This Row],[TOTAL COBERTURA]]</f>
        <v>1892050</v>
      </c>
      <c r="AO556" s="35">
        <f>VLOOKUP(Tabla44[[#This Row],[SERVICIO 2025]],$J$2:$V$15,8,0)*Tabla44[[#This Row],[TOTAL COBERTURA]]</f>
        <v>0</v>
      </c>
      <c r="AP556" s="35">
        <f>VLOOKUP(Tabla44[[#This Row],[SERVICIO 2025]],$J$2:$V$15,3,0)*Tabla44[[#This Row],[TOTAL COBERTURA]]*8</f>
        <v>71736000</v>
      </c>
      <c r="AQ556" s="35"/>
      <c r="AR556" s="35">
        <f>SUM(Tabla44[[#This Row],[VALOR FASE PREPARATORIA DE ALISTAMIENTO]:[VALOR RACION PREPARADA]])</f>
        <v>75965250</v>
      </c>
      <c r="AS556" s="35" t="str">
        <f>+IF(Tabla44[[#This Row],[AGRUPACIONES]]=1,SUMIFS(Tabla44[VALOR TOTAL],Tabla44[ZONA DEFINITIVO],Tabla44[[#This Row],[ZONA DEFINITIVO]])," ")</f>
        <v xml:space="preserve"> </v>
      </c>
      <c r="AT556" s="35">
        <f>VLOOKUP(Tabla44[[#This Row],[SERVICIO 2025]],$J$2:$V$15,10,0)*Tabla44[[#This Row],[TOTAL COBERTURA]]*$X$7</f>
        <v>75328400</v>
      </c>
      <c r="AU556" s="39">
        <f>Tabla44[[#This Row],[TOTAL CONTRATO (ICBF+EAS)]]+Tabla44[[#This Row],[VALOR COMPONENTE ALIMENTACION NO ASIGNADO]]</f>
        <v>151293650</v>
      </c>
      <c r="AV556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20720250</v>
      </c>
      <c r="AW556" s="35">
        <f>(VLOOKUP(Tabla44[[#This Row],[SERVICIO 2025]],$J$2:$V$15,3,0)*Tabla44[[#This Row],[TOTAL COBERTURA]])+VLOOKUP(Tabla44[[#This Row],[SERVICIO 2025]],$J$2:$V$15,10,0)*Tabla44[[#This Row],[TOTAL COBERTURA]]</f>
        <v>18383050</v>
      </c>
      <c r="AX556" s="35">
        <f>(VLOOKUP(Tabla44[[#This Row],[SERVICIO 2025]],$J$2:$V$15,3,0)*Tabla44[[#This Row],[TOTAL COBERTURA]])+VLOOKUP(Tabla44[[#This Row],[SERVICIO 2025]],$J$2:$V$15,10,0)*Tabla44[[#This Row],[TOTAL COBERTURA]]</f>
        <v>18383050</v>
      </c>
      <c r="AY556" s="35">
        <f>(VLOOKUP(Tabla44[[#This Row],[SERVICIO 2025]],$J$2:$V$15,3,0)*Tabla44[[#This Row],[TOTAL COBERTURA]])+VLOOKUP(Tabla44[[#This Row],[SERVICIO 2025]],$J$2:$V$15,10,0)*Tabla44[[#This Row],[TOTAL COBERTURA]]</f>
        <v>18383050</v>
      </c>
      <c r="AZ556" s="35">
        <f>(VLOOKUP(Tabla44[[#This Row],[SERVICIO 2025]],$J$2:$V$15,3,0)*Tabla44[[#This Row],[TOTAL COBERTURA]])+VLOOKUP(Tabla44[[#This Row],[SERVICIO 2025]],$J$2:$V$15,10,0)*Tabla44[[#This Row],[TOTAL COBERTURA]]</f>
        <v>18383050</v>
      </c>
      <c r="BA556" s="35">
        <f>(VLOOKUP(Tabla44[[#This Row],[SERVICIO 2025]],$J$2:$V$15,3,0)*Tabla44[[#This Row],[TOTAL COBERTURA]])+VLOOKUP(Tabla44[[#This Row],[SERVICIO 2025]],$J$2:$V$15,10,0)*Tabla44[[#This Row],[TOTAL COBERTURA]]</f>
        <v>18383050</v>
      </c>
      <c r="BB556" s="35">
        <f>(VLOOKUP(Tabla44[[#This Row],[SERVICIO 2025]],$J$2:$V$15,3,0)*Tabla44[[#This Row],[TOTAL COBERTURA]])+VLOOKUP(Tabla44[[#This Row],[SERVICIO 2025]],$J$2:$V$15,10,0)*Tabla44[[#This Row],[TOTAL COBERTURA]]</f>
        <v>18383050</v>
      </c>
      <c r="BC556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20275100</v>
      </c>
      <c r="BD556" s="35">
        <f>SUM(Tabla44[[#This Row],[DESEMBOLSO 1]:[DESEMBOLSO 8]])</f>
        <v>151293650</v>
      </c>
      <c r="BE556" s="12" t="b">
        <f>EXACT(Tabla44[[#This Row],[VALOR ATENCIÓN (8 MESES)]],Tabla44[[#This Row],[VALOR TOTAL]])</f>
        <v>1</v>
      </c>
      <c r="BF556" s="23">
        <f>Tabla44[[#This Row],[VALOR ATENCIÓN (8 MESES)]]-Tabla44[[#This Row],[VALOR TOTAL]]</f>
        <v>0</v>
      </c>
      <c r="BG556" s="12" t="b">
        <f>EXACT(Tabla44[[#This Row],[TOTAL DESEMBOLSOS]],Tabla44[[#This Row],[VALOR TOTAL DEL CONTRATO INCLUIDO EL COMPONENTE DE ALIMENTACIÓN]])</f>
        <v>1</v>
      </c>
      <c r="BH556" s="29">
        <f>Tabla44[[#This Row],[TOTAL DESEMBOLSOS]]-Tabla44[[#This Row],[VALOR TOTAL DEL CONTRATO INCLUIDO EL COMPONENTE DE ALIMENTACIÓN]]</f>
        <v>0</v>
      </c>
      <c r="BI556" t="s">
        <v>98</v>
      </c>
    </row>
    <row r="557" spans="1:61">
      <c r="A557" s="21">
        <v>2033</v>
      </c>
      <c r="B557" s="21"/>
      <c r="C557" s="22" t="s">
        <v>87</v>
      </c>
      <c r="D557" s="22" t="s">
        <v>527</v>
      </c>
      <c r="E557" s="12" t="s">
        <v>3877</v>
      </c>
      <c r="F557" s="22" t="s">
        <v>21</v>
      </c>
      <c r="G557" s="12" t="s">
        <v>90</v>
      </c>
      <c r="H557" s="22" t="s">
        <v>1323</v>
      </c>
      <c r="I557" s="44">
        <v>56741148714</v>
      </c>
      <c r="J557" s="22" t="s">
        <v>3879</v>
      </c>
      <c r="K557" s="22">
        <v>1</v>
      </c>
      <c r="L557" s="22">
        <v>50</v>
      </c>
      <c r="M557" s="22"/>
      <c r="N557" s="21">
        <v>2033</v>
      </c>
      <c r="O557" s="22" t="s">
        <v>2850</v>
      </c>
      <c r="P557" s="22"/>
      <c r="Q557" s="22"/>
      <c r="R557" s="12" t="s">
        <v>94</v>
      </c>
      <c r="S557" s="12">
        <v>10</v>
      </c>
      <c r="T557" s="12">
        <v>800069965</v>
      </c>
      <c r="U557" s="12" t="s">
        <v>3864</v>
      </c>
      <c r="V557" s="22">
        <f>VLOOKUP(Tabla44[[#This Row],[ZONA DEFINITIVO]],[1]Hoja1!$A$1:$D$125,3,0)</f>
        <v>229949</v>
      </c>
      <c r="W557" s="22">
        <f>VLOOKUP(Tabla44[[#This Row],[ZONA DEFINITIVO]],[1]Hoja1!$A$1:$D$125,2,0)</f>
        <v>17270</v>
      </c>
      <c r="X557" s="22">
        <f>VLOOKUP(Tabla44[[#This Row],[ZONA DEFINITIVO]],[1]Hoja1!$A$1:$D$125,4,0)</f>
        <v>105425</v>
      </c>
      <c r="Y557" s="22" t="str">
        <f>+IF(Tabla44[[#This Row],[AGRUPACIONES]]=1,SUMIFS(Tabla44[UDS],Tabla44[ZONA DEFINITIVO],Tabla44[[#This Row],[ZONA DEFINITIVO]])," ")</f>
        <v xml:space="preserve"> </v>
      </c>
      <c r="Z557" s="22" t="str">
        <f>+IF(Tabla44[[#This Row],[AGRUPACIONES]]=1,SUMIFS(Tabla44[TOTAL COBERTURA],Tabla44[ZONA DEFINITIVO],Tabla44[[#This Row],[ZONA DEFINITIVO]])," ")</f>
        <v xml:space="preserve"> </v>
      </c>
      <c r="AA557" s="22"/>
      <c r="AB557" s="40">
        <v>75965250</v>
      </c>
      <c r="AC557" s="37">
        <v>0</v>
      </c>
      <c r="AD557" s="40">
        <f t="shared" si="9"/>
        <v>0</v>
      </c>
      <c r="AE557" s="22"/>
      <c r="AF557" s="22">
        <f>COUNTIF($A$20:A557,A557)</f>
        <v>10</v>
      </c>
      <c r="AG557" s="41">
        <v>75965250</v>
      </c>
      <c r="AH557" s="41">
        <f>Tabla44[[#This Row],[VALOR CONTRAPARTIDA]]+Tabla44[[#This Row],[TOTAL APORTES ICBF]]</f>
        <v>75965250</v>
      </c>
      <c r="AI557" s="40" t="str">
        <f>+IF(Tabla44[[#This Row],[AGRUPACIONES]]=1,SUMIFS(Tabla44[TOTAL APORTES ICBF],Tabla44[ZONA DEFINITIVO],Tabla44[[#This Row],[ZONA DEFINITIVO]])," ")</f>
        <v xml:space="preserve"> </v>
      </c>
      <c r="AJ557" s="41"/>
      <c r="AK557" s="41"/>
      <c r="AL557" s="40"/>
      <c r="AM557" s="40">
        <f>VLOOKUP(Tabla44[[#This Row],[SERVICIO 2025]],$J$2:$V$15,5,0)*Tabla44[[#This Row],[TOTAL COBERTURA]]</f>
        <v>2337200</v>
      </c>
      <c r="AN557" s="40">
        <f>VLOOKUP(Tabla44[[#This Row],[SERVICIO 2025]],$J$2:$V$15,6,0)*Tabla44[[#This Row],[TOTAL COBERTURA]]</f>
        <v>1892050</v>
      </c>
      <c r="AO557" s="40">
        <f>VLOOKUP(Tabla44[[#This Row],[SERVICIO 2025]],$J$2:$V$15,8,0)*Tabla44[[#This Row],[TOTAL COBERTURA]]</f>
        <v>0</v>
      </c>
      <c r="AP557" s="40">
        <f>VLOOKUP(Tabla44[[#This Row],[SERVICIO 2025]],$J$2:$V$15,3,0)*Tabla44[[#This Row],[TOTAL COBERTURA]]*8</f>
        <v>71736000</v>
      </c>
      <c r="AQ557" s="40"/>
      <c r="AR557" s="40">
        <f>SUM(Tabla44[[#This Row],[VALOR FASE PREPARATORIA DE ALISTAMIENTO]:[VALOR RACION PREPARADA]])</f>
        <v>75965250</v>
      </c>
      <c r="AS557" s="40" t="str">
        <f>+IF(Tabla44[[#This Row],[AGRUPACIONES]]=1,SUMIFS(Tabla44[VALOR TOTAL],Tabla44[ZONA DEFINITIVO],Tabla44[[#This Row],[ZONA DEFINITIVO]])," ")</f>
        <v xml:space="preserve"> </v>
      </c>
      <c r="AT557" s="35">
        <f>VLOOKUP(Tabla44[[#This Row],[SERVICIO 2025]],$J$2:$V$15,10,0)*Tabla44[[#This Row],[TOTAL COBERTURA]]*$X$7</f>
        <v>75328400</v>
      </c>
      <c r="AU557" s="42">
        <f>Tabla44[[#This Row],[TOTAL CONTRATO (ICBF+EAS)]]+Tabla44[[#This Row],[VALOR COMPONENTE ALIMENTACION NO ASIGNADO]]</f>
        <v>151293650</v>
      </c>
      <c r="AV557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20720250</v>
      </c>
      <c r="AW557" s="35">
        <f>(VLOOKUP(Tabla44[[#This Row],[SERVICIO 2025]],$J$2:$V$15,3,0)*Tabla44[[#This Row],[TOTAL COBERTURA]])+VLOOKUP(Tabla44[[#This Row],[SERVICIO 2025]],$J$2:$V$15,10,0)*Tabla44[[#This Row],[TOTAL COBERTURA]]</f>
        <v>18383050</v>
      </c>
      <c r="AX557" s="40">
        <f>(VLOOKUP(Tabla44[[#This Row],[SERVICIO 2025]],$J$2:$V$15,3,0)*Tabla44[[#This Row],[TOTAL COBERTURA]])+VLOOKUP(Tabla44[[#This Row],[SERVICIO 2025]],$J$2:$V$15,10,0)*Tabla44[[#This Row],[TOTAL COBERTURA]]</f>
        <v>18383050</v>
      </c>
      <c r="AY557" s="40">
        <f>(VLOOKUP(Tabla44[[#This Row],[SERVICIO 2025]],$J$2:$V$15,3,0)*Tabla44[[#This Row],[TOTAL COBERTURA]])+VLOOKUP(Tabla44[[#This Row],[SERVICIO 2025]],$J$2:$V$15,10,0)*Tabla44[[#This Row],[TOTAL COBERTURA]]</f>
        <v>18383050</v>
      </c>
      <c r="AZ557" s="40">
        <f>(VLOOKUP(Tabla44[[#This Row],[SERVICIO 2025]],$J$2:$V$15,3,0)*Tabla44[[#This Row],[TOTAL COBERTURA]])+VLOOKUP(Tabla44[[#This Row],[SERVICIO 2025]],$J$2:$V$15,10,0)*Tabla44[[#This Row],[TOTAL COBERTURA]]</f>
        <v>18383050</v>
      </c>
      <c r="BA557" s="40">
        <f>(VLOOKUP(Tabla44[[#This Row],[SERVICIO 2025]],$J$2:$V$15,3,0)*Tabla44[[#This Row],[TOTAL COBERTURA]])+VLOOKUP(Tabla44[[#This Row],[SERVICIO 2025]],$J$2:$V$15,10,0)*Tabla44[[#This Row],[TOTAL COBERTURA]]</f>
        <v>18383050</v>
      </c>
      <c r="BB557" s="40">
        <f>(VLOOKUP(Tabla44[[#This Row],[SERVICIO 2025]],$J$2:$V$15,3,0)*Tabla44[[#This Row],[TOTAL COBERTURA]])+VLOOKUP(Tabla44[[#This Row],[SERVICIO 2025]],$J$2:$V$15,10,0)*Tabla44[[#This Row],[TOTAL COBERTURA]]</f>
        <v>18383050</v>
      </c>
      <c r="BC557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20275100</v>
      </c>
      <c r="BD557" s="40">
        <f>SUM(Tabla44[[#This Row],[DESEMBOLSO 1]:[DESEMBOLSO 8]])</f>
        <v>151293650</v>
      </c>
      <c r="BE557" s="22" t="b">
        <f>EXACT(Tabla44[[#This Row],[VALOR ATENCIÓN (8 MESES)]],Tabla44[[#This Row],[VALOR TOTAL]])</f>
        <v>1</v>
      </c>
      <c r="BF557" s="28">
        <f>Tabla44[[#This Row],[VALOR ATENCIÓN (8 MESES)]]-Tabla44[[#This Row],[VALOR TOTAL]]</f>
        <v>0</v>
      </c>
      <c r="BG557" s="22" t="b">
        <f>EXACT(Tabla44[[#This Row],[TOTAL DESEMBOLSOS]],Tabla44[[#This Row],[VALOR TOTAL DEL CONTRATO INCLUIDO EL COMPONENTE DE ALIMENTACIÓN]])</f>
        <v>1</v>
      </c>
      <c r="BH557" s="29">
        <f>Tabla44[[#This Row],[TOTAL DESEMBOLSOS]]-Tabla44[[#This Row],[VALOR TOTAL DEL CONTRATO INCLUIDO EL COMPONENTE DE ALIMENTACIÓN]]</f>
        <v>0</v>
      </c>
      <c r="BI557" t="s">
        <v>98</v>
      </c>
    </row>
    <row r="558" spans="1:61">
      <c r="A558" s="21">
        <v>2033</v>
      </c>
      <c r="B558" s="21"/>
      <c r="C558" s="22" t="s">
        <v>87</v>
      </c>
      <c r="D558" s="22" t="s">
        <v>527</v>
      </c>
      <c r="E558" s="22" t="s">
        <v>3877</v>
      </c>
      <c r="F558" s="22" t="s">
        <v>21</v>
      </c>
      <c r="G558" s="12" t="s">
        <v>90</v>
      </c>
      <c r="H558" s="22" t="s">
        <v>3880</v>
      </c>
      <c r="I558" s="36">
        <v>56741151141</v>
      </c>
      <c r="J558" s="22" t="s">
        <v>3881</v>
      </c>
      <c r="K558" s="22">
        <v>1</v>
      </c>
      <c r="L558" s="22">
        <v>50</v>
      </c>
      <c r="M558" s="22"/>
      <c r="N558" s="21">
        <v>2033</v>
      </c>
      <c r="O558" s="22" t="s">
        <v>2850</v>
      </c>
      <c r="P558" s="22"/>
      <c r="Q558" s="22"/>
      <c r="R558" s="12" t="s">
        <v>94</v>
      </c>
      <c r="S558" s="12">
        <v>10</v>
      </c>
      <c r="T558" s="12">
        <v>800069965</v>
      </c>
      <c r="U558" s="12" t="s">
        <v>3864</v>
      </c>
      <c r="V558" s="22">
        <f>VLOOKUP(Tabla44[[#This Row],[ZONA DEFINITIVO]],[1]Hoja1!$A$1:$D$125,3,0)</f>
        <v>229949</v>
      </c>
      <c r="W558" s="22">
        <f>VLOOKUP(Tabla44[[#This Row],[ZONA DEFINITIVO]],[1]Hoja1!$A$1:$D$125,2,0)</f>
        <v>17270</v>
      </c>
      <c r="X558" s="22">
        <f>VLOOKUP(Tabla44[[#This Row],[ZONA DEFINITIVO]],[1]Hoja1!$A$1:$D$125,4,0)</f>
        <v>105425</v>
      </c>
      <c r="Y558" s="22" t="str">
        <f>+IF(Tabla44[[#This Row],[AGRUPACIONES]]=1,SUMIFS(Tabla44[UDS],Tabla44[ZONA DEFINITIVO],Tabla44[[#This Row],[ZONA DEFINITIVO]])," ")</f>
        <v xml:space="preserve"> </v>
      </c>
      <c r="Z558" s="22" t="str">
        <f>+IF(Tabla44[[#This Row],[AGRUPACIONES]]=1,SUMIFS(Tabla44[TOTAL COBERTURA],Tabla44[ZONA DEFINITIVO],Tabla44[[#This Row],[ZONA DEFINITIVO]])," ")</f>
        <v xml:space="preserve"> </v>
      </c>
      <c r="AA558" s="22"/>
      <c r="AB558" s="40">
        <v>75965250</v>
      </c>
      <c r="AC558" s="37">
        <v>0</v>
      </c>
      <c r="AD558" s="40">
        <f t="shared" si="9"/>
        <v>0</v>
      </c>
      <c r="AE558" s="22"/>
      <c r="AF558" s="22">
        <f>COUNTIF($A$20:A558,A558)</f>
        <v>11</v>
      </c>
      <c r="AG558" s="41">
        <v>75965250</v>
      </c>
      <c r="AH558" s="41">
        <f>Tabla44[[#This Row],[VALOR CONTRAPARTIDA]]+Tabla44[[#This Row],[TOTAL APORTES ICBF]]</f>
        <v>75965250</v>
      </c>
      <c r="AI558" s="40" t="str">
        <f>+IF(Tabla44[[#This Row],[AGRUPACIONES]]=1,SUMIFS(Tabla44[TOTAL APORTES ICBF],Tabla44[ZONA DEFINITIVO],Tabla44[[#This Row],[ZONA DEFINITIVO]])," ")</f>
        <v xml:space="preserve"> </v>
      </c>
      <c r="AJ558" s="41"/>
      <c r="AK558" s="41"/>
      <c r="AL558" s="40"/>
      <c r="AM558" s="40">
        <f>VLOOKUP(Tabla44[[#This Row],[SERVICIO 2025]],$J$2:$V$15,5,0)*Tabla44[[#This Row],[TOTAL COBERTURA]]</f>
        <v>2337200</v>
      </c>
      <c r="AN558" s="40">
        <f>VLOOKUP(Tabla44[[#This Row],[SERVICIO 2025]],$J$2:$V$15,6,0)*Tabla44[[#This Row],[TOTAL COBERTURA]]</f>
        <v>1892050</v>
      </c>
      <c r="AO558" s="40">
        <f>VLOOKUP(Tabla44[[#This Row],[SERVICIO 2025]],$J$2:$V$15,8,0)*Tabla44[[#This Row],[TOTAL COBERTURA]]</f>
        <v>0</v>
      </c>
      <c r="AP558" s="40">
        <f>VLOOKUP(Tabla44[[#This Row],[SERVICIO 2025]],$J$2:$V$15,3,0)*Tabla44[[#This Row],[TOTAL COBERTURA]]*8</f>
        <v>71736000</v>
      </c>
      <c r="AQ558" s="40"/>
      <c r="AR558" s="40">
        <f>SUM(Tabla44[[#This Row],[VALOR FASE PREPARATORIA DE ALISTAMIENTO]:[VALOR RACION PREPARADA]])</f>
        <v>75965250</v>
      </c>
      <c r="AS558" s="40" t="str">
        <f>+IF(Tabla44[[#This Row],[AGRUPACIONES]]=1,SUMIFS(Tabla44[VALOR TOTAL],Tabla44[ZONA DEFINITIVO],Tabla44[[#This Row],[ZONA DEFINITIVO]])," ")</f>
        <v xml:space="preserve"> </v>
      </c>
      <c r="AT558" s="35">
        <f>VLOOKUP(Tabla44[[#This Row],[SERVICIO 2025]],$J$2:$V$15,10,0)*Tabla44[[#This Row],[TOTAL COBERTURA]]*$X$7</f>
        <v>75328400</v>
      </c>
      <c r="AU558" s="42">
        <f>Tabla44[[#This Row],[TOTAL CONTRATO (ICBF+EAS)]]+Tabla44[[#This Row],[VALOR COMPONENTE ALIMENTACION NO ASIGNADO]]</f>
        <v>151293650</v>
      </c>
      <c r="AV558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20720250</v>
      </c>
      <c r="AW558" s="35">
        <f>(VLOOKUP(Tabla44[[#This Row],[SERVICIO 2025]],$J$2:$V$15,3,0)*Tabla44[[#This Row],[TOTAL COBERTURA]])+VLOOKUP(Tabla44[[#This Row],[SERVICIO 2025]],$J$2:$V$15,10,0)*Tabla44[[#This Row],[TOTAL COBERTURA]]</f>
        <v>18383050</v>
      </c>
      <c r="AX558" s="40">
        <f>(VLOOKUP(Tabla44[[#This Row],[SERVICIO 2025]],$J$2:$V$15,3,0)*Tabla44[[#This Row],[TOTAL COBERTURA]])+VLOOKUP(Tabla44[[#This Row],[SERVICIO 2025]],$J$2:$V$15,10,0)*Tabla44[[#This Row],[TOTAL COBERTURA]]</f>
        <v>18383050</v>
      </c>
      <c r="AY558" s="40">
        <f>(VLOOKUP(Tabla44[[#This Row],[SERVICIO 2025]],$J$2:$V$15,3,0)*Tabla44[[#This Row],[TOTAL COBERTURA]])+VLOOKUP(Tabla44[[#This Row],[SERVICIO 2025]],$J$2:$V$15,10,0)*Tabla44[[#This Row],[TOTAL COBERTURA]]</f>
        <v>18383050</v>
      </c>
      <c r="AZ558" s="40">
        <f>(VLOOKUP(Tabla44[[#This Row],[SERVICIO 2025]],$J$2:$V$15,3,0)*Tabla44[[#This Row],[TOTAL COBERTURA]])+VLOOKUP(Tabla44[[#This Row],[SERVICIO 2025]],$J$2:$V$15,10,0)*Tabla44[[#This Row],[TOTAL COBERTURA]]</f>
        <v>18383050</v>
      </c>
      <c r="BA558" s="40">
        <f>(VLOOKUP(Tabla44[[#This Row],[SERVICIO 2025]],$J$2:$V$15,3,0)*Tabla44[[#This Row],[TOTAL COBERTURA]])+VLOOKUP(Tabla44[[#This Row],[SERVICIO 2025]],$J$2:$V$15,10,0)*Tabla44[[#This Row],[TOTAL COBERTURA]]</f>
        <v>18383050</v>
      </c>
      <c r="BB558" s="40">
        <f>(VLOOKUP(Tabla44[[#This Row],[SERVICIO 2025]],$J$2:$V$15,3,0)*Tabla44[[#This Row],[TOTAL COBERTURA]])+VLOOKUP(Tabla44[[#This Row],[SERVICIO 2025]],$J$2:$V$15,10,0)*Tabla44[[#This Row],[TOTAL COBERTURA]]</f>
        <v>18383050</v>
      </c>
      <c r="BC558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20275100</v>
      </c>
      <c r="BD558" s="40">
        <f>SUM(Tabla44[[#This Row],[DESEMBOLSO 1]:[DESEMBOLSO 8]])</f>
        <v>151293650</v>
      </c>
      <c r="BE558" s="22" t="b">
        <f>EXACT(Tabla44[[#This Row],[VALOR ATENCIÓN (8 MESES)]],Tabla44[[#This Row],[VALOR TOTAL]])</f>
        <v>1</v>
      </c>
      <c r="BF558" s="28">
        <f>Tabla44[[#This Row],[VALOR ATENCIÓN (8 MESES)]]-Tabla44[[#This Row],[VALOR TOTAL]]</f>
        <v>0</v>
      </c>
      <c r="BG558" s="22" t="b">
        <f>EXACT(Tabla44[[#This Row],[TOTAL DESEMBOLSOS]],Tabla44[[#This Row],[VALOR TOTAL DEL CONTRATO INCLUIDO EL COMPONENTE DE ALIMENTACIÓN]])</f>
        <v>1</v>
      </c>
      <c r="BH558" s="29">
        <f>Tabla44[[#This Row],[TOTAL DESEMBOLSOS]]-Tabla44[[#This Row],[VALOR TOTAL DEL CONTRATO INCLUIDO EL COMPONENTE DE ALIMENTACIÓN]]</f>
        <v>0</v>
      </c>
      <c r="BI558" t="s">
        <v>98</v>
      </c>
    </row>
    <row r="559" spans="1:61">
      <c r="A559" s="13">
        <v>2033</v>
      </c>
      <c r="B559" s="21"/>
      <c r="C559" s="22" t="s">
        <v>87</v>
      </c>
      <c r="D559" s="12" t="s">
        <v>527</v>
      </c>
      <c r="E559" s="12" t="s">
        <v>3877</v>
      </c>
      <c r="F559" s="12" t="s">
        <v>21</v>
      </c>
      <c r="G559" s="12" t="s">
        <v>90</v>
      </c>
      <c r="H559" s="12" t="s">
        <v>3882</v>
      </c>
      <c r="I559" s="36">
        <v>567400080593</v>
      </c>
      <c r="J559" s="12" t="s">
        <v>3883</v>
      </c>
      <c r="K559" s="12">
        <v>1</v>
      </c>
      <c r="L559" s="12">
        <v>50</v>
      </c>
      <c r="M559" s="12"/>
      <c r="N559" s="13">
        <v>2033</v>
      </c>
      <c r="O559" s="12" t="s">
        <v>2850</v>
      </c>
      <c r="P559" s="12"/>
      <c r="Q559" s="12"/>
      <c r="R559" s="12" t="s">
        <v>94</v>
      </c>
      <c r="S559" s="12">
        <v>10</v>
      </c>
      <c r="T559" s="12">
        <v>800069965</v>
      </c>
      <c r="U559" s="12" t="s">
        <v>3864</v>
      </c>
      <c r="V559" s="12">
        <f>VLOOKUP(Tabla44[[#This Row],[ZONA DEFINITIVO]],[1]Hoja1!$A$1:$D$125,3,0)</f>
        <v>229949</v>
      </c>
      <c r="W559" s="12">
        <f>VLOOKUP(Tabla44[[#This Row],[ZONA DEFINITIVO]],[1]Hoja1!$A$1:$D$125,2,0)</f>
        <v>17270</v>
      </c>
      <c r="X559" s="12">
        <f>VLOOKUP(Tabla44[[#This Row],[ZONA DEFINITIVO]],[1]Hoja1!$A$1:$D$125,4,0)</f>
        <v>105425</v>
      </c>
      <c r="Y559" s="12" t="str">
        <f>+IF(Tabla44[[#This Row],[AGRUPACIONES]]=1,SUMIFS(Tabla44[UDS],Tabla44[ZONA DEFINITIVO],Tabla44[[#This Row],[ZONA DEFINITIVO]])," ")</f>
        <v xml:space="preserve"> </v>
      </c>
      <c r="Z559" s="12" t="str">
        <f>+IF(Tabla44[[#This Row],[AGRUPACIONES]]=1,SUMIFS(Tabla44[TOTAL COBERTURA],Tabla44[ZONA DEFINITIVO],Tabla44[[#This Row],[ZONA DEFINITIVO]])," ")</f>
        <v xml:space="preserve"> </v>
      </c>
      <c r="AA559" s="12"/>
      <c r="AB559" s="35">
        <v>75965250</v>
      </c>
      <c r="AC559" s="37">
        <v>0</v>
      </c>
      <c r="AD559" s="35">
        <f t="shared" si="9"/>
        <v>0</v>
      </c>
      <c r="AE559" s="12"/>
      <c r="AF559" s="12">
        <f>COUNTIF($A$20:A559,A559)</f>
        <v>12</v>
      </c>
      <c r="AG559" s="38">
        <v>75965250</v>
      </c>
      <c r="AH559" s="38">
        <f>Tabla44[[#This Row],[VALOR CONTRAPARTIDA]]+Tabla44[[#This Row],[TOTAL APORTES ICBF]]</f>
        <v>75965250</v>
      </c>
      <c r="AI559" s="35" t="str">
        <f>+IF(Tabla44[[#This Row],[AGRUPACIONES]]=1,SUMIFS(Tabla44[TOTAL APORTES ICBF],Tabla44[ZONA DEFINITIVO],Tabla44[[#This Row],[ZONA DEFINITIVO]])," ")</f>
        <v xml:space="preserve"> </v>
      </c>
      <c r="AJ559" s="38"/>
      <c r="AK559" s="38"/>
      <c r="AL559" s="35"/>
      <c r="AM559" s="35">
        <f>VLOOKUP(Tabla44[[#This Row],[SERVICIO 2025]],$J$2:$V$15,5,0)*Tabla44[[#This Row],[TOTAL COBERTURA]]</f>
        <v>2337200</v>
      </c>
      <c r="AN559" s="35">
        <f>VLOOKUP(Tabla44[[#This Row],[SERVICIO 2025]],$J$2:$V$15,6,0)*Tabla44[[#This Row],[TOTAL COBERTURA]]</f>
        <v>1892050</v>
      </c>
      <c r="AO559" s="35">
        <f>VLOOKUP(Tabla44[[#This Row],[SERVICIO 2025]],$J$2:$V$15,8,0)*Tabla44[[#This Row],[TOTAL COBERTURA]]</f>
        <v>0</v>
      </c>
      <c r="AP559" s="35">
        <f>VLOOKUP(Tabla44[[#This Row],[SERVICIO 2025]],$J$2:$V$15,3,0)*Tabla44[[#This Row],[TOTAL COBERTURA]]*8</f>
        <v>71736000</v>
      </c>
      <c r="AQ559" s="35"/>
      <c r="AR559" s="35">
        <f>SUM(Tabla44[[#This Row],[VALOR FASE PREPARATORIA DE ALISTAMIENTO]:[VALOR RACION PREPARADA]])</f>
        <v>75965250</v>
      </c>
      <c r="AS559" s="35" t="str">
        <f>+IF(Tabla44[[#This Row],[AGRUPACIONES]]=1,SUMIFS(Tabla44[VALOR TOTAL],Tabla44[ZONA DEFINITIVO],Tabla44[[#This Row],[ZONA DEFINITIVO]])," ")</f>
        <v xml:space="preserve"> </v>
      </c>
      <c r="AT559" s="35">
        <f>VLOOKUP(Tabla44[[#This Row],[SERVICIO 2025]],$J$2:$V$15,10,0)*Tabla44[[#This Row],[TOTAL COBERTURA]]*$X$7</f>
        <v>75328400</v>
      </c>
      <c r="AU559" s="39">
        <f>Tabla44[[#This Row],[TOTAL CONTRATO (ICBF+EAS)]]+Tabla44[[#This Row],[VALOR COMPONENTE ALIMENTACION NO ASIGNADO]]</f>
        <v>151293650</v>
      </c>
      <c r="AV559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20720250</v>
      </c>
      <c r="AW559" s="35">
        <f>(VLOOKUP(Tabla44[[#This Row],[SERVICIO 2025]],$J$2:$V$15,3,0)*Tabla44[[#This Row],[TOTAL COBERTURA]])+VLOOKUP(Tabla44[[#This Row],[SERVICIO 2025]],$J$2:$V$15,10,0)*Tabla44[[#This Row],[TOTAL COBERTURA]]</f>
        <v>18383050</v>
      </c>
      <c r="AX559" s="35">
        <f>(VLOOKUP(Tabla44[[#This Row],[SERVICIO 2025]],$J$2:$V$15,3,0)*Tabla44[[#This Row],[TOTAL COBERTURA]])+VLOOKUP(Tabla44[[#This Row],[SERVICIO 2025]],$J$2:$V$15,10,0)*Tabla44[[#This Row],[TOTAL COBERTURA]]</f>
        <v>18383050</v>
      </c>
      <c r="AY559" s="35">
        <f>(VLOOKUP(Tabla44[[#This Row],[SERVICIO 2025]],$J$2:$V$15,3,0)*Tabla44[[#This Row],[TOTAL COBERTURA]])+VLOOKUP(Tabla44[[#This Row],[SERVICIO 2025]],$J$2:$V$15,10,0)*Tabla44[[#This Row],[TOTAL COBERTURA]]</f>
        <v>18383050</v>
      </c>
      <c r="AZ559" s="35">
        <f>(VLOOKUP(Tabla44[[#This Row],[SERVICIO 2025]],$J$2:$V$15,3,0)*Tabla44[[#This Row],[TOTAL COBERTURA]])+VLOOKUP(Tabla44[[#This Row],[SERVICIO 2025]],$J$2:$V$15,10,0)*Tabla44[[#This Row],[TOTAL COBERTURA]]</f>
        <v>18383050</v>
      </c>
      <c r="BA559" s="35">
        <f>(VLOOKUP(Tabla44[[#This Row],[SERVICIO 2025]],$J$2:$V$15,3,0)*Tabla44[[#This Row],[TOTAL COBERTURA]])+VLOOKUP(Tabla44[[#This Row],[SERVICIO 2025]],$J$2:$V$15,10,0)*Tabla44[[#This Row],[TOTAL COBERTURA]]</f>
        <v>18383050</v>
      </c>
      <c r="BB559" s="35">
        <f>(VLOOKUP(Tabla44[[#This Row],[SERVICIO 2025]],$J$2:$V$15,3,0)*Tabla44[[#This Row],[TOTAL COBERTURA]])+VLOOKUP(Tabla44[[#This Row],[SERVICIO 2025]],$J$2:$V$15,10,0)*Tabla44[[#This Row],[TOTAL COBERTURA]]</f>
        <v>18383050</v>
      </c>
      <c r="BC559" s="35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20275100</v>
      </c>
      <c r="BD559" s="35">
        <f>SUM(Tabla44[[#This Row],[DESEMBOLSO 1]:[DESEMBOLSO 8]])</f>
        <v>151293650</v>
      </c>
      <c r="BE559" s="12" t="b">
        <f>EXACT(Tabla44[[#This Row],[VALOR ATENCIÓN (8 MESES)]],Tabla44[[#This Row],[VALOR TOTAL]])</f>
        <v>1</v>
      </c>
      <c r="BF559" s="23">
        <f>Tabla44[[#This Row],[VALOR ATENCIÓN (8 MESES)]]-Tabla44[[#This Row],[VALOR TOTAL]]</f>
        <v>0</v>
      </c>
      <c r="BG559" s="12" t="b">
        <f>EXACT(Tabla44[[#This Row],[TOTAL DESEMBOLSOS]],Tabla44[[#This Row],[VALOR TOTAL DEL CONTRATO INCLUIDO EL COMPONENTE DE ALIMENTACIÓN]])</f>
        <v>1</v>
      </c>
      <c r="BH559" s="29">
        <f>Tabla44[[#This Row],[TOTAL DESEMBOLSOS]]-Tabla44[[#This Row],[VALOR TOTAL DEL CONTRATO INCLUIDO EL COMPONENTE DE ALIMENTACIÓN]]</f>
        <v>0</v>
      </c>
      <c r="BI559" t="s">
        <v>98</v>
      </c>
    </row>
    <row r="560" spans="1:61">
      <c r="A560" s="21">
        <v>2033</v>
      </c>
      <c r="B560" s="21"/>
      <c r="C560" s="22" t="s">
        <v>87</v>
      </c>
      <c r="D560" s="22" t="s">
        <v>527</v>
      </c>
      <c r="E560" s="22" t="s">
        <v>3877</v>
      </c>
      <c r="F560" s="22" t="s">
        <v>14</v>
      </c>
      <c r="G560" s="12" t="s">
        <v>90</v>
      </c>
      <c r="H560" s="22" t="s">
        <v>3884</v>
      </c>
      <c r="I560" s="36">
        <v>567400113025</v>
      </c>
      <c r="J560" s="22" t="s">
        <v>3885</v>
      </c>
      <c r="K560" s="22">
        <v>1</v>
      </c>
      <c r="L560" s="22">
        <v>120</v>
      </c>
      <c r="M560" s="22"/>
      <c r="N560" s="21">
        <v>2033</v>
      </c>
      <c r="O560" s="22" t="s">
        <v>2850</v>
      </c>
      <c r="P560" s="22"/>
      <c r="Q560" s="22"/>
      <c r="R560" s="12" t="s">
        <v>94</v>
      </c>
      <c r="S560" s="12">
        <v>10</v>
      </c>
      <c r="T560" s="12">
        <v>800069965</v>
      </c>
      <c r="U560" s="12" t="s">
        <v>3864</v>
      </c>
      <c r="V560" s="22">
        <f>VLOOKUP(Tabla44[[#This Row],[ZONA DEFINITIVO]],[1]Hoja1!$A$1:$D$125,3,0)</f>
        <v>229949</v>
      </c>
      <c r="W560" s="22">
        <f>VLOOKUP(Tabla44[[#This Row],[ZONA DEFINITIVO]],[1]Hoja1!$A$1:$D$125,2,0)</f>
        <v>17270</v>
      </c>
      <c r="X560" s="22">
        <f>VLOOKUP(Tabla44[[#This Row],[ZONA DEFINITIVO]],[1]Hoja1!$A$1:$D$125,4,0)</f>
        <v>105425</v>
      </c>
      <c r="Y560" s="22" t="str">
        <f>+IF(Tabla44[[#This Row],[AGRUPACIONES]]=1,SUMIFS(Tabla44[UDS],Tabla44[ZONA DEFINITIVO],Tabla44[[#This Row],[ZONA DEFINITIVO]])," ")</f>
        <v xml:space="preserve"> </v>
      </c>
      <c r="Z560" s="22" t="str">
        <f>+IF(Tabla44[[#This Row],[AGRUPACIONES]]=1,SUMIFS(Tabla44[TOTAL COBERTURA],Tabla44[ZONA DEFINITIVO],Tabla44[[#This Row],[ZONA DEFINITIVO]])," ")</f>
        <v xml:space="preserve"> </v>
      </c>
      <c r="AA560" s="22"/>
      <c r="AB560" s="40">
        <v>502662000</v>
      </c>
      <c r="AC560" s="37">
        <v>0</v>
      </c>
      <c r="AD560" s="40">
        <f t="shared" si="9"/>
        <v>0</v>
      </c>
      <c r="AE560" s="22"/>
      <c r="AF560" s="22">
        <f>COUNTIF($A$20:A561,A560)</f>
        <v>14</v>
      </c>
      <c r="AG560" s="41">
        <v>502662000</v>
      </c>
      <c r="AH560" s="41">
        <f>Tabla44[[#This Row],[VALOR CONTRAPARTIDA]]+Tabla44[[#This Row],[TOTAL APORTES ICBF]]</f>
        <v>502662000</v>
      </c>
      <c r="AI560" s="40" t="str">
        <f>+IF(Tabla44[[#This Row],[AGRUPACIONES]]=1,SUMIFS(Tabla44[TOTAL APORTES ICBF],Tabla44[ZONA DEFINITIVO],Tabla44[[#This Row],[ZONA DEFINITIVO]])," ")</f>
        <v xml:space="preserve"> </v>
      </c>
      <c r="AJ560" s="41"/>
      <c r="AK560" s="41"/>
      <c r="AL560" s="40"/>
      <c r="AM560" s="40">
        <f>VLOOKUP(Tabla44[[#This Row],[SERVICIO 2025]],$J$2:$V$15,5,0)*Tabla44[[#This Row],[TOTAL COBERTURA]]</f>
        <v>10577160</v>
      </c>
      <c r="AN560" s="40">
        <f>VLOOKUP(Tabla44[[#This Row],[SERVICIO 2025]],$J$2:$V$15,6,0)*Tabla44[[#This Row],[TOTAL COBERTURA]]</f>
        <v>9005160</v>
      </c>
      <c r="AO560" s="40">
        <f>VLOOKUP(Tabla44[[#This Row],[SERVICIO 2025]],$J$2:$V$15,8,0)*Tabla44[[#This Row],[TOTAL COBERTURA]]</f>
        <v>0</v>
      </c>
      <c r="AP560" s="40">
        <f>VLOOKUP(Tabla44[[#This Row],[SERVICIO 2025]],$J$2:$V$15,3,0)*Tabla44[[#This Row],[TOTAL COBERTURA]]*8</f>
        <v>483079680</v>
      </c>
      <c r="AQ560" s="40"/>
      <c r="AR560" s="40">
        <f>SUM(Tabla44[[#This Row],[VALOR FASE PREPARATORIA DE ALISTAMIENTO]:[VALOR RACION PREPARADA]])</f>
        <v>502662000</v>
      </c>
      <c r="AS560" s="40" t="str">
        <f>+IF(Tabla44[[#This Row],[AGRUPACIONES]]=1,SUMIFS(Tabla44[VALOR TOTAL],Tabla44[ZONA DEFINITIVO],Tabla44[[#This Row],[ZONA DEFINITIVO]])," ")</f>
        <v xml:space="preserve"> </v>
      </c>
      <c r="AT560" s="35">
        <f>VLOOKUP(Tabla44[[#This Row],[SERVICIO 2025]],$J$2:$V$15,10,0)*Tabla44[[#This Row],[TOTAL COBERTURA]]*$X$7</f>
        <v>0</v>
      </c>
      <c r="AU560" s="42">
        <f>Tabla44[[#This Row],[TOTAL CONTRATO (ICBF+EAS)]]+Tabla44[[#This Row],[VALOR COMPONENTE ALIMENTACION NO ASIGNADO]]</f>
        <v>502662000</v>
      </c>
      <c r="AV560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70962120</v>
      </c>
      <c r="AW560" s="35">
        <f>(VLOOKUP(Tabla44[[#This Row],[SERVICIO 2025]],$J$2:$V$15,3,0)*Tabla44[[#This Row],[TOTAL COBERTURA]])+VLOOKUP(Tabla44[[#This Row],[SERVICIO 2025]],$J$2:$V$15,10,0)*Tabla44[[#This Row],[TOTAL COBERTURA]]</f>
        <v>60384960</v>
      </c>
      <c r="AX560" s="40">
        <f>(VLOOKUP(Tabla44[[#This Row],[SERVICIO 2025]],$J$2:$V$15,3,0)*Tabla44[[#This Row],[TOTAL COBERTURA]])+VLOOKUP(Tabla44[[#This Row],[SERVICIO 2025]],$J$2:$V$15,10,0)*Tabla44[[#This Row],[TOTAL COBERTURA]]</f>
        <v>60384960</v>
      </c>
      <c r="AY560" s="40">
        <f>(VLOOKUP(Tabla44[[#This Row],[SERVICIO 2025]],$J$2:$V$15,3,0)*Tabla44[[#This Row],[TOTAL COBERTURA]])+VLOOKUP(Tabla44[[#This Row],[SERVICIO 2025]],$J$2:$V$15,10,0)*Tabla44[[#This Row],[TOTAL COBERTURA]]</f>
        <v>60384960</v>
      </c>
      <c r="AZ560" s="40">
        <f>(VLOOKUP(Tabla44[[#This Row],[SERVICIO 2025]],$J$2:$V$15,3,0)*Tabla44[[#This Row],[TOTAL COBERTURA]])+VLOOKUP(Tabla44[[#This Row],[SERVICIO 2025]],$J$2:$V$15,10,0)*Tabla44[[#This Row],[TOTAL COBERTURA]]</f>
        <v>60384960</v>
      </c>
      <c r="BA560" s="40">
        <f>(VLOOKUP(Tabla44[[#This Row],[SERVICIO 2025]],$J$2:$V$15,3,0)*Tabla44[[#This Row],[TOTAL COBERTURA]])+VLOOKUP(Tabla44[[#This Row],[SERVICIO 2025]],$J$2:$V$15,10,0)*Tabla44[[#This Row],[TOTAL COBERTURA]]</f>
        <v>60384960</v>
      </c>
      <c r="BB560" s="40">
        <f>(VLOOKUP(Tabla44[[#This Row],[SERVICIO 2025]],$J$2:$V$15,3,0)*Tabla44[[#This Row],[TOTAL COBERTURA]])+VLOOKUP(Tabla44[[#This Row],[SERVICIO 2025]],$J$2:$V$15,10,0)*Tabla44[[#This Row],[TOTAL COBERTURA]]</f>
        <v>60384960</v>
      </c>
      <c r="BC560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69390120</v>
      </c>
      <c r="BD560" s="35">
        <f>SUM(Tabla44[[#This Row],[DESEMBOLSO 1]:[DESEMBOLSO 8]])</f>
        <v>502662000</v>
      </c>
      <c r="BE560" s="22" t="b">
        <f>EXACT(Tabla44[[#This Row],[VALOR ATENCIÓN (8 MESES)]],Tabla44[[#This Row],[VALOR TOTAL]])</f>
        <v>1</v>
      </c>
      <c r="BF560" s="28">
        <f>Tabla44[[#This Row],[VALOR ATENCIÓN (8 MESES)]]-Tabla44[[#This Row],[VALOR TOTAL]]</f>
        <v>0</v>
      </c>
      <c r="BG560" s="22" t="b">
        <f>EXACT(Tabla44[[#This Row],[TOTAL DESEMBOLSOS]],Tabla44[[#This Row],[VALOR TOTAL DEL CONTRATO INCLUIDO EL COMPONENTE DE ALIMENTACIÓN]])</f>
        <v>1</v>
      </c>
      <c r="BH560" s="29">
        <f>Tabla44[[#This Row],[TOTAL DESEMBOLSOS]]-Tabla44[[#This Row],[VALOR TOTAL DEL CONTRATO INCLUIDO EL COMPONENTE DE ALIMENTACIÓN]]</f>
        <v>0</v>
      </c>
      <c r="BI560" t="s">
        <v>98</v>
      </c>
    </row>
    <row r="561" spans="1:61">
      <c r="A561" s="21">
        <v>2033</v>
      </c>
      <c r="B561" s="21"/>
      <c r="C561" s="22" t="s">
        <v>87</v>
      </c>
      <c r="D561" s="22" t="s">
        <v>527</v>
      </c>
      <c r="E561" s="22" t="s">
        <v>3886</v>
      </c>
      <c r="F561" s="22" t="s">
        <v>13</v>
      </c>
      <c r="G561" s="12" t="s">
        <v>90</v>
      </c>
      <c r="H561" s="22"/>
      <c r="I561" s="36">
        <v>502100115880</v>
      </c>
      <c r="J561" s="22" t="s">
        <v>3887</v>
      </c>
      <c r="K561" s="22">
        <v>1</v>
      </c>
      <c r="L561" s="22">
        <v>60</v>
      </c>
      <c r="M561" s="22"/>
      <c r="N561" s="21">
        <v>2033</v>
      </c>
      <c r="O561" s="22" t="s">
        <v>2850</v>
      </c>
      <c r="P561" s="22"/>
      <c r="Q561" s="22"/>
      <c r="R561" s="12" t="s">
        <v>94</v>
      </c>
      <c r="S561" s="12">
        <v>10</v>
      </c>
      <c r="T561" s="12">
        <v>800069965</v>
      </c>
      <c r="U561" s="12" t="s">
        <v>3864</v>
      </c>
      <c r="V561" s="22">
        <f>VLOOKUP(Tabla44[[#This Row],[ZONA DEFINITIVO]],[1]Hoja1!$A$1:$D$125,3,0)</f>
        <v>229949</v>
      </c>
      <c r="W561" s="22">
        <f>VLOOKUP(Tabla44[[#This Row],[ZONA DEFINITIVO]],[1]Hoja1!$A$1:$D$125,2,0)</f>
        <v>17270</v>
      </c>
      <c r="X561" s="22">
        <f>VLOOKUP(Tabla44[[#This Row],[ZONA DEFINITIVO]],[1]Hoja1!$A$1:$D$125,4,0)</f>
        <v>105425</v>
      </c>
      <c r="Y561" s="22" t="str">
        <f>+IF(Tabla44[[#This Row],[AGRUPACIONES]]=1,SUMIFS(Tabla44[UDS],Tabla44[ZONA DEFINITIVO],Tabla44[[#This Row],[ZONA DEFINITIVO]])," ")</f>
        <v xml:space="preserve"> </v>
      </c>
      <c r="Z561" s="22" t="str">
        <f>+IF(Tabla44[[#This Row],[AGRUPACIONES]]=1,SUMIFS(Tabla44[TOTAL COBERTURA],Tabla44[ZONA DEFINITIVO],Tabla44[[#This Row],[ZONA DEFINITIVO]])," ")</f>
        <v xml:space="preserve"> </v>
      </c>
      <c r="AA561" s="22"/>
      <c r="AB561" s="40">
        <v>177402360</v>
      </c>
      <c r="AC561" s="37">
        <v>0</v>
      </c>
      <c r="AD561" s="40">
        <f t="shared" si="9"/>
        <v>0</v>
      </c>
      <c r="AE561" s="22"/>
      <c r="AF561" s="22">
        <f>COUNTIF($A$20:A561,A561)</f>
        <v>14</v>
      </c>
      <c r="AG561" s="41">
        <v>177402360</v>
      </c>
      <c r="AH561" s="41">
        <f>Tabla44[[#This Row],[VALOR CONTRAPARTIDA]]+Tabla44[[#This Row],[TOTAL APORTES ICBF]]</f>
        <v>177402360</v>
      </c>
      <c r="AI561" s="40" t="str">
        <f>+IF(Tabla44[[#This Row],[AGRUPACIONES]]=1,SUMIFS(Tabla44[TOTAL APORTES ICBF],Tabla44[ZONA DEFINITIVO],Tabla44[[#This Row],[ZONA DEFINITIVO]])," ")</f>
        <v xml:space="preserve"> </v>
      </c>
      <c r="AJ561" s="41"/>
      <c r="AK561" s="41"/>
      <c r="AL561" s="40"/>
      <c r="AM561" s="40">
        <f>VLOOKUP(Tabla44[[#This Row],[SERVICIO 2025]],$J$2:$V$15,5,0)*Tabla44[[#This Row],[TOTAL COBERTURA]]</f>
        <v>5288580</v>
      </c>
      <c r="AN561" s="40">
        <f>VLOOKUP(Tabla44[[#This Row],[SERVICIO 2025]],$J$2:$V$15,6,0)*Tabla44[[#This Row],[TOTAL COBERTURA]]</f>
        <v>4502580</v>
      </c>
      <c r="AO561" s="40">
        <f>VLOOKUP(Tabla44[[#This Row],[SERVICIO 2025]],$J$2:$V$15,8,0)*Tabla44[[#This Row],[TOTAL COBERTURA]]</f>
        <v>0</v>
      </c>
      <c r="AP561" s="40">
        <f>VLOOKUP(Tabla44[[#This Row],[SERVICIO 2025]],$J$2:$V$15,3,0)*Tabla44[[#This Row],[TOTAL COBERTURA]]*8</f>
        <v>167611200</v>
      </c>
      <c r="AQ561" s="40"/>
      <c r="AR561" s="40">
        <f>SUM(Tabla44[[#This Row],[VALOR FASE PREPARATORIA DE ALISTAMIENTO]:[VALOR RACION PREPARADA]])</f>
        <v>177402360</v>
      </c>
      <c r="AS561" s="40" t="str">
        <f>+IF(Tabla44[[#This Row],[AGRUPACIONES]]=1,SUMIFS(Tabla44[VALOR TOTAL],Tabla44[ZONA DEFINITIVO],Tabla44[[#This Row],[ZONA DEFINITIVO]])," ")</f>
        <v xml:space="preserve"> </v>
      </c>
      <c r="AT561" s="35">
        <f>VLOOKUP(Tabla44[[#This Row],[SERVICIO 2025]],$J$2:$V$15,10,0)*Tabla44[[#This Row],[TOTAL COBERTURA]]*$X$7</f>
        <v>73928640</v>
      </c>
      <c r="AU561" s="42">
        <f>Tabla44[[#This Row],[TOTAL CONTRATO (ICBF+EAS)]]+Tabla44[[#This Row],[VALOR COMPONENTE ALIMENTACION NO ASIGNADO]]</f>
        <v>251331000</v>
      </c>
      <c r="AV561" s="27">
        <f>(VLOOKUP(Tabla44[[#This Row],[SERVICIO 2025]],$J$2:$V$15,3,0)*Tabla44[[#This Row],[TOTAL COBERTURA]])+Tabla44[[#This Row],[VALOR FASE PREPARATORIA DE ALISTAMIENTO]]+Tabla44[[#This Row],[DOTACIÓN ÚNICA]]+VLOOKUP(Tabla44[[#This Row],[SERVICIO 2025]],$J$2:$V$15,10,0)*Tabla44[[#This Row],[TOTAL COBERTURA]]</f>
        <v>35481060</v>
      </c>
      <c r="AW561" s="35">
        <f>(VLOOKUP(Tabla44[[#This Row],[SERVICIO 2025]],$J$2:$V$15,3,0)*Tabla44[[#This Row],[TOTAL COBERTURA]])+VLOOKUP(Tabla44[[#This Row],[SERVICIO 2025]],$J$2:$V$15,10,0)*Tabla44[[#This Row],[TOTAL COBERTURA]]</f>
        <v>30192480</v>
      </c>
      <c r="AX561" s="40">
        <f>(VLOOKUP(Tabla44[[#This Row],[SERVICIO 2025]],$J$2:$V$15,3,0)*Tabla44[[#This Row],[TOTAL COBERTURA]])+VLOOKUP(Tabla44[[#This Row],[SERVICIO 2025]],$J$2:$V$15,10,0)*Tabla44[[#This Row],[TOTAL COBERTURA]]</f>
        <v>30192480</v>
      </c>
      <c r="AY561" s="40">
        <f>(VLOOKUP(Tabla44[[#This Row],[SERVICIO 2025]],$J$2:$V$15,3,0)*Tabla44[[#This Row],[TOTAL COBERTURA]])+VLOOKUP(Tabla44[[#This Row],[SERVICIO 2025]],$J$2:$V$15,10,0)*Tabla44[[#This Row],[TOTAL COBERTURA]]</f>
        <v>30192480</v>
      </c>
      <c r="AZ561" s="40">
        <f>(VLOOKUP(Tabla44[[#This Row],[SERVICIO 2025]],$J$2:$V$15,3,0)*Tabla44[[#This Row],[TOTAL COBERTURA]])+VLOOKUP(Tabla44[[#This Row],[SERVICIO 2025]],$J$2:$V$15,10,0)*Tabla44[[#This Row],[TOTAL COBERTURA]]</f>
        <v>30192480</v>
      </c>
      <c r="BA561" s="40">
        <f>(VLOOKUP(Tabla44[[#This Row],[SERVICIO 2025]],$J$2:$V$15,3,0)*Tabla44[[#This Row],[TOTAL COBERTURA]])+VLOOKUP(Tabla44[[#This Row],[SERVICIO 2025]],$J$2:$V$15,10,0)*Tabla44[[#This Row],[TOTAL COBERTURA]]</f>
        <v>30192480</v>
      </c>
      <c r="BB561" s="40">
        <f>(VLOOKUP(Tabla44[[#This Row],[SERVICIO 2025]],$J$2:$V$15,3,0)*Tabla44[[#This Row],[TOTAL COBERTURA]])+VLOOKUP(Tabla44[[#This Row],[SERVICIO 2025]],$J$2:$V$15,10,0)*Tabla44[[#This Row],[TOTAL COBERTURA]]</f>
        <v>30192480</v>
      </c>
      <c r="BC561" s="40">
        <f>(VLOOKUP(Tabla44[[#This Row],[SERVICIO 2025]],$J$2:$V$15,3,0)*Tabla44[[#This Row],[TOTAL COBERTURA]])+Tabla44[[#This Row],[VALOR FASE PREPARATORIA DE CIERRE]]+VLOOKUP(Tabla44[[#This Row],[SERVICIO 2025]],$J$2:$V$15,10,0)*Tabla44[[#This Row],[TOTAL COBERTURA]]</f>
        <v>34695060</v>
      </c>
      <c r="BD561" s="40">
        <f>SUM(Tabla44[[#This Row],[DESEMBOLSO 1]:[DESEMBOLSO 8]])</f>
        <v>251331000</v>
      </c>
      <c r="BE561" s="22" t="b">
        <f>EXACT(Tabla44[[#This Row],[VALOR ATENCIÓN (8 MESES)]],Tabla44[[#This Row],[VALOR TOTAL]])</f>
        <v>1</v>
      </c>
      <c r="BF561" s="28">
        <f>Tabla44[[#This Row],[VALOR ATENCIÓN (8 MESES)]]-Tabla44[[#This Row],[VALOR TOTAL]]</f>
        <v>0</v>
      </c>
      <c r="BG561" s="22" t="b">
        <f>EXACT(Tabla44[[#This Row],[TOTAL DESEMBOLSOS]],Tabla44[[#This Row],[VALOR TOTAL DEL CONTRATO INCLUIDO EL COMPONENTE DE ALIMENTACIÓN]])</f>
        <v>1</v>
      </c>
      <c r="BH561" s="29">
        <f>Tabla44[[#This Row],[TOTAL DESEMBOLSOS]]-Tabla44[[#This Row],[VALOR TOTAL DEL CONTRATO INCLUIDO EL COMPONENTE DE ALIMENTACIÓN]]</f>
        <v>0</v>
      </c>
      <c r="BI561" t="s">
        <v>98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55589-131B-4A4A-B478-1B4198E4E1F9}">
  <dimension ref="A2:BJ274"/>
  <sheetViews>
    <sheetView tabSelected="1" topLeftCell="A6" zoomScale="85" zoomScaleNormal="85" workbookViewId="0">
      <selection activeCell="A21" sqref="A21:XFD21"/>
    </sheetView>
  </sheetViews>
  <sheetFormatPr defaultColWidth="11.42578125" defaultRowHeight="14.45"/>
  <cols>
    <col min="1" max="2" width="18.140625" customWidth="1"/>
    <col min="3" max="3" width="26.28515625" customWidth="1"/>
    <col min="4" max="4" width="23.42578125" customWidth="1"/>
    <col min="5" max="5" width="17.7109375" customWidth="1"/>
    <col min="6" max="6" width="85" customWidth="1"/>
    <col min="7" max="7" width="18.42578125" customWidth="1"/>
    <col min="8" max="8" width="44.5703125" customWidth="1"/>
    <col min="9" max="9" width="25.28515625" customWidth="1"/>
    <col min="10" max="10" width="63.42578125" customWidth="1"/>
    <col min="11" max="11" width="18.7109375" customWidth="1"/>
    <col min="12" max="12" width="19.140625" customWidth="1"/>
    <col min="13" max="13" width="15.7109375" customWidth="1"/>
    <col min="14" max="14" width="22.42578125" customWidth="1"/>
    <col min="15" max="15" width="26" customWidth="1"/>
    <col min="16" max="16" width="24.85546875" customWidth="1"/>
    <col min="17" max="17" width="33" customWidth="1"/>
    <col min="18" max="18" width="35.28515625" customWidth="1"/>
    <col min="19" max="19" width="17.140625" customWidth="1"/>
    <col min="20" max="20" width="11.42578125" customWidth="1"/>
    <col min="21" max="21" width="45.5703125" customWidth="1"/>
    <col min="22" max="22" width="16.5703125" customWidth="1"/>
    <col min="23" max="23" width="17.5703125" customWidth="1"/>
    <col min="24" max="24" width="11.42578125" customWidth="1"/>
    <col min="25" max="25" width="27.85546875" customWidth="1"/>
    <col min="26" max="26" width="24.140625" customWidth="1"/>
    <col min="27" max="27" width="15.7109375" customWidth="1"/>
    <col min="28" max="28" width="31.7109375" customWidth="1"/>
    <col min="29" max="29" width="21.5703125" customWidth="1"/>
    <col min="30" max="30" width="24.28515625" customWidth="1"/>
    <col min="31" max="31" width="25.85546875" customWidth="1"/>
    <col min="32" max="32" width="18.140625" customWidth="1"/>
    <col min="33" max="33" width="21.5703125" customWidth="1"/>
    <col min="34" max="34" width="27" customWidth="1"/>
    <col min="35" max="35" width="31.7109375" customWidth="1"/>
    <col min="36" max="37" width="31.7109375" style="11" customWidth="1"/>
    <col min="38" max="38" width="13.42578125" customWidth="1"/>
    <col min="39" max="39" width="43.140625" style="25" customWidth="1"/>
    <col min="40" max="40" width="36.7109375" style="25" customWidth="1"/>
    <col min="41" max="41" width="19" style="25" customWidth="1"/>
    <col min="42" max="42" width="18.85546875" style="25" customWidth="1"/>
    <col min="43" max="43" width="27.28515625" style="25" customWidth="1"/>
    <col min="44" max="45" width="18" style="25" customWidth="1"/>
    <col min="46" max="46" width="25.85546875" customWidth="1"/>
    <col min="47" max="51" width="25.85546875" style="11" customWidth="1"/>
    <col min="52" max="52" width="24.42578125" style="11" customWidth="1"/>
    <col min="53" max="53" width="22.7109375" style="11" customWidth="1"/>
    <col min="54" max="54" width="22.42578125" style="11" customWidth="1"/>
    <col min="55" max="55" width="27.140625" style="11" customWidth="1"/>
    <col min="56" max="56" width="60.7109375" customWidth="1"/>
    <col min="57" max="57" width="23" customWidth="1"/>
    <col min="58" max="58" width="14.140625" customWidth="1"/>
    <col min="59" max="59" width="27.140625" customWidth="1"/>
    <col min="60" max="60" width="24.5703125" customWidth="1"/>
    <col min="61" max="61" width="21.28515625" customWidth="1"/>
    <col min="62" max="62" width="12.42578125" customWidth="1"/>
  </cols>
  <sheetData>
    <row r="2" spans="10:23" ht="21.6">
      <c r="J2" s="1" t="s">
        <v>0</v>
      </c>
      <c r="K2" s="1" t="s">
        <v>1</v>
      </c>
      <c r="L2" s="1" t="s">
        <v>2</v>
      </c>
      <c r="M2" s="1" t="s">
        <v>3</v>
      </c>
      <c r="N2" s="1" t="s">
        <v>4</v>
      </c>
      <c r="O2" s="1" t="s">
        <v>5</v>
      </c>
      <c r="P2" s="1" t="s">
        <v>6</v>
      </c>
      <c r="Q2" s="1" t="s">
        <v>7</v>
      </c>
      <c r="R2" s="1" t="s">
        <v>8</v>
      </c>
      <c r="S2" s="1" t="s">
        <v>9</v>
      </c>
      <c r="T2" s="1" t="s">
        <v>10</v>
      </c>
      <c r="U2" s="1" t="s">
        <v>11</v>
      </c>
      <c r="V2" s="1" t="s">
        <v>12</v>
      </c>
    </row>
    <row r="3" spans="10:23">
      <c r="J3" s="2" t="s">
        <v>13</v>
      </c>
      <c r="K3" s="2"/>
      <c r="L3" s="3">
        <v>349190</v>
      </c>
      <c r="M3" s="4">
        <v>8</v>
      </c>
      <c r="N3" s="3">
        <v>88143</v>
      </c>
      <c r="O3" s="3">
        <v>75043</v>
      </c>
      <c r="P3" s="5">
        <v>8</v>
      </c>
      <c r="Q3" s="3"/>
      <c r="R3" s="3">
        <f>(L3*M3)+N3+O3</f>
        <v>2956706</v>
      </c>
      <c r="S3" s="3">
        <v>154018</v>
      </c>
      <c r="T3" s="6">
        <v>45930</v>
      </c>
      <c r="U3" s="7"/>
      <c r="V3" s="8">
        <v>2025</v>
      </c>
      <c r="W3">
        <v>8</v>
      </c>
    </row>
    <row r="4" spans="10:23">
      <c r="J4" s="2" t="s">
        <v>14</v>
      </c>
      <c r="K4" s="2"/>
      <c r="L4" s="3">
        <v>503208</v>
      </c>
      <c r="M4" s="4">
        <v>8</v>
      </c>
      <c r="N4" s="3">
        <v>88143</v>
      </c>
      <c r="O4" s="3">
        <v>75043</v>
      </c>
      <c r="P4" s="5">
        <v>8</v>
      </c>
      <c r="Q4" s="3"/>
      <c r="R4" s="3">
        <f>(L4*M4)+N4+O4</f>
        <v>4188850</v>
      </c>
      <c r="S4" s="3"/>
      <c r="T4" s="6">
        <v>45930</v>
      </c>
      <c r="U4" s="7"/>
      <c r="V4" s="8">
        <v>2025</v>
      </c>
    </row>
    <row r="5" spans="10:23">
      <c r="J5" s="2" t="s">
        <v>15</v>
      </c>
      <c r="K5" s="2"/>
      <c r="L5" s="3">
        <v>520777</v>
      </c>
      <c r="M5" s="4">
        <v>8</v>
      </c>
      <c r="N5" s="3">
        <v>88143</v>
      </c>
      <c r="O5" s="3">
        <v>75043</v>
      </c>
      <c r="P5" s="5">
        <v>8</v>
      </c>
      <c r="Q5" s="3"/>
      <c r="R5" s="3">
        <f>(L5*M5)+N5+O5</f>
        <v>4329402</v>
      </c>
      <c r="S5" s="3"/>
      <c r="T5" s="6">
        <v>45930</v>
      </c>
      <c r="U5" s="7"/>
      <c r="V5" s="8">
        <v>2025</v>
      </c>
    </row>
    <row r="6" spans="10:23">
      <c r="J6" s="9" t="s">
        <v>16</v>
      </c>
      <c r="K6" s="2"/>
      <c r="L6" s="3">
        <v>462016</v>
      </c>
      <c r="M6" s="4">
        <v>8</v>
      </c>
      <c r="N6" s="3">
        <v>73965</v>
      </c>
      <c r="O6" s="3">
        <v>32651</v>
      </c>
      <c r="P6" s="5">
        <v>8</v>
      </c>
      <c r="Q6" s="3">
        <v>29099</v>
      </c>
      <c r="R6" s="3">
        <f t="shared" ref="R6:R16" si="0">(L6*M6)+N6+O6+Q6</f>
        <v>3831843</v>
      </c>
      <c r="S6" s="3"/>
      <c r="T6" s="6">
        <v>45930</v>
      </c>
      <c r="U6" s="7"/>
      <c r="V6" s="8">
        <v>2025</v>
      </c>
    </row>
    <row r="7" spans="10:23">
      <c r="J7" s="9" t="s">
        <v>17</v>
      </c>
      <c r="K7" s="2"/>
      <c r="L7" s="3">
        <v>298914</v>
      </c>
      <c r="M7" s="4">
        <v>8</v>
      </c>
      <c r="N7" s="3">
        <v>73965</v>
      </c>
      <c r="O7" s="3">
        <v>32651</v>
      </c>
      <c r="P7" s="5">
        <v>8</v>
      </c>
      <c r="Q7" s="3">
        <v>29099</v>
      </c>
      <c r="R7" s="3">
        <f t="shared" si="0"/>
        <v>2527027</v>
      </c>
      <c r="S7" s="3">
        <v>163102</v>
      </c>
      <c r="T7" s="6">
        <v>45930</v>
      </c>
      <c r="U7" s="7"/>
      <c r="V7" s="8">
        <v>2025</v>
      </c>
    </row>
    <row r="8" spans="10:23">
      <c r="J8" s="9" t="s">
        <v>18</v>
      </c>
      <c r="K8" s="2"/>
      <c r="L8" s="3">
        <v>257586</v>
      </c>
      <c r="M8" s="4">
        <v>8</v>
      </c>
      <c r="N8" s="3">
        <v>49376</v>
      </c>
      <c r="O8" s="3">
        <v>41029</v>
      </c>
      <c r="P8" s="5">
        <v>8</v>
      </c>
      <c r="Q8" s="3">
        <f>27428+1672</f>
        <v>29100</v>
      </c>
      <c r="R8" s="3">
        <f t="shared" si="0"/>
        <v>2180193</v>
      </c>
      <c r="S8" s="3">
        <v>180383</v>
      </c>
      <c r="T8" s="6">
        <v>45930</v>
      </c>
      <c r="U8" s="7"/>
      <c r="V8" s="8">
        <v>2025</v>
      </c>
    </row>
    <row r="9" spans="10:23">
      <c r="J9" s="9" t="s">
        <v>2843</v>
      </c>
      <c r="K9" s="2"/>
      <c r="L9" s="3">
        <v>437969</v>
      </c>
      <c r="M9" s="4">
        <v>8</v>
      </c>
      <c r="N9" s="3">
        <v>49376</v>
      </c>
      <c r="O9" s="3">
        <v>41029</v>
      </c>
      <c r="P9" s="5">
        <v>8</v>
      </c>
      <c r="Q9" s="3">
        <v>29100</v>
      </c>
      <c r="R9" s="3"/>
      <c r="S9" s="3"/>
      <c r="T9" s="6"/>
      <c r="U9" s="7"/>
      <c r="V9" s="8"/>
    </row>
    <row r="10" spans="10:23">
      <c r="J10" s="9" t="s">
        <v>19</v>
      </c>
      <c r="K10" s="2"/>
      <c r="L10" s="3">
        <v>265934</v>
      </c>
      <c r="M10" s="4">
        <v>8</v>
      </c>
      <c r="N10" s="3">
        <v>51463</v>
      </c>
      <c r="O10" s="3">
        <v>43116</v>
      </c>
      <c r="P10" s="5">
        <v>8</v>
      </c>
      <c r="Q10" s="3">
        <f>27428+1672</f>
        <v>29100</v>
      </c>
      <c r="R10" s="3">
        <f t="shared" si="0"/>
        <v>2251151</v>
      </c>
      <c r="S10" s="3">
        <v>180383</v>
      </c>
      <c r="T10" s="6">
        <v>45930</v>
      </c>
      <c r="U10" s="7"/>
      <c r="V10" s="8">
        <v>2025</v>
      </c>
    </row>
    <row r="11" spans="10:23">
      <c r="J11" s="9" t="s">
        <v>20</v>
      </c>
      <c r="K11" s="2"/>
      <c r="L11" s="3">
        <v>367661</v>
      </c>
      <c r="M11" s="4">
        <v>8</v>
      </c>
      <c r="N11" s="3">
        <v>46744</v>
      </c>
      <c r="O11" s="3">
        <v>37841</v>
      </c>
      <c r="P11" s="5">
        <v>8</v>
      </c>
      <c r="Q11" s="3"/>
      <c r="R11" s="3">
        <f t="shared" si="0"/>
        <v>3025873</v>
      </c>
      <c r="S11" s="3"/>
      <c r="T11" s="6">
        <v>45930</v>
      </c>
      <c r="U11" s="7"/>
      <c r="V11" s="8">
        <v>2025</v>
      </c>
    </row>
    <row r="12" spans="10:23">
      <c r="J12" s="9" t="s">
        <v>21</v>
      </c>
      <c r="K12" s="2"/>
      <c r="L12" s="3">
        <v>179340</v>
      </c>
      <c r="M12" s="4">
        <v>8</v>
      </c>
      <c r="N12" s="3">
        <v>46744</v>
      </c>
      <c r="O12" s="3">
        <v>37841</v>
      </c>
      <c r="P12" s="5">
        <v>8</v>
      </c>
      <c r="Q12" s="3"/>
      <c r="R12" s="3">
        <f t="shared" si="0"/>
        <v>1519305</v>
      </c>
      <c r="S12" s="3">
        <v>188321</v>
      </c>
      <c r="T12" s="6">
        <v>45930</v>
      </c>
      <c r="U12" s="7"/>
      <c r="V12" s="8">
        <v>2025</v>
      </c>
    </row>
    <row r="13" spans="10:23">
      <c r="J13" s="2" t="s">
        <v>22</v>
      </c>
      <c r="K13" s="2"/>
      <c r="L13" s="3">
        <v>503208</v>
      </c>
      <c r="M13" s="4">
        <v>8</v>
      </c>
      <c r="N13" s="3">
        <v>88143</v>
      </c>
      <c r="O13" s="3">
        <v>75043</v>
      </c>
      <c r="P13" s="5">
        <v>8</v>
      </c>
      <c r="Q13" s="3"/>
      <c r="R13" s="3">
        <f t="shared" si="0"/>
        <v>4188850</v>
      </c>
      <c r="S13" s="3"/>
      <c r="T13" s="6">
        <v>45930</v>
      </c>
      <c r="U13" s="7"/>
      <c r="V13" s="8">
        <v>2025</v>
      </c>
    </row>
    <row r="14" spans="10:23">
      <c r="J14" s="2" t="s">
        <v>23</v>
      </c>
      <c r="K14" s="2"/>
      <c r="L14" s="3">
        <v>349190</v>
      </c>
      <c r="M14" s="4">
        <v>8</v>
      </c>
      <c r="N14" s="3">
        <v>88143</v>
      </c>
      <c r="O14" s="3">
        <v>75043</v>
      </c>
      <c r="P14" s="5">
        <v>8</v>
      </c>
      <c r="Q14" s="3"/>
      <c r="R14" s="3">
        <f t="shared" si="0"/>
        <v>2956706</v>
      </c>
      <c r="S14" s="3">
        <v>154018</v>
      </c>
      <c r="T14" s="6">
        <v>45930</v>
      </c>
      <c r="U14" s="7"/>
      <c r="V14" s="8">
        <v>2025</v>
      </c>
    </row>
    <row r="15" spans="10:23">
      <c r="J15" s="2" t="s">
        <v>3888</v>
      </c>
      <c r="K15" s="2"/>
      <c r="L15" s="3">
        <v>468395</v>
      </c>
      <c r="M15" s="4">
        <v>8</v>
      </c>
      <c r="N15" s="3">
        <v>66244</v>
      </c>
      <c r="O15" s="3">
        <v>28221</v>
      </c>
      <c r="P15" s="5">
        <v>8</v>
      </c>
      <c r="Q15" s="3">
        <v>29099</v>
      </c>
      <c r="R15" s="3">
        <f t="shared" si="0"/>
        <v>3870724</v>
      </c>
      <c r="S15" s="3">
        <v>0</v>
      </c>
      <c r="T15" s="6">
        <v>45930</v>
      </c>
      <c r="U15" s="7"/>
      <c r="V15" s="8">
        <v>2025</v>
      </c>
    </row>
    <row r="16" spans="10:23">
      <c r="J16" s="2" t="s">
        <v>24</v>
      </c>
      <c r="K16" s="2"/>
      <c r="L16" s="3">
        <v>310056</v>
      </c>
      <c r="M16" s="4">
        <v>8</v>
      </c>
      <c r="N16" s="3">
        <v>66244</v>
      </c>
      <c r="O16" s="3">
        <v>28221</v>
      </c>
      <c r="P16" s="5">
        <v>8</v>
      </c>
      <c r="Q16" s="3">
        <v>29099</v>
      </c>
      <c r="R16" s="3">
        <f t="shared" si="0"/>
        <v>2604012</v>
      </c>
      <c r="S16" s="3">
        <v>158339</v>
      </c>
      <c r="T16" s="6">
        <v>45930</v>
      </c>
      <c r="U16" s="7"/>
      <c r="V16" s="8">
        <v>2025</v>
      </c>
    </row>
    <row r="20" spans="1:62">
      <c r="L20">
        <f>SUBTOTAL(9,L35:L253)</f>
        <v>165</v>
      </c>
      <c r="AL20" s="11">
        <v>1423500</v>
      </c>
      <c r="AT20" s="30">
        <f>SUBTOTAL(9,Tabla43[DESEMBOLSO 1])</f>
        <v>85213425</v>
      </c>
      <c r="AU20" s="30">
        <f>SUBTOTAL(9,Tabla43[DESEMBOLSO 2])</f>
        <v>72264885</v>
      </c>
      <c r="AV20" s="30">
        <f>SUBTOTAL(9,Tabla43[DESEMBOLSO 3])</f>
        <v>72264885</v>
      </c>
      <c r="AW20" s="30">
        <f>SUBTOTAL(9,Tabla43[DESEMBOLSO 4])</f>
        <v>72264885</v>
      </c>
      <c r="AX20" s="30">
        <f>SUBTOTAL(9,Tabla43[DESEMBOLSO 5])</f>
        <v>72264885</v>
      </c>
      <c r="AY20" s="30">
        <f>SUBTOTAL(9,Tabla43[DESEMBOLSO 6])</f>
        <v>72264885</v>
      </c>
      <c r="AZ20" s="30">
        <f>SUBTOTAL(9,Tabla43[DESEMBOLSO 7])</f>
        <v>79034670</v>
      </c>
      <c r="BA20" s="30">
        <f>SUBTOTAL(9,Tabla43[DESEMBOLSO 8])</f>
        <v>0</v>
      </c>
      <c r="BB20" s="30">
        <f>SUBTOTAL(9,Tabla43[TOTAL DESEMBOLSOS])</f>
        <v>525572520</v>
      </c>
      <c r="BC20" s="33">
        <f>SUBTOTAL(9,Tabla43[VALOR COMPONENTE ALIMENTACION NO ASIGNADO])</f>
        <v>0</v>
      </c>
    </row>
    <row r="21" spans="1:62" s="10" customFormat="1" ht="28.9">
      <c r="A21" s="14" t="s">
        <v>25</v>
      </c>
      <c r="B21" s="14" t="s">
        <v>26</v>
      </c>
      <c r="C21" s="15" t="s">
        <v>27</v>
      </c>
      <c r="D21" s="16" t="s">
        <v>28</v>
      </c>
      <c r="E21" s="16" t="s">
        <v>29</v>
      </c>
      <c r="F21" s="15" t="s">
        <v>30</v>
      </c>
      <c r="G21" s="15" t="s">
        <v>31</v>
      </c>
      <c r="H21" s="15" t="s">
        <v>32</v>
      </c>
      <c r="I21" s="17" t="s">
        <v>33</v>
      </c>
      <c r="J21" s="16" t="s">
        <v>34</v>
      </c>
      <c r="K21" s="16" t="s">
        <v>35</v>
      </c>
      <c r="L21" s="18" t="s">
        <v>36</v>
      </c>
      <c r="M21" s="18" t="s">
        <v>37</v>
      </c>
      <c r="N21" s="18" t="s">
        <v>38</v>
      </c>
      <c r="O21" s="18" t="s">
        <v>39</v>
      </c>
      <c r="P21" s="18" t="s">
        <v>40</v>
      </c>
      <c r="Q21" s="18" t="s">
        <v>41</v>
      </c>
      <c r="R21" s="18" t="s">
        <v>42</v>
      </c>
      <c r="S21" s="18" t="s">
        <v>43</v>
      </c>
      <c r="T21" s="18" t="s">
        <v>44</v>
      </c>
      <c r="U21" s="15" t="s">
        <v>45</v>
      </c>
      <c r="V21" s="15" t="s">
        <v>46</v>
      </c>
      <c r="W21" s="15" t="s">
        <v>47</v>
      </c>
      <c r="X21" s="15" t="s">
        <v>48</v>
      </c>
      <c r="Y21" s="15" t="s">
        <v>49</v>
      </c>
      <c r="Z21" s="15" t="s">
        <v>50</v>
      </c>
      <c r="AA21" s="15" t="s">
        <v>51</v>
      </c>
      <c r="AB21" s="19" t="s">
        <v>3889</v>
      </c>
      <c r="AC21" s="19" t="s">
        <v>53</v>
      </c>
      <c r="AD21" s="19" t="s">
        <v>54</v>
      </c>
      <c r="AE21" s="19" t="s">
        <v>55</v>
      </c>
      <c r="AF21" s="19" t="s">
        <v>56</v>
      </c>
      <c r="AG21" s="19" t="s">
        <v>57</v>
      </c>
      <c r="AH21" s="19" t="s">
        <v>58</v>
      </c>
      <c r="AI21" s="19" t="s">
        <v>59</v>
      </c>
      <c r="AJ21" s="24" t="s">
        <v>60</v>
      </c>
      <c r="AK21" s="24" t="s">
        <v>61</v>
      </c>
      <c r="AL21" s="19" t="s">
        <v>62</v>
      </c>
      <c r="AM21" s="26" t="s">
        <v>63</v>
      </c>
      <c r="AN21" s="26" t="s">
        <v>64</v>
      </c>
      <c r="AO21" s="26" t="s">
        <v>7</v>
      </c>
      <c r="AP21" s="26" t="s">
        <v>65</v>
      </c>
      <c r="AQ21" s="26" t="s">
        <v>66</v>
      </c>
      <c r="AR21" s="26" t="s">
        <v>67</v>
      </c>
      <c r="AS21" s="26" t="s">
        <v>68</v>
      </c>
      <c r="AT21" s="19" t="s">
        <v>69</v>
      </c>
      <c r="AU21" s="24" t="s">
        <v>70</v>
      </c>
      <c r="AV21" s="24" t="s">
        <v>71</v>
      </c>
      <c r="AW21" s="24" t="s">
        <v>72</v>
      </c>
      <c r="AX21" s="24" t="s">
        <v>73</v>
      </c>
      <c r="AY21" s="24" t="s">
        <v>74</v>
      </c>
      <c r="AZ21" s="24" t="s">
        <v>75</v>
      </c>
      <c r="BA21" s="24" t="s">
        <v>76</v>
      </c>
      <c r="BB21" s="24" t="s">
        <v>77</v>
      </c>
      <c r="BC21" s="24" t="s">
        <v>78</v>
      </c>
      <c r="BD21" s="19" t="s">
        <v>79</v>
      </c>
      <c r="BE21" s="19" t="s">
        <v>80</v>
      </c>
      <c r="BF21" s="19" t="s">
        <v>81</v>
      </c>
      <c r="BG21" s="19" t="s">
        <v>82</v>
      </c>
      <c r="BH21" s="20" t="s">
        <v>83</v>
      </c>
      <c r="BI21" s="19" t="s">
        <v>84</v>
      </c>
      <c r="BJ21" s="19" t="s">
        <v>3890</v>
      </c>
    </row>
    <row r="22" spans="1:62" s="68" customFormat="1" hidden="1">
      <c r="A22" s="69">
        <v>1886</v>
      </c>
      <c r="B22" s="57"/>
      <c r="C22" s="58" t="s">
        <v>87</v>
      </c>
      <c r="D22" s="58" t="s">
        <v>462</v>
      </c>
      <c r="E22" s="58" t="s">
        <v>3891</v>
      </c>
      <c r="F22" s="58" t="s">
        <v>16</v>
      </c>
      <c r="G22" s="58" t="s">
        <v>90</v>
      </c>
      <c r="H22" s="58" t="s">
        <v>3892</v>
      </c>
      <c r="I22" s="58">
        <v>58731119948</v>
      </c>
      <c r="J22" s="58" t="s">
        <v>3893</v>
      </c>
      <c r="K22" s="58">
        <v>1</v>
      </c>
      <c r="L22" s="58">
        <v>37</v>
      </c>
      <c r="M22" s="58"/>
      <c r="N22" s="69">
        <v>1886</v>
      </c>
      <c r="O22" s="12" t="s">
        <v>3894</v>
      </c>
      <c r="P22" s="58"/>
      <c r="Q22" s="58"/>
      <c r="R22" s="58" t="s">
        <v>94</v>
      </c>
      <c r="S22" s="58">
        <v>10</v>
      </c>
      <c r="T22" s="58">
        <v>800044785</v>
      </c>
      <c r="U22" s="58" t="s">
        <v>3895</v>
      </c>
      <c r="V22" s="58">
        <f>VLOOKUP(Tabla43[[#This Row],[ZONA DEFINITIVO]],Hoja1!$A$1:$D$129,3,0)</f>
        <v>229951</v>
      </c>
      <c r="W22" s="58">
        <f>VLOOKUP(Tabla43[[#This Row],[ZONA DEFINITIVO]],Hoja1!$A$1:$D$129,2,0)</f>
        <v>18592</v>
      </c>
      <c r="X22" s="58">
        <f>VLOOKUP(Tabla43[[#This Row],[ZONA DEFINITIVO]],Hoja1!$A$1:$D$129,4,0)</f>
        <v>117225</v>
      </c>
      <c r="Y22" s="58">
        <f>+IF(Tabla43[[#This Row],[AGRUPACIONES]]=1,SUMIFS(Tabla43[UDS],Tabla43[ZONA DEFINITIVO],Tabla43[[#This Row],[ZONA DEFINITIVO]])," ")</f>
        <v>11</v>
      </c>
      <c r="Z22" s="58">
        <f>+IF(Tabla43[[#This Row],[AGRUPACIONES]]=1,SUMIFS(Tabla43[TOTAL COBERTURA],Tabla43[ZONA DEFINITIVO],Tabla43[[#This Row],[ZONA DEFINITIVO]])," ")</f>
        <v>599</v>
      </c>
      <c r="AA22" s="58"/>
      <c r="AB22" s="53">
        <v>124683599</v>
      </c>
      <c r="AC22" s="53"/>
      <c r="AD22" s="54">
        <f>Tabla43[[#This Row],[VALOR ATENCIÓN (7 MESES)]]*Tabla43[[#This Row],[% CONTRAPARTIDA]]</f>
        <v>0</v>
      </c>
      <c r="AE22" s="58"/>
      <c r="AF22" s="58">
        <f>COUNTIF($A$22:A22,A22)</f>
        <v>1</v>
      </c>
      <c r="AG22" s="53">
        <v>124683599</v>
      </c>
      <c r="AH22" s="54">
        <f>Tabla43[[#This Row],[VALOR CONTRAPARTIDA]]+Tabla43[[#This Row],[TOTAL APORTES ICBF]]</f>
        <v>124683599</v>
      </c>
      <c r="AI22" s="55">
        <f>+IF(Tabla43[[#This Row],[AGRUPACIONES]]=1,SUMIFS(Tabla43[TOTAL APORTES ICBF],Tabla43[ZONA DEFINITIVO],Tabla43[[#This Row],[ZONA DEFINITIVO]])," ")</f>
        <v>2010892021</v>
      </c>
      <c r="AJ22" s="54">
        <f>ROUND(+IF(Tabla43[[#This Row],[AGRUPACIONES]]=1,SUMIFS(Tabla43[VALOR CONTRAPARTIDA],Tabla43[ZONA DEFINITIVO],Tabla43[[#This Row],[ZONA DEFINITIVO]])," "),0)</f>
        <v>0</v>
      </c>
      <c r="AK22" s="54">
        <f>Tabla43[[#This Row],[TOTAL APORTES ICBF AGRUPADO]]+Tabla43[[#This Row],[TOTAL CONTRAPARTIDA AGRUPADO]]</f>
        <v>2010892021</v>
      </c>
      <c r="AL22" s="64">
        <f>Tabla43[[#This Row],[TOTAL APORTES ICBF AGRUPADO]]/$AL$20</f>
        <v>1412.6392841587635</v>
      </c>
      <c r="AM22" s="55">
        <f>VLOOKUP(Tabla43[[#This Row],[SERVICIO 2025]],$J$2:$V$16,5,0)*Tabla43[[#This Row],[TOTAL COBERTURA]]</f>
        <v>2736705</v>
      </c>
      <c r="AN22" s="55">
        <f>VLOOKUP(Tabla43[[#This Row],[SERVICIO 2025]],$J$2:$V$16,6,0)*Tabla43[[#This Row],[TOTAL COBERTURA]]</f>
        <v>1208087</v>
      </c>
      <c r="AO22" s="55">
        <f>VLOOKUP(Tabla43[[#This Row],[SERVICIO 2025]],$J$2:$V$16,8,0)*Tabla43[[#This Row],[TOTAL COBERTURA]]</f>
        <v>1076663</v>
      </c>
      <c r="AP22" s="55">
        <f>VLOOKUP(Tabla43[[#This Row],[SERVICIO 2025]],$J$2:$V$16,3,0)*Tabla43[[#This Row],[TOTAL COBERTURA]]*7</f>
        <v>119662144</v>
      </c>
      <c r="AQ22" s="55">
        <f>VLOOKUP(Tabla43[[#This Row],[SERVICIO 2025]],$J$2:$V$16,10,0)*Tabla43[[#This Row],[TOTAL COBERTURA]]*7</f>
        <v>0</v>
      </c>
      <c r="AR22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124683599</v>
      </c>
      <c r="AS22" s="55">
        <f>+IF(Tabla43[[#This Row],[AGRUPACIONES]]=1,SUMIFS(Tabla43[VALOR TOTAL],Tabla43[ZONA DEFINITIVO],Tabla43[[#This Row],[ZONA DEFINITIVO]])," ")</f>
        <v>2010892021</v>
      </c>
      <c r="AT22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20907960</v>
      </c>
      <c r="AU22" s="55">
        <f>VLOOKUP(Tabla43[[#This Row],[SERVICIO 2025]],$J$2:$V$16,3,0)*Tabla43[[#This Row],[TOTAL COBERTURA]]+Tabla43[[#This Row],[VALOR RACION PREPARADA]]/7</f>
        <v>17094592</v>
      </c>
      <c r="AV22" s="55">
        <f>VLOOKUP(Tabla43[[#This Row],[SERVICIO 2025]],$J$2:$V$16,3,0)*Tabla43[[#This Row],[TOTAL COBERTURA]]+Tabla43[[#This Row],[VALOR RACION PREPARADA]]/7</f>
        <v>17094592</v>
      </c>
      <c r="AW22" s="55">
        <f>VLOOKUP(Tabla43[[#This Row],[SERVICIO 2025]],$J$2:$V$16,3,0)*Tabla43[[#This Row],[TOTAL COBERTURA]]+Tabla43[[#This Row],[VALOR RACION PREPARADA]]/7</f>
        <v>17094592</v>
      </c>
      <c r="AX22" s="55">
        <f>VLOOKUP(Tabla43[[#This Row],[SERVICIO 2025]],$J$2:$V$16,3,0)*Tabla43[[#This Row],[TOTAL COBERTURA]]+Tabla43[[#This Row],[VALOR RACION PREPARADA]]/7</f>
        <v>17094592</v>
      </c>
      <c r="AY22" s="55">
        <f>VLOOKUP(Tabla43[[#This Row],[SERVICIO 2025]],$J$2:$V$16,3,0)*Tabla43[[#This Row],[TOTAL COBERTURA]]+Tabla43[[#This Row],[VALOR RACION PREPARADA]]/7</f>
        <v>17094592</v>
      </c>
      <c r="AZ22" s="55">
        <f>VLOOKUP(Tabla43[[#This Row],[SERVICIO 2025]],$J$2:$V$16,3,0)*Tabla43[[#This Row],[TOTAL COBERTURA]]+Tabla43[[#This Row],[VALOR RACION PREPARADA]]/7+Tabla43[[#This Row],[VALOR FASE PREPARATORIA DE CIERRE]]</f>
        <v>18302679</v>
      </c>
      <c r="BA22" s="55"/>
      <c r="BB22" s="55">
        <f>SUM(Tabla43[[#This Row],[DESEMBOLSO 1]:[DESEMBOLSO 8]])</f>
        <v>124683599</v>
      </c>
      <c r="BC22" s="55">
        <f>VLOOKUP(Tabla43[[#This Row],[SERVICIO 2025]],$J$2:$V$16,10,0)*Tabla43[[#This Row],[TOTAL COBERTURA]]*$W$3</f>
        <v>0</v>
      </c>
      <c r="BD22" s="66" t="s">
        <v>145</v>
      </c>
      <c r="BE22" s="58" t="b">
        <f>EXACT(Tabla43[[#This Row],[TOTAL APORTES ICBF]],Tabla43[[#This Row],[VALOR TOTAL]])</f>
        <v>1</v>
      </c>
      <c r="BF22" s="64">
        <f>SUM(Tabla43[[#This Row],[VALOR FASE PREPARATORIA DE ALISTAMIENTO]:[VALOR RACION PREPARADA]])-Tabla43[[#This Row],[VALOR TOTAL]]</f>
        <v>0</v>
      </c>
      <c r="BG22" s="58" t="b">
        <f>EXACT(Tabla43[[#This Row],[VALOR TOTAL]],Tabla43[[#This Row],[TOTAL DESEMBOLSOS]])</f>
        <v>1</v>
      </c>
      <c r="BH22" s="67">
        <f>Tabla43[[#This Row],[TOTAL DESEMBOLSOS]]-Tabla43[[#This Row],[VALOR TOTAL]]</f>
        <v>0</v>
      </c>
      <c r="BJ22" s="68" t="s">
        <v>3896</v>
      </c>
    </row>
    <row r="23" spans="1:62" s="68" customFormat="1" hidden="1">
      <c r="A23" s="69">
        <v>1886</v>
      </c>
      <c r="B23" s="57"/>
      <c r="C23" s="58" t="s">
        <v>87</v>
      </c>
      <c r="D23" s="58" t="s">
        <v>462</v>
      </c>
      <c r="E23" s="58" t="s">
        <v>3891</v>
      </c>
      <c r="F23" s="58" t="s">
        <v>16</v>
      </c>
      <c r="G23" s="58" t="s">
        <v>90</v>
      </c>
      <c r="H23" s="58" t="s">
        <v>3897</v>
      </c>
      <c r="I23" s="58">
        <v>58731119950</v>
      </c>
      <c r="J23" s="58" t="s">
        <v>3898</v>
      </c>
      <c r="K23" s="58">
        <v>1</v>
      </c>
      <c r="L23" s="58">
        <v>55</v>
      </c>
      <c r="M23" s="58"/>
      <c r="N23" s="69">
        <v>1886</v>
      </c>
      <c r="O23" s="12" t="s">
        <v>3894</v>
      </c>
      <c r="P23" s="58"/>
      <c r="Q23" s="58"/>
      <c r="R23" s="58" t="s">
        <v>94</v>
      </c>
      <c r="S23" s="58">
        <v>10</v>
      </c>
      <c r="T23" s="58">
        <v>800044785</v>
      </c>
      <c r="U23" s="58" t="s">
        <v>3895</v>
      </c>
      <c r="V23" s="58">
        <f>VLOOKUP(Tabla43[[#This Row],[ZONA DEFINITIVO]],Hoja1!$A$1:$D$129,3,0)</f>
        <v>229951</v>
      </c>
      <c r="W23" s="58">
        <f>VLOOKUP(Tabla43[[#This Row],[ZONA DEFINITIVO]],Hoja1!$A$1:$D$129,2,0)</f>
        <v>18592</v>
      </c>
      <c r="X23" s="58">
        <f>VLOOKUP(Tabla43[[#This Row],[ZONA DEFINITIVO]],Hoja1!$A$1:$D$129,4,0)</f>
        <v>117225</v>
      </c>
      <c r="Y23" s="58" t="str">
        <f>+IF(Tabla43[[#This Row],[AGRUPACIONES]]=1,SUMIFS(Tabla43[UDS],Tabla43[ZONA DEFINITIVO],Tabla43[[#This Row],[ZONA DEFINITIVO]])," ")</f>
        <v xml:space="preserve"> </v>
      </c>
      <c r="Z23" s="58" t="str">
        <f>+IF(Tabla43[[#This Row],[AGRUPACIONES]]=1,SUMIFS(Tabla43[TOTAL COBERTURA],Tabla43[ZONA DEFINITIVO],Tabla43[[#This Row],[ZONA DEFINITIVO]])," ")</f>
        <v xml:space="preserve"> </v>
      </c>
      <c r="AA23" s="58"/>
      <c r="AB23" s="53">
        <v>185340485</v>
      </c>
      <c r="AC23" s="53"/>
      <c r="AD23" s="54">
        <f>Tabla43[[#This Row],[VALOR ATENCIÓN (7 MESES)]]*Tabla43[[#This Row],[% CONTRAPARTIDA]]</f>
        <v>0</v>
      </c>
      <c r="AE23" s="58"/>
      <c r="AF23" s="58">
        <f>COUNTIF($A$22:A23,A23)</f>
        <v>2</v>
      </c>
      <c r="AG23" s="53">
        <v>185340485</v>
      </c>
      <c r="AH23" s="54">
        <f>Tabla43[[#This Row],[VALOR CONTRAPARTIDA]]+Tabla43[[#This Row],[TOTAL APORTES ICBF]]</f>
        <v>185340485</v>
      </c>
      <c r="AI23" s="55" t="str">
        <f>+IF(Tabla43[[#This Row],[AGRUPACIONES]]=1,SUMIFS(Tabla43[TOTAL APORTES ICBF],Tabla43[ZONA DEFINITIVO],Tabla43[[#This Row],[ZONA DEFINITIVO]])," ")</f>
        <v xml:space="preserve"> </v>
      </c>
      <c r="AJ23" s="54"/>
      <c r="AK23" s="54"/>
      <c r="AL23" s="64"/>
      <c r="AM23" s="55">
        <f>VLOOKUP(Tabla43[[#This Row],[SERVICIO 2025]],$J$2:$V$16,5,0)*Tabla43[[#This Row],[TOTAL COBERTURA]]</f>
        <v>4068075</v>
      </c>
      <c r="AN23" s="55">
        <f>VLOOKUP(Tabla43[[#This Row],[SERVICIO 2025]],$J$2:$V$16,6,0)*Tabla43[[#This Row],[TOTAL COBERTURA]]</f>
        <v>1795805</v>
      </c>
      <c r="AO23" s="55">
        <f>VLOOKUP(Tabla43[[#This Row],[SERVICIO 2025]],$J$2:$V$16,8,0)*Tabla43[[#This Row],[TOTAL COBERTURA]]</f>
        <v>1600445</v>
      </c>
      <c r="AP23" s="55">
        <f>VLOOKUP(Tabla43[[#This Row],[SERVICIO 2025]],$J$2:$V$16,3,0)*Tabla43[[#This Row],[TOTAL COBERTURA]]*7</f>
        <v>177876160</v>
      </c>
      <c r="AQ23" s="55">
        <f>VLOOKUP(Tabla43[[#This Row],[SERVICIO 2025]],$J$2:$V$16,10,0)*Tabla43[[#This Row],[TOTAL COBERTURA]]*7</f>
        <v>0</v>
      </c>
      <c r="AR23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185340485</v>
      </c>
      <c r="AS23" s="55" t="str">
        <f>+IF(Tabla43[[#This Row],[AGRUPACIONES]]=1,SUMIFS(Tabla43[VALOR TOTAL],Tabla43[ZONA DEFINITIVO],Tabla43[[#This Row],[ZONA DEFINITIVO]])," ")</f>
        <v xml:space="preserve"> </v>
      </c>
      <c r="AT23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31079400</v>
      </c>
      <c r="AU23" s="55">
        <f>VLOOKUP(Tabla43[[#This Row],[SERVICIO 2025]],$J$2:$V$16,3,0)*Tabla43[[#This Row],[TOTAL COBERTURA]]+Tabla43[[#This Row],[VALOR RACION PREPARADA]]/7</f>
        <v>25410880</v>
      </c>
      <c r="AV23" s="55">
        <f>VLOOKUP(Tabla43[[#This Row],[SERVICIO 2025]],$J$2:$V$16,3,0)*Tabla43[[#This Row],[TOTAL COBERTURA]]+Tabla43[[#This Row],[VALOR RACION PREPARADA]]/7</f>
        <v>25410880</v>
      </c>
      <c r="AW23" s="55">
        <f>VLOOKUP(Tabla43[[#This Row],[SERVICIO 2025]],$J$2:$V$16,3,0)*Tabla43[[#This Row],[TOTAL COBERTURA]]+Tabla43[[#This Row],[VALOR RACION PREPARADA]]/7</f>
        <v>25410880</v>
      </c>
      <c r="AX23" s="55">
        <f>VLOOKUP(Tabla43[[#This Row],[SERVICIO 2025]],$J$2:$V$16,3,0)*Tabla43[[#This Row],[TOTAL COBERTURA]]+Tabla43[[#This Row],[VALOR RACION PREPARADA]]/7</f>
        <v>25410880</v>
      </c>
      <c r="AY23" s="55">
        <f>VLOOKUP(Tabla43[[#This Row],[SERVICIO 2025]],$J$2:$V$16,3,0)*Tabla43[[#This Row],[TOTAL COBERTURA]]+Tabla43[[#This Row],[VALOR RACION PREPARADA]]/7</f>
        <v>25410880</v>
      </c>
      <c r="AZ23" s="55">
        <f>VLOOKUP(Tabla43[[#This Row],[SERVICIO 2025]],$J$2:$V$16,3,0)*Tabla43[[#This Row],[TOTAL COBERTURA]]+Tabla43[[#This Row],[VALOR RACION PREPARADA]]/7+Tabla43[[#This Row],[VALOR FASE PREPARATORIA DE CIERRE]]</f>
        <v>27206685</v>
      </c>
      <c r="BA23" s="55"/>
      <c r="BB23" s="55">
        <f>SUM(Tabla43[[#This Row],[DESEMBOLSO 1]:[DESEMBOLSO 8]])</f>
        <v>185340485</v>
      </c>
      <c r="BC23" s="55">
        <f>VLOOKUP(Tabla43[[#This Row],[SERVICIO 2025]],$J$2:$V$16,10,0)*Tabla43[[#This Row],[TOTAL COBERTURA]]*$W$3</f>
        <v>0</v>
      </c>
      <c r="BD23" s="66" t="s">
        <v>145</v>
      </c>
      <c r="BE23" s="58" t="b">
        <f>EXACT(Tabla43[[#This Row],[TOTAL APORTES ICBF]],Tabla43[[#This Row],[VALOR TOTAL]])</f>
        <v>1</v>
      </c>
      <c r="BF23" s="64">
        <f>SUM(Tabla43[[#This Row],[VALOR FASE PREPARATORIA DE ALISTAMIENTO]:[VALOR RACION PREPARADA]])-Tabla43[[#This Row],[VALOR TOTAL]]</f>
        <v>0</v>
      </c>
      <c r="BG23" s="58" t="b">
        <f>EXACT(Tabla43[[#This Row],[VALOR TOTAL]],Tabla43[[#This Row],[TOTAL DESEMBOLSOS]])</f>
        <v>1</v>
      </c>
      <c r="BH23" s="67">
        <f>Tabla43[[#This Row],[TOTAL DESEMBOLSOS]]-Tabla43[[#This Row],[VALOR TOTAL]]</f>
        <v>0</v>
      </c>
      <c r="BJ23" s="68" t="s">
        <v>3896</v>
      </c>
    </row>
    <row r="24" spans="1:62" s="68" customFormat="1" hidden="1">
      <c r="A24" s="69">
        <v>1886</v>
      </c>
      <c r="B24" s="57"/>
      <c r="C24" s="58" t="s">
        <v>87</v>
      </c>
      <c r="D24" s="58" t="s">
        <v>462</v>
      </c>
      <c r="E24" s="58" t="s">
        <v>3891</v>
      </c>
      <c r="F24" s="58" t="s">
        <v>16</v>
      </c>
      <c r="G24" s="58" t="s">
        <v>90</v>
      </c>
      <c r="H24" s="58" t="s">
        <v>3899</v>
      </c>
      <c r="I24" s="58">
        <v>58731119951</v>
      </c>
      <c r="J24" s="58" t="s">
        <v>3900</v>
      </c>
      <c r="K24" s="58">
        <v>1</v>
      </c>
      <c r="L24" s="58">
        <v>48</v>
      </c>
      <c r="M24" s="58"/>
      <c r="N24" s="69">
        <v>1886</v>
      </c>
      <c r="O24" s="12" t="s">
        <v>3894</v>
      </c>
      <c r="P24" s="58"/>
      <c r="Q24" s="58"/>
      <c r="R24" s="58" t="s">
        <v>94</v>
      </c>
      <c r="S24" s="58">
        <v>10</v>
      </c>
      <c r="T24" s="58">
        <v>800044785</v>
      </c>
      <c r="U24" s="58" t="s">
        <v>3895</v>
      </c>
      <c r="V24" s="58">
        <f>VLOOKUP(Tabla43[[#This Row],[ZONA DEFINITIVO]],Hoja1!$A$1:$D$129,3,0)</f>
        <v>229951</v>
      </c>
      <c r="W24" s="58">
        <f>VLOOKUP(Tabla43[[#This Row],[ZONA DEFINITIVO]],Hoja1!$A$1:$D$129,2,0)</f>
        <v>18592</v>
      </c>
      <c r="X24" s="58">
        <f>VLOOKUP(Tabla43[[#This Row],[ZONA DEFINITIVO]],Hoja1!$A$1:$D$129,4,0)</f>
        <v>117225</v>
      </c>
      <c r="Y24" s="58" t="str">
        <f>+IF(Tabla43[[#This Row],[AGRUPACIONES]]=1,SUMIFS(Tabla43[UDS],Tabla43[ZONA DEFINITIVO],Tabla43[[#This Row],[ZONA DEFINITIVO]])," ")</f>
        <v xml:space="preserve"> </v>
      </c>
      <c r="Z24" s="58" t="str">
        <f>+IF(Tabla43[[#This Row],[AGRUPACIONES]]=1,SUMIFS(Tabla43[TOTAL COBERTURA],Tabla43[ZONA DEFINITIVO],Tabla43[[#This Row],[ZONA DEFINITIVO]])," ")</f>
        <v xml:space="preserve"> </v>
      </c>
      <c r="AA24" s="58"/>
      <c r="AB24" s="53">
        <v>161751696</v>
      </c>
      <c r="AC24" s="53"/>
      <c r="AD24" s="54">
        <f>Tabla43[[#This Row],[VALOR ATENCIÓN (7 MESES)]]*Tabla43[[#This Row],[% CONTRAPARTIDA]]</f>
        <v>0</v>
      </c>
      <c r="AE24" s="58"/>
      <c r="AF24" s="58">
        <f>COUNTIF($A$22:A24,A24)</f>
        <v>3</v>
      </c>
      <c r="AG24" s="53">
        <v>161751696</v>
      </c>
      <c r="AH24" s="54">
        <f>Tabla43[[#This Row],[VALOR CONTRAPARTIDA]]+Tabla43[[#This Row],[TOTAL APORTES ICBF]]</f>
        <v>161751696</v>
      </c>
      <c r="AI24" s="55" t="str">
        <f>+IF(Tabla43[[#This Row],[AGRUPACIONES]]=1,SUMIFS(Tabla43[TOTAL APORTES ICBF],Tabla43[ZONA DEFINITIVO],Tabla43[[#This Row],[ZONA DEFINITIVO]])," ")</f>
        <v xml:space="preserve"> </v>
      </c>
      <c r="AJ24" s="54"/>
      <c r="AK24" s="54"/>
      <c r="AL24" s="64"/>
      <c r="AM24" s="55">
        <f>VLOOKUP(Tabla43[[#This Row],[SERVICIO 2025]],$J$2:$V$16,5,0)*Tabla43[[#This Row],[TOTAL COBERTURA]]</f>
        <v>3550320</v>
      </c>
      <c r="AN24" s="55">
        <f>VLOOKUP(Tabla43[[#This Row],[SERVICIO 2025]],$J$2:$V$16,6,0)*Tabla43[[#This Row],[TOTAL COBERTURA]]</f>
        <v>1567248</v>
      </c>
      <c r="AO24" s="55">
        <f>VLOOKUP(Tabla43[[#This Row],[SERVICIO 2025]],$J$2:$V$16,8,0)*Tabla43[[#This Row],[TOTAL COBERTURA]]</f>
        <v>1396752</v>
      </c>
      <c r="AP24" s="55">
        <f>VLOOKUP(Tabla43[[#This Row],[SERVICIO 2025]],$J$2:$V$16,3,0)*Tabla43[[#This Row],[TOTAL COBERTURA]]*7</f>
        <v>155237376</v>
      </c>
      <c r="AQ24" s="55">
        <f>VLOOKUP(Tabla43[[#This Row],[SERVICIO 2025]],$J$2:$V$16,10,0)*Tabla43[[#This Row],[TOTAL COBERTURA]]*7</f>
        <v>0</v>
      </c>
      <c r="AR24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161751696</v>
      </c>
      <c r="AS24" s="55" t="str">
        <f>+IF(Tabla43[[#This Row],[AGRUPACIONES]]=1,SUMIFS(Tabla43[VALOR TOTAL],Tabla43[ZONA DEFINITIVO],Tabla43[[#This Row],[ZONA DEFINITIVO]])," ")</f>
        <v xml:space="preserve"> </v>
      </c>
      <c r="AT24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27123840</v>
      </c>
      <c r="AU24" s="55">
        <f>VLOOKUP(Tabla43[[#This Row],[SERVICIO 2025]],$J$2:$V$16,3,0)*Tabla43[[#This Row],[TOTAL COBERTURA]]+Tabla43[[#This Row],[VALOR RACION PREPARADA]]/7</f>
        <v>22176768</v>
      </c>
      <c r="AV24" s="55">
        <f>VLOOKUP(Tabla43[[#This Row],[SERVICIO 2025]],$J$2:$V$16,3,0)*Tabla43[[#This Row],[TOTAL COBERTURA]]+Tabla43[[#This Row],[VALOR RACION PREPARADA]]/7</f>
        <v>22176768</v>
      </c>
      <c r="AW24" s="55">
        <f>VLOOKUP(Tabla43[[#This Row],[SERVICIO 2025]],$J$2:$V$16,3,0)*Tabla43[[#This Row],[TOTAL COBERTURA]]+Tabla43[[#This Row],[VALOR RACION PREPARADA]]/7</f>
        <v>22176768</v>
      </c>
      <c r="AX24" s="55">
        <f>VLOOKUP(Tabla43[[#This Row],[SERVICIO 2025]],$J$2:$V$16,3,0)*Tabla43[[#This Row],[TOTAL COBERTURA]]+Tabla43[[#This Row],[VALOR RACION PREPARADA]]/7</f>
        <v>22176768</v>
      </c>
      <c r="AY24" s="55">
        <f>VLOOKUP(Tabla43[[#This Row],[SERVICIO 2025]],$J$2:$V$16,3,0)*Tabla43[[#This Row],[TOTAL COBERTURA]]+Tabla43[[#This Row],[VALOR RACION PREPARADA]]/7</f>
        <v>22176768</v>
      </c>
      <c r="AZ24" s="55">
        <f>VLOOKUP(Tabla43[[#This Row],[SERVICIO 2025]],$J$2:$V$16,3,0)*Tabla43[[#This Row],[TOTAL COBERTURA]]+Tabla43[[#This Row],[VALOR RACION PREPARADA]]/7+Tabla43[[#This Row],[VALOR FASE PREPARATORIA DE CIERRE]]</f>
        <v>23744016</v>
      </c>
      <c r="BA24" s="55"/>
      <c r="BB24" s="55">
        <f>SUM(Tabla43[[#This Row],[DESEMBOLSO 1]:[DESEMBOLSO 8]])</f>
        <v>161751696</v>
      </c>
      <c r="BC24" s="55">
        <f>VLOOKUP(Tabla43[[#This Row],[SERVICIO 2025]],$J$2:$V$16,10,0)*Tabla43[[#This Row],[TOTAL COBERTURA]]*$W$3</f>
        <v>0</v>
      </c>
      <c r="BD24" s="66" t="s">
        <v>145</v>
      </c>
      <c r="BE24" s="58" t="b">
        <f>EXACT(Tabla43[[#This Row],[TOTAL APORTES ICBF]],Tabla43[[#This Row],[VALOR TOTAL]])</f>
        <v>1</v>
      </c>
      <c r="BF24" s="64">
        <f>SUM(Tabla43[[#This Row],[VALOR FASE PREPARATORIA DE ALISTAMIENTO]:[VALOR RACION PREPARADA]])-Tabla43[[#This Row],[VALOR TOTAL]]</f>
        <v>0</v>
      </c>
      <c r="BG24" s="58" t="b">
        <f>EXACT(Tabla43[[#This Row],[VALOR TOTAL]],Tabla43[[#This Row],[TOTAL DESEMBOLSOS]])</f>
        <v>1</v>
      </c>
      <c r="BH24" s="67">
        <f>Tabla43[[#This Row],[TOTAL DESEMBOLSOS]]-Tabla43[[#This Row],[VALOR TOTAL]]</f>
        <v>0</v>
      </c>
      <c r="BJ24" s="68" t="s">
        <v>3896</v>
      </c>
    </row>
    <row r="25" spans="1:62" s="68" customFormat="1" hidden="1">
      <c r="A25" s="57">
        <v>1886</v>
      </c>
      <c r="B25" s="57"/>
      <c r="C25" s="58" t="s">
        <v>87</v>
      </c>
      <c r="D25" s="58" t="s">
        <v>462</v>
      </c>
      <c r="E25" s="58" t="s">
        <v>3891</v>
      </c>
      <c r="F25" s="58" t="s">
        <v>16</v>
      </c>
      <c r="G25" s="58" t="s">
        <v>90</v>
      </c>
      <c r="H25" s="58" t="s">
        <v>3901</v>
      </c>
      <c r="I25" s="58">
        <v>58731150107</v>
      </c>
      <c r="J25" s="58" t="s">
        <v>3902</v>
      </c>
      <c r="K25" s="58">
        <v>1</v>
      </c>
      <c r="L25" s="58">
        <v>19</v>
      </c>
      <c r="M25" s="58"/>
      <c r="N25" s="57">
        <v>1886</v>
      </c>
      <c r="O25" s="12" t="s">
        <v>3894</v>
      </c>
      <c r="P25" s="58"/>
      <c r="Q25" s="58"/>
      <c r="R25" s="58" t="s">
        <v>94</v>
      </c>
      <c r="S25" s="58">
        <v>10</v>
      </c>
      <c r="T25" s="58">
        <v>800044785</v>
      </c>
      <c r="U25" s="58" t="s">
        <v>3895</v>
      </c>
      <c r="V25" s="58">
        <f>VLOOKUP(Tabla43[[#This Row],[ZONA DEFINITIVO]],Hoja1!$A$1:$D$129,3,0)</f>
        <v>229951</v>
      </c>
      <c r="W25" s="58">
        <f>VLOOKUP(Tabla43[[#This Row],[ZONA DEFINITIVO]],Hoja1!$A$1:$D$129,2,0)</f>
        <v>18592</v>
      </c>
      <c r="X25" s="58">
        <f>VLOOKUP(Tabla43[[#This Row],[ZONA DEFINITIVO]],Hoja1!$A$1:$D$129,4,0)</f>
        <v>117225</v>
      </c>
      <c r="Y25" s="58" t="str">
        <f>+IF(Tabla43[[#This Row],[AGRUPACIONES]]=1,SUMIFS(Tabla43[UDS],Tabla43[ZONA DEFINITIVO],Tabla43[[#This Row],[ZONA DEFINITIVO]])," ")</f>
        <v xml:space="preserve"> </v>
      </c>
      <c r="Z25" s="58" t="str">
        <f>+IF(Tabla43[[#This Row],[AGRUPACIONES]]=1,SUMIFS(Tabla43[TOTAL COBERTURA],Tabla43[ZONA DEFINITIVO],Tabla43[[#This Row],[ZONA DEFINITIVO]])," ")</f>
        <v xml:space="preserve"> </v>
      </c>
      <c r="AA25" s="58"/>
      <c r="AB25" s="53">
        <v>64026713</v>
      </c>
      <c r="AC25" s="53"/>
      <c r="AD25" s="54">
        <f>Tabla43[[#This Row],[VALOR ATENCIÓN (7 MESES)]]*Tabla43[[#This Row],[% CONTRAPARTIDA]]</f>
        <v>0</v>
      </c>
      <c r="AE25" s="58"/>
      <c r="AF25" s="58">
        <f>COUNTIF($A$22:A25,A25)</f>
        <v>4</v>
      </c>
      <c r="AG25" s="53">
        <v>64026713</v>
      </c>
      <c r="AH25" s="54">
        <f>Tabla43[[#This Row],[VALOR CONTRAPARTIDA]]+Tabla43[[#This Row],[TOTAL APORTES ICBF]]</f>
        <v>64026713</v>
      </c>
      <c r="AI25" s="55" t="str">
        <f>+IF(Tabla43[[#This Row],[AGRUPACIONES]]=1,SUMIFS(Tabla43[TOTAL APORTES ICBF],Tabla43[ZONA DEFINITIVO],Tabla43[[#This Row],[ZONA DEFINITIVO]])," ")</f>
        <v xml:space="preserve"> </v>
      </c>
      <c r="AJ25" s="54"/>
      <c r="AK25" s="54"/>
      <c r="AL25" s="64"/>
      <c r="AM25" s="55">
        <f>VLOOKUP(Tabla43[[#This Row],[SERVICIO 2025]],$J$2:$V$16,5,0)*Tabla43[[#This Row],[TOTAL COBERTURA]]</f>
        <v>1405335</v>
      </c>
      <c r="AN25" s="55">
        <f>VLOOKUP(Tabla43[[#This Row],[SERVICIO 2025]],$J$2:$V$16,6,0)*Tabla43[[#This Row],[TOTAL COBERTURA]]</f>
        <v>620369</v>
      </c>
      <c r="AO25" s="55">
        <f>VLOOKUP(Tabla43[[#This Row],[SERVICIO 2025]],$J$2:$V$16,8,0)*Tabla43[[#This Row],[TOTAL COBERTURA]]</f>
        <v>552881</v>
      </c>
      <c r="AP25" s="55">
        <f>VLOOKUP(Tabla43[[#This Row],[SERVICIO 2025]],$J$2:$V$16,3,0)*Tabla43[[#This Row],[TOTAL COBERTURA]]*7</f>
        <v>61448128</v>
      </c>
      <c r="AQ25" s="55">
        <f>VLOOKUP(Tabla43[[#This Row],[SERVICIO 2025]],$J$2:$V$16,10,0)*Tabla43[[#This Row],[TOTAL COBERTURA]]*7</f>
        <v>0</v>
      </c>
      <c r="AR25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64026713</v>
      </c>
      <c r="AS25" s="55" t="str">
        <f>+IF(Tabla43[[#This Row],[AGRUPACIONES]]=1,SUMIFS(Tabla43[VALOR TOTAL],Tabla43[ZONA DEFINITIVO],Tabla43[[#This Row],[ZONA DEFINITIVO]])," ")</f>
        <v xml:space="preserve"> </v>
      </c>
      <c r="AT25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10736520</v>
      </c>
      <c r="AU25" s="55">
        <f>VLOOKUP(Tabla43[[#This Row],[SERVICIO 2025]],$J$2:$V$16,3,0)*Tabla43[[#This Row],[TOTAL COBERTURA]]+Tabla43[[#This Row],[VALOR RACION PREPARADA]]/7</f>
        <v>8778304</v>
      </c>
      <c r="AV25" s="55">
        <f>VLOOKUP(Tabla43[[#This Row],[SERVICIO 2025]],$J$2:$V$16,3,0)*Tabla43[[#This Row],[TOTAL COBERTURA]]+Tabla43[[#This Row],[VALOR RACION PREPARADA]]/7</f>
        <v>8778304</v>
      </c>
      <c r="AW25" s="55">
        <f>VLOOKUP(Tabla43[[#This Row],[SERVICIO 2025]],$J$2:$V$16,3,0)*Tabla43[[#This Row],[TOTAL COBERTURA]]+Tabla43[[#This Row],[VALOR RACION PREPARADA]]/7</f>
        <v>8778304</v>
      </c>
      <c r="AX25" s="55">
        <f>VLOOKUP(Tabla43[[#This Row],[SERVICIO 2025]],$J$2:$V$16,3,0)*Tabla43[[#This Row],[TOTAL COBERTURA]]+Tabla43[[#This Row],[VALOR RACION PREPARADA]]/7</f>
        <v>8778304</v>
      </c>
      <c r="AY25" s="55">
        <f>VLOOKUP(Tabla43[[#This Row],[SERVICIO 2025]],$J$2:$V$16,3,0)*Tabla43[[#This Row],[TOTAL COBERTURA]]+Tabla43[[#This Row],[VALOR RACION PREPARADA]]/7</f>
        <v>8778304</v>
      </c>
      <c r="AZ25" s="55">
        <f>VLOOKUP(Tabla43[[#This Row],[SERVICIO 2025]],$J$2:$V$16,3,0)*Tabla43[[#This Row],[TOTAL COBERTURA]]+Tabla43[[#This Row],[VALOR RACION PREPARADA]]/7+Tabla43[[#This Row],[VALOR FASE PREPARATORIA DE CIERRE]]</f>
        <v>9398673</v>
      </c>
      <c r="BA25" s="55"/>
      <c r="BB25" s="55">
        <f>SUM(Tabla43[[#This Row],[DESEMBOLSO 1]:[DESEMBOLSO 8]])</f>
        <v>64026713</v>
      </c>
      <c r="BC25" s="55">
        <f>VLOOKUP(Tabla43[[#This Row],[SERVICIO 2025]],$J$2:$V$16,10,0)*Tabla43[[#This Row],[TOTAL COBERTURA]]*$W$3</f>
        <v>0</v>
      </c>
      <c r="BD25" s="66" t="s">
        <v>145</v>
      </c>
      <c r="BE25" s="58" t="b">
        <f>EXACT(Tabla43[[#This Row],[TOTAL APORTES ICBF]],Tabla43[[#This Row],[VALOR TOTAL]])</f>
        <v>1</v>
      </c>
      <c r="BF25" s="64">
        <f>SUM(Tabla43[[#This Row],[VALOR FASE PREPARATORIA DE ALISTAMIENTO]:[VALOR RACION PREPARADA]])-Tabla43[[#This Row],[VALOR TOTAL]]</f>
        <v>0</v>
      </c>
      <c r="BG25" s="58" t="b">
        <f>EXACT(Tabla43[[#This Row],[VALOR TOTAL]],Tabla43[[#This Row],[TOTAL DESEMBOLSOS]])</f>
        <v>1</v>
      </c>
      <c r="BH25" s="67">
        <f>Tabla43[[#This Row],[TOTAL DESEMBOLSOS]]-Tabla43[[#This Row],[VALOR TOTAL]]</f>
        <v>0</v>
      </c>
      <c r="BJ25" s="68" t="s">
        <v>3896</v>
      </c>
    </row>
    <row r="26" spans="1:62" s="68" customFormat="1" hidden="1">
      <c r="A26" s="57">
        <v>1886</v>
      </c>
      <c r="B26" s="57"/>
      <c r="C26" s="58" t="s">
        <v>87</v>
      </c>
      <c r="D26" s="58" t="s">
        <v>462</v>
      </c>
      <c r="E26" s="58" t="s">
        <v>3891</v>
      </c>
      <c r="F26" s="58" t="s">
        <v>16</v>
      </c>
      <c r="G26" s="58" t="s">
        <v>90</v>
      </c>
      <c r="H26" s="58" t="s">
        <v>3903</v>
      </c>
      <c r="I26" s="70" t="s">
        <v>3904</v>
      </c>
      <c r="J26" s="58" t="s">
        <v>3905</v>
      </c>
      <c r="K26" s="58">
        <v>1</v>
      </c>
      <c r="L26" s="58">
        <v>34</v>
      </c>
      <c r="M26" s="58"/>
      <c r="N26" s="57">
        <v>1886</v>
      </c>
      <c r="O26" s="12" t="s">
        <v>3894</v>
      </c>
      <c r="P26" s="58"/>
      <c r="Q26" s="58"/>
      <c r="R26" s="58" t="s">
        <v>94</v>
      </c>
      <c r="S26" s="58">
        <v>10</v>
      </c>
      <c r="T26" s="58">
        <v>800044785</v>
      </c>
      <c r="U26" s="58" t="s">
        <v>3895</v>
      </c>
      <c r="V26" s="58">
        <f>VLOOKUP(Tabla43[[#This Row],[ZONA DEFINITIVO]],Hoja1!$A$1:$D$129,3,0)</f>
        <v>229951</v>
      </c>
      <c r="W26" s="58">
        <f>VLOOKUP(Tabla43[[#This Row],[ZONA DEFINITIVO]],Hoja1!$A$1:$D$129,2,0)</f>
        <v>18592</v>
      </c>
      <c r="X26" s="58">
        <f>VLOOKUP(Tabla43[[#This Row],[ZONA DEFINITIVO]],Hoja1!$A$1:$D$129,4,0)</f>
        <v>117225</v>
      </c>
      <c r="Y26" s="58" t="str">
        <f>+IF(Tabla43[[#This Row],[AGRUPACIONES]]=1,SUMIFS(Tabla43[UDS],Tabla43[ZONA DEFINITIVO],Tabla43[[#This Row],[ZONA DEFINITIVO]])," ")</f>
        <v xml:space="preserve"> </v>
      </c>
      <c r="Z26" s="58" t="str">
        <f>+IF(Tabla43[[#This Row],[AGRUPACIONES]]=1,SUMIFS(Tabla43[TOTAL COBERTURA],Tabla43[ZONA DEFINITIVO],Tabla43[[#This Row],[ZONA DEFINITIVO]])," ")</f>
        <v xml:space="preserve"> </v>
      </c>
      <c r="AA26" s="58"/>
      <c r="AB26" s="53">
        <v>114574118</v>
      </c>
      <c r="AC26" s="53"/>
      <c r="AD26" s="54">
        <f>Tabla43[[#This Row],[VALOR ATENCIÓN (7 MESES)]]*Tabla43[[#This Row],[% CONTRAPARTIDA]]</f>
        <v>0</v>
      </c>
      <c r="AE26" s="58"/>
      <c r="AF26" s="58">
        <f>COUNTIF($A$22:A26,A26)</f>
        <v>5</v>
      </c>
      <c r="AG26" s="53">
        <v>114574118</v>
      </c>
      <c r="AH26" s="54">
        <f>Tabla43[[#This Row],[VALOR CONTRAPARTIDA]]+Tabla43[[#This Row],[TOTAL APORTES ICBF]]</f>
        <v>114574118</v>
      </c>
      <c r="AI26" s="55" t="str">
        <f>+IF(Tabla43[[#This Row],[AGRUPACIONES]]=1,SUMIFS(Tabla43[TOTAL APORTES ICBF],Tabla43[ZONA DEFINITIVO],Tabla43[[#This Row],[ZONA DEFINITIVO]])," ")</f>
        <v xml:space="preserve"> </v>
      </c>
      <c r="AJ26" s="54"/>
      <c r="AK26" s="54"/>
      <c r="AL26" s="64"/>
      <c r="AM26" s="55">
        <f>VLOOKUP(Tabla43[[#This Row],[SERVICIO 2025]],$J$2:$V$16,5,0)*Tabla43[[#This Row],[TOTAL COBERTURA]]</f>
        <v>2514810</v>
      </c>
      <c r="AN26" s="55">
        <f>VLOOKUP(Tabla43[[#This Row],[SERVICIO 2025]],$J$2:$V$16,6,0)*Tabla43[[#This Row],[TOTAL COBERTURA]]</f>
        <v>1110134</v>
      </c>
      <c r="AO26" s="55">
        <f>VLOOKUP(Tabla43[[#This Row],[SERVICIO 2025]],$J$2:$V$16,8,0)*Tabla43[[#This Row],[TOTAL COBERTURA]]</f>
        <v>989366</v>
      </c>
      <c r="AP26" s="55">
        <f>VLOOKUP(Tabla43[[#This Row],[SERVICIO 2025]],$J$2:$V$16,3,0)*Tabla43[[#This Row],[TOTAL COBERTURA]]*7</f>
        <v>109959808</v>
      </c>
      <c r="AQ26" s="55">
        <f>VLOOKUP(Tabla43[[#This Row],[SERVICIO 2025]],$J$2:$V$16,10,0)*Tabla43[[#This Row],[TOTAL COBERTURA]]*7</f>
        <v>0</v>
      </c>
      <c r="AR26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114574118</v>
      </c>
      <c r="AS26" s="55" t="str">
        <f>+IF(Tabla43[[#This Row],[AGRUPACIONES]]=1,SUMIFS(Tabla43[VALOR TOTAL],Tabla43[ZONA DEFINITIVO],Tabla43[[#This Row],[ZONA DEFINITIVO]])," ")</f>
        <v xml:space="preserve"> </v>
      </c>
      <c r="AT26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19212720</v>
      </c>
      <c r="AU26" s="55">
        <f>VLOOKUP(Tabla43[[#This Row],[SERVICIO 2025]],$J$2:$V$16,3,0)*Tabla43[[#This Row],[TOTAL COBERTURA]]+Tabla43[[#This Row],[VALOR RACION PREPARADA]]/7</f>
        <v>15708544</v>
      </c>
      <c r="AV26" s="55">
        <f>VLOOKUP(Tabla43[[#This Row],[SERVICIO 2025]],$J$2:$V$16,3,0)*Tabla43[[#This Row],[TOTAL COBERTURA]]+Tabla43[[#This Row],[VALOR RACION PREPARADA]]/7</f>
        <v>15708544</v>
      </c>
      <c r="AW26" s="55">
        <f>VLOOKUP(Tabla43[[#This Row],[SERVICIO 2025]],$J$2:$V$16,3,0)*Tabla43[[#This Row],[TOTAL COBERTURA]]+Tabla43[[#This Row],[VALOR RACION PREPARADA]]/7</f>
        <v>15708544</v>
      </c>
      <c r="AX26" s="55">
        <f>VLOOKUP(Tabla43[[#This Row],[SERVICIO 2025]],$J$2:$V$16,3,0)*Tabla43[[#This Row],[TOTAL COBERTURA]]+Tabla43[[#This Row],[VALOR RACION PREPARADA]]/7</f>
        <v>15708544</v>
      </c>
      <c r="AY26" s="55">
        <f>VLOOKUP(Tabla43[[#This Row],[SERVICIO 2025]],$J$2:$V$16,3,0)*Tabla43[[#This Row],[TOTAL COBERTURA]]+Tabla43[[#This Row],[VALOR RACION PREPARADA]]/7</f>
        <v>15708544</v>
      </c>
      <c r="AZ26" s="55">
        <f>VLOOKUP(Tabla43[[#This Row],[SERVICIO 2025]],$J$2:$V$16,3,0)*Tabla43[[#This Row],[TOTAL COBERTURA]]+Tabla43[[#This Row],[VALOR RACION PREPARADA]]/7+Tabla43[[#This Row],[VALOR FASE PREPARATORIA DE CIERRE]]</f>
        <v>16818678</v>
      </c>
      <c r="BA26" s="55"/>
      <c r="BB26" s="55">
        <f>SUM(Tabla43[[#This Row],[DESEMBOLSO 1]:[DESEMBOLSO 8]])</f>
        <v>114574118</v>
      </c>
      <c r="BC26" s="55">
        <f>VLOOKUP(Tabla43[[#This Row],[SERVICIO 2025]],$J$2:$V$16,10,0)*Tabla43[[#This Row],[TOTAL COBERTURA]]*$W$3</f>
        <v>0</v>
      </c>
      <c r="BD26" s="66" t="s">
        <v>145</v>
      </c>
      <c r="BE26" s="58" t="b">
        <f>EXACT(Tabla43[[#This Row],[TOTAL APORTES ICBF]],Tabla43[[#This Row],[VALOR TOTAL]])</f>
        <v>1</v>
      </c>
      <c r="BF26" s="64">
        <f>SUM(Tabla43[[#This Row],[VALOR FASE PREPARATORIA DE ALISTAMIENTO]:[VALOR RACION PREPARADA]])-Tabla43[[#This Row],[VALOR TOTAL]]</f>
        <v>0</v>
      </c>
      <c r="BG26" s="58" t="b">
        <f>EXACT(Tabla43[[#This Row],[VALOR TOTAL]],Tabla43[[#This Row],[TOTAL DESEMBOLSOS]])</f>
        <v>1</v>
      </c>
      <c r="BH26" s="67">
        <f>Tabla43[[#This Row],[TOTAL DESEMBOLSOS]]-Tabla43[[#This Row],[VALOR TOTAL]]</f>
        <v>0</v>
      </c>
      <c r="BJ26" s="68" t="s">
        <v>3896</v>
      </c>
    </row>
    <row r="27" spans="1:62" s="68" customFormat="1" hidden="1">
      <c r="A27" s="57">
        <v>1886</v>
      </c>
      <c r="B27" s="57"/>
      <c r="C27" s="58" t="s">
        <v>87</v>
      </c>
      <c r="D27" s="58" t="s">
        <v>462</v>
      </c>
      <c r="E27" s="58" t="s">
        <v>463</v>
      </c>
      <c r="F27" s="58" t="s">
        <v>2843</v>
      </c>
      <c r="G27" s="58" t="s">
        <v>90</v>
      </c>
      <c r="H27" s="58" t="s">
        <v>3906</v>
      </c>
      <c r="I27" s="58">
        <v>50451113587</v>
      </c>
      <c r="J27" s="58" t="s">
        <v>3907</v>
      </c>
      <c r="K27" s="58">
        <v>1</v>
      </c>
      <c r="L27" s="58">
        <v>50</v>
      </c>
      <c r="M27" s="58"/>
      <c r="N27" s="57">
        <v>1886</v>
      </c>
      <c r="O27" s="12" t="s">
        <v>3894</v>
      </c>
      <c r="P27" s="58"/>
      <c r="Q27" s="58"/>
      <c r="R27" s="58" t="s">
        <v>94</v>
      </c>
      <c r="S27" s="58">
        <v>10</v>
      </c>
      <c r="T27" s="58">
        <v>800044785</v>
      </c>
      <c r="U27" s="58" t="s">
        <v>3895</v>
      </c>
      <c r="V27" s="58">
        <f>VLOOKUP(Tabla43[[#This Row],[ZONA DEFINITIVO]],Hoja1!$A$1:$D$129,3,0)</f>
        <v>229951</v>
      </c>
      <c r="W27" s="58">
        <f>VLOOKUP(Tabla43[[#This Row],[ZONA DEFINITIVO]],Hoja1!$A$1:$D$129,2,0)</f>
        <v>18592</v>
      </c>
      <c r="X27" s="58">
        <f>VLOOKUP(Tabla43[[#This Row],[ZONA DEFINITIVO]],Hoja1!$A$1:$D$129,4,0)</f>
        <v>117225</v>
      </c>
      <c r="Y27" s="58" t="str">
        <f>+IF(Tabla43[[#This Row],[AGRUPACIONES]]=1,SUMIFS(Tabla43[UDS],Tabla43[ZONA DEFINITIVO],Tabla43[[#This Row],[ZONA DEFINITIVO]])," ")</f>
        <v xml:space="preserve"> </v>
      </c>
      <c r="Z27" s="58" t="str">
        <f>+IF(Tabla43[[#This Row],[AGRUPACIONES]]=1,SUMIFS(Tabla43[TOTAL COBERTURA],Tabla43[ZONA DEFINITIVO],Tabla43[[#This Row],[ZONA DEFINITIVO]])," ")</f>
        <v xml:space="preserve"> </v>
      </c>
      <c r="AA27" s="58"/>
      <c r="AB27" s="53">
        <v>159264400</v>
      </c>
      <c r="AC27" s="53"/>
      <c r="AD27" s="54">
        <f>Tabla43[[#This Row],[VALOR ATENCIÓN (7 MESES)]]*Tabla43[[#This Row],[% CONTRAPARTIDA]]</f>
        <v>0</v>
      </c>
      <c r="AE27" s="58"/>
      <c r="AF27" s="58">
        <f>COUNTIF($A$22:A27,A27)</f>
        <v>6</v>
      </c>
      <c r="AG27" s="53">
        <v>159264400</v>
      </c>
      <c r="AH27" s="54">
        <f>Tabla43[[#This Row],[VALOR CONTRAPARTIDA]]+Tabla43[[#This Row],[TOTAL APORTES ICBF]]</f>
        <v>159264400</v>
      </c>
      <c r="AI27" s="55" t="str">
        <f>+IF(Tabla43[[#This Row],[AGRUPACIONES]]=1,SUMIFS(Tabla43[TOTAL APORTES ICBF],Tabla43[ZONA DEFINITIVO],Tabla43[[#This Row],[ZONA DEFINITIVO]])," ")</f>
        <v xml:space="preserve"> </v>
      </c>
      <c r="AJ27" s="54"/>
      <c r="AK27" s="54"/>
      <c r="AL27" s="64"/>
      <c r="AM27" s="55">
        <f>VLOOKUP(Tabla43[[#This Row],[SERVICIO 2025]],$J$2:$V$16,5,0)*Tabla43[[#This Row],[TOTAL COBERTURA]]</f>
        <v>2468800</v>
      </c>
      <c r="AN27" s="55">
        <f>VLOOKUP(Tabla43[[#This Row],[SERVICIO 2025]],$J$2:$V$16,6,0)*Tabla43[[#This Row],[TOTAL COBERTURA]]</f>
        <v>2051450</v>
      </c>
      <c r="AO27" s="55">
        <f>VLOOKUP(Tabla43[[#This Row],[SERVICIO 2025]],$J$2:$V$16,8,0)*Tabla43[[#This Row],[TOTAL COBERTURA]]</f>
        <v>1455000</v>
      </c>
      <c r="AP27" s="55">
        <f>VLOOKUP(Tabla43[[#This Row],[SERVICIO 2025]],$J$2:$V$16,3,0)*Tabla43[[#This Row],[TOTAL COBERTURA]]*7</f>
        <v>153289150</v>
      </c>
      <c r="AQ27" s="55">
        <f>VLOOKUP(Tabla43[[#This Row],[SERVICIO 2025]],$J$2:$V$16,10,0)*Tabla43[[#This Row],[TOTAL COBERTURA]]*7</f>
        <v>0</v>
      </c>
      <c r="AR27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159264400</v>
      </c>
      <c r="AS27" s="55" t="str">
        <f>+IF(Tabla43[[#This Row],[AGRUPACIONES]]=1,SUMIFS(Tabla43[VALOR TOTAL],Tabla43[ZONA DEFINITIVO],Tabla43[[#This Row],[ZONA DEFINITIVO]])," ")</f>
        <v xml:space="preserve"> </v>
      </c>
      <c r="AT27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25822250</v>
      </c>
      <c r="AU27" s="55">
        <f>VLOOKUP(Tabla43[[#This Row],[SERVICIO 2025]],$J$2:$V$16,3,0)*Tabla43[[#This Row],[TOTAL COBERTURA]]+Tabla43[[#This Row],[VALOR RACION PREPARADA]]/7</f>
        <v>21898450</v>
      </c>
      <c r="AV27" s="55">
        <f>VLOOKUP(Tabla43[[#This Row],[SERVICIO 2025]],$J$2:$V$16,3,0)*Tabla43[[#This Row],[TOTAL COBERTURA]]+Tabla43[[#This Row],[VALOR RACION PREPARADA]]/7</f>
        <v>21898450</v>
      </c>
      <c r="AW27" s="55">
        <f>VLOOKUP(Tabla43[[#This Row],[SERVICIO 2025]],$J$2:$V$16,3,0)*Tabla43[[#This Row],[TOTAL COBERTURA]]+Tabla43[[#This Row],[VALOR RACION PREPARADA]]/7</f>
        <v>21898450</v>
      </c>
      <c r="AX27" s="55">
        <f>VLOOKUP(Tabla43[[#This Row],[SERVICIO 2025]],$J$2:$V$16,3,0)*Tabla43[[#This Row],[TOTAL COBERTURA]]+Tabla43[[#This Row],[VALOR RACION PREPARADA]]/7</f>
        <v>21898450</v>
      </c>
      <c r="AY27" s="55">
        <f>VLOOKUP(Tabla43[[#This Row],[SERVICIO 2025]],$J$2:$V$16,3,0)*Tabla43[[#This Row],[TOTAL COBERTURA]]+Tabla43[[#This Row],[VALOR RACION PREPARADA]]/7</f>
        <v>21898450</v>
      </c>
      <c r="AZ27" s="55">
        <f>VLOOKUP(Tabla43[[#This Row],[SERVICIO 2025]],$J$2:$V$16,3,0)*Tabla43[[#This Row],[TOTAL COBERTURA]]+Tabla43[[#This Row],[VALOR RACION PREPARADA]]/7+Tabla43[[#This Row],[VALOR FASE PREPARATORIA DE CIERRE]]</f>
        <v>23949900</v>
      </c>
      <c r="BA27" s="55"/>
      <c r="BB27" s="55">
        <f>SUM(Tabla43[[#This Row],[DESEMBOLSO 1]:[DESEMBOLSO 8]])</f>
        <v>159264400</v>
      </c>
      <c r="BC27" s="55">
        <f>VLOOKUP(Tabla43[[#This Row],[SERVICIO 2025]],$J$2:$V$16,10,0)*Tabla43[[#This Row],[TOTAL COBERTURA]]*$W$3</f>
        <v>0</v>
      </c>
      <c r="BD27" s="66" t="s">
        <v>145</v>
      </c>
      <c r="BE27" s="58" t="b">
        <f>EXACT(Tabla43[[#This Row],[TOTAL APORTES ICBF]],Tabla43[[#This Row],[VALOR TOTAL]])</f>
        <v>1</v>
      </c>
      <c r="BF27" s="64">
        <f>SUM(Tabla43[[#This Row],[VALOR FASE PREPARATORIA DE ALISTAMIENTO]:[VALOR RACION PREPARADA]])-Tabla43[[#This Row],[VALOR TOTAL]]</f>
        <v>0</v>
      </c>
      <c r="BG27" s="58" t="b">
        <f>EXACT(Tabla43[[#This Row],[VALOR TOTAL]],Tabla43[[#This Row],[TOTAL DESEMBOLSOS]])</f>
        <v>1</v>
      </c>
      <c r="BH27" s="67">
        <f>Tabla43[[#This Row],[TOTAL DESEMBOLSOS]]-Tabla43[[#This Row],[VALOR TOTAL]]</f>
        <v>0</v>
      </c>
      <c r="BJ27" s="68" t="s">
        <v>3896</v>
      </c>
    </row>
    <row r="28" spans="1:62" s="68" customFormat="1" hidden="1">
      <c r="A28" s="69">
        <v>1886</v>
      </c>
      <c r="B28" s="57"/>
      <c r="C28" s="58" t="s">
        <v>87</v>
      </c>
      <c r="D28" s="58" t="s">
        <v>462</v>
      </c>
      <c r="E28" s="58" t="s">
        <v>3908</v>
      </c>
      <c r="F28" s="58" t="s">
        <v>16</v>
      </c>
      <c r="G28" s="58" t="s">
        <v>90</v>
      </c>
      <c r="H28" s="58" t="s">
        <v>3909</v>
      </c>
      <c r="I28" s="58">
        <v>54751119945</v>
      </c>
      <c r="J28" s="58" t="s">
        <v>3910</v>
      </c>
      <c r="K28" s="58">
        <v>1</v>
      </c>
      <c r="L28" s="58">
        <v>68</v>
      </c>
      <c r="M28" s="58"/>
      <c r="N28" s="69">
        <v>1886</v>
      </c>
      <c r="O28" s="12" t="s">
        <v>3894</v>
      </c>
      <c r="P28" s="58"/>
      <c r="Q28" s="58"/>
      <c r="R28" s="58" t="s">
        <v>94</v>
      </c>
      <c r="S28" s="58">
        <v>10</v>
      </c>
      <c r="T28" s="58">
        <v>800044785</v>
      </c>
      <c r="U28" s="58" t="s">
        <v>3895</v>
      </c>
      <c r="V28" s="58">
        <f>VLOOKUP(Tabla43[[#This Row],[ZONA DEFINITIVO]],Hoja1!$A$1:$D$129,3,0)</f>
        <v>229951</v>
      </c>
      <c r="W28" s="58">
        <f>VLOOKUP(Tabla43[[#This Row],[ZONA DEFINITIVO]],Hoja1!$A$1:$D$129,2,0)</f>
        <v>18592</v>
      </c>
      <c r="X28" s="58">
        <f>VLOOKUP(Tabla43[[#This Row],[ZONA DEFINITIVO]],Hoja1!$A$1:$D$129,4,0)</f>
        <v>117225</v>
      </c>
      <c r="Y28" s="58" t="str">
        <f>+IF(Tabla43[[#This Row],[AGRUPACIONES]]=1,SUMIFS(Tabla43[UDS],Tabla43[ZONA DEFINITIVO],Tabla43[[#This Row],[ZONA DEFINITIVO]])," ")</f>
        <v xml:space="preserve"> </v>
      </c>
      <c r="Z28" s="58" t="str">
        <f>+IF(Tabla43[[#This Row],[AGRUPACIONES]]=1,SUMIFS(Tabla43[TOTAL COBERTURA],Tabla43[ZONA DEFINITIVO],Tabla43[[#This Row],[ZONA DEFINITIVO]])," ")</f>
        <v xml:space="preserve"> </v>
      </c>
      <c r="AA28" s="58"/>
      <c r="AB28" s="53">
        <v>229148236</v>
      </c>
      <c r="AC28" s="53"/>
      <c r="AD28" s="54">
        <f>Tabla43[[#This Row],[VALOR ATENCIÓN (7 MESES)]]*Tabla43[[#This Row],[% CONTRAPARTIDA]]</f>
        <v>0</v>
      </c>
      <c r="AE28" s="58"/>
      <c r="AF28" s="58">
        <f>COUNTIF($A$22:A28,A28)</f>
        <v>7</v>
      </c>
      <c r="AG28" s="53">
        <v>229148236</v>
      </c>
      <c r="AH28" s="54">
        <f>Tabla43[[#This Row],[VALOR CONTRAPARTIDA]]+Tabla43[[#This Row],[TOTAL APORTES ICBF]]</f>
        <v>229148236</v>
      </c>
      <c r="AI28" s="55" t="str">
        <f>+IF(Tabla43[[#This Row],[AGRUPACIONES]]=1,SUMIFS(Tabla43[TOTAL APORTES ICBF],Tabla43[ZONA DEFINITIVO],Tabla43[[#This Row],[ZONA DEFINITIVO]])," ")</f>
        <v xml:space="preserve"> </v>
      </c>
      <c r="AJ28" s="54"/>
      <c r="AK28" s="54"/>
      <c r="AL28" s="64"/>
      <c r="AM28" s="55">
        <f>VLOOKUP(Tabla43[[#This Row],[SERVICIO 2025]],$J$2:$V$16,5,0)*Tabla43[[#This Row],[TOTAL COBERTURA]]</f>
        <v>5029620</v>
      </c>
      <c r="AN28" s="55">
        <f>VLOOKUP(Tabla43[[#This Row],[SERVICIO 2025]],$J$2:$V$16,6,0)*Tabla43[[#This Row],[TOTAL COBERTURA]]</f>
        <v>2220268</v>
      </c>
      <c r="AO28" s="55">
        <f>VLOOKUP(Tabla43[[#This Row],[SERVICIO 2025]],$J$2:$V$16,8,0)*Tabla43[[#This Row],[TOTAL COBERTURA]]</f>
        <v>1978732</v>
      </c>
      <c r="AP28" s="55">
        <f>VLOOKUP(Tabla43[[#This Row],[SERVICIO 2025]],$J$2:$V$16,3,0)*Tabla43[[#This Row],[TOTAL COBERTURA]]*7</f>
        <v>219919616</v>
      </c>
      <c r="AQ28" s="55">
        <f>VLOOKUP(Tabla43[[#This Row],[SERVICIO 2025]],$J$2:$V$16,10,0)*Tabla43[[#This Row],[TOTAL COBERTURA]]*7</f>
        <v>0</v>
      </c>
      <c r="AR28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229148236</v>
      </c>
      <c r="AS28" s="55" t="str">
        <f>+IF(Tabla43[[#This Row],[AGRUPACIONES]]=1,SUMIFS(Tabla43[VALOR TOTAL],Tabla43[ZONA DEFINITIVO],Tabla43[[#This Row],[ZONA DEFINITIVO]])," ")</f>
        <v xml:space="preserve"> </v>
      </c>
      <c r="AT28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38425440</v>
      </c>
      <c r="AU28" s="55">
        <f>VLOOKUP(Tabla43[[#This Row],[SERVICIO 2025]],$J$2:$V$16,3,0)*Tabla43[[#This Row],[TOTAL COBERTURA]]+Tabla43[[#This Row],[VALOR RACION PREPARADA]]/7</f>
        <v>31417088</v>
      </c>
      <c r="AV28" s="55">
        <f>VLOOKUP(Tabla43[[#This Row],[SERVICIO 2025]],$J$2:$V$16,3,0)*Tabla43[[#This Row],[TOTAL COBERTURA]]+Tabla43[[#This Row],[VALOR RACION PREPARADA]]/7</f>
        <v>31417088</v>
      </c>
      <c r="AW28" s="55">
        <f>VLOOKUP(Tabla43[[#This Row],[SERVICIO 2025]],$J$2:$V$16,3,0)*Tabla43[[#This Row],[TOTAL COBERTURA]]+Tabla43[[#This Row],[VALOR RACION PREPARADA]]/7</f>
        <v>31417088</v>
      </c>
      <c r="AX28" s="55">
        <f>VLOOKUP(Tabla43[[#This Row],[SERVICIO 2025]],$J$2:$V$16,3,0)*Tabla43[[#This Row],[TOTAL COBERTURA]]+Tabla43[[#This Row],[VALOR RACION PREPARADA]]/7</f>
        <v>31417088</v>
      </c>
      <c r="AY28" s="55">
        <f>VLOOKUP(Tabla43[[#This Row],[SERVICIO 2025]],$J$2:$V$16,3,0)*Tabla43[[#This Row],[TOTAL COBERTURA]]+Tabla43[[#This Row],[VALOR RACION PREPARADA]]/7</f>
        <v>31417088</v>
      </c>
      <c r="AZ28" s="55">
        <f>VLOOKUP(Tabla43[[#This Row],[SERVICIO 2025]],$J$2:$V$16,3,0)*Tabla43[[#This Row],[TOTAL COBERTURA]]+Tabla43[[#This Row],[VALOR RACION PREPARADA]]/7+Tabla43[[#This Row],[VALOR FASE PREPARATORIA DE CIERRE]]</f>
        <v>33637356</v>
      </c>
      <c r="BA28" s="55"/>
      <c r="BB28" s="55">
        <f>SUM(Tabla43[[#This Row],[DESEMBOLSO 1]:[DESEMBOLSO 8]])</f>
        <v>229148236</v>
      </c>
      <c r="BC28" s="55">
        <f>VLOOKUP(Tabla43[[#This Row],[SERVICIO 2025]],$J$2:$V$16,10,0)*Tabla43[[#This Row],[TOTAL COBERTURA]]*$W$3</f>
        <v>0</v>
      </c>
      <c r="BD28" s="66" t="s">
        <v>145</v>
      </c>
      <c r="BE28" s="58" t="b">
        <f>EXACT(Tabla43[[#This Row],[TOTAL APORTES ICBF]],Tabla43[[#This Row],[VALOR TOTAL]])</f>
        <v>1</v>
      </c>
      <c r="BF28" s="64">
        <f>SUM(Tabla43[[#This Row],[VALOR FASE PREPARATORIA DE ALISTAMIENTO]:[VALOR RACION PREPARADA]])-Tabla43[[#This Row],[VALOR TOTAL]]</f>
        <v>0</v>
      </c>
      <c r="BG28" s="58" t="b">
        <f>EXACT(Tabla43[[#This Row],[VALOR TOTAL]],Tabla43[[#This Row],[TOTAL DESEMBOLSOS]])</f>
        <v>1</v>
      </c>
      <c r="BH28" s="67">
        <f>Tabla43[[#This Row],[TOTAL DESEMBOLSOS]]-Tabla43[[#This Row],[VALOR TOTAL]]</f>
        <v>0</v>
      </c>
      <c r="BJ28" s="68" t="s">
        <v>3896</v>
      </c>
    </row>
    <row r="29" spans="1:62" s="68" customFormat="1" hidden="1">
      <c r="A29" s="69">
        <v>1886</v>
      </c>
      <c r="B29" s="57"/>
      <c r="C29" s="58" t="s">
        <v>87</v>
      </c>
      <c r="D29" s="58" t="s">
        <v>462</v>
      </c>
      <c r="E29" s="58" t="s">
        <v>3908</v>
      </c>
      <c r="F29" s="58" t="s">
        <v>16</v>
      </c>
      <c r="G29" s="58" t="s">
        <v>90</v>
      </c>
      <c r="H29" s="58" t="s">
        <v>3911</v>
      </c>
      <c r="I29" s="58">
        <v>54751150362</v>
      </c>
      <c r="J29" s="58" t="s">
        <v>3912</v>
      </c>
      <c r="K29" s="58">
        <v>1</v>
      </c>
      <c r="L29" s="58">
        <v>120</v>
      </c>
      <c r="M29" s="58"/>
      <c r="N29" s="69">
        <v>1886</v>
      </c>
      <c r="O29" s="12" t="s">
        <v>3894</v>
      </c>
      <c r="P29" s="58"/>
      <c r="Q29" s="58"/>
      <c r="R29" s="58" t="s">
        <v>94</v>
      </c>
      <c r="S29" s="58">
        <v>10</v>
      </c>
      <c r="T29" s="58">
        <v>800044785</v>
      </c>
      <c r="U29" s="58" t="s">
        <v>3895</v>
      </c>
      <c r="V29" s="58">
        <f>VLOOKUP(Tabla43[[#This Row],[ZONA DEFINITIVO]],Hoja1!$A$1:$D$129,3,0)</f>
        <v>229951</v>
      </c>
      <c r="W29" s="58">
        <f>VLOOKUP(Tabla43[[#This Row],[ZONA DEFINITIVO]],Hoja1!$A$1:$D$129,2,0)</f>
        <v>18592</v>
      </c>
      <c r="X29" s="58">
        <f>VLOOKUP(Tabla43[[#This Row],[ZONA DEFINITIVO]],Hoja1!$A$1:$D$129,4,0)</f>
        <v>117225</v>
      </c>
      <c r="Y29" s="58" t="str">
        <f>+IF(Tabla43[[#This Row],[AGRUPACIONES]]=1,SUMIFS(Tabla43[UDS],Tabla43[ZONA DEFINITIVO],Tabla43[[#This Row],[ZONA DEFINITIVO]])," ")</f>
        <v xml:space="preserve"> </v>
      </c>
      <c r="Z29" s="58" t="str">
        <f>+IF(Tabla43[[#This Row],[AGRUPACIONES]]=1,SUMIFS(Tabla43[TOTAL COBERTURA],Tabla43[ZONA DEFINITIVO],Tabla43[[#This Row],[ZONA DEFINITIVO]])," ")</f>
        <v xml:space="preserve"> </v>
      </c>
      <c r="AA29" s="58"/>
      <c r="AB29" s="53">
        <v>404379240</v>
      </c>
      <c r="AC29" s="53"/>
      <c r="AD29" s="54">
        <f>Tabla43[[#This Row],[VALOR ATENCIÓN (7 MESES)]]*Tabla43[[#This Row],[% CONTRAPARTIDA]]</f>
        <v>0</v>
      </c>
      <c r="AE29" s="58"/>
      <c r="AF29" s="58">
        <f>COUNTIF($A$22:A29,A29)</f>
        <v>8</v>
      </c>
      <c r="AG29" s="53">
        <v>404379240</v>
      </c>
      <c r="AH29" s="54">
        <f>Tabla43[[#This Row],[VALOR CONTRAPARTIDA]]+Tabla43[[#This Row],[TOTAL APORTES ICBF]]</f>
        <v>404379240</v>
      </c>
      <c r="AI29" s="55" t="str">
        <f>+IF(Tabla43[[#This Row],[AGRUPACIONES]]=1,SUMIFS(Tabla43[TOTAL APORTES ICBF],Tabla43[ZONA DEFINITIVO],Tabla43[[#This Row],[ZONA DEFINITIVO]])," ")</f>
        <v xml:space="preserve"> </v>
      </c>
      <c r="AJ29" s="54"/>
      <c r="AK29" s="54"/>
      <c r="AL29" s="64"/>
      <c r="AM29" s="55">
        <f>VLOOKUP(Tabla43[[#This Row],[SERVICIO 2025]],$J$2:$V$16,5,0)*Tabla43[[#This Row],[TOTAL COBERTURA]]</f>
        <v>8875800</v>
      </c>
      <c r="AN29" s="55">
        <f>VLOOKUP(Tabla43[[#This Row],[SERVICIO 2025]],$J$2:$V$16,6,0)*Tabla43[[#This Row],[TOTAL COBERTURA]]</f>
        <v>3918120</v>
      </c>
      <c r="AO29" s="55">
        <f>VLOOKUP(Tabla43[[#This Row],[SERVICIO 2025]],$J$2:$V$16,8,0)*Tabla43[[#This Row],[TOTAL COBERTURA]]</f>
        <v>3491880</v>
      </c>
      <c r="AP29" s="55">
        <f>VLOOKUP(Tabla43[[#This Row],[SERVICIO 2025]],$J$2:$V$16,3,0)*Tabla43[[#This Row],[TOTAL COBERTURA]]*7</f>
        <v>388093440</v>
      </c>
      <c r="AQ29" s="55">
        <f>VLOOKUP(Tabla43[[#This Row],[SERVICIO 2025]],$J$2:$V$16,10,0)*Tabla43[[#This Row],[TOTAL COBERTURA]]*7</f>
        <v>0</v>
      </c>
      <c r="AR29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404379240</v>
      </c>
      <c r="AS29" s="55" t="str">
        <f>+IF(Tabla43[[#This Row],[AGRUPACIONES]]=1,SUMIFS(Tabla43[VALOR TOTAL],Tabla43[ZONA DEFINITIVO],Tabla43[[#This Row],[ZONA DEFINITIVO]])," ")</f>
        <v xml:space="preserve"> </v>
      </c>
      <c r="AT29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67809600</v>
      </c>
      <c r="AU29" s="55">
        <f>VLOOKUP(Tabla43[[#This Row],[SERVICIO 2025]],$J$2:$V$16,3,0)*Tabla43[[#This Row],[TOTAL COBERTURA]]+Tabla43[[#This Row],[VALOR RACION PREPARADA]]/7</f>
        <v>55441920</v>
      </c>
      <c r="AV29" s="55">
        <f>VLOOKUP(Tabla43[[#This Row],[SERVICIO 2025]],$J$2:$V$16,3,0)*Tabla43[[#This Row],[TOTAL COBERTURA]]+Tabla43[[#This Row],[VALOR RACION PREPARADA]]/7</f>
        <v>55441920</v>
      </c>
      <c r="AW29" s="55">
        <f>VLOOKUP(Tabla43[[#This Row],[SERVICIO 2025]],$J$2:$V$16,3,0)*Tabla43[[#This Row],[TOTAL COBERTURA]]+Tabla43[[#This Row],[VALOR RACION PREPARADA]]/7</f>
        <v>55441920</v>
      </c>
      <c r="AX29" s="55">
        <f>VLOOKUP(Tabla43[[#This Row],[SERVICIO 2025]],$J$2:$V$16,3,0)*Tabla43[[#This Row],[TOTAL COBERTURA]]+Tabla43[[#This Row],[VALOR RACION PREPARADA]]/7</f>
        <v>55441920</v>
      </c>
      <c r="AY29" s="55">
        <f>VLOOKUP(Tabla43[[#This Row],[SERVICIO 2025]],$J$2:$V$16,3,0)*Tabla43[[#This Row],[TOTAL COBERTURA]]+Tabla43[[#This Row],[VALOR RACION PREPARADA]]/7</f>
        <v>55441920</v>
      </c>
      <c r="AZ29" s="55">
        <f>VLOOKUP(Tabla43[[#This Row],[SERVICIO 2025]],$J$2:$V$16,3,0)*Tabla43[[#This Row],[TOTAL COBERTURA]]+Tabla43[[#This Row],[VALOR RACION PREPARADA]]/7+Tabla43[[#This Row],[VALOR FASE PREPARATORIA DE CIERRE]]</f>
        <v>59360040</v>
      </c>
      <c r="BA29" s="55"/>
      <c r="BB29" s="55">
        <f>SUM(Tabla43[[#This Row],[DESEMBOLSO 1]:[DESEMBOLSO 8]])</f>
        <v>404379240</v>
      </c>
      <c r="BC29" s="55">
        <f>VLOOKUP(Tabla43[[#This Row],[SERVICIO 2025]],$J$2:$V$16,10,0)*Tabla43[[#This Row],[TOTAL COBERTURA]]*$W$3</f>
        <v>0</v>
      </c>
      <c r="BD29" s="66" t="s">
        <v>145</v>
      </c>
      <c r="BE29" s="58" t="b">
        <f>EXACT(Tabla43[[#This Row],[TOTAL APORTES ICBF]],Tabla43[[#This Row],[VALOR TOTAL]])</f>
        <v>1</v>
      </c>
      <c r="BF29" s="64">
        <f>SUM(Tabla43[[#This Row],[VALOR FASE PREPARATORIA DE ALISTAMIENTO]:[VALOR RACION PREPARADA]])-Tabla43[[#This Row],[VALOR TOTAL]]</f>
        <v>0</v>
      </c>
      <c r="BG29" s="58" t="b">
        <f>EXACT(Tabla43[[#This Row],[VALOR TOTAL]],Tabla43[[#This Row],[TOTAL DESEMBOLSOS]])</f>
        <v>1</v>
      </c>
      <c r="BH29" s="67">
        <f>Tabla43[[#This Row],[TOTAL DESEMBOLSOS]]-Tabla43[[#This Row],[VALOR TOTAL]]</f>
        <v>0</v>
      </c>
      <c r="BJ29" s="68" t="s">
        <v>3896</v>
      </c>
    </row>
    <row r="30" spans="1:62" s="68" customFormat="1" hidden="1">
      <c r="A30" s="69">
        <v>1886</v>
      </c>
      <c r="B30" s="57"/>
      <c r="C30" s="58" t="s">
        <v>87</v>
      </c>
      <c r="D30" s="58" t="s">
        <v>462</v>
      </c>
      <c r="E30" s="58" t="s">
        <v>3908</v>
      </c>
      <c r="F30" s="58" t="s">
        <v>16</v>
      </c>
      <c r="G30" s="58" t="s">
        <v>90</v>
      </c>
      <c r="H30" s="58" t="s">
        <v>3913</v>
      </c>
      <c r="I30" s="58">
        <v>547500047769</v>
      </c>
      <c r="J30" s="58" t="s">
        <v>3914</v>
      </c>
      <c r="K30" s="58">
        <v>1</v>
      </c>
      <c r="L30" s="58">
        <v>37</v>
      </c>
      <c r="M30" s="58"/>
      <c r="N30" s="69">
        <v>1886</v>
      </c>
      <c r="O30" s="12" t="s">
        <v>3894</v>
      </c>
      <c r="P30" s="58"/>
      <c r="Q30" s="58"/>
      <c r="R30" s="58" t="s">
        <v>94</v>
      </c>
      <c r="S30" s="58">
        <v>10</v>
      </c>
      <c r="T30" s="58">
        <v>800044785</v>
      </c>
      <c r="U30" s="58" t="s">
        <v>3895</v>
      </c>
      <c r="V30" s="58">
        <f>VLOOKUP(Tabla43[[#This Row],[ZONA DEFINITIVO]],Hoja1!$A$1:$D$129,3,0)</f>
        <v>229951</v>
      </c>
      <c r="W30" s="58">
        <f>VLOOKUP(Tabla43[[#This Row],[ZONA DEFINITIVO]],Hoja1!$A$1:$D$129,2,0)</f>
        <v>18592</v>
      </c>
      <c r="X30" s="58">
        <f>VLOOKUP(Tabla43[[#This Row],[ZONA DEFINITIVO]],Hoja1!$A$1:$D$129,4,0)</f>
        <v>117225</v>
      </c>
      <c r="Y30" s="58" t="str">
        <f>+IF(Tabla43[[#This Row],[AGRUPACIONES]]=1,SUMIFS(Tabla43[UDS],Tabla43[ZONA DEFINITIVO],Tabla43[[#This Row],[ZONA DEFINITIVO]])," ")</f>
        <v xml:space="preserve"> </v>
      </c>
      <c r="Z30" s="58" t="str">
        <f>+IF(Tabla43[[#This Row],[AGRUPACIONES]]=1,SUMIFS(Tabla43[TOTAL COBERTURA],Tabla43[ZONA DEFINITIVO],Tabla43[[#This Row],[ZONA DEFINITIVO]])," ")</f>
        <v xml:space="preserve"> </v>
      </c>
      <c r="AA30" s="58"/>
      <c r="AB30" s="53">
        <v>124683599</v>
      </c>
      <c r="AC30" s="53"/>
      <c r="AD30" s="54">
        <f>Tabla43[[#This Row],[VALOR ATENCIÓN (7 MESES)]]*Tabla43[[#This Row],[% CONTRAPARTIDA]]</f>
        <v>0</v>
      </c>
      <c r="AE30" s="58"/>
      <c r="AF30" s="58">
        <f>COUNTIF($A$22:A30,A30)</f>
        <v>9</v>
      </c>
      <c r="AG30" s="53">
        <v>124683599</v>
      </c>
      <c r="AH30" s="54">
        <f>Tabla43[[#This Row],[VALOR CONTRAPARTIDA]]+Tabla43[[#This Row],[TOTAL APORTES ICBF]]</f>
        <v>124683599</v>
      </c>
      <c r="AI30" s="55" t="str">
        <f>+IF(Tabla43[[#This Row],[AGRUPACIONES]]=1,SUMIFS(Tabla43[TOTAL APORTES ICBF],Tabla43[ZONA DEFINITIVO],Tabla43[[#This Row],[ZONA DEFINITIVO]])," ")</f>
        <v xml:space="preserve"> </v>
      </c>
      <c r="AJ30" s="54"/>
      <c r="AK30" s="54"/>
      <c r="AL30" s="64"/>
      <c r="AM30" s="55">
        <f>VLOOKUP(Tabla43[[#This Row],[SERVICIO 2025]],$J$2:$V$16,5,0)*Tabla43[[#This Row],[TOTAL COBERTURA]]</f>
        <v>2736705</v>
      </c>
      <c r="AN30" s="55">
        <f>VLOOKUP(Tabla43[[#This Row],[SERVICIO 2025]],$J$2:$V$16,6,0)*Tabla43[[#This Row],[TOTAL COBERTURA]]</f>
        <v>1208087</v>
      </c>
      <c r="AO30" s="55">
        <f>VLOOKUP(Tabla43[[#This Row],[SERVICIO 2025]],$J$2:$V$16,8,0)*Tabla43[[#This Row],[TOTAL COBERTURA]]</f>
        <v>1076663</v>
      </c>
      <c r="AP30" s="55">
        <f>VLOOKUP(Tabla43[[#This Row],[SERVICIO 2025]],$J$2:$V$16,3,0)*Tabla43[[#This Row],[TOTAL COBERTURA]]*7</f>
        <v>119662144</v>
      </c>
      <c r="AQ30" s="55">
        <f>VLOOKUP(Tabla43[[#This Row],[SERVICIO 2025]],$J$2:$V$16,10,0)*Tabla43[[#This Row],[TOTAL COBERTURA]]*7</f>
        <v>0</v>
      </c>
      <c r="AR30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124683599</v>
      </c>
      <c r="AS30" s="55" t="str">
        <f>+IF(Tabla43[[#This Row],[AGRUPACIONES]]=1,SUMIFS(Tabla43[VALOR TOTAL],Tabla43[ZONA DEFINITIVO],Tabla43[[#This Row],[ZONA DEFINITIVO]])," ")</f>
        <v xml:space="preserve"> </v>
      </c>
      <c r="AT30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20907960</v>
      </c>
      <c r="AU30" s="55">
        <f>VLOOKUP(Tabla43[[#This Row],[SERVICIO 2025]],$J$2:$V$16,3,0)*Tabla43[[#This Row],[TOTAL COBERTURA]]+Tabla43[[#This Row],[VALOR RACION PREPARADA]]/7</f>
        <v>17094592</v>
      </c>
      <c r="AV30" s="55">
        <f>VLOOKUP(Tabla43[[#This Row],[SERVICIO 2025]],$J$2:$V$16,3,0)*Tabla43[[#This Row],[TOTAL COBERTURA]]+Tabla43[[#This Row],[VALOR RACION PREPARADA]]/7</f>
        <v>17094592</v>
      </c>
      <c r="AW30" s="55">
        <f>VLOOKUP(Tabla43[[#This Row],[SERVICIO 2025]],$J$2:$V$16,3,0)*Tabla43[[#This Row],[TOTAL COBERTURA]]+Tabla43[[#This Row],[VALOR RACION PREPARADA]]/7</f>
        <v>17094592</v>
      </c>
      <c r="AX30" s="55">
        <f>VLOOKUP(Tabla43[[#This Row],[SERVICIO 2025]],$J$2:$V$16,3,0)*Tabla43[[#This Row],[TOTAL COBERTURA]]+Tabla43[[#This Row],[VALOR RACION PREPARADA]]/7</f>
        <v>17094592</v>
      </c>
      <c r="AY30" s="55">
        <f>VLOOKUP(Tabla43[[#This Row],[SERVICIO 2025]],$J$2:$V$16,3,0)*Tabla43[[#This Row],[TOTAL COBERTURA]]+Tabla43[[#This Row],[VALOR RACION PREPARADA]]/7</f>
        <v>17094592</v>
      </c>
      <c r="AZ30" s="55">
        <f>VLOOKUP(Tabla43[[#This Row],[SERVICIO 2025]],$J$2:$V$16,3,0)*Tabla43[[#This Row],[TOTAL COBERTURA]]+Tabla43[[#This Row],[VALOR RACION PREPARADA]]/7+Tabla43[[#This Row],[VALOR FASE PREPARATORIA DE CIERRE]]</f>
        <v>18302679</v>
      </c>
      <c r="BA30" s="55"/>
      <c r="BB30" s="55">
        <f>SUM(Tabla43[[#This Row],[DESEMBOLSO 1]:[DESEMBOLSO 8]])</f>
        <v>124683599</v>
      </c>
      <c r="BC30" s="55">
        <f>VLOOKUP(Tabla43[[#This Row],[SERVICIO 2025]],$J$2:$V$16,10,0)*Tabla43[[#This Row],[TOTAL COBERTURA]]*$W$3</f>
        <v>0</v>
      </c>
      <c r="BD30" s="66" t="s">
        <v>145</v>
      </c>
      <c r="BE30" s="58" t="b">
        <f>EXACT(Tabla43[[#This Row],[TOTAL APORTES ICBF]],Tabla43[[#This Row],[VALOR TOTAL]])</f>
        <v>1</v>
      </c>
      <c r="BF30" s="64">
        <f>SUM(Tabla43[[#This Row],[VALOR FASE PREPARATORIA DE ALISTAMIENTO]:[VALOR RACION PREPARADA]])-Tabla43[[#This Row],[VALOR TOTAL]]</f>
        <v>0</v>
      </c>
      <c r="BG30" s="58" t="b">
        <f>EXACT(Tabla43[[#This Row],[VALOR TOTAL]],Tabla43[[#This Row],[TOTAL DESEMBOLSOS]])</f>
        <v>1</v>
      </c>
      <c r="BH30" s="67">
        <f>Tabla43[[#This Row],[TOTAL DESEMBOLSOS]]-Tabla43[[#This Row],[VALOR TOTAL]]</f>
        <v>0</v>
      </c>
      <c r="BJ30" s="68" t="s">
        <v>3896</v>
      </c>
    </row>
    <row r="31" spans="1:62" s="68" customFormat="1" hidden="1">
      <c r="A31" s="56">
        <v>1886</v>
      </c>
      <c r="B31" s="57"/>
      <c r="C31" s="58" t="s">
        <v>3915</v>
      </c>
      <c r="D31" s="59" t="s">
        <v>462</v>
      </c>
      <c r="E31" s="58" t="s">
        <v>463</v>
      </c>
      <c r="F31" s="60" t="s">
        <v>3888</v>
      </c>
      <c r="G31" s="58" t="s">
        <v>90</v>
      </c>
      <c r="H31" s="58"/>
      <c r="I31" s="61">
        <v>50451113563</v>
      </c>
      <c r="J31" s="62" t="s">
        <v>3916</v>
      </c>
      <c r="K31" s="58">
        <v>1</v>
      </c>
      <c r="L31" s="63">
        <v>49</v>
      </c>
      <c r="M31" s="58"/>
      <c r="N31" s="56">
        <v>1886</v>
      </c>
      <c r="O31" s="12" t="s">
        <v>3894</v>
      </c>
      <c r="P31" s="58"/>
      <c r="Q31" s="58"/>
      <c r="R31" s="58" t="s">
        <v>94</v>
      </c>
      <c r="S31" s="58">
        <v>10</v>
      </c>
      <c r="T31" s="58">
        <v>800044785</v>
      </c>
      <c r="U31" s="58" t="s">
        <v>3895</v>
      </c>
      <c r="V31" s="58">
        <f>VLOOKUP(Tabla43[[#This Row],[ZONA DEFINITIVO]],Hoja1!$A$1:$D$129,3,0)</f>
        <v>229951</v>
      </c>
      <c r="W31" s="58">
        <f>VLOOKUP(Tabla43[[#This Row],[ZONA DEFINITIVO]],Hoja1!$A$1:$D$129,2,0)</f>
        <v>18592</v>
      </c>
      <c r="X31" s="58">
        <f>VLOOKUP(Tabla43[[#This Row],[ZONA DEFINITIVO]],Hoja1!$A$1:$D$129,4,0)</f>
        <v>117225</v>
      </c>
      <c r="Y31" s="58" t="str">
        <f>+IF(Tabla43[[#This Row],[AGRUPACIONES]]=1,SUMIFS(Tabla43[UDS],Tabla43[ZONA DEFINITIVO],Tabla43[[#This Row],[ZONA DEFINITIVO]])," ")</f>
        <v xml:space="preserve"> </v>
      </c>
      <c r="Z31" s="58" t="str">
        <f>+IF(Tabla43[[#This Row],[AGRUPACIONES]]=1,SUMIFS(Tabla43[TOTAL COBERTURA],Tabla43[ZONA DEFINITIVO],Tabla43[[#This Row],[ZONA DEFINITIVO]])," ")</f>
        <v xml:space="preserve"> </v>
      </c>
      <c r="AA31" s="58"/>
      <c r="AB31" s="53">
        <v>166714121</v>
      </c>
      <c r="AC31" s="53"/>
      <c r="AD31" s="54">
        <f>Tabla43[[#This Row],[VALOR ATENCIÓN (7 MESES)]]*Tabla43[[#This Row],[% CONTRAPARTIDA]]</f>
        <v>0</v>
      </c>
      <c r="AE31" s="58"/>
      <c r="AF31" s="58">
        <f>COUNTIF($A$22:A31,A31)</f>
        <v>10</v>
      </c>
      <c r="AG31" s="53">
        <v>166714121</v>
      </c>
      <c r="AH31" s="54">
        <f>Tabla43[[#This Row],[VALOR CONTRAPARTIDA]]+Tabla43[[#This Row],[TOTAL APORTES ICBF]]</f>
        <v>166714121</v>
      </c>
      <c r="AI31" s="55" t="str">
        <f>+IF(Tabla43[[#This Row],[AGRUPACIONES]]=1,SUMIFS(Tabla43[TOTAL APORTES ICBF],Tabla43[ZONA DEFINITIVO],Tabla43[[#This Row],[ZONA DEFINITIVO]])," ")</f>
        <v xml:space="preserve"> </v>
      </c>
      <c r="AJ31" s="54"/>
      <c r="AK31" s="54"/>
      <c r="AL31" s="64"/>
      <c r="AM31" s="55">
        <f>VLOOKUP(Tabla43[[#This Row],[SERVICIO 2025]],$J$2:$V$16,5,0)*Tabla43[[#This Row],[TOTAL COBERTURA]]</f>
        <v>3245956</v>
      </c>
      <c r="AN31" s="55">
        <f>VLOOKUP(Tabla43[[#This Row],[SERVICIO 2025]],$J$2:$V$16,6,0)*Tabla43[[#This Row],[TOTAL COBERTURA]]</f>
        <v>1382829</v>
      </c>
      <c r="AO31" s="55">
        <f>VLOOKUP(Tabla43[[#This Row],[SERVICIO 2025]],$J$2:$V$16,8,0)*Tabla43[[#This Row],[TOTAL COBERTURA]]</f>
        <v>1425851</v>
      </c>
      <c r="AP31" s="55">
        <f>VLOOKUP(Tabla43[[#This Row],[SERVICIO 2025]],$J$2:$V$16,3,0)*Tabla43[[#This Row],[TOTAL COBERTURA]]*7</f>
        <v>160659485</v>
      </c>
      <c r="AQ31" s="55">
        <f>VLOOKUP(Tabla43[[#This Row],[SERVICIO 2025]],$J$2:$V$16,10,0)*Tabla43[[#This Row],[TOTAL COBERTURA]]*7</f>
        <v>0</v>
      </c>
      <c r="AR31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166714121</v>
      </c>
      <c r="AS31" s="55" t="str">
        <f>+IF(Tabla43[[#This Row],[AGRUPACIONES]]=1,SUMIFS(Tabla43[VALOR TOTAL],Tabla43[ZONA DEFINITIVO],Tabla43[[#This Row],[ZONA DEFINITIVO]])," ")</f>
        <v xml:space="preserve"> </v>
      </c>
      <c r="AT31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27623162</v>
      </c>
      <c r="AU31" s="55">
        <f>VLOOKUP(Tabla43[[#This Row],[SERVICIO 2025]],$J$2:$V$16,3,0)*Tabla43[[#This Row],[TOTAL COBERTURA]]+Tabla43[[#This Row],[VALOR RACION PREPARADA]]/7</f>
        <v>22951355</v>
      </c>
      <c r="AV31" s="55">
        <f>VLOOKUP(Tabla43[[#This Row],[SERVICIO 2025]],$J$2:$V$16,3,0)*Tabla43[[#This Row],[TOTAL COBERTURA]]+Tabla43[[#This Row],[VALOR RACION PREPARADA]]/7</f>
        <v>22951355</v>
      </c>
      <c r="AW31" s="55">
        <f>VLOOKUP(Tabla43[[#This Row],[SERVICIO 2025]],$J$2:$V$16,3,0)*Tabla43[[#This Row],[TOTAL COBERTURA]]+Tabla43[[#This Row],[VALOR RACION PREPARADA]]/7</f>
        <v>22951355</v>
      </c>
      <c r="AX31" s="55">
        <f>VLOOKUP(Tabla43[[#This Row],[SERVICIO 2025]],$J$2:$V$16,3,0)*Tabla43[[#This Row],[TOTAL COBERTURA]]+Tabla43[[#This Row],[VALOR RACION PREPARADA]]/7</f>
        <v>22951355</v>
      </c>
      <c r="AY31" s="55">
        <f>VLOOKUP(Tabla43[[#This Row],[SERVICIO 2025]],$J$2:$V$16,3,0)*Tabla43[[#This Row],[TOTAL COBERTURA]]+Tabla43[[#This Row],[VALOR RACION PREPARADA]]/7</f>
        <v>22951355</v>
      </c>
      <c r="AZ31" s="55">
        <f>VLOOKUP(Tabla43[[#This Row],[SERVICIO 2025]],$J$2:$V$16,3,0)*Tabla43[[#This Row],[TOTAL COBERTURA]]+Tabla43[[#This Row],[VALOR RACION PREPARADA]]/7+Tabla43[[#This Row],[VALOR FASE PREPARATORIA DE CIERRE]]</f>
        <v>24334184</v>
      </c>
      <c r="BA31" s="55"/>
      <c r="BB31" s="55">
        <f>SUM(Tabla43[[#This Row],[DESEMBOLSO 1]:[DESEMBOLSO 8]])</f>
        <v>166714121</v>
      </c>
      <c r="BC31" s="55">
        <f>VLOOKUP(Tabla43[[#This Row],[SERVICIO 2025]],$J$2:$V$16,10,0)*Tabla43[[#This Row],[TOTAL COBERTURA]]*$W$3</f>
        <v>0</v>
      </c>
      <c r="BD31" s="66" t="s">
        <v>145</v>
      </c>
      <c r="BE31" s="58" t="b">
        <f>EXACT(Tabla43[[#This Row],[TOTAL APORTES ICBF]],Tabla43[[#This Row],[VALOR TOTAL]])</f>
        <v>1</v>
      </c>
      <c r="BF31" s="64">
        <f>SUM(Tabla43[[#This Row],[VALOR FASE PREPARATORIA DE ALISTAMIENTO]:[VALOR RACION PREPARADA]])-Tabla43[[#This Row],[VALOR TOTAL]]</f>
        <v>0</v>
      </c>
      <c r="BG31" s="58" t="b">
        <f>EXACT(Tabla43[[#This Row],[VALOR TOTAL]],Tabla43[[#This Row],[TOTAL DESEMBOLSOS]])</f>
        <v>1</v>
      </c>
      <c r="BH31" s="67">
        <f>Tabla43[[#This Row],[TOTAL DESEMBOLSOS]]-Tabla43[[#This Row],[VALOR TOTAL]]</f>
        <v>0</v>
      </c>
      <c r="BI31" s="68" t="s">
        <v>3917</v>
      </c>
      <c r="BJ31" s="68" t="s">
        <v>3896</v>
      </c>
    </row>
    <row r="32" spans="1:62" s="68" customFormat="1" hidden="1">
      <c r="A32" s="56">
        <v>1886</v>
      </c>
      <c r="B32" s="57"/>
      <c r="C32" s="58" t="s">
        <v>3915</v>
      </c>
      <c r="D32" s="59" t="s">
        <v>462</v>
      </c>
      <c r="E32" s="58" t="s">
        <v>463</v>
      </c>
      <c r="F32" s="60" t="s">
        <v>16</v>
      </c>
      <c r="G32" s="58" t="s">
        <v>90</v>
      </c>
      <c r="H32" s="58"/>
      <c r="I32" s="61">
        <v>504500101044</v>
      </c>
      <c r="J32" s="62" t="s">
        <v>3918</v>
      </c>
      <c r="K32" s="58">
        <v>1</v>
      </c>
      <c r="L32" s="63">
        <v>82</v>
      </c>
      <c r="M32" s="58"/>
      <c r="N32" s="56">
        <v>1886</v>
      </c>
      <c r="O32" s="12" t="s">
        <v>3894</v>
      </c>
      <c r="P32" s="58"/>
      <c r="Q32" s="58"/>
      <c r="R32" s="58" t="s">
        <v>94</v>
      </c>
      <c r="S32" s="58">
        <v>10</v>
      </c>
      <c r="T32" s="58">
        <v>800044785</v>
      </c>
      <c r="U32" s="58" t="s">
        <v>3895</v>
      </c>
      <c r="V32" s="58">
        <f>VLOOKUP(Tabla43[[#This Row],[ZONA DEFINITIVO]],Hoja1!$A$1:$D$129,3,0)</f>
        <v>229951</v>
      </c>
      <c r="W32" s="58">
        <f>VLOOKUP(Tabla43[[#This Row],[ZONA DEFINITIVO]],Hoja1!$A$1:$D$129,2,0)</f>
        <v>18592</v>
      </c>
      <c r="X32" s="58">
        <f>VLOOKUP(Tabla43[[#This Row],[ZONA DEFINITIVO]],Hoja1!$A$1:$D$129,4,0)</f>
        <v>117225</v>
      </c>
      <c r="Y32" s="58" t="str">
        <f>+IF(Tabla43[[#This Row],[AGRUPACIONES]]=1,SUMIFS(Tabla43[UDS],Tabla43[ZONA DEFINITIVO],Tabla43[[#This Row],[ZONA DEFINITIVO]])," ")</f>
        <v xml:space="preserve"> </v>
      </c>
      <c r="Z32" s="58" t="str">
        <f>+IF(Tabla43[[#This Row],[AGRUPACIONES]]=1,SUMIFS(Tabla43[TOTAL COBERTURA],Tabla43[ZONA DEFINITIVO],Tabla43[[#This Row],[ZONA DEFINITIVO]])," ")</f>
        <v xml:space="preserve"> </v>
      </c>
      <c r="AA32" s="58"/>
      <c r="AB32" s="53">
        <v>276325814</v>
      </c>
      <c r="AC32" s="53"/>
      <c r="AD32" s="54">
        <f>Tabla43[[#This Row],[VALOR ATENCIÓN (7 MESES)]]*Tabla43[[#This Row],[% CONTRAPARTIDA]]</f>
        <v>0</v>
      </c>
      <c r="AE32" s="58"/>
      <c r="AF32" s="58">
        <f>COUNTIF($A$22:A32,A32)</f>
        <v>11</v>
      </c>
      <c r="AG32" s="53">
        <v>276325814</v>
      </c>
      <c r="AH32" s="54">
        <f>Tabla43[[#This Row],[VALOR CONTRAPARTIDA]]+Tabla43[[#This Row],[TOTAL APORTES ICBF]]</f>
        <v>276325814</v>
      </c>
      <c r="AI32" s="55" t="str">
        <f>+IF(Tabla43[[#This Row],[AGRUPACIONES]]=1,SUMIFS(Tabla43[TOTAL APORTES ICBF],Tabla43[ZONA DEFINITIVO],Tabla43[[#This Row],[ZONA DEFINITIVO]])," ")</f>
        <v xml:space="preserve"> </v>
      </c>
      <c r="AJ32" s="54"/>
      <c r="AK32" s="54"/>
      <c r="AL32" s="64"/>
      <c r="AM32" s="55">
        <f>VLOOKUP(Tabla43[[#This Row],[SERVICIO 2025]],$J$2:$V$16,5,0)*Tabla43[[#This Row],[TOTAL COBERTURA]]</f>
        <v>6065130</v>
      </c>
      <c r="AN32" s="55">
        <f>VLOOKUP(Tabla43[[#This Row],[SERVICIO 2025]],$J$2:$V$16,6,0)*Tabla43[[#This Row],[TOTAL COBERTURA]]</f>
        <v>2677382</v>
      </c>
      <c r="AO32" s="55">
        <f>VLOOKUP(Tabla43[[#This Row],[SERVICIO 2025]],$J$2:$V$16,8,0)*Tabla43[[#This Row],[TOTAL COBERTURA]]</f>
        <v>2386118</v>
      </c>
      <c r="AP32" s="55">
        <f>VLOOKUP(Tabla43[[#This Row],[SERVICIO 2025]],$J$2:$V$16,3,0)*Tabla43[[#This Row],[TOTAL COBERTURA]]*7</f>
        <v>265197184</v>
      </c>
      <c r="AQ32" s="55">
        <f>VLOOKUP(Tabla43[[#This Row],[SERVICIO 2025]],$J$2:$V$16,10,0)*Tabla43[[#This Row],[TOTAL COBERTURA]]*7</f>
        <v>0</v>
      </c>
      <c r="AR32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276325814</v>
      </c>
      <c r="AS32" s="55" t="str">
        <f>+IF(Tabla43[[#This Row],[AGRUPACIONES]]=1,SUMIFS(Tabla43[VALOR TOTAL],Tabla43[ZONA DEFINITIVO],Tabla43[[#This Row],[ZONA DEFINITIVO]])," ")</f>
        <v xml:space="preserve"> </v>
      </c>
      <c r="AT32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46336560</v>
      </c>
      <c r="AU32" s="55">
        <f>VLOOKUP(Tabla43[[#This Row],[SERVICIO 2025]],$J$2:$V$16,3,0)*Tabla43[[#This Row],[TOTAL COBERTURA]]+Tabla43[[#This Row],[VALOR RACION PREPARADA]]/7</f>
        <v>37885312</v>
      </c>
      <c r="AV32" s="55">
        <f>VLOOKUP(Tabla43[[#This Row],[SERVICIO 2025]],$J$2:$V$16,3,0)*Tabla43[[#This Row],[TOTAL COBERTURA]]+Tabla43[[#This Row],[VALOR RACION PREPARADA]]/7</f>
        <v>37885312</v>
      </c>
      <c r="AW32" s="55">
        <f>VLOOKUP(Tabla43[[#This Row],[SERVICIO 2025]],$J$2:$V$16,3,0)*Tabla43[[#This Row],[TOTAL COBERTURA]]+Tabla43[[#This Row],[VALOR RACION PREPARADA]]/7</f>
        <v>37885312</v>
      </c>
      <c r="AX32" s="55">
        <f>VLOOKUP(Tabla43[[#This Row],[SERVICIO 2025]],$J$2:$V$16,3,0)*Tabla43[[#This Row],[TOTAL COBERTURA]]+Tabla43[[#This Row],[VALOR RACION PREPARADA]]/7</f>
        <v>37885312</v>
      </c>
      <c r="AY32" s="55">
        <f>VLOOKUP(Tabla43[[#This Row],[SERVICIO 2025]],$J$2:$V$16,3,0)*Tabla43[[#This Row],[TOTAL COBERTURA]]+Tabla43[[#This Row],[VALOR RACION PREPARADA]]/7</f>
        <v>37885312</v>
      </c>
      <c r="AZ32" s="55">
        <f>VLOOKUP(Tabla43[[#This Row],[SERVICIO 2025]],$J$2:$V$16,3,0)*Tabla43[[#This Row],[TOTAL COBERTURA]]+Tabla43[[#This Row],[VALOR RACION PREPARADA]]/7+Tabla43[[#This Row],[VALOR FASE PREPARATORIA DE CIERRE]]</f>
        <v>40562694</v>
      </c>
      <c r="BA32" s="55"/>
      <c r="BB32" s="55">
        <f>SUM(Tabla43[[#This Row],[DESEMBOLSO 1]:[DESEMBOLSO 8]])</f>
        <v>276325814</v>
      </c>
      <c r="BC32" s="55">
        <f>VLOOKUP(Tabla43[[#This Row],[SERVICIO 2025]],$J$2:$V$16,10,0)*Tabla43[[#This Row],[TOTAL COBERTURA]]*$W$3</f>
        <v>0</v>
      </c>
      <c r="BD32" s="66" t="s">
        <v>145</v>
      </c>
      <c r="BE32" s="58" t="b">
        <f>EXACT(Tabla43[[#This Row],[TOTAL APORTES ICBF]],Tabla43[[#This Row],[VALOR TOTAL]])</f>
        <v>1</v>
      </c>
      <c r="BF32" s="64">
        <f>SUM(Tabla43[[#This Row],[VALOR FASE PREPARATORIA DE ALISTAMIENTO]:[VALOR RACION PREPARADA]])-Tabla43[[#This Row],[VALOR TOTAL]]</f>
        <v>0</v>
      </c>
      <c r="BG32" s="58" t="b">
        <f>EXACT(Tabla43[[#This Row],[VALOR TOTAL]],Tabla43[[#This Row],[TOTAL DESEMBOLSOS]])</f>
        <v>1</v>
      </c>
      <c r="BH32" s="67">
        <f>Tabla43[[#This Row],[TOTAL DESEMBOLSOS]]-Tabla43[[#This Row],[VALOR TOTAL]]</f>
        <v>0</v>
      </c>
      <c r="BJ32" s="68" t="s">
        <v>3896</v>
      </c>
    </row>
    <row r="33" spans="1:62" hidden="1">
      <c r="A33" s="13">
        <v>1899</v>
      </c>
      <c r="B33" s="13"/>
      <c r="C33" s="12" t="s">
        <v>87</v>
      </c>
      <c r="D33" s="12" t="s">
        <v>579</v>
      </c>
      <c r="E33" s="12" t="s">
        <v>3919</v>
      </c>
      <c r="F33" s="12" t="s">
        <v>18</v>
      </c>
      <c r="G33" s="12" t="s">
        <v>90</v>
      </c>
      <c r="H33" s="12" t="s">
        <v>3920</v>
      </c>
      <c r="I33" s="12">
        <v>52841119128</v>
      </c>
      <c r="J33" s="12" t="s">
        <v>3921</v>
      </c>
      <c r="K33" s="12">
        <v>1</v>
      </c>
      <c r="L33" s="12">
        <v>13</v>
      </c>
      <c r="M33" s="12"/>
      <c r="N33" s="13">
        <v>1899</v>
      </c>
      <c r="O33" s="12" t="s">
        <v>93</v>
      </c>
      <c r="P33" s="12"/>
      <c r="Q33" s="12"/>
      <c r="R33" s="12" t="s">
        <v>94</v>
      </c>
      <c r="S33" s="12">
        <v>10</v>
      </c>
      <c r="T33" s="12" t="s">
        <v>3922</v>
      </c>
      <c r="U33" s="12" t="s">
        <v>3923</v>
      </c>
      <c r="V33" s="12">
        <f>VLOOKUP(Tabla43[[#This Row],[ZONA DEFINITIVO]],Hoja1!$A$1:$D$129,3,0)</f>
        <v>229952</v>
      </c>
      <c r="W33" s="12">
        <f>VLOOKUP(Tabla43[[#This Row],[ZONA DEFINITIVO]],Hoja1!$A$1:$D$129,2,0)</f>
        <v>18584</v>
      </c>
      <c r="X33" s="12">
        <f>VLOOKUP(Tabla43[[#This Row],[ZONA DEFINITIVO]],Hoja1!$A$1:$D$129,4,0)</f>
        <v>116825</v>
      </c>
      <c r="Y33" s="12">
        <f>+IF(Tabla43[[#This Row],[AGRUPACIONES]]=1,SUMIFS(Tabla43[UDS],Tabla43[ZONA DEFINITIVO],Tabla43[[#This Row],[ZONA DEFINITIVO]])," ")</f>
        <v>21</v>
      </c>
      <c r="Z33" s="12">
        <f>+IF(Tabla43[[#This Row],[AGRUPACIONES]]=1,SUMIFS(Tabla43[TOTAL COBERTURA],Tabla43[ZONA DEFINITIVO],Tabla43[[#This Row],[ZONA DEFINITIVO]])," ")</f>
        <v>495</v>
      </c>
      <c r="AA33" s="12"/>
      <c r="AB33" s="51">
        <v>24993891</v>
      </c>
      <c r="AC33" s="37">
        <v>0.02</v>
      </c>
      <c r="AD33" s="38">
        <f>Tabla43[[#This Row],[VALOR ATENCIÓN (7 MESES)]]*Tabla43[[#This Row],[% CONTRAPARTIDA]]</f>
        <v>499877.82</v>
      </c>
      <c r="AE33" s="12"/>
      <c r="AF33" s="12">
        <f>COUNTIF($A$22:A33,A33)</f>
        <v>1</v>
      </c>
      <c r="AG33" s="51">
        <v>24993891</v>
      </c>
      <c r="AH33" s="38">
        <f>Tabla43[[#This Row],[VALOR CONTRAPARTIDA]]+Tabla43[[#This Row],[TOTAL APORTES ICBF]]</f>
        <v>25493768.82</v>
      </c>
      <c r="AI33" s="35">
        <f>+IF(Tabla43[[#This Row],[AGRUPACIONES]]=1,SUMIFS(Tabla43[TOTAL APORTES ICBF],Tabla43[ZONA DEFINITIVO],Tabla43[[#This Row],[ZONA DEFINITIVO]])," ")</f>
        <v>1244023255</v>
      </c>
      <c r="AJ33" s="38">
        <f>ROUND(+IF(Tabla43[[#This Row],[AGRUPACIONES]]=1,SUMIFS(Tabla43[VALOR CONTRAPARTIDA],Tabla43[ZONA DEFINITIVO],Tabla43[[#This Row],[ZONA DEFINITIVO]])," "),0)</f>
        <v>24880465</v>
      </c>
      <c r="AK33" s="38">
        <f>Tabla43[[#This Row],[TOTAL APORTES ICBF AGRUPADO]]+Tabla43[[#This Row],[TOTAL CONTRAPARTIDA AGRUPADO]]</f>
        <v>1268903720</v>
      </c>
      <c r="AL33" s="23">
        <f>Tabla43[[#This Row],[TOTAL APORTES ICBF AGRUPADO]]/$AL$20</f>
        <v>873.91868984896382</v>
      </c>
      <c r="AM33" s="35">
        <f>VLOOKUP(Tabla43[[#This Row],[SERVICIO 2025]],$J$2:$V$16,5,0)*Tabla43[[#This Row],[TOTAL COBERTURA]]</f>
        <v>641888</v>
      </c>
      <c r="AN33" s="35">
        <f>VLOOKUP(Tabla43[[#This Row],[SERVICIO 2025]],$J$2:$V$16,6,0)*Tabla43[[#This Row],[TOTAL COBERTURA]]</f>
        <v>533377</v>
      </c>
      <c r="AO33" s="35">
        <f>VLOOKUP(Tabla43[[#This Row],[SERVICIO 2025]],$J$2:$V$16,8,0)*Tabla43[[#This Row],[TOTAL COBERTURA]]</f>
        <v>378300</v>
      </c>
      <c r="AP33" s="35">
        <f>VLOOKUP(Tabla43[[#This Row],[SERVICIO 2025]],$J$2:$V$16,3,0)*Tabla43[[#This Row],[TOTAL COBERTURA]]*7</f>
        <v>23440326</v>
      </c>
      <c r="AQ33" s="35"/>
      <c r="AR3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24993891</v>
      </c>
      <c r="AS33" s="35">
        <f>+IF(Tabla43[[#This Row],[AGRUPACIONES]]=1,SUMIFS(Tabla43[VALOR TOTAL],Tabla43[ZONA DEFINITIVO],Tabla43[[#This Row],[ZONA DEFINITIVO]])," ")</f>
        <v>1244023255</v>
      </c>
      <c r="AT3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4368806</v>
      </c>
      <c r="AU33" s="35">
        <f>VLOOKUP(Tabla43[[#This Row],[SERVICIO 2025]],$J$2:$V$16,3,0)*Tabla43[[#This Row],[TOTAL COBERTURA]]+Tabla43[[#This Row],[VALOR RACION PREPARADA]]/7</f>
        <v>3348618</v>
      </c>
      <c r="AV33" s="35">
        <f>VLOOKUP(Tabla43[[#This Row],[SERVICIO 2025]],$J$2:$V$16,3,0)*Tabla43[[#This Row],[TOTAL COBERTURA]]+Tabla43[[#This Row],[VALOR RACION PREPARADA]]/7</f>
        <v>3348618</v>
      </c>
      <c r="AW33" s="35">
        <f>VLOOKUP(Tabla43[[#This Row],[SERVICIO 2025]],$J$2:$V$16,3,0)*Tabla43[[#This Row],[TOTAL COBERTURA]]+Tabla43[[#This Row],[VALOR RACION PREPARADA]]/7</f>
        <v>3348618</v>
      </c>
      <c r="AX33" s="35">
        <f>VLOOKUP(Tabla43[[#This Row],[SERVICIO 2025]],$J$2:$V$16,3,0)*Tabla43[[#This Row],[TOTAL COBERTURA]]+Tabla43[[#This Row],[VALOR RACION PREPARADA]]/7</f>
        <v>3348618</v>
      </c>
      <c r="AY33" s="35">
        <f>VLOOKUP(Tabla43[[#This Row],[SERVICIO 2025]],$J$2:$V$16,3,0)*Tabla43[[#This Row],[TOTAL COBERTURA]]+Tabla43[[#This Row],[VALOR RACION PREPARADA]]/7</f>
        <v>3348618</v>
      </c>
      <c r="AZ33" s="35">
        <f>VLOOKUP(Tabla43[[#This Row],[SERVICIO 2025]],$J$2:$V$16,3,0)*Tabla43[[#This Row],[TOTAL COBERTURA]]+Tabla43[[#This Row],[VALOR RACION PREPARADA]]/7+Tabla43[[#This Row],[VALOR FASE PREPARATORIA DE CIERRE]]</f>
        <v>3881995</v>
      </c>
      <c r="BA33" s="35"/>
      <c r="BB33" s="35">
        <f>SUM(Tabla43[[#This Row],[DESEMBOLSO 1]:[DESEMBOLSO 8]])</f>
        <v>24993891</v>
      </c>
      <c r="BC33" s="55"/>
      <c r="BD33" s="47" t="s">
        <v>97</v>
      </c>
      <c r="BE33" s="12" t="b">
        <f>EXACT(Tabla43[[#This Row],[TOTAL APORTES ICBF]],Tabla43[[#This Row],[VALOR TOTAL]])</f>
        <v>1</v>
      </c>
      <c r="BF33" s="23">
        <f>SUM(Tabla43[[#This Row],[VALOR FASE PREPARATORIA DE ALISTAMIENTO]:[VALOR RACION PREPARADA]])-Tabla43[[#This Row],[VALOR TOTAL]]</f>
        <v>0</v>
      </c>
      <c r="BG33" s="12" t="b">
        <f>EXACT(Tabla43[[#This Row],[VALOR TOTAL]],Tabla43[[#This Row],[TOTAL DESEMBOLSOS]])</f>
        <v>1</v>
      </c>
      <c r="BH33" s="29">
        <f>Tabla43[[#This Row],[TOTAL DESEMBOLSOS]]-Tabla43[[#This Row],[VALOR TOTAL]]</f>
        <v>0</v>
      </c>
      <c r="BJ33" t="s">
        <v>3924</v>
      </c>
    </row>
    <row r="34" spans="1:62" hidden="1">
      <c r="A34" s="13">
        <v>1899</v>
      </c>
      <c r="B34" s="13"/>
      <c r="C34" s="12" t="s">
        <v>87</v>
      </c>
      <c r="D34" s="12" t="s">
        <v>579</v>
      </c>
      <c r="E34" s="12" t="s">
        <v>3919</v>
      </c>
      <c r="F34" s="12" t="s">
        <v>18</v>
      </c>
      <c r="G34" s="12" t="s">
        <v>90</v>
      </c>
      <c r="H34" s="12" t="s">
        <v>3925</v>
      </c>
      <c r="I34" s="12">
        <v>52841119130</v>
      </c>
      <c r="J34" s="12" t="s">
        <v>3926</v>
      </c>
      <c r="K34" s="12">
        <v>1</v>
      </c>
      <c r="L34" s="12">
        <v>13</v>
      </c>
      <c r="M34" s="12"/>
      <c r="N34" s="13">
        <v>1899</v>
      </c>
      <c r="O34" s="12" t="s">
        <v>93</v>
      </c>
      <c r="P34" s="12"/>
      <c r="Q34" s="12"/>
      <c r="R34" s="12" t="s">
        <v>94</v>
      </c>
      <c r="S34" s="12">
        <v>10</v>
      </c>
      <c r="T34" s="12" t="s">
        <v>3922</v>
      </c>
      <c r="U34" s="12" t="s">
        <v>3923</v>
      </c>
      <c r="V34" s="12">
        <f>VLOOKUP(Tabla43[[#This Row],[ZONA DEFINITIVO]],Hoja1!$A$1:$D$129,3,0)</f>
        <v>229952</v>
      </c>
      <c r="W34" s="12">
        <f>VLOOKUP(Tabla43[[#This Row],[ZONA DEFINITIVO]],Hoja1!$A$1:$D$129,2,0)</f>
        <v>18584</v>
      </c>
      <c r="X34" s="12">
        <f>VLOOKUP(Tabla43[[#This Row],[ZONA DEFINITIVO]],Hoja1!$A$1:$D$129,4,0)</f>
        <v>116825</v>
      </c>
      <c r="Y34" s="12" t="str">
        <f>+IF(Tabla43[[#This Row],[AGRUPACIONES]]=1,SUMIFS(Tabla43[UDS],Tabla43[ZONA DEFINITIVO],Tabla43[[#This Row],[ZONA DEFINITIVO]])," ")</f>
        <v xml:space="preserve"> </v>
      </c>
      <c r="Z34" s="12" t="str">
        <f>+IF(Tabla43[[#This Row],[AGRUPACIONES]]=1,SUMIFS(Tabla43[TOTAL COBERTURA],Tabla43[ZONA DEFINITIVO],Tabla43[[#This Row],[ZONA DEFINITIVO]])," ")</f>
        <v xml:space="preserve"> </v>
      </c>
      <c r="AA34" s="12"/>
      <c r="AB34" s="51">
        <v>24993891</v>
      </c>
      <c r="AC34" s="37">
        <v>0.02</v>
      </c>
      <c r="AD34" s="38">
        <f>Tabla43[[#This Row],[VALOR ATENCIÓN (7 MESES)]]*Tabla43[[#This Row],[% CONTRAPARTIDA]]</f>
        <v>499877.82</v>
      </c>
      <c r="AE34" s="12"/>
      <c r="AF34" s="12">
        <f>COUNTIF($A$22:A34,A34)</f>
        <v>2</v>
      </c>
      <c r="AG34" s="51">
        <v>24993891</v>
      </c>
      <c r="AH34" s="38">
        <f>Tabla43[[#This Row],[VALOR CONTRAPARTIDA]]+Tabla43[[#This Row],[TOTAL APORTES ICBF]]</f>
        <v>25493768.82</v>
      </c>
      <c r="AI34" s="35" t="str">
        <f>+IF(Tabla43[[#This Row],[AGRUPACIONES]]=1,SUMIFS(Tabla43[TOTAL APORTES ICBF],Tabla43[ZONA DEFINITIVO],Tabla43[[#This Row],[ZONA DEFINITIVO]])," ")</f>
        <v xml:space="preserve"> </v>
      </c>
      <c r="AJ34" s="38"/>
      <c r="AK34" s="38"/>
      <c r="AL34" s="23"/>
      <c r="AM34" s="35">
        <f>VLOOKUP(Tabla43[[#This Row],[SERVICIO 2025]],$J$2:$V$16,5,0)*Tabla43[[#This Row],[TOTAL COBERTURA]]</f>
        <v>641888</v>
      </c>
      <c r="AN34" s="35">
        <f>VLOOKUP(Tabla43[[#This Row],[SERVICIO 2025]],$J$2:$V$16,6,0)*Tabla43[[#This Row],[TOTAL COBERTURA]]</f>
        <v>533377</v>
      </c>
      <c r="AO34" s="35">
        <f>VLOOKUP(Tabla43[[#This Row],[SERVICIO 2025]],$J$2:$V$16,8,0)*Tabla43[[#This Row],[TOTAL COBERTURA]]</f>
        <v>378300</v>
      </c>
      <c r="AP34" s="35">
        <f>VLOOKUP(Tabla43[[#This Row],[SERVICIO 2025]],$J$2:$V$16,3,0)*Tabla43[[#This Row],[TOTAL COBERTURA]]*7</f>
        <v>23440326</v>
      </c>
      <c r="AQ34" s="35"/>
      <c r="AR3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24993891</v>
      </c>
      <c r="AS34" s="35" t="str">
        <f>+IF(Tabla43[[#This Row],[AGRUPACIONES]]=1,SUMIFS(Tabla43[VALOR TOTAL],Tabla43[ZONA DEFINITIVO],Tabla43[[#This Row],[ZONA DEFINITIVO]])," ")</f>
        <v xml:space="preserve"> </v>
      </c>
      <c r="AT3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4368806</v>
      </c>
      <c r="AU34" s="35">
        <f>VLOOKUP(Tabla43[[#This Row],[SERVICIO 2025]],$J$2:$V$16,3,0)*Tabla43[[#This Row],[TOTAL COBERTURA]]+Tabla43[[#This Row],[VALOR RACION PREPARADA]]/7</f>
        <v>3348618</v>
      </c>
      <c r="AV34" s="35">
        <f>VLOOKUP(Tabla43[[#This Row],[SERVICIO 2025]],$J$2:$V$16,3,0)*Tabla43[[#This Row],[TOTAL COBERTURA]]+Tabla43[[#This Row],[VALOR RACION PREPARADA]]/7</f>
        <v>3348618</v>
      </c>
      <c r="AW34" s="35">
        <f>VLOOKUP(Tabla43[[#This Row],[SERVICIO 2025]],$J$2:$V$16,3,0)*Tabla43[[#This Row],[TOTAL COBERTURA]]+Tabla43[[#This Row],[VALOR RACION PREPARADA]]/7</f>
        <v>3348618</v>
      </c>
      <c r="AX34" s="35">
        <f>VLOOKUP(Tabla43[[#This Row],[SERVICIO 2025]],$J$2:$V$16,3,0)*Tabla43[[#This Row],[TOTAL COBERTURA]]+Tabla43[[#This Row],[VALOR RACION PREPARADA]]/7</f>
        <v>3348618</v>
      </c>
      <c r="AY34" s="35">
        <f>VLOOKUP(Tabla43[[#This Row],[SERVICIO 2025]],$J$2:$V$16,3,0)*Tabla43[[#This Row],[TOTAL COBERTURA]]+Tabla43[[#This Row],[VALOR RACION PREPARADA]]/7</f>
        <v>3348618</v>
      </c>
      <c r="AZ34" s="35">
        <f>VLOOKUP(Tabla43[[#This Row],[SERVICIO 2025]],$J$2:$V$16,3,0)*Tabla43[[#This Row],[TOTAL COBERTURA]]+Tabla43[[#This Row],[VALOR RACION PREPARADA]]/7+Tabla43[[#This Row],[VALOR FASE PREPARATORIA DE CIERRE]]</f>
        <v>3881995</v>
      </c>
      <c r="BA34" s="35"/>
      <c r="BB34" s="35">
        <f>SUM(Tabla43[[#This Row],[DESEMBOLSO 1]:[DESEMBOLSO 8]])</f>
        <v>24993891</v>
      </c>
      <c r="BC34" s="55"/>
      <c r="BD34" s="47" t="s">
        <v>97</v>
      </c>
      <c r="BE34" s="12" t="b">
        <f>EXACT(Tabla43[[#This Row],[TOTAL APORTES ICBF]],Tabla43[[#This Row],[VALOR TOTAL]])</f>
        <v>1</v>
      </c>
      <c r="BF34" s="23">
        <f>SUM(Tabla43[[#This Row],[VALOR FASE PREPARATORIA DE ALISTAMIENTO]:[VALOR RACION PREPARADA]])-Tabla43[[#This Row],[VALOR TOTAL]]</f>
        <v>0</v>
      </c>
      <c r="BG34" s="12" t="b">
        <f>EXACT(Tabla43[[#This Row],[VALOR TOTAL]],Tabla43[[#This Row],[TOTAL DESEMBOLSOS]])</f>
        <v>1</v>
      </c>
      <c r="BH34" s="29">
        <f>Tabla43[[#This Row],[TOTAL DESEMBOLSOS]]-Tabla43[[#This Row],[VALOR TOTAL]]</f>
        <v>0</v>
      </c>
      <c r="BJ34" t="s">
        <v>3924</v>
      </c>
    </row>
    <row r="35" spans="1:62" hidden="1">
      <c r="A35" s="13">
        <v>1899</v>
      </c>
      <c r="B35" s="13"/>
      <c r="C35" s="12" t="s">
        <v>87</v>
      </c>
      <c r="D35" s="12" t="s">
        <v>579</v>
      </c>
      <c r="E35" s="12" t="s">
        <v>3919</v>
      </c>
      <c r="F35" s="12" t="s">
        <v>18</v>
      </c>
      <c r="G35" s="12" t="s">
        <v>90</v>
      </c>
      <c r="H35" s="12" t="s">
        <v>3927</v>
      </c>
      <c r="I35" s="12">
        <v>52841119131</v>
      </c>
      <c r="J35" s="12" t="s">
        <v>3928</v>
      </c>
      <c r="K35" s="12">
        <v>1</v>
      </c>
      <c r="L35" s="12">
        <v>39</v>
      </c>
      <c r="M35" s="12"/>
      <c r="N35" s="13">
        <v>1899</v>
      </c>
      <c r="O35" s="12" t="s">
        <v>93</v>
      </c>
      <c r="P35" s="12"/>
      <c r="Q35" s="12"/>
      <c r="R35" s="12" t="s">
        <v>94</v>
      </c>
      <c r="S35" s="12">
        <v>10</v>
      </c>
      <c r="T35" s="12" t="s">
        <v>3922</v>
      </c>
      <c r="U35" s="12" t="s">
        <v>3923</v>
      </c>
      <c r="V35" s="12">
        <f>VLOOKUP(Tabla43[[#This Row],[ZONA DEFINITIVO]],Hoja1!$A$1:$D$129,3,0)</f>
        <v>229952</v>
      </c>
      <c r="W35" s="12">
        <f>VLOOKUP(Tabla43[[#This Row],[ZONA DEFINITIVO]],Hoja1!$A$1:$D$129,2,0)</f>
        <v>18584</v>
      </c>
      <c r="X35" s="12">
        <f>VLOOKUP(Tabla43[[#This Row],[ZONA DEFINITIVO]],Hoja1!$A$1:$D$129,4,0)</f>
        <v>116825</v>
      </c>
      <c r="Y35" s="12" t="str">
        <f>+IF(Tabla43[[#This Row],[AGRUPACIONES]]=1,SUMIFS(Tabla43[UDS],Tabla43[ZONA DEFINITIVO],Tabla43[[#This Row],[ZONA DEFINITIVO]])," ")</f>
        <v xml:space="preserve"> </v>
      </c>
      <c r="Z35" s="12" t="str">
        <f>+IF(Tabla43[[#This Row],[AGRUPACIONES]]=1,SUMIFS(Tabla43[TOTAL COBERTURA],Tabla43[ZONA DEFINITIVO],Tabla43[[#This Row],[ZONA DEFINITIVO]])," ")</f>
        <v xml:space="preserve"> </v>
      </c>
      <c r="AA35" s="12"/>
      <c r="AB35" s="51">
        <v>74981673</v>
      </c>
      <c r="AC35" s="37">
        <v>0.02</v>
      </c>
      <c r="AD35" s="38">
        <f>Tabla43[[#This Row],[VALOR ATENCIÓN (7 MESES)]]*Tabla43[[#This Row],[% CONTRAPARTIDA]]</f>
        <v>1499633.46</v>
      </c>
      <c r="AE35" s="12"/>
      <c r="AF35" s="12">
        <f>COUNTIF($A$22:A35,A35)</f>
        <v>3</v>
      </c>
      <c r="AG35" s="51">
        <v>74981673</v>
      </c>
      <c r="AH35" s="38">
        <f>Tabla43[[#This Row],[VALOR CONTRAPARTIDA]]+Tabla43[[#This Row],[TOTAL APORTES ICBF]]</f>
        <v>76481306.459999993</v>
      </c>
      <c r="AI35" s="35" t="str">
        <f>+IF(Tabla43[[#This Row],[AGRUPACIONES]]=1,SUMIFS(Tabla43[TOTAL APORTES ICBF],Tabla43[ZONA DEFINITIVO],Tabla43[[#This Row],[ZONA DEFINITIVO]])," ")</f>
        <v xml:space="preserve"> </v>
      </c>
      <c r="AJ35" s="38"/>
      <c r="AK35" s="38"/>
      <c r="AL35" s="23"/>
      <c r="AM35" s="35">
        <f>VLOOKUP(Tabla43[[#This Row],[SERVICIO 2025]],$J$2:$V$16,5,0)*Tabla43[[#This Row],[TOTAL COBERTURA]]</f>
        <v>1925664</v>
      </c>
      <c r="AN35" s="35">
        <f>VLOOKUP(Tabla43[[#This Row],[SERVICIO 2025]],$J$2:$V$16,6,0)*Tabla43[[#This Row],[TOTAL COBERTURA]]</f>
        <v>1600131</v>
      </c>
      <c r="AO35" s="35">
        <f>VLOOKUP(Tabla43[[#This Row],[SERVICIO 2025]],$J$2:$V$16,8,0)*Tabla43[[#This Row],[TOTAL COBERTURA]]</f>
        <v>1134900</v>
      </c>
      <c r="AP35" s="35">
        <f>VLOOKUP(Tabla43[[#This Row],[SERVICIO 2025]],$J$2:$V$16,3,0)*Tabla43[[#This Row],[TOTAL COBERTURA]]*7</f>
        <v>70320978</v>
      </c>
      <c r="AQ35" s="35"/>
      <c r="AR3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74981673</v>
      </c>
      <c r="AS35" s="35" t="str">
        <f>+IF(Tabla43[[#This Row],[AGRUPACIONES]]=1,SUMIFS(Tabla43[VALOR TOTAL],Tabla43[ZONA DEFINITIVO],Tabla43[[#This Row],[ZONA DEFINITIVO]])," ")</f>
        <v xml:space="preserve"> </v>
      </c>
      <c r="AT3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13106418</v>
      </c>
      <c r="AU35" s="35">
        <f>VLOOKUP(Tabla43[[#This Row],[SERVICIO 2025]],$J$2:$V$16,3,0)*Tabla43[[#This Row],[TOTAL COBERTURA]]+Tabla43[[#This Row],[VALOR RACION PREPARADA]]/7</f>
        <v>10045854</v>
      </c>
      <c r="AV35" s="35">
        <f>VLOOKUP(Tabla43[[#This Row],[SERVICIO 2025]],$J$2:$V$16,3,0)*Tabla43[[#This Row],[TOTAL COBERTURA]]+Tabla43[[#This Row],[VALOR RACION PREPARADA]]/7</f>
        <v>10045854</v>
      </c>
      <c r="AW35" s="35">
        <f>VLOOKUP(Tabla43[[#This Row],[SERVICIO 2025]],$J$2:$V$16,3,0)*Tabla43[[#This Row],[TOTAL COBERTURA]]+Tabla43[[#This Row],[VALOR RACION PREPARADA]]/7</f>
        <v>10045854</v>
      </c>
      <c r="AX35" s="35">
        <f>VLOOKUP(Tabla43[[#This Row],[SERVICIO 2025]],$J$2:$V$16,3,0)*Tabla43[[#This Row],[TOTAL COBERTURA]]+Tabla43[[#This Row],[VALOR RACION PREPARADA]]/7</f>
        <v>10045854</v>
      </c>
      <c r="AY35" s="35">
        <f>VLOOKUP(Tabla43[[#This Row],[SERVICIO 2025]],$J$2:$V$16,3,0)*Tabla43[[#This Row],[TOTAL COBERTURA]]+Tabla43[[#This Row],[VALOR RACION PREPARADA]]/7</f>
        <v>10045854</v>
      </c>
      <c r="AZ35" s="35">
        <f>VLOOKUP(Tabla43[[#This Row],[SERVICIO 2025]],$J$2:$V$16,3,0)*Tabla43[[#This Row],[TOTAL COBERTURA]]+Tabla43[[#This Row],[VALOR RACION PREPARADA]]/7+Tabla43[[#This Row],[VALOR FASE PREPARATORIA DE CIERRE]]</f>
        <v>11645985</v>
      </c>
      <c r="BA35" s="35"/>
      <c r="BB35" s="35">
        <f>SUM(Tabla43[[#This Row],[DESEMBOLSO 1]:[DESEMBOLSO 8]])</f>
        <v>74981673</v>
      </c>
      <c r="BC35" s="55"/>
      <c r="BD35" s="47" t="s">
        <v>97</v>
      </c>
      <c r="BE35" s="12" t="b">
        <f>EXACT(Tabla43[[#This Row],[TOTAL APORTES ICBF]],Tabla43[[#This Row],[VALOR TOTAL]])</f>
        <v>1</v>
      </c>
      <c r="BF35" s="23">
        <f>SUM(Tabla43[[#This Row],[VALOR FASE PREPARATORIA DE ALISTAMIENTO]:[VALOR RACION PREPARADA]])-Tabla43[[#This Row],[VALOR TOTAL]]</f>
        <v>0</v>
      </c>
      <c r="BG35" s="12" t="b">
        <f>EXACT(Tabla43[[#This Row],[VALOR TOTAL]],Tabla43[[#This Row],[TOTAL DESEMBOLSOS]])</f>
        <v>1</v>
      </c>
      <c r="BH35" s="29">
        <f>Tabla43[[#This Row],[TOTAL DESEMBOLSOS]]-Tabla43[[#This Row],[VALOR TOTAL]]</f>
        <v>0</v>
      </c>
      <c r="BJ35" t="s">
        <v>3924</v>
      </c>
    </row>
    <row r="36" spans="1:62" hidden="1">
      <c r="A36" s="13">
        <v>1899</v>
      </c>
      <c r="B36" s="13"/>
      <c r="C36" s="12" t="s">
        <v>87</v>
      </c>
      <c r="D36" s="12" t="s">
        <v>579</v>
      </c>
      <c r="E36" s="12" t="s">
        <v>3919</v>
      </c>
      <c r="F36" s="12" t="s">
        <v>18</v>
      </c>
      <c r="G36" s="12" t="s">
        <v>90</v>
      </c>
      <c r="H36" s="12" t="s">
        <v>3929</v>
      </c>
      <c r="I36" s="12">
        <v>52841136874</v>
      </c>
      <c r="J36" s="12" t="s">
        <v>3930</v>
      </c>
      <c r="K36" s="12">
        <v>1</v>
      </c>
      <c r="L36" s="12">
        <v>16</v>
      </c>
      <c r="M36" s="12"/>
      <c r="N36" s="13">
        <v>1899</v>
      </c>
      <c r="O36" s="12" t="s">
        <v>93</v>
      </c>
      <c r="P36" s="12"/>
      <c r="Q36" s="12"/>
      <c r="R36" s="12" t="s">
        <v>94</v>
      </c>
      <c r="S36" s="12">
        <v>10</v>
      </c>
      <c r="T36" s="12" t="s">
        <v>3922</v>
      </c>
      <c r="U36" s="12" t="s">
        <v>3923</v>
      </c>
      <c r="V36" s="12">
        <f>VLOOKUP(Tabla43[[#This Row],[ZONA DEFINITIVO]],Hoja1!$A$1:$D$129,3,0)</f>
        <v>229952</v>
      </c>
      <c r="W36" s="12">
        <f>VLOOKUP(Tabla43[[#This Row],[ZONA DEFINITIVO]],Hoja1!$A$1:$D$129,2,0)</f>
        <v>18584</v>
      </c>
      <c r="X36" s="12">
        <f>VLOOKUP(Tabla43[[#This Row],[ZONA DEFINITIVO]],Hoja1!$A$1:$D$129,4,0)</f>
        <v>116825</v>
      </c>
      <c r="Y36" s="12" t="str">
        <f>+IF(Tabla43[[#This Row],[AGRUPACIONES]]=1,SUMIFS(Tabla43[UDS],Tabla43[ZONA DEFINITIVO],Tabla43[[#This Row],[ZONA DEFINITIVO]])," ")</f>
        <v xml:space="preserve"> </v>
      </c>
      <c r="Z36" s="12" t="str">
        <f>+IF(Tabla43[[#This Row],[AGRUPACIONES]]=1,SUMIFS(Tabla43[TOTAL COBERTURA],Tabla43[ZONA DEFINITIVO],Tabla43[[#This Row],[ZONA DEFINITIVO]])," ")</f>
        <v xml:space="preserve"> </v>
      </c>
      <c r="AA36" s="12"/>
      <c r="AB36" s="51">
        <v>30761712</v>
      </c>
      <c r="AC36" s="37">
        <v>0.02</v>
      </c>
      <c r="AD36" s="38">
        <f>Tabla43[[#This Row],[VALOR ATENCIÓN (7 MESES)]]*Tabla43[[#This Row],[% CONTRAPARTIDA]]</f>
        <v>615234.24</v>
      </c>
      <c r="AE36" s="12"/>
      <c r="AF36" s="12">
        <f>COUNTIF($A$22:A36,A36)</f>
        <v>4</v>
      </c>
      <c r="AG36" s="51">
        <v>30761712</v>
      </c>
      <c r="AH36" s="38">
        <f>Tabla43[[#This Row],[VALOR CONTRAPARTIDA]]+Tabla43[[#This Row],[TOTAL APORTES ICBF]]</f>
        <v>31376946.239999998</v>
      </c>
      <c r="AI36" s="35" t="str">
        <f>+IF(Tabla43[[#This Row],[AGRUPACIONES]]=1,SUMIFS(Tabla43[TOTAL APORTES ICBF],Tabla43[ZONA DEFINITIVO],Tabla43[[#This Row],[ZONA DEFINITIVO]])," ")</f>
        <v xml:space="preserve"> </v>
      </c>
      <c r="AJ36" s="38"/>
      <c r="AK36" s="38"/>
      <c r="AL36" s="23"/>
      <c r="AM36" s="35">
        <f>VLOOKUP(Tabla43[[#This Row],[SERVICIO 2025]],$J$2:$V$16,5,0)*Tabla43[[#This Row],[TOTAL COBERTURA]]</f>
        <v>790016</v>
      </c>
      <c r="AN36" s="35">
        <f>VLOOKUP(Tabla43[[#This Row],[SERVICIO 2025]],$J$2:$V$16,6,0)*Tabla43[[#This Row],[TOTAL COBERTURA]]</f>
        <v>656464</v>
      </c>
      <c r="AO36" s="35">
        <f>VLOOKUP(Tabla43[[#This Row],[SERVICIO 2025]],$J$2:$V$16,8,0)*Tabla43[[#This Row],[TOTAL COBERTURA]]</f>
        <v>465600</v>
      </c>
      <c r="AP36" s="35">
        <f>VLOOKUP(Tabla43[[#This Row],[SERVICIO 2025]],$J$2:$V$16,3,0)*Tabla43[[#This Row],[TOTAL COBERTURA]]*7</f>
        <v>28849632</v>
      </c>
      <c r="AQ36" s="35"/>
      <c r="AR3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36" s="35" t="str">
        <f>+IF(Tabla43[[#This Row],[AGRUPACIONES]]=1,SUMIFS(Tabla43[VALOR TOTAL],Tabla43[ZONA DEFINITIVO],Tabla43[[#This Row],[ZONA DEFINITIVO]])," ")</f>
        <v xml:space="preserve"> </v>
      </c>
      <c r="AT3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36" s="35">
        <f>VLOOKUP(Tabla43[[#This Row],[SERVICIO 2025]],$J$2:$V$16,3,0)*Tabla43[[#This Row],[TOTAL COBERTURA]]+Tabla43[[#This Row],[VALOR RACION PREPARADA]]/7</f>
        <v>4121376</v>
      </c>
      <c r="AV36" s="35">
        <f>VLOOKUP(Tabla43[[#This Row],[SERVICIO 2025]],$J$2:$V$16,3,0)*Tabla43[[#This Row],[TOTAL COBERTURA]]+Tabla43[[#This Row],[VALOR RACION PREPARADA]]/7</f>
        <v>4121376</v>
      </c>
      <c r="AW36" s="35">
        <f>VLOOKUP(Tabla43[[#This Row],[SERVICIO 2025]],$J$2:$V$16,3,0)*Tabla43[[#This Row],[TOTAL COBERTURA]]+Tabla43[[#This Row],[VALOR RACION PREPARADA]]/7</f>
        <v>4121376</v>
      </c>
      <c r="AX36" s="35">
        <f>VLOOKUP(Tabla43[[#This Row],[SERVICIO 2025]],$J$2:$V$16,3,0)*Tabla43[[#This Row],[TOTAL COBERTURA]]+Tabla43[[#This Row],[VALOR RACION PREPARADA]]/7</f>
        <v>4121376</v>
      </c>
      <c r="AY36" s="35">
        <f>VLOOKUP(Tabla43[[#This Row],[SERVICIO 2025]],$J$2:$V$16,3,0)*Tabla43[[#This Row],[TOTAL COBERTURA]]+Tabla43[[#This Row],[VALOR RACION PREPARADA]]/7</f>
        <v>4121376</v>
      </c>
      <c r="AZ36" s="35">
        <f>VLOOKUP(Tabla43[[#This Row],[SERVICIO 2025]],$J$2:$V$16,3,0)*Tabla43[[#This Row],[TOTAL COBERTURA]]+Tabla43[[#This Row],[VALOR RACION PREPARADA]]/7+Tabla43[[#This Row],[VALOR FASE PREPARATORIA DE CIERRE]]</f>
        <v>4777840</v>
      </c>
      <c r="BA36" s="35"/>
      <c r="BB36" s="35">
        <f>SUM(Tabla43[[#This Row],[DESEMBOLSO 1]:[DESEMBOLSO 8]])</f>
        <v>30761712</v>
      </c>
      <c r="BC36" s="55"/>
      <c r="BD36" s="47" t="s">
        <v>97</v>
      </c>
      <c r="BE36" s="12" t="b">
        <f>EXACT(Tabla43[[#This Row],[TOTAL APORTES ICBF]],Tabla43[[#This Row],[VALOR TOTAL]])</f>
        <v>1</v>
      </c>
      <c r="BF36" s="23">
        <f>SUM(Tabla43[[#This Row],[VALOR FASE PREPARATORIA DE ALISTAMIENTO]:[VALOR RACION PREPARADA]])-Tabla43[[#This Row],[VALOR TOTAL]]</f>
        <v>0</v>
      </c>
      <c r="BG36" s="12" t="b">
        <f>EXACT(Tabla43[[#This Row],[VALOR TOTAL]],Tabla43[[#This Row],[TOTAL DESEMBOLSOS]])</f>
        <v>1</v>
      </c>
      <c r="BH36" s="29">
        <f>Tabla43[[#This Row],[TOTAL DESEMBOLSOS]]-Tabla43[[#This Row],[VALOR TOTAL]]</f>
        <v>0</v>
      </c>
      <c r="BJ36" t="s">
        <v>3924</v>
      </c>
    </row>
    <row r="37" spans="1:62" hidden="1">
      <c r="A37" s="13">
        <v>1899</v>
      </c>
      <c r="B37" s="13"/>
      <c r="C37" s="12" t="s">
        <v>87</v>
      </c>
      <c r="D37" s="12" t="s">
        <v>579</v>
      </c>
      <c r="E37" s="12" t="s">
        <v>3919</v>
      </c>
      <c r="F37" s="12" t="s">
        <v>18</v>
      </c>
      <c r="G37" s="12" t="s">
        <v>90</v>
      </c>
      <c r="H37" s="12" t="s">
        <v>3380</v>
      </c>
      <c r="I37" s="12">
        <v>52841136878</v>
      </c>
      <c r="J37" s="12" t="s">
        <v>3931</v>
      </c>
      <c r="K37" s="12">
        <v>1</v>
      </c>
      <c r="L37" s="12">
        <v>16</v>
      </c>
      <c r="M37" s="12"/>
      <c r="N37" s="13">
        <v>1899</v>
      </c>
      <c r="O37" s="12" t="s">
        <v>93</v>
      </c>
      <c r="P37" s="12"/>
      <c r="Q37" s="12"/>
      <c r="R37" s="12" t="s">
        <v>94</v>
      </c>
      <c r="S37" s="12">
        <v>10</v>
      </c>
      <c r="T37" s="12" t="s">
        <v>3922</v>
      </c>
      <c r="U37" s="12" t="s">
        <v>3923</v>
      </c>
      <c r="V37" s="12">
        <f>VLOOKUP(Tabla43[[#This Row],[ZONA DEFINITIVO]],Hoja1!$A$1:$D$129,3,0)</f>
        <v>229952</v>
      </c>
      <c r="W37" s="12">
        <f>VLOOKUP(Tabla43[[#This Row],[ZONA DEFINITIVO]],Hoja1!$A$1:$D$129,2,0)</f>
        <v>18584</v>
      </c>
      <c r="X37" s="12">
        <f>VLOOKUP(Tabla43[[#This Row],[ZONA DEFINITIVO]],Hoja1!$A$1:$D$129,4,0)</f>
        <v>116825</v>
      </c>
      <c r="Y37" s="12" t="str">
        <f>+IF(Tabla43[[#This Row],[AGRUPACIONES]]=1,SUMIFS(Tabla43[UDS],Tabla43[ZONA DEFINITIVO],Tabla43[[#This Row],[ZONA DEFINITIVO]])," ")</f>
        <v xml:space="preserve"> </v>
      </c>
      <c r="Z37" s="12" t="str">
        <f>+IF(Tabla43[[#This Row],[AGRUPACIONES]]=1,SUMIFS(Tabla43[TOTAL COBERTURA],Tabla43[ZONA DEFINITIVO],Tabla43[[#This Row],[ZONA DEFINITIVO]])," ")</f>
        <v xml:space="preserve"> </v>
      </c>
      <c r="AA37" s="12"/>
      <c r="AB37" s="51">
        <v>30761712</v>
      </c>
      <c r="AC37" s="37">
        <v>0.02</v>
      </c>
      <c r="AD37" s="38">
        <f>Tabla43[[#This Row],[VALOR ATENCIÓN (7 MESES)]]*Tabla43[[#This Row],[% CONTRAPARTIDA]]</f>
        <v>615234.24</v>
      </c>
      <c r="AE37" s="12"/>
      <c r="AF37" s="12">
        <f>COUNTIF($A$22:A37,A37)</f>
        <v>5</v>
      </c>
      <c r="AG37" s="51">
        <v>30761712</v>
      </c>
      <c r="AH37" s="38">
        <f>Tabla43[[#This Row],[VALOR CONTRAPARTIDA]]+Tabla43[[#This Row],[TOTAL APORTES ICBF]]</f>
        <v>31376946.239999998</v>
      </c>
      <c r="AI37" s="35" t="str">
        <f>+IF(Tabla43[[#This Row],[AGRUPACIONES]]=1,SUMIFS(Tabla43[TOTAL APORTES ICBF],Tabla43[ZONA DEFINITIVO],Tabla43[[#This Row],[ZONA DEFINITIVO]])," ")</f>
        <v xml:space="preserve"> </v>
      </c>
      <c r="AJ37" s="38"/>
      <c r="AK37" s="38"/>
      <c r="AL37" s="23"/>
      <c r="AM37" s="35">
        <f>VLOOKUP(Tabla43[[#This Row],[SERVICIO 2025]],$J$2:$V$16,5,0)*Tabla43[[#This Row],[TOTAL COBERTURA]]</f>
        <v>790016</v>
      </c>
      <c r="AN37" s="35">
        <f>VLOOKUP(Tabla43[[#This Row],[SERVICIO 2025]],$J$2:$V$16,6,0)*Tabla43[[#This Row],[TOTAL COBERTURA]]</f>
        <v>656464</v>
      </c>
      <c r="AO37" s="35">
        <f>VLOOKUP(Tabla43[[#This Row],[SERVICIO 2025]],$J$2:$V$16,8,0)*Tabla43[[#This Row],[TOTAL COBERTURA]]</f>
        <v>465600</v>
      </c>
      <c r="AP37" s="35">
        <f>VLOOKUP(Tabla43[[#This Row],[SERVICIO 2025]],$J$2:$V$16,3,0)*Tabla43[[#This Row],[TOTAL COBERTURA]]*7</f>
        <v>28849632</v>
      </c>
      <c r="AQ37" s="35"/>
      <c r="AR3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37" s="35" t="str">
        <f>+IF(Tabla43[[#This Row],[AGRUPACIONES]]=1,SUMIFS(Tabla43[VALOR TOTAL],Tabla43[ZONA DEFINITIVO],Tabla43[[#This Row],[ZONA DEFINITIVO]])," ")</f>
        <v xml:space="preserve"> </v>
      </c>
      <c r="AT3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37" s="35">
        <f>VLOOKUP(Tabla43[[#This Row],[SERVICIO 2025]],$J$2:$V$16,3,0)*Tabla43[[#This Row],[TOTAL COBERTURA]]+Tabla43[[#This Row],[VALOR RACION PREPARADA]]/7</f>
        <v>4121376</v>
      </c>
      <c r="AV37" s="35">
        <f>VLOOKUP(Tabla43[[#This Row],[SERVICIO 2025]],$J$2:$V$16,3,0)*Tabla43[[#This Row],[TOTAL COBERTURA]]+Tabla43[[#This Row],[VALOR RACION PREPARADA]]/7</f>
        <v>4121376</v>
      </c>
      <c r="AW37" s="35">
        <f>VLOOKUP(Tabla43[[#This Row],[SERVICIO 2025]],$J$2:$V$16,3,0)*Tabla43[[#This Row],[TOTAL COBERTURA]]+Tabla43[[#This Row],[VALOR RACION PREPARADA]]/7</f>
        <v>4121376</v>
      </c>
      <c r="AX37" s="35">
        <f>VLOOKUP(Tabla43[[#This Row],[SERVICIO 2025]],$J$2:$V$16,3,0)*Tabla43[[#This Row],[TOTAL COBERTURA]]+Tabla43[[#This Row],[VALOR RACION PREPARADA]]/7</f>
        <v>4121376</v>
      </c>
      <c r="AY37" s="35">
        <f>VLOOKUP(Tabla43[[#This Row],[SERVICIO 2025]],$J$2:$V$16,3,0)*Tabla43[[#This Row],[TOTAL COBERTURA]]+Tabla43[[#This Row],[VALOR RACION PREPARADA]]/7</f>
        <v>4121376</v>
      </c>
      <c r="AZ37" s="35">
        <f>VLOOKUP(Tabla43[[#This Row],[SERVICIO 2025]],$J$2:$V$16,3,0)*Tabla43[[#This Row],[TOTAL COBERTURA]]+Tabla43[[#This Row],[VALOR RACION PREPARADA]]/7+Tabla43[[#This Row],[VALOR FASE PREPARATORIA DE CIERRE]]</f>
        <v>4777840</v>
      </c>
      <c r="BA37" s="35"/>
      <c r="BB37" s="35">
        <f>SUM(Tabla43[[#This Row],[DESEMBOLSO 1]:[DESEMBOLSO 8]])</f>
        <v>30761712</v>
      </c>
      <c r="BC37" s="55"/>
      <c r="BD37" s="47" t="s">
        <v>97</v>
      </c>
      <c r="BE37" s="12" t="b">
        <f>EXACT(Tabla43[[#This Row],[TOTAL APORTES ICBF]],Tabla43[[#This Row],[VALOR TOTAL]])</f>
        <v>1</v>
      </c>
      <c r="BF37" s="23">
        <f>SUM(Tabla43[[#This Row],[VALOR FASE PREPARATORIA DE ALISTAMIENTO]:[VALOR RACION PREPARADA]])-Tabla43[[#This Row],[VALOR TOTAL]]</f>
        <v>0</v>
      </c>
      <c r="BG37" s="12" t="b">
        <f>EXACT(Tabla43[[#This Row],[VALOR TOTAL]],Tabla43[[#This Row],[TOTAL DESEMBOLSOS]])</f>
        <v>1</v>
      </c>
      <c r="BH37" s="29">
        <f>Tabla43[[#This Row],[TOTAL DESEMBOLSOS]]-Tabla43[[#This Row],[VALOR TOTAL]]</f>
        <v>0</v>
      </c>
      <c r="BJ37" t="s">
        <v>3924</v>
      </c>
    </row>
    <row r="38" spans="1:62" hidden="1">
      <c r="A38" s="13">
        <v>1899</v>
      </c>
      <c r="B38" s="13"/>
      <c r="C38" s="12" t="s">
        <v>87</v>
      </c>
      <c r="D38" s="12" t="s">
        <v>579</v>
      </c>
      <c r="E38" s="12" t="s">
        <v>3919</v>
      </c>
      <c r="F38" s="12" t="s">
        <v>18</v>
      </c>
      <c r="G38" s="12" t="s">
        <v>90</v>
      </c>
      <c r="H38" s="12" t="s">
        <v>3932</v>
      </c>
      <c r="I38" s="12">
        <v>52841136879</v>
      </c>
      <c r="J38" s="12" t="s">
        <v>3933</v>
      </c>
      <c r="K38" s="12">
        <v>1</v>
      </c>
      <c r="L38" s="12">
        <v>12</v>
      </c>
      <c r="M38" s="12"/>
      <c r="N38" s="13">
        <v>1899</v>
      </c>
      <c r="O38" s="12" t="s">
        <v>93</v>
      </c>
      <c r="P38" s="12"/>
      <c r="Q38" s="12"/>
      <c r="R38" s="12" t="s">
        <v>94</v>
      </c>
      <c r="S38" s="12">
        <v>10</v>
      </c>
      <c r="T38" s="12" t="s">
        <v>3922</v>
      </c>
      <c r="U38" s="12" t="s">
        <v>3923</v>
      </c>
      <c r="V38" s="12">
        <f>VLOOKUP(Tabla43[[#This Row],[ZONA DEFINITIVO]],Hoja1!$A$1:$D$129,3,0)</f>
        <v>229952</v>
      </c>
      <c r="W38" s="12">
        <f>VLOOKUP(Tabla43[[#This Row],[ZONA DEFINITIVO]],Hoja1!$A$1:$D$129,2,0)</f>
        <v>18584</v>
      </c>
      <c r="X38" s="12">
        <f>VLOOKUP(Tabla43[[#This Row],[ZONA DEFINITIVO]],Hoja1!$A$1:$D$129,4,0)</f>
        <v>116825</v>
      </c>
      <c r="Y38" s="12" t="str">
        <f>+IF(Tabla43[[#This Row],[AGRUPACIONES]]=1,SUMIFS(Tabla43[UDS],Tabla43[ZONA DEFINITIVO],Tabla43[[#This Row],[ZONA DEFINITIVO]])," ")</f>
        <v xml:space="preserve"> </v>
      </c>
      <c r="Z38" s="12" t="str">
        <f>+IF(Tabla43[[#This Row],[AGRUPACIONES]]=1,SUMIFS(Tabla43[TOTAL COBERTURA],Tabla43[ZONA DEFINITIVO],Tabla43[[#This Row],[ZONA DEFINITIVO]])," ")</f>
        <v xml:space="preserve"> </v>
      </c>
      <c r="AA38" s="12"/>
      <c r="AB38" s="51">
        <v>23071284</v>
      </c>
      <c r="AC38" s="37">
        <v>0.02</v>
      </c>
      <c r="AD38" s="38">
        <f>Tabla43[[#This Row],[VALOR ATENCIÓN (7 MESES)]]*Tabla43[[#This Row],[% CONTRAPARTIDA]]</f>
        <v>461425.68</v>
      </c>
      <c r="AE38" s="12"/>
      <c r="AF38" s="12">
        <f>COUNTIF($A$22:A38,A38)</f>
        <v>6</v>
      </c>
      <c r="AG38" s="51">
        <v>23071284</v>
      </c>
      <c r="AH38" s="38">
        <f>Tabla43[[#This Row],[VALOR CONTRAPARTIDA]]+Tabla43[[#This Row],[TOTAL APORTES ICBF]]</f>
        <v>23532709.68</v>
      </c>
      <c r="AI38" s="35" t="str">
        <f>+IF(Tabla43[[#This Row],[AGRUPACIONES]]=1,SUMIFS(Tabla43[TOTAL APORTES ICBF],Tabla43[ZONA DEFINITIVO],Tabla43[[#This Row],[ZONA DEFINITIVO]])," ")</f>
        <v xml:space="preserve"> </v>
      </c>
      <c r="AJ38" s="38"/>
      <c r="AK38" s="38"/>
      <c r="AL38" s="23"/>
      <c r="AM38" s="35">
        <f>VLOOKUP(Tabla43[[#This Row],[SERVICIO 2025]],$J$2:$V$16,5,0)*Tabla43[[#This Row],[TOTAL COBERTURA]]</f>
        <v>592512</v>
      </c>
      <c r="AN38" s="35">
        <f>VLOOKUP(Tabla43[[#This Row],[SERVICIO 2025]],$J$2:$V$16,6,0)*Tabla43[[#This Row],[TOTAL COBERTURA]]</f>
        <v>492348</v>
      </c>
      <c r="AO38" s="35">
        <f>VLOOKUP(Tabla43[[#This Row],[SERVICIO 2025]],$J$2:$V$16,8,0)*Tabla43[[#This Row],[TOTAL COBERTURA]]</f>
        <v>349200</v>
      </c>
      <c r="AP38" s="35">
        <f>VLOOKUP(Tabla43[[#This Row],[SERVICIO 2025]],$J$2:$V$16,3,0)*Tabla43[[#This Row],[TOTAL COBERTURA]]*7</f>
        <v>21637224</v>
      </c>
      <c r="AQ38" s="35"/>
      <c r="AR3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23071284</v>
      </c>
      <c r="AS38" s="35" t="str">
        <f>+IF(Tabla43[[#This Row],[AGRUPACIONES]]=1,SUMIFS(Tabla43[VALOR TOTAL],Tabla43[ZONA DEFINITIVO],Tabla43[[#This Row],[ZONA DEFINITIVO]])," ")</f>
        <v xml:space="preserve"> </v>
      </c>
      <c r="AT3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4032744</v>
      </c>
      <c r="AU38" s="35">
        <f>VLOOKUP(Tabla43[[#This Row],[SERVICIO 2025]],$J$2:$V$16,3,0)*Tabla43[[#This Row],[TOTAL COBERTURA]]+Tabla43[[#This Row],[VALOR RACION PREPARADA]]/7</f>
        <v>3091032</v>
      </c>
      <c r="AV38" s="35">
        <f>VLOOKUP(Tabla43[[#This Row],[SERVICIO 2025]],$J$2:$V$16,3,0)*Tabla43[[#This Row],[TOTAL COBERTURA]]+Tabla43[[#This Row],[VALOR RACION PREPARADA]]/7</f>
        <v>3091032</v>
      </c>
      <c r="AW38" s="35">
        <f>VLOOKUP(Tabla43[[#This Row],[SERVICIO 2025]],$J$2:$V$16,3,0)*Tabla43[[#This Row],[TOTAL COBERTURA]]+Tabla43[[#This Row],[VALOR RACION PREPARADA]]/7</f>
        <v>3091032</v>
      </c>
      <c r="AX38" s="35">
        <f>VLOOKUP(Tabla43[[#This Row],[SERVICIO 2025]],$J$2:$V$16,3,0)*Tabla43[[#This Row],[TOTAL COBERTURA]]+Tabla43[[#This Row],[VALOR RACION PREPARADA]]/7</f>
        <v>3091032</v>
      </c>
      <c r="AY38" s="35">
        <f>VLOOKUP(Tabla43[[#This Row],[SERVICIO 2025]],$J$2:$V$16,3,0)*Tabla43[[#This Row],[TOTAL COBERTURA]]+Tabla43[[#This Row],[VALOR RACION PREPARADA]]/7</f>
        <v>3091032</v>
      </c>
      <c r="AZ38" s="35">
        <f>VLOOKUP(Tabla43[[#This Row],[SERVICIO 2025]],$J$2:$V$16,3,0)*Tabla43[[#This Row],[TOTAL COBERTURA]]+Tabla43[[#This Row],[VALOR RACION PREPARADA]]/7+Tabla43[[#This Row],[VALOR FASE PREPARATORIA DE CIERRE]]</f>
        <v>3583380</v>
      </c>
      <c r="BA38" s="35"/>
      <c r="BB38" s="35">
        <f>SUM(Tabla43[[#This Row],[DESEMBOLSO 1]:[DESEMBOLSO 8]])</f>
        <v>23071284</v>
      </c>
      <c r="BC38" s="55"/>
      <c r="BD38" s="47" t="s">
        <v>97</v>
      </c>
      <c r="BE38" s="12" t="b">
        <f>EXACT(Tabla43[[#This Row],[TOTAL APORTES ICBF]],Tabla43[[#This Row],[VALOR TOTAL]])</f>
        <v>1</v>
      </c>
      <c r="BF38" s="23">
        <f>SUM(Tabla43[[#This Row],[VALOR FASE PREPARATORIA DE ALISTAMIENTO]:[VALOR RACION PREPARADA]])-Tabla43[[#This Row],[VALOR TOTAL]]</f>
        <v>0</v>
      </c>
      <c r="BG38" s="12" t="b">
        <f>EXACT(Tabla43[[#This Row],[VALOR TOTAL]],Tabla43[[#This Row],[TOTAL DESEMBOLSOS]])</f>
        <v>1</v>
      </c>
      <c r="BH38" s="29">
        <f>Tabla43[[#This Row],[TOTAL DESEMBOLSOS]]-Tabla43[[#This Row],[VALOR TOTAL]]</f>
        <v>0</v>
      </c>
      <c r="BJ38" t="s">
        <v>3924</v>
      </c>
    </row>
    <row r="39" spans="1:62" hidden="1">
      <c r="A39" s="13">
        <v>1899</v>
      </c>
      <c r="B39" s="13"/>
      <c r="C39" s="12" t="s">
        <v>87</v>
      </c>
      <c r="D39" s="12" t="s">
        <v>579</v>
      </c>
      <c r="E39" s="12" t="s">
        <v>3919</v>
      </c>
      <c r="F39" s="12" t="s">
        <v>18</v>
      </c>
      <c r="G39" s="12" t="s">
        <v>90</v>
      </c>
      <c r="H39" s="12" t="s">
        <v>3934</v>
      </c>
      <c r="I39" s="12">
        <v>52841136880</v>
      </c>
      <c r="J39" s="12" t="s">
        <v>3935</v>
      </c>
      <c r="K39" s="12">
        <v>1</v>
      </c>
      <c r="L39" s="12">
        <v>23</v>
      </c>
      <c r="M39" s="12"/>
      <c r="N39" s="13">
        <v>1899</v>
      </c>
      <c r="O39" s="12" t="s">
        <v>93</v>
      </c>
      <c r="P39" s="12"/>
      <c r="Q39" s="12"/>
      <c r="R39" s="12" t="s">
        <v>94</v>
      </c>
      <c r="S39" s="12">
        <v>10</v>
      </c>
      <c r="T39" s="12" t="s">
        <v>3922</v>
      </c>
      <c r="U39" s="12" t="s">
        <v>3923</v>
      </c>
      <c r="V39" s="12">
        <f>VLOOKUP(Tabla43[[#This Row],[ZONA DEFINITIVO]],Hoja1!$A$1:$D$129,3,0)</f>
        <v>229952</v>
      </c>
      <c r="W39" s="12">
        <f>VLOOKUP(Tabla43[[#This Row],[ZONA DEFINITIVO]],Hoja1!$A$1:$D$129,2,0)</f>
        <v>18584</v>
      </c>
      <c r="X39" s="12">
        <f>VLOOKUP(Tabla43[[#This Row],[ZONA DEFINITIVO]],Hoja1!$A$1:$D$129,4,0)</f>
        <v>116825</v>
      </c>
      <c r="Y39" s="12" t="str">
        <f>+IF(Tabla43[[#This Row],[AGRUPACIONES]]=1,SUMIFS(Tabla43[UDS],Tabla43[ZONA DEFINITIVO],Tabla43[[#This Row],[ZONA DEFINITIVO]])," ")</f>
        <v xml:space="preserve"> </v>
      </c>
      <c r="Z39" s="12" t="str">
        <f>+IF(Tabla43[[#This Row],[AGRUPACIONES]]=1,SUMIFS(Tabla43[TOTAL COBERTURA],Tabla43[ZONA DEFINITIVO],Tabla43[[#This Row],[ZONA DEFINITIVO]])," ")</f>
        <v xml:space="preserve"> </v>
      </c>
      <c r="AA39" s="12"/>
      <c r="AB39" s="51">
        <v>44219961</v>
      </c>
      <c r="AC39" s="37">
        <v>0.02</v>
      </c>
      <c r="AD39" s="38">
        <f>Tabla43[[#This Row],[VALOR ATENCIÓN (7 MESES)]]*Tabla43[[#This Row],[% CONTRAPARTIDA]]</f>
        <v>884399.22</v>
      </c>
      <c r="AE39" s="12"/>
      <c r="AF39" s="12">
        <f>COUNTIF($A$22:A39,A39)</f>
        <v>7</v>
      </c>
      <c r="AG39" s="51">
        <v>44219961</v>
      </c>
      <c r="AH39" s="38">
        <f>Tabla43[[#This Row],[VALOR CONTRAPARTIDA]]+Tabla43[[#This Row],[TOTAL APORTES ICBF]]</f>
        <v>45104360.219999999</v>
      </c>
      <c r="AI39" s="35" t="str">
        <f>+IF(Tabla43[[#This Row],[AGRUPACIONES]]=1,SUMIFS(Tabla43[TOTAL APORTES ICBF],Tabla43[ZONA DEFINITIVO],Tabla43[[#This Row],[ZONA DEFINITIVO]])," ")</f>
        <v xml:space="preserve"> </v>
      </c>
      <c r="AJ39" s="38"/>
      <c r="AK39" s="38"/>
      <c r="AL39" s="23"/>
      <c r="AM39" s="35">
        <f>VLOOKUP(Tabla43[[#This Row],[SERVICIO 2025]],$J$2:$V$16,5,0)*Tabla43[[#This Row],[TOTAL COBERTURA]]</f>
        <v>1135648</v>
      </c>
      <c r="AN39" s="35">
        <f>VLOOKUP(Tabla43[[#This Row],[SERVICIO 2025]],$J$2:$V$16,6,0)*Tabla43[[#This Row],[TOTAL COBERTURA]]</f>
        <v>943667</v>
      </c>
      <c r="AO39" s="35">
        <f>VLOOKUP(Tabla43[[#This Row],[SERVICIO 2025]],$J$2:$V$16,8,0)*Tabla43[[#This Row],[TOTAL COBERTURA]]</f>
        <v>669300</v>
      </c>
      <c r="AP39" s="35">
        <f>VLOOKUP(Tabla43[[#This Row],[SERVICIO 2025]],$J$2:$V$16,3,0)*Tabla43[[#This Row],[TOTAL COBERTURA]]*7</f>
        <v>41471346</v>
      </c>
      <c r="AQ39" s="35"/>
      <c r="AR3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44219961</v>
      </c>
      <c r="AS39" s="35" t="str">
        <f>+IF(Tabla43[[#This Row],[AGRUPACIONES]]=1,SUMIFS(Tabla43[VALOR TOTAL],Tabla43[ZONA DEFINITIVO],Tabla43[[#This Row],[ZONA DEFINITIVO]])," ")</f>
        <v xml:space="preserve"> </v>
      </c>
      <c r="AT3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7729426</v>
      </c>
      <c r="AU39" s="35">
        <f>VLOOKUP(Tabla43[[#This Row],[SERVICIO 2025]],$J$2:$V$16,3,0)*Tabla43[[#This Row],[TOTAL COBERTURA]]+Tabla43[[#This Row],[VALOR RACION PREPARADA]]/7</f>
        <v>5924478</v>
      </c>
      <c r="AV39" s="35">
        <f>VLOOKUP(Tabla43[[#This Row],[SERVICIO 2025]],$J$2:$V$16,3,0)*Tabla43[[#This Row],[TOTAL COBERTURA]]+Tabla43[[#This Row],[VALOR RACION PREPARADA]]/7</f>
        <v>5924478</v>
      </c>
      <c r="AW39" s="35">
        <f>VLOOKUP(Tabla43[[#This Row],[SERVICIO 2025]],$J$2:$V$16,3,0)*Tabla43[[#This Row],[TOTAL COBERTURA]]+Tabla43[[#This Row],[VALOR RACION PREPARADA]]/7</f>
        <v>5924478</v>
      </c>
      <c r="AX39" s="35">
        <f>VLOOKUP(Tabla43[[#This Row],[SERVICIO 2025]],$J$2:$V$16,3,0)*Tabla43[[#This Row],[TOTAL COBERTURA]]+Tabla43[[#This Row],[VALOR RACION PREPARADA]]/7</f>
        <v>5924478</v>
      </c>
      <c r="AY39" s="35">
        <f>VLOOKUP(Tabla43[[#This Row],[SERVICIO 2025]],$J$2:$V$16,3,0)*Tabla43[[#This Row],[TOTAL COBERTURA]]+Tabla43[[#This Row],[VALOR RACION PREPARADA]]/7</f>
        <v>5924478</v>
      </c>
      <c r="AZ39" s="35">
        <f>VLOOKUP(Tabla43[[#This Row],[SERVICIO 2025]],$J$2:$V$16,3,0)*Tabla43[[#This Row],[TOTAL COBERTURA]]+Tabla43[[#This Row],[VALOR RACION PREPARADA]]/7+Tabla43[[#This Row],[VALOR FASE PREPARATORIA DE CIERRE]]</f>
        <v>6868145</v>
      </c>
      <c r="BA39" s="35"/>
      <c r="BB39" s="35">
        <f>SUM(Tabla43[[#This Row],[DESEMBOLSO 1]:[DESEMBOLSO 8]])</f>
        <v>44219961</v>
      </c>
      <c r="BC39" s="55"/>
      <c r="BD39" s="47" t="s">
        <v>97</v>
      </c>
      <c r="BE39" s="12" t="b">
        <f>EXACT(Tabla43[[#This Row],[TOTAL APORTES ICBF]],Tabla43[[#This Row],[VALOR TOTAL]])</f>
        <v>1</v>
      </c>
      <c r="BF39" s="23">
        <f>SUM(Tabla43[[#This Row],[VALOR FASE PREPARATORIA DE ALISTAMIENTO]:[VALOR RACION PREPARADA]])-Tabla43[[#This Row],[VALOR TOTAL]]</f>
        <v>0</v>
      </c>
      <c r="BG39" s="12" t="b">
        <f>EXACT(Tabla43[[#This Row],[VALOR TOTAL]],Tabla43[[#This Row],[TOTAL DESEMBOLSOS]])</f>
        <v>1</v>
      </c>
      <c r="BH39" s="29">
        <f>Tabla43[[#This Row],[TOTAL DESEMBOLSOS]]-Tabla43[[#This Row],[VALOR TOTAL]]</f>
        <v>0</v>
      </c>
      <c r="BJ39" t="s">
        <v>3924</v>
      </c>
    </row>
    <row r="40" spans="1:62" hidden="1">
      <c r="A40" s="13">
        <v>1899</v>
      </c>
      <c r="B40" s="13"/>
      <c r="C40" s="12" t="s">
        <v>87</v>
      </c>
      <c r="D40" s="12" t="s">
        <v>579</v>
      </c>
      <c r="E40" s="12" t="s">
        <v>3919</v>
      </c>
      <c r="F40" s="12" t="s">
        <v>18</v>
      </c>
      <c r="G40" s="12" t="s">
        <v>90</v>
      </c>
      <c r="H40" s="12" t="s">
        <v>3936</v>
      </c>
      <c r="I40" s="12">
        <v>52841136881</v>
      </c>
      <c r="J40" s="12" t="s">
        <v>3937</v>
      </c>
      <c r="K40" s="12">
        <v>1</v>
      </c>
      <c r="L40" s="12">
        <v>12</v>
      </c>
      <c r="M40" s="12"/>
      <c r="N40" s="13">
        <v>1899</v>
      </c>
      <c r="O40" s="12" t="s">
        <v>93</v>
      </c>
      <c r="P40" s="12"/>
      <c r="Q40" s="12"/>
      <c r="R40" s="12" t="s">
        <v>94</v>
      </c>
      <c r="S40" s="12">
        <v>10</v>
      </c>
      <c r="T40" s="12" t="s">
        <v>3922</v>
      </c>
      <c r="U40" s="12" t="s">
        <v>3923</v>
      </c>
      <c r="V40" s="12">
        <f>VLOOKUP(Tabla43[[#This Row],[ZONA DEFINITIVO]],Hoja1!$A$1:$D$129,3,0)</f>
        <v>229952</v>
      </c>
      <c r="W40" s="12">
        <f>VLOOKUP(Tabla43[[#This Row],[ZONA DEFINITIVO]],Hoja1!$A$1:$D$129,2,0)</f>
        <v>18584</v>
      </c>
      <c r="X40" s="12">
        <f>VLOOKUP(Tabla43[[#This Row],[ZONA DEFINITIVO]],Hoja1!$A$1:$D$129,4,0)</f>
        <v>116825</v>
      </c>
      <c r="Y40" s="12" t="str">
        <f>+IF(Tabla43[[#This Row],[AGRUPACIONES]]=1,SUMIFS(Tabla43[UDS],Tabla43[ZONA DEFINITIVO],Tabla43[[#This Row],[ZONA DEFINITIVO]])," ")</f>
        <v xml:space="preserve"> </v>
      </c>
      <c r="Z40" s="12" t="str">
        <f>+IF(Tabla43[[#This Row],[AGRUPACIONES]]=1,SUMIFS(Tabla43[TOTAL COBERTURA],Tabla43[ZONA DEFINITIVO],Tabla43[[#This Row],[ZONA DEFINITIVO]])," ")</f>
        <v xml:space="preserve"> </v>
      </c>
      <c r="AA40" s="12"/>
      <c r="AB40" s="51">
        <v>23071284</v>
      </c>
      <c r="AC40" s="37">
        <v>0.02</v>
      </c>
      <c r="AD40" s="38">
        <f>Tabla43[[#This Row],[VALOR ATENCIÓN (7 MESES)]]*Tabla43[[#This Row],[% CONTRAPARTIDA]]</f>
        <v>461425.68</v>
      </c>
      <c r="AE40" s="12"/>
      <c r="AF40" s="12">
        <f>COUNTIF($A$22:A40,A40)</f>
        <v>8</v>
      </c>
      <c r="AG40" s="51">
        <v>23071284</v>
      </c>
      <c r="AH40" s="38">
        <f>Tabla43[[#This Row],[VALOR CONTRAPARTIDA]]+Tabla43[[#This Row],[TOTAL APORTES ICBF]]</f>
        <v>23532709.68</v>
      </c>
      <c r="AI40" s="35" t="str">
        <f>+IF(Tabla43[[#This Row],[AGRUPACIONES]]=1,SUMIFS(Tabla43[TOTAL APORTES ICBF],Tabla43[ZONA DEFINITIVO],Tabla43[[#This Row],[ZONA DEFINITIVO]])," ")</f>
        <v xml:space="preserve"> </v>
      </c>
      <c r="AJ40" s="38"/>
      <c r="AK40" s="38"/>
      <c r="AL40" s="23"/>
      <c r="AM40" s="35">
        <f>VLOOKUP(Tabla43[[#This Row],[SERVICIO 2025]],$J$2:$V$16,5,0)*Tabla43[[#This Row],[TOTAL COBERTURA]]</f>
        <v>592512</v>
      </c>
      <c r="AN40" s="35">
        <f>VLOOKUP(Tabla43[[#This Row],[SERVICIO 2025]],$J$2:$V$16,6,0)*Tabla43[[#This Row],[TOTAL COBERTURA]]</f>
        <v>492348</v>
      </c>
      <c r="AO40" s="35">
        <f>VLOOKUP(Tabla43[[#This Row],[SERVICIO 2025]],$J$2:$V$16,8,0)*Tabla43[[#This Row],[TOTAL COBERTURA]]</f>
        <v>349200</v>
      </c>
      <c r="AP40" s="35">
        <f>VLOOKUP(Tabla43[[#This Row],[SERVICIO 2025]],$J$2:$V$16,3,0)*Tabla43[[#This Row],[TOTAL COBERTURA]]*7</f>
        <v>21637224</v>
      </c>
      <c r="AQ40" s="35"/>
      <c r="AR4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23071284</v>
      </c>
      <c r="AS40" s="35" t="str">
        <f>+IF(Tabla43[[#This Row],[AGRUPACIONES]]=1,SUMIFS(Tabla43[VALOR TOTAL],Tabla43[ZONA DEFINITIVO],Tabla43[[#This Row],[ZONA DEFINITIVO]])," ")</f>
        <v xml:space="preserve"> </v>
      </c>
      <c r="AT4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4032744</v>
      </c>
      <c r="AU40" s="35">
        <f>VLOOKUP(Tabla43[[#This Row],[SERVICIO 2025]],$J$2:$V$16,3,0)*Tabla43[[#This Row],[TOTAL COBERTURA]]+Tabla43[[#This Row],[VALOR RACION PREPARADA]]/7</f>
        <v>3091032</v>
      </c>
      <c r="AV40" s="35">
        <f>VLOOKUP(Tabla43[[#This Row],[SERVICIO 2025]],$J$2:$V$16,3,0)*Tabla43[[#This Row],[TOTAL COBERTURA]]+Tabla43[[#This Row],[VALOR RACION PREPARADA]]/7</f>
        <v>3091032</v>
      </c>
      <c r="AW40" s="35">
        <f>VLOOKUP(Tabla43[[#This Row],[SERVICIO 2025]],$J$2:$V$16,3,0)*Tabla43[[#This Row],[TOTAL COBERTURA]]+Tabla43[[#This Row],[VALOR RACION PREPARADA]]/7</f>
        <v>3091032</v>
      </c>
      <c r="AX40" s="35">
        <f>VLOOKUP(Tabla43[[#This Row],[SERVICIO 2025]],$J$2:$V$16,3,0)*Tabla43[[#This Row],[TOTAL COBERTURA]]+Tabla43[[#This Row],[VALOR RACION PREPARADA]]/7</f>
        <v>3091032</v>
      </c>
      <c r="AY40" s="35">
        <f>VLOOKUP(Tabla43[[#This Row],[SERVICIO 2025]],$J$2:$V$16,3,0)*Tabla43[[#This Row],[TOTAL COBERTURA]]+Tabla43[[#This Row],[VALOR RACION PREPARADA]]/7</f>
        <v>3091032</v>
      </c>
      <c r="AZ40" s="35">
        <f>VLOOKUP(Tabla43[[#This Row],[SERVICIO 2025]],$J$2:$V$16,3,0)*Tabla43[[#This Row],[TOTAL COBERTURA]]+Tabla43[[#This Row],[VALOR RACION PREPARADA]]/7+Tabla43[[#This Row],[VALOR FASE PREPARATORIA DE CIERRE]]</f>
        <v>3583380</v>
      </c>
      <c r="BA40" s="35"/>
      <c r="BB40" s="35">
        <f>SUM(Tabla43[[#This Row],[DESEMBOLSO 1]:[DESEMBOLSO 8]])</f>
        <v>23071284</v>
      </c>
      <c r="BC40" s="55"/>
      <c r="BD40" s="47" t="s">
        <v>97</v>
      </c>
      <c r="BE40" s="12" t="b">
        <f>EXACT(Tabla43[[#This Row],[TOTAL APORTES ICBF]],Tabla43[[#This Row],[VALOR TOTAL]])</f>
        <v>1</v>
      </c>
      <c r="BF40" s="23">
        <f>SUM(Tabla43[[#This Row],[VALOR FASE PREPARATORIA DE ALISTAMIENTO]:[VALOR RACION PREPARADA]])-Tabla43[[#This Row],[VALOR TOTAL]]</f>
        <v>0</v>
      </c>
      <c r="BG40" s="12" t="b">
        <f>EXACT(Tabla43[[#This Row],[VALOR TOTAL]],Tabla43[[#This Row],[TOTAL DESEMBOLSOS]])</f>
        <v>1</v>
      </c>
      <c r="BH40" s="29">
        <f>Tabla43[[#This Row],[TOTAL DESEMBOLSOS]]-Tabla43[[#This Row],[VALOR TOTAL]]</f>
        <v>0</v>
      </c>
      <c r="BJ40" t="s">
        <v>3924</v>
      </c>
    </row>
    <row r="41" spans="1:62" hidden="1">
      <c r="A41" s="13">
        <v>1899</v>
      </c>
      <c r="B41" s="13"/>
      <c r="C41" s="12" t="s">
        <v>87</v>
      </c>
      <c r="D41" s="12" t="s">
        <v>579</v>
      </c>
      <c r="E41" s="12" t="s">
        <v>3919</v>
      </c>
      <c r="F41" s="12" t="s">
        <v>18</v>
      </c>
      <c r="G41" s="12" t="s">
        <v>90</v>
      </c>
      <c r="H41" s="12" t="s">
        <v>3938</v>
      </c>
      <c r="I41" s="12">
        <v>52841136883</v>
      </c>
      <c r="J41" s="12" t="s">
        <v>3939</v>
      </c>
      <c r="K41" s="12">
        <v>1</v>
      </c>
      <c r="L41" s="12">
        <v>9</v>
      </c>
      <c r="M41" s="12"/>
      <c r="N41" s="13">
        <v>1899</v>
      </c>
      <c r="O41" s="12" t="s">
        <v>93</v>
      </c>
      <c r="P41" s="12"/>
      <c r="Q41" s="12"/>
      <c r="R41" s="12" t="s">
        <v>94</v>
      </c>
      <c r="S41" s="12">
        <v>10</v>
      </c>
      <c r="T41" s="12" t="s">
        <v>3922</v>
      </c>
      <c r="U41" s="12" t="s">
        <v>3923</v>
      </c>
      <c r="V41" s="12">
        <f>VLOOKUP(Tabla43[[#This Row],[ZONA DEFINITIVO]],Hoja1!$A$1:$D$129,3,0)</f>
        <v>229952</v>
      </c>
      <c r="W41" s="12">
        <f>VLOOKUP(Tabla43[[#This Row],[ZONA DEFINITIVO]],Hoja1!$A$1:$D$129,2,0)</f>
        <v>18584</v>
      </c>
      <c r="X41" s="12">
        <f>VLOOKUP(Tabla43[[#This Row],[ZONA DEFINITIVO]],Hoja1!$A$1:$D$129,4,0)</f>
        <v>116825</v>
      </c>
      <c r="Y41" s="12" t="str">
        <f>+IF(Tabla43[[#This Row],[AGRUPACIONES]]=1,SUMIFS(Tabla43[UDS],Tabla43[ZONA DEFINITIVO],Tabla43[[#This Row],[ZONA DEFINITIVO]])," ")</f>
        <v xml:space="preserve"> </v>
      </c>
      <c r="Z41" s="12" t="str">
        <f>+IF(Tabla43[[#This Row],[AGRUPACIONES]]=1,SUMIFS(Tabla43[TOTAL COBERTURA],Tabla43[ZONA DEFINITIVO],Tabla43[[#This Row],[ZONA DEFINITIVO]])," ")</f>
        <v xml:space="preserve"> </v>
      </c>
      <c r="AA41" s="12"/>
      <c r="AB41" s="51">
        <v>17303463</v>
      </c>
      <c r="AC41" s="37">
        <v>0.02</v>
      </c>
      <c r="AD41" s="38">
        <f>Tabla43[[#This Row],[VALOR ATENCIÓN (7 MESES)]]*Tabla43[[#This Row],[% CONTRAPARTIDA]]</f>
        <v>346069.26</v>
      </c>
      <c r="AE41" s="12"/>
      <c r="AF41" s="12">
        <f>COUNTIF($A$22:A41,A41)</f>
        <v>9</v>
      </c>
      <c r="AG41" s="51">
        <v>17303463</v>
      </c>
      <c r="AH41" s="38">
        <f>Tabla43[[#This Row],[VALOR CONTRAPARTIDA]]+Tabla43[[#This Row],[TOTAL APORTES ICBF]]</f>
        <v>17649532.260000002</v>
      </c>
      <c r="AI41" s="35" t="str">
        <f>+IF(Tabla43[[#This Row],[AGRUPACIONES]]=1,SUMIFS(Tabla43[TOTAL APORTES ICBF],Tabla43[ZONA DEFINITIVO],Tabla43[[#This Row],[ZONA DEFINITIVO]])," ")</f>
        <v xml:space="preserve"> </v>
      </c>
      <c r="AJ41" s="38"/>
      <c r="AK41" s="38"/>
      <c r="AL41" s="23"/>
      <c r="AM41" s="35">
        <f>VLOOKUP(Tabla43[[#This Row],[SERVICIO 2025]],$J$2:$V$16,5,0)*Tabla43[[#This Row],[TOTAL COBERTURA]]</f>
        <v>444384</v>
      </c>
      <c r="AN41" s="35">
        <f>VLOOKUP(Tabla43[[#This Row],[SERVICIO 2025]],$J$2:$V$16,6,0)*Tabla43[[#This Row],[TOTAL COBERTURA]]</f>
        <v>369261</v>
      </c>
      <c r="AO41" s="35">
        <f>VLOOKUP(Tabla43[[#This Row],[SERVICIO 2025]],$J$2:$V$16,8,0)*Tabla43[[#This Row],[TOTAL COBERTURA]]</f>
        <v>261900</v>
      </c>
      <c r="AP41" s="35">
        <f>VLOOKUP(Tabla43[[#This Row],[SERVICIO 2025]],$J$2:$V$16,3,0)*Tabla43[[#This Row],[TOTAL COBERTURA]]*7</f>
        <v>16227918</v>
      </c>
      <c r="AQ41" s="35"/>
      <c r="AR4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17303463</v>
      </c>
      <c r="AS41" s="35" t="str">
        <f>+IF(Tabla43[[#This Row],[AGRUPACIONES]]=1,SUMIFS(Tabla43[VALOR TOTAL],Tabla43[ZONA DEFINITIVO],Tabla43[[#This Row],[ZONA DEFINITIVO]])," ")</f>
        <v xml:space="preserve"> </v>
      </c>
      <c r="AT4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3024558</v>
      </c>
      <c r="AU41" s="35">
        <f>VLOOKUP(Tabla43[[#This Row],[SERVICIO 2025]],$J$2:$V$16,3,0)*Tabla43[[#This Row],[TOTAL COBERTURA]]+Tabla43[[#This Row],[VALOR RACION PREPARADA]]/7</f>
        <v>2318274</v>
      </c>
      <c r="AV41" s="35">
        <f>VLOOKUP(Tabla43[[#This Row],[SERVICIO 2025]],$J$2:$V$16,3,0)*Tabla43[[#This Row],[TOTAL COBERTURA]]+Tabla43[[#This Row],[VALOR RACION PREPARADA]]/7</f>
        <v>2318274</v>
      </c>
      <c r="AW41" s="35">
        <f>VLOOKUP(Tabla43[[#This Row],[SERVICIO 2025]],$J$2:$V$16,3,0)*Tabla43[[#This Row],[TOTAL COBERTURA]]+Tabla43[[#This Row],[VALOR RACION PREPARADA]]/7</f>
        <v>2318274</v>
      </c>
      <c r="AX41" s="35">
        <f>VLOOKUP(Tabla43[[#This Row],[SERVICIO 2025]],$J$2:$V$16,3,0)*Tabla43[[#This Row],[TOTAL COBERTURA]]+Tabla43[[#This Row],[VALOR RACION PREPARADA]]/7</f>
        <v>2318274</v>
      </c>
      <c r="AY41" s="35">
        <f>VLOOKUP(Tabla43[[#This Row],[SERVICIO 2025]],$J$2:$V$16,3,0)*Tabla43[[#This Row],[TOTAL COBERTURA]]+Tabla43[[#This Row],[VALOR RACION PREPARADA]]/7</f>
        <v>2318274</v>
      </c>
      <c r="AZ41" s="35">
        <f>VLOOKUP(Tabla43[[#This Row],[SERVICIO 2025]],$J$2:$V$16,3,0)*Tabla43[[#This Row],[TOTAL COBERTURA]]+Tabla43[[#This Row],[VALOR RACION PREPARADA]]/7+Tabla43[[#This Row],[VALOR FASE PREPARATORIA DE CIERRE]]</f>
        <v>2687535</v>
      </c>
      <c r="BA41" s="35"/>
      <c r="BB41" s="35">
        <f>SUM(Tabla43[[#This Row],[DESEMBOLSO 1]:[DESEMBOLSO 8]])</f>
        <v>17303463</v>
      </c>
      <c r="BC41" s="55"/>
      <c r="BD41" s="47" t="s">
        <v>97</v>
      </c>
      <c r="BE41" s="12" t="b">
        <f>EXACT(Tabla43[[#This Row],[TOTAL APORTES ICBF]],Tabla43[[#This Row],[VALOR TOTAL]])</f>
        <v>1</v>
      </c>
      <c r="BF41" s="23">
        <f>SUM(Tabla43[[#This Row],[VALOR FASE PREPARATORIA DE ALISTAMIENTO]:[VALOR RACION PREPARADA]])-Tabla43[[#This Row],[VALOR TOTAL]]</f>
        <v>0</v>
      </c>
      <c r="BG41" s="12" t="b">
        <f>EXACT(Tabla43[[#This Row],[VALOR TOTAL]],Tabla43[[#This Row],[TOTAL DESEMBOLSOS]])</f>
        <v>1</v>
      </c>
      <c r="BH41" s="29">
        <f>Tabla43[[#This Row],[TOTAL DESEMBOLSOS]]-Tabla43[[#This Row],[VALOR TOTAL]]</f>
        <v>0</v>
      </c>
      <c r="BJ41" t="s">
        <v>3924</v>
      </c>
    </row>
    <row r="42" spans="1:62" hidden="1">
      <c r="A42" s="13">
        <v>1899</v>
      </c>
      <c r="B42" s="13"/>
      <c r="C42" s="12" t="s">
        <v>87</v>
      </c>
      <c r="D42" s="12" t="s">
        <v>579</v>
      </c>
      <c r="E42" s="12" t="s">
        <v>3919</v>
      </c>
      <c r="F42" s="12" t="s">
        <v>18</v>
      </c>
      <c r="G42" s="12" t="s">
        <v>90</v>
      </c>
      <c r="H42" s="12" t="s">
        <v>3254</v>
      </c>
      <c r="I42" s="12">
        <v>52841136884</v>
      </c>
      <c r="J42" s="12" t="s">
        <v>3940</v>
      </c>
      <c r="K42" s="12">
        <v>1</v>
      </c>
      <c r="L42" s="12">
        <v>13</v>
      </c>
      <c r="M42" s="12"/>
      <c r="N42" s="13">
        <v>1899</v>
      </c>
      <c r="O42" s="12" t="s">
        <v>93</v>
      </c>
      <c r="P42" s="12"/>
      <c r="Q42" s="12"/>
      <c r="R42" s="12" t="s">
        <v>94</v>
      </c>
      <c r="S42" s="12">
        <v>10</v>
      </c>
      <c r="T42" s="12" t="s">
        <v>3922</v>
      </c>
      <c r="U42" s="12" t="s">
        <v>3923</v>
      </c>
      <c r="V42" s="12">
        <f>VLOOKUP(Tabla43[[#This Row],[ZONA DEFINITIVO]],Hoja1!$A$1:$D$129,3,0)</f>
        <v>229952</v>
      </c>
      <c r="W42" s="12">
        <f>VLOOKUP(Tabla43[[#This Row],[ZONA DEFINITIVO]],Hoja1!$A$1:$D$129,2,0)</f>
        <v>18584</v>
      </c>
      <c r="X42" s="12">
        <f>VLOOKUP(Tabla43[[#This Row],[ZONA DEFINITIVO]],Hoja1!$A$1:$D$129,4,0)</f>
        <v>116825</v>
      </c>
      <c r="Y42" s="12" t="str">
        <f>+IF(Tabla43[[#This Row],[AGRUPACIONES]]=1,SUMIFS(Tabla43[UDS],Tabla43[ZONA DEFINITIVO],Tabla43[[#This Row],[ZONA DEFINITIVO]])," ")</f>
        <v xml:space="preserve"> </v>
      </c>
      <c r="Z42" s="12" t="str">
        <f>+IF(Tabla43[[#This Row],[AGRUPACIONES]]=1,SUMIFS(Tabla43[TOTAL COBERTURA],Tabla43[ZONA DEFINITIVO],Tabla43[[#This Row],[ZONA DEFINITIVO]])," ")</f>
        <v xml:space="preserve"> </v>
      </c>
      <c r="AA42" s="12"/>
      <c r="AB42" s="51">
        <v>24993891</v>
      </c>
      <c r="AC42" s="37">
        <v>0.02</v>
      </c>
      <c r="AD42" s="38">
        <f>Tabla43[[#This Row],[VALOR ATENCIÓN (7 MESES)]]*Tabla43[[#This Row],[% CONTRAPARTIDA]]</f>
        <v>499877.82</v>
      </c>
      <c r="AE42" s="12"/>
      <c r="AF42" s="12">
        <f>COUNTIF($A$22:A42,A42)</f>
        <v>10</v>
      </c>
      <c r="AG42" s="51">
        <v>24993891</v>
      </c>
      <c r="AH42" s="38">
        <f>Tabla43[[#This Row],[VALOR CONTRAPARTIDA]]+Tabla43[[#This Row],[TOTAL APORTES ICBF]]</f>
        <v>25493768.82</v>
      </c>
      <c r="AI42" s="35" t="str">
        <f>+IF(Tabla43[[#This Row],[AGRUPACIONES]]=1,SUMIFS(Tabla43[TOTAL APORTES ICBF],Tabla43[ZONA DEFINITIVO],Tabla43[[#This Row],[ZONA DEFINITIVO]])," ")</f>
        <v xml:space="preserve"> </v>
      </c>
      <c r="AJ42" s="38"/>
      <c r="AK42" s="38"/>
      <c r="AL42" s="23"/>
      <c r="AM42" s="35">
        <f>VLOOKUP(Tabla43[[#This Row],[SERVICIO 2025]],$J$2:$V$16,5,0)*Tabla43[[#This Row],[TOTAL COBERTURA]]</f>
        <v>641888</v>
      </c>
      <c r="AN42" s="35">
        <f>VLOOKUP(Tabla43[[#This Row],[SERVICIO 2025]],$J$2:$V$16,6,0)*Tabla43[[#This Row],[TOTAL COBERTURA]]</f>
        <v>533377</v>
      </c>
      <c r="AO42" s="35">
        <f>VLOOKUP(Tabla43[[#This Row],[SERVICIO 2025]],$J$2:$V$16,8,0)*Tabla43[[#This Row],[TOTAL COBERTURA]]</f>
        <v>378300</v>
      </c>
      <c r="AP42" s="35">
        <f>VLOOKUP(Tabla43[[#This Row],[SERVICIO 2025]],$J$2:$V$16,3,0)*Tabla43[[#This Row],[TOTAL COBERTURA]]*7</f>
        <v>23440326</v>
      </c>
      <c r="AQ42" s="35"/>
      <c r="AR4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24993891</v>
      </c>
      <c r="AS42" s="35" t="str">
        <f>+IF(Tabla43[[#This Row],[AGRUPACIONES]]=1,SUMIFS(Tabla43[VALOR TOTAL],Tabla43[ZONA DEFINITIVO],Tabla43[[#This Row],[ZONA DEFINITIVO]])," ")</f>
        <v xml:space="preserve"> </v>
      </c>
      <c r="AT4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4368806</v>
      </c>
      <c r="AU42" s="35">
        <f>VLOOKUP(Tabla43[[#This Row],[SERVICIO 2025]],$J$2:$V$16,3,0)*Tabla43[[#This Row],[TOTAL COBERTURA]]+Tabla43[[#This Row],[VALOR RACION PREPARADA]]/7</f>
        <v>3348618</v>
      </c>
      <c r="AV42" s="35">
        <f>VLOOKUP(Tabla43[[#This Row],[SERVICIO 2025]],$J$2:$V$16,3,0)*Tabla43[[#This Row],[TOTAL COBERTURA]]+Tabla43[[#This Row],[VALOR RACION PREPARADA]]/7</f>
        <v>3348618</v>
      </c>
      <c r="AW42" s="35">
        <f>VLOOKUP(Tabla43[[#This Row],[SERVICIO 2025]],$J$2:$V$16,3,0)*Tabla43[[#This Row],[TOTAL COBERTURA]]+Tabla43[[#This Row],[VALOR RACION PREPARADA]]/7</f>
        <v>3348618</v>
      </c>
      <c r="AX42" s="35">
        <f>VLOOKUP(Tabla43[[#This Row],[SERVICIO 2025]],$J$2:$V$16,3,0)*Tabla43[[#This Row],[TOTAL COBERTURA]]+Tabla43[[#This Row],[VALOR RACION PREPARADA]]/7</f>
        <v>3348618</v>
      </c>
      <c r="AY42" s="35">
        <f>VLOOKUP(Tabla43[[#This Row],[SERVICIO 2025]],$J$2:$V$16,3,0)*Tabla43[[#This Row],[TOTAL COBERTURA]]+Tabla43[[#This Row],[VALOR RACION PREPARADA]]/7</f>
        <v>3348618</v>
      </c>
      <c r="AZ42" s="35">
        <f>VLOOKUP(Tabla43[[#This Row],[SERVICIO 2025]],$J$2:$V$16,3,0)*Tabla43[[#This Row],[TOTAL COBERTURA]]+Tabla43[[#This Row],[VALOR RACION PREPARADA]]/7+Tabla43[[#This Row],[VALOR FASE PREPARATORIA DE CIERRE]]</f>
        <v>3881995</v>
      </c>
      <c r="BA42" s="35"/>
      <c r="BB42" s="35">
        <f>SUM(Tabla43[[#This Row],[DESEMBOLSO 1]:[DESEMBOLSO 8]])</f>
        <v>24993891</v>
      </c>
      <c r="BC42" s="55"/>
      <c r="BD42" s="47" t="s">
        <v>97</v>
      </c>
      <c r="BE42" s="12" t="b">
        <f>EXACT(Tabla43[[#This Row],[TOTAL APORTES ICBF]],Tabla43[[#This Row],[VALOR TOTAL]])</f>
        <v>1</v>
      </c>
      <c r="BF42" s="23">
        <f>SUM(Tabla43[[#This Row],[VALOR FASE PREPARATORIA DE ALISTAMIENTO]:[VALOR RACION PREPARADA]])-Tabla43[[#This Row],[VALOR TOTAL]]</f>
        <v>0</v>
      </c>
      <c r="BG42" s="12" t="b">
        <f>EXACT(Tabla43[[#This Row],[VALOR TOTAL]],Tabla43[[#This Row],[TOTAL DESEMBOLSOS]])</f>
        <v>1</v>
      </c>
      <c r="BH42" s="29">
        <f>Tabla43[[#This Row],[TOTAL DESEMBOLSOS]]-Tabla43[[#This Row],[VALOR TOTAL]]</f>
        <v>0</v>
      </c>
      <c r="BJ42" t="s">
        <v>3924</v>
      </c>
    </row>
    <row r="43" spans="1:62" hidden="1">
      <c r="A43" s="13">
        <v>1899</v>
      </c>
      <c r="B43" s="13"/>
      <c r="C43" s="12" t="s">
        <v>87</v>
      </c>
      <c r="D43" s="12" t="s">
        <v>579</v>
      </c>
      <c r="E43" s="12" t="s">
        <v>3919</v>
      </c>
      <c r="F43" s="12" t="s">
        <v>18</v>
      </c>
      <c r="G43" s="12" t="s">
        <v>90</v>
      </c>
      <c r="H43" s="12" t="s">
        <v>3941</v>
      </c>
      <c r="I43" s="12">
        <v>52841136885</v>
      </c>
      <c r="J43" s="12" t="s">
        <v>3942</v>
      </c>
      <c r="K43" s="12">
        <v>1</v>
      </c>
      <c r="L43" s="12">
        <v>12</v>
      </c>
      <c r="M43" s="12"/>
      <c r="N43" s="13">
        <v>1899</v>
      </c>
      <c r="O43" s="12" t="s">
        <v>93</v>
      </c>
      <c r="P43" s="12"/>
      <c r="Q43" s="12"/>
      <c r="R43" s="12" t="s">
        <v>94</v>
      </c>
      <c r="S43" s="12">
        <v>10</v>
      </c>
      <c r="T43" s="12" t="s">
        <v>3922</v>
      </c>
      <c r="U43" s="12" t="s">
        <v>3923</v>
      </c>
      <c r="V43" s="12">
        <f>VLOOKUP(Tabla43[[#This Row],[ZONA DEFINITIVO]],Hoja1!$A$1:$D$129,3,0)</f>
        <v>229952</v>
      </c>
      <c r="W43" s="12">
        <f>VLOOKUP(Tabla43[[#This Row],[ZONA DEFINITIVO]],Hoja1!$A$1:$D$129,2,0)</f>
        <v>18584</v>
      </c>
      <c r="X43" s="12">
        <f>VLOOKUP(Tabla43[[#This Row],[ZONA DEFINITIVO]],Hoja1!$A$1:$D$129,4,0)</f>
        <v>116825</v>
      </c>
      <c r="Y43" s="12" t="str">
        <f>+IF(Tabla43[[#This Row],[AGRUPACIONES]]=1,SUMIFS(Tabla43[UDS],Tabla43[ZONA DEFINITIVO],Tabla43[[#This Row],[ZONA DEFINITIVO]])," ")</f>
        <v xml:space="preserve"> </v>
      </c>
      <c r="Z43" s="12" t="str">
        <f>+IF(Tabla43[[#This Row],[AGRUPACIONES]]=1,SUMIFS(Tabla43[TOTAL COBERTURA],Tabla43[ZONA DEFINITIVO],Tabla43[[#This Row],[ZONA DEFINITIVO]])," ")</f>
        <v xml:space="preserve"> </v>
      </c>
      <c r="AA43" s="12"/>
      <c r="AB43" s="51">
        <v>23071284</v>
      </c>
      <c r="AC43" s="37">
        <v>0.02</v>
      </c>
      <c r="AD43" s="38">
        <f>Tabla43[[#This Row],[VALOR ATENCIÓN (7 MESES)]]*Tabla43[[#This Row],[% CONTRAPARTIDA]]</f>
        <v>461425.68</v>
      </c>
      <c r="AE43" s="12"/>
      <c r="AF43" s="12">
        <f>COUNTIF($A$22:A43,A43)</f>
        <v>11</v>
      </c>
      <c r="AG43" s="51">
        <v>23071284</v>
      </c>
      <c r="AH43" s="38">
        <f>Tabla43[[#This Row],[VALOR CONTRAPARTIDA]]+Tabla43[[#This Row],[TOTAL APORTES ICBF]]</f>
        <v>23532709.68</v>
      </c>
      <c r="AI43" s="35" t="str">
        <f>+IF(Tabla43[[#This Row],[AGRUPACIONES]]=1,SUMIFS(Tabla43[TOTAL APORTES ICBF],Tabla43[ZONA DEFINITIVO],Tabla43[[#This Row],[ZONA DEFINITIVO]])," ")</f>
        <v xml:space="preserve"> </v>
      </c>
      <c r="AJ43" s="38"/>
      <c r="AK43" s="38"/>
      <c r="AL43" s="23"/>
      <c r="AM43" s="35">
        <f>VLOOKUP(Tabla43[[#This Row],[SERVICIO 2025]],$J$2:$V$16,5,0)*Tabla43[[#This Row],[TOTAL COBERTURA]]</f>
        <v>592512</v>
      </c>
      <c r="AN43" s="35">
        <f>VLOOKUP(Tabla43[[#This Row],[SERVICIO 2025]],$J$2:$V$16,6,0)*Tabla43[[#This Row],[TOTAL COBERTURA]]</f>
        <v>492348</v>
      </c>
      <c r="AO43" s="35">
        <f>VLOOKUP(Tabla43[[#This Row],[SERVICIO 2025]],$J$2:$V$16,8,0)*Tabla43[[#This Row],[TOTAL COBERTURA]]</f>
        <v>349200</v>
      </c>
      <c r="AP43" s="35">
        <f>VLOOKUP(Tabla43[[#This Row],[SERVICIO 2025]],$J$2:$V$16,3,0)*Tabla43[[#This Row],[TOTAL COBERTURA]]*7</f>
        <v>21637224</v>
      </c>
      <c r="AQ43" s="35"/>
      <c r="AR4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23071284</v>
      </c>
      <c r="AS43" s="35" t="str">
        <f>+IF(Tabla43[[#This Row],[AGRUPACIONES]]=1,SUMIFS(Tabla43[VALOR TOTAL],Tabla43[ZONA DEFINITIVO],Tabla43[[#This Row],[ZONA DEFINITIVO]])," ")</f>
        <v xml:space="preserve"> </v>
      </c>
      <c r="AT4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4032744</v>
      </c>
      <c r="AU43" s="35">
        <f>VLOOKUP(Tabla43[[#This Row],[SERVICIO 2025]],$J$2:$V$16,3,0)*Tabla43[[#This Row],[TOTAL COBERTURA]]+Tabla43[[#This Row],[VALOR RACION PREPARADA]]/7</f>
        <v>3091032</v>
      </c>
      <c r="AV43" s="35">
        <f>VLOOKUP(Tabla43[[#This Row],[SERVICIO 2025]],$J$2:$V$16,3,0)*Tabla43[[#This Row],[TOTAL COBERTURA]]+Tabla43[[#This Row],[VALOR RACION PREPARADA]]/7</f>
        <v>3091032</v>
      </c>
      <c r="AW43" s="35">
        <f>VLOOKUP(Tabla43[[#This Row],[SERVICIO 2025]],$J$2:$V$16,3,0)*Tabla43[[#This Row],[TOTAL COBERTURA]]+Tabla43[[#This Row],[VALOR RACION PREPARADA]]/7</f>
        <v>3091032</v>
      </c>
      <c r="AX43" s="35">
        <f>VLOOKUP(Tabla43[[#This Row],[SERVICIO 2025]],$J$2:$V$16,3,0)*Tabla43[[#This Row],[TOTAL COBERTURA]]+Tabla43[[#This Row],[VALOR RACION PREPARADA]]/7</f>
        <v>3091032</v>
      </c>
      <c r="AY43" s="35">
        <f>VLOOKUP(Tabla43[[#This Row],[SERVICIO 2025]],$J$2:$V$16,3,0)*Tabla43[[#This Row],[TOTAL COBERTURA]]+Tabla43[[#This Row],[VALOR RACION PREPARADA]]/7</f>
        <v>3091032</v>
      </c>
      <c r="AZ43" s="35">
        <f>VLOOKUP(Tabla43[[#This Row],[SERVICIO 2025]],$J$2:$V$16,3,0)*Tabla43[[#This Row],[TOTAL COBERTURA]]+Tabla43[[#This Row],[VALOR RACION PREPARADA]]/7+Tabla43[[#This Row],[VALOR FASE PREPARATORIA DE CIERRE]]</f>
        <v>3583380</v>
      </c>
      <c r="BA43" s="35"/>
      <c r="BB43" s="35">
        <f>SUM(Tabla43[[#This Row],[DESEMBOLSO 1]:[DESEMBOLSO 8]])</f>
        <v>23071284</v>
      </c>
      <c r="BC43" s="55"/>
      <c r="BD43" s="47" t="s">
        <v>97</v>
      </c>
      <c r="BE43" s="12" t="b">
        <f>EXACT(Tabla43[[#This Row],[TOTAL APORTES ICBF]],Tabla43[[#This Row],[VALOR TOTAL]])</f>
        <v>1</v>
      </c>
      <c r="BF43" s="23">
        <f>SUM(Tabla43[[#This Row],[VALOR FASE PREPARATORIA DE ALISTAMIENTO]:[VALOR RACION PREPARADA]])-Tabla43[[#This Row],[VALOR TOTAL]]</f>
        <v>0</v>
      </c>
      <c r="BG43" s="12" t="b">
        <f>EXACT(Tabla43[[#This Row],[VALOR TOTAL]],Tabla43[[#This Row],[TOTAL DESEMBOLSOS]])</f>
        <v>1</v>
      </c>
      <c r="BH43" s="29">
        <f>Tabla43[[#This Row],[TOTAL DESEMBOLSOS]]-Tabla43[[#This Row],[VALOR TOTAL]]</f>
        <v>0</v>
      </c>
      <c r="BJ43" t="s">
        <v>3924</v>
      </c>
    </row>
    <row r="44" spans="1:62" hidden="1">
      <c r="A44" s="13">
        <v>1899</v>
      </c>
      <c r="B44" s="13"/>
      <c r="C44" s="12" t="s">
        <v>87</v>
      </c>
      <c r="D44" s="12" t="s">
        <v>579</v>
      </c>
      <c r="E44" s="12" t="s">
        <v>3919</v>
      </c>
      <c r="F44" s="12" t="s">
        <v>18</v>
      </c>
      <c r="G44" s="12" t="s">
        <v>90</v>
      </c>
      <c r="H44" s="12" t="s">
        <v>925</v>
      </c>
      <c r="I44" s="12">
        <v>52841136886</v>
      </c>
      <c r="J44" s="12" t="s">
        <v>3943</v>
      </c>
      <c r="K44" s="12">
        <v>1</v>
      </c>
      <c r="L44" s="12">
        <v>11</v>
      </c>
      <c r="M44" s="12"/>
      <c r="N44" s="13">
        <v>1899</v>
      </c>
      <c r="O44" s="12" t="s">
        <v>93</v>
      </c>
      <c r="P44" s="12"/>
      <c r="Q44" s="12"/>
      <c r="R44" s="12" t="s">
        <v>94</v>
      </c>
      <c r="S44" s="12">
        <v>10</v>
      </c>
      <c r="T44" s="12" t="s">
        <v>3922</v>
      </c>
      <c r="U44" s="12" t="s">
        <v>3923</v>
      </c>
      <c r="V44" s="12">
        <f>VLOOKUP(Tabla43[[#This Row],[ZONA DEFINITIVO]],Hoja1!$A$1:$D$129,3,0)</f>
        <v>229952</v>
      </c>
      <c r="W44" s="12">
        <f>VLOOKUP(Tabla43[[#This Row],[ZONA DEFINITIVO]],Hoja1!$A$1:$D$129,2,0)</f>
        <v>18584</v>
      </c>
      <c r="X44" s="12">
        <f>VLOOKUP(Tabla43[[#This Row],[ZONA DEFINITIVO]],Hoja1!$A$1:$D$129,4,0)</f>
        <v>116825</v>
      </c>
      <c r="Y44" s="12" t="str">
        <f>+IF(Tabla43[[#This Row],[AGRUPACIONES]]=1,SUMIFS(Tabla43[UDS],Tabla43[ZONA DEFINITIVO],Tabla43[[#This Row],[ZONA DEFINITIVO]])," ")</f>
        <v xml:space="preserve"> </v>
      </c>
      <c r="Z44" s="12" t="str">
        <f>+IF(Tabla43[[#This Row],[AGRUPACIONES]]=1,SUMIFS(Tabla43[TOTAL COBERTURA],Tabla43[ZONA DEFINITIVO],Tabla43[[#This Row],[ZONA DEFINITIVO]])," ")</f>
        <v xml:space="preserve"> </v>
      </c>
      <c r="AA44" s="12"/>
      <c r="AB44" s="51">
        <v>21148677</v>
      </c>
      <c r="AC44" s="37">
        <v>0.02</v>
      </c>
      <c r="AD44" s="38">
        <f>Tabla43[[#This Row],[VALOR ATENCIÓN (7 MESES)]]*Tabla43[[#This Row],[% CONTRAPARTIDA]]</f>
        <v>422973.54000000004</v>
      </c>
      <c r="AE44" s="12"/>
      <c r="AF44" s="12">
        <f>COUNTIF($A$22:A44,A44)</f>
        <v>12</v>
      </c>
      <c r="AG44" s="51">
        <v>21148677</v>
      </c>
      <c r="AH44" s="38">
        <f>Tabla43[[#This Row],[VALOR CONTRAPARTIDA]]+Tabla43[[#This Row],[TOTAL APORTES ICBF]]</f>
        <v>21571650.539999999</v>
      </c>
      <c r="AI44" s="35" t="str">
        <f>+IF(Tabla43[[#This Row],[AGRUPACIONES]]=1,SUMIFS(Tabla43[TOTAL APORTES ICBF],Tabla43[ZONA DEFINITIVO],Tabla43[[#This Row],[ZONA DEFINITIVO]])," ")</f>
        <v xml:space="preserve"> </v>
      </c>
      <c r="AJ44" s="38"/>
      <c r="AK44" s="38"/>
      <c r="AL44" s="23"/>
      <c r="AM44" s="35">
        <f>VLOOKUP(Tabla43[[#This Row],[SERVICIO 2025]],$J$2:$V$16,5,0)*Tabla43[[#This Row],[TOTAL COBERTURA]]</f>
        <v>543136</v>
      </c>
      <c r="AN44" s="35">
        <f>VLOOKUP(Tabla43[[#This Row],[SERVICIO 2025]],$J$2:$V$16,6,0)*Tabla43[[#This Row],[TOTAL COBERTURA]]</f>
        <v>451319</v>
      </c>
      <c r="AO44" s="35">
        <f>VLOOKUP(Tabla43[[#This Row],[SERVICIO 2025]],$J$2:$V$16,8,0)*Tabla43[[#This Row],[TOTAL COBERTURA]]</f>
        <v>320100</v>
      </c>
      <c r="AP44" s="35">
        <f>VLOOKUP(Tabla43[[#This Row],[SERVICIO 2025]],$J$2:$V$16,3,0)*Tabla43[[#This Row],[TOTAL COBERTURA]]*7</f>
        <v>19834122</v>
      </c>
      <c r="AQ44" s="35"/>
      <c r="AR4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21148677</v>
      </c>
      <c r="AS44" s="35" t="str">
        <f>+IF(Tabla43[[#This Row],[AGRUPACIONES]]=1,SUMIFS(Tabla43[VALOR TOTAL],Tabla43[ZONA DEFINITIVO],Tabla43[[#This Row],[ZONA DEFINITIVO]])," ")</f>
        <v xml:space="preserve"> </v>
      </c>
      <c r="AT4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3696682</v>
      </c>
      <c r="AU44" s="35">
        <f>VLOOKUP(Tabla43[[#This Row],[SERVICIO 2025]],$J$2:$V$16,3,0)*Tabla43[[#This Row],[TOTAL COBERTURA]]+Tabla43[[#This Row],[VALOR RACION PREPARADA]]/7</f>
        <v>2833446</v>
      </c>
      <c r="AV44" s="35">
        <f>VLOOKUP(Tabla43[[#This Row],[SERVICIO 2025]],$J$2:$V$16,3,0)*Tabla43[[#This Row],[TOTAL COBERTURA]]+Tabla43[[#This Row],[VALOR RACION PREPARADA]]/7</f>
        <v>2833446</v>
      </c>
      <c r="AW44" s="35">
        <f>VLOOKUP(Tabla43[[#This Row],[SERVICIO 2025]],$J$2:$V$16,3,0)*Tabla43[[#This Row],[TOTAL COBERTURA]]+Tabla43[[#This Row],[VALOR RACION PREPARADA]]/7</f>
        <v>2833446</v>
      </c>
      <c r="AX44" s="35">
        <f>VLOOKUP(Tabla43[[#This Row],[SERVICIO 2025]],$J$2:$V$16,3,0)*Tabla43[[#This Row],[TOTAL COBERTURA]]+Tabla43[[#This Row],[VALOR RACION PREPARADA]]/7</f>
        <v>2833446</v>
      </c>
      <c r="AY44" s="35">
        <f>VLOOKUP(Tabla43[[#This Row],[SERVICIO 2025]],$J$2:$V$16,3,0)*Tabla43[[#This Row],[TOTAL COBERTURA]]+Tabla43[[#This Row],[VALOR RACION PREPARADA]]/7</f>
        <v>2833446</v>
      </c>
      <c r="AZ44" s="35">
        <f>VLOOKUP(Tabla43[[#This Row],[SERVICIO 2025]],$J$2:$V$16,3,0)*Tabla43[[#This Row],[TOTAL COBERTURA]]+Tabla43[[#This Row],[VALOR RACION PREPARADA]]/7+Tabla43[[#This Row],[VALOR FASE PREPARATORIA DE CIERRE]]</f>
        <v>3284765</v>
      </c>
      <c r="BA44" s="35"/>
      <c r="BB44" s="35">
        <f>SUM(Tabla43[[#This Row],[DESEMBOLSO 1]:[DESEMBOLSO 8]])</f>
        <v>21148677</v>
      </c>
      <c r="BC44" s="55"/>
      <c r="BD44" s="47" t="s">
        <v>97</v>
      </c>
      <c r="BE44" s="12" t="b">
        <f>EXACT(Tabla43[[#This Row],[TOTAL APORTES ICBF]],Tabla43[[#This Row],[VALOR TOTAL]])</f>
        <v>1</v>
      </c>
      <c r="BF44" s="23">
        <f>SUM(Tabla43[[#This Row],[VALOR FASE PREPARATORIA DE ALISTAMIENTO]:[VALOR RACION PREPARADA]])-Tabla43[[#This Row],[VALOR TOTAL]]</f>
        <v>0</v>
      </c>
      <c r="BG44" s="12" t="b">
        <f>EXACT(Tabla43[[#This Row],[VALOR TOTAL]],Tabla43[[#This Row],[TOTAL DESEMBOLSOS]])</f>
        <v>1</v>
      </c>
      <c r="BH44" s="29">
        <f>Tabla43[[#This Row],[TOTAL DESEMBOLSOS]]-Tabla43[[#This Row],[VALOR TOTAL]]</f>
        <v>0</v>
      </c>
      <c r="BJ44" t="s">
        <v>3924</v>
      </c>
    </row>
    <row r="45" spans="1:62" hidden="1">
      <c r="A45" s="13">
        <v>1899</v>
      </c>
      <c r="B45" s="13"/>
      <c r="C45" s="12" t="s">
        <v>87</v>
      </c>
      <c r="D45" s="12" t="s">
        <v>579</v>
      </c>
      <c r="E45" s="12" t="s">
        <v>3919</v>
      </c>
      <c r="F45" s="12" t="s">
        <v>18</v>
      </c>
      <c r="G45" s="12" t="s">
        <v>90</v>
      </c>
      <c r="H45" s="12" t="s">
        <v>1305</v>
      </c>
      <c r="I45" s="12">
        <v>52841136887</v>
      </c>
      <c r="J45" s="12" t="s">
        <v>3944</v>
      </c>
      <c r="K45" s="12">
        <v>1</v>
      </c>
      <c r="L45" s="12">
        <v>17</v>
      </c>
      <c r="M45" s="12"/>
      <c r="N45" s="13">
        <v>1899</v>
      </c>
      <c r="O45" s="12" t="s">
        <v>93</v>
      </c>
      <c r="P45" s="12"/>
      <c r="Q45" s="12"/>
      <c r="R45" s="12" t="s">
        <v>94</v>
      </c>
      <c r="S45" s="12">
        <v>10</v>
      </c>
      <c r="T45" s="12" t="s">
        <v>3922</v>
      </c>
      <c r="U45" s="12" t="s">
        <v>3923</v>
      </c>
      <c r="V45" s="12">
        <f>VLOOKUP(Tabla43[[#This Row],[ZONA DEFINITIVO]],Hoja1!$A$1:$D$129,3,0)</f>
        <v>229952</v>
      </c>
      <c r="W45" s="12">
        <f>VLOOKUP(Tabla43[[#This Row],[ZONA DEFINITIVO]],Hoja1!$A$1:$D$129,2,0)</f>
        <v>18584</v>
      </c>
      <c r="X45" s="12">
        <f>VLOOKUP(Tabla43[[#This Row],[ZONA DEFINITIVO]],Hoja1!$A$1:$D$129,4,0)</f>
        <v>116825</v>
      </c>
      <c r="Y45" s="12" t="str">
        <f>+IF(Tabla43[[#This Row],[AGRUPACIONES]]=1,SUMIFS(Tabla43[UDS],Tabla43[ZONA DEFINITIVO],Tabla43[[#This Row],[ZONA DEFINITIVO]])," ")</f>
        <v xml:space="preserve"> </v>
      </c>
      <c r="Z45" s="12" t="str">
        <f>+IF(Tabla43[[#This Row],[AGRUPACIONES]]=1,SUMIFS(Tabla43[TOTAL COBERTURA],Tabla43[ZONA DEFINITIVO],Tabla43[[#This Row],[ZONA DEFINITIVO]])," ")</f>
        <v xml:space="preserve"> </v>
      </c>
      <c r="AA45" s="12"/>
      <c r="AB45" s="51">
        <v>32684319</v>
      </c>
      <c r="AC45" s="37">
        <v>0.02</v>
      </c>
      <c r="AD45" s="38">
        <f>Tabla43[[#This Row],[VALOR ATENCIÓN (7 MESES)]]*Tabla43[[#This Row],[% CONTRAPARTIDA]]</f>
        <v>653686.38</v>
      </c>
      <c r="AE45" s="12"/>
      <c r="AF45" s="12">
        <f>COUNTIF($A$22:A45,A45)</f>
        <v>13</v>
      </c>
      <c r="AG45" s="51">
        <v>32684319</v>
      </c>
      <c r="AH45" s="38">
        <f>Tabla43[[#This Row],[VALOR CONTRAPARTIDA]]+Tabla43[[#This Row],[TOTAL APORTES ICBF]]</f>
        <v>33338005.379999999</v>
      </c>
      <c r="AI45" s="35" t="str">
        <f>+IF(Tabla43[[#This Row],[AGRUPACIONES]]=1,SUMIFS(Tabla43[TOTAL APORTES ICBF],Tabla43[ZONA DEFINITIVO],Tabla43[[#This Row],[ZONA DEFINITIVO]])," ")</f>
        <v xml:space="preserve"> </v>
      </c>
      <c r="AJ45" s="38"/>
      <c r="AK45" s="38"/>
      <c r="AL45" s="23"/>
      <c r="AM45" s="35">
        <f>VLOOKUP(Tabla43[[#This Row],[SERVICIO 2025]],$J$2:$V$16,5,0)*Tabla43[[#This Row],[TOTAL COBERTURA]]</f>
        <v>839392</v>
      </c>
      <c r="AN45" s="35">
        <f>VLOOKUP(Tabla43[[#This Row],[SERVICIO 2025]],$J$2:$V$16,6,0)*Tabla43[[#This Row],[TOTAL COBERTURA]]</f>
        <v>697493</v>
      </c>
      <c r="AO45" s="35">
        <f>VLOOKUP(Tabla43[[#This Row],[SERVICIO 2025]],$J$2:$V$16,8,0)*Tabla43[[#This Row],[TOTAL COBERTURA]]</f>
        <v>494700</v>
      </c>
      <c r="AP45" s="35">
        <f>VLOOKUP(Tabla43[[#This Row],[SERVICIO 2025]],$J$2:$V$16,3,0)*Tabla43[[#This Row],[TOTAL COBERTURA]]*7</f>
        <v>30652734</v>
      </c>
      <c r="AQ45" s="35"/>
      <c r="AR4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32684319</v>
      </c>
      <c r="AS45" s="35" t="str">
        <f>+IF(Tabla43[[#This Row],[AGRUPACIONES]]=1,SUMIFS(Tabla43[VALOR TOTAL],Tabla43[ZONA DEFINITIVO],Tabla43[[#This Row],[ZONA DEFINITIVO]])," ")</f>
        <v xml:space="preserve"> </v>
      </c>
      <c r="AT4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5713054</v>
      </c>
      <c r="AU45" s="35">
        <f>VLOOKUP(Tabla43[[#This Row],[SERVICIO 2025]],$J$2:$V$16,3,0)*Tabla43[[#This Row],[TOTAL COBERTURA]]+Tabla43[[#This Row],[VALOR RACION PREPARADA]]/7</f>
        <v>4378962</v>
      </c>
      <c r="AV45" s="35">
        <f>VLOOKUP(Tabla43[[#This Row],[SERVICIO 2025]],$J$2:$V$16,3,0)*Tabla43[[#This Row],[TOTAL COBERTURA]]+Tabla43[[#This Row],[VALOR RACION PREPARADA]]/7</f>
        <v>4378962</v>
      </c>
      <c r="AW45" s="35">
        <f>VLOOKUP(Tabla43[[#This Row],[SERVICIO 2025]],$J$2:$V$16,3,0)*Tabla43[[#This Row],[TOTAL COBERTURA]]+Tabla43[[#This Row],[VALOR RACION PREPARADA]]/7</f>
        <v>4378962</v>
      </c>
      <c r="AX45" s="35">
        <f>VLOOKUP(Tabla43[[#This Row],[SERVICIO 2025]],$J$2:$V$16,3,0)*Tabla43[[#This Row],[TOTAL COBERTURA]]+Tabla43[[#This Row],[VALOR RACION PREPARADA]]/7</f>
        <v>4378962</v>
      </c>
      <c r="AY45" s="35">
        <f>VLOOKUP(Tabla43[[#This Row],[SERVICIO 2025]],$J$2:$V$16,3,0)*Tabla43[[#This Row],[TOTAL COBERTURA]]+Tabla43[[#This Row],[VALOR RACION PREPARADA]]/7</f>
        <v>4378962</v>
      </c>
      <c r="AZ45" s="35">
        <f>VLOOKUP(Tabla43[[#This Row],[SERVICIO 2025]],$J$2:$V$16,3,0)*Tabla43[[#This Row],[TOTAL COBERTURA]]+Tabla43[[#This Row],[VALOR RACION PREPARADA]]/7+Tabla43[[#This Row],[VALOR FASE PREPARATORIA DE CIERRE]]</f>
        <v>5076455</v>
      </c>
      <c r="BA45" s="35"/>
      <c r="BB45" s="35">
        <f>SUM(Tabla43[[#This Row],[DESEMBOLSO 1]:[DESEMBOLSO 8]])</f>
        <v>32684319</v>
      </c>
      <c r="BC45" s="55"/>
      <c r="BD45" s="47" t="s">
        <v>97</v>
      </c>
      <c r="BE45" s="12" t="b">
        <f>EXACT(Tabla43[[#This Row],[TOTAL APORTES ICBF]],Tabla43[[#This Row],[VALOR TOTAL]])</f>
        <v>1</v>
      </c>
      <c r="BF45" s="23">
        <f>SUM(Tabla43[[#This Row],[VALOR FASE PREPARATORIA DE ALISTAMIENTO]:[VALOR RACION PREPARADA]])-Tabla43[[#This Row],[VALOR TOTAL]]</f>
        <v>0</v>
      </c>
      <c r="BG45" s="12" t="b">
        <f>EXACT(Tabla43[[#This Row],[VALOR TOTAL]],Tabla43[[#This Row],[TOTAL DESEMBOLSOS]])</f>
        <v>1</v>
      </c>
      <c r="BH45" s="29">
        <f>Tabla43[[#This Row],[TOTAL DESEMBOLSOS]]-Tabla43[[#This Row],[VALOR TOTAL]]</f>
        <v>0</v>
      </c>
      <c r="BJ45" t="s">
        <v>3924</v>
      </c>
    </row>
    <row r="46" spans="1:62" hidden="1">
      <c r="A46" s="13">
        <v>1899</v>
      </c>
      <c r="B46" s="13"/>
      <c r="C46" s="12" t="s">
        <v>87</v>
      </c>
      <c r="D46" s="12" t="s">
        <v>579</v>
      </c>
      <c r="E46" s="12" t="s">
        <v>3919</v>
      </c>
      <c r="F46" s="12" t="s">
        <v>18</v>
      </c>
      <c r="G46" s="12" t="s">
        <v>90</v>
      </c>
      <c r="H46" s="12" t="s">
        <v>3945</v>
      </c>
      <c r="I46" s="12">
        <v>52841148717</v>
      </c>
      <c r="J46" s="12" t="s">
        <v>3946</v>
      </c>
      <c r="K46" s="12">
        <v>1</v>
      </c>
      <c r="L46" s="12">
        <v>18</v>
      </c>
      <c r="M46" s="12"/>
      <c r="N46" s="13">
        <v>1899</v>
      </c>
      <c r="O46" s="12" t="s">
        <v>93</v>
      </c>
      <c r="P46" s="12"/>
      <c r="Q46" s="12"/>
      <c r="R46" s="12" t="s">
        <v>94</v>
      </c>
      <c r="S46" s="12">
        <v>10</v>
      </c>
      <c r="T46" s="12" t="s">
        <v>3922</v>
      </c>
      <c r="U46" s="12" t="s">
        <v>3923</v>
      </c>
      <c r="V46" s="12">
        <f>VLOOKUP(Tabla43[[#This Row],[ZONA DEFINITIVO]],Hoja1!$A$1:$D$129,3,0)</f>
        <v>229952</v>
      </c>
      <c r="W46" s="12">
        <f>VLOOKUP(Tabla43[[#This Row],[ZONA DEFINITIVO]],Hoja1!$A$1:$D$129,2,0)</f>
        <v>18584</v>
      </c>
      <c r="X46" s="12">
        <f>VLOOKUP(Tabla43[[#This Row],[ZONA DEFINITIVO]],Hoja1!$A$1:$D$129,4,0)</f>
        <v>116825</v>
      </c>
      <c r="Y46" s="12" t="str">
        <f>+IF(Tabla43[[#This Row],[AGRUPACIONES]]=1,SUMIFS(Tabla43[UDS],Tabla43[ZONA DEFINITIVO],Tabla43[[#This Row],[ZONA DEFINITIVO]])," ")</f>
        <v xml:space="preserve"> </v>
      </c>
      <c r="Z46" s="12" t="str">
        <f>+IF(Tabla43[[#This Row],[AGRUPACIONES]]=1,SUMIFS(Tabla43[TOTAL COBERTURA],Tabla43[ZONA DEFINITIVO],Tabla43[[#This Row],[ZONA DEFINITIVO]])," ")</f>
        <v xml:space="preserve"> </v>
      </c>
      <c r="AA46" s="12"/>
      <c r="AB46" s="51">
        <v>34606926</v>
      </c>
      <c r="AC46" s="37">
        <v>0.02</v>
      </c>
      <c r="AD46" s="38">
        <f>Tabla43[[#This Row],[VALOR ATENCIÓN (7 MESES)]]*Tabla43[[#This Row],[% CONTRAPARTIDA]]</f>
        <v>692138.52</v>
      </c>
      <c r="AE46" s="12"/>
      <c r="AF46" s="12">
        <f>COUNTIF($A$22:A46,A46)</f>
        <v>14</v>
      </c>
      <c r="AG46" s="51">
        <v>34606926</v>
      </c>
      <c r="AH46" s="38">
        <f>Tabla43[[#This Row],[VALOR CONTRAPARTIDA]]+Tabla43[[#This Row],[TOTAL APORTES ICBF]]</f>
        <v>35299064.520000003</v>
      </c>
      <c r="AI46" s="35" t="str">
        <f>+IF(Tabla43[[#This Row],[AGRUPACIONES]]=1,SUMIFS(Tabla43[TOTAL APORTES ICBF],Tabla43[ZONA DEFINITIVO],Tabla43[[#This Row],[ZONA DEFINITIVO]])," ")</f>
        <v xml:space="preserve"> </v>
      </c>
      <c r="AJ46" s="38"/>
      <c r="AK46" s="38"/>
      <c r="AL46" s="23"/>
      <c r="AM46" s="35">
        <f>VLOOKUP(Tabla43[[#This Row],[SERVICIO 2025]],$J$2:$V$16,5,0)*Tabla43[[#This Row],[TOTAL COBERTURA]]</f>
        <v>888768</v>
      </c>
      <c r="AN46" s="35">
        <f>VLOOKUP(Tabla43[[#This Row],[SERVICIO 2025]],$J$2:$V$16,6,0)*Tabla43[[#This Row],[TOTAL COBERTURA]]</f>
        <v>738522</v>
      </c>
      <c r="AO46" s="35">
        <f>VLOOKUP(Tabla43[[#This Row],[SERVICIO 2025]],$J$2:$V$16,8,0)*Tabla43[[#This Row],[TOTAL COBERTURA]]</f>
        <v>523800</v>
      </c>
      <c r="AP46" s="35">
        <f>VLOOKUP(Tabla43[[#This Row],[SERVICIO 2025]],$J$2:$V$16,3,0)*Tabla43[[#This Row],[TOTAL COBERTURA]]*7</f>
        <v>32455836</v>
      </c>
      <c r="AQ46" s="35"/>
      <c r="AR4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34606926</v>
      </c>
      <c r="AS46" s="35" t="str">
        <f>+IF(Tabla43[[#This Row],[AGRUPACIONES]]=1,SUMIFS(Tabla43[VALOR TOTAL],Tabla43[ZONA DEFINITIVO],Tabla43[[#This Row],[ZONA DEFINITIVO]])," ")</f>
        <v xml:space="preserve"> </v>
      </c>
      <c r="AT4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6049116</v>
      </c>
      <c r="AU46" s="35">
        <f>VLOOKUP(Tabla43[[#This Row],[SERVICIO 2025]],$J$2:$V$16,3,0)*Tabla43[[#This Row],[TOTAL COBERTURA]]+Tabla43[[#This Row],[VALOR RACION PREPARADA]]/7</f>
        <v>4636548</v>
      </c>
      <c r="AV46" s="35">
        <f>VLOOKUP(Tabla43[[#This Row],[SERVICIO 2025]],$J$2:$V$16,3,0)*Tabla43[[#This Row],[TOTAL COBERTURA]]+Tabla43[[#This Row],[VALOR RACION PREPARADA]]/7</f>
        <v>4636548</v>
      </c>
      <c r="AW46" s="35">
        <f>VLOOKUP(Tabla43[[#This Row],[SERVICIO 2025]],$J$2:$V$16,3,0)*Tabla43[[#This Row],[TOTAL COBERTURA]]+Tabla43[[#This Row],[VALOR RACION PREPARADA]]/7</f>
        <v>4636548</v>
      </c>
      <c r="AX46" s="35">
        <f>VLOOKUP(Tabla43[[#This Row],[SERVICIO 2025]],$J$2:$V$16,3,0)*Tabla43[[#This Row],[TOTAL COBERTURA]]+Tabla43[[#This Row],[VALOR RACION PREPARADA]]/7</f>
        <v>4636548</v>
      </c>
      <c r="AY46" s="35">
        <f>VLOOKUP(Tabla43[[#This Row],[SERVICIO 2025]],$J$2:$V$16,3,0)*Tabla43[[#This Row],[TOTAL COBERTURA]]+Tabla43[[#This Row],[VALOR RACION PREPARADA]]/7</f>
        <v>4636548</v>
      </c>
      <c r="AZ46" s="35">
        <f>VLOOKUP(Tabla43[[#This Row],[SERVICIO 2025]],$J$2:$V$16,3,0)*Tabla43[[#This Row],[TOTAL COBERTURA]]+Tabla43[[#This Row],[VALOR RACION PREPARADA]]/7+Tabla43[[#This Row],[VALOR FASE PREPARATORIA DE CIERRE]]</f>
        <v>5375070</v>
      </c>
      <c r="BA46" s="35"/>
      <c r="BB46" s="35">
        <f>SUM(Tabla43[[#This Row],[DESEMBOLSO 1]:[DESEMBOLSO 8]])</f>
        <v>34606926</v>
      </c>
      <c r="BC46" s="55"/>
      <c r="BD46" s="47" t="s">
        <v>97</v>
      </c>
      <c r="BE46" s="12" t="b">
        <f>EXACT(Tabla43[[#This Row],[TOTAL APORTES ICBF]],Tabla43[[#This Row],[VALOR TOTAL]])</f>
        <v>1</v>
      </c>
      <c r="BF46" s="23">
        <f>SUM(Tabla43[[#This Row],[VALOR FASE PREPARATORIA DE ALISTAMIENTO]:[VALOR RACION PREPARADA]])-Tabla43[[#This Row],[VALOR TOTAL]]</f>
        <v>0</v>
      </c>
      <c r="BG46" s="12" t="b">
        <f>EXACT(Tabla43[[#This Row],[VALOR TOTAL]],Tabla43[[#This Row],[TOTAL DESEMBOLSOS]])</f>
        <v>1</v>
      </c>
      <c r="BH46" s="29">
        <f>Tabla43[[#This Row],[TOTAL DESEMBOLSOS]]-Tabla43[[#This Row],[VALOR TOTAL]]</f>
        <v>0</v>
      </c>
      <c r="BJ46" t="s">
        <v>3924</v>
      </c>
    </row>
    <row r="47" spans="1:62" hidden="1">
      <c r="A47" s="13">
        <v>1899</v>
      </c>
      <c r="B47" s="13"/>
      <c r="C47" s="12" t="s">
        <v>87</v>
      </c>
      <c r="D47" s="12" t="s">
        <v>579</v>
      </c>
      <c r="E47" s="12" t="s">
        <v>3919</v>
      </c>
      <c r="F47" s="12" t="s">
        <v>18</v>
      </c>
      <c r="G47" s="12" t="s">
        <v>90</v>
      </c>
      <c r="H47" s="12" t="s">
        <v>3947</v>
      </c>
      <c r="I47" s="12">
        <v>52841151513</v>
      </c>
      <c r="J47" s="12" t="s">
        <v>3948</v>
      </c>
      <c r="K47" s="12">
        <v>1</v>
      </c>
      <c r="L47" s="12">
        <v>39</v>
      </c>
      <c r="M47" s="12"/>
      <c r="N47" s="13">
        <v>1899</v>
      </c>
      <c r="O47" s="12" t="s">
        <v>93</v>
      </c>
      <c r="P47" s="12"/>
      <c r="Q47" s="12"/>
      <c r="R47" s="12" t="s">
        <v>94</v>
      </c>
      <c r="S47" s="12">
        <v>10</v>
      </c>
      <c r="T47" s="12" t="s">
        <v>3922</v>
      </c>
      <c r="U47" s="12" t="s">
        <v>3923</v>
      </c>
      <c r="V47" s="12">
        <f>VLOOKUP(Tabla43[[#This Row],[ZONA DEFINITIVO]],Hoja1!$A$1:$D$129,3,0)</f>
        <v>229952</v>
      </c>
      <c r="W47" s="12">
        <f>VLOOKUP(Tabla43[[#This Row],[ZONA DEFINITIVO]],Hoja1!$A$1:$D$129,2,0)</f>
        <v>18584</v>
      </c>
      <c r="X47" s="12">
        <f>VLOOKUP(Tabla43[[#This Row],[ZONA DEFINITIVO]],Hoja1!$A$1:$D$129,4,0)</f>
        <v>116825</v>
      </c>
      <c r="Y47" s="12" t="str">
        <f>+IF(Tabla43[[#This Row],[AGRUPACIONES]]=1,SUMIFS(Tabla43[UDS],Tabla43[ZONA DEFINITIVO],Tabla43[[#This Row],[ZONA DEFINITIVO]])," ")</f>
        <v xml:space="preserve"> </v>
      </c>
      <c r="Z47" s="12" t="str">
        <f>+IF(Tabla43[[#This Row],[AGRUPACIONES]]=1,SUMIFS(Tabla43[TOTAL COBERTURA],Tabla43[ZONA DEFINITIVO],Tabla43[[#This Row],[ZONA DEFINITIVO]])," ")</f>
        <v xml:space="preserve"> </v>
      </c>
      <c r="AA47" s="12"/>
      <c r="AB47" s="51">
        <v>74981673</v>
      </c>
      <c r="AC47" s="37">
        <v>0.02</v>
      </c>
      <c r="AD47" s="38">
        <f>Tabla43[[#This Row],[VALOR ATENCIÓN (7 MESES)]]*Tabla43[[#This Row],[% CONTRAPARTIDA]]</f>
        <v>1499633.46</v>
      </c>
      <c r="AE47" s="12"/>
      <c r="AF47" s="12">
        <f>COUNTIF($A$22:A47,A47)</f>
        <v>15</v>
      </c>
      <c r="AG47" s="51">
        <v>74981673</v>
      </c>
      <c r="AH47" s="38">
        <f>Tabla43[[#This Row],[VALOR CONTRAPARTIDA]]+Tabla43[[#This Row],[TOTAL APORTES ICBF]]</f>
        <v>76481306.459999993</v>
      </c>
      <c r="AI47" s="35" t="str">
        <f>+IF(Tabla43[[#This Row],[AGRUPACIONES]]=1,SUMIFS(Tabla43[TOTAL APORTES ICBF],Tabla43[ZONA DEFINITIVO],Tabla43[[#This Row],[ZONA DEFINITIVO]])," ")</f>
        <v xml:space="preserve"> </v>
      </c>
      <c r="AJ47" s="38"/>
      <c r="AK47" s="38"/>
      <c r="AL47" s="23"/>
      <c r="AM47" s="35">
        <f>VLOOKUP(Tabla43[[#This Row],[SERVICIO 2025]],$J$2:$V$16,5,0)*Tabla43[[#This Row],[TOTAL COBERTURA]]</f>
        <v>1925664</v>
      </c>
      <c r="AN47" s="35">
        <f>VLOOKUP(Tabla43[[#This Row],[SERVICIO 2025]],$J$2:$V$16,6,0)*Tabla43[[#This Row],[TOTAL COBERTURA]]</f>
        <v>1600131</v>
      </c>
      <c r="AO47" s="35">
        <f>VLOOKUP(Tabla43[[#This Row],[SERVICIO 2025]],$J$2:$V$16,8,0)*Tabla43[[#This Row],[TOTAL COBERTURA]]</f>
        <v>1134900</v>
      </c>
      <c r="AP47" s="35">
        <f>VLOOKUP(Tabla43[[#This Row],[SERVICIO 2025]],$J$2:$V$16,3,0)*Tabla43[[#This Row],[TOTAL COBERTURA]]*7</f>
        <v>70320978</v>
      </c>
      <c r="AQ47" s="35"/>
      <c r="AR4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74981673</v>
      </c>
      <c r="AS47" s="35" t="str">
        <f>+IF(Tabla43[[#This Row],[AGRUPACIONES]]=1,SUMIFS(Tabla43[VALOR TOTAL],Tabla43[ZONA DEFINITIVO],Tabla43[[#This Row],[ZONA DEFINITIVO]])," ")</f>
        <v xml:space="preserve"> </v>
      </c>
      <c r="AT4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13106418</v>
      </c>
      <c r="AU47" s="35">
        <f>VLOOKUP(Tabla43[[#This Row],[SERVICIO 2025]],$J$2:$V$16,3,0)*Tabla43[[#This Row],[TOTAL COBERTURA]]+Tabla43[[#This Row],[VALOR RACION PREPARADA]]/7</f>
        <v>10045854</v>
      </c>
      <c r="AV47" s="35">
        <f>VLOOKUP(Tabla43[[#This Row],[SERVICIO 2025]],$J$2:$V$16,3,0)*Tabla43[[#This Row],[TOTAL COBERTURA]]+Tabla43[[#This Row],[VALOR RACION PREPARADA]]/7</f>
        <v>10045854</v>
      </c>
      <c r="AW47" s="35">
        <f>VLOOKUP(Tabla43[[#This Row],[SERVICIO 2025]],$J$2:$V$16,3,0)*Tabla43[[#This Row],[TOTAL COBERTURA]]+Tabla43[[#This Row],[VALOR RACION PREPARADA]]/7</f>
        <v>10045854</v>
      </c>
      <c r="AX47" s="35">
        <f>VLOOKUP(Tabla43[[#This Row],[SERVICIO 2025]],$J$2:$V$16,3,0)*Tabla43[[#This Row],[TOTAL COBERTURA]]+Tabla43[[#This Row],[VALOR RACION PREPARADA]]/7</f>
        <v>10045854</v>
      </c>
      <c r="AY47" s="35">
        <f>VLOOKUP(Tabla43[[#This Row],[SERVICIO 2025]],$J$2:$V$16,3,0)*Tabla43[[#This Row],[TOTAL COBERTURA]]+Tabla43[[#This Row],[VALOR RACION PREPARADA]]/7</f>
        <v>10045854</v>
      </c>
      <c r="AZ47" s="35">
        <f>VLOOKUP(Tabla43[[#This Row],[SERVICIO 2025]],$J$2:$V$16,3,0)*Tabla43[[#This Row],[TOTAL COBERTURA]]+Tabla43[[#This Row],[VALOR RACION PREPARADA]]/7+Tabla43[[#This Row],[VALOR FASE PREPARATORIA DE CIERRE]]</f>
        <v>11645985</v>
      </c>
      <c r="BA47" s="35"/>
      <c r="BB47" s="35">
        <f>SUM(Tabla43[[#This Row],[DESEMBOLSO 1]:[DESEMBOLSO 8]])</f>
        <v>74981673</v>
      </c>
      <c r="BC47" s="55"/>
      <c r="BD47" s="47" t="s">
        <v>97</v>
      </c>
      <c r="BE47" s="12" t="b">
        <f>EXACT(Tabla43[[#This Row],[TOTAL APORTES ICBF]],Tabla43[[#This Row],[VALOR TOTAL]])</f>
        <v>1</v>
      </c>
      <c r="BF47" s="23">
        <f>SUM(Tabla43[[#This Row],[VALOR FASE PREPARATORIA DE ALISTAMIENTO]:[VALOR RACION PREPARADA]])-Tabla43[[#This Row],[VALOR TOTAL]]</f>
        <v>0</v>
      </c>
      <c r="BG47" s="12" t="b">
        <f>EXACT(Tabla43[[#This Row],[VALOR TOTAL]],Tabla43[[#This Row],[TOTAL DESEMBOLSOS]])</f>
        <v>1</v>
      </c>
      <c r="BH47" s="29">
        <f>Tabla43[[#This Row],[TOTAL DESEMBOLSOS]]-Tabla43[[#This Row],[VALOR TOTAL]]</f>
        <v>0</v>
      </c>
      <c r="BJ47" t="s">
        <v>3924</v>
      </c>
    </row>
    <row r="48" spans="1:62" hidden="1">
      <c r="A48" s="13">
        <v>1899</v>
      </c>
      <c r="B48" s="13"/>
      <c r="C48" s="12" t="s">
        <v>87</v>
      </c>
      <c r="D48" s="12" t="s">
        <v>579</v>
      </c>
      <c r="E48" s="12" t="s">
        <v>3919</v>
      </c>
      <c r="F48" s="12" t="s">
        <v>18</v>
      </c>
      <c r="G48" s="12" t="s">
        <v>90</v>
      </c>
      <c r="H48" s="12" t="s">
        <v>3949</v>
      </c>
      <c r="I48" s="12">
        <v>52841152154</v>
      </c>
      <c r="J48" s="12" t="s">
        <v>3950</v>
      </c>
      <c r="K48" s="12">
        <v>1</v>
      </c>
      <c r="L48" s="12">
        <v>12</v>
      </c>
      <c r="M48" s="12"/>
      <c r="N48" s="13">
        <v>1899</v>
      </c>
      <c r="O48" s="12" t="s">
        <v>93</v>
      </c>
      <c r="P48" s="12"/>
      <c r="Q48" s="12"/>
      <c r="R48" s="12" t="s">
        <v>94</v>
      </c>
      <c r="S48" s="12">
        <v>10</v>
      </c>
      <c r="T48" s="12" t="s">
        <v>3922</v>
      </c>
      <c r="U48" s="12" t="s">
        <v>3923</v>
      </c>
      <c r="V48" s="12">
        <f>VLOOKUP(Tabla43[[#This Row],[ZONA DEFINITIVO]],Hoja1!$A$1:$D$129,3,0)</f>
        <v>229952</v>
      </c>
      <c r="W48" s="12">
        <f>VLOOKUP(Tabla43[[#This Row],[ZONA DEFINITIVO]],Hoja1!$A$1:$D$129,2,0)</f>
        <v>18584</v>
      </c>
      <c r="X48" s="12">
        <f>VLOOKUP(Tabla43[[#This Row],[ZONA DEFINITIVO]],Hoja1!$A$1:$D$129,4,0)</f>
        <v>116825</v>
      </c>
      <c r="Y48" s="12" t="str">
        <f>+IF(Tabla43[[#This Row],[AGRUPACIONES]]=1,SUMIFS(Tabla43[UDS],Tabla43[ZONA DEFINITIVO],Tabla43[[#This Row],[ZONA DEFINITIVO]])," ")</f>
        <v xml:space="preserve"> </v>
      </c>
      <c r="Z48" s="12" t="str">
        <f>+IF(Tabla43[[#This Row],[AGRUPACIONES]]=1,SUMIFS(Tabla43[TOTAL COBERTURA],Tabla43[ZONA DEFINITIVO],Tabla43[[#This Row],[ZONA DEFINITIVO]])," ")</f>
        <v xml:space="preserve"> </v>
      </c>
      <c r="AA48" s="12"/>
      <c r="AB48" s="51">
        <v>23071284</v>
      </c>
      <c r="AC48" s="37">
        <v>0.02</v>
      </c>
      <c r="AD48" s="38">
        <f>Tabla43[[#This Row],[VALOR ATENCIÓN (7 MESES)]]*Tabla43[[#This Row],[% CONTRAPARTIDA]]</f>
        <v>461425.68</v>
      </c>
      <c r="AE48" s="12"/>
      <c r="AF48" s="12">
        <f>COUNTIF($A$22:A48,A48)</f>
        <v>16</v>
      </c>
      <c r="AG48" s="51">
        <v>23071284</v>
      </c>
      <c r="AH48" s="38">
        <f>Tabla43[[#This Row],[VALOR CONTRAPARTIDA]]+Tabla43[[#This Row],[TOTAL APORTES ICBF]]</f>
        <v>23532709.68</v>
      </c>
      <c r="AI48" s="35" t="str">
        <f>+IF(Tabla43[[#This Row],[AGRUPACIONES]]=1,SUMIFS(Tabla43[TOTAL APORTES ICBF],Tabla43[ZONA DEFINITIVO],Tabla43[[#This Row],[ZONA DEFINITIVO]])," ")</f>
        <v xml:space="preserve"> </v>
      </c>
      <c r="AJ48" s="38"/>
      <c r="AK48" s="38"/>
      <c r="AL48" s="23"/>
      <c r="AM48" s="35">
        <f>VLOOKUP(Tabla43[[#This Row],[SERVICIO 2025]],$J$2:$V$16,5,0)*Tabla43[[#This Row],[TOTAL COBERTURA]]</f>
        <v>592512</v>
      </c>
      <c r="AN48" s="35">
        <f>VLOOKUP(Tabla43[[#This Row],[SERVICIO 2025]],$J$2:$V$16,6,0)*Tabla43[[#This Row],[TOTAL COBERTURA]]</f>
        <v>492348</v>
      </c>
      <c r="AO48" s="35">
        <f>VLOOKUP(Tabla43[[#This Row],[SERVICIO 2025]],$J$2:$V$16,8,0)*Tabla43[[#This Row],[TOTAL COBERTURA]]</f>
        <v>349200</v>
      </c>
      <c r="AP48" s="35">
        <f>VLOOKUP(Tabla43[[#This Row],[SERVICIO 2025]],$J$2:$V$16,3,0)*Tabla43[[#This Row],[TOTAL COBERTURA]]*7</f>
        <v>21637224</v>
      </c>
      <c r="AQ48" s="35"/>
      <c r="AR4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23071284</v>
      </c>
      <c r="AS48" s="35" t="str">
        <f>+IF(Tabla43[[#This Row],[AGRUPACIONES]]=1,SUMIFS(Tabla43[VALOR TOTAL],Tabla43[ZONA DEFINITIVO],Tabla43[[#This Row],[ZONA DEFINITIVO]])," ")</f>
        <v xml:space="preserve"> </v>
      </c>
      <c r="AT4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4032744</v>
      </c>
      <c r="AU48" s="35">
        <f>VLOOKUP(Tabla43[[#This Row],[SERVICIO 2025]],$J$2:$V$16,3,0)*Tabla43[[#This Row],[TOTAL COBERTURA]]+Tabla43[[#This Row],[VALOR RACION PREPARADA]]/7</f>
        <v>3091032</v>
      </c>
      <c r="AV48" s="35">
        <f>VLOOKUP(Tabla43[[#This Row],[SERVICIO 2025]],$J$2:$V$16,3,0)*Tabla43[[#This Row],[TOTAL COBERTURA]]+Tabla43[[#This Row],[VALOR RACION PREPARADA]]/7</f>
        <v>3091032</v>
      </c>
      <c r="AW48" s="35">
        <f>VLOOKUP(Tabla43[[#This Row],[SERVICIO 2025]],$J$2:$V$16,3,0)*Tabla43[[#This Row],[TOTAL COBERTURA]]+Tabla43[[#This Row],[VALOR RACION PREPARADA]]/7</f>
        <v>3091032</v>
      </c>
      <c r="AX48" s="35">
        <f>VLOOKUP(Tabla43[[#This Row],[SERVICIO 2025]],$J$2:$V$16,3,0)*Tabla43[[#This Row],[TOTAL COBERTURA]]+Tabla43[[#This Row],[VALOR RACION PREPARADA]]/7</f>
        <v>3091032</v>
      </c>
      <c r="AY48" s="35">
        <f>VLOOKUP(Tabla43[[#This Row],[SERVICIO 2025]],$J$2:$V$16,3,0)*Tabla43[[#This Row],[TOTAL COBERTURA]]+Tabla43[[#This Row],[VALOR RACION PREPARADA]]/7</f>
        <v>3091032</v>
      </c>
      <c r="AZ48" s="35">
        <f>VLOOKUP(Tabla43[[#This Row],[SERVICIO 2025]],$J$2:$V$16,3,0)*Tabla43[[#This Row],[TOTAL COBERTURA]]+Tabla43[[#This Row],[VALOR RACION PREPARADA]]/7+Tabla43[[#This Row],[VALOR FASE PREPARATORIA DE CIERRE]]</f>
        <v>3583380</v>
      </c>
      <c r="BA48" s="35"/>
      <c r="BB48" s="35">
        <f>SUM(Tabla43[[#This Row],[DESEMBOLSO 1]:[DESEMBOLSO 8]])</f>
        <v>23071284</v>
      </c>
      <c r="BC48" s="55"/>
      <c r="BD48" s="47" t="s">
        <v>97</v>
      </c>
      <c r="BE48" s="12" t="b">
        <f>EXACT(Tabla43[[#This Row],[TOTAL APORTES ICBF]],Tabla43[[#This Row],[VALOR TOTAL]])</f>
        <v>1</v>
      </c>
      <c r="BF48" s="23">
        <f>SUM(Tabla43[[#This Row],[VALOR FASE PREPARATORIA DE ALISTAMIENTO]:[VALOR RACION PREPARADA]])-Tabla43[[#This Row],[VALOR TOTAL]]</f>
        <v>0</v>
      </c>
      <c r="BG48" s="12" t="b">
        <f>EXACT(Tabla43[[#This Row],[VALOR TOTAL]],Tabla43[[#This Row],[TOTAL DESEMBOLSOS]])</f>
        <v>1</v>
      </c>
      <c r="BH48" s="29">
        <f>Tabla43[[#This Row],[TOTAL DESEMBOLSOS]]-Tabla43[[#This Row],[VALOR TOTAL]]</f>
        <v>0</v>
      </c>
      <c r="BJ48" t="s">
        <v>3924</v>
      </c>
    </row>
    <row r="49" spans="1:62" hidden="1">
      <c r="A49" s="13">
        <v>1899</v>
      </c>
      <c r="B49" s="13"/>
      <c r="C49" s="12" t="s">
        <v>87</v>
      </c>
      <c r="D49" s="12" t="s">
        <v>579</v>
      </c>
      <c r="E49" s="12" t="s">
        <v>3919</v>
      </c>
      <c r="F49" s="12" t="s">
        <v>18</v>
      </c>
      <c r="G49" s="12" t="s">
        <v>90</v>
      </c>
      <c r="H49" s="12" t="s">
        <v>3925</v>
      </c>
      <c r="I49" s="12">
        <v>52841152431</v>
      </c>
      <c r="J49" s="12" t="s">
        <v>3951</v>
      </c>
      <c r="K49" s="12">
        <v>1</v>
      </c>
      <c r="L49" s="12">
        <v>14</v>
      </c>
      <c r="M49" s="12"/>
      <c r="N49" s="13">
        <v>1899</v>
      </c>
      <c r="O49" s="12" t="s">
        <v>93</v>
      </c>
      <c r="P49" s="12"/>
      <c r="Q49" s="12"/>
      <c r="R49" s="12" t="s">
        <v>94</v>
      </c>
      <c r="S49" s="12">
        <v>10</v>
      </c>
      <c r="T49" s="12" t="s">
        <v>3922</v>
      </c>
      <c r="U49" s="12" t="s">
        <v>3923</v>
      </c>
      <c r="V49" s="12">
        <f>VLOOKUP(Tabla43[[#This Row],[ZONA DEFINITIVO]],Hoja1!$A$1:$D$129,3,0)</f>
        <v>229952</v>
      </c>
      <c r="W49" s="12">
        <f>VLOOKUP(Tabla43[[#This Row],[ZONA DEFINITIVO]],Hoja1!$A$1:$D$129,2,0)</f>
        <v>18584</v>
      </c>
      <c r="X49" s="12">
        <f>VLOOKUP(Tabla43[[#This Row],[ZONA DEFINITIVO]],Hoja1!$A$1:$D$129,4,0)</f>
        <v>116825</v>
      </c>
      <c r="Y49" s="12" t="str">
        <f>+IF(Tabla43[[#This Row],[AGRUPACIONES]]=1,SUMIFS(Tabla43[UDS],Tabla43[ZONA DEFINITIVO],Tabla43[[#This Row],[ZONA DEFINITIVO]])," ")</f>
        <v xml:space="preserve"> </v>
      </c>
      <c r="Z49" s="12" t="str">
        <f>+IF(Tabla43[[#This Row],[AGRUPACIONES]]=1,SUMIFS(Tabla43[TOTAL COBERTURA],Tabla43[ZONA DEFINITIVO],Tabla43[[#This Row],[ZONA DEFINITIVO]])," ")</f>
        <v xml:space="preserve"> </v>
      </c>
      <c r="AA49" s="12"/>
      <c r="AB49" s="51">
        <v>26916498</v>
      </c>
      <c r="AC49" s="37">
        <v>0.02</v>
      </c>
      <c r="AD49" s="38">
        <f>Tabla43[[#This Row],[VALOR ATENCIÓN (7 MESES)]]*Tabla43[[#This Row],[% CONTRAPARTIDA]]</f>
        <v>538329.96</v>
      </c>
      <c r="AE49" s="12"/>
      <c r="AF49" s="12">
        <f>COUNTIF($A$22:A49,A49)</f>
        <v>17</v>
      </c>
      <c r="AG49" s="51">
        <v>26916498</v>
      </c>
      <c r="AH49" s="38">
        <f>Tabla43[[#This Row],[VALOR CONTRAPARTIDA]]+Tabla43[[#This Row],[TOTAL APORTES ICBF]]</f>
        <v>27454827.960000001</v>
      </c>
      <c r="AI49" s="35" t="str">
        <f>+IF(Tabla43[[#This Row],[AGRUPACIONES]]=1,SUMIFS(Tabla43[TOTAL APORTES ICBF],Tabla43[ZONA DEFINITIVO],Tabla43[[#This Row],[ZONA DEFINITIVO]])," ")</f>
        <v xml:space="preserve"> </v>
      </c>
      <c r="AJ49" s="38"/>
      <c r="AK49" s="38"/>
      <c r="AL49" s="23"/>
      <c r="AM49" s="35">
        <f>VLOOKUP(Tabla43[[#This Row],[SERVICIO 2025]],$J$2:$V$16,5,0)*Tabla43[[#This Row],[TOTAL COBERTURA]]</f>
        <v>691264</v>
      </c>
      <c r="AN49" s="35">
        <f>VLOOKUP(Tabla43[[#This Row],[SERVICIO 2025]],$J$2:$V$16,6,0)*Tabla43[[#This Row],[TOTAL COBERTURA]]</f>
        <v>574406</v>
      </c>
      <c r="AO49" s="35">
        <f>VLOOKUP(Tabla43[[#This Row],[SERVICIO 2025]],$J$2:$V$16,8,0)*Tabla43[[#This Row],[TOTAL COBERTURA]]</f>
        <v>407400</v>
      </c>
      <c r="AP49" s="35">
        <f>VLOOKUP(Tabla43[[#This Row],[SERVICIO 2025]],$J$2:$V$16,3,0)*Tabla43[[#This Row],[TOTAL COBERTURA]]*7</f>
        <v>25243428</v>
      </c>
      <c r="AQ49" s="35"/>
      <c r="AR4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26916498</v>
      </c>
      <c r="AS49" s="35" t="str">
        <f>+IF(Tabla43[[#This Row],[AGRUPACIONES]]=1,SUMIFS(Tabla43[VALOR TOTAL],Tabla43[ZONA DEFINITIVO],Tabla43[[#This Row],[ZONA DEFINITIVO]])," ")</f>
        <v xml:space="preserve"> </v>
      </c>
      <c r="AT4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4704868</v>
      </c>
      <c r="AU49" s="35">
        <f>VLOOKUP(Tabla43[[#This Row],[SERVICIO 2025]],$J$2:$V$16,3,0)*Tabla43[[#This Row],[TOTAL COBERTURA]]+Tabla43[[#This Row],[VALOR RACION PREPARADA]]/7</f>
        <v>3606204</v>
      </c>
      <c r="AV49" s="35">
        <f>VLOOKUP(Tabla43[[#This Row],[SERVICIO 2025]],$J$2:$V$16,3,0)*Tabla43[[#This Row],[TOTAL COBERTURA]]+Tabla43[[#This Row],[VALOR RACION PREPARADA]]/7</f>
        <v>3606204</v>
      </c>
      <c r="AW49" s="35">
        <f>VLOOKUP(Tabla43[[#This Row],[SERVICIO 2025]],$J$2:$V$16,3,0)*Tabla43[[#This Row],[TOTAL COBERTURA]]+Tabla43[[#This Row],[VALOR RACION PREPARADA]]/7</f>
        <v>3606204</v>
      </c>
      <c r="AX49" s="35">
        <f>VLOOKUP(Tabla43[[#This Row],[SERVICIO 2025]],$J$2:$V$16,3,0)*Tabla43[[#This Row],[TOTAL COBERTURA]]+Tabla43[[#This Row],[VALOR RACION PREPARADA]]/7</f>
        <v>3606204</v>
      </c>
      <c r="AY49" s="35">
        <f>VLOOKUP(Tabla43[[#This Row],[SERVICIO 2025]],$J$2:$V$16,3,0)*Tabla43[[#This Row],[TOTAL COBERTURA]]+Tabla43[[#This Row],[VALOR RACION PREPARADA]]/7</f>
        <v>3606204</v>
      </c>
      <c r="AZ49" s="35">
        <f>VLOOKUP(Tabla43[[#This Row],[SERVICIO 2025]],$J$2:$V$16,3,0)*Tabla43[[#This Row],[TOTAL COBERTURA]]+Tabla43[[#This Row],[VALOR RACION PREPARADA]]/7+Tabla43[[#This Row],[VALOR FASE PREPARATORIA DE CIERRE]]</f>
        <v>4180610</v>
      </c>
      <c r="BA49" s="35"/>
      <c r="BB49" s="35">
        <f>SUM(Tabla43[[#This Row],[DESEMBOLSO 1]:[DESEMBOLSO 8]])</f>
        <v>26916498</v>
      </c>
      <c r="BC49" s="55"/>
      <c r="BD49" s="47" t="s">
        <v>97</v>
      </c>
      <c r="BE49" s="12" t="b">
        <f>EXACT(Tabla43[[#This Row],[TOTAL APORTES ICBF]],Tabla43[[#This Row],[VALOR TOTAL]])</f>
        <v>1</v>
      </c>
      <c r="BF49" s="23">
        <f>SUM(Tabla43[[#This Row],[VALOR FASE PREPARATORIA DE ALISTAMIENTO]:[VALOR RACION PREPARADA]])-Tabla43[[#This Row],[VALOR TOTAL]]</f>
        <v>0</v>
      </c>
      <c r="BG49" s="12" t="b">
        <f>EXACT(Tabla43[[#This Row],[VALOR TOTAL]],Tabla43[[#This Row],[TOTAL DESEMBOLSOS]])</f>
        <v>1</v>
      </c>
      <c r="BH49" s="29">
        <f>Tabla43[[#This Row],[TOTAL DESEMBOLSOS]]-Tabla43[[#This Row],[VALOR TOTAL]]</f>
        <v>0</v>
      </c>
      <c r="BJ49" t="s">
        <v>3924</v>
      </c>
    </row>
    <row r="50" spans="1:62" hidden="1">
      <c r="A50" s="13">
        <v>1899</v>
      </c>
      <c r="B50" s="13"/>
      <c r="C50" s="12" t="s">
        <v>87</v>
      </c>
      <c r="D50" s="12" t="s">
        <v>579</v>
      </c>
      <c r="E50" s="12" t="s">
        <v>3919</v>
      </c>
      <c r="F50" s="12" t="s">
        <v>18</v>
      </c>
      <c r="G50" s="12" t="s">
        <v>90</v>
      </c>
      <c r="H50" s="12" t="s">
        <v>3952</v>
      </c>
      <c r="I50" s="12">
        <v>52841152482</v>
      </c>
      <c r="J50" s="12" t="s">
        <v>3953</v>
      </c>
      <c r="K50" s="12">
        <v>1</v>
      </c>
      <c r="L50" s="12">
        <v>16</v>
      </c>
      <c r="M50" s="12"/>
      <c r="N50" s="13">
        <v>1899</v>
      </c>
      <c r="O50" s="12" t="s">
        <v>93</v>
      </c>
      <c r="P50" s="12"/>
      <c r="Q50" s="12"/>
      <c r="R50" s="12" t="s">
        <v>94</v>
      </c>
      <c r="S50" s="12">
        <v>10</v>
      </c>
      <c r="T50" s="12" t="s">
        <v>3922</v>
      </c>
      <c r="U50" s="12" t="s">
        <v>3923</v>
      </c>
      <c r="V50" s="12">
        <f>VLOOKUP(Tabla43[[#This Row],[ZONA DEFINITIVO]],Hoja1!$A$1:$D$129,3,0)</f>
        <v>229952</v>
      </c>
      <c r="W50" s="12">
        <f>VLOOKUP(Tabla43[[#This Row],[ZONA DEFINITIVO]],Hoja1!$A$1:$D$129,2,0)</f>
        <v>18584</v>
      </c>
      <c r="X50" s="12">
        <f>VLOOKUP(Tabla43[[#This Row],[ZONA DEFINITIVO]],Hoja1!$A$1:$D$129,4,0)</f>
        <v>116825</v>
      </c>
      <c r="Y50" s="12" t="str">
        <f>+IF(Tabla43[[#This Row],[AGRUPACIONES]]=1,SUMIFS(Tabla43[UDS],Tabla43[ZONA DEFINITIVO],Tabla43[[#This Row],[ZONA DEFINITIVO]])," ")</f>
        <v xml:space="preserve"> </v>
      </c>
      <c r="Z50" s="12" t="str">
        <f>+IF(Tabla43[[#This Row],[AGRUPACIONES]]=1,SUMIFS(Tabla43[TOTAL COBERTURA],Tabla43[ZONA DEFINITIVO],Tabla43[[#This Row],[ZONA DEFINITIVO]])," ")</f>
        <v xml:space="preserve"> </v>
      </c>
      <c r="AA50" s="12"/>
      <c r="AB50" s="51">
        <v>30761712</v>
      </c>
      <c r="AC50" s="37">
        <v>0.02</v>
      </c>
      <c r="AD50" s="38">
        <f>Tabla43[[#This Row],[VALOR ATENCIÓN (7 MESES)]]*Tabla43[[#This Row],[% CONTRAPARTIDA]]</f>
        <v>615234.24</v>
      </c>
      <c r="AE50" s="12"/>
      <c r="AF50" s="12">
        <f>COUNTIF($A$22:A50,A50)</f>
        <v>18</v>
      </c>
      <c r="AG50" s="51">
        <v>30761712</v>
      </c>
      <c r="AH50" s="38">
        <f>Tabla43[[#This Row],[VALOR CONTRAPARTIDA]]+Tabla43[[#This Row],[TOTAL APORTES ICBF]]</f>
        <v>31376946.239999998</v>
      </c>
      <c r="AI50" s="35" t="str">
        <f>+IF(Tabla43[[#This Row],[AGRUPACIONES]]=1,SUMIFS(Tabla43[TOTAL APORTES ICBF],Tabla43[ZONA DEFINITIVO],Tabla43[[#This Row],[ZONA DEFINITIVO]])," ")</f>
        <v xml:space="preserve"> </v>
      </c>
      <c r="AJ50" s="38"/>
      <c r="AK50" s="38"/>
      <c r="AL50" s="23"/>
      <c r="AM50" s="35">
        <f>VLOOKUP(Tabla43[[#This Row],[SERVICIO 2025]],$J$2:$V$16,5,0)*Tabla43[[#This Row],[TOTAL COBERTURA]]</f>
        <v>790016</v>
      </c>
      <c r="AN50" s="35">
        <f>VLOOKUP(Tabla43[[#This Row],[SERVICIO 2025]],$J$2:$V$16,6,0)*Tabla43[[#This Row],[TOTAL COBERTURA]]</f>
        <v>656464</v>
      </c>
      <c r="AO50" s="35">
        <f>VLOOKUP(Tabla43[[#This Row],[SERVICIO 2025]],$J$2:$V$16,8,0)*Tabla43[[#This Row],[TOTAL COBERTURA]]</f>
        <v>465600</v>
      </c>
      <c r="AP50" s="35">
        <f>VLOOKUP(Tabla43[[#This Row],[SERVICIO 2025]],$J$2:$V$16,3,0)*Tabla43[[#This Row],[TOTAL COBERTURA]]*7</f>
        <v>28849632</v>
      </c>
      <c r="AQ50" s="35"/>
      <c r="AR5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50" s="35" t="str">
        <f>+IF(Tabla43[[#This Row],[AGRUPACIONES]]=1,SUMIFS(Tabla43[VALOR TOTAL],Tabla43[ZONA DEFINITIVO],Tabla43[[#This Row],[ZONA DEFINITIVO]])," ")</f>
        <v xml:space="preserve"> </v>
      </c>
      <c r="AT5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50" s="35">
        <f>VLOOKUP(Tabla43[[#This Row],[SERVICIO 2025]],$J$2:$V$16,3,0)*Tabla43[[#This Row],[TOTAL COBERTURA]]+Tabla43[[#This Row],[VALOR RACION PREPARADA]]/7</f>
        <v>4121376</v>
      </c>
      <c r="AV50" s="35">
        <f>VLOOKUP(Tabla43[[#This Row],[SERVICIO 2025]],$J$2:$V$16,3,0)*Tabla43[[#This Row],[TOTAL COBERTURA]]+Tabla43[[#This Row],[VALOR RACION PREPARADA]]/7</f>
        <v>4121376</v>
      </c>
      <c r="AW50" s="35">
        <f>VLOOKUP(Tabla43[[#This Row],[SERVICIO 2025]],$J$2:$V$16,3,0)*Tabla43[[#This Row],[TOTAL COBERTURA]]+Tabla43[[#This Row],[VALOR RACION PREPARADA]]/7</f>
        <v>4121376</v>
      </c>
      <c r="AX50" s="35">
        <f>VLOOKUP(Tabla43[[#This Row],[SERVICIO 2025]],$J$2:$V$16,3,0)*Tabla43[[#This Row],[TOTAL COBERTURA]]+Tabla43[[#This Row],[VALOR RACION PREPARADA]]/7</f>
        <v>4121376</v>
      </c>
      <c r="AY50" s="35">
        <f>VLOOKUP(Tabla43[[#This Row],[SERVICIO 2025]],$J$2:$V$16,3,0)*Tabla43[[#This Row],[TOTAL COBERTURA]]+Tabla43[[#This Row],[VALOR RACION PREPARADA]]/7</f>
        <v>4121376</v>
      </c>
      <c r="AZ50" s="35">
        <f>VLOOKUP(Tabla43[[#This Row],[SERVICIO 2025]],$J$2:$V$16,3,0)*Tabla43[[#This Row],[TOTAL COBERTURA]]+Tabla43[[#This Row],[VALOR RACION PREPARADA]]/7+Tabla43[[#This Row],[VALOR FASE PREPARATORIA DE CIERRE]]</f>
        <v>4777840</v>
      </c>
      <c r="BA50" s="35"/>
      <c r="BB50" s="35">
        <f>SUM(Tabla43[[#This Row],[DESEMBOLSO 1]:[DESEMBOLSO 8]])</f>
        <v>30761712</v>
      </c>
      <c r="BC50" s="55"/>
      <c r="BD50" s="47" t="s">
        <v>97</v>
      </c>
      <c r="BE50" s="12" t="b">
        <f>EXACT(Tabla43[[#This Row],[TOTAL APORTES ICBF]],Tabla43[[#This Row],[VALOR TOTAL]])</f>
        <v>1</v>
      </c>
      <c r="BF50" s="23">
        <f>SUM(Tabla43[[#This Row],[VALOR FASE PREPARATORIA DE ALISTAMIENTO]:[VALOR RACION PREPARADA]])-Tabla43[[#This Row],[VALOR TOTAL]]</f>
        <v>0</v>
      </c>
      <c r="BG50" s="12" t="b">
        <f>EXACT(Tabla43[[#This Row],[VALOR TOTAL]],Tabla43[[#This Row],[TOTAL DESEMBOLSOS]])</f>
        <v>1</v>
      </c>
      <c r="BH50" s="29">
        <f>Tabla43[[#This Row],[TOTAL DESEMBOLSOS]]-Tabla43[[#This Row],[VALOR TOTAL]]</f>
        <v>0</v>
      </c>
      <c r="BJ50" t="s">
        <v>3924</v>
      </c>
    </row>
    <row r="51" spans="1:62" hidden="1">
      <c r="A51" s="13">
        <v>1899</v>
      </c>
      <c r="B51" s="13"/>
      <c r="C51" s="12" t="s">
        <v>87</v>
      </c>
      <c r="D51" s="12" t="s">
        <v>579</v>
      </c>
      <c r="E51" s="12" t="s">
        <v>3919</v>
      </c>
      <c r="F51" s="12" t="s">
        <v>18</v>
      </c>
      <c r="G51" s="12" t="s">
        <v>90</v>
      </c>
      <c r="H51" s="12" t="s">
        <v>3954</v>
      </c>
      <c r="I51" s="12">
        <v>52841152913</v>
      </c>
      <c r="J51" s="12" t="s">
        <v>3955</v>
      </c>
      <c r="K51" s="12">
        <v>1</v>
      </c>
      <c r="L51" s="12">
        <v>15</v>
      </c>
      <c r="M51" s="12"/>
      <c r="N51" s="13">
        <v>1899</v>
      </c>
      <c r="O51" s="12" t="s">
        <v>93</v>
      </c>
      <c r="P51" s="12"/>
      <c r="Q51" s="12"/>
      <c r="R51" s="12" t="s">
        <v>94</v>
      </c>
      <c r="S51" s="12">
        <v>10</v>
      </c>
      <c r="T51" s="12" t="s">
        <v>3922</v>
      </c>
      <c r="U51" s="12" t="s">
        <v>3923</v>
      </c>
      <c r="V51" s="12">
        <f>VLOOKUP(Tabla43[[#This Row],[ZONA DEFINITIVO]],Hoja1!$A$1:$D$129,3,0)</f>
        <v>229952</v>
      </c>
      <c r="W51" s="12">
        <f>VLOOKUP(Tabla43[[#This Row],[ZONA DEFINITIVO]],Hoja1!$A$1:$D$129,2,0)</f>
        <v>18584</v>
      </c>
      <c r="X51" s="12">
        <f>VLOOKUP(Tabla43[[#This Row],[ZONA DEFINITIVO]],Hoja1!$A$1:$D$129,4,0)</f>
        <v>116825</v>
      </c>
      <c r="Y51" s="12" t="str">
        <f>+IF(Tabla43[[#This Row],[AGRUPACIONES]]=1,SUMIFS(Tabla43[UDS],Tabla43[ZONA DEFINITIVO],Tabla43[[#This Row],[ZONA DEFINITIVO]])," ")</f>
        <v xml:space="preserve"> </v>
      </c>
      <c r="Z51" s="12" t="str">
        <f>+IF(Tabla43[[#This Row],[AGRUPACIONES]]=1,SUMIFS(Tabla43[TOTAL COBERTURA],Tabla43[ZONA DEFINITIVO],Tabla43[[#This Row],[ZONA DEFINITIVO]])," ")</f>
        <v xml:space="preserve"> </v>
      </c>
      <c r="AA51" s="12"/>
      <c r="AB51" s="51">
        <v>28839105</v>
      </c>
      <c r="AC51" s="37">
        <v>0.02</v>
      </c>
      <c r="AD51" s="38">
        <f>Tabla43[[#This Row],[VALOR ATENCIÓN (7 MESES)]]*Tabla43[[#This Row],[% CONTRAPARTIDA]]</f>
        <v>576782.1</v>
      </c>
      <c r="AE51" s="12"/>
      <c r="AF51" s="12">
        <f>COUNTIF($A$22:A51,A51)</f>
        <v>19</v>
      </c>
      <c r="AG51" s="51">
        <v>28839105</v>
      </c>
      <c r="AH51" s="38">
        <f>Tabla43[[#This Row],[VALOR CONTRAPARTIDA]]+Tabla43[[#This Row],[TOTAL APORTES ICBF]]</f>
        <v>29415887.100000001</v>
      </c>
      <c r="AI51" s="35" t="str">
        <f>+IF(Tabla43[[#This Row],[AGRUPACIONES]]=1,SUMIFS(Tabla43[TOTAL APORTES ICBF],Tabla43[ZONA DEFINITIVO],Tabla43[[#This Row],[ZONA DEFINITIVO]])," ")</f>
        <v xml:space="preserve"> </v>
      </c>
      <c r="AJ51" s="38"/>
      <c r="AK51" s="38"/>
      <c r="AL51" s="23"/>
      <c r="AM51" s="35">
        <f>VLOOKUP(Tabla43[[#This Row],[SERVICIO 2025]],$J$2:$V$16,5,0)*Tabla43[[#This Row],[TOTAL COBERTURA]]</f>
        <v>740640</v>
      </c>
      <c r="AN51" s="35">
        <f>VLOOKUP(Tabla43[[#This Row],[SERVICIO 2025]],$J$2:$V$16,6,0)*Tabla43[[#This Row],[TOTAL COBERTURA]]</f>
        <v>615435</v>
      </c>
      <c r="AO51" s="35">
        <f>VLOOKUP(Tabla43[[#This Row],[SERVICIO 2025]],$J$2:$V$16,8,0)*Tabla43[[#This Row],[TOTAL COBERTURA]]</f>
        <v>436500</v>
      </c>
      <c r="AP51" s="35">
        <f>VLOOKUP(Tabla43[[#This Row],[SERVICIO 2025]],$J$2:$V$16,3,0)*Tabla43[[#This Row],[TOTAL COBERTURA]]*7</f>
        <v>27046530</v>
      </c>
      <c r="AQ51" s="35"/>
      <c r="AR5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28839105</v>
      </c>
      <c r="AS51" s="35" t="str">
        <f>+IF(Tabla43[[#This Row],[AGRUPACIONES]]=1,SUMIFS(Tabla43[VALOR TOTAL],Tabla43[ZONA DEFINITIVO],Tabla43[[#This Row],[ZONA DEFINITIVO]])," ")</f>
        <v xml:space="preserve"> </v>
      </c>
      <c r="AT5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5040930</v>
      </c>
      <c r="AU51" s="35">
        <f>VLOOKUP(Tabla43[[#This Row],[SERVICIO 2025]],$J$2:$V$16,3,0)*Tabla43[[#This Row],[TOTAL COBERTURA]]+Tabla43[[#This Row],[VALOR RACION PREPARADA]]/7</f>
        <v>3863790</v>
      </c>
      <c r="AV51" s="35">
        <f>VLOOKUP(Tabla43[[#This Row],[SERVICIO 2025]],$J$2:$V$16,3,0)*Tabla43[[#This Row],[TOTAL COBERTURA]]+Tabla43[[#This Row],[VALOR RACION PREPARADA]]/7</f>
        <v>3863790</v>
      </c>
      <c r="AW51" s="35">
        <f>VLOOKUP(Tabla43[[#This Row],[SERVICIO 2025]],$J$2:$V$16,3,0)*Tabla43[[#This Row],[TOTAL COBERTURA]]+Tabla43[[#This Row],[VALOR RACION PREPARADA]]/7</f>
        <v>3863790</v>
      </c>
      <c r="AX51" s="35">
        <f>VLOOKUP(Tabla43[[#This Row],[SERVICIO 2025]],$J$2:$V$16,3,0)*Tabla43[[#This Row],[TOTAL COBERTURA]]+Tabla43[[#This Row],[VALOR RACION PREPARADA]]/7</f>
        <v>3863790</v>
      </c>
      <c r="AY51" s="35">
        <f>VLOOKUP(Tabla43[[#This Row],[SERVICIO 2025]],$J$2:$V$16,3,0)*Tabla43[[#This Row],[TOTAL COBERTURA]]+Tabla43[[#This Row],[VALOR RACION PREPARADA]]/7</f>
        <v>3863790</v>
      </c>
      <c r="AZ51" s="35">
        <f>VLOOKUP(Tabla43[[#This Row],[SERVICIO 2025]],$J$2:$V$16,3,0)*Tabla43[[#This Row],[TOTAL COBERTURA]]+Tabla43[[#This Row],[VALOR RACION PREPARADA]]/7+Tabla43[[#This Row],[VALOR FASE PREPARATORIA DE CIERRE]]</f>
        <v>4479225</v>
      </c>
      <c r="BA51" s="35"/>
      <c r="BB51" s="35">
        <f>SUM(Tabla43[[#This Row],[DESEMBOLSO 1]:[DESEMBOLSO 8]])</f>
        <v>28839105</v>
      </c>
      <c r="BC51" s="55"/>
      <c r="BD51" s="47" t="s">
        <v>97</v>
      </c>
      <c r="BE51" s="12" t="b">
        <f>EXACT(Tabla43[[#This Row],[TOTAL APORTES ICBF]],Tabla43[[#This Row],[VALOR TOTAL]])</f>
        <v>1</v>
      </c>
      <c r="BF51" s="23">
        <f>SUM(Tabla43[[#This Row],[VALOR FASE PREPARATORIA DE ALISTAMIENTO]:[VALOR RACION PREPARADA]])-Tabla43[[#This Row],[VALOR TOTAL]]</f>
        <v>0</v>
      </c>
      <c r="BG51" s="12" t="b">
        <f>EXACT(Tabla43[[#This Row],[VALOR TOTAL]],Tabla43[[#This Row],[TOTAL DESEMBOLSOS]])</f>
        <v>1</v>
      </c>
      <c r="BH51" s="29">
        <f>Tabla43[[#This Row],[TOTAL DESEMBOLSOS]]-Tabla43[[#This Row],[VALOR TOTAL]]</f>
        <v>0</v>
      </c>
      <c r="BJ51" t="s">
        <v>3924</v>
      </c>
    </row>
    <row r="52" spans="1:62" hidden="1">
      <c r="A52" s="13">
        <v>1899</v>
      </c>
      <c r="B52" s="13"/>
      <c r="C52" s="12" t="s">
        <v>87</v>
      </c>
      <c r="D52" s="12" t="s">
        <v>579</v>
      </c>
      <c r="E52" s="12" t="s">
        <v>3919</v>
      </c>
      <c r="F52" s="12" t="s">
        <v>18</v>
      </c>
      <c r="G52" s="12" t="s">
        <v>90</v>
      </c>
      <c r="H52" s="12" t="s">
        <v>3956</v>
      </c>
      <c r="I52" s="12">
        <v>528400085430</v>
      </c>
      <c r="J52" s="12" t="s">
        <v>3957</v>
      </c>
      <c r="K52" s="12">
        <v>1</v>
      </c>
      <c r="L52" s="12">
        <v>20</v>
      </c>
      <c r="M52" s="12"/>
      <c r="N52" s="13">
        <v>1899</v>
      </c>
      <c r="O52" s="12" t="s">
        <v>93</v>
      </c>
      <c r="P52" s="12"/>
      <c r="Q52" s="12"/>
      <c r="R52" s="12" t="s">
        <v>94</v>
      </c>
      <c r="S52" s="12">
        <v>10</v>
      </c>
      <c r="T52" s="12" t="s">
        <v>3922</v>
      </c>
      <c r="U52" s="12" t="s">
        <v>3923</v>
      </c>
      <c r="V52" s="12">
        <f>VLOOKUP(Tabla43[[#This Row],[ZONA DEFINITIVO]],Hoja1!$A$1:$D$129,3,0)</f>
        <v>229952</v>
      </c>
      <c r="W52" s="12">
        <f>VLOOKUP(Tabla43[[#This Row],[ZONA DEFINITIVO]],Hoja1!$A$1:$D$129,2,0)</f>
        <v>18584</v>
      </c>
      <c r="X52" s="12">
        <f>VLOOKUP(Tabla43[[#This Row],[ZONA DEFINITIVO]],Hoja1!$A$1:$D$129,4,0)</f>
        <v>116825</v>
      </c>
      <c r="Y52" s="12" t="str">
        <f>+IF(Tabla43[[#This Row],[AGRUPACIONES]]=1,SUMIFS(Tabla43[UDS],Tabla43[ZONA DEFINITIVO],Tabla43[[#This Row],[ZONA DEFINITIVO]])," ")</f>
        <v xml:space="preserve"> </v>
      </c>
      <c r="Z52" s="12" t="str">
        <f>+IF(Tabla43[[#This Row],[AGRUPACIONES]]=1,SUMIFS(Tabla43[TOTAL COBERTURA],Tabla43[ZONA DEFINITIVO],Tabla43[[#This Row],[ZONA DEFINITIVO]])," ")</f>
        <v xml:space="preserve"> </v>
      </c>
      <c r="AA52" s="12"/>
      <c r="AB52" s="51">
        <v>38452140</v>
      </c>
      <c r="AC52" s="37">
        <v>0.02</v>
      </c>
      <c r="AD52" s="38">
        <f>Tabla43[[#This Row],[VALOR ATENCIÓN (7 MESES)]]*Tabla43[[#This Row],[% CONTRAPARTIDA]]</f>
        <v>769042.8</v>
      </c>
      <c r="AE52" s="12"/>
      <c r="AF52" s="12">
        <f>COUNTIF($A$22:A52,A52)</f>
        <v>20</v>
      </c>
      <c r="AG52" s="51">
        <v>38452140</v>
      </c>
      <c r="AH52" s="38">
        <f>Tabla43[[#This Row],[VALOR CONTRAPARTIDA]]+Tabla43[[#This Row],[TOTAL APORTES ICBF]]</f>
        <v>39221182.799999997</v>
      </c>
      <c r="AI52" s="35" t="str">
        <f>+IF(Tabla43[[#This Row],[AGRUPACIONES]]=1,SUMIFS(Tabla43[TOTAL APORTES ICBF],Tabla43[ZONA DEFINITIVO],Tabla43[[#This Row],[ZONA DEFINITIVO]])," ")</f>
        <v xml:space="preserve"> </v>
      </c>
      <c r="AJ52" s="38"/>
      <c r="AK52" s="38"/>
      <c r="AL52" s="23"/>
      <c r="AM52" s="35">
        <f>VLOOKUP(Tabla43[[#This Row],[SERVICIO 2025]],$J$2:$V$16,5,0)*Tabla43[[#This Row],[TOTAL COBERTURA]]</f>
        <v>987520</v>
      </c>
      <c r="AN52" s="35">
        <f>VLOOKUP(Tabla43[[#This Row],[SERVICIO 2025]],$J$2:$V$16,6,0)*Tabla43[[#This Row],[TOTAL COBERTURA]]</f>
        <v>820580</v>
      </c>
      <c r="AO52" s="35">
        <f>VLOOKUP(Tabla43[[#This Row],[SERVICIO 2025]],$J$2:$V$16,8,0)*Tabla43[[#This Row],[TOTAL COBERTURA]]</f>
        <v>582000</v>
      </c>
      <c r="AP52" s="35">
        <f>VLOOKUP(Tabla43[[#This Row],[SERVICIO 2025]],$J$2:$V$16,3,0)*Tabla43[[#This Row],[TOTAL COBERTURA]]*7</f>
        <v>36062040</v>
      </c>
      <c r="AQ52" s="35"/>
      <c r="AR5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52" s="35" t="str">
        <f>+IF(Tabla43[[#This Row],[AGRUPACIONES]]=1,SUMIFS(Tabla43[VALOR TOTAL],Tabla43[ZONA DEFINITIVO],Tabla43[[#This Row],[ZONA DEFINITIVO]])," ")</f>
        <v xml:space="preserve"> </v>
      </c>
      <c r="AT5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52" s="35">
        <f>VLOOKUP(Tabla43[[#This Row],[SERVICIO 2025]],$J$2:$V$16,3,0)*Tabla43[[#This Row],[TOTAL COBERTURA]]+Tabla43[[#This Row],[VALOR RACION PREPARADA]]/7</f>
        <v>5151720</v>
      </c>
      <c r="AV52" s="35">
        <f>VLOOKUP(Tabla43[[#This Row],[SERVICIO 2025]],$J$2:$V$16,3,0)*Tabla43[[#This Row],[TOTAL COBERTURA]]+Tabla43[[#This Row],[VALOR RACION PREPARADA]]/7</f>
        <v>5151720</v>
      </c>
      <c r="AW52" s="35">
        <f>VLOOKUP(Tabla43[[#This Row],[SERVICIO 2025]],$J$2:$V$16,3,0)*Tabla43[[#This Row],[TOTAL COBERTURA]]+Tabla43[[#This Row],[VALOR RACION PREPARADA]]/7</f>
        <v>5151720</v>
      </c>
      <c r="AX52" s="35">
        <f>VLOOKUP(Tabla43[[#This Row],[SERVICIO 2025]],$J$2:$V$16,3,0)*Tabla43[[#This Row],[TOTAL COBERTURA]]+Tabla43[[#This Row],[VALOR RACION PREPARADA]]/7</f>
        <v>5151720</v>
      </c>
      <c r="AY52" s="35">
        <f>VLOOKUP(Tabla43[[#This Row],[SERVICIO 2025]],$J$2:$V$16,3,0)*Tabla43[[#This Row],[TOTAL COBERTURA]]+Tabla43[[#This Row],[VALOR RACION PREPARADA]]/7</f>
        <v>5151720</v>
      </c>
      <c r="AZ52" s="35">
        <f>VLOOKUP(Tabla43[[#This Row],[SERVICIO 2025]],$J$2:$V$16,3,0)*Tabla43[[#This Row],[TOTAL COBERTURA]]+Tabla43[[#This Row],[VALOR RACION PREPARADA]]/7+Tabla43[[#This Row],[VALOR FASE PREPARATORIA DE CIERRE]]</f>
        <v>5972300</v>
      </c>
      <c r="BA52" s="35"/>
      <c r="BB52" s="35">
        <f>SUM(Tabla43[[#This Row],[DESEMBOLSO 1]:[DESEMBOLSO 8]])</f>
        <v>38452140</v>
      </c>
      <c r="BC52" s="55"/>
      <c r="BD52" s="47" t="s">
        <v>97</v>
      </c>
      <c r="BE52" s="12" t="b">
        <f>EXACT(Tabla43[[#This Row],[TOTAL APORTES ICBF]],Tabla43[[#This Row],[VALOR TOTAL]])</f>
        <v>1</v>
      </c>
      <c r="BF52" s="23">
        <f>SUM(Tabla43[[#This Row],[VALOR FASE PREPARATORIA DE ALISTAMIENTO]:[VALOR RACION PREPARADA]])-Tabla43[[#This Row],[VALOR TOTAL]]</f>
        <v>0</v>
      </c>
      <c r="BG52" s="12" t="b">
        <f>EXACT(Tabla43[[#This Row],[VALOR TOTAL]],Tabla43[[#This Row],[TOTAL DESEMBOLSOS]])</f>
        <v>1</v>
      </c>
      <c r="BH52" s="29">
        <f>Tabla43[[#This Row],[TOTAL DESEMBOLSOS]]-Tabla43[[#This Row],[VALOR TOTAL]]</f>
        <v>0</v>
      </c>
      <c r="BJ52" t="s">
        <v>3924</v>
      </c>
    </row>
    <row r="53" spans="1:62" hidden="1">
      <c r="A53" s="13">
        <v>1899</v>
      </c>
      <c r="B53" s="13"/>
      <c r="C53" s="12" t="s">
        <v>87</v>
      </c>
      <c r="D53" s="12" t="s">
        <v>579</v>
      </c>
      <c r="E53" s="12" t="s">
        <v>3919</v>
      </c>
      <c r="F53" s="12" t="s">
        <v>15</v>
      </c>
      <c r="G53" s="12" t="s">
        <v>90</v>
      </c>
      <c r="H53" s="12" t="s">
        <v>3958</v>
      </c>
      <c r="I53" s="12">
        <v>528400099972</v>
      </c>
      <c r="J53" s="12" t="s">
        <v>3959</v>
      </c>
      <c r="K53" s="12">
        <v>1</v>
      </c>
      <c r="L53" s="12">
        <v>155</v>
      </c>
      <c r="M53" s="12"/>
      <c r="N53" s="13">
        <v>1899</v>
      </c>
      <c r="O53" s="12" t="s">
        <v>93</v>
      </c>
      <c r="P53" s="12"/>
      <c r="Q53" s="12"/>
      <c r="R53" s="12" t="s">
        <v>94</v>
      </c>
      <c r="S53" s="12">
        <v>10</v>
      </c>
      <c r="T53" s="12" t="s">
        <v>3922</v>
      </c>
      <c r="U53" s="12" t="s">
        <v>3923</v>
      </c>
      <c r="V53" s="12">
        <f>VLOOKUP(Tabla43[[#This Row],[ZONA DEFINITIVO]],Hoja1!$A$1:$D$129,3,0)</f>
        <v>229952</v>
      </c>
      <c r="W53" s="12">
        <f>VLOOKUP(Tabla43[[#This Row],[ZONA DEFINITIVO]],Hoja1!$A$1:$D$129,2,0)</f>
        <v>18584</v>
      </c>
      <c r="X53" s="12">
        <f>VLOOKUP(Tabla43[[#This Row],[ZONA DEFINITIVO]],Hoja1!$A$1:$D$129,4,0)</f>
        <v>116825</v>
      </c>
      <c r="Y53" s="12" t="str">
        <f>+IF(Tabla43[[#This Row],[AGRUPACIONES]]=1,SUMIFS(Tabla43[UDS],Tabla43[ZONA DEFINITIVO],Tabla43[[#This Row],[ZONA DEFINITIVO]])," ")</f>
        <v xml:space="preserve"> </v>
      </c>
      <c r="Z53" s="12" t="str">
        <f>+IF(Tabla43[[#This Row],[AGRUPACIONES]]=1,SUMIFS(Tabla43[TOTAL COBERTURA],Tabla43[ZONA DEFINITIVO],Tabla43[[#This Row],[ZONA DEFINITIVO]])," ")</f>
        <v xml:space="preserve"> </v>
      </c>
      <c r="AA53" s="12"/>
      <c r="AB53" s="51">
        <v>590336875</v>
      </c>
      <c r="AC53" s="37">
        <v>0.02</v>
      </c>
      <c r="AD53" s="38">
        <f>Tabla43[[#This Row],[VALOR ATENCIÓN (7 MESES)]]*Tabla43[[#This Row],[% CONTRAPARTIDA]]</f>
        <v>11806737.5</v>
      </c>
      <c r="AE53" s="12"/>
      <c r="AF53" s="12">
        <f>COUNTIF($A$22:A53,A53)</f>
        <v>21</v>
      </c>
      <c r="AG53" s="51">
        <v>590336875</v>
      </c>
      <c r="AH53" s="38">
        <f>Tabla43[[#This Row],[VALOR CONTRAPARTIDA]]+Tabla43[[#This Row],[TOTAL APORTES ICBF]]</f>
        <v>602143612.5</v>
      </c>
      <c r="AI53" s="35" t="str">
        <f>+IF(Tabla43[[#This Row],[AGRUPACIONES]]=1,SUMIFS(Tabla43[TOTAL APORTES ICBF],Tabla43[ZONA DEFINITIVO],Tabla43[[#This Row],[ZONA DEFINITIVO]])," ")</f>
        <v xml:space="preserve"> </v>
      </c>
      <c r="AJ53" s="38"/>
      <c r="AK53" s="38"/>
      <c r="AL53" s="23"/>
      <c r="AM53" s="35">
        <f>VLOOKUP(Tabla43[[#This Row],[SERVICIO 2025]],$J$2:$V$16,5,0)*Tabla43[[#This Row],[TOTAL COBERTURA]]</f>
        <v>13662165</v>
      </c>
      <c r="AN53" s="35">
        <f>VLOOKUP(Tabla43[[#This Row],[SERVICIO 2025]],$J$2:$V$16,6,0)*Tabla43[[#This Row],[TOTAL COBERTURA]]</f>
        <v>11631665</v>
      </c>
      <c r="AO53" s="35">
        <f>VLOOKUP(Tabla43[[#This Row],[SERVICIO 2025]],$J$2:$V$16,8,0)*Tabla43[[#This Row],[TOTAL COBERTURA]]</f>
        <v>0</v>
      </c>
      <c r="AP53" s="35">
        <f>VLOOKUP(Tabla43[[#This Row],[SERVICIO 2025]],$J$2:$V$16,3,0)*Tabla43[[#This Row],[TOTAL COBERTURA]]*7</f>
        <v>565043045</v>
      </c>
      <c r="AQ53" s="35">
        <f>VLOOKUP(Tabla43[[#This Row],[SERVICIO 2025]],$J$2:$V$16,10,0)*Tabla43[[#This Row],[TOTAL COBERTURA]]*7</f>
        <v>0</v>
      </c>
      <c r="AR5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590336875</v>
      </c>
      <c r="AS53" s="35" t="str">
        <f>+IF(Tabla43[[#This Row],[AGRUPACIONES]]=1,SUMIFS(Tabla43[VALOR TOTAL],Tabla43[ZONA DEFINITIVO],Tabla43[[#This Row],[ZONA DEFINITIVO]])," ")</f>
        <v xml:space="preserve"> </v>
      </c>
      <c r="AT5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94382600</v>
      </c>
      <c r="AU53" s="35">
        <f>VLOOKUP(Tabla43[[#This Row],[SERVICIO 2025]],$J$2:$V$16,3,0)*Tabla43[[#This Row],[TOTAL COBERTURA]]+Tabla43[[#This Row],[VALOR RACION PREPARADA]]/7</f>
        <v>80720435</v>
      </c>
      <c r="AV53" s="35">
        <f>VLOOKUP(Tabla43[[#This Row],[SERVICIO 2025]],$J$2:$V$16,3,0)*Tabla43[[#This Row],[TOTAL COBERTURA]]+Tabla43[[#This Row],[VALOR RACION PREPARADA]]/7</f>
        <v>80720435</v>
      </c>
      <c r="AW53" s="35">
        <f>VLOOKUP(Tabla43[[#This Row],[SERVICIO 2025]],$J$2:$V$16,3,0)*Tabla43[[#This Row],[TOTAL COBERTURA]]+Tabla43[[#This Row],[VALOR RACION PREPARADA]]/7</f>
        <v>80720435</v>
      </c>
      <c r="AX53" s="35">
        <f>VLOOKUP(Tabla43[[#This Row],[SERVICIO 2025]],$J$2:$V$16,3,0)*Tabla43[[#This Row],[TOTAL COBERTURA]]+Tabla43[[#This Row],[VALOR RACION PREPARADA]]/7</f>
        <v>80720435</v>
      </c>
      <c r="AY53" s="35">
        <f>VLOOKUP(Tabla43[[#This Row],[SERVICIO 2025]],$J$2:$V$16,3,0)*Tabla43[[#This Row],[TOTAL COBERTURA]]+Tabla43[[#This Row],[VALOR RACION PREPARADA]]/7</f>
        <v>80720435</v>
      </c>
      <c r="AZ53" s="35">
        <f>VLOOKUP(Tabla43[[#This Row],[SERVICIO 2025]],$J$2:$V$16,3,0)*Tabla43[[#This Row],[TOTAL COBERTURA]]+Tabla43[[#This Row],[VALOR RACION PREPARADA]]/7+Tabla43[[#This Row],[VALOR FASE PREPARATORIA DE CIERRE]]</f>
        <v>92352100</v>
      </c>
      <c r="BA53" s="35"/>
      <c r="BB53" s="35">
        <f>SUM(Tabla43[[#This Row],[DESEMBOLSO 1]:[DESEMBOLSO 8]])</f>
        <v>590336875</v>
      </c>
      <c r="BC53" s="55">
        <f>VLOOKUP(Tabla43[[#This Row],[SERVICIO 2025]],$J$2:$V$16,10,0)*Tabla43[[#This Row],[TOTAL COBERTURA]]*$W$3</f>
        <v>0</v>
      </c>
      <c r="BD53" s="47" t="s">
        <v>145</v>
      </c>
      <c r="BE53" s="12" t="b">
        <f>EXACT(Tabla43[[#This Row],[TOTAL APORTES ICBF]],Tabla43[[#This Row],[VALOR TOTAL]])</f>
        <v>1</v>
      </c>
      <c r="BF53" s="23">
        <f>SUM(Tabla43[[#This Row],[VALOR FASE PREPARATORIA DE ALISTAMIENTO]:[VALOR RACION PREPARADA]])-Tabla43[[#This Row],[VALOR TOTAL]]</f>
        <v>0</v>
      </c>
      <c r="BG53" s="12" t="b">
        <f>EXACT(Tabla43[[#This Row],[VALOR TOTAL]],Tabla43[[#This Row],[TOTAL DESEMBOLSOS]])</f>
        <v>1</v>
      </c>
      <c r="BH53" s="29">
        <f>Tabla43[[#This Row],[TOTAL DESEMBOLSOS]]-Tabla43[[#This Row],[VALOR TOTAL]]</f>
        <v>0</v>
      </c>
      <c r="BJ53" t="s">
        <v>3924</v>
      </c>
    </row>
    <row r="54" spans="1:62" hidden="1">
      <c r="A54" s="13">
        <v>1914</v>
      </c>
      <c r="B54" s="13"/>
      <c r="C54" s="12" t="s">
        <v>87</v>
      </c>
      <c r="D54" s="12" t="s">
        <v>462</v>
      </c>
      <c r="E54" s="12" t="s">
        <v>463</v>
      </c>
      <c r="F54" s="12" t="s">
        <v>18</v>
      </c>
      <c r="G54" s="12" t="s">
        <v>90</v>
      </c>
      <c r="H54" s="12" t="s">
        <v>3960</v>
      </c>
      <c r="I54" s="12">
        <v>50451113537</v>
      </c>
      <c r="J54" s="12" t="s">
        <v>3961</v>
      </c>
      <c r="K54" s="12">
        <v>1</v>
      </c>
      <c r="L54" s="12">
        <v>50</v>
      </c>
      <c r="M54" s="12"/>
      <c r="N54" s="13">
        <v>1914</v>
      </c>
      <c r="O54" s="12" t="s">
        <v>93</v>
      </c>
      <c r="P54" s="12"/>
      <c r="Q54" s="12"/>
      <c r="R54" s="12" t="s">
        <v>94</v>
      </c>
      <c r="S54" s="12">
        <v>10</v>
      </c>
      <c r="T54" s="12" t="s">
        <v>3962</v>
      </c>
      <c r="U54" s="12" t="s">
        <v>3963</v>
      </c>
      <c r="V54" s="12">
        <f>VLOOKUP(Tabla43[[#This Row],[ZONA DEFINITIVO]],Hoja1!$A$1:$D$129,3,0)</f>
        <v>229953</v>
      </c>
      <c r="W54" s="12">
        <f>VLOOKUP(Tabla43[[#This Row],[ZONA DEFINITIVO]],Hoja1!$A$1:$D$129,2,0)</f>
        <v>18580</v>
      </c>
      <c r="X54" s="12">
        <f>VLOOKUP(Tabla43[[#This Row],[ZONA DEFINITIVO]],Hoja1!$A$1:$D$129,4,0)</f>
        <v>116625</v>
      </c>
      <c r="Y54" s="12">
        <f>+IF(Tabla43[[#This Row],[AGRUPACIONES]]=1,SUMIFS(Tabla43[UDS],Tabla43[ZONA DEFINITIVO],Tabla43[[#This Row],[ZONA DEFINITIVO]])," ")</f>
        <v>25</v>
      </c>
      <c r="Z54" s="12">
        <f>+IF(Tabla43[[#This Row],[AGRUPACIONES]]=1,SUMIFS(Tabla43[TOTAL COBERTURA],Tabla43[ZONA DEFINITIVO],Tabla43[[#This Row],[ZONA DEFINITIVO]])," ")</f>
        <v>865</v>
      </c>
      <c r="AA54" s="12"/>
      <c r="AB54" s="51">
        <v>96130350</v>
      </c>
      <c r="AC54" s="37">
        <v>0.02</v>
      </c>
      <c r="AD54" s="38">
        <f>Tabla43[[#This Row],[VALOR ATENCIÓN (7 MESES)]]*Tabla43[[#This Row],[% CONTRAPARTIDA]]</f>
        <v>1922607</v>
      </c>
      <c r="AE54" s="12"/>
      <c r="AF54" s="12">
        <f>COUNTIF($A$22:A54,A54)</f>
        <v>1</v>
      </c>
      <c r="AG54" s="51">
        <v>96130350</v>
      </c>
      <c r="AH54" s="38">
        <f>Tabla43[[#This Row],[VALOR CONTRAPARTIDA]]+Tabla43[[#This Row],[TOTAL APORTES ICBF]]</f>
        <v>98052957</v>
      </c>
      <c r="AI54" s="35">
        <f>+IF(Tabla43[[#This Row],[AGRUPACIONES]]=1,SUMIFS(Tabla43[TOTAL APORTES ICBF],Tabla43[ZONA DEFINITIVO],Tabla43[[#This Row],[ZONA DEFINITIVO]])," ")</f>
        <v>1663055055</v>
      </c>
      <c r="AJ54" s="38">
        <f>ROUND(+IF(Tabla43[[#This Row],[AGRUPACIONES]]=1,SUMIFS(Tabla43[VALOR CONTRAPARTIDA],Tabla43[ZONA DEFINITIVO],Tabla43[[#This Row],[ZONA DEFINITIVO]])," "),0)</f>
        <v>33261101</v>
      </c>
      <c r="AK54" s="38">
        <f>Tabla43[[#This Row],[TOTAL APORTES ICBF AGRUPADO]]+Tabla43[[#This Row],[TOTAL CONTRAPARTIDA AGRUPADO]]</f>
        <v>1696316156</v>
      </c>
      <c r="AL54" s="23">
        <f>Tabla43[[#This Row],[TOTAL APORTES ICBF AGRUPADO]]/$AL$20</f>
        <v>1168.2859536354058</v>
      </c>
      <c r="AM54" s="35">
        <f>VLOOKUP(Tabla43[[#This Row],[SERVICIO 2025]],$J$2:$V$16,5,0)*Tabla43[[#This Row],[TOTAL COBERTURA]]</f>
        <v>2468800</v>
      </c>
      <c r="AN54" s="35">
        <f>VLOOKUP(Tabla43[[#This Row],[SERVICIO 2025]],$J$2:$V$16,6,0)*Tabla43[[#This Row],[TOTAL COBERTURA]]</f>
        <v>2051450</v>
      </c>
      <c r="AO54" s="35">
        <f>VLOOKUP(Tabla43[[#This Row],[SERVICIO 2025]],$J$2:$V$16,8,0)*Tabla43[[#This Row],[TOTAL COBERTURA]]</f>
        <v>1455000</v>
      </c>
      <c r="AP54" s="35">
        <f>VLOOKUP(Tabla43[[#This Row],[SERVICIO 2025]],$J$2:$V$16,3,0)*Tabla43[[#This Row],[TOTAL COBERTURA]]*7</f>
        <v>90155100</v>
      </c>
      <c r="AQ54" s="35"/>
      <c r="AR5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96130350</v>
      </c>
      <c r="AS54" s="35">
        <f>+IF(Tabla43[[#This Row],[AGRUPACIONES]]=1,SUMIFS(Tabla43[VALOR TOTAL],Tabla43[ZONA DEFINITIVO],Tabla43[[#This Row],[ZONA DEFINITIVO]])," ")</f>
        <v>1663055055</v>
      </c>
      <c r="AT5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16803100</v>
      </c>
      <c r="AU54" s="35">
        <f>VLOOKUP(Tabla43[[#This Row],[SERVICIO 2025]],$J$2:$V$16,3,0)*Tabla43[[#This Row],[TOTAL COBERTURA]]+Tabla43[[#This Row],[VALOR RACION PREPARADA]]/7</f>
        <v>12879300</v>
      </c>
      <c r="AV54" s="35">
        <f>VLOOKUP(Tabla43[[#This Row],[SERVICIO 2025]],$J$2:$V$16,3,0)*Tabla43[[#This Row],[TOTAL COBERTURA]]+Tabla43[[#This Row],[VALOR RACION PREPARADA]]/7</f>
        <v>12879300</v>
      </c>
      <c r="AW54" s="35">
        <f>VLOOKUP(Tabla43[[#This Row],[SERVICIO 2025]],$J$2:$V$16,3,0)*Tabla43[[#This Row],[TOTAL COBERTURA]]+Tabla43[[#This Row],[VALOR RACION PREPARADA]]/7</f>
        <v>12879300</v>
      </c>
      <c r="AX54" s="35">
        <f>VLOOKUP(Tabla43[[#This Row],[SERVICIO 2025]],$J$2:$V$16,3,0)*Tabla43[[#This Row],[TOTAL COBERTURA]]+Tabla43[[#This Row],[VALOR RACION PREPARADA]]/7</f>
        <v>12879300</v>
      </c>
      <c r="AY54" s="35">
        <f>VLOOKUP(Tabla43[[#This Row],[SERVICIO 2025]],$J$2:$V$16,3,0)*Tabla43[[#This Row],[TOTAL COBERTURA]]+Tabla43[[#This Row],[VALOR RACION PREPARADA]]/7</f>
        <v>12879300</v>
      </c>
      <c r="AZ54" s="35">
        <f>VLOOKUP(Tabla43[[#This Row],[SERVICIO 2025]],$J$2:$V$16,3,0)*Tabla43[[#This Row],[TOTAL COBERTURA]]+Tabla43[[#This Row],[VALOR RACION PREPARADA]]/7+Tabla43[[#This Row],[VALOR FASE PREPARATORIA DE CIERRE]]</f>
        <v>14930750</v>
      </c>
      <c r="BA54" s="35"/>
      <c r="BB54" s="35">
        <f>SUM(Tabla43[[#This Row],[DESEMBOLSO 1]:[DESEMBOLSO 8]])</f>
        <v>96130350</v>
      </c>
      <c r="BC54" s="55">
        <f>VLOOKUP(Tabla43[[#This Row],[SERVICIO 2025]],$J$2:$V$16,10,0)*Tabla43[[#This Row],[TOTAL COBERTURA]]*$W$3</f>
        <v>72153200</v>
      </c>
      <c r="BD54" s="47" t="s">
        <v>211</v>
      </c>
      <c r="BE54" s="12" t="b">
        <f>EXACT(Tabla43[[#This Row],[TOTAL APORTES ICBF]],Tabla43[[#This Row],[VALOR TOTAL]])</f>
        <v>1</v>
      </c>
      <c r="BF54" s="23">
        <f>SUM(Tabla43[[#This Row],[VALOR FASE PREPARATORIA DE ALISTAMIENTO]:[VALOR RACION PREPARADA]])-Tabla43[[#This Row],[VALOR TOTAL]]</f>
        <v>0</v>
      </c>
      <c r="BG54" s="12" t="b">
        <f>EXACT(Tabla43[[#This Row],[VALOR TOTAL]],Tabla43[[#This Row],[TOTAL DESEMBOLSOS]])</f>
        <v>1</v>
      </c>
      <c r="BH54" s="29">
        <f>Tabla43[[#This Row],[TOTAL DESEMBOLSOS]]-Tabla43[[#This Row],[VALOR TOTAL]]</f>
        <v>0</v>
      </c>
      <c r="BJ54" t="s">
        <v>3924</v>
      </c>
    </row>
    <row r="55" spans="1:62" hidden="1">
      <c r="A55" s="13">
        <v>1914</v>
      </c>
      <c r="B55" s="13"/>
      <c r="C55" s="12" t="s">
        <v>87</v>
      </c>
      <c r="D55" s="12" t="s">
        <v>462</v>
      </c>
      <c r="E55" s="12" t="s">
        <v>463</v>
      </c>
      <c r="F55" s="12" t="s">
        <v>18</v>
      </c>
      <c r="G55" s="12" t="s">
        <v>90</v>
      </c>
      <c r="H55" s="12" t="s">
        <v>3964</v>
      </c>
      <c r="I55" s="12">
        <v>50451113570</v>
      </c>
      <c r="J55" s="12" t="s">
        <v>3965</v>
      </c>
      <c r="K55" s="12">
        <v>1</v>
      </c>
      <c r="L55" s="12">
        <v>50</v>
      </c>
      <c r="M55" s="12"/>
      <c r="N55" s="13">
        <v>1914</v>
      </c>
      <c r="O55" s="12" t="s">
        <v>93</v>
      </c>
      <c r="P55" s="12"/>
      <c r="Q55" s="12"/>
      <c r="R55" s="12" t="s">
        <v>94</v>
      </c>
      <c r="S55" s="12">
        <v>10</v>
      </c>
      <c r="T55" s="12" t="s">
        <v>3962</v>
      </c>
      <c r="U55" s="12" t="s">
        <v>3963</v>
      </c>
      <c r="V55" s="12">
        <f>VLOOKUP(Tabla43[[#This Row],[ZONA DEFINITIVO]],Hoja1!$A$1:$D$129,3,0)</f>
        <v>229953</v>
      </c>
      <c r="W55" s="12">
        <f>VLOOKUP(Tabla43[[#This Row],[ZONA DEFINITIVO]],Hoja1!$A$1:$D$129,2,0)</f>
        <v>18580</v>
      </c>
      <c r="X55" s="12">
        <f>VLOOKUP(Tabla43[[#This Row],[ZONA DEFINITIVO]],Hoja1!$A$1:$D$129,4,0)</f>
        <v>116625</v>
      </c>
      <c r="Y55" s="12" t="str">
        <f>+IF(Tabla43[[#This Row],[AGRUPACIONES]]=1,SUMIFS(Tabla43[UDS],Tabla43[ZONA DEFINITIVO],Tabla43[[#This Row],[ZONA DEFINITIVO]])," ")</f>
        <v xml:space="preserve"> </v>
      </c>
      <c r="Z55" s="12" t="str">
        <f>+IF(Tabla43[[#This Row],[AGRUPACIONES]]=1,SUMIFS(Tabla43[TOTAL COBERTURA],Tabla43[ZONA DEFINITIVO],Tabla43[[#This Row],[ZONA DEFINITIVO]])," ")</f>
        <v xml:space="preserve"> </v>
      </c>
      <c r="AA55" s="12"/>
      <c r="AB55" s="51">
        <v>96130350</v>
      </c>
      <c r="AC55" s="37">
        <v>0.02</v>
      </c>
      <c r="AD55" s="38">
        <f>Tabla43[[#This Row],[VALOR ATENCIÓN (7 MESES)]]*Tabla43[[#This Row],[% CONTRAPARTIDA]]</f>
        <v>1922607</v>
      </c>
      <c r="AE55" s="12"/>
      <c r="AF55" s="12">
        <f>COUNTIF($A$22:A55,A55)</f>
        <v>2</v>
      </c>
      <c r="AG55" s="51">
        <v>96130350</v>
      </c>
      <c r="AH55" s="38">
        <f>Tabla43[[#This Row],[VALOR CONTRAPARTIDA]]+Tabla43[[#This Row],[TOTAL APORTES ICBF]]</f>
        <v>98052957</v>
      </c>
      <c r="AI55" s="35" t="str">
        <f>+IF(Tabla43[[#This Row],[AGRUPACIONES]]=1,SUMIFS(Tabla43[TOTAL APORTES ICBF],Tabla43[ZONA DEFINITIVO],Tabla43[[#This Row],[ZONA DEFINITIVO]])," ")</f>
        <v xml:space="preserve"> </v>
      </c>
      <c r="AJ55" s="38"/>
      <c r="AK55" s="38"/>
      <c r="AL55" s="23"/>
      <c r="AM55" s="35">
        <f>VLOOKUP(Tabla43[[#This Row],[SERVICIO 2025]],$J$2:$V$16,5,0)*Tabla43[[#This Row],[TOTAL COBERTURA]]</f>
        <v>2468800</v>
      </c>
      <c r="AN55" s="35">
        <f>VLOOKUP(Tabla43[[#This Row],[SERVICIO 2025]],$J$2:$V$16,6,0)*Tabla43[[#This Row],[TOTAL COBERTURA]]</f>
        <v>2051450</v>
      </c>
      <c r="AO55" s="35">
        <f>VLOOKUP(Tabla43[[#This Row],[SERVICIO 2025]],$J$2:$V$16,8,0)*Tabla43[[#This Row],[TOTAL COBERTURA]]</f>
        <v>1455000</v>
      </c>
      <c r="AP55" s="35">
        <f>VLOOKUP(Tabla43[[#This Row],[SERVICIO 2025]],$J$2:$V$16,3,0)*Tabla43[[#This Row],[TOTAL COBERTURA]]*7</f>
        <v>90155100</v>
      </c>
      <c r="AQ55" s="35"/>
      <c r="AR5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96130350</v>
      </c>
      <c r="AS55" s="35" t="str">
        <f>+IF(Tabla43[[#This Row],[AGRUPACIONES]]=1,SUMIFS(Tabla43[VALOR TOTAL],Tabla43[ZONA DEFINITIVO],Tabla43[[#This Row],[ZONA DEFINITIVO]])," ")</f>
        <v xml:space="preserve"> </v>
      </c>
      <c r="AT5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16803100</v>
      </c>
      <c r="AU55" s="35">
        <f>VLOOKUP(Tabla43[[#This Row],[SERVICIO 2025]],$J$2:$V$16,3,0)*Tabla43[[#This Row],[TOTAL COBERTURA]]+Tabla43[[#This Row],[VALOR RACION PREPARADA]]/7</f>
        <v>12879300</v>
      </c>
      <c r="AV55" s="35">
        <f>VLOOKUP(Tabla43[[#This Row],[SERVICIO 2025]],$J$2:$V$16,3,0)*Tabla43[[#This Row],[TOTAL COBERTURA]]+Tabla43[[#This Row],[VALOR RACION PREPARADA]]/7</f>
        <v>12879300</v>
      </c>
      <c r="AW55" s="35">
        <f>VLOOKUP(Tabla43[[#This Row],[SERVICIO 2025]],$J$2:$V$16,3,0)*Tabla43[[#This Row],[TOTAL COBERTURA]]+Tabla43[[#This Row],[VALOR RACION PREPARADA]]/7</f>
        <v>12879300</v>
      </c>
      <c r="AX55" s="35">
        <f>VLOOKUP(Tabla43[[#This Row],[SERVICIO 2025]],$J$2:$V$16,3,0)*Tabla43[[#This Row],[TOTAL COBERTURA]]+Tabla43[[#This Row],[VALOR RACION PREPARADA]]/7</f>
        <v>12879300</v>
      </c>
      <c r="AY55" s="35">
        <f>VLOOKUP(Tabla43[[#This Row],[SERVICIO 2025]],$J$2:$V$16,3,0)*Tabla43[[#This Row],[TOTAL COBERTURA]]+Tabla43[[#This Row],[VALOR RACION PREPARADA]]/7</f>
        <v>12879300</v>
      </c>
      <c r="AZ55" s="35">
        <f>VLOOKUP(Tabla43[[#This Row],[SERVICIO 2025]],$J$2:$V$16,3,0)*Tabla43[[#This Row],[TOTAL COBERTURA]]+Tabla43[[#This Row],[VALOR RACION PREPARADA]]/7+Tabla43[[#This Row],[VALOR FASE PREPARATORIA DE CIERRE]]</f>
        <v>14930750</v>
      </c>
      <c r="BA55" s="35"/>
      <c r="BB55" s="35">
        <f>SUM(Tabla43[[#This Row],[DESEMBOLSO 1]:[DESEMBOLSO 8]])</f>
        <v>96130350</v>
      </c>
      <c r="BC55" s="55">
        <f>VLOOKUP(Tabla43[[#This Row],[SERVICIO 2025]],$J$2:$V$16,10,0)*Tabla43[[#This Row],[TOTAL COBERTURA]]*$W$3</f>
        <v>72153200</v>
      </c>
      <c r="BD55" s="47" t="s">
        <v>211</v>
      </c>
      <c r="BE55" s="12" t="b">
        <f>EXACT(Tabla43[[#This Row],[TOTAL APORTES ICBF]],Tabla43[[#This Row],[VALOR TOTAL]])</f>
        <v>1</v>
      </c>
      <c r="BF55" s="23">
        <f>SUM(Tabla43[[#This Row],[VALOR FASE PREPARATORIA DE ALISTAMIENTO]:[VALOR RACION PREPARADA]])-Tabla43[[#This Row],[VALOR TOTAL]]</f>
        <v>0</v>
      </c>
      <c r="BG55" s="12" t="b">
        <f>EXACT(Tabla43[[#This Row],[VALOR TOTAL]],Tabla43[[#This Row],[TOTAL DESEMBOLSOS]])</f>
        <v>1</v>
      </c>
      <c r="BH55" s="29">
        <f>Tabla43[[#This Row],[TOTAL DESEMBOLSOS]]-Tabla43[[#This Row],[VALOR TOTAL]]</f>
        <v>0</v>
      </c>
      <c r="BJ55" t="s">
        <v>3924</v>
      </c>
    </row>
    <row r="56" spans="1:62" hidden="1">
      <c r="A56" s="13">
        <v>1914</v>
      </c>
      <c r="B56" s="13"/>
      <c r="C56" s="12" t="s">
        <v>87</v>
      </c>
      <c r="D56" s="12" t="s">
        <v>462</v>
      </c>
      <c r="E56" s="12" t="s">
        <v>463</v>
      </c>
      <c r="F56" s="12" t="s">
        <v>18</v>
      </c>
      <c r="G56" s="12" t="s">
        <v>90</v>
      </c>
      <c r="H56" s="12" t="s">
        <v>3966</v>
      </c>
      <c r="I56" s="12">
        <v>50451113581</v>
      </c>
      <c r="J56" s="12" t="s">
        <v>549</v>
      </c>
      <c r="K56" s="12">
        <v>1</v>
      </c>
      <c r="L56" s="12">
        <v>79</v>
      </c>
      <c r="M56" s="12"/>
      <c r="N56" s="13">
        <v>1914</v>
      </c>
      <c r="O56" s="12" t="s">
        <v>93</v>
      </c>
      <c r="P56" s="12"/>
      <c r="Q56" s="12"/>
      <c r="R56" s="12" t="s">
        <v>94</v>
      </c>
      <c r="S56" s="12">
        <v>10</v>
      </c>
      <c r="T56" s="12" t="s">
        <v>3962</v>
      </c>
      <c r="U56" s="12" t="s">
        <v>3963</v>
      </c>
      <c r="V56" s="12">
        <f>VLOOKUP(Tabla43[[#This Row],[ZONA DEFINITIVO]],Hoja1!$A$1:$D$129,3,0)</f>
        <v>229953</v>
      </c>
      <c r="W56" s="12">
        <f>VLOOKUP(Tabla43[[#This Row],[ZONA DEFINITIVO]],Hoja1!$A$1:$D$129,2,0)</f>
        <v>18580</v>
      </c>
      <c r="X56" s="12">
        <f>VLOOKUP(Tabla43[[#This Row],[ZONA DEFINITIVO]],Hoja1!$A$1:$D$129,4,0)</f>
        <v>116625</v>
      </c>
      <c r="Y56" s="12" t="str">
        <f>+IF(Tabla43[[#This Row],[AGRUPACIONES]]=1,SUMIFS(Tabla43[UDS],Tabla43[ZONA DEFINITIVO],Tabla43[[#This Row],[ZONA DEFINITIVO]])," ")</f>
        <v xml:space="preserve"> </v>
      </c>
      <c r="Z56" s="12" t="str">
        <f>+IF(Tabla43[[#This Row],[AGRUPACIONES]]=1,SUMIFS(Tabla43[TOTAL COBERTURA],Tabla43[ZONA DEFINITIVO],Tabla43[[#This Row],[ZONA DEFINITIVO]])," ")</f>
        <v xml:space="preserve"> </v>
      </c>
      <c r="AA56" s="12"/>
      <c r="AB56" s="51">
        <v>151885953</v>
      </c>
      <c r="AC56" s="37">
        <v>0.02</v>
      </c>
      <c r="AD56" s="38">
        <f>Tabla43[[#This Row],[VALOR ATENCIÓN (7 MESES)]]*Tabla43[[#This Row],[% CONTRAPARTIDA]]</f>
        <v>3037719.06</v>
      </c>
      <c r="AE56" s="12"/>
      <c r="AF56" s="12">
        <f>COUNTIF($A$22:A56,A56)</f>
        <v>3</v>
      </c>
      <c r="AG56" s="51">
        <v>151885953</v>
      </c>
      <c r="AH56" s="38">
        <f>Tabla43[[#This Row],[VALOR CONTRAPARTIDA]]+Tabla43[[#This Row],[TOTAL APORTES ICBF]]</f>
        <v>154923672.06</v>
      </c>
      <c r="AI56" s="35" t="str">
        <f>+IF(Tabla43[[#This Row],[AGRUPACIONES]]=1,SUMIFS(Tabla43[TOTAL APORTES ICBF],Tabla43[ZONA DEFINITIVO],Tabla43[[#This Row],[ZONA DEFINITIVO]])," ")</f>
        <v xml:space="preserve"> </v>
      </c>
      <c r="AJ56" s="38"/>
      <c r="AK56" s="38"/>
      <c r="AL56" s="23"/>
      <c r="AM56" s="35">
        <f>VLOOKUP(Tabla43[[#This Row],[SERVICIO 2025]],$J$2:$V$16,5,0)*Tabla43[[#This Row],[TOTAL COBERTURA]]</f>
        <v>3900704</v>
      </c>
      <c r="AN56" s="35">
        <f>VLOOKUP(Tabla43[[#This Row],[SERVICIO 2025]],$J$2:$V$16,6,0)*Tabla43[[#This Row],[TOTAL COBERTURA]]</f>
        <v>3241291</v>
      </c>
      <c r="AO56" s="35">
        <f>VLOOKUP(Tabla43[[#This Row],[SERVICIO 2025]],$J$2:$V$16,8,0)*Tabla43[[#This Row],[TOTAL COBERTURA]]</f>
        <v>2298900</v>
      </c>
      <c r="AP56" s="35">
        <f>VLOOKUP(Tabla43[[#This Row],[SERVICIO 2025]],$J$2:$V$16,3,0)*Tabla43[[#This Row],[TOTAL COBERTURA]]*7</f>
        <v>142445058</v>
      </c>
      <c r="AQ56" s="35"/>
      <c r="AR5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151885953</v>
      </c>
      <c r="AS56" s="35" t="str">
        <f>+IF(Tabla43[[#This Row],[AGRUPACIONES]]=1,SUMIFS(Tabla43[VALOR TOTAL],Tabla43[ZONA DEFINITIVO],Tabla43[[#This Row],[ZONA DEFINITIVO]])," ")</f>
        <v xml:space="preserve"> </v>
      </c>
      <c r="AT5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26548898</v>
      </c>
      <c r="AU56" s="35">
        <f>VLOOKUP(Tabla43[[#This Row],[SERVICIO 2025]],$J$2:$V$16,3,0)*Tabla43[[#This Row],[TOTAL COBERTURA]]+Tabla43[[#This Row],[VALOR RACION PREPARADA]]/7</f>
        <v>20349294</v>
      </c>
      <c r="AV56" s="35">
        <f>VLOOKUP(Tabla43[[#This Row],[SERVICIO 2025]],$J$2:$V$16,3,0)*Tabla43[[#This Row],[TOTAL COBERTURA]]+Tabla43[[#This Row],[VALOR RACION PREPARADA]]/7</f>
        <v>20349294</v>
      </c>
      <c r="AW56" s="35">
        <f>VLOOKUP(Tabla43[[#This Row],[SERVICIO 2025]],$J$2:$V$16,3,0)*Tabla43[[#This Row],[TOTAL COBERTURA]]+Tabla43[[#This Row],[VALOR RACION PREPARADA]]/7</f>
        <v>20349294</v>
      </c>
      <c r="AX56" s="35">
        <f>VLOOKUP(Tabla43[[#This Row],[SERVICIO 2025]],$J$2:$V$16,3,0)*Tabla43[[#This Row],[TOTAL COBERTURA]]+Tabla43[[#This Row],[VALOR RACION PREPARADA]]/7</f>
        <v>20349294</v>
      </c>
      <c r="AY56" s="35">
        <f>VLOOKUP(Tabla43[[#This Row],[SERVICIO 2025]],$J$2:$V$16,3,0)*Tabla43[[#This Row],[TOTAL COBERTURA]]+Tabla43[[#This Row],[VALOR RACION PREPARADA]]/7</f>
        <v>20349294</v>
      </c>
      <c r="AZ56" s="35">
        <f>VLOOKUP(Tabla43[[#This Row],[SERVICIO 2025]],$J$2:$V$16,3,0)*Tabla43[[#This Row],[TOTAL COBERTURA]]+Tabla43[[#This Row],[VALOR RACION PREPARADA]]/7+Tabla43[[#This Row],[VALOR FASE PREPARATORIA DE CIERRE]]</f>
        <v>23590585</v>
      </c>
      <c r="BA56" s="35"/>
      <c r="BB56" s="35">
        <f>SUM(Tabla43[[#This Row],[DESEMBOLSO 1]:[DESEMBOLSO 8]])</f>
        <v>151885953</v>
      </c>
      <c r="BC56" s="55">
        <f>VLOOKUP(Tabla43[[#This Row],[SERVICIO 2025]],$J$2:$V$16,10,0)*Tabla43[[#This Row],[TOTAL COBERTURA]]*$W$3</f>
        <v>114002056</v>
      </c>
      <c r="BD56" s="47" t="s">
        <v>211</v>
      </c>
      <c r="BE56" s="12" t="b">
        <f>EXACT(Tabla43[[#This Row],[TOTAL APORTES ICBF]],Tabla43[[#This Row],[VALOR TOTAL]])</f>
        <v>1</v>
      </c>
      <c r="BF56" s="23">
        <f>SUM(Tabla43[[#This Row],[VALOR FASE PREPARATORIA DE ALISTAMIENTO]:[VALOR RACION PREPARADA]])-Tabla43[[#This Row],[VALOR TOTAL]]</f>
        <v>0</v>
      </c>
      <c r="BG56" s="12" t="b">
        <f>EXACT(Tabla43[[#This Row],[VALOR TOTAL]],Tabla43[[#This Row],[TOTAL DESEMBOLSOS]])</f>
        <v>1</v>
      </c>
      <c r="BH56" s="29">
        <f>Tabla43[[#This Row],[TOTAL DESEMBOLSOS]]-Tabla43[[#This Row],[VALOR TOTAL]]</f>
        <v>0</v>
      </c>
      <c r="BJ56" t="s">
        <v>3924</v>
      </c>
    </row>
    <row r="57" spans="1:62" hidden="1">
      <c r="A57" s="13">
        <v>1914</v>
      </c>
      <c r="B57" s="13"/>
      <c r="C57" s="12" t="s">
        <v>87</v>
      </c>
      <c r="D57" s="12" t="s">
        <v>462</v>
      </c>
      <c r="E57" s="12" t="s">
        <v>463</v>
      </c>
      <c r="F57" s="12" t="s">
        <v>18</v>
      </c>
      <c r="G57" s="12" t="s">
        <v>90</v>
      </c>
      <c r="H57" s="12" t="s">
        <v>3967</v>
      </c>
      <c r="I57" s="12">
        <v>50451113604</v>
      </c>
      <c r="J57" s="12" t="s">
        <v>3968</v>
      </c>
      <c r="K57" s="12">
        <v>1</v>
      </c>
      <c r="L57" s="12">
        <v>50</v>
      </c>
      <c r="M57" s="12"/>
      <c r="N57" s="13">
        <v>1914</v>
      </c>
      <c r="O57" s="12" t="s">
        <v>93</v>
      </c>
      <c r="P57" s="12"/>
      <c r="Q57" s="12"/>
      <c r="R57" s="12" t="s">
        <v>94</v>
      </c>
      <c r="S57" s="12">
        <v>10</v>
      </c>
      <c r="T57" s="12" t="s">
        <v>3962</v>
      </c>
      <c r="U57" s="12" t="s">
        <v>3963</v>
      </c>
      <c r="V57" s="12">
        <f>VLOOKUP(Tabla43[[#This Row],[ZONA DEFINITIVO]],Hoja1!$A$1:$D$129,3,0)</f>
        <v>229953</v>
      </c>
      <c r="W57" s="12">
        <f>VLOOKUP(Tabla43[[#This Row],[ZONA DEFINITIVO]],Hoja1!$A$1:$D$129,2,0)</f>
        <v>18580</v>
      </c>
      <c r="X57" s="12">
        <f>VLOOKUP(Tabla43[[#This Row],[ZONA DEFINITIVO]],Hoja1!$A$1:$D$129,4,0)</f>
        <v>116625</v>
      </c>
      <c r="Y57" s="12" t="str">
        <f>+IF(Tabla43[[#This Row],[AGRUPACIONES]]=1,SUMIFS(Tabla43[UDS],Tabla43[ZONA DEFINITIVO],Tabla43[[#This Row],[ZONA DEFINITIVO]])," ")</f>
        <v xml:space="preserve"> </v>
      </c>
      <c r="Z57" s="12" t="str">
        <f>+IF(Tabla43[[#This Row],[AGRUPACIONES]]=1,SUMIFS(Tabla43[TOTAL COBERTURA],Tabla43[ZONA DEFINITIVO],Tabla43[[#This Row],[ZONA DEFINITIVO]])," ")</f>
        <v xml:space="preserve"> </v>
      </c>
      <c r="AA57" s="12"/>
      <c r="AB57" s="51">
        <v>96130350</v>
      </c>
      <c r="AC57" s="37">
        <v>0.02</v>
      </c>
      <c r="AD57" s="38">
        <f>Tabla43[[#This Row],[VALOR ATENCIÓN (7 MESES)]]*Tabla43[[#This Row],[% CONTRAPARTIDA]]</f>
        <v>1922607</v>
      </c>
      <c r="AE57" s="12"/>
      <c r="AF57" s="12">
        <f>COUNTIF($A$22:A57,A57)</f>
        <v>4</v>
      </c>
      <c r="AG57" s="51">
        <v>96130350</v>
      </c>
      <c r="AH57" s="38">
        <f>Tabla43[[#This Row],[VALOR CONTRAPARTIDA]]+Tabla43[[#This Row],[TOTAL APORTES ICBF]]</f>
        <v>98052957</v>
      </c>
      <c r="AI57" s="35" t="str">
        <f>+IF(Tabla43[[#This Row],[AGRUPACIONES]]=1,SUMIFS(Tabla43[TOTAL APORTES ICBF],Tabla43[ZONA DEFINITIVO],Tabla43[[#This Row],[ZONA DEFINITIVO]])," ")</f>
        <v xml:space="preserve"> </v>
      </c>
      <c r="AJ57" s="38"/>
      <c r="AK57" s="38"/>
      <c r="AL57" s="23"/>
      <c r="AM57" s="35">
        <f>VLOOKUP(Tabla43[[#This Row],[SERVICIO 2025]],$J$2:$V$16,5,0)*Tabla43[[#This Row],[TOTAL COBERTURA]]</f>
        <v>2468800</v>
      </c>
      <c r="AN57" s="35">
        <f>VLOOKUP(Tabla43[[#This Row],[SERVICIO 2025]],$J$2:$V$16,6,0)*Tabla43[[#This Row],[TOTAL COBERTURA]]</f>
        <v>2051450</v>
      </c>
      <c r="AO57" s="35">
        <f>VLOOKUP(Tabla43[[#This Row],[SERVICIO 2025]],$J$2:$V$16,8,0)*Tabla43[[#This Row],[TOTAL COBERTURA]]</f>
        <v>1455000</v>
      </c>
      <c r="AP57" s="35">
        <f>VLOOKUP(Tabla43[[#This Row],[SERVICIO 2025]],$J$2:$V$16,3,0)*Tabla43[[#This Row],[TOTAL COBERTURA]]*7</f>
        <v>90155100</v>
      </c>
      <c r="AQ57" s="35"/>
      <c r="AR5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96130350</v>
      </c>
      <c r="AS57" s="35" t="str">
        <f>+IF(Tabla43[[#This Row],[AGRUPACIONES]]=1,SUMIFS(Tabla43[VALOR TOTAL],Tabla43[ZONA DEFINITIVO],Tabla43[[#This Row],[ZONA DEFINITIVO]])," ")</f>
        <v xml:space="preserve"> </v>
      </c>
      <c r="AT5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16803100</v>
      </c>
      <c r="AU57" s="35">
        <f>VLOOKUP(Tabla43[[#This Row],[SERVICIO 2025]],$J$2:$V$16,3,0)*Tabla43[[#This Row],[TOTAL COBERTURA]]+Tabla43[[#This Row],[VALOR RACION PREPARADA]]/7</f>
        <v>12879300</v>
      </c>
      <c r="AV57" s="35">
        <f>VLOOKUP(Tabla43[[#This Row],[SERVICIO 2025]],$J$2:$V$16,3,0)*Tabla43[[#This Row],[TOTAL COBERTURA]]+Tabla43[[#This Row],[VALOR RACION PREPARADA]]/7</f>
        <v>12879300</v>
      </c>
      <c r="AW57" s="35">
        <f>VLOOKUP(Tabla43[[#This Row],[SERVICIO 2025]],$J$2:$V$16,3,0)*Tabla43[[#This Row],[TOTAL COBERTURA]]+Tabla43[[#This Row],[VALOR RACION PREPARADA]]/7</f>
        <v>12879300</v>
      </c>
      <c r="AX57" s="35">
        <f>VLOOKUP(Tabla43[[#This Row],[SERVICIO 2025]],$J$2:$V$16,3,0)*Tabla43[[#This Row],[TOTAL COBERTURA]]+Tabla43[[#This Row],[VALOR RACION PREPARADA]]/7</f>
        <v>12879300</v>
      </c>
      <c r="AY57" s="35">
        <f>VLOOKUP(Tabla43[[#This Row],[SERVICIO 2025]],$J$2:$V$16,3,0)*Tabla43[[#This Row],[TOTAL COBERTURA]]+Tabla43[[#This Row],[VALOR RACION PREPARADA]]/7</f>
        <v>12879300</v>
      </c>
      <c r="AZ57" s="35">
        <f>VLOOKUP(Tabla43[[#This Row],[SERVICIO 2025]],$J$2:$V$16,3,0)*Tabla43[[#This Row],[TOTAL COBERTURA]]+Tabla43[[#This Row],[VALOR RACION PREPARADA]]/7+Tabla43[[#This Row],[VALOR FASE PREPARATORIA DE CIERRE]]</f>
        <v>14930750</v>
      </c>
      <c r="BA57" s="35"/>
      <c r="BB57" s="35">
        <f>SUM(Tabla43[[#This Row],[DESEMBOLSO 1]:[DESEMBOLSO 8]])</f>
        <v>96130350</v>
      </c>
      <c r="BC57" s="55">
        <f>VLOOKUP(Tabla43[[#This Row],[SERVICIO 2025]],$J$2:$V$16,10,0)*Tabla43[[#This Row],[TOTAL COBERTURA]]*$W$3</f>
        <v>72153200</v>
      </c>
      <c r="BD57" s="47" t="s">
        <v>211</v>
      </c>
      <c r="BE57" s="12" t="b">
        <f>EXACT(Tabla43[[#This Row],[TOTAL APORTES ICBF]],Tabla43[[#This Row],[VALOR TOTAL]])</f>
        <v>1</v>
      </c>
      <c r="BF57" s="23">
        <f>SUM(Tabla43[[#This Row],[VALOR FASE PREPARATORIA DE ALISTAMIENTO]:[VALOR RACION PREPARADA]])-Tabla43[[#This Row],[VALOR TOTAL]]</f>
        <v>0</v>
      </c>
      <c r="BG57" s="12" t="b">
        <f>EXACT(Tabla43[[#This Row],[VALOR TOTAL]],Tabla43[[#This Row],[TOTAL DESEMBOLSOS]])</f>
        <v>1</v>
      </c>
      <c r="BH57" s="29">
        <f>Tabla43[[#This Row],[TOTAL DESEMBOLSOS]]-Tabla43[[#This Row],[VALOR TOTAL]]</f>
        <v>0</v>
      </c>
      <c r="BJ57" t="s">
        <v>3924</v>
      </c>
    </row>
    <row r="58" spans="1:62" hidden="1">
      <c r="A58" s="13">
        <v>1914</v>
      </c>
      <c r="B58" s="13"/>
      <c r="C58" s="12" t="s">
        <v>87</v>
      </c>
      <c r="D58" s="12" t="s">
        <v>462</v>
      </c>
      <c r="E58" s="12" t="s">
        <v>463</v>
      </c>
      <c r="F58" s="12" t="s">
        <v>18</v>
      </c>
      <c r="G58" s="12" t="s">
        <v>90</v>
      </c>
      <c r="H58" s="12" t="s">
        <v>3969</v>
      </c>
      <c r="I58" s="12">
        <v>50451113609</v>
      </c>
      <c r="J58" s="12" t="s">
        <v>3970</v>
      </c>
      <c r="K58" s="12">
        <v>1</v>
      </c>
      <c r="L58" s="12">
        <v>50</v>
      </c>
      <c r="M58" s="12"/>
      <c r="N58" s="13">
        <v>1914</v>
      </c>
      <c r="O58" s="12" t="s">
        <v>93</v>
      </c>
      <c r="P58" s="12"/>
      <c r="Q58" s="12"/>
      <c r="R58" s="12" t="s">
        <v>94</v>
      </c>
      <c r="S58" s="12">
        <v>10</v>
      </c>
      <c r="T58" s="12" t="s">
        <v>3962</v>
      </c>
      <c r="U58" s="12" t="s">
        <v>3963</v>
      </c>
      <c r="V58" s="12">
        <f>VLOOKUP(Tabla43[[#This Row],[ZONA DEFINITIVO]],Hoja1!$A$1:$D$129,3,0)</f>
        <v>229953</v>
      </c>
      <c r="W58" s="12">
        <f>VLOOKUP(Tabla43[[#This Row],[ZONA DEFINITIVO]],Hoja1!$A$1:$D$129,2,0)</f>
        <v>18580</v>
      </c>
      <c r="X58" s="12">
        <f>VLOOKUP(Tabla43[[#This Row],[ZONA DEFINITIVO]],Hoja1!$A$1:$D$129,4,0)</f>
        <v>116625</v>
      </c>
      <c r="Y58" s="12" t="str">
        <f>+IF(Tabla43[[#This Row],[AGRUPACIONES]]=1,SUMIFS(Tabla43[UDS],Tabla43[ZONA DEFINITIVO],Tabla43[[#This Row],[ZONA DEFINITIVO]])," ")</f>
        <v xml:space="preserve"> </v>
      </c>
      <c r="Z58" s="12" t="str">
        <f>+IF(Tabla43[[#This Row],[AGRUPACIONES]]=1,SUMIFS(Tabla43[TOTAL COBERTURA],Tabla43[ZONA DEFINITIVO],Tabla43[[#This Row],[ZONA DEFINITIVO]])," ")</f>
        <v xml:space="preserve"> </v>
      </c>
      <c r="AA58" s="12"/>
      <c r="AB58" s="51">
        <v>96130350</v>
      </c>
      <c r="AC58" s="37">
        <v>0.02</v>
      </c>
      <c r="AD58" s="38">
        <f>Tabla43[[#This Row],[VALOR ATENCIÓN (7 MESES)]]*Tabla43[[#This Row],[% CONTRAPARTIDA]]</f>
        <v>1922607</v>
      </c>
      <c r="AE58" s="12"/>
      <c r="AF58" s="12">
        <f>COUNTIF($A$22:A58,A58)</f>
        <v>5</v>
      </c>
      <c r="AG58" s="51">
        <v>96130350</v>
      </c>
      <c r="AH58" s="38">
        <f>Tabla43[[#This Row],[VALOR CONTRAPARTIDA]]+Tabla43[[#This Row],[TOTAL APORTES ICBF]]</f>
        <v>98052957</v>
      </c>
      <c r="AI58" s="35" t="str">
        <f>+IF(Tabla43[[#This Row],[AGRUPACIONES]]=1,SUMIFS(Tabla43[TOTAL APORTES ICBF],Tabla43[ZONA DEFINITIVO],Tabla43[[#This Row],[ZONA DEFINITIVO]])," ")</f>
        <v xml:space="preserve"> </v>
      </c>
      <c r="AJ58" s="38"/>
      <c r="AK58" s="38"/>
      <c r="AL58" s="23"/>
      <c r="AM58" s="35">
        <f>VLOOKUP(Tabla43[[#This Row],[SERVICIO 2025]],$J$2:$V$16,5,0)*Tabla43[[#This Row],[TOTAL COBERTURA]]</f>
        <v>2468800</v>
      </c>
      <c r="AN58" s="35">
        <f>VLOOKUP(Tabla43[[#This Row],[SERVICIO 2025]],$J$2:$V$16,6,0)*Tabla43[[#This Row],[TOTAL COBERTURA]]</f>
        <v>2051450</v>
      </c>
      <c r="AO58" s="35">
        <f>VLOOKUP(Tabla43[[#This Row],[SERVICIO 2025]],$J$2:$V$16,8,0)*Tabla43[[#This Row],[TOTAL COBERTURA]]</f>
        <v>1455000</v>
      </c>
      <c r="AP58" s="35">
        <f>VLOOKUP(Tabla43[[#This Row],[SERVICIO 2025]],$J$2:$V$16,3,0)*Tabla43[[#This Row],[TOTAL COBERTURA]]*7</f>
        <v>90155100</v>
      </c>
      <c r="AQ58" s="35"/>
      <c r="AR5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96130350</v>
      </c>
      <c r="AS58" s="35" t="str">
        <f>+IF(Tabla43[[#This Row],[AGRUPACIONES]]=1,SUMIFS(Tabla43[VALOR TOTAL],Tabla43[ZONA DEFINITIVO],Tabla43[[#This Row],[ZONA DEFINITIVO]])," ")</f>
        <v xml:space="preserve"> </v>
      </c>
      <c r="AT5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16803100</v>
      </c>
      <c r="AU58" s="35">
        <f>VLOOKUP(Tabla43[[#This Row],[SERVICIO 2025]],$J$2:$V$16,3,0)*Tabla43[[#This Row],[TOTAL COBERTURA]]+Tabla43[[#This Row],[VALOR RACION PREPARADA]]/7</f>
        <v>12879300</v>
      </c>
      <c r="AV58" s="35">
        <f>VLOOKUP(Tabla43[[#This Row],[SERVICIO 2025]],$J$2:$V$16,3,0)*Tabla43[[#This Row],[TOTAL COBERTURA]]+Tabla43[[#This Row],[VALOR RACION PREPARADA]]/7</f>
        <v>12879300</v>
      </c>
      <c r="AW58" s="35">
        <f>VLOOKUP(Tabla43[[#This Row],[SERVICIO 2025]],$J$2:$V$16,3,0)*Tabla43[[#This Row],[TOTAL COBERTURA]]+Tabla43[[#This Row],[VALOR RACION PREPARADA]]/7</f>
        <v>12879300</v>
      </c>
      <c r="AX58" s="35">
        <f>VLOOKUP(Tabla43[[#This Row],[SERVICIO 2025]],$J$2:$V$16,3,0)*Tabla43[[#This Row],[TOTAL COBERTURA]]+Tabla43[[#This Row],[VALOR RACION PREPARADA]]/7</f>
        <v>12879300</v>
      </c>
      <c r="AY58" s="35">
        <f>VLOOKUP(Tabla43[[#This Row],[SERVICIO 2025]],$J$2:$V$16,3,0)*Tabla43[[#This Row],[TOTAL COBERTURA]]+Tabla43[[#This Row],[VALOR RACION PREPARADA]]/7</f>
        <v>12879300</v>
      </c>
      <c r="AZ58" s="35">
        <f>VLOOKUP(Tabla43[[#This Row],[SERVICIO 2025]],$J$2:$V$16,3,0)*Tabla43[[#This Row],[TOTAL COBERTURA]]+Tabla43[[#This Row],[VALOR RACION PREPARADA]]/7+Tabla43[[#This Row],[VALOR FASE PREPARATORIA DE CIERRE]]</f>
        <v>14930750</v>
      </c>
      <c r="BA58" s="35"/>
      <c r="BB58" s="35">
        <f>SUM(Tabla43[[#This Row],[DESEMBOLSO 1]:[DESEMBOLSO 8]])</f>
        <v>96130350</v>
      </c>
      <c r="BC58" s="55">
        <f>VLOOKUP(Tabla43[[#This Row],[SERVICIO 2025]],$J$2:$V$16,10,0)*Tabla43[[#This Row],[TOTAL COBERTURA]]*$W$3</f>
        <v>72153200</v>
      </c>
      <c r="BD58" s="47" t="s">
        <v>211</v>
      </c>
      <c r="BE58" s="12" t="b">
        <f>EXACT(Tabla43[[#This Row],[TOTAL APORTES ICBF]],Tabla43[[#This Row],[VALOR TOTAL]])</f>
        <v>1</v>
      </c>
      <c r="BF58" s="23">
        <f>SUM(Tabla43[[#This Row],[VALOR FASE PREPARATORIA DE ALISTAMIENTO]:[VALOR RACION PREPARADA]])-Tabla43[[#This Row],[VALOR TOTAL]]</f>
        <v>0</v>
      </c>
      <c r="BG58" s="12" t="b">
        <f>EXACT(Tabla43[[#This Row],[VALOR TOTAL]],Tabla43[[#This Row],[TOTAL DESEMBOLSOS]])</f>
        <v>1</v>
      </c>
      <c r="BH58" s="29">
        <f>Tabla43[[#This Row],[TOTAL DESEMBOLSOS]]-Tabla43[[#This Row],[VALOR TOTAL]]</f>
        <v>0</v>
      </c>
      <c r="BJ58" t="s">
        <v>3924</v>
      </c>
    </row>
    <row r="59" spans="1:62" hidden="1">
      <c r="A59" s="13">
        <v>1914</v>
      </c>
      <c r="B59" s="13"/>
      <c r="C59" s="12" t="s">
        <v>87</v>
      </c>
      <c r="D59" s="12" t="s">
        <v>462</v>
      </c>
      <c r="E59" s="12" t="s">
        <v>463</v>
      </c>
      <c r="F59" s="12" t="s">
        <v>18</v>
      </c>
      <c r="G59" s="12" t="s">
        <v>90</v>
      </c>
      <c r="H59" s="12" t="s">
        <v>3971</v>
      </c>
      <c r="I59" s="12">
        <v>50451113613</v>
      </c>
      <c r="J59" s="12" t="s">
        <v>3972</v>
      </c>
      <c r="K59" s="12">
        <v>1</v>
      </c>
      <c r="L59" s="12">
        <v>50</v>
      </c>
      <c r="M59" s="12"/>
      <c r="N59" s="13">
        <v>1914</v>
      </c>
      <c r="O59" s="12" t="s">
        <v>93</v>
      </c>
      <c r="P59" s="12"/>
      <c r="Q59" s="12"/>
      <c r="R59" s="12" t="s">
        <v>94</v>
      </c>
      <c r="S59" s="12">
        <v>10</v>
      </c>
      <c r="T59" s="12" t="s">
        <v>3962</v>
      </c>
      <c r="U59" s="12" t="s">
        <v>3963</v>
      </c>
      <c r="V59" s="12">
        <f>VLOOKUP(Tabla43[[#This Row],[ZONA DEFINITIVO]],Hoja1!$A$1:$D$129,3,0)</f>
        <v>229953</v>
      </c>
      <c r="W59" s="12">
        <f>VLOOKUP(Tabla43[[#This Row],[ZONA DEFINITIVO]],Hoja1!$A$1:$D$129,2,0)</f>
        <v>18580</v>
      </c>
      <c r="X59" s="12">
        <f>VLOOKUP(Tabla43[[#This Row],[ZONA DEFINITIVO]],Hoja1!$A$1:$D$129,4,0)</f>
        <v>116625</v>
      </c>
      <c r="Y59" s="12" t="str">
        <f>+IF(Tabla43[[#This Row],[AGRUPACIONES]]=1,SUMIFS(Tabla43[UDS],Tabla43[ZONA DEFINITIVO],Tabla43[[#This Row],[ZONA DEFINITIVO]])," ")</f>
        <v xml:space="preserve"> </v>
      </c>
      <c r="Z59" s="12" t="str">
        <f>+IF(Tabla43[[#This Row],[AGRUPACIONES]]=1,SUMIFS(Tabla43[TOTAL COBERTURA],Tabla43[ZONA DEFINITIVO],Tabla43[[#This Row],[ZONA DEFINITIVO]])," ")</f>
        <v xml:space="preserve"> </v>
      </c>
      <c r="AA59" s="12"/>
      <c r="AB59" s="51">
        <v>96130350</v>
      </c>
      <c r="AC59" s="37">
        <v>0.02</v>
      </c>
      <c r="AD59" s="38">
        <f>Tabla43[[#This Row],[VALOR ATENCIÓN (7 MESES)]]*Tabla43[[#This Row],[% CONTRAPARTIDA]]</f>
        <v>1922607</v>
      </c>
      <c r="AE59" s="12"/>
      <c r="AF59" s="12">
        <f>COUNTIF($A$22:A59,A59)</f>
        <v>6</v>
      </c>
      <c r="AG59" s="51">
        <v>96130350</v>
      </c>
      <c r="AH59" s="38">
        <f>Tabla43[[#This Row],[VALOR CONTRAPARTIDA]]+Tabla43[[#This Row],[TOTAL APORTES ICBF]]</f>
        <v>98052957</v>
      </c>
      <c r="AI59" s="35" t="str">
        <f>+IF(Tabla43[[#This Row],[AGRUPACIONES]]=1,SUMIFS(Tabla43[TOTAL APORTES ICBF],Tabla43[ZONA DEFINITIVO],Tabla43[[#This Row],[ZONA DEFINITIVO]])," ")</f>
        <v xml:space="preserve"> </v>
      </c>
      <c r="AJ59" s="38"/>
      <c r="AK59" s="38"/>
      <c r="AL59" s="23"/>
      <c r="AM59" s="35">
        <f>VLOOKUP(Tabla43[[#This Row],[SERVICIO 2025]],$J$2:$V$16,5,0)*Tabla43[[#This Row],[TOTAL COBERTURA]]</f>
        <v>2468800</v>
      </c>
      <c r="AN59" s="35">
        <f>VLOOKUP(Tabla43[[#This Row],[SERVICIO 2025]],$J$2:$V$16,6,0)*Tabla43[[#This Row],[TOTAL COBERTURA]]</f>
        <v>2051450</v>
      </c>
      <c r="AO59" s="35">
        <f>VLOOKUP(Tabla43[[#This Row],[SERVICIO 2025]],$J$2:$V$16,8,0)*Tabla43[[#This Row],[TOTAL COBERTURA]]</f>
        <v>1455000</v>
      </c>
      <c r="AP59" s="35">
        <f>VLOOKUP(Tabla43[[#This Row],[SERVICIO 2025]],$J$2:$V$16,3,0)*Tabla43[[#This Row],[TOTAL COBERTURA]]*7</f>
        <v>90155100</v>
      </c>
      <c r="AQ59" s="35"/>
      <c r="AR5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96130350</v>
      </c>
      <c r="AS59" s="35" t="str">
        <f>+IF(Tabla43[[#This Row],[AGRUPACIONES]]=1,SUMIFS(Tabla43[VALOR TOTAL],Tabla43[ZONA DEFINITIVO],Tabla43[[#This Row],[ZONA DEFINITIVO]])," ")</f>
        <v xml:space="preserve"> </v>
      </c>
      <c r="AT5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16803100</v>
      </c>
      <c r="AU59" s="35">
        <f>VLOOKUP(Tabla43[[#This Row],[SERVICIO 2025]],$J$2:$V$16,3,0)*Tabla43[[#This Row],[TOTAL COBERTURA]]+Tabla43[[#This Row],[VALOR RACION PREPARADA]]/7</f>
        <v>12879300</v>
      </c>
      <c r="AV59" s="35">
        <f>VLOOKUP(Tabla43[[#This Row],[SERVICIO 2025]],$J$2:$V$16,3,0)*Tabla43[[#This Row],[TOTAL COBERTURA]]+Tabla43[[#This Row],[VALOR RACION PREPARADA]]/7</f>
        <v>12879300</v>
      </c>
      <c r="AW59" s="35">
        <f>VLOOKUP(Tabla43[[#This Row],[SERVICIO 2025]],$J$2:$V$16,3,0)*Tabla43[[#This Row],[TOTAL COBERTURA]]+Tabla43[[#This Row],[VALOR RACION PREPARADA]]/7</f>
        <v>12879300</v>
      </c>
      <c r="AX59" s="35">
        <f>VLOOKUP(Tabla43[[#This Row],[SERVICIO 2025]],$J$2:$V$16,3,0)*Tabla43[[#This Row],[TOTAL COBERTURA]]+Tabla43[[#This Row],[VALOR RACION PREPARADA]]/7</f>
        <v>12879300</v>
      </c>
      <c r="AY59" s="35">
        <f>VLOOKUP(Tabla43[[#This Row],[SERVICIO 2025]],$J$2:$V$16,3,0)*Tabla43[[#This Row],[TOTAL COBERTURA]]+Tabla43[[#This Row],[VALOR RACION PREPARADA]]/7</f>
        <v>12879300</v>
      </c>
      <c r="AZ59" s="35">
        <f>VLOOKUP(Tabla43[[#This Row],[SERVICIO 2025]],$J$2:$V$16,3,0)*Tabla43[[#This Row],[TOTAL COBERTURA]]+Tabla43[[#This Row],[VALOR RACION PREPARADA]]/7+Tabla43[[#This Row],[VALOR FASE PREPARATORIA DE CIERRE]]</f>
        <v>14930750</v>
      </c>
      <c r="BA59" s="35"/>
      <c r="BB59" s="35">
        <f>SUM(Tabla43[[#This Row],[DESEMBOLSO 1]:[DESEMBOLSO 8]])</f>
        <v>96130350</v>
      </c>
      <c r="BC59" s="55">
        <f>VLOOKUP(Tabla43[[#This Row],[SERVICIO 2025]],$J$2:$V$16,10,0)*Tabla43[[#This Row],[TOTAL COBERTURA]]*$W$3</f>
        <v>72153200</v>
      </c>
      <c r="BD59" s="47" t="s">
        <v>211</v>
      </c>
      <c r="BE59" s="12" t="b">
        <f>EXACT(Tabla43[[#This Row],[TOTAL APORTES ICBF]],Tabla43[[#This Row],[VALOR TOTAL]])</f>
        <v>1</v>
      </c>
      <c r="BF59" s="23">
        <f>SUM(Tabla43[[#This Row],[VALOR FASE PREPARATORIA DE ALISTAMIENTO]:[VALOR RACION PREPARADA]])-Tabla43[[#This Row],[VALOR TOTAL]]</f>
        <v>0</v>
      </c>
      <c r="BG59" s="12" t="b">
        <f>EXACT(Tabla43[[#This Row],[VALOR TOTAL]],Tabla43[[#This Row],[TOTAL DESEMBOLSOS]])</f>
        <v>1</v>
      </c>
      <c r="BH59" s="29">
        <f>Tabla43[[#This Row],[TOTAL DESEMBOLSOS]]-Tabla43[[#This Row],[VALOR TOTAL]]</f>
        <v>0</v>
      </c>
      <c r="BJ59" t="s">
        <v>3924</v>
      </c>
    </row>
    <row r="60" spans="1:62" hidden="1">
      <c r="A60" s="13">
        <v>1914</v>
      </c>
      <c r="B60" s="13"/>
      <c r="C60" s="12" t="s">
        <v>87</v>
      </c>
      <c r="D60" s="12" t="s">
        <v>462</v>
      </c>
      <c r="E60" s="12" t="s">
        <v>463</v>
      </c>
      <c r="F60" s="12" t="s">
        <v>18</v>
      </c>
      <c r="G60" s="12" t="s">
        <v>90</v>
      </c>
      <c r="H60" s="12" t="s">
        <v>3973</v>
      </c>
      <c r="I60" s="12">
        <v>50451113796</v>
      </c>
      <c r="J60" s="12" t="s">
        <v>3974</v>
      </c>
      <c r="K60" s="12">
        <v>1</v>
      </c>
      <c r="L60" s="12">
        <v>50</v>
      </c>
      <c r="M60" s="12"/>
      <c r="N60" s="13">
        <v>1914</v>
      </c>
      <c r="O60" s="12" t="s">
        <v>93</v>
      </c>
      <c r="P60" s="12"/>
      <c r="Q60" s="12"/>
      <c r="R60" s="12" t="s">
        <v>94</v>
      </c>
      <c r="S60" s="12">
        <v>10</v>
      </c>
      <c r="T60" s="12" t="s">
        <v>3962</v>
      </c>
      <c r="U60" s="12" t="s">
        <v>3963</v>
      </c>
      <c r="V60" s="12">
        <f>VLOOKUP(Tabla43[[#This Row],[ZONA DEFINITIVO]],Hoja1!$A$1:$D$129,3,0)</f>
        <v>229953</v>
      </c>
      <c r="W60" s="12">
        <f>VLOOKUP(Tabla43[[#This Row],[ZONA DEFINITIVO]],Hoja1!$A$1:$D$129,2,0)</f>
        <v>18580</v>
      </c>
      <c r="X60" s="12">
        <f>VLOOKUP(Tabla43[[#This Row],[ZONA DEFINITIVO]],Hoja1!$A$1:$D$129,4,0)</f>
        <v>116625</v>
      </c>
      <c r="Y60" s="12" t="str">
        <f>+IF(Tabla43[[#This Row],[AGRUPACIONES]]=1,SUMIFS(Tabla43[UDS],Tabla43[ZONA DEFINITIVO],Tabla43[[#This Row],[ZONA DEFINITIVO]])," ")</f>
        <v xml:space="preserve"> </v>
      </c>
      <c r="Z60" s="12" t="str">
        <f>+IF(Tabla43[[#This Row],[AGRUPACIONES]]=1,SUMIFS(Tabla43[TOTAL COBERTURA],Tabla43[ZONA DEFINITIVO],Tabla43[[#This Row],[ZONA DEFINITIVO]])," ")</f>
        <v xml:space="preserve"> </v>
      </c>
      <c r="AA60" s="12"/>
      <c r="AB60" s="51">
        <v>96130350</v>
      </c>
      <c r="AC60" s="37">
        <v>0.02</v>
      </c>
      <c r="AD60" s="38">
        <f>Tabla43[[#This Row],[VALOR ATENCIÓN (7 MESES)]]*Tabla43[[#This Row],[% CONTRAPARTIDA]]</f>
        <v>1922607</v>
      </c>
      <c r="AE60" s="12"/>
      <c r="AF60" s="12">
        <f>COUNTIF($A$22:A60,A60)</f>
        <v>7</v>
      </c>
      <c r="AG60" s="51">
        <v>96130350</v>
      </c>
      <c r="AH60" s="38">
        <f>Tabla43[[#This Row],[VALOR CONTRAPARTIDA]]+Tabla43[[#This Row],[TOTAL APORTES ICBF]]</f>
        <v>98052957</v>
      </c>
      <c r="AI60" s="35" t="str">
        <f>+IF(Tabla43[[#This Row],[AGRUPACIONES]]=1,SUMIFS(Tabla43[TOTAL APORTES ICBF],Tabla43[ZONA DEFINITIVO],Tabla43[[#This Row],[ZONA DEFINITIVO]])," ")</f>
        <v xml:space="preserve"> </v>
      </c>
      <c r="AJ60" s="38"/>
      <c r="AK60" s="38"/>
      <c r="AL60" s="23"/>
      <c r="AM60" s="35">
        <f>VLOOKUP(Tabla43[[#This Row],[SERVICIO 2025]],$J$2:$V$16,5,0)*Tabla43[[#This Row],[TOTAL COBERTURA]]</f>
        <v>2468800</v>
      </c>
      <c r="AN60" s="35">
        <f>VLOOKUP(Tabla43[[#This Row],[SERVICIO 2025]],$J$2:$V$16,6,0)*Tabla43[[#This Row],[TOTAL COBERTURA]]</f>
        <v>2051450</v>
      </c>
      <c r="AO60" s="35">
        <f>VLOOKUP(Tabla43[[#This Row],[SERVICIO 2025]],$J$2:$V$16,8,0)*Tabla43[[#This Row],[TOTAL COBERTURA]]</f>
        <v>1455000</v>
      </c>
      <c r="AP60" s="35">
        <f>VLOOKUP(Tabla43[[#This Row],[SERVICIO 2025]],$J$2:$V$16,3,0)*Tabla43[[#This Row],[TOTAL COBERTURA]]*7</f>
        <v>90155100</v>
      </c>
      <c r="AQ60" s="35"/>
      <c r="AR6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96130350</v>
      </c>
      <c r="AS60" s="35" t="str">
        <f>+IF(Tabla43[[#This Row],[AGRUPACIONES]]=1,SUMIFS(Tabla43[VALOR TOTAL],Tabla43[ZONA DEFINITIVO],Tabla43[[#This Row],[ZONA DEFINITIVO]])," ")</f>
        <v xml:space="preserve"> </v>
      </c>
      <c r="AT6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16803100</v>
      </c>
      <c r="AU60" s="35">
        <f>VLOOKUP(Tabla43[[#This Row],[SERVICIO 2025]],$J$2:$V$16,3,0)*Tabla43[[#This Row],[TOTAL COBERTURA]]+Tabla43[[#This Row],[VALOR RACION PREPARADA]]/7</f>
        <v>12879300</v>
      </c>
      <c r="AV60" s="35">
        <f>VLOOKUP(Tabla43[[#This Row],[SERVICIO 2025]],$J$2:$V$16,3,0)*Tabla43[[#This Row],[TOTAL COBERTURA]]+Tabla43[[#This Row],[VALOR RACION PREPARADA]]/7</f>
        <v>12879300</v>
      </c>
      <c r="AW60" s="35">
        <f>VLOOKUP(Tabla43[[#This Row],[SERVICIO 2025]],$J$2:$V$16,3,0)*Tabla43[[#This Row],[TOTAL COBERTURA]]+Tabla43[[#This Row],[VALOR RACION PREPARADA]]/7</f>
        <v>12879300</v>
      </c>
      <c r="AX60" s="35">
        <f>VLOOKUP(Tabla43[[#This Row],[SERVICIO 2025]],$J$2:$V$16,3,0)*Tabla43[[#This Row],[TOTAL COBERTURA]]+Tabla43[[#This Row],[VALOR RACION PREPARADA]]/7</f>
        <v>12879300</v>
      </c>
      <c r="AY60" s="35">
        <f>VLOOKUP(Tabla43[[#This Row],[SERVICIO 2025]],$J$2:$V$16,3,0)*Tabla43[[#This Row],[TOTAL COBERTURA]]+Tabla43[[#This Row],[VALOR RACION PREPARADA]]/7</f>
        <v>12879300</v>
      </c>
      <c r="AZ60" s="35">
        <f>VLOOKUP(Tabla43[[#This Row],[SERVICIO 2025]],$J$2:$V$16,3,0)*Tabla43[[#This Row],[TOTAL COBERTURA]]+Tabla43[[#This Row],[VALOR RACION PREPARADA]]/7+Tabla43[[#This Row],[VALOR FASE PREPARATORIA DE CIERRE]]</f>
        <v>14930750</v>
      </c>
      <c r="BA60" s="35"/>
      <c r="BB60" s="35">
        <f>SUM(Tabla43[[#This Row],[DESEMBOLSO 1]:[DESEMBOLSO 8]])</f>
        <v>96130350</v>
      </c>
      <c r="BC60" s="55">
        <f>VLOOKUP(Tabla43[[#This Row],[SERVICIO 2025]],$J$2:$V$16,10,0)*Tabla43[[#This Row],[TOTAL COBERTURA]]*$W$3</f>
        <v>72153200</v>
      </c>
      <c r="BD60" s="47" t="s">
        <v>211</v>
      </c>
      <c r="BE60" s="12" t="b">
        <f>EXACT(Tabla43[[#This Row],[TOTAL APORTES ICBF]],Tabla43[[#This Row],[VALOR TOTAL]])</f>
        <v>1</v>
      </c>
      <c r="BF60" s="23">
        <f>SUM(Tabla43[[#This Row],[VALOR FASE PREPARATORIA DE ALISTAMIENTO]:[VALOR RACION PREPARADA]])-Tabla43[[#This Row],[VALOR TOTAL]]</f>
        <v>0</v>
      </c>
      <c r="BG60" s="12" t="b">
        <f>EXACT(Tabla43[[#This Row],[VALOR TOTAL]],Tabla43[[#This Row],[TOTAL DESEMBOLSOS]])</f>
        <v>1</v>
      </c>
      <c r="BH60" s="29">
        <f>Tabla43[[#This Row],[TOTAL DESEMBOLSOS]]-Tabla43[[#This Row],[VALOR TOTAL]]</f>
        <v>0</v>
      </c>
      <c r="BJ60" t="s">
        <v>3924</v>
      </c>
    </row>
    <row r="61" spans="1:62" hidden="1">
      <c r="A61" s="13">
        <v>1914</v>
      </c>
      <c r="B61" s="13"/>
      <c r="C61" s="12" t="s">
        <v>87</v>
      </c>
      <c r="D61" s="12" t="s">
        <v>462</v>
      </c>
      <c r="E61" s="12" t="s">
        <v>463</v>
      </c>
      <c r="F61" s="12" t="s">
        <v>18</v>
      </c>
      <c r="G61" s="12" t="s">
        <v>90</v>
      </c>
      <c r="H61" s="12" t="s">
        <v>3975</v>
      </c>
      <c r="I61" s="12">
        <v>50451119146</v>
      </c>
      <c r="J61" s="12" t="s">
        <v>3976</v>
      </c>
      <c r="K61" s="12">
        <v>1</v>
      </c>
      <c r="L61" s="12">
        <v>52</v>
      </c>
      <c r="M61" s="12"/>
      <c r="N61" s="13">
        <v>1914</v>
      </c>
      <c r="O61" s="12" t="s">
        <v>93</v>
      </c>
      <c r="P61" s="12"/>
      <c r="Q61" s="12"/>
      <c r="R61" s="12" t="s">
        <v>94</v>
      </c>
      <c r="S61" s="12">
        <v>10</v>
      </c>
      <c r="T61" s="12" t="s">
        <v>3962</v>
      </c>
      <c r="U61" s="12" t="s">
        <v>3963</v>
      </c>
      <c r="V61" s="12">
        <f>VLOOKUP(Tabla43[[#This Row],[ZONA DEFINITIVO]],Hoja1!$A$1:$D$129,3,0)</f>
        <v>229953</v>
      </c>
      <c r="W61" s="12">
        <f>VLOOKUP(Tabla43[[#This Row],[ZONA DEFINITIVO]],Hoja1!$A$1:$D$129,2,0)</f>
        <v>18580</v>
      </c>
      <c r="X61" s="12">
        <f>VLOOKUP(Tabla43[[#This Row],[ZONA DEFINITIVO]],Hoja1!$A$1:$D$129,4,0)</f>
        <v>116625</v>
      </c>
      <c r="Y61" s="12" t="str">
        <f>+IF(Tabla43[[#This Row],[AGRUPACIONES]]=1,SUMIFS(Tabla43[UDS],Tabla43[ZONA DEFINITIVO],Tabla43[[#This Row],[ZONA DEFINITIVO]])," ")</f>
        <v xml:space="preserve"> </v>
      </c>
      <c r="Z61" s="12" t="str">
        <f>+IF(Tabla43[[#This Row],[AGRUPACIONES]]=1,SUMIFS(Tabla43[TOTAL COBERTURA],Tabla43[ZONA DEFINITIVO],Tabla43[[#This Row],[ZONA DEFINITIVO]])," ")</f>
        <v xml:space="preserve"> </v>
      </c>
      <c r="AA61" s="12"/>
      <c r="AB61" s="51">
        <v>99975564</v>
      </c>
      <c r="AC61" s="37">
        <v>0.02</v>
      </c>
      <c r="AD61" s="38">
        <f>Tabla43[[#This Row],[VALOR ATENCIÓN (7 MESES)]]*Tabla43[[#This Row],[% CONTRAPARTIDA]]</f>
        <v>1999511.28</v>
      </c>
      <c r="AE61" s="12"/>
      <c r="AF61" s="12">
        <f>COUNTIF($A$22:A61,A61)</f>
        <v>8</v>
      </c>
      <c r="AG61" s="51">
        <v>99975564</v>
      </c>
      <c r="AH61" s="38">
        <f>Tabla43[[#This Row],[VALOR CONTRAPARTIDA]]+Tabla43[[#This Row],[TOTAL APORTES ICBF]]</f>
        <v>101975075.28</v>
      </c>
      <c r="AI61" s="35" t="str">
        <f>+IF(Tabla43[[#This Row],[AGRUPACIONES]]=1,SUMIFS(Tabla43[TOTAL APORTES ICBF],Tabla43[ZONA DEFINITIVO],Tabla43[[#This Row],[ZONA DEFINITIVO]])," ")</f>
        <v xml:space="preserve"> </v>
      </c>
      <c r="AJ61" s="38"/>
      <c r="AK61" s="38"/>
      <c r="AL61" s="23"/>
      <c r="AM61" s="35">
        <f>VLOOKUP(Tabla43[[#This Row],[SERVICIO 2025]],$J$2:$V$16,5,0)*Tabla43[[#This Row],[TOTAL COBERTURA]]</f>
        <v>2567552</v>
      </c>
      <c r="AN61" s="35">
        <f>VLOOKUP(Tabla43[[#This Row],[SERVICIO 2025]],$J$2:$V$16,6,0)*Tabla43[[#This Row],[TOTAL COBERTURA]]</f>
        <v>2133508</v>
      </c>
      <c r="AO61" s="35">
        <f>VLOOKUP(Tabla43[[#This Row],[SERVICIO 2025]],$J$2:$V$16,8,0)*Tabla43[[#This Row],[TOTAL COBERTURA]]</f>
        <v>1513200</v>
      </c>
      <c r="AP61" s="35">
        <f>VLOOKUP(Tabla43[[#This Row],[SERVICIO 2025]],$J$2:$V$16,3,0)*Tabla43[[#This Row],[TOTAL COBERTURA]]*7</f>
        <v>93761304</v>
      </c>
      <c r="AQ61" s="35"/>
      <c r="AR6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99975564</v>
      </c>
      <c r="AS61" s="35" t="str">
        <f>+IF(Tabla43[[#This Row],[AGRUPACIONES]]=1,SUMIFS(Tabla43[VALOR TOTAL],Tabla43[ZONA DEFINITIVO],Tabla43[[#This Row],[ZONA DEFINITIVO]])," ")</f>
        <v xml:space="preserve"> </v>
      </c>
      <c r="AT6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17475224</v>
      </c>
      <c r="AU61" s="35">
        <f>VLOOKUP(Tabla43[[#This Row],[SERVICIO 2025]],$J$2:$V$16,3,0)*Tabla43[[#This Row],[TOTAL COBERTURA]]+Tabla43[[#This Row],[VALOR RACION PREPARADA]]/7</f>
        <v>13394472</v>
      </c>
      <c r="AV61" s="35">
        <f>VLOOKUP(Tabla43[[#This Row],[SERVICIO 2025]],$J$2:$V$16,3,0)*Tabla43[[#This Row],[TOTAL COBERTURA]]+Tabla43[[#This Row],[VALOR RACION PREPARADA]]/7</f>
        <v>13394472</v>
      </c>
      <c r="AW61" s="35">
        <f>VLOOKUP(Tabla43[[#This Row],[SERVICIO 2025]],$J$2:$V$16,3,0)*Tabla43[[#This Row],[TOTAL COBERTURA]]+Tabla43[[#This Row],[VALOR RACION PREPARADA]]/7</f>
        <v>13394472</v>
      </c>
      <c r="AX61" s="35">
        <f>VLOOKUP(Tabla43[[#This Row],[SERVICIO 2025]],$J$2:$V$16,3,0)*Tabla43[[#This Row],[TOTAL COBERTURA]]+Tabla43[[#This Row],[VALOR RACION PREPARADA]]/7</f>
        <v>13394472</v>
      </c>
      <c r="AY61" s="35">
        <f>VLOOKUP(Tabla43[[#This Row],[SERVICIO 2025]],$J$2:$V$16,3,0)*Tabla43[[#This Row],[TOTAL COBERTURA]]+Tabla43[[#This Row],[VALOR RACION PREPARADA]]/7</f>
        <v>13394472</v>
      </c>
      <c r="AZ61" s="35">
        <f>VLOOKUP(Tabla43[[#This Row],[SERVICIO 2025]],$J$2:$V$16,3,0)*Tabla43[[#This Row],[TOTAL COBERTURA]]+Tabla43[[#This Row],[VALOR RACION PREPARADA]]/7+Tabla43[[#This Row],[VALOR FASE PREPARATORIA DE CIERRE]]</f>
        <v>15527980</v>
      </c>
      <c r="BA61" s="35"/>
      <c r="BB61" s="35">
        <f>SUM(Tabla43[[#This Row],[DESEMBOLSO 1]:[DESEMBOLSO 8]])</f>
        <v>99975564</v>
      </c>
      <c r="BC61" s="55">
        <f>VLOOKUP(Tabla43[[#This Row],[SERVICIO 2025]],$J$2:$V$16,10,0)*Tabla43[[#This Row],[TOTAL COBERTURA]]*$W$3</f>
        <v>75039328</v>
      </c>
      <c r="BD61" s="47" t="s">
        <v>211</v>
      </c>
      <c r="BE61" s="12" t="b">
        <f>EXACT(Tabla43[[#This Row],[TOTAL APORTES ICBF]],Tabla43[[#This Row],[VALOR TOTAL]])</f>
        <v>1</v>
      </c>
      <c r="BF61" s="23">
        <f>SUM(Tabla43[[#This Row],[VALOR FASE PREPARATORIA DE ALISTAMIENTO]:[VALOR RACION PREPARADA]])-Tabla43[[#This Row],[VALOR TOTAL]]</f>
        <v>0</v>
      </c>
      <c r="BG61" s="12" t="b">
        <f>EXACT(Tabla43[[#This Row],[VALOR TOTAL]],Tabla43[[#This Row],[TOTAL DESEMBOLSOS]])</f>
        <v>1</v>
      </c>
      <c r="BH61" s="29">
        <f>Tabla43[[#This Row],[TOTAL DESEMBOLSOS]]-Tabla43[[#This Row],[VALOR TOTAL]]</f>
        <v>0</v>
      </c>
      <c r="BJ61" t="s">
        <v>3924</v>
      </c>
    </row>
    <row r="62" spans="1:62" hidden="1">
      <c r="A62" s="13">
        <v>1914</v>
      </c>
      <c r="B62" s="13"/>
      <c r="C62" s="12" t="s">
        <v>87</v>
      </c>
      <c r="D62" s="12" t="s">
        <v>462</v>
      </c>
      <c r="E62" s="12" t="s">
        <v>463</v>
      </c>
      <c r="F62" s="12" t="s">
        <v>18</v>
      </c>
      <c r="G62" s="12" t="s">
        <v>90</v>
      </c>
      <c r="H62" s="12" t="s">
        <v>3977</v>
      </c>
      <c r="I62" s="12">
        <v>50451119148</v>
      </c>
      <c r="J62" s="12" t="s">
        <v>3978</v>
      </c>
      <c r="K62" s="12">
        <v>1</v>
      </c>
      <c r="L62" s="12">
        <v>18</v>
      </c>
      <c r="M62" s="12"/>
      <c r="N62" s="13">
        <v>1914</v>
      </c>
      <c r="O62" s="12" t="s">
        <v>93</v>
      </c>
      <c r="P62" s="12"/>
      <c r="Q62" s="12"/>
      <c r="R62" s="12" t="s">
        <v>94</v>
      </c>
      <c r="S62" s="12">
        <v>10</v>
      </c>
      <c r="T62" s="12" t="s">
        <v>3962</v>
      </c>
      <c r="U62" s="12" t="s">
        <v>3963</v>
      </c>
      <c r="V62" s="12">
        <f>VLOOKUP(Tabla43[[#This Row],[ZONA DEFINITIVO]],Hoja1!$A$1:$D$129,3,0)</f>
        <v>229953</v>
      </c>
      <c r="W62" s="12">
        <f>VLOOKUP(Tabla43[[#This Row],[ZONA DEFINITIVO]],Hoja1!$A$1:$D$129,2,0)</f>
        <v>18580</v>
      </c>
      <c r="X62" s="12">
        <f>VLOOKUP(Tabla43[[#This Row],[ZONA DEFINITIVO]],Hoja1!$A$1:$D$129,4,0)</f>
        <v>116625</v>
      </c>
      <c r="Y62" s="12" t="str">
        <f>+IF(Tabla43[[#This Row],[AGRUPACIONES]]=1,SUMIFS(Tabla43[UDS],Tabla43[ZONA DEFINITIVO],Tabla43[[#This Row],[ZONA DEFINITIVO]])," ")</f>
        <v xml:space="preserve"> </v>
      </c>
      <c r="Z62" s="12" t="str">
        <f>+IF(Tabla43[[#This Row],[AGRUPACIONES]]=1,SUMIFS(Tabla43[TOTAL COBERTURA],Tabla43[ZONA DEFINITIVO],Tabla43[[#This Row],[ZONA DEFINITIVO]])," ")</f>
        <v xml:space="preserve"> </v>
      </c>
      <c r="AA62" s="12"/>
      <c r="AB62" s="51">
        <v>34606926</v>
      </c>
      <c r="AC62" s="37">
        <v>0.02</v>
      </c>
      <c r="AD62" s="38">
        <f>Tabla43[[#This Row],[VALOR ATENCIÓN (7 MESES)]]*Tabla43[[#This Row],[% CONTRAPARTIDA]]</f>
        <v>692138.52</v>
      </c>
      <c r="AE62" s="12"/>
      <c r="AF62" s="12">
        <f>COUNTIF($A$22:A62,A62)</f>
        <v>9</v>
      </c>
      <c r="AG62" s="51">
        <v>34606926</v>
      </c>
      <c r="AH62" s="38">
        <f>Tabla43[[#This Row],[VALOR CONTRAPARTIDA]]+Tabla43[[#This Row],[TOTAL APORTES ICBF]]</f>
        <v>35299064.520000003</v>
      </c>
      <c r="AI62" s="35" t="str">
        <f>+IF(Tabla43[[#This Row],[AGRUPACIONES]]=1,SUMIFS(Tabla43[TOTAL APORTES ICBF],Tabla43[ZONA DEFINITIVO],Tabla43[[#This Row],[ZONA DEFINITIVO]])," ")</f>
        <v xml:space="preserve"> </v>
      </c>
      <c r="AJ62" s="38"/>
      <c r="AK62" s="38"/>
      <c r="AL62" s="23"/>
      <c r="AM62" s="35">
        <f>VLOOKUP(Tabla43[[#This Row],[SERVICIO 2025]],$J$2:$V$16,5,0)*Tabla43[[#This Row],[TOTAL COBERTURA]]</f>
        <v>888768</v>
      </c>
      <c r="AN62" s="35">
        <f>VLOOKUP(Tabla43[[#This Row],[SERVICIO 2025]],$J$2:$V$16,6,0)*Tabla43[[#This Row],[TOTAL COBERTURA]]</f>
        <v>738522</v>
      </c>
      <c r="AO62" s="35">
        <f>VLOOKUP(Tabla43[[#This Row],[SERVICIO 2025]],$J$2:$V$16,8,0)*Tabla43[[#This Row],[TOTAL COBERTURA]]</f>
        <v>523800</v>
      </c>
      <c r="AP62" s="35">
        <f>VLOOKUP(Tabla43[[#This Row],[SERVICIO 2025]],$J$2:$V$16,3,0)*Tabla43[[#This Row],[TOTAL COBERTURA]]*7</f>
        <v>32455836</v>
      </c>
      <c r="AQ62" s="35"/>
      <c r="AR6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34606926</v>
      </c>
      <c r="AS62" s="35" t="str">
        <f>+IF(Tabla43[[#This Row],[AGRUPACIONES]]=1,SUMIFS(Tabla43[VALOR TOTAL],Tabla43[ZONA DEFINITIVO],Tabla43[[#This Row],[ZONA DEFINITIVO]])," ")</f>
        <v xml:space="preserve"> </v>
      </c>
      <c r="AT6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6049116</v>
      </c>
      <c r="AU62" s="35">
        <f>VLOOKUP(Tabla43[[#This Row],[SERVICIO 2025]],$J$2:$V$16,3,0)*Tabla43[[#This Row],[TOTAL COBERTURA]]+Tabla43[[#This Row],[VALOR RACION PREPARADA]]/7</f>
        <v>4636548</v>
      </c>
      <c r="AV62" s="35">
        <f>VLOOKUP(Tabla43[[#This Row],[SERVICIO 2025]],$J$2:$V$16,3,0)*Tabla43[[#This Row],[TOTAL COBERTURA]]+Tabla43[[#This Row],[VALOR RACION PREPARADA]]/7</f>
        <v>4636548</v>
      </c>
      <c r="AW62" s="35">
        <f>VLOOKUP(Tabla43[[#This Row],[SERVICIO 2025]],$J$2:$V$16,3,0)*Tabla43[[#This Row],[TOTAL COBERTURA]]+Tabla43[[#This Row],[VALOR RACION PREPARADA]]/7</f>
        <v>4636548</v>
      </c>
      <c r="AX62" s="35">
        <f>VLOOKUP(Tabla43[[#This Row],[SERVICIO 2025]],$J$2:$V$16,3,0)*Tabla43[[#This Row],[TOTAL COBERTURA]]+Tabla43[[#This Row],[VALOR RACION PREPARADA]]/7</f>
        <v>4636548</v>
      </c>
      <c r="AY62" s="35">
        <f>VLOOKUP(Tabla43[[#This Row],[SERVICIO 2025]],$J$2:$V$16,3,0)*Tabla43[[#This Row],[TOTAL COBERTURA]]+Tabla43[[#This Row],[VALOR RACION PREPARADA]]/7</f>
        <v>4636548</v>
      </c>
      <c r="AZ62" s="35">
        <f>VLOOKUP(Tabla43[[#This Row],[SERVICIO 2025]],$J$2:$V$16,3,0)*Tabla43[[#This Row],[TOTAL COBERTURA]]+Tabla43[[#This Row],[VALOR RACION PREPARADA]]/7+Tabla43[[#This Row],[VALOR FASE PREPARATORIA DE CIERRE]]</f>
        <v>5375070</v>
      </c>
      <c r="BA62" s="35"/>
      <c r="BB62" s="35">
        <f>SUM(Tabla43[[#This Row],[DESEMBOLSO 1]:[DESEMBOLSO 8]])</f>
        <v>34606926</v>
      </c>
      <c r="BC62" s="55">
        <f>VLOOKUP(Tabla43[[#This Row],[SERVICIO 2025]],$J$2:$V$16,10,0)*Tabla43[[#This Row],[TOTAL COBERTURA]]*$W$3</f>
        <v>25975152</v>
      </c>
      <c r="BD62" s="47" t="s">
        <v>211</v>
      </c>
      <c r="BE62" s="12" t="b">
        <f>EXACT(Tabla43[[#This Row],[TOTAL APORTES ICBF]],Tabla43[[#This Row],[VALOR TOTAL]])</f>
        <v>1</v>
      </c>
      <c r="BF62" s="23">
        <f>SUM(Tabla43[[#This Row],[VALOR FASE PREPARATORIA DE ALISTAMIENTO]:[VALOR RACION PREPARADA]])-Tabla43[[#This Row],[VALOR TOTAL]]</f>
        <v>0</v>
      </c>
      <c r="BG62" s="12" t="b">
        <f>EXACT(Tabla43[[#This Row],[VALOR TOTAL]],Tabla43[[#This Row],[TOTAL DESEMBOLSOS]])</f>
        <v>1</v>
      </c>
      <c r="BH62" s="29">
        <f>Tabla43[[#This Row],[TOTAL DESEMBOLSOS]]-Tabla43[[#This Row],[VALOR TOTAL]]</f>
        <v>0</v>
      </c>
      <c r="BJ62" t="s">
        <v>3924</v>
      </c>
    </row>
    <row r="63" spans="1:62" hidden="1">
      <c r="A63" s="13">
        <v>1914</v>
      </c>
      <c r="B63" s="13"/>
      <c r="C63" s="12" t="s">
        <v>87</v>
      </c>
      <c r="D63" s="12" t="s">
        <v>462</v>
      </c>
      <c r="E63" s="12" t="s">
        <v>463</v>
      </c>
      <c r="F63" s="12" t="s">
        <v>18</v>
      </c>
      <c r="G63" s="12" t="s">
        <v>90</v>
      </c>
      <c r="H63" s="12" t="s">
        <v>3979</v>
      </c>
      <c r="I63" s="12">
        <v>50451119152</v>
      </c>
      <c r="J63" s="12" t="s">
        <v>3980</v>
      </c>
      <c r="K63" s="12">
        <v>1</v>
      </c>
      <c r="L63" s="12">
        <v>19</v>
      </c>
      <c r="M63" s="12"/>
      <c r="N63" s="13">
        <v>1914</v>
      </c>
      <c r="O63" s="12" t="s">
        <v>93</v>
      </c>
      <c r="P63" s="12"/>
      <c r="Q63" s="12"/>
      <c r="R63" s="12" t="s">
        <v>94</v>
      </c>
      <c r="S63" s="12">
        <v>10</v>
      </c>
      <c r="T63" s="12" t="s">
        <v>3962</v>
      </c>
      <c r="U63" s="12" t="s">
        <v>3963</v>
      </c>
      <c r="V63" s="12">
        <f>VLOOKUP(Tabla43[[#This Row],[ZONA DEFINITIVO]],Hoja1!$A$1:$D$129,3,0)</f>
        <v>229953</v>
      </c>
      <c r="W63" s="12">
        <f>VLOOKUP(Tabla43[[#This Row],[ZONA DEFINITIVO]],Hoja1!$A$1:$D$129,2,0)</f>
        <v>18580</v>
      </c>
      <c r="X63" s="12">
        <f>VLOOKUP(Tabla43[[#This Row],[ZONA DEFINITIVO]],Hoja1!$A$1:$D$129,4,0)</f>
        <v>116625</v>
      </c>
      <c r="Y63" s="12" t="str">
        <f>+IF(Tabla43[[#This Row],[AGRUPACIONES]]=1,SUMIFS(Tabla43[UDS],Tabla43[ZONA DEFINITIVO],Tabla43[[#This Row],[ZONA DEFINITIVO]])," ")</f>
        <v xml:space="preserve"> </v>
      </c>
      <c r="Z63" s="12" t="str">
        <f>+IF(Tabla43[[#This Row],[AGRUPACIONES]]=1,SUMIFS(Tabla43[TOTAL COBERTURA],Tabla43[ZONA DEFINITIVO],Tabla43[[#This Row],[ZONA DEFINITIVO]])," ")</f>
        <v xml:space="preserve"> </v>
      </c>
      <c r="AA63" s="12"/>
      <c r="AB63" s="51">
        <v>36529533</v>
      </c>
      <c r="AC63" s="37">
        <v>0.02</v>
      </c>
      <c r="AD63" s="38">
        <f>Tabla43[[#This Row],[VALOR ATENCIÓN (7 MESES)]]*Tabla43[[#This Row],[% CONTRAPARTIDA]]</f>
        <v>730590.66</v>
      </c>
      <c r="AE63" s="12"/>
      <c r="AF63" s="12">
        <f>COUNTIF($A$22:A63,A63)</f>
        <v>10</v>
      </c>
      <c r="AG63" s="51">
        <v>36529533</v>
      </c>
      <c r="AH63" s="38">
        <f>Tabla43[[#This Row],[VALOR CONTRAPARTIDA]]+Tabla43[[#This Row],[TOTAL APORTES ICBF]]</f>
        <v>37260123.659999996</v>
      </c>
      <c r="AI63" s="35" t="str">
        <f>+IF(Tabla43[[#This Row],[AGRUPACIONES]]=1,SUMIFS(Tabla43[TOTAL APORTES ICBF],Tabla43[ZONA DEFINITIVO],Tabla43[[#This Row],[ZONA DEFINITIVO]])," ")</f>
        <v xml:space="preserve"> </v>
      </c>
      <c r="AJ63" s="38"/>
      <c r="AK63" s="38"/>
      <c r="AL63" s="23"/>
      <c r="AM63" s="35">
        <f>VLOOKUP(Tabla43[[#This Row],[SERVICIO 2025]],$J$2:$V$16,5,0)*Tabla43[[#This Row],[TOTAL COBERTURA]]</f>
        <v>938144</v>
      </c>
      <c r="AN63" s="35">
        <f>VLOOKUP(Tabla43[[#This Row],[SERVICIO 2025]],$J$2:$V$16,6,0)*Tabla43[[#This Row],[TOTAL COBERTURA]]</f>
        <v>779551</v>
      </c>
      <c r="AO63" s="35">
        <f>VLOOKUP(Tabla43[[#This Row],[SERVICIO 2025]],$J$2:$V$16,8,0)*Tabla43[[#This Row],[TOTAL COBERTURA]]</f>
        <v>552900</v>
      </c>
      <c r="AP63" s="35">
        <f>VLOOKUP(Tabla43[[#This Row],[SERVICIO 2025]],$J$2:$V$16,3,0)*Tabla43[[#This Row],[TOTAL COBERTURA]]*7</f>
        <v>34258938</v>
      </c>
      <c r="AQ63" s="35"/>
      <c r="AR6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36529533</v>
      </c>
      <c r="AS63" s="35" t="str">
        <f>+IF(Tabla43[[#This Row],[AGRUPACIONES]]=1,SUMIFS(Tabla43[VALOR TOTAL],Tabla43[ZONA DEFINITIVO],Tabla43[[#This Row],[ZONA DEFINITIVO]])," ")</f>
        <v xml:space="preserve"> </v>
      </c>
      <c r="AT6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6385178</v>
      </c>
      <c r="AU63" s="35">
        <f>VLOOKUP(Tabla43[[#This Row],[SERVICIO 2025]],$J$2:$V$16,3,0)*Tabla43[[#This Row],[TOTAL COBERTURA]]+Tabla43[[#This Row],[VALOR RACION PREPARADA]]/7</f>
        <v>4894134</v>
      </c>
      <c r="AV63" s="35">
        <f>VLOOKUP(Tabla43[[#This Row],[SERVICIO 2025]],$J$2:$V$16,3,0)*Tabla43[[#This Row],[TOTAL COBERTURA]]+Tabla43[[#This Row],[VALOR RACION PREPARADA]]/7</f>
        <v>4894134</v>
      </c>
      <c r="AW63" s="35">
        <f>VLOOKUP(Tabla43[[#This Row],[SERVICIO 2025]],$J$2:$V$16,3,0)*Tabla43[[#This Row],[TOTAL COBERTURA]]+Tabla43[[#This Row],[VALOR RACION PREPARADA]]/7</f>
        <v>4894134</v>
      </c>
      <c r="AX63" s="35">
        <f>VLOOKUP(Tabla43[[#This Row],[SERVICIO 2025]],$J$2:$V$16,3,0)*Tabla43[[#This Row],[TOTAL COBERTURA]]+Tabla43[[#This Row],[VALOR RACION PREPARADA]]/7</f>
        <v>4894134</v>
      </c>
      <c r="AY63" s="35">
        <f>VLOOKUP(Tabla43[[#This Row],[SERVICIO 2025]],$J$2:$V$16,3,0)*Tabla43[[#This Row],[TOTAL COBERTURA]]+Tabla43[[#This Row],[VALOR RACION PREPARADA]]/7</f>
        <v>4894134</v>
      </c>
      <c r="AZ63" s="35">
        <f>VLOOKUP(Tabla43[[#This Row],[SERVICIO 2025]],$J$2:$V$16,3,0)*Tabla43[[#This Row],[TOTAL COBERTURA]]+Tabla43[[#This Row],[VALOR RACION PREPARADA]]/7+Tabla43[[#This Row],[VALOR FASE PREPARATORIA DE CIERRE]]</f>
        <v>5673685</v>
      </c>
      <c r="BA63" s="35"/>
      <c r="BB63" s="35">
        <f>SUM(Tabla43[[#This Row],[DESEMBOLSO 1]:[DESEMBOLSO 8]])</f>
        <v>36529533</v>
      </c>
      <c r="BC63" s="55">
        <f>VLOOKUP(Tabla43[[#This Row],[SERVICIO 2025]],$J$2:$V$16,10,0)*Tabla43[[#This Row],[TOTAL COBERTURA]]*$W$3</f>
        <v>27418216</v>
      </c>
      <c r="BD63" s="47" t="s">
        <v>211</v>
      </c>
      <c r="BE63" s="12" t="b">
        <f>EXACT(Tabla43[[#This Row],[TOTAL APORTES ICBF]],Tabla43[[#This Row],[VALOR TOTAL]])</f>
        <v>1</v>
      </c>
      <c r="BF63" s="23">
        <f>SUM(Tabla43[[#This Row],[VALOR FASE PREPARATORIA DE ALISTAMIENTO]:[VALOR RACION PREPARADA]])-Tabla43[[#This Row],[VALOR TOTAL]]</f>
        <v>0</v>
      </c>
      <c r="BG63" s="12" t="b">
        <f>EXACT(Tabla43[[#This Row],[VALOR TOTAL]],Tabla43[[#This Row],[TOTAL DESEMBOLSOS]])</f>
        <v>1</v>
      </c>
      <c r="BH63" s="29">
        <f>Tabla43[[#This Row],[TOTAL DESEMBOLSOS]]-Tabla43[[#This Row],[VALOR TOTAL]]</f>
        <v>0</v>
      </c>
      <c r="BJ63" t="s">
        <v>3924</v>
      </c>
    </row>
    <row r="64" spans="1:62" hidden="1">
      <c r="A64" s="13">
        <v>1914</v>
      </c>
      <c r="B64" s="13"/>
      <c r="C64" s="12" t="s">
        <v>87</v>
      </c>
      <c r="D64" s="12" t="s">
        <v>462</v>
      </c>
      <c r="E64" s="12" t="s">
        <v>463</v>
      </c>
      <c r="F64" s="12" t="s">
        <v>18</v>
      </c>
      <c r="G64" s="12" t="s">
        <v>90</v>
      </c>
      <c r="H64" s="12" t="s">
        <v>969</v>
      </c>
      <c r="I64" s="12">
        <v>50451119154</v>
      </c>
      <c r="J64" s="12" t="s">
        <v>3981</v>
      </c>
      <c r="K64" s="12">
        <v>1</v>
      </c>
      <c r="L64" s="12">
        <v>16</v>
      </c>
      <c r="M64" s="12"/>
      <c r="N64" s="13">
        <v>1914</v>
      </c>
      <c r="O64" s="12" t="s">
        <v>93</v>
      </c>
      <c r="P64" s="12"/>
      <c r="Q64" s="12"/>
      <c r="R64" s="12" t="s">
        <v>94</v>
      </c>
      <c r="S64" s="12">
        <v>10</v>
      </c>
      <c r="T64" s="12" t="s">
        <v>3962</v>
      </c>
      <c r="U64" s="12" t="s">
        <v>3963</v>
      </c>
      <c r="V64" s="12">
        <f>VLOOKUP(Tabla43[[#This Row],[ZONA DEFINITIVO]],Hoja1!$A$1:$D$129,3,0)</f>
        <v>229953</v>
      </c>
      <c r="W64" s="12">
        <f>VLOOKUP(Tabla43[[#This Row],[ZONA DEFINITIVO]],Hoja1!$A$1:$D$129,2,0)</f>
        <v>18580</v>
      </c>
      <c r="X64" s="12">
        <f>VLOOKUP(Tabla43[[#This Row],[ZONA DEFINITIVO]],Hoja1!$A$1:$D$129,4,0)</f>
        <v>116625</v>
      </c>
      <c r="Y64" s="12" t="str">
        <f>+IF(Tabla43[[#This Row],[AGRUPACIONES]]=1,SUMIFS(Tabla43[UDS],Tabla43[ZONA DEFINITIVO],Tabla43[[#This Row],[ZONA DEFINITIVO]])," ")</f>
        <v xml:space="preserve"> </v>
      </c>
      <c r="Z64" s="12" t="str">
        <f>+IF(Tabla43[[#This Row],[AGRUPACIONES]]=1,SUMIFS(Tabla43[TOTAL COBERTURA],Tabla43[ZONA DEFINITIVO],Tabla43[[#This Row],[ZONA DEFINITIVO]])," ")</f>
        <v xml:space="preserve"> </v>
      </c>
      <c r="AA64" s="12"/>
      <c r="AB64" s="51">
        <v>30761712</v>
      </c>
      <c r="AC64" s="37">
        <v>0.02</v>
      </c>
      <c r="AD64" s="38">
        <f>Tabla43[[#This Row],[VALOR ATENCIÓN (7 MESES)]]*Tabla43[[#This Row],[% CONTRAPARTIDA]]</f>
        <v>615234.24</v>
      </c>
      <c r="AE64" s="12"/>
      <c r="AF64" s="12">
        <f>COUNTIF($A$22:A64,A64)</f>
        <v>11</v>
      </c>
      <c r="AG64" s="51">
        <v>30761712</v>
      </c>
      <c r="AH64" s="38">
        <f>Tabla43[[#This Row],[VALOR CONTRAPARTIDA]]+Tabla43[[#This Row],[TOTAL APORTES ICBF]]</f>
        <v>31376946.239999998</v>
      </c>
      <c r="AI64" s="35" t="str">
        <f>+IF(Tabla43[[#This Row],[AGRUPACIONES]]=1,SUMIFS(Tabla43[TOTAL APORTES ICBF],Tabla43[ZONA DEFINITIVO],Tabla43[[#This Row],[ZONA DEFINITIVO]])," ")</f>
        <v xml:space="preserve"> </v>
      </c>
      <c r="AJ64" s="38"/>
      <c r="AK64" s="38"/>
      <c r="AL64" s="23"/>
      <c r="AM64" s="35">
        <f>VLOOKUP(Tabla43[[#This Row],[SERVICIO 2025]],$J$2:$V$16,5,0)*Tabla43[[#This Row],[TOTAL COBERTURA]]</f>
        <v>790016</v>
      </c>
      <c r="AN64" s="35">
        <f>VLOOKUP(Tabla43[[#This Row],[SERVICIO 2025]],$J$2:$V$16,6,0)*Tabla43[[#This Row],[TOTAL COBERTURA]]</f>
        <v>656464</v>
      </c>
      <c r="AO64" s="35">
        <f>VLOOKUP(Tabla43[[#This Row],[SERVICIO 2025]],$J$2:$V$16,8,0)*Tabla43[[#This Row],[TOTAL COBERTURA]]</f>
        <v>465600</v>
      </c>
      <c r="AP64" s="35">
        <f>VLOOKUP(Tabla43[[#This Row],[SERVICIO 2025]],$J$2:$V$16,3,0)*Tabla43[[#This Row],[TOTAL COBERTURA]]*7</f>
        <v>28849632</v>
      </c>
      <c r="AQ64" s="35"/>
      <c r="AR6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64" s="35" t="str">
        <f>+IF(Tabla43[[#This Row],[AGRUPACIONES]]=1,SUMIFS(Tabla43[VALOR TOTAL],Tabla43[ZONA DEFINITIVO],Tabla43[[#This Row],[ZONA DEFINITIVO]])," ")</f>
        <v xml:space="preserve"> </v>
      </c>
      <c r="AT6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64" s="35">
        <f>VLOOKUP(Tabla43[[#This Row],[SERVICIO 2025]],$J$2:$V$16,3,0)*Tabla43[[#This Row],[TOTAL COBERTURA]]+Tabla43[[#This Row],[VALOR RACION PREPARADA]]/7</f>
        <v>4121376</v>
      </c>
      <c r="AV64" s="35">
        <f>VLOOKUP(Tabla43[[#This Row],[SERVICIO 2025]],$J$2:$V$16,3,0)*Tabla43[[#This Row],[TOTAL COBERTURA]]+Tabla43[[#This Row],[VALOR RACION PREPARADA]]/7</f>
        <v>4121376</v>
      </c>
      <c r="AW64" s="35">
        <f>VLOOKUP(Tabla43[[#This Row],[SERVICIO 2025]],$J$2:$V$16,3,0)*Tabla43[[#This Row],[TOTAL COBERTURA]]+Tabla43[[#This Row],[VALOR RACION PREPARADA]]/7</f>
        <v>4121376</v>
      </c>
      <c r="AX64" s="35">
        <f>VLOOKUP(Tabla43[[#This Row],[SERVICIO 2025]],$J$2:$V$16,3,0)*Tabla43[[#This Row],[TOTAL COBERTURA]]+Tabla43[[#This Row],[VALOR RACION PREPARADA]]/7</f>
        <v>4121376</v>
      </c>
      <c r="AY64" s="35">
        <f>VLOOKUP(Tabla43[[#This Row],[SERVICIO 2025]],$J$2:$V$16,3,0)*Tabla43[[#This Row],[TOTAL COBERTURA]]+Tabla43[[#This Row],[VALOR RACION PREPARADA]]/7</f>
        <v>4121376</v>
      </c>
      <c r="AZ64" s="35">
        <f>VLOOKUP(Tabla43[[#This Row],[SERVICIO 2025]],$J$2:$V$16,3,0)*Tabla43[[#This Row],[TOTAL COBERTURA]]+Tabla43[[#This Row],[VALOR RACION PREPARADA]]/7+Tabla43[[#This Row],[VALOR FASE PREPARATORIA DE CIERRE]]</f>
        <v>4777840</v>
      </c>
      <c r="BA64" s="35"/>
      <c r="BB64" s="35">
        <f>SUM(Tabla43[[#This Row],[DESEMBOLSO 1]:[DESEMBOLSO 8]])</f>
        <v>30761712</v>
      </c>
      <c r="BC64" s="55">
        <f>VLOOKUP(Tabla43[[#This Row],[SERVICIO 2025]],$J$2:$V$16,10,0)*Tabla43[[#This Row],[TOTAL COBERTURA]]*$W$3</f>
        <v>23089024</v>
      </c>
      <c r="BD64" s="47" t="s">
        <v>211</v>
      </c>
      <c r="BE64" s="12" t="b">
        <f>EXACT(Tabla43[[#This Row],[TOTAL APORTES ICBF]],Tabla43[[#This Row],[VALOR TOTAL]])</f>
        <v>1</v>
      </c>
      <c r="BF64" s="23">
        <f>SUM(Tabla43[[#This Row],[VALOR FASE PREPARATORIA DE ALISTAMIENTO]:[VALOR RACION PREPARADA]])-Tabla43[[#This Row],[VALOR TOTAL]]</f>
        <v>0</v>
      </c>
      <c r="BG64" s="12" t="b">
        <f>EXACT(Tabla43[[#This Row],[VALOR TOTAL]],Tabla43[[#This Row],[TOTAL DESEMBOLSOS]])</f>
        <v>1</v>
      </c>
      <c r="BH64" s="29">
        <f>Tabla43[[#This Row],[TOTAL DESEMBOLSOS]]-Tabla43[[#This Row],[VALOR TOTAL]]</f>
        <v>0</v>
      </c>
      <c r="BJ64" t="s">
        <v>3924</v>
      </c>
    </row>
    <row r="65" spans="1:62" hidden="1">
      <c r="A65" s="13">
        <v>1914</v>
      </c>
      <c r="B65" s="13"/>
      <c r="C65" s="12" t="s">
        <v>87</v>
      </c>
      <c r="D65" s="12" t="s">
        <v>462</v>
      </c>
      <c r="E65" s="12" t="s">
        <v>463</v>
      </c>
      <c r="F65" s="12" t="s">
        <v>18</v>
      </c>
      <c r="G65" s="12" t="s">
        <v>90</v>
      </c>
      <c r="H65" s="12" t="s">
        <v>3969</v>
      </c>
      <c r="I65" s="12">
        <v>50451119155</v>
      </c>
      <c r="J65" s="12" t="s">
        <v>3982</v>
      </c>
      <c r="K65" s="12">
        <v>1</v>
      </c>
      <c r="L65" s="12">
        <v>72</v>
      </c>
      <c r="M65" s="12"/>
      <c r="N65" s="13">
        <v>1914</v>
      </c>
      <c r="O65" s="12" t="s">
        <v>93</v>
      </c>
      <c r="P65" s="12"/>
      <c r="Q65" s="12"/>
      <c r="R65" s="12" t="s">
        <v>94</v>
      </c>
      <c r="S65" s="12">
        <v>10</v>
      </c>
      <c r="T65" s="12" t="s">
        <v>3962</v>
      </c>
      <c r="U65" s="12" t="s">
        <v>3963</v>
      </c>
      <c r="V65" s="12">
        <f>VLOOKUP(Tabla43[[#This Row],[ZONA DEFINITIVO]],Hoja1!$A$1:$D$129,3,0)</f>
        <v>229953</v>
      </c>
      <c r="W65" s="12">
        <f>VLOOKUP(Tabla43[[#This Row],[ZONA DEFINITIVO]],Hoja1!$A$1:$D$129,2,0)</f>
        <v>18580</v>
      </c>
      <c r="X65" s="12">
        <f>VLOOKUP(Tabla43[[#This Row],[ZONA DEFINITIVO]],Hoja1!$A$1:$D$129,4,0)</f>
        <v>116625</v>
      </c>
      <c r="Y65" s="12" t="str">
        <f>+IF(Tabla43[[#This Row],[AGRUPACIONES]]=1,SUMIFS(Tabla43[UDS],Tabla43[ZONA DEFINITIVO],Tabla43[[#This Row],[ZONA DEFINITIVO]])," ")</f>
        <v xml:space="preserve"> </v>
      </c>
      <c r="Z65" s="12" t="str">
        <f>+IF(Tabla43[[#This Row],[AGRUPACIONES]]=1,SUMIFS(Tabla43[TOTAL COBERTURA],Tabla43[ZONA DEFINITIVO],Tabla43[[#This Row],[ZONA DEFINITIVO]])," ")</f>
        <v xml:space="preserve"> </v>
      </c>
      <c r="AA65" s="12"/>
      <c r="AB65" s="51">
        <v>138427704</v>
      </c>
      <c r="AC65" s="37">
        <v>0.02</v>
      </c>
      <c r="AD65" s="38">
        <f>Tabla43[[#This Row],[VALOR ATENCIÓN (7 MESES)]]*Tabla43[[#This Row],[% CONTRAPARTIDA]]</f>
        <v>2768554.08</v>
      </c>
      <c r="AE65" s="12"/>
      <c r="AF65" s="12">
        <f>COUNTIF($A$22:A65,A65)</f>
        <v>12</v>
      </c>
      <c r="AG65" s="51">
        <v>138427704</v>
      </c>
      <c r="AH65" s="38">
        <f>Tabla43[[#This Row],[VALOR CONTRAPARTIDA]]+Tabla43[[#This Row],[TOTAL APORTES ICBF]]</f>
        <v>141196258.08000001</v>
      </c>
      <c r="AI65" s="35" t="str">
        <f>+IF(Tabla43[[#This Row],[AGRUPACIONES]]=1,SUMIFS(Tabla43[TOTAL APORTES ICBF],Tabla43[ZONA DEFINITIVO],Tabla43[[#This Row],[ZONA DEFINITIVO]])," ")</f>
        <v xml:space="preserve"> </v>
      </c>
      <c r="AJ65" s="38"/>
      <c r="AK65" s="38"/>
      <c r="AL65" s="23"/>
      <c r="AM65" s="35">
        <f>VLOOKUP(Tabla43[[#This Row],[SERVICIO 2025]],$J$2:$V$16,5,0)*Tabla43[[#This Row],[TOTAL COBERTURA]]</f>
        <v>3555072</v>
      </c>
      <c r="AN65" s="35">
        <f>VLOOKUP(Tabla43[[#This Row],[SERVICIO 2025]],$J$2:$V$16,6,0)*Tabla43[[#This Row],[TOTAL COBERTURA]]</f>
        <v>2954088</v>
      </c>
      <c r="AO65" s="35">
        <f>VLOOKUP(Tabla43[[#This Row],[SERVICIO 2025]],$J$2:$V$16,8,0)*Tabla43[[#This Row],[TOTAL COBERTURA]]</f>
        <v>2095200</v>
      </c>
      <c r="AP65" s="35">
        <f>VLOOKUP(Tabla43[[#This Row],[SERVICIO 2025]],$J$2:$V$16,3,0)*Tabla43[[#This Row],[TOTAL COBERTURA]]*7</f>
        <v>129823344</v>
      </c>
      <c r="AQ65" s="35"/>
      <c r="AR6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138427704</v>
      </c>
      <c r="AS65" s="35" t="str">
        <f>+IF(Tabla43[[#This Row],[AGRUPACIONES]]=1,SUMIFS(Tabla43[VALOR TOTAL],Tabla43[ZONA DEFINITIVO],Tabla43[[#This Row],[ZONA DEFINITIVO]])," ")</f>
        <v xml:space="preserve"> </v>
      </c>
      <c r="AT6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24196464</v>
      </c>
      <c r="AU65" s="35">
        <f>VLOOKUP(Tabla43[[#This Row],[SERVICIO 2025]],$J$2:$V$16,3,0)*Tabla43[[#This Row],[TOTAL COBERTURA]]+Tabla43[[#This Row],[VALOR RACION PREPARADA]]/7</f>
        <v>18546192</v>
      </c>
      <c r="AV65" s="35">
        <f>VLOOKUP(Tabla43[[#This Row],[SERVICIO 2025]],$J$2:$V$16,3,0)*Tabla43[[#This Row],[TOTAL COBERTURA]]+Tabla43[[#This Row],[VALOR RACION PREPARADA]]/7</f>
        <v>18546192</v>
      </c>
      <c r="AW65" s="35">
        <f>VLOOKUP(Tabla43[[#This Row],[SERVICIO 2025]],$J$2:$V$16,3,0)*Tabla43[[#This Row],[TOTAL COBERTURA]]+Tabla43[[#This Row],[VALOR RACION PREPARADA]]/7</f>
        <v>18546192</v>
      </c>
      <c r="AX65" s="35">
        <f>VLOOKUP(Tabla43[[#This Row],[SERVICIO 2025]],$J$2:$V$16,3,0)*Tabla43[[#This Row],[TOTAL COBERTURA]]+Tabla43[[#This Row],[VALOR RACION PREPARADA]]/7</f>
        <v>18546192</v>
      </c>
      <c r="AY65" s="35">
        <f>VLOOKUP(Tabla43[[#This Row],[SERVICIO 2025]],$J$2:$V$16,3,0)*Tabla43[[#This Row],[TOTAL COBERTURA]]+Tabla43[[#This Row],[VALOR RACION PREPARADA]]/7</f>
        <v>18546192</v>
      </c>
      <c r="AZ65" s="35">
        <f>VLOOKUP(Tabla43[[#This Row],[SERVICIO 2025]],$J$2:$V$16,3,0)*Tabla43[[#This Row],[TOTAL COBERTURA]]+Tabla43[[#This Row],[VALOR RACION PREPARADA]]/7+Tabla43[[#This Row],[VALOR FASE PREPARATORIA DE CIERRE]]</f>
        <v>21500280</v>
      </c>
      <c r="BA65" s="35"/>
      <c r="BB65" s="35">
        <f>SUM(Tabla43[[#This Row],[DESEMBOLSO 1]:[DESEMBOLSO 8]])</f>
        <v>138427704</v>
      </c>
      <c r="BC65" s="55">
        <f>VLOOKUP(Tabla43[[#This Row],[SERVICIO 2025]],$J$2:$V$16,10,0)*Tabla43[[#This Row],[TOTAL COBERTURA]]*$W$3</f>
        <v>103900608</v>
      </c>
      <c r="BD65" s="47" t="s">
        <v>211</v>
      </c>
      <c r="BE65" s="12" t="b">
        <f>EXACT(Tabla43[[#This Row],[TOTAL APORTES ICBF]],Tabla43[[#This Row],[VALOR TOTAL]])</f>
        <v>1</v>
      </c>
      <c r="BF65" s="23">
        <f>SUM(Tabla43[[#This Row],[VALOR FASE PREPARATORIA DE ALISTAMIENTO]:[VALOR RACION PREPARADA]])-Tabla43[[#This Row],[VALOR TOTAL]]</f>
        <v>0</v>
      </c>
      <c r="BG65" s="12" t="b">
        <f>EXACT(Tabla43[[#This Row],[VALOR TOTAL]],Tabla43[[#This Row],[TOTAL DESEMBOLSOS]])</f>
        <v>1</v>
      </c>
      <c r="BH65" s="29">
        <f>Tabla43[[#This Row],[TOTAL DESEMBOLSOS]]-Tabla43[[#This Row],[VALOR TOTAL]]</f>
        <v>0</v>
      </c>
      <c r="BJ65" t="s">
        <v>3924</v>
      </c>
    </row>
    <row r="66" spans="1:62" hidden="1">
      <c r="A66" s="13">
        <v>1914</v>
      </c>
      <c r="B66" s="13"/>
      <c r="C66" s="12" t="s">
        <v>87</v>
      </c>
      <c r="D66" s="12" t="s">
        <v>462</v>
      </c>
      <c r="E66" s="12" t="s">
        <v>463</v>
      </c>
      <c r="F66" s="12" t="s">
        <v>18</v>
      </c>
      <c r="G66" s="12" t="s">
        <v>90</v>
      </c>
      <c r="H66" s="12" t="s">
        <v>2302</v>
      </c>
      <c r="I66" s="12">
        <v>50451119187</v>
      </c>
      <c r="J66" s="12" t="s">
        <v>3983</v>
      </c>
      <c r="K66" s="12">
        <v>1</v>
      </c>
      <c r="L66" s="12">
        <v>17</v>
      </c>
      <c r="M66" s="12"/>
      <c r="N66" s="13">
        <v>1914</v>
      </c>
      <c r="O66" s="12" t="s">
        <v>93</v>
      </c>
      <c r="P66" s="12"/>
      <c r="Q66" s="12"/>
      <c r="R66" s="12" t="s">
        <v>94</v>
      </c>
      <c r="S66" s="12">
        <v>10</v>
      </c>
      <c r="T66" s="12" t="s">
        <v>3962</v>
      </c>
      <c r="U66" s="12" t="s">
        <v>3963</v>
      </c>
      <c r="V66" s="12">
        <f>VLOOKUP(Tabla43[[#This Row],[ZONA DEFINITIVO]],Hoja1!$A$1:$D$129,3,0)</f>
        <v>229953</v>
      </c>
      <c r="W66" s="12">
        <f>VLOOKUP(Tabla43[[#This Row],[ZONA DEFINITIVO]],Hoja1!$A$1:$D$129,2,0)</f>
        <v>18580</v>
      </c>
      <c r="X66" s="12">
        <f>VLOOKUP(Tabla43[[#This Row],[ZONA DEFINITIVO]],Hoja1!$A$1:$D$129,4,0)</f>
        <v>116625</v>
      </c>
      <c r="Y66" s="12" t="str">
        <f>+IF(Tabla43[[#This Row],[AGRUPACIONES]]=1,SUMIFS(Tabla43[UDS],Tabla43[ZONA DEFINITIVO],Tabla43[[#This Row],[ZONA DEFINITIVO]])," ")</f>
        <v xml:space="preserve"> </v>
      </c>
      <c r="Z66" s="12" t="str">
        <f>+IF(Tabla43[[#This Row],[AGRUPACIONES]]=1,SUMIFS(Tabla43[TOTAL COBERTURA],Tabla43[ZONA DEFINITIVO],Tabla43[[#This Row],[ZONA DEFINITIVO]])," ")</f>
        <v xml:space="preserve"> </v>
      </c>
      <c r="AA66" s="12"/>
      <c r="AB66" s="51">
        <v>32684319</v>
      </c>
      <c r="AC66" s="37">
        <v>0.02</v>
      </c>
      <c r="AD66" s="38">
        <f>Tabla43[[#This Row],[VALOR ATENCIÓN (7 MESES)]]*Tabla43[[#This Row],[% CONTRAPARTIDA]]</f>
        <v>653686.38</v>
      </c>
      <c r="AE66" s="12"/>
      <c r="AF66" s="12">
        <f>COUNTIF($A$22:A66,A66)</f>
        <v>13</v>
      </c>
      <c r="AG66" s="51">
        <v>32684319</v>
      </c>
      <c r="AH66" s="38">
        <f>Tabla43[[#This Row],[VALOR CONTRAPARTIDA]]+Tabla43[[#This Row],[TOTAL APORTES ICBF]]</f>
        <v>33338005.379999999</v>
      </c>
      <c r="AI66" s="35" t="str">
        <f>+IF(Tabla43[[#This Row],[AGRUPACIONES]]=1,SUMIFS(Tabla43[TOTAL APORTES ICBF],Tabla43[ZONA DEFINITIVO],Tabla43[[#This Row],[ZONA DEFINITIVO]])," ")</f>
        <v xml:space="preserve"> </v>
      </c>
      <c r="AJ66" s="38"/>
      <c r="AK66" s="38"/>
      <c r="AL66" s="23"/>
      <c r="AM66" s="35">
        <f>VLOOKUP(Tabla43[[#This Row],[SERVICIO 2025]],$J$2:$V$16,5,0)*Tabla43[[#This Row],[TOTAL COBERTURA]]</f>
        <v>839392</v>
      </c>
      <c r="AN66" s="35">
        <f>VLOOKUP(Tabla43[[#This Row],[SERVICIO 2025]],$J$2:$V$16,6,0)*Tabla43[[#This Row],[TOTAL COBERTURA]]</f>
        <v>697493</v>
      </c>
      <c r="AO66" s="35">
        <f>VLOOKUP(Tabla43[[#This Row],[SERVICIO 2025]],$J$2:$V$16,8,0)*Tabla43[[#This Row],[TOTAL COBERTURA]]</f>
        <v>494700</v>
      </c>
      <c r="AP66" s="35">
        <f>VLOOKUP(Tabla43[[#This Row],[SERVICIO 2025]],$J$2:$V$16,3,0)*Tabla43[[#This Row],[TOTAL COBERTURA]]*7</f>
        <v>30652734</v>
      </c>
      <c r="AQ66" s="35"/>
      <c r="AR6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32684319</v>
      </c>
      <c r="AS66" s="35" t="str">
        <f>+IF(Tabla43[[#This Row],[AGRUPACIONES]]=1,SUMIFS(Tabla43[VALOR TOTAL],Tabla43[ZONA DEFINITIVO],Tabla43[[#This Row],[ZONA DEFINITIVO]])," ")</f>
        <v xml:space="preserve"> </v>
      </c>
      <c r="AT6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5713054</v>
      </c>
      <c r="AU66" s="35">
        <f>VLOOKUP(Tabla43[[#This Row],[SERVICIO 2025]],$J$2:$V$16,3,0)*Tabla43[[#This Row],[TOTAL COBERTURA]]+Tabla43[[#This Row],[VALOR RACION PREPARADA]]/7</f>
        <v>4378962</v>
      </c>
      <c r="AV66" s="35">
        <f>VLOOKUP(Tabla43[[#This Row],[SERVICIO 2025]],$J$2:$V$16,3,0)*Tabla43[[#This Row],[TOTAL COBERTURA]]+Tabla43[[#This Row],[VALOR RACION PREPARADA]]/7</f>
        <v>4378962</v>
      </c>
      <c r="AW66" s="35">
        <f>VLOOKUP(Tabla43[[#This Row],[SERVICIO 2025]],$J$2:$V$16,3,0)*Tabla43[[#This Row],[TOTAL COBERTURA]]+Tabla43[[#This Row],[VALOR RACION PREPARADA]]/7</f>
        <v>4378962</v>
      </c>
      <c r="AX66" s="35">
        <f>VLOOKUP(Tabla43[[#This Row],[SERVICIO 2025]],$J$2:$V$16,3,0)*Tabla43[[#This Row],[TOTAL COBERTURA]]+Tabla43[[#This Row],[VALOR RACION PREPARADA]]/7</f>
        <v>4378962</v>
      </c>
      <c r="AY66" s="35">
        <f>VLOOKUP(Tabla43[[#This Row],[SERVICIO 2025]],$J$2:$V$16,3,0)*Tabla43[[#This Row],[TOTAL COBERTURA]]+Tabla43[[#This Row],[VALOR RACION PREPARADA]]/7</f>
        <v>4378962</v>
      </c>
      <c r="AZ66" s="35">
        <f>VLOOKUP(Tabla43[[#This Row],[SERVICIO 2025]],$J$2:$V$16,3,0)*Tabla43[[#This Row],[TOTAL COBERTURA]]+Tabla43[[#This Row],[VALOR RACION PREPARADA]]/7+Tabla43[[#This Row],[VALOR FASE PREPARATORIA DE CIERRE]]</f>
        <v>5076455</v>
      </c>
      <c r="BA66" s="35"/>
      <c r="BB66" s="35">
        <f>SUM(Tabla43[[#This Row],[DESEMBOLSO 1]:[DESEMBOLSO 8]])</f>
        <v>32684319</v>
      </c>
      <c r="BC66" s="55">
        <f>VLOOKUP(Tabla43[[#This Row],[SERVICIO 2025]],$J$2:$V$16,10,0)*Tabla43[[#This Row],[TOTAL COBERTURA]]*$W$3</f>
        <v>24532088</v>
      </c>
      <c r="BD66" s="47" t="s">
        <v>211</v>
      </c>
      <c r="BE66" s="12" t="b">
        <f>EXACT(Tabla43[[#This Row],[TOTAL APORTES ICBF]],Tabla43[[#This Row],[VALOR TOTAL]])</f>
        <v>1</v>
      </c>
      <c r="BF66" s="23">
        <f>SUM(Tabla43[[#This Row],[VALOR FASE PREPARATORIA DE ALISTAMIENTO]:[VALOR RACION PREPARADA]])-Tabla43[[#This Row],[VALOR TOTAL]]</f>
        <v>0</v>
      </c>
      <c r="BG66" s="12" t="b">
        <f>EXACT(Tabla43[[#This Row],[VALOR TOTAL]],Tabla43[[#This Row],[TOTAL DESEMBOLSOS]])</f>
        <v>1</v>
      </c>
      <c r="BH66" s="29">
        <f>Tabla43[[#This Row],[TOTAL DESEMBOLSOS]]-Tabla43[[#This Row],[VALOR TOTAL]]</f>
        <v>0</v>
      </c>
      <c r="BJ66" t="s">
        <v>3924</v>
      </c>
    </row>
    <row r="67" spans="1:62" hidden="1">
      <c r="A67" s="13">
        <v>1914</v>
      </c>
      <c r="B67" s="13"/>
      <c r="C67" s="12" t="s">
        <v>87</v>
      </c>
      <c r="D67" s="12" t="s">
        <v>462</v>
      </c>
      <c r="E67" s="12" t="s">
        <v>463</v>
      </c>
      <c r="F67" s="12" t="s">
        <v>18</v>
      </c>
      <c r="G67" s="12" t="s">
        <v>90</v>
      </c>
      <c r="H67" s="12" t="s">
        <v>3984</v>
      </c>
      <c r="I67" s="12">
        <v>50451135545</v>
      </c>
      <c r="J67" s="12" t="s">
        <v>3985</v>
      </c>
      <c r="K67" s="12">
        <v>1</v>
      </c>
      <c r="L67" s="12">
        <v>16</v>
      </c>
      <c r="M67" s="12"/>
      <c r="N67" s="13">
        <v>1914</v>
      </c>
      <c r="O67" s="12" t="s">
        <v>93</v>
      </c>
      <c r="P67" s="12"/>
      <c r="Q67" s="12"/>
      <c r="R67" s="12" t="s">
        <v>94</v>
      </c>
      <c r="S67" s="12">
        <v>10</v>
      </c>
      <c r="T67" s="12" t="s">
        <v>3962</v>
      </c>
      <c r="U67" s="12" t="s">
        <v>3963</v>
      </c>
      <c r="V67" s="12">
        <f>VLOOKUP(Tabla43[[#This Row],[ZONA DEFINITIVO]],Hoja1!$A$1:$D$129,3,0)</f>
        <v>229953</v>
      </c>
      <c r="W67" s="12">
        <f>VLOOKUP(Tabla43[[#This Row],[ZONA DEFINITIVO]],Hoja1!$A$1:$D$129,2,0)</f>
        <v>18580</v>
      </c>
      <c r="X67" s="12">
        <f>VLOOKUP(Tabla43[[#This Row],[ZONA DEFINITIVO]],Hoja1!$A$1:$D$129,4,0)</f>
        <v>116625</v>
      </c>
      <c r="Y67" s="12" t="str">
        <f>+IF(Tabla43[[#This Row],[AGRUPACIONES]]=1,SUMIFS(Tabla43[UDS],Tabla43[ZONA DEFINITIVO],Tabla43[[#This Row],[ZONA DEFINITIVO]])," ")</f>
        <v xml:space="preserve"> </v>
      </c>
      <c r="Z67" s="12" t="str">
        <f>+IF(Tabla43[[#This Row],[AGRUPACIONES]]=1,SUMIFS(Tabla43[TOTAL COBERTURA],Tabla43[ZONA DEFINITIVO],Tabla43[[#This Row],[ZONA DEFINITIVO]])," ")</f>
        <v xml:space="preserve"> </v>
      </c>
      <c r="AA67" s="12"/>
      <c r="AB67" s="51">
        <v>30761712</v>
      </c>
      <c r="AC67" s="37">
        <v>0.02</v>
      </c>
      <c r="AD67" s="38">
        <f>Tabla43[[#This Row],[VALOR ATENCIÓN (7 MESES)]]*Tabla43[[#This Row],[% CONTRAPARTIDA]]</f>
        <v>615234.24</v>
      </c>
      <c r="AE67" s="12"/>
      <c r="AF67" s="12">
        <f>COUNTIF($A$22:A67,A67)</f>
        <v>14</v>
      </c>
      <c r="AG67" s="51">
        <v>30761712</v>
      </c>
      <c r="AH67" s="38">
        <f>Tabla43[[#This Row],[VALOR CONTRAPARTIDA]]+Tabla43[[#This Row],[TOTAL APORTES ICBF]]</f>
        <v>31376946.239999998</v>
      </c>
      <c r="AI67" s="35" t="str">
        <f>+IF(Tabla43[[#This Row],[AGRUPACIONES]]=1,SUMIFS(Tabla43[TOTAL APORTES ICBF],Tabla43[ZONA DEFINITIVO],Tabla43[[#This Row],[ZONA DEFINITIVO]])," ")</f>
        <v xml:space="preserve"> </v>
      </c>
      <c r="AJ67" s="38"/>
      <c r="AK67" s="38"/>
      <c r="AL67" s="23"/>
      <c r="AM67" s="35">
        <f>VLOOKUP(Tabla43[[#This Row],[SERVICIO 2025]],$J$2:$V$16,5,0)*Tabla43[[#This Row],[TOTAL COBERTURA]]</f>
        <v>790016</v>
      </c>
      <c r="AN67" s="35">
        <f>VLOOKUP(Tabla43[[#This Row],[SERVICIO 2025]],$J$2:$V$16,6,0)*Tabla43[[#This Row],[TOTAL COBERTURA]]</f>
        <v>656464</v>
      </c>
      <c r="AO67" s="35">
        <f>VLOOKUP(Tabla43[[#This Row],[SERVICIO 2025]],$J$2:$V$16,8,0)*Tabla43[[#This Row],[TOTAL COBERTURA]]</f>
        <v>465600</v>
      </c>
      <c r="AP67" s="35">
        <f>VLOOKUP(Tabla43[[#This Row],[SERVICIO 2025]],$J$2:$V$16,3,0)*Tabla43[[#This Row],[TOTAL COBERTURA]]*7</f>
        <v>28849632</v>
      </c>
      <c r="AQ67" s="35"/>
      <c r="AR6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67" s="35" t="str">
        <f>+IF(Tabla43[[#This Row],[AGRUPACIONES]]=1,SUMIFS(Tabla43[VALOR TOTAL],Tabla43[ZONA DEFINITIVO],Tabla43[[#This Row],[ZONA DEFINITIVO]])," ")</f>
        <v xml:space="preserve"> </v>
      </c>
      <c r="AT6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67" s="35">
        <f>VLOOKUP(Tabla43[[#This Row],[SERVICIO 2025]],$J$2:$V$16,3,0)*Tabla43[[#This Row],[TOTAL COBERTURA]]+Tabla43[[#This Row],[VALOR RACION PREPARADA]]/7</f>
        <v>4121376</v>
      </c>
      <c r="AV67" s="35">
        <f>VLOOKUP(Tabla43[[#This Row],[SERVICIO 2025]],$J$2:$V$16,3,0)*Tabla43[[#This Row],[TOTAL COBERTURA]]+Tabla43[[#This Row],[VALOR RACION PREPARADA]]/7</f>
        <v>4121376</v>
      </c>
      <c r="AW67" s="35">
        <f>VLOOKUP(Tabla43[[#This Row],[SERVICIO 2025]],$J$2:$V$16,3,0)*Tabla43[[#This Row],[TOTAL COBERTURA]]+Tabla43[[#This Row],[VALOR RACION PREPARADA]]/7</f>
        <v>4121376</v>
      </c>
      <c r="AX67" s="35">
        <f>VLOOKUP(Tabla43[[#This Row],[SERVICIO 2025]],$J$2:$V$16,3,0)*Tabla43[[#This Row],[TOTAL COBERTURA]]+Tabla43[[#This Row],[VALOR RACION PREPARADA]]/7</f>
        <v>4121376</v>
      </c>
      <c r="AY67" s="35">
        <f>VLOOKUP(Tabla43[[#This Row],[SERVICIO 2025]],$J$2:$V$16,3,0)*Tabla43[[#This Row],[TOTAL COBERTURA]]+Tabla43[[#This Row],[VALOR RACION PREPARADA]]/7</f>
        <v>4121376</v>
      </c>
      <c r="AZ67" s="35">
        <f>VLOOKUP(Tabla43[[#This Row],[SERVICIO 2025]],$J$2:$V$16,3,0)*Tabla43[[#This Row],[TOTAL COBERTURA]]+Tabla43[[#This Row],[VALOR RACION PREPARADA]]/7+Tabla43[[#This Row],[VALOR FASE PREPARATORIA DE CIERRE]]</f>
        <v>4777840</v>
      </c>
      <c r="BA67" s="35"/>
      <c r="BB67" s="35">
        <f>SUM(Tabla43[[#This Row],[DESEMBOLSO 1]:[DESEMBOLSO 8]])</f>
        <v>30761712</v>
      </c>
      <c r="BC67" s="55">
        <f>VLOOKUP(Tabla43[[#This Row],[SERVICIO 2025]],$J$2:$V$16,10,0)*Tabla43[[#This Row],[TOTAL COBERTURA]]*$W$3</f>
        <v>23089024</v>
      </c>
      <c r="BD67" s="47" t="s">
        <v>211</v>
      </c>
      <c r="BE67" s="12" t="b">
        <f>EXACT(Tabla43[[#This Row],[TOTAL APORTES ICBF]],Tabla43[[#This Row],[VALOR TOTAL]])</f>
        <v>1</v>
      </c>
      <c r="BF67" s="23">
        <f>SUM(Tabla43[[#This Row],[VALOR FASE PREPARATORIA DE ALISTAMIENTO]:[VALOR RACION PREPARADA]])-Tabla43[[#This Row],[VALOR TOTAL]]</f>
        <v>0</v>
      </c>
      <c r="BG67" s="12" t="b">
        <f>EXACT(Tabla43[[#This Row],[VALOR TOTAL]],Tabla43[[#This Row],[TOTAL DESEMBOLSOS]])</f>
        <v>1</v>
      </c>
      <c r="BH67" s="29">
        <f>Tabla43[[#This Row],[TOTAL DESEMBOLSOS]]-Tabla43[[#This Row],[VALOR TOTAL]]</f>
        <v>0</v>
      </c>
      <c r="BJ67" t="s">
        <v>3924</v>
      </c>
    </row>
    <row r="68" spans="1:62" hidden="1">
      <c r="A68" s="13">
        <v>1914</v>
      </c>
      <c r="B68" s="13"/>
      <c r="C68" s="12" t="s">
        <v>87</v>
      </c>
      <c r="D68" s="12" t="s">
        <v>462</v>
      </c>
      <c r="E68" s="12" t="s">
        <v>463</v>
      </c>
      <c r="F68" s="12" t="s">
        <v>18</v>
      </c>
      <c r="G68" s="12" t="s">
        <v>90</v>
      </c>
      <c r="H68" s="12" t="s">
        <v>3986</v>
      </c>
      <c r="I68" s="12">
        <v>50451135556</v>
      </c>
      <c r="J68" s="12" t="s">
        <v>3987</v>
      </c>
      <c r="K68" s="12">
        <v>1</v>
      </c>
      <c r="L68" s="12">
        <v>16</v>
      </c>
      <c r="M68" s="12"/>
      <c r="N68" s="13">
        <v>1914</v>
      </c>
      <c r="O68" s="12" t="s">
        <v>93</v>
      </c>
      <c r="P68" s="12"/>
      <c r="Q68" s="12"/>
      <c r="R68" s="12" t="s">
        <v>94</v>
      </c>
      <c r="S68" s="12">
        <v>10</v>
      </c>
      <c r="T68" s="12" t="s">
        <v>3962</v>
      </c>
      <c r="U68" s="12" t="s">
        <v>3963</v>
      </c>
      <c r="V68" s="12">
        <f>VLOOKUP(Tabla43[[#This Row],[ZONA DEFINITIVO]],Hoja1!$A$1:$D$129,3,0)</f>
        <v>229953</v>
      </c>
      <c r="W68" s="12">
        <f>VLOOKUP(Tabla43[[#This Row],[ZONA DEFINITIVO]],Hoja1!$A$1:$D$129,2,0)</f>
        <v>18580</v>
      </c>
      <c r="X68" s="12">
        <f>VLOOKUP(Tabla43[[#This Row],[ZONA DEFINITIVO]],Hoja1!$A$1:$D$129,4,0)</f>
        <v>116625</v>
      </c>
      <c r="Y68" s="12" t="str">
        <f>+IF(Tabla43[[#This Row],[AGRUPACIONES]]=1,SUMIFS(Tabla43[UDS],Tabla43[ZONA DEFINITIVO],Tabla43[[#This Row],[ZONA DEFINITIVO]])," ")</f>
        <v xml:space="preserve"> </v>
      </c>
      <c r="Z68" s="12" t="str">
        <f>+IF(Tabla43[[#This Row],[AGRUPACIONES]]=1,SUMIFS(Tabla43[TOTAL COBERTURA],Tabla43[ZONA DEFINITIVO],Tabla43[[#This Row],[ZONA DEFINITIVO]])," ")</f>
        <v xml:space="preserve"> </v>
      </c>
      <c r="AA68" s="12"/>
      <c r="AB68" s="51">
        <v>30761712</v>
      </c>
      <c r="AC68" s="37">
        <v>0.02</v>
      </c>
      <c r="AD68" s="38">
        <f>Tabla43[[#This Row],[VALOR ATENCIÓN (7 MESES)]]*Tabla43[[#This Row],[% CONTRAPARTIDA]]</f>
        <v>615234.24</v>
      </c>
      <c r="AE68" s="12"/>
      <c r="AF68" s="12">
        <f>COUNTIF($A$22:A68,A68)</f>
        <v>15</v>
      </c>
      <c r="AG68" s="51">
        <v>30761712</v>
      </c>
      <c r="AH68" s="38">
        <f>Tabla43[[#This Row],[VALOR CONTRAPARTIDA]]+Tabla43[[#This Row],[TOTAL APORTES ICBF]]</f>
        <v>31376946.239999998</v>
      </c>
      <c r="AI68" s="35" t="str">
        <f>+IF(Tabla43[[#This Row],[AGRUPACIONES]]=1,SUMIFS(Tabla43[TOTAL APORTES ICBF],Tabla43[ZONA DEFINITIVO],Tabla43[[#This Row],[ZONA DEFINITIVO]])," ")</f>
        <v xml:space="preserve"> </v>
      </c>
      <c r="AJ68" s="38"/>
      <c r="AK68" s="38"/>
      <c r="AL68" s="23"/>
      <c r="AM68" s="35">
        <f>VLOOKUP(Tabla43[[#This Row],[SERVICIO 2025]],$J$2:$V$16,5,0)*Tabla43[[#This Row],[TOTAL COBERTURA]]</f>
        <v>790016</v>
      </c>
      <c r="AN68" s="35">
        <f>VLOOKUP(Tabla43[[#This Row],[SERVICIO 2025]],$J$2:$V$16,6,0)*Tabla43[[#This Row],[TOTAL COBERTURA]]</f>
        <v>656464</v>
      </c>
      <c r="AO68" s="35">
        <f>VLOOKUP(Tabla43[[#This Row],[SERVICIO 2025]],$J$2:$V$16,8,0)*Tabla43[[#This Row],[TOTAL COBERTURA]]</f>
        <v>465600</v>
      </c>
      <c r="AP68" s="35">
        <f>VLOOKUP(Tabla43[[#This Row],[SERVICIO 2025]],$J$2:$V$16,3,0)*Tabla43[[#This Row],[TOTAL COBERTURA]]*7</f>
        <v>28849632</v>
      </c>
      <c r="AQ68" s="35"/>
      <c r="AR6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68" s="35" t="str">
        <f>+IF(Tabla43[[#This Row],[AGRUPACIONES]]=1,SUMIFS(Tabla43[VALOR TOTAL],Tabla43[ZONA DEFINITIVO],Tabla43[[#This Row],[ZONA DEFINITIVO]])," ")</f>
        <v xml:space="preserve"> </v>
      </c>
      <c r="AT6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68" s="35">
        <f>VLOOKUP(Tabla43[[#This Row],[SERVICIO 2025]],$J$2:$V$16,3,0)*Tabla43[[#This Row],[TOTAL COBERTURA]]+Tabla43[[#This Row],[VALOR RACION PREPARADA]]/7</f>
        <v>4121376</v>
      </c>
      <c r="AV68" s="35">
        <f>VLOOKUP(Tabla43[[#This Row],[SERVICIO 2025]],$J$2:$V$16,3,0)*Tabla43[[#This Row],[TOTAL COBERTURA]]+Tabla43[[#This Row],[VALOR RACION PREPARADA]]/7</f>
        <v>4121376</v>
      </c>
      <c r="AW68" s="35">
        <f>VLOOKUP(Tabla43[[#This Row],[SERVICIO 2025]],$J$2:$V$16,3,0)*Tabla43[[#This Row],[TOTAL COBERTURA]]+Tabla43[[#This Row],[VALOR RACION PREPARADA]]/7</f>
        <v>4121376</v>
      </c>
      <c r="AX68" s="35">
        <f>VLOOKUP(Tabla43[[#This Row],[SERVICIO 2025]],$J$2:$V$16,3,0)*Tabla43[[#This Row],[TOTAL COBERTURA]]+Tabla43[[#This Row],[VALOR RACION PREPARADA]]/7</f>
        <v>4121376</v>
      </c>
      <c r="AY68" s="35">
        <f>VLOOKUP(Tabla43[[#This Row],[SERVICIO 2025]],$J$2:$V$16,3,0)*Tabla43[[#This Row],[TOTAL COBERTURA]]+Tabla43[[#This Row],[VALOR RACION PREPARADA]]/7</f>
        <v>4121376</v>
      </c>
      <c r="AZ68" s="35">
        <f>VLOOKUP(Tabla43[[#This Row],[SERVICIO 2025]],$J$2:$V$16,3,0)*Tabla43[[#This Row],[TOTAL COBERTURA]]+Tabla43[[#This Row],[VALOR RACION PREPARADA]]/7+Tabla43[[#This Row],[VALOR FASE PREPARATORIA DE CIERRE]]</f>
        <v>4777840</v>
      </c>
      <c r="BA68" s="35"/>
      <c r="BB68" s="35">
        <f>SUM(Tabla43[[#This Row],[DESEMBOLSO 1]:[DESEMBOLSO 8]])</f>
        <v>30761712</v>
      </c>
      <c r="BC68" s="55">
        <f>VLOOKUP(Tabla43[[#This Row],[SERVICIO 2025]],$J$2:$V$16,10,0)*Tabla43[[#This Row],[TOTAL COBERTURA]]*$W$3</f>
        <v>23089024</v>
      </c>
      <c r="BD68" s="47" t="s">
        <v>211</v>
      </c>
      <c r="BE68" s="12" t="b">
        <f>EXACT(Tabla43[[#This Row],[TOTAL APORTES ICBF]],Tabla43[[#This Row],[VALOR TOTAL]])</f>
        <v>1</v>
      </c>
      <c r="BF68" s="23">
        <f>SUM(Tabla43[[#This Row],[VALOR FASE PREPARATORIA DE ALISTAMIENTO]:[VALOR RACION PREPARADA]])-Tabla43[[#This Row],[VALOR TOTAL]]</f>
        <v>0</v>
      </c>
      <c r="BG68" s="12" t="b">
        <f>EXACT(Tabla43[[#This Row],[VALOR TOTAL]],Tabla43[[#This Row],[TOTAL DESEMBOLSOS]])</f>
        <v>1</v>
      </c>
      <c r="BH68" s="29">
        <f>Tabla43[[#This Row],[TOTAL DESEMBOLSOS]]-Tabla43[[#This Row],[VALOR TOTAL]]</f>
        <v>0</v>
      </c>
      <c r="BJ68" t="s">
        <v>3924</v>
      </c>
    </row>
    <row r="69" spans="1:62" hidden="1">
      <c r="A69" s="13">
        <v>1914</v>
      </c>
      <c r="B69" s="13"/>
      <c r="C69" s="12" t="s">
        <v>87</v>
      </c>
      <c r="D69" s="12" t="s">
        <v>462</v>
      </c>
      <c r="E69" s="12" t="s">
        <v>463</v>
      </c>
      <c r="F69" s="12" t="s">
        <v>18</v>
      </c>
      <c r="G69" s="12" t="s">
        <v>90</v>
      </c>
      <c r="H69" s="12" t="s">
        <v>3988</v>
      </c>
      <c r="I69" s="12">
        <v>50451135889</v>
      </c>
      <c r="J69" s="12" t="s">
        <v>3989</v>
      </c>
      <c r="K69" s="12">
        <v>1</v>
      </c>
      <c r="L69" s="12">
        <v>11</v>
      </c>
      <c r="M69" s="12"/>
      <c r="N69" s="13">
        <v>1914</v>
      </c>
      <c r="O69" s="12" t="s">
        <v>93</v>
      </c>
      <c r="P69" s="12"/>
      <c r="Q69" s="12"/>
      <c r="R69" s="12" t="s">
        <v>94</v>
      </c>
      <c r="S69" s="12">
        <v>10</v>
      </c>
      <c r="T69" s="12" t="s">
        <v>3962</v>
      </c>
      <c r="U69" s="12" t="s">
        <v>3963</v>
      </c>
      <c r="V69" s="12">
        <f>VLOOKUP(Tabla43[[#This Row],[ZONA DEFINITIVO]],Hoja1!$A$1:$D$129,3,0)</f>
        <v>229953</v>
      </c>
      <c r="W69" s="12">
        <f>VLOOKUP(Tabla43[[#This Row],[ZONA DEFINITIVO]],Hoja1!$A$1:$D$129,2,0)</f>
        <v>18580</v>
      </c>
      <c r="X69" s="12">
        <f>VLOOKUP(Tabla43[[#This Row],[ZONA DEFINITIVO]],Hoja1!$A$1:$D$129,4,0)</f>
        <v>116625</v>
      </c>
      <c r="Y69" s="12" t="str">
        <f>+IF(Tabla43[[#This Row],[AGRUPACIONES]]=1,SUMIFS(Tabla43[UDS],Tabla43[ZONA DEFINITIVO],Tabla43[[#This Row],[ZONA DEFINITIVO]])," ")</f>
        <v xml:space="preserve"> </v>
      </c>
      <c r="Z69" s="12" t="str">
        <f>+IF(Tabla43[[#This Row],[AGRUPACIONES]]=1,SUMIFS(Tabla43[TOTAL COBERTURA],Tabla43[ZONA DEFINITIVO],Tabla43[[#This Row],[ZONA DEFINITIVO]])," ")</f>
        <v xml:space="preserve"> </v>
      </c>
      <c r="AA69" s="12"/>
      <c r="AB69" s="51">
        <v>21148677</v>
      </c>
      <c r="AC69" s="37">
        <v>0.02</v>
      </c>
      <c r="AD69" s="38">
        <f>Tabla43[[#This Row],[VALOR ATENCIÓN (7 MESES)]]*Tabla43[[#This Row],[% CONTRAPARTIDA]]</f>
        <v>422973.54000000004</v>
      </c>
      <c r="AE69" s="12"/>
      <c r="AF69" s="12">
        <f>COUNTIF($A$22:A69,A69)</f>
        <v>16</v>
      </c>
      <c r="AG69" s="51">
        <v>21148677</v>
      </c>
      <c r="AH69" s="38">
        <f>Tabla43[[#This Row],[VALOR CONTRAPARTIDA]]+Tabla43[[#This Row],[TOTAL APORTES ICBF]]</f>
        <v>21571650.539999999</v>
      </c>
      <c r="AI69" s="35" t="str">
        <f>+IF(Tabla43[[#This Row],[AGRUPACIONES]]=1,SUMIFS(Tabla43[TOTAL APORTES ICBF],Tabla43[ZONA DEFINITIVO],Tabla43[[#This Row],[ZONA DEFINITIVO]])," ")</f>
        <v xml:space="preserve"> </v>
      </c>
      <c r="AJ69" s="38"/>
      <c r="AK69" s="38"/>
      <c r="AL69" s="23"/>
      <c r="AM69" s="35">
        <f>VLOOKUP(Tabla43[[#This Row],[SERVICIO 2025]],$J$2:$V$16,5,0)*Tabla43[[#This Row],[TOTAL COBERTURA]]</f>
        <v>543136</v>
      </c>
      <c r="AN69" s="35">
        <f>VLOOKUP(Tabla43[[#This Row],[SERVICIO 2025]],$J$2:$V$16,6,0)*Tabla43[[#This Row],[TOTAL COBERTURA]]</f>
        <v>451319</v>
      </c>
      <c r="AO69" s="35">
        <f>VLOOKUP(Tabla43[[#This Row],[SERVICIO 2025]],$J$2:$V$16,8,0)*Tabla43[[#This Row],[TOTAL COBERTURA]]</f>
        <v>320100</v>
      </c>
      <c r="AP69" s="35">
        <f>VLOOKUP(Tabla43[[#This Row],[SERVICIO 2025]],$J$2:$V$16,3,0)*Tabla43[[#This Row],[TOTAL COBERTURA]]*7</f>
        <v>19834122</v>
      </c>
      <c r="AQ69" s="35"/>
      <c r="AR6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21148677</v>
      </c>
      <c r="AS69" s="35" t="str">
        <f>+IF(Tabla43[[#This Row],[AGRUPACIONES]]=1,SUMIFS(Tabla43[VALOR TOTAL],Tabla43[ZONA DEFINITIVO],Tabla43[[#This Row],[ZONA DEFINITIVO]])," ")</f>
        <v xml:space="preserve"> </v>
      </c>
      <c r="AT6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3696682</v>
      </c>
      <c r="AU69" s="35">
        <f>VLOOKUP(Tabla43[[#This Row],[SERVICIO 2025]],$J$2:$V$16,3,0)*Tabla43[[#This Row],[TOTAL COBERTURA]]+Tabla43[[#This Row],[VALOR RACION PREPARADA]]/7</f>
        <v>2833446</v>
      </c>
      <c r="AV69" s="35">
        <f>VLOOKUP(Tabla43[[#This Row],[SERVICIO 2025]],$J$2:$V$16,3,0)*Tabla43[[#This Row],[TOTAL COBERTURA]]+Tabla43[[#This Row],[VALOR RACION PREPARADA]]/7</f>
        <v>2833446</v>
      </c>
      <c r="AW69" s="35">
        <f>VLOOKUP(Tabla43[[#This Row],[SERVICIO 2025]],$J$2:$V$16,3,0)*Tabla43[[#This Row],[TOTAL COBERTURA]]+Tabla43[[#This Row],[VALOR RACION PREPARADA]]/7</f>
        <v>2833446</v>
      </c>
      <c r="AX69" s="35">
        <f>VLOOKUP(Tabla43[[#This Row],[SERVICIO 2025]],$J$2:$V$16,3,0)*Tabla43[[#This Row],[TOTAL COBERTURA]]+Tabla43[[#This Row],[VALOR RACION PREPARADA]]/7</f>
        <v>2833446</v>
      </c>
      <c r="AY69" s="35">
        <f>VLOOKUP(Tabla43[[#This Row],[SERVICIO 2025]],$J$2:$V$16,3,0)*Tabla43[[#This Row],[TOTAL COBERTURA]]+Tabla43[[#This Row],[VALOR RACION PREPARADA]]/7</f>
        <v>2833446</v>
      </c>
      <c r="AZ69" s="35">
        <f>VLOOKUP(Tabla43[[#This Row],[SERVICIO 2025]],$J$2:$V$16,3,0)*Tabla43[[#This Row],[TOTAL COBERTURA]]+Tabla43[[#This Row],[VALOR RACION PREPARADA]]/7+Tabla43[[#This Row],[VALOR FASE PREPARATORIA DE CIERRE]]</f>
        <v>3284765</v>
      </c>
      <c r="BA69" s="35"/>
      <c r="BB69" s="35">
        <f>SUM(Tabla43[[#This Row],[DESEMBOLSO 1]:[DESEMBOLSO 8]])</f>
        <v>21148677</v>
      </c>
      <c r="BC69" s="55">
        <f>VLOOKUP(Tabla43[[#This Row],[SERVICIO 2025]],$J$2:$V$16,10,0)*Tabla43[[#This Row],[TOTAL COBERTURA]]*$W$3</f>
        <v>15873704</v>
      </c>
      <c r="BD69" s="47" t="s">
        <v>211</v>
      </c>
      <c r="BE69" s="12" t="b">
        <f>EXACT(Tabla43[[#This Row],[TOTAL APORTES ICBF]],Tabla43[[#This Row],[VALOR TOTAL]])</f>
        <v>1</v>
      </c>
      <c r="BF69" s="23">
        <f>SUM(Tabla43[[#This Row],[VALOR FASE PREPARATORIA DE ALISTAMIENTO]:[VALOR RACION PREPARADA]])-Tabla43[[#This Row],[VALOR TOTAL]]</f>
        <v>0</v>
      </c>
      <c r="BG69" s="12" t="b">
        <f>EXACT(Tabla43[[#This Row],[VALOR TOTAL]],Tabla43[[#This Row],[TOTAL DESEMBOLSOS]])</f>
        <v>1</v>
      </c>
      <c r="BH69" s="29">
        <f>Tabla43[[#This Row],[TOTAL DESEMBOLSOS]]-Tabla43[[#This Row],[VALOR TOTAL]]</f>
        <v>0</v>
      </c>
      <c r="BJ69" t="s">
        <v>3924</v>
      </c>
    </row>
    <row r="70" spans="1:62" hidden="1">
      <c r="A70" s="13">
        <v>1914</v>
      </c>
      <c r="B70" s="13"/>
      <c r="C70" s="12" t="s">
        <v>87</v>
      </c>
      <c r="D70" s="12" t="s">
        <v>462</v>
      </c>
      <c r="E70" s="12" t="s">
        <v>463</v>
      </c>
      <c r="F70" s="12" t="s">
        <v>18</v>
      </c>
      <c r="G70" s="12" t="s">
        <v>90</v>
      </c>
      <c r="H70" s="12" t="s">
        <v>3990</v>
      </c>
      <c r="I70" s="12">
        <v>50451148845</v>
      </c>
      <c r="J70" s="12" t="s">
        <v>3991</v>
      </c>
      <c r="K70" s="12">
        <v>1</v>
      </c>
      <c r="L70" s="12">
        <v>37</v>
      </c>
      <c r="M70" s="12"/>
      <c r="N70" s="13">
        <v>1914</v>
      </c>
      <c r="O70" s="12" t="s">
        <v>93</v>
      </c>
      <c r="P70" s="12"/>
      <c r="Q70" s="12"/>
      <c r="R70" s="12" t="s">
        <v>94</v>
      </c>
      <c r="S70" s="12">
        <v>10</v>
      </c>
      <c r="T70" s="12" t="s">
        <v>3962</v>
      </c>
      <c r="U70" s="12" t="s">
        <v>3963</v>
      </c>
      <c r="V70" s="12">
        <f>VLOOKUP(Tabla43[[#This Row],[ZONA DEFINITIVO]],Hoja1!$A$1:$D$129,3,0)</f>
        <v>229953</v>
      </c>
      <c r="W70" s="12">
        <f>VLOOKUP(Tabla43[[#This Row],[ZONA DEFINITIVO]],Hoja1!$A$1:$D$129,2,0)</f>
        <v>18580</v>
      </c>
      <c r="X70" s="12">
        <f>VLOOKUP(Tabla43[[#This Row],[ZONA DEFINITIVO]],Hoja1!$A$1:$D$129,4,0)</f>
        <v>116625</v>
      </c>
      <c r="Y70" s="12" t="str">
        <f>+IF(Tabla43[[#This Row],[AGRUPACIONES]]=1,SUMIFS(Tabla43[UDS],Tabla43[ZONA DEFINITIVO],Tabla43[[#This Row],[ZONA DEFINITIVO]])," ")</f>
        <v xml:space="preserve"> </v>
      </c>
      <c r="Z70" s="12" t="str">
        <f>+IF(Tabla43[[#This Row],[AGRUPACIONES]]=1,SUMIFS(Tabla43[TOTAL COBERTURA],Tabla43[ZONA DEFINITIVO],Tabla43[[#This Row],[ZONA DEFINITIVO]])," ")</f>
        <v xml:space="preserve"> </v>
      </c>
      <c r="AA70" s="12"/>
      <c r="AB70" s="51">
        <v>71136459</v>
      </c>
      <c r="AC70" s="37">
        <v>0.02</v>
      </c>
      <c r="AD70" s="38">
        <f>Tabla43[[#This Row],[VALOR ATENCIÓN (7 MESES)]]*Tabla43[[#This Row],[% CONTRAPARTIDA]]</f>
        <v>1422729.18</v>
      </c>
      <c r="AE70" s="12"/>
      <c r="AF70" s="12">
        <f>COUNTIF($A$22:A70,A70)</f>
        <v>17</v>
      </c>
      <c r="AG70" s="51">
        <v>71136459</v>
      </c>
      <c r="AH70" s="38">
        <f>Tabla43[[#This Row],[VALOR CONTRAPARTIDA]]+Tabla43[[#This Row],[TOTAL APORTES ICBF]]</f>
        <v>72559188.180000007</v>
      </c>
      <c r="AI70" s="35" t="str">
        <f>+IF(Tabla43[[#This Row],[AGRUPACIONES]]=1,SUMIFS(Tabla43[TOTAL APORTES ICBF],Tabla43[ZONA DEFINITIVO],Tabla43[[#This Row],[ZONA DEFINITIVO]])," ")</f>
        <v xml:space="preserve"> </v>
      </c>
      <c r="AJ70" s="38"/>
      <c r="AK70" s="38"/>
      <c r="AL70" s="23"/>
      <c r="AM70" s="35">
        <f>VLOOKUP(Tabla43[[#This Row],[SERVICIO 2025]],$J$2:$V$16,5,0)*Tabla43[[#This Row],[TOTAL COBERTURA]]</f>
        <v>1826912</v>
      </c>
      <c r="AN70" s="35">
        <f>VLOOKUP(Tabla43[[#This Row],[SERVICIO 2025]],$J$2:$V$16,6,0)*Tabla43[[#This Row],[TOTAL COBERTURA]]</f>
        <v>1518073</v>
      </c>
      <c r="AO70" s="35">
        <f>VLOOKUP(Tabla43[[#This Row],[SERVICIO 2025]],$J$2:$V$16,8,0)*Tabla43[[#This Row],[TOTAL COBERTURA]]</f>
        <v>1076700</v>
      </c>
      <c r="AP70" s="35">
        <f>VLOOKUP(Tabla43[[#This Row],[SERVICIO 2025]],$J$2:$V$16,3,0)*Tabla43[[#This Row],[TOTAL COBERTURA]]*7</f>
        <v>66714774</v>
      </c>
      <c r="AQ70" s="35"/>
      <c r="AR7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71136459</v>
      </c>
      <c r="AS70" s="35" t="str">
        <f>+IF(Tabla43[[#This Row],[AGRUPACIONES]]=1,SUMIFS(Tabla43[VALOR TOTAL],Tabla43[ZONA DEFINITIVO],Tabla43[[#This Row],[ZONA DEFINITIVO]])," ")</f>
        <v xml:space="preserve"> </v>
      </c>
      <c r="AT7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12434294</v>
      </c>
      <c r="AU70" s="35">
        <f>VLOOKUP(Tabla43[[#This Row],[SERVICIO 2025]],$J$2:$V$16,3,0)*Tabla43[[#This Row],[TOTAL COBERTURA]]+Tabla43[[#This Row],[VALOR RACION PREPARADA]]/7</f>
        <v>9530682</v>
      </c>
      <c r="AV70" s="35">
        <f>VLOOKUP(Tabla43[[#This Row],[SERVICIO 2025]],$J$2:$V$16,3,0)*Tabla43[[#This Row],[TOTAL COBERTURA]]+Tabla43[[#This Row],[VALOR RACION PREPARADA]]/7</f>
        <v>9530682</v>
      </c>
      <c r="AW70" s="35">
        <f>VLOOKUP(Tabla43[[#This Row],[SERVICIO 2025]],$J$2:$V$16,3,0)*Tabla43[[#This Row],[TOTAL COBERTURA]]+Tabla43[[#This Row],[VALOR RACION PREPARADA]]/7</f>
        <v>9530682</v>
      </c>
      <c r="AX70" s="35">
        <f>VLOOKUP(Tabla43[[#This Row],[SERVICIO 2025]],$J$2:$V$16,3,0)*Tabla43[[#This Row],[TOTAL COBERTURA]]+Tabla43[[#This Row],[VALOR RACION PREPARADA]]/7</f>
        <v>9530682</v>
      </c>
      <c r="AY70" s="35">
        <f>VLOOKUP(Tabla43[[#This Row],[SERVICIO 2025]],$J$2:$V$16,3,0)*Tabla43[[#This Row],[TOTAL COBERTURA]]+Tabla43[[#This Row],[VALOR RACION PREPARADA]]/7</f>
        <v>9530682</v>
      </c>
      <c r="AZ70" s="35">
        <f>VLOOKUP(Tabla43[[#This Row],[SERVICIO 2025]],$J$2:$V$16,3,0)*Tabla43[[#This Row],[TOTAL COBERTURA]]+Tabla43[[#This Row],[VALOR RACION PREPARADA]]/7+Tabla43[[#This Row],[VALOR FASE PREPARATORIA DE CIERRE]]</f>
        <v>11048755</v>
      </c>
      <c r="BA70" s="35"/>
      <c r="BB70" s="35">
        <f>SUM(Tabla43[[#This Row],[DESEMBOLSO 1]:[DESEMBOLSO 8]])</f>
        <v>71136459</v>
      </c>
      <c r="BC70" s="55">
        <f>VLOOKUP(Tabla43[[#This Row],[SERVICIO 2025]],$J$2:$V$16,10,0)*Tabla43[[#This Row],[TOTAL COBERTURA]]*$W$3</f>
        <v>53393368</v>
      </c>
      <c r="BD70" s="47" t="s">
        <v>211</v>
      </c>
      <c r="BE70" s="12" t="b">
        <f>EXACT(Tabla43[[#This Row],[TOTAL APORTES ICBF]],Tabla43[[#This Row],[VALOR TOTAL]])</f>
        <v>1</v>
      </c>
      <c r="BF70" s="23">
        <f>SUM(Tabla43[[#This Row],[VALOR FASE PREPARATORIA DE ALISTAMIENTO]:[VALOR RACION PREPARADA]])-Tabla43[[#This Row],[VALOR TOTAL]]</f>
        <v>0</v>
      </c>
      <c r="BG70" s="12" t="b">
        <f>EXACT(Tabla43[[#This Row],[VALOR TOTAL]],Tabla43[[#This Row],[TOTAL DESEMBOLSOS]])</f>
        <v>1</v>
      </c>
      <c r="BH70" s="29">
        <f>Tabla43[[#This Row],[TOTAL DESEMBOLSOS]]-Tabla43[[#This Row],[VALOR TOTAL]]</f>
        <v>0</v>
      </c>
      <c r="BJ70" t="s">
        <v>3924</v>
      </c>
    </row>
    <row r="71" spans="1:62" hidden="1">
      <c r="A71" s="13">
        <v>1914</v>
      </c>
      <c r="B71" s="13"/>
      <c r="C71" s="12" t="s">
        <v>87</v>
      </c>
      <c r="D71" s="12" t="s">
        <v>462</v>
      </c>
      <c r="E71" s="12" t="s">
        <v>463</v>
      </c>
      <c r="F71" s="12" t="s">
        <v>18</v>
      </c>
      <c r="G71" s="12" t="s">
        <v>90</v>
      </c>
      <c r="H71" s="12" t="s">
        <v>3992</v>
      </c>
      <c r="I71" s="12">
        <v>50451151107</v>
      </c>
      <c r="J71" s="12" t="s">
        <v>3993</v>
      </c>
      <c r="K71" s="12">
        <v>1</v>
      </c>
      <c r="L71" s="12">
        <v>16</v>
      </c>
      <c r="M71" s="12"/>
      <c r="N71" s="13">
        <v>1914</v>
      </c>
      <c r="O71" s="12" t="s">
        <v>93</v>
      </c>
      <c r="P71" s="12"/>
      <c r="Q71" s="12"/>
      <c r="R71" s="12" t="s">
        <v>94</v>
      </c>
      <c r="S71" s="12">
        <v>10</v>
      </c>
      <c r="T71" s="12" t="s">
        <v>3962</v>
      </c>
      <c r="U71" s="12" t="s">
        <v>3963</v>
      </c>
      <c r="V71" s="12">
        <f>VLOOKUP(Tabla43[[#This Row],[ZONA DEFINITIVO]],Hoja1!$A$1:$D$129,3,0)</f>
        <v>229953</v>
      </c>
      <c r="W71" s="12">
        <f>VLOOKUP(Tabla43[[#This Row],[ZONA DEFINITIVO]],Hoja1!$A$1:$D$129,2,0)</f>
        <v>18580</v>
      </c>
      <c r="X71" s="12">
        <f>VLOOKUP(Tabla43[[#This Row],[ZONA DEFINITIVO]],Hoja1!$A$1:$D$129,4,0)</f>
        <v>116625</v>
      </c>
      <c r="Y71" s="12" t="str">
        <f>+IF(Tabla43[[#This Row],[AGRUPACIONES]]=1,SUMIFS(Tabla43[UDS],Tabla43[ZONA DEFINITIVO],Tabla43[[#This Row],[ZONA DEFINITIVO]])," ")</f>
        <v xml:space="preserve"> </v>
      </c>
      <c r="Z71" s="12" t="str">
        <f>+IF(Tabla43[[#This Row],[AGRUPACIONES]]=1,SUMIFS(Tabla43[TOTAL COBERTURA],Tabla43[ZONA DEFINITIVO],Tabla43[[#This Row],[ZONA DEFINITIVO]])," ")</f>
        <v xml:space="preserve"> </v>
      </c>
      <c r="AA71" s="12"/>
      <c r="AB71" s="51">
        <v>30761712</v>
      </c>
      <c r="AC71" s="37">
        <v>0.02</v>
      </c>
      <c r="AD71" s="38">
        <f>Tabla43[[#This Row],[VALOR ATENCIÓN (7 MESES)]]*Tabla43[[#This Row],[% CONTRAPARTIDA]]</f>
        <v>615234.24</v>
      </c>
      <c r="AE71" s="12"/>
      <c r="AF71" s="12">
        <f>COUNTIF($A$22:A71,A71)</f>
        <v>18</v>
      </c>
      <c r="AG71" s="51">
        <v>30761712</v>
      </c>
      <c r="AH71" s="38">
        <f>Tabla43[[#This Row],[VALOR CONTRAPARTIDA]]+Tabla43[[#This Row],[TOTAL APORTES ICBF]]</f>
        <v>31376946.239999998</v>
      </c>
      <c r="AI71" s="35" t="str">
        <f>+IF(Tabla43[[#This Row],[AGRUPACIONES]]=1,SUMIFS(Tabla43[TOTAL APORTES ICBF],Tabla43[ZONA DEFINITIVO],Tabla43[[#This Row],[ZONA DEFINITIVO]])," ")</f>
        <v xml:space="preserve"> </v>
      </c>
      <c r="AJ71" s="38"/>
      <c r="AK71" s="38"/>
      <c r="AL71" s="23"/>
      <c r="AM71" s="35">
        <f>VLOOKUP(Tabla43[[#This Row],[SERVICIO 2025]],$J$2:$V$16,5,0)*Tabla43[[#This Row],[TOTAL COBERTURA]]</f>
        <v>790016</v>
      </c>
      <c r="AN71" s="35">
        <f>VLOOKUP(Tabla43[[#This Row],[SERVICIO 2025]],$J$2:$V$16,6,0)*Tabla43[[#This Row],[TOTAL COBERTURA]]</f>
        <v>656464</v>
      </c>
      <c r="AO71" s="35">
        <f>VLOOKUP(Tabla43[[#This Row],[SERVICIO 2025]],$J$2:$V$16,8,0)*Tabla43[[#This Row],[TOTAL COBERTURA]]</f>
        <v>465600</v>
      </c>
      <c r="AP71" s="35">
        <f>VLOOKUP(Tabla43[[#This Row],[SERVICIO 2025]],$J$2:$V$16,3,0)*Tabla43[[#This Row],[TOTAL COBERTURA]]*7</f>
        <v>28849632</v>
      </c>
      <c r="AQ71" s="35"/>
      <c r="AR7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71" s="35" t="str">
        <f>+IF(Tabla43[[#This Row],[AGRUPACIONES]]=1,SUMIFS(Tabla43[VALOR TOTAL],Tabla43[ZONA DEFINITIVO],Tabla43[[#This Row],[ZONA DEFINITIVO]])," ")</f>
        <v xml:space="preserve"> </v>
      </c>
      <c r="AT7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71" s="35">
        <f>VLOOKUP(Tabla43[[#This Row],[SERVICIO 2025]],$J$2:$V$16,3,0)*Tabla43[[#This Row],[TOTAL COBERTURA]]+Tabla43[[#This Row],[VALOR RACION PREPARADA]]/7</f>
        <v>4121376</v>
      </c>
      <c r="AV71" s="35">
        <f>VLOOKUP(Tabla43[[#This Row],[SERVICIO 2025]],$J$2:$V$16,3,0)*Tabla43[[#This Row],[TOTAL COBERTURA]]+Tabla43[[#This Row],[VALOR RACION PREPARADA]]/7</f>
        <v>4121376</v>
      </c>
      <c r="AW71" s="35">
        <f>VLOOKUP(Tabla43[[#This Row],[SERVICIO 2025]],$J$2:$V$16,3,0)*Tabla43[[#This Row],[TOTAL COBERTURA]]+Tabla43[[#This Row],[VALOR RACION PREPARADA]]/7</f>
        <v>4121376</v>
      </c>
      <c r="AX71" s="35">
        <f>VLOOKUP(Tabla43[[#This Row],[SERVICIO 2025]],$J$2:$V$16,3,0)*Tabla43[[#This Row],[TOTAL COBERTURA]]+Tabla43[[#This Row],[VALOR RACION PREPARADA]]/7</f>
        <v>4121376</v>
      </c>
      <c r="AY71" s="35">
        <f>VLOOKUP(Tabla43[[#This Row],[SERVICIO 2025]],$J$2:$V$16,3,0)*Tabla43[[#This Row],[TOTAL COBERTURA]]+Tabla43[[#This Row],[VALOR RACION PREPARADA]]/7</f>
        <v>4121376</v>
      </c>
      <c r="AZ71" s="35">
        <f>VLOOKUP(Tabla43[[#This Row],[SERVICIO 2025]],$J$2:$V$16,3,0)*Tabla43[[#This Row],[TOTAL COBERTURA]]+Tabla43[[#This Row],[VALOR RACION PREPARADA]]/7+Tabla43[[#This Row],[VALOR FASE PREPARATORIA DE CIERRE]]</f>
        <v>4777840</v>
      </c>
      <c r="BA71" s="35"/>
      <c r="BB71" s="35">
        <f>SUM(Tabla43[[#This Row],[DESEMBOLSO 1]:[DESEMBOLSO 8]])</f>
        <v>30761712</v>
      </c>
      <c r="BC71" s="55">
        <f>VLOOKUP(Tabla43[[#This Row],[SERVICIO 2025]],$J$2:$V$16,10,0)*Tabla43[[#This Row],[TOTAL COBERTURA]]*$W$3</f>
        <v>23089024</v>
      </c>
      <c r="BD71" s="47" t="s">
        <v>211</v>
      </c>
      <c r="BE71" s="12" t="b">
        <f>EXACT(Tabla43[[#This Row],[TOTAL APORTES ICBF]],Tabla43[[#This Row],[VALOR TOTAL]])</f>
        <v>1</v>
      </c>
      <c r="BF71" s="23">
        <f>SUM(Tabla43[[#This Row],[VALOR FASE PREPARATORIA DE ALISTAMIENTO]:[VALOR RACION PREPARADA]])-Tabla43[[#This Row],[VALOR TOTAL]]</f>
        <v>0</v>
      </c>
      <c r="BG71" s="12" t="b">
        <f>EXACT(Tabla43[[#This Row],[VALOR TOTAL]],Tabla43[[#This Row],[TOTAL DESEMBOLSOS]])</f>
        <v>1</v>
      </c>
      <c r="BH71" s="29">
        <f>Tabla43[[#This Row],[TOTAL DESEMBOLSOS]]-Tabla43[[#This Row],[VALOR TOTAL]]</f>
        <v>0</v>
      </c>
      <c r="BJ71" t="s">
        <v>3924</v>
      </c>
    </row>
    <row r="72" spans="1:62" hidden="1">
      <c r="A72" s="13">
        <v>1914</v>
      </c>
      <c r="B72" s="13"/>
      <c r="C72" s="12" t="s">
        <v>87</v>
      </c>
      <c r="D72" s="12" t="s">
        <v>462</v>
      </c>
      <c r="E72" s="12" t="s">
        <v>463</v>
      </c>
      <c r="F72" s="12" t="s">
        <v>18</v>
      </c>
      <c r="G72" s="12" t="s">
        <v>90</v>
      </c>
      <c r="H72" s="12" t="s">
        <v>3994</v>
      </c>
      <c r="I72" s="12">
        <v>50451152310</v>
      </c>
      <c r="J72" s="12" t="s">
        <v>3995</v>
      </c>
      <c r="K72" s="12">
        <v>1</v>
      </c>
      <c r="L72" s="12">
        <v>20</v>
      </c>
      <c r="M72" s="12"/>
      <c r="N72" s="13">
        <v>1914</v>
      </c>
      <c r="O72" s="12" t="s">
        <v>93</v>
      </c>
      <c r="P72" s="12"/>
      <c r="Q72" s="12"/>
      <c r="R72" s="12" t="s">
        <v>94</v>
      </c>
      <c r="S72" s="12">
        <v>10</v>
      </c>
      <c r="T72" s="12" t="s">
        <v>3962</v>
      </c>
      <c r="U72" s="12" t="s">
        <v>3963</v>
      </c>
      <c r="V72" s="12">
        <f>VLOOKUP(Tabla43[[#This Row],[ZONA DEFINITIVO]],Hoja1!$A$1:$D$129,3,0)</f>
        <v>229953</v>
      </c>
      <c r="W72" s="12">
        <f>VLOOKUP(Tabla43[[#This Row],[ZONA DEFINITIVO]],Hoja1!$A$1:$D$129,2,0)</f>
        <v>18580</v>
      </c>
      <c r="X72" s="12">
        <f>VLOOKUP(Tabla43[[#This Row],[ZONA DEFINITIVO]],Hoja1!$A$1:$D$129,4,0)</f>
        <v>116625</v>
      </c>
      <c r="Y72" s="12" t="str">
        <f>+IF(Tabla43[[#This Row],[AGRUPACIONES]]=1,SUMIFS(Tabla43[UDS],Tabla43[ZONA DEFINITIVO],Tabla43[[#This Row],[ZONA DEFINITIVO]])," ")</f>
        <v xml:space="preserve"> </v>
      </c>
      <c r="Z72" s="12" t="str">
        <f>+IF(Tabla43[[#This Row],[AGRUPACIONES]]=1,SUMIFS(Tabla43[TOTAL COBERTURA],Tabla43[ZONA DEFINITIVO],Tabla43[[#This Row],[ZONA DEFINITIVO]])," ")</f>
        <v xml:space="preserve"> </v>
      </c>
      <c r="AA72" s="12"/>
      <c r="AB72" s="51">
        <v>38452140</v>
      </c>
      <c r="AC72" s="37">
        <v>0.02</v>
      </c>
      <c r="AD72" s="38">
        <f>Tabla43[[#This Row],[VALOR ATENCIÓN (7 MESES)]]*Tabla43[[#This Row],[% CONTRAPARTIDA]]</f>
        <v>769042.8</v>
      </c>
      <c r="AE72" s="12"/>
      <c r="AF72" s="12">
        <f>COUNTIF($A$22:A72,A72)</f>
        <v>19</v>
      </c>
      <c r="AG72" s="51">
        <v>38452140</v>
      </c>
      <c r="AH72" s="38">
        <f>Tabla43[[#This Row],[VALOR CONTRAPARTIDA]]+Tabla43[[#This Row],[TOTAL APORTES ICBF]]</f>
        <v>39221182.799999997</v>
      </c>
      <c r="AI72" s="35" t="str">
        <f>+IF(Tabla43[[#This Row],[AGRUPACIONES]]=1,SUMIFS(Tabla43[TOTAL APORTES ICBF],Tabla43[ZONA DEFINITIVO],Tabla43[[#This Row],[ZONA DEFINITIVO]])," ")</f>
        <v xml:space="preserve"> </v>
      </c>
      <c r="AJ72" s="38"/>
      <c r="AK72" s="38"/>
      <c r="AL72" s="23"/>
      <c r="AM72" s="35">
        <f>VLOOKUP(Tabla43[[#This Row],[SERVICIO 2025]],$J$2:$V$16,5,0)*Tabla43[[#This Row],[TOTAL COBERTURA]]</f>
        <v>987520</v>
      </c>
      <c r="AN72" s="35">
        <f>VLOOKUP(Tabla43[[#This Row],[SERVICIO 2025]],$J$2:$V$16,6,0)*Tabla43[[#This Row],[TOTAL COBERTURA]]</f>
        <v>820580</v>
      </c>
      <c r="AO72" s="35">
        <f>VLOOKUP(Tabla43[[#This Row],[SERVICIO 2025]],$J$2:$V$16,8,0)*Tabla43[[#This Row],[TOTAL COBERTURA]]</f>
        <v>582000</v>
      </c>
      <c r="AP72" s="35">
        <f>VLOOKUP(Tabla43[[#This Row],[SERVICIO 2025]],$J$2:$V$16,3,0)*Tabla43[[#This Row],[TOTAL COBERTURA]]*7</f>
        <v>36062040</v>
      </c>
      <c r="AQ72" s="35"/>
      <c r="AR7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72" s="35" t="str">
        <f>+IF(Tabla43[[#This Row],[AGRUPACIONES]]=1,SUMIFS(Tabla43[VALOR TOTAL],Tabla43[ZONA DEFINITIVO],Tabla43[[#This Row],[ZONA DEFINITIVO]])," ")</f>
        <v xml:space="preserve"> </v>
      </c>
      <c r="AT7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72" s="35">
        <f>VLOOKUP(Tabla43[[#This Row],[SERVICIO 2025]],$J$2:$V$16,3,0)*Tabla43[[#This Row],[TOTAL COBERTURA]]+Tabla43[[#This Row],[VALOR RACION PREPARADA]]/7</f>
        <v>5151720</v>
      </c>
      <c r="AV72" s="35">
        <f>VLOOKUP(Tabla43[[#This Row],[SERVICIO 2025]],$J$2:$V$16,3,0)*Tabla43[[#This Row],[TOTAL COBERTURA]]+Tabla43[[#This Row],[VALOR RACION PREPARADA]]/7</f>
        <v>5151720</v>
      </c>
      <c r="AW72" s="35">
        <f>VLOOKUP(Tabla43[[#This Row],[SERVICIO 2025]],$J$2:$V$16,3,0)*Tabla43[[#This Row],[TOTAL COBERTURA]]+Tabla43[[#This Row],[VALOR RACION PREPARADA]]/7</f>
        <v>5151720</v>
      </c>
      <c r="AX72" s="35">
        <f>VLOOKUP(Tabla43[[#This Row],[SERVICIO 2025]],$J$2:$V$16,3,0)*Tabla43[[#This Row],[TOTAL COBERTURA]]+Tabla43[[#This Row],[VALOR RACION PREPARADA]]/7</f>
        <v>5151720</v>
      </c>
      <c r="AY72" s="35">
        <f>VLOOKUP(Tabla43[[#This Row],[SERVICIO 2025]],$J$2:$V$16,3,0)*Tabla43[[#This Row],[TOTAL COBERTURA]]+Tabla43[[#This Row],[VALOR RACION PREPARADA]]/7</f>
        <v>5151720</v>
      </c>
      <c r="AZ72" s="35">
        <f>VLOOKUP(Tabla43[[#This Row],[SERVICIO 2025]],$J$2:$V$16,3,0)*Tabla43[[#This Row],[TOTAL COBERTURA]]+Tabla43[[#This Row],[VALOR RACION PREPARADA]]/7+Tabla43[[#This Row],[VALOR FASE PREPARATORIA DE CIERRE]]</f>
        <v>5972300</v>
      </c>
      <c r="BA72" s="35"/>
      <c r="BB72" s="35">
        <f>SUM(Tabla43[[#This Row],[DESEMBOLSO 1]:[DESEMBOLSO 8]])</f>
        <v>38452140</v>
      </c>
      <c r="BC72" s="55">
        <f>VLOOKUP(Tabla43[[#This Row],[SERVICIO 2025]],$J$2:$V$16,10,0)*Tabla43[[#This Row],[TOTAL COBERTURA]]*$W$3</f>
        <v>28861280</v>
      </c>
      <c r="BD72" s="47" t="s">
        <v>211</v>
      </c>
      <c r="BE72" s="12" t="b">
        <f>EXACT(Tabla43[[#This Row],[TOTAL APORTES ICBF]],Tabla43[[#This Row],[VALOR TOTAL]])</f>
        <v>1</v>
      </c>
      <c r="BF72" s="23">
        <f>SUM(Tabla43[[#This Row],[VALOR FASE PREPARATORIA DE ALISTAMIENTO]:[VALOR RACION PREPARADA]])-Tabla43[[#This Row],[VALOR TOTAL]]</f>
        <v>0</v>
      </c>
      <c r="BG72" s="12" t="b">
        <f>EXACT(Tabla43[[#This Row],[VALOR TOTAL]],Tabla43[[#This Row],[TOTAL DESEMBOLSOS]])</f>
        <v>1</v>
      </c>
      <c r="BH72" s="29">
        <f>Tabla43[[#This Row],[TOTAL DESEMBOLSOS]]-Tabla43[[#This Row],[VALOR TOTAL]]</f>
        <v>0</v>
      </c>
      <c r="BJ72" t="s">
        <v>3924</v>
      </c>
    </row>
    <row r="73" spans="1:62" hidden="1">
      <c r="A73" s="13">
        <v>1914</v>
      </c>
      <c r="B73" s="13"/>
      <c r="C73" s="12" t="s">
        <v>87</v>
      </c>
      <c r="D73" s="12" t="s">
        <v>462</v>
      </c>
      <c r="E73" s="12" t="s">
        <v>463</v>
      </c>
      <c r="F73" s="12" t="s">
        <v>18</v>
      </c>
      <c r="G73" s="12" t="s">
        <v>90</v>
      </c>
      <c r="H73" s="12" t="s">
        <v>3996</v>
      </c>
      <c r="I73" s="12">
        <v>50451152313</v>
      </c>
      <c r="J73" s="12" t="s">
        <v>3997</v>
      </c>
      <c r="K73" s="12">
        <v>1</v>
      </c>
      <c r="L73" s="12">
        <v>20</v>
      </c>
      <c r="M73" s="12"/>
      <c r="N73" s="13">
        <v>1914</v>
      </c>
      <c r="O73" s="12" t="s">
        <v>93</v>
      </c>
      <c r="P73" s="12"/>
      <c r="Q73" s="12"/>
      <c r="R73" s="12" t="s">
        <v>94</v>
      </c>
      <c r="S73" s="12">
        <v>10</v>
      </c>
      <c r="T73" s="12" t="s">
        <v>3962</v>
      </c>
      <c r="U73" s="12" t="s">
        <v>3963</v>
      </c>
      <c r="V73" s="12">
        <f>VLOOKUP(Tabla43[[#This Row],[ZONA DEFINITIVO]],Hoja1!$A$1:$D$129,3,0)</f>
        <v>229953</v>
      </c>
      <c r="W73" s="12">
        <f>VLOOKUP(Tabla43[[#This Row],[ZONA DEFINITIVO]],Hoja1!$A$1:$D$129,2,0)</f>
        <v>18580</v>
      </c>
      <c r="X73" s="12">
        <f>VLOOKUP(Tabla43[[#This Row],[ZONA DEFINITIVO]],Hoja1!$A$1:$D$129,4,0)</f>
        <v>116625</v>
      </c>
      <c r="Y73" s="12" t="str">
        <f>+IF(Tabla43[[#This Row],[AGRUPACIONES]]=1,SUMIFS(Tabla43[UDS],Tabla43[ZONA DEFINITIVO],Tabla43[[#This Row],[ZONA DEFINITIVO]])," ")</f>
        <v xml:space="preserve"> </v>
      </c>
      <c r="Z73" s="12" t="str">
        <f>+IF(Tabla43[[#This Row],[AGRUPACIONES]]=1,SUMIFS(Tabla43[TOTAL COBERTURA],Tabla43[ZONA DEFINITIVO],Tabla43[[#This Row],[ZONA DEFINITIVO]])," ")</f>
        <v xml:space="preserve"> </v>
      </c>
      <c r="AA73" s="12"/>
      <c r="AB73" s="51">
        <v>38452140</v>
      </c>
      <c r="AC73" s="37">
        <v>0.02</v>
      </c>
      <c r="AD73" s="38">
        <f>Tabla43[[#This Row],[VALOR ATENCIÓN (7 MESES)]]*Tabla43[[#This Row],[% CONTRAPARTIDA]]</f>
        <v>769042.8</v>
      </c>
      <c r="AE73" s="12"/>
      <c r="AF73" s="12">
        <f>COUNTIF($A$22:A73,A73)</f>
        <v>20</v>
      </c>
      <c r="AG73" s="51">
        <v>38452140</v>
      </c>
      <c r="AH73" s="38">
        <f>Tabla43[[#This Row],[VALOR CONTRAPARTIDA]]+Tabla43[[#This Row],[TOTAL APORTES ICBF]]</f>
        <v>39221182.799999997</v>
      </c>
      <c r="AI73" s="35" t="str">
        <f>+IF(Tabla43[[#This Row],[AGRUPACIONES]]=1,SUMIFS(Tabla43[TOTAL APORTES ICBF],Tabla43[ZONA DEFINITIVO],Tabla43[[#This Row],[ZONA DEFINITIVO]])," ")</f>
        <v xml:space="preserve"> </v>
      </c>
      <c r="AJ73" s="38"/>
      <c r="AK73" s="38"/>
      <c r="AL73" s="23"/>
      <c r="AM73" s="35">
        <f>VLOOKUP(Tabla43[[#This Row],[SERVICIO 2025]],$J$2:$V$16,5,0)*Tabla43[[#This Row],[TOTAL COBERTURA]]</f>
        <v>987520</v>
      </c>
      <c r="AN73" s="35">
        <f>VLOOKUP(Tabla43[[#This Row],[SERVICIO 2025]],$J$2:$V$16,6,0)*Tabla43[[#This Row],[TOTAL COBERTURA]]</f>
        <v>820580</v>
      </c>
      <c r="AO73" s="35">
        <f>VLOOKUP(Tabla43[[#This Row],[SERVICIO 2025]],$J$2:$V$16,8,0)*Tabla43[[#This Row],[TOTAL COBERTURA]]</f>
        <v>582000</v>
      </c>
      <c r="AP73" s="35">
        <f>VLOOKUP(Tabla43[[#This Row],[SERVICIO 2025]],$J$2:$V$16,3,0)*Tabla43[[#This Row],[TOTAL COBERTURA]]*7</f>
        <v>36062040</v>
      </c>
      <c r="AQ73" s="35"/>
      <c r="AR7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73" s="35" t="str">
        <f>+IF(Tabla43[[#This Row],[AGRUPACIONES]]=1,SUMIFS(Tabla43[VALOR TOTAL],Tabla43[ZONA DEFINITIVO],Tabla43[[#This Row],[ZONA DEFINITIVO]])," ")</f>
        <v xml:space="preserve"> </v>
      </c>
      <c r="AT7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73" s="35">
        <f>VLOOKUP(Tabla43[[#This Row],[SERVICIO 2025]],$J$2:$V$16,3,0)*Tabla43[[#This Row],[TOTAL COBERTURA]]+Tabla43[[#This Row],[VALOR RACION PREPARADA]]/7</f>
        <v>5151720</v>
      </c>
      <c r="AV73" s="35">
        <f>VLOOKUP(Tabla43[[#This Row],[SERVICIO 2025]],$J$2:$V$16,3,0)*Tabla43[[#This Row],[TOTAL COBERTURA]]+Tabla43[[#This Row],[VALOR RACION PREPARADA]]/7</f>
        <v>5151720</v>
      </c>
      <c r="AW73" s="35">
        <f>VLOOKUP(Tabla43[[#This Row],[SERVICIO 2025]],$J$2:$V$16,3,0)*Tabla43[[#This Row],[TOTAL COBERTURA]]+Tabla43[[#This Row],[VALOR RACION PREPARADA]]/7</f>
        <v>5151720</v>
      </c>
      <c r="AX73" s="35">
        <f>VLOOKUP(Tabla43[[#This Row],[SERVICIO 2025]],$J$2:$V$16,3,0)*Tabla43[[#This Row],[TOTAL COBERTURA]]+Tabla43[[#This Row],[VALOR RACION PREPARADA]]/7</f>
        <v>5151720</v>
      </c>
      <c r="AY73" s="35">
        <f>VLOOKUP(Tabla43[[#This Row],[SERVICIO 2025]],$J$2:$V$16,3,0)*Tabla43[[#This Row],[TOTAL COBERTURA]]+Tabla43[[#This Row],[VALOR RACION PREPARADA]]/7</f>
        <v>5151720</v>
      </c>
      <c r="AZ73" s="35">
        <f>VLOOKUP(Tabla43[[#This Row],[SERVICIO 2025]],$J$2:$V$16,3,0)*Tabla43[[#This Row],[TOTAL COBERTURA]]+Tabla43[[#This Row],[VALOR RACION PREPARADA]]/7+Tabla43[[#This Row],[VALOR FASE PREPARATORIA DE CIERRE]]</f>
        <v>5972300</v>
      </c>
      <c r="BA73" s="35"/>
      <c r="BB73" s="35">
        <f>SUM(Tabla43[[#This Row],[DESEMBOLSO 1]:[DESEMBOLSO 8]])</f>
        <v>38452140</v>
      </c>
      <c r="BC73" s="55">
        <f>VLOOKUP(Tabla43[[#This Row],[SERVICIO 2025]],$J$2:$V$16,10,0)*Tabla43[[#This Row],[TOTAL COBERTURA]]*$W$3</f>
        <v>28861280</v>
      </c>
      <c r="BD73" s="47" t="s">
        <v>211</v>
      </c>
      <c r="BE73" s="12" t="b">
        <f>EXACT(Tabla43[[#This Row],[TOTAL APORTES ICBF]],Tabla43[[#This Row],[VALOR TOTAL]])</f>
        <v>1</v>
      </c>
      <c r="BF73" s="23">
        <f>SUM(Tabla43[[#This Row],[VALOR FASE PREPARATORIA DE ALISTAMIENTO]:[VALOR RACION PREPARADA]])-Tabla43[[#This Row],[VALOR TOTAL]]</f>
        <v>0</v>
      </c>
      <c r="BG73" s="12" t="b">
        <f>EXACT(Tabla43[[#This Row],[VALOR TOTAL]],Tabla43[[#This Row],[TOTAL DESEMBOLSOS]])</f>
        <v>1</v>
      </c>
      <c r="BH73" s="29">
        <f>Tabla43[[#This Row],[TOTAL DESEMBOLSOS]]-Tabla43[[#This Row],[VALOR TOTAL]]</f>
        <v>0</v>
      </c>
      <c r="BJ73" t="s">
        <v>3924</v>
      </c>
    </row>
    <row r="74" spans="1:62" hidden="1">
      <c r="A74" s="13">
        <v>1914</v>
      </c>
      <c r="B74" s="13"/>
      <c r="C74" s="12" t="s">
        <v>87</v>
      </c>
      <c r="D74" s="12" t="s">
        <v>462</v>
      </c>
      <c r="E74" s="12" t="s">
        <v>463</v>
      </c>
      <c r="F74" s="12" t="s">
        <v>18</v>
      </c>
      <c r="G74" s="12" t="s">
        <v>90</v>
      </c>
      <c r="H74" s="12" t="s">
        <v>3998</v>
      </c>
      <c r="I74" s="12">
        <v>50451152315</v>
      </c>
      <c r="J74" s="12" t="s">
        <v>3999</v>
      </c>
      <c r="K74" s="12">
        <v>1</v>
      </c>
      <c r="L74" s="12">
        <v>20</v>
      </c>
      <c r="M74" s="12"/>
      <c r="N74" s="13">
        <v>1914</v>
      </c>
      <c r="O74" s="12" t="s">
        <v>93</v>
      </c>
      <c r="P74" s="12"/>
      <c r="Q74" s="12"/>
      <c r="R74" s="12" t="s">
        <v>94</v>
      </c>
      <c r="S74" s="12">
        <v>10</v>
      </c>
      <c r="T74" s="12" t="s">
        <v>3962</v>
      </c>
      <c r="U74" s="12" t="s">
        <v>3963</v>
      </c>
      <c r="V74" s="12">
        <f>VLOOKUP(Tabla43[[#This Row],[ZONA DEFINITIVO]],Hoja1!$A$1:$D$129,3,0)</f>
        <v>229953</v>
      </c>
      <c r="W74" s="12">
        <f>VLOOKUP(Tabla43[[#This Row],[ZONA DEFINITIVO]],Hoja1!$A$1:$D$129,2,0)</f>
        <v>18580</v>
      </c>
      <c r="X74" s="12">
        <f>VLOOKUP(Tabla43[[#This Row],[ZONA DEFINITIVO]],Hoja1!$A$1:$D$129,4,0)</f>
        <v>116625</v>
      </c>
      <c r="Y74" s="12" t="str">
        <f>+IF(Tabla43[[#This Row],[AGRUPACIONES]]=1,SUMIFS(Tabla43[UDS],Tabla43[ZONA DEFINITIVO],Tabla43[[#This Row],[ZONA DEFINITIVO]])," ")</f>
        <v xml:space="preserve"> </v>
      </c>
      <c r="Z74" s="12" t="str">
        <f>+IF(Tabla43[[#This Row],[AGRUPACIONES]]=1,SUMIFS(Tabla43[TOTAL COBERTURA],Tabla43[ZONA DEFINITIVO],Tabla43[[#This Row],[ZONA DEFINITIVO]])," ")</f>
        <v xml:space="preserve"> </v>
      </c>
      <c r="AA74" s="12"/>
      <c r="AB74" s="51">
        <v>38452140</v>
      </c>
      <c r="AC74" s="37">
        <v>0.02</v>
      </c>
      <c r="AD74" s="38">
        <f>Tabla43[[#This Row],[VALOR ATENCIÓN (7 MESES)]]*Tabla43[[#This Row],[% CONTRAPARTIDA]]</f>
        <v>769042.8</v>
      </c>
      <c r="AE74" s="12"/>
      <c r="AF74" s="12">
        <f>COUNTIF($A$22:A74,A74)</f>
        <v>21</v>
      </c>
      <c r="AG74" s="51">
        <v>38452140</v>
      </c>
      <c r="AH74" s="38">
        <f>Tabla43[[#This Row],[VALOR CONTRAPARTIDA]]+Tabla43[[#This Row],[TOTAL APORTES ICBF]]</f>
        <v>39221182.799999997</v>
      </c>
      <c r="AI74" s="35" t="str">
        <f>+IF(Tabla43[[#This Row],[AGRUPACIONES]]=1,SUMIFS(Tabla43[TOTAL APORTES ICBF],Tabla43[ZONA DEFINITIVO],Tabla43[[#This Row],[ZONA DEFINITIVO]])," ")</f>
        <v xml:space="preserve"> </v>
      </c>
      <c r="AJ74" s="38"/>
      <c r="AK74" s="38"/>
      <c r="AL74" s="23"/>
      <c r="AM74" s="35">
        <f>VLOOKUP(Tabla43[[#This Row],[SERVICIO 2025]],$J$2:$V$16,5,0)*Tabla43[[#This Row],[TOTAL COBERTURA]]</f>
        <v>987520</v>
      </c>
      <c r="AN74" s="35">
        <f>VLOOKUP(Tabla43[[#This Row],[SERVICIO 2025]],$J$2:$V$16,6,0)*Tabla43[[#This Row],[TOTAL COBERTURA]]</f>
        <v>820580</v>
      </c>
      <c r="AO74" s="35">
        <f>VLOOKUP(Tabla43[[#This Row],[SERVICIO 2025]],$J$2:$V$16,8,0)*Tabla43[[#This Row],[TOTAL COBERTURA]]</f>
        <v>582000</v>
      </c>
      <c r="AP74" s="35">
        <f>VLOOKUP(Tabla43[[#This Row],[SERVICIO 2025]],$J$2:$V$16,3,0)*Tabla43[[#This Row],[TOTAL COBERTURA]]*7</f>
        <v>36062040</v>
      </c>
      <c r="AQ74" s="35"/>
      <c r="AR7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74" s="35" t="str">
        <f>+IF(Tabla43[[#This Row],[AGRUPACIONES]]=1,SUMIFS(Tabla43[VALOR TOTAL],Tabla43[ZONA DEFINITIVO],Tabla43[[#This Row],[ZONA DEFINITIVO]])," ")</f>
        <v xml:space="preserve"> </v>
      </c>
      <c r="AT7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74" s="35">
        <f>VLOOKUP(Tabla43[[#This Row],[SERVICIO 2025]],$J$2:$V$16,3,0)*Tabla43[[#This Row],[TOTAL COBERTURA]]+Tabla43[[#This Row],[VALOR RACION PREPARADA]]/7</f>
        <v>5151720</v>
      </c>
      <c r="AV74" s="35">
        <f>VLOOKUP(Tabla43[[#This Row],[SERVICIO 2025]],$J$2:$V$16,3,0)*Tabla43[[#This Row],[TOTAL COBERTURA]]+Tabla43[[#This Row],[VALOR RACION PREPARADA]]/7</f>
        <v>5151720</v>
      </c>
      <c r="AW74" s="35">
        <f>VLOOKUP(Tabla43[[#This Row],[SERVICIO 2025]],$J$2:$V$16,3,0)*Tabla43[[#This Row],[TOTAL COBERTURA]]+Tabla43[[#This Row],[VALOR RACION PREPARADA]]/7</f>
        <v>5151720</v>
      </c>
      <c r="AX74" s="35">
        <f>VLOOKUP(Tabla43[[#This Row],[SERVICIO 2025]],$J$2:$V$16,3,0)*Tabla43[[#This Row],[TOTAL COBERTURA]]+Tabla43[[#This Row],[VALOR RACION PREPARADA]]/7</f>
        <v>5151720</v>
      </c>
      <c r="AY74" s="35">
        <f>VLOOKUP(Tabla43[[#This Row],[SERVICIO 2025]],$J$2:$V$16,3,0)*Tabla43[[#This Row],[TOTAL COBERTURA]]+Tabla43[[#This Row],[VALOR RACION PREPARADA]]/7</f>
        <v>5151720</v>
      </c>
      <c r="AZ74" s="35">
        <f>VLOOKUP(Tabla43[[#This Row],[SERVICIO 2025]],$J$2:$V$16,3,0)*Tabla43[[#This Row],[TOTAL COBERTURA]]+Tabla43[[#This Row],[VALOR RACION PREPARADA]]/7+Tabla43[[#This Row],[VALOR FASE PREPARATORIA DE CIERRE]]</f>
        <v>5972300</v>
      </c>
      <c r="BA74" s="35"/>
      <c r="BB74" s="35">
        <f>SUM(Tabla43[[#This Row],[DESEMBOLSO 1]:[DESEMBOLSO 8]])</f>
        <v>38452140</v>
      </c>
      <c r="BC74" s="55">
        <f>VLOOKUP(Tabla43[[#This Row],[SERVICIO 2025]],$J$2:$V$16,10,0)*Tabla43[[#This Row],[TOTAL COBERTURA]]*$W$3</f>
        <v>28861280</v>
      </c>
      <c r="BD74" s="47" t="s">
        <v>211</v>
      </c>
      <c r="BE74" s="12" t="b">
        <f>EXACT(Tabla43[[#This Row],[TOTAL APORTES ICBF]],Tabla43[[#This Row],[VALOR TOTAL]])</f>
        <v>1</v>
      </c>
      <c r="BF74" s="23">
        <f>SUM(Tabla43[[#This Row],[VALOR FASE PREPARATORIA DE ALISTAMIENTO]:[VALOR RACION PREPARADA]])-Tabla43[[#This Row],[VALOR TOTAL]]</f>
        <v>0</v>
      </c>
      <c r="BG74" s="12" t="b">
        <f>EXACT(Tabla43[[#This Row],[VALOR TOTAL]],Tabla43[[#This Row],[TOTAL DESEMBOLSOS]])</f>
        <v>1</v>
      </c>
      <c r="BH74" s="29">
        <f>Tabla43[[#This Row],[TOTAL DESEMBOLSOS]]-Tabla43[[#This Row],[VALOR TOTAL]]</f>
        <v>0</v>
      </c>
      <c r="BJ74" t="s">
        <v>3924</v>
      </c>
    </row>
    <row r="75" spans="1:62" hidden="1">
      <c r="A75" s="13">
        <v>1914</v>
      </c>
      <c r="B75" s="13"/>
      <c r="C75" s="12" t="s">
        <v>87</v>
      </c>
      <c r="D75" s="12" t="s">
        <v>462</v>
      </c>
      <c r="E75" s="12" t="s">
        <v>463</v>
      </c>
      <c r="F75" s="12" t="s">
        <v>18</v>
      </c>
      <c r="G75" s="12" t="s">
        <v>90</v>
      </c>
      <c r="H75" s="12" t="s">
        <v>3998</v>
      </c>
      <c r="I75" s="12">
        <v>50451152317</v>
      </c>
      <c r="J75" s="12" t="s">
        <v>4000</v>
      </c>
      <c r="K75" s="12">
        <v>1</v>
      </c>
      <c r="L75" s="12">
        <v>20</v>
      </c>
      <c r="M75" s="12"/>
      <c r="N75" s="13">
        <v>1914</v>
      </c>
      <c r="O75" s="12" t="s">
        <v>93</v>
      </c>
      <c r="P75" s="12"/>
      <c r="Q75" s="12"/>
      <c r="R75" s="12" t="s">
        <v>94</v>
      </c>
      <c r="S75" s="12">
        <v>10</v>
      </c>
      <c r="T75" s="12" t="s">
        <v>3962</v>
      </c>
      <c r="U75" s="12" t="s">
        <v>3963</v>
      </c>
      <c r="V75" s="12">
        <f>VLOOKUP(Tabla43[[#This Row],[ZONA DEFINITIVO]],Hoja1!$A$1:$D$129,3,0)</f>
        <v>229953</v>
      </c>
      <c r="W75" s="12">
        <f>VLOOKUP(Tabla43[[#This Row],[ZONA DEFINITIVO]],Hoja1!$A$1:$D$129,2,0)</f>
        <v>18580</v>
      </c>
      <c r="X75" s="12">
        <f>VLOOKUP(Tabla43[[#This Row],[ZONA DEFINITIVO]],Hoja1!$A$1:$D$129,4,0)</f>
        <v>116625</v>
      </c>
      <c r="Y75" s="12" t="str">
        <f>+IF(Tabla43[[#This Row],[AGRUPACIONES]]=1,SUMIFS(Tabla43[UDS],Tabla43[ZONA DEFINITIVO],Tabla43[[#This Row],[ZONA DEFINITIVO]])," ")</f>
        <v xml:space="preserve"> </v>
      </c>
      <c r="Z75" s="12" t="str">
        <f>+IF(Tabla43[[#This Row],[AGRUPACIONES]]=1,SUMIFS(Tabla43[TOTAL COBERTURA],Tabla43[ZONA DEFINITIVO],Tabla43[[#This Row],[ZONA DEFINITIVO]])," ")</f>
        <v xml:space="preserve"> </v>
      </c>
      <c r="AA75" s="12"/>
      <c r="AB75" s="51">
        <v>38452140</v>
      </c>
      <c r="AC75" s="37">
        <v>0.02</v>
      </c>
      <c r="AD75" s="38">
        <f>Tabla43[[#This Row],[VALOR ATENCIÓN (7 MESES)]]*Tabla43[[#This Row],[% CONTRAPARTIDA]]</f>
        <v>769042.8</v>
      </c>
      <c r="AE75" s="12"/>
      <c r="AF75" s="12">
        <f>COUNTIF($A$22:A75,A75)</f>
        <v>22</v>
      </c>
      <c r="AG75" s="51">
        <v>38452140</v>
      </c>
      <c r="AH75" s="38">
        <f>Tabla43[[#This Row],[VALOR CONTRAPARTIDA]]+Tabla43[[#This Row],[TOTAL APORTES ICBF]]</f>
        <v>39221182.799999997</v>
      </c>
      <c r="AI75" s="35" t="str">
        <f>+IF(Tabla43[[#This Row],[AGRUPACIONES]]=1,SUMIFS(Tabla43[TOTAL APORTES ICBF],Tabla43[ZONA DEFINITIVO],Tabla43[[#This Row],[ZONA DEFINITIVO]])," ")</f>
        <v xml:space="preserve"> </v>
      </c>
      <c r="AJ75" s="38"/>
      <c r="AK75" s="38"/>
      <c r="AL75" s="23"/>
      <c r="AM75" s="35">
        <f>VLOOKUP(Tabla43[[#This Row],[SERVICIO 2025]],$J$2:$V$16,5,0)*Tabla43[[#This Row],[TOTAL COBERTURA]]</f>
        <v>987520</v>
      </c>
      <c r="AN75" s="35">
        <f>VLOOKUP(Tabla43[[#This Row],[SERVICIO 2025]],$J$2:$V$16,6,0)*Tabla43[[#This Row],[TOTAL COBERTURA]]</f>
        <v>820580</v>
      </c>
      <c r="AO75" s="35">
        <f>VLOOKUP(Tabla43[[#This Row],[SERVICIO 2025]],$J$2:$V$16,8,0)*Tabla43[[#This Row],[TOTAL COBERTURA]]</f>
        <v>582000</v>
      </c>
      <c r="AP75" s="35">
        <f>VLOOKUP(Tabla43[[#This Row],[SERVICIO 2025]],$J$2:$V$16,3,0)*Tabla43[[#This Row],[TOTAL COBERTURA]]*7</f>
        <v>36062040</v>
      </c>
      <c r="AQ75" s="35"/>
      <c r="AR7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75" s="35" t="str">
        <f>+IF(Tabla43[[#This Row],[AGRUPACIONES]]=1,SUMIFS(Tabla43[VALOR TOTAL],Tabla43[ZONA DEFINITIVO],Tabla43[[#This Row],[ZONA DEFINITIVO]])," ")</f>
        <v xml:space="preserve"> </v>
      </c>
      <c r="AT7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75" s="35">
        <f>VLOOKUP(Tabla43[[#This Row],[SERVICIO 2025]],$J$2:$V$16,3,0)*Tabla43[[#This Row],[TOTAL COBERTURA]]+Tabla43[[#This Row],[VALOR RACION PREPARADA]]/7</f>
        <v>5151720</v>
      </c>
      <c r="AV75" s="35">
        <f>VLOOKUP(Tabla43[[#This Row],[SERVICIO 2025]],$J$2:$V$16,3,0)*Tabla43[[#This Row],[TOTAL COBERTURA]]+Tabla43[[#This Row],[VALOR RACION PREPARADA]]/7</f>
        <v>5151720</v>
      </c>
      <c r="AW75" s="35">
        <f>VLOOKUP(Tabla43[[#This Row],[SERVICIO 2025]],$J$2:$V$16,3,0)*Tabla43[[#This Row],[TOTAL COBERTURA]]+Tabla43[[#This Row],[VALOR RACION PREPARADA]]/7</f>
        <v>5151720</v>
      </c>
      <c r="AX75" s="35">
        <f>VLOOKUP(Tabla43[[#This Row],[SERVICIO 2025]],$J$2:$V$16,3,0)*Tabla43[[#This Row],[TOTAL COBERTURA]]+Tabla43[[#This Row],[VALOR RACION PREPARADA]]/7</f>
        <v>5151720</v>
      </c>
      <c r="AY75" s="35">
        <f>VLOOKUP(Tabla43[[#This Row],[SERVICIO 2025]],$J$2:$V$16,3,0)*Tabla43[[#This Row],[TOTAL COBERTURA]]+Tabla43[[#This Row],[VALOR RACION PREPARADA]]/7</f>
        <v>5151720</v>
      </c>
      <c r="AZ75" s="35">
        <f>VLOOKUP(Tabla43[[#This Row],[SERVICIO 2025]],$J$2:$V$16,3,0)*Tabla43[[#This Row],[TOTAL COBERTURA]]+Tabla43[[#This Row],[VALOR RACION PREPARADA]]/7+Tabla43[[#This Row],[VALOR FASE PREPARATORIA DE CIERRE]]</f>
        <v>5972300</v>
      </c>
      <c r="BA75" s="35"/>
      <c r="BB75" s="35">
        <f>SUM(Tabla43[[#This Row],[DESEMBOLSO 1]:[DESEMBOLSO 8]])</f>
        <v>38452140</v>
      </c>
      <c r="BC75" s="55">
        <f>VLOOKUP(Tabla43[[#This Row],[SERVICIO 2025]],$J$2:$V$16,10,0)*Tabla43[[#This Row],[TOTAL COBERTURA]]*$W$3</f>
        <v>28861280</v>
      </c>
      <c r="BD75" s="47" t="s">
        <v>211</v>
      </c>
      <c r="BE75" s="12" t="b">
        <f>EXACT(Tabla43[[#This Row],[TOTAL APORTES ICBF]],Tabla43[[#This Row],[VALOR TOTAL]])</f>
        <v>1</v>
      </c>
      <c r="BF75" s="23">
        <f>SUM(Tabla43[[#This Row],[VALOR FASE PREPARATORIA DE ALISTAMIENTO]:[VALOR RACION PREPARADA]])-Tabla43[[#This Row],[VALOR TOTAL]]</f>
        <v>0</v>
      </c>
      <c r="BG75" s="12" t="b">
        <f>EXACT(Tabla43[[#This Row],[VALOR TOTAL]],Tabla43[[#This Row],[TOTAL DESEMBOLSOS]])</f>
        <v>1</v>
      </c>
      <c r="BH75" s="29">
        <f>Tabla43[[#This Row],[TOTAL DESEMBOLSOS]]-Tabla43[[#This Row],[VALOR TOTAL]]</f>
        <v>0</v>
      </c>
      <c r="BJ75" t="s">
        <v>3924</v>
      </c>
    </row>
    <row r="76" spans="1:62" hidden="1">
      <c r="A76" s="13">
        <v>1914</v>
      </c>
      <c r="B76" s="13"/>
      <c r="C76" s="12" t="s">
        <v>87</v>
      </c>
      <c r="D76" s="12" t="s">
        <v>462</v>
      </c>
      <c r="E76" s="12" t="s">
        <v>463</v>
      </c>
      <c r="F76" s="12" t="s">
        <v>18</v>
      </c>
      <c r="G76" s="12" t="s">
        <v>90</v>
      </c>
      <c r="H76" s="12" t="s">
        <v>4001</v>
      </c>
      <c r="I76" s="12">
        <v>50451153057</v>
      </c>
      <c r="J76" s="12" t="s">
        <v>4002</v>
      </c>
      <c r="K76" s="12">
        <v>1</v>
      </c>
      <c r="L76" s="12">
        <v>16</v>
      </c>
      <c r="M76" s="12"/>
      <c r="N76" s="13">
        <v>1914</v>
      </c>
      <c r="O76" s="12" t="s">
        <v>93</v>
      </c>
      <c r="P76" s="12"/>
      <c r="Q76" s="12"/>
      <c r="R76" s="12" t="s">
        <v>94</v>
      </c>
      <c r="S76" s="12">
        <v>10</v>
      </c>
      <c r="T76" s="12" t="s">
        <v>3962</v>
      </c>
      <c r="U76" s="12" t="s">
        <v>3963</v>
      </c>
      <c r="V76" s="12">
        <f>VLOOKUP(Tabla43[[#This Row],[ZONA DEFINITIVO]],Hoja1!$A$1:$D$129,3,0)</f>
        <v>229953</v>
      </c>
      <c r="W76" s="12">
        <f>VLOOKUP(Tabla43[[#This Row],[ZONA DEFINITIVO]],Hoja1!$A$1:$D$129,2,0)</f>
        <v>18580</v>
      </c>
      <c r="X76" s="12">
        <f>VLOOKUP(Tabla43[[#This Row],[ZONA DEFINITIVO]],Hoja1!$A$1:$D$129,4,0)</f>
        <v>116625</v>
      </c>
      <c r="Y76" s="12" t="str">
        <f>+IF(Tabla43[[#This Row],[AGRUPACIONES]]=1,SUMIFS(Tabla43[UDS],Tabla43[ZONA DEFINITIVO],Tabla43[[#This Row],[ZONA DEFINITIVO]])," ")</f>
        <v xml:space="preserve"> </v>
      </c>
      <c r="Z76" s="12" t="str">
        <f>+IF(Tabla43[[#This Row],[AGRUPACIONES]]=1,SUMIFS(Tabla43[TOTAL COBERTURA],Tabla43[ZONA DEFINITIVO],Tabla43[[#This Row],[ZONA DEFINITIVO]])," ")</f>
        <v xml:space="preserve"> </v>
      </c>
      <c r="AA76" s="12"/>
      <c r="AB76" s="51">
        <v>30761712</v>
      </c>
      <c r="AC76" s="37">
        <v>0.02</v>
      </c>
      <c r="AD76" s="38">
        <f>Tabla43[[#This Row],[VALOR ATENCIÓN (7 MESES)]]*Tabla43[[#This Row],[% CONTRAPARTIDA]]</f>
        <v>615234.24</v>
      </c>
      <c r="AE76" s="12"/>
      <c r="AF76" s="12">
        <f>COUNTIF($A$22:A76,A76)</f>
        <v>23</v>
      </c>
      <c r="AG76" s="51">
        <v>30761712</v>
      </c>
      <c r="AH76" s="38">
        <f>Tabla43[[#This Row],[VALOR CONTRAPARTIDA]]+Tabla43[[#This Row],[TOTAL APORTES ICBF]]</f>
        <v>31376946.239999998</v>
      </c>
      <c r="AI76" s="35" t="str">
        <f>+IF(Tabla43[[#This Row],[AGRUPACIONES]]=1,SUMIFS(Tabla43[TOTAL APORTES ICBF],Tabla43[ZONA DEFINITIVO],Tabla43[[#This Row],[ZONA DEFINITIVO]])," ")</f>
        <v xml:space="preserve"> </v>
      </c>
      <c r="AJ76" s="38"/>
      <c r="AK76" s="38"/>
      <c r="AL76" s="23"/>
      <c r="AM76" s="35">
        <f>VLOOKUP(Tabla43[[#This Row],[SERVICIO 2025]],$J$2:$V$16,5,0)*Tabla43[[#This Row],[TOTAL COBERTURA]]</f>
        <v>790016</v>
      </c>
      <c r="AN76" s="35">
        <f>VLOOKUP(Tabla43[[#This Row],[SERVICIO 2025]],$J$2:$V$16,6,0)*Tabla43[[#This Row],[TOTAL COBERTURA]]</f>
        <v>656464</v>
      </c>
      <c r="AO76" s="35">
        <f>VLOOKUP(Tabla43[[#This Row],[SERVICIO 2025]],$J$2:$V$16,8,0)*Tabla43[[#This Row],[TOTAL COBERTURA]]</f>
        <v>465600</v>
      </c>
      <c r="AP76" s="35">
        <f>VLOOKUP(Tabla43[[#This Row],[SERVICIO 2025]],$J$2:$V$16,3,0)*Tabla43[[#This Row],[TOTAL COBERTURA]]*7</f>
        <v>28849632</v>
      </c>
      <c r="AQ76" s="35"/>
      <c r="AR7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76" s="35" t="str">
        <f>+IF(Tabla43[[#This Row],[AGRUPACIONES]]=1,SUMIFS(Tabla43[VALOR TOTAL],Tabla43[ZONA DEFINITIVO],Tabla43[[#This Row],[ZONA DEFINITIVO]])," ")</f>
        <v xml:space="preserve"> </v>
      </c>
      <c r="AT7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76" s="35">
        <f>VLOOKUP(Tabla43[[#This Row],[SERVICIO 2025]],$J$2:$V$16,3,0)*Tabla43[[#This Row],[TOTAL COBERTURA]]+Tabla43[[#This Row],[VALOR RACION PREPARADA]]/7</f>
        <v>4121376</v>
      </c>
      <c r="AV76" s="35">
        <f>VLOOKUP(Tabla43[[#This Row],[SERVICIO 2025]],$J$2:$V$16,3,0)*Tabla43[[#This Row],[TOTAL COBERTURA]]+Tabla43[[#This Row],[VALOR RACION PREPARADA]]/7</f>
        <v>4121376</v>
      </c>
      <c r="AW76" s="35">
        <f>VLOOKUP(Tabla43[[#This Row],[SERVICIO 2025]],$J$2:$V$16,3,0)*Tabla43[[#This Row],[TOTAL COBERTURA]]+Tabla43[[#This Row],[VALOR RACION PREPARADA]]/7</f>
        <v>4121376</v>
      </c>
      <c r="AX76" s="35">
        <f>VLOOKUP(Tabla43[[#This Row],[SERVICIO 2025]],$J$2:$V$16,3,0)*Tabla43[[#This Row],[TOTAL COBERTURA]]+Tabla43[[#This Row],[VALOR RACION PREPARADA]]/7</f>
        <v>4121376</v>
      </c>
      <c r="AY76" s="35">
        <f>VLOOKUP(Tabla43[[#This Row],[SERVICIO 2025]],$J$2:$V$16,3,0)*Tabla43[[#This Row],[TOTAL COBERTURA]]+Tabla43[[#This Row],[VALOR RACION PREPARADA]]/7</f>
        <v>4121376</v>
      </c>
      <c r="AZ76" s="35">
        <f>VLOOKUP(Tabla43[[#This Row],[SERVICIO 2025]],$J$2:$V$16,3,0)*Tabla43[[#This Row],[TOTAL COBERTURA]]+Tabla43[[#This Row],[VALOR RACION PREPARADA]]/7+Tabla43[[#This Row],[VALOR FASE PREPARATORIA DE CIERRE]]</f>
        <v>4777840</v>
      </c>
      <c r="BA76" s="35"/>
      <c r="BB76" s="35">
        <f>SUM(Tabla43[[#This Row],[DESEMBOLSO 1]:[DESEMBOLSO 8]])</f>
        <v>30761712</v>
      </c>
      <c r="BC76" s="55">
        <f>VLOOKUP(Tabla43[[#This Row],[SERVICIO 2025]],$J$2:$V$16,10,0)*Tabla43[[#This Row],[TOTAL COBERTURA]]*$W$3</f>
        <v>23089024</v>
      </c>
      <c r="BD76" s="47" t="s">
        <v>211</v>
      </c>
      <c r="BE76" s="12" t="b">
        <f>EXACT(Tabla43[[#This Row],[TOTAL APORTES ICBF]],Tabla43[[#This Row],[VALOR TOTAL]])</f>
        <v>1</v>
      </c>
      <c r="BF76" s="23">
        <f>SUM(Tabla43[[#This Row],[VALOR FASE PREPARATORIA DE ALISTAMIENTO]:[VALOR RACION PREPARADA]])-Tabla43[[#This Row],[VALOR TOTAL]]</f>
        <v>0</v>
      </c>
      <c r="BG76" s="12" t="b">
        <f>EXACT(Tabla43[[#This Row],[VALOR TOTAL]],Tabla43[[#This Row],[TOTAL DESEMBOLSOS]])</f>
        <v>1</v>
      </c>
      <c r="BH76" s="29">
        <f>Tabla43[[#This Row],[TOTAL DESEMBOLSOS]]-Tabla43[[#This Row],[VALOR TOTAL]]</f>
        <v>0</v>
      </c>
      <c r="BJ76" t="s">
        <v>3924</v>
      </c>
    </row>
    <row r="77" spans="1:62" hidden="1">
      <c r="A77" s="13">
        <v>1914</v>
      </c>
      <c r="B77" s="13"/>
      <c r="C77" s="12" t="s">
        <v>87</v>
      </c>
      <c r="D77" s="12" t="s">
        <v>462</v>
      </c>
      <c r="E77" s="12" t="s">
        <v>463</v>
      </c>
      <c r="F77" s="12" t="s">
        <v>18</v>
      </c>
      <c r="G77" s="12" t="s">
        <v>90</v>
      </c>
      <c r="H77" s="12" t="s">
        <v>4003</v>
      </c>
      <c r="I77" s="12">
        <v>504500115641</v>
      </c>
      <c r="J77" s="12" t="s">
        <v>4004</v>
      </c>
      <c r="K77" s="12">
        <v>1</v>
      </c>
      <c r="L77" s="12">
        <v>50</v>
      </c>
      <c r="M77" s="12"/>
      <c r="N77" s="13">
        <v>1914</v>
      </c>
      <c r="O77" s="12" t="s">
        <v>93</v>
      </c>
      <c r="P77" s="12"/>
      <c r="Q77" s="12"/>
      <c r="R77" s="12" t="s">
        <v>94</v>
      </c>
      <c r="S77" s="12">
        <v>10</v>
      </c>
      <c r="T77" s="12" t="s">
        <v>3962</v>
      </c>
      <c r="U77" s="12" t="s">
        <v>3963</v>
      </c>
      <c r="V77" s="12">
        <f>VLOOKUP(Tabla43[[#This Row],[ZONA DEFINITIVO]],Hoja1!$A$1:$D$129,3,0)</f>
        <v>229953</v>
      </c>
      <c r="W77" s="12">
        <f>VLOOKUP(Tabla43[[#This Row],[ZONA DEFINITIVO]],Hoja1!$A$1:$D$129,2,0)</f>
        <v>18580</v>
      </c>
      <c r="X77" s="12">
        <f>VLOOKUP(Tabla43[[#This Row],[ZONA DEFINITIVO]],Hoja1!$A$1:$D$129,4,0)</f>
        <v>116625</v>
      </c>
      <c r="Y77" s="12" t="str">
        <f>+IF(Tabla43[[#This Row],[AGRUPACIONES]]=1,SUMIFS(Tabla43[UDS],Tabla43[ZONA DEFINITIVO],Tabla43[[#This Row],[ZONA DEFINITIVO]])," ")</f>
        <v xml:space="preserve"> </v>
      </c>
      <c r="Z77" s="12" t="str">
        <f>+IF(Tabla43[[#This Row],[AGRUPACIONES]]=1,SUMIFS(Tabla43[TOTAL COBERTURA],Tabla43[ZONA DEFINITIVO],Tabla43[[#This Row],[ZONA DEFINITIVO]])," ")</f>
        <v xml:space="preserve"> </v>
      </c>
      <c r="AA77" s="12"/>
      <c r="AB77" s="51">
        <v>96130350</v>
      </c>
      <c r="AC77" s="37">
        <v>0.02</v>
      </c>
      <c r="AD77" s="38">
        <f>Tabla43[[#This Row],[VALOR ATENCIÓN (7 MESES)]]*Tabla43[[#This Row],[% CONTRAPARTIDA]]</f>
        <v>1922607</v>
      </c>
      <c r="AE77" s="12"/>
      <c r="AF77" s="12">
        <f>COUNTIF($A$22:A77,A77)</f>
        <v>24</v>
      </c>
      <c r="AG77" s="51">
        <v>96130350</v>
      </c>
      <c r="AH77" s="38">
        <f>Tabla43[[#This Row],[VALOR CONTRAPARTIDA]]+Tabla43[[#This Row],[TOTAL APORTES ICBF]]</f>
        <v>98052957</v>
      </c>
      <c r="AI77" s="35" t="str">
        <f>+IF(Tabla43[[#This Row],[AGRUPACIONES]]=1,SUMIFS(Tabla43[TOTAL APORTES ICBF],Tabla43[ZONA DEFINITIVO],Tabla43[[#This Row],[ZONA DEFINITIVO]])," ")</f>
        <v xml:space="preserve"> </v>
      </c>
      <c r="AJ77" s="38"/>
      <c r="AK77" s="38"/>
      <c r="AL77" s="23"/>
      <c r="AM77" s="35">
        <f>VLOOKUP(Tabla43[[#This Row],[SERVICIO 2025]],$J$2:$V$16,5,0)*Tabla43[[#This Row],[TOTAL COBERTURA]]</f>
        <v>2468800</v>
      </c>
      <c r="AN77" s="35">
        <f>VLOOKUP(Tabla43[[#This Row],[SERVICIO 2025]],$J$2:$V$16,6,0)*Tabla43[[#This Row],[TOTAL COBERTURA]]</f>
        <v>2051450</v>
      </c>
      <c r="AO77" s="35">
        <f>VLOOKUP(Tabla43[[#This Row],[SERVICIO 2025]],$J$2:$V$16,8,0)*Tabla43[[#This Row],[TOTAL COBERTURA]]</f>
        <v>1455000</v>
      </c>
      <c r="AP77" s="35">
        <f>VLOOKUP(Tabla43[[#This Row],[SERVICIO 2025]],$J$2:$V$16,3,0)*Tabla43[[#This Row],[TOTAL COBERTURA]]*7</f>
        <v>90155100</v>
      </c>
      <c r="AQ77" s="35"/>
      <c r="AR7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96130350</v>
      </c>
      <c r="AS77" s="35" t="str">
        <f>+IF(Tabla43[[#This Row],[AGRUPACIONES]]=1,SUMIFS(Tabla43[VALOR TOTAL],Tabla43[ZONA DEFINITIVO],Tabla43[[#This Row],[ZONA DEFINITIVO]])," ")</f>
        <v xml:space="preserve"> </v>
      </c>
      <c r="AT7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16803100</v>
      </c>
      <c r="AU77" s="35">
        <f>VLOOKUP(Tabla43[[#This Row],[SERVICIO 2025]],$J$2:$V$16,3,0)*Tabla43[[#This Row],[TOTAL COBERTURA]]+Tabla43[[#This Row],[VALOR RACION PREPARADA]]/7</f>
        <v>12879300</v>
      </c>
      <c r="AV77" s="35">
        <f>VLOOKUP(Tabla43[[#This Row],[SERVICIO 2025]],$J$2:$V$16,3,0)*Tabla43[[#This Row],[TOTAL COBERTURA]]+Tabla43[[#This Row],[VALOR RACION PREPARADA]]/7</f>
        <v>12879300</v>
      </c>
      <c r="AW77" s="35">
        <f>VLOOKUP(Tabla43[[#This Row],[SERVICIO 2025]],$J$2:$V$16,3,0)*Tabla43[[#This Row],[TOTAL COBERTURA]]+Tabla43[[#This Row],[VALOR RACION PREPARADA]]/7</f>
        <v>12879300</v>
      </c>
      <c r="AX77" s="35">
        <f>VLOOKUP(Tabla43[[#This Row],[SERVICIO 2025]],$J$2:$V$16,3,0)*Tabla43[[#This Row],[TOTAL COBERTURA]]+Tabla43[[#This Row],[VALOR RACION PREPARADA]]/7</f>
        <v>12879300</v>
      </c>
      <c r="AY77" s="35">
        <f>VLOOKUP(Tabla43[[#This Row],[SERVICIO 2025]],$J$2:$V$16,3,0)*Tabla43[[#This Row],[TOTAL COBERTURA]]+Tabla43[[#This Row],[VALOR RACION PREPARADA]]/7</f>
        <v>12879300</v>
      </c>
      <c r="AZ77" s="35">
        <f>VLOOKUP(Tabla43[[#This Row],[SERVICIO 2025]],$J$2:$V$16,3,0)*Tabla43[[#This Row],[TOTAL COBERTURA]]+Tabla43[[#This Row],[VALOR RACION PREPARADA]]/7+Tabla43[[#This Row],[VALOR FASE PREPARATORIA DE CIERRE]]</f>
        <v>14930750</v>
      </c>
      <c r="BA77" s="35"/>
      <c r="BB77" s="35">
        <f>SUM(Tabla43[[#This Row],[DESEMBOLSO 1]:[DESEMBOLSO 8]])</f>
        <v>96130350</v>
      </c>
      <c r="BC77" s="55">
        <f>VLOOKUP(Tabla43[[#This Row],[SERVICIO 2025]],$J$2:$V$16,10,0)*Tabla43[[#This Row],[TOTAL COBERTURA]]*$W$3</f>
        <v>72153200</v>
      </c>
      <c r="BD77" s="47" t="s">
        <v>211</v>
      </c>
      <c r="BE77" s="12" t="b">
        <f>EXACT(Tabla43[[#This Row],[TOTAL APORTES ICBF]],Tabla43[[#This Row],[VALOR TOTAL]])</f>
        <v>1</v>
      </c>
      <c r="BF77" s="23">
        <f>SUM(Tabla43[[#This Row],[VALOR FASE PREPARATORIA DE ALISTAMIENTO]:[VALOR RACION PREPARADA]])-Tabla43[[#This Row],[VALOR TOTAL]]</f>
        <v>0</v>
      </c>
      <c r="BG77" s="12" t="b">
        <f>EXACT(Tabla43[[#This Row],[VALOR TOTAL]],Tabla43[[#This Row],[TOTAL DESEMBOLSOS]])</f>
        <v>1</v>
      </c>
      <c r="BH77" s="29">
        <f>Tabla43[[#This Row],[TOTAL DESEMBOLSOS]]-Tabla43[[#This Row],[VALOR TOTAL]]</f>
        <v>0</v>
      </c>
      <c r="BJ77" t="s">
        <v>3924</v>
      </c>
    </row>
    <row r="78" spans="1:62" hidden="1">
      <c r="A78" s="13">
        <v>1914</v>
      </c>
      <c r="B78" s="13"/>
      <c r="C78" s="12" t="s">
        <v>87</v>
      </c>
      <c r="D78" s="12" t="s">
        <v>462</v>
      </c>
      <c r="E78" s="12" t="s">
        <v>463</v>
      </c>
      <c r="F78" s="12" t="s">
        <v>18</v>
      </c>
      <c r="G78" s="12" t="s">
        <v>90</v>
      </c>
      <c r="H78" s="12" t="s">
        <v>4005</v>
      </c>
      <c r="I78" s="12">
        <v>504500115645</v>
      </c>
      <c r="J78" s="12" t="s">
        <v>4006</v>
      </c>
      <c r="K78" s="12">
        <v>1</v>
      </c>
      <c r="L78" s="12">
        <v>50</v>
      </c>
      <c r="M78" s="12"/>
      <c r="N78" s="13">
        <v>1914</v>
      </c>
      <c r="O78" s="12" t="s">
        <v>93</v>
      </c>
      <c r="P78" s="12"/>
      <c r="Q78" s="12"/>
      <c r="R78" s="12" t="s">
        <v>94</v>
      </c>
      <c r="S78" s="12">
        <v>10</v>
      </c>
      <c r="T78" s="12" t="s">
        <v>3962</v>
      </c>
      <c r="U78" s="12" t="s">
        <v>3963</v>
      </c>
      <c r="V78" s="12">
        <f>VLOOKUP(Tabla43[[#This Row],[ZONA DEFINITIVO]],Hoja1!$A$1:$D$129,3,0)</f>
        <v>229953</v>
      </c>
      <c r="W78" s="12">
        <f>VLOOKUP(Tabla43[[#This Row],[ZONA DEFINITIVO]],Hoja1!$A$1:$D$129,2,0)</f>
        <v>18580</v>
      </c>
      <c r="X78" s="12">
        <f>VLOOKUP(Tabla43[[#This Row],[ZONA DEFINITIVO]],Hoja1!$A$1:$D$129,4,0)</f>
        <v>116625</v>
      </c>
      <c r="Y78" s="12" t="str">
        <f>+IF(Tabla43[[#This Row],[AGRUPACIONES]]=1,SUMIFS(Tabla43[UDS],Tabla43[ZONA DEFINITIVO],Tabla43[[#This Row],[ZONA DEFINITIVO]])," ")</f>
        <v xml:space="preserve"> </v>
      </c>
      <c r="Z78" s="12" t="str">
        <f>+IF(Tabla43[[#This Row],[AGRUPACIONES]]=1,SUMIFS(Tabla43[TOTAL COBERTURA],Tabla43[ZONA DEFINITIVO],Tabla43[[#This Row],[ZONA DEFINITIVO]])," ")</f>
        <v xml:space="preserve"> </v>
      </c>
      <c r="AA78" s="12"/>
      <c r="AB78" s="51">
        <v>96130350</v>
      </c>
      <c r="AC78" s="37">
        <v>0.02</v>
      </c>
      <c r="AD78" s="38">
        <f>Tabla43[[#This Row],[VALOR ATENCIÓN (7 MESES)]]*Tabla43[[#This Row],[% CONTRAPARTIDA]]</f>
        <v>1922607</v>
      </c>
      <c r="AE78" s="12"/>
      <c r="AF78" s="12">
        <f>COUNTIF($A$22:A78,A78)</f>
        <v>25</v>
      </c>
      <c r="AG78" s="51">
        <v>96130350</v>
      </c>
      <c r="AH78" s="38">
        <f>Tabla43[[#This Row],[VALOR CONTRAPARTIDA]]+Tabla43[[#This Row],[TOTAL APORTES ICBF]]</f>
        <v>98052957</v>
      </c>
      <c r="AI78" s="35" t="str">
        <f>+IF(Tabla43[[#This Row],[AGRUPACIONES]]=1,SUMIFS(Tabla43[TOTAL APORTES ICBF],Tabla43[ZONA DEFINITIVO],Tabla43[[#This Row],[ZONA DEFINITIVO]])," ")</f>
        <v xml:space="preserve"> </v>
      </c>
      <c r="AJ78" s="38"/>
      <c r="AK78" s="38"/>
      <c r="AL78" s="23"/>
      <c r="AM78" s="35">
        <f>VLOOKUP(Tabla43[[#This Row],[SERVICIO 2025]],$J$2:$V$16,5,0)*Tabla43[[#This Row],[TOTAL COBERTURA]]</f>
        <v>2468800</v>
      </c>
      <c r="AN78" s="35">
        <f>VLOOKUP(Tabla43[[#This Row],[SERVICIO 2025]],$J$2:$V$16,6,0)*Tabla43[[#This Row],[TOTAL COBERTURA]]</f>
        <v>2051450</v>
      </c>
      <c r="AO78" s="35">
        <f>VLOOKUP(Tabla43[[#This Row],[SERVICIO 2025]],$J$2:$V$16,8,0)*Tabla43[[#This Row],[TOTAL COBERTURA]]</f>
        <v>1455000</v>
      </c>
      <c r="AP78" s="35">
        <f>VLOOKUP(Tabla43[[#This Row],[SERVICIO 2025]],$J$2:$V$16,3,0)*Tabla43[[#This Row],[TOTAL COBERTURA]]*7</f>
        <v>90155100</v>
      </c>
      <c r="AQ78" s="35"/>
      <c r="AR7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96130350</v>
      </c>
      <c r="AS78" s="35" t="str">
        <f>+IF(Tabla43[[#This Row],[AGRUPACIONES]]=1,SUMIFS(Tabla43[VALOR TOTAL],Tabla43[ZONA DEFINITIVO],Tabla43[[#This Row],[ZONA DEFINITIVO]])," ")</f>
        <v xml:space="preserve"> </v>
      </c>
      <c r="AT7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16803100</v>
      </c>
      <c r="AU78" s="35">
        <f>VLOOKUP(Tabla43[[#This Row],[SERVICIO 2025]],$J$2:$V$16,3,0)*Tabla43[[#This Row],[TOTAL COBERTURA]]+Tabla43[[#This Row],[VALOR RACION PREPARADA]]/7</f>
        <v>12879300</v>
      </c>
      <c r="AV78" s="35">
        <f>VLOOKUP(Tabla43[[#This Row],[SERVICIO 2025]],$J$2:$V$16,3,0)*Tabla43[[#This Row],[TOTAL COBERTURA]]+Tabla43[[#This Row],[VALOR RACION PREPARADA]]/7</f>
        <v>12879300</v>
      </c>
      <c r="AW78" s="35">
        <f>VLOOKUP(Tabla43[[#This Row],[SERVICIO 2025]],$J$2:$V$16,3,0)*Tabla43[[#This Row],[TOTAL COBERTURA]]+Tabla43[[#This Row],[VALOR RACION PREPARADA]]/7</f>
        <v>12879300</v>
      </c>
      <c r="AX78" s="35">
        <f>VLOOKUP(Tabla43[[#This Row],[SERVICIO 2025]],$J$2:$V$16,3,0)*Tabla43[[#This Row],[TOTAL COBERTURA]]+Tabla43[[#This Row],[VALOR RACION PREPARADA]]/7</f>
        <v>12879300</v>
      </c>
      <c r="AY78" s="35">
        <f>VLOOKUP(Tabla43[[#This Row],[SERVICIO 2025]],$J$2:$V$16,3,0)*Tabla43[[#This Row],[TOTAL COBERTURA]]+Tabla43[[#This Row],[VALOR RACION PREPARADA]]/7</f>
        <v>12879300</v>
      </c>
      <c r="AZ78" s="35">
        <f>VLOOKUP(Tabla43[[#This Row],[SERVICIO 2025]],$J$2:$V$16,3,0)*Tabla43[[#This Row],[TOTAL COBERTURA]]+Tabla43[[#This Row],[VALOR RACION PREPARADA]]/7+Tabla43[[#This Row],[VALOR FASE PREPARATORIA DE CIERRE]]</f>
        <v>14930750</v>
      </c>
      <c r="BA78" s="35"/>
      <c r="BB78" s="35">
        <f>SUM(Tabla43[[#This Row],[DESEMBOLSO 1]:[DESEMBOLSO 8]])</f>
        <v>96130350</v>
      </c>
      <c r="BC78" s="55">
        <f>VLOOKUP(Tabla43[[#This Row],[SERVICIO 2025]],$J$2:$V$16,10,0)*Tabla43[[#This Row],[TOTAL COBERTURA]]*$W$3</f>
        <v>72153200</v>
      </c>
      <c r="BD78" s="47" t="s">
        <v>211</v>
      </c>
      <c r="BE78" s="12" t="b">
        <f>EXACT(Tabla43[[#This Row],[TOTAL APORTES ICBF]],Tabla43[[#This Row],[VALOR TOTAL]])</f>
        <v>1</v>
      </c>
      <c r="BF78" s="23">
        <f>SUM(Tabla43[[#This Row],[VALOR FASE PREPARATORIA DE ALISTAMIENTO]:[VALOR RACION PREPARADA]])-Tabla43[[#This Row],[VALOR TOTAL]]</f>
        <v>0</v>
      </c>
      <c r="BG78" s="12" t="b">
        <f>EXACT(Tabla43[[#This Row],[VALOR TOTAL]],Tabla43[[#This Row],[TOTAL DESEMBOLSOS]])</f>
        <v>1</v>
      </c>
      <c r="BH78" s="29">
        <f>Tabla43[[#This Row],[TOTAL DESEMBOLSOS]]-Tabla43[[#This Row],[VALOR TOTAL]]</f>
        <v>0</v>
      </c>
      <c r="BJ78" t="s">
        <v>3924</v>
      </c>
    </row>
    <row r="79" spans="1:62" hidden="1">
      <c r="A79" s="13">
        <v>1935</v>
      </c>
      <c r="B79" s="13"/>
      <c r="C79" s="12" t="s">
        <v>87</v>
      </c>
      <c r="D79" s="12" t="s">
        <v>987</v>
      </c>
      <c r="E79" s="12" t="s">
        <v>1143</v>
      </c>
      <c r="F79" s="12" t="s">
        <v>18</v>
      </c>
      <c r="G79" s="12" t="s">
        <v>90</v>
      </c>
      <c r="H79" s="12" t="s">
        <v>4007</v>
      </c>
      <c r="I79" s="12">
        <v>51541115126</v>
      </c>
      <c r="J79" s="12" t="s">
        <v>4008</v>
      </c>
      <c r="K79" s="12">
        <v>1</v>
      </c>
      <c r="L79" s="12">
        <v>36</v>
      </c>
      <c r="M79" s="12"/>
      <c r="N79" s="13">
        <v>1935</v>
      </c>
      <c r="O79" s="12" t="s">
        <v>93</v>
      </c>
      <c r="P79" s="12"/>
      <c r="Q79" s="12"/>
      <c r="R79" s="12" t="s">
        <v>94</v>
      </c>
      <c r="S79" s="12">
        <v>10</v>
      </c>
      <c r="T79" s="12" t="s">
        <v>4009</v>
      </c>
      <c r="U79" s="12" t="s">
        <v>4010</v>
      </c>
      <c r="V79" s="12">
        <f>VLOOKUP(Tabla43[[#This Row],[ZONA DEFINITIVO]],Hoja1!$A$1:$D$129,3,0)</f>
        <v>229954</v>
      </c>
      <c r="W79" s="12">
        <f>VLOOKUP(Tabla43[[#This Row],[ZONA DEFINITIVO]],Hoja1!$A$1:$D$129,2,0)</f>
        <v>18594</v>
      </c>
      <c r="X79" s="12">
        <f>VLOOKUP(Tabla43[[#This Row],[ZONA DEFINITIVO]],Hoja1!$A$1:$D$129,4,0)</f>
        <v>117625</v>
      </c>
      <c r="Y79" s="12">
        <f>+IF(Tabla43[[#This Row],[AGRUPACIONES]]=1,SUMIFS(Tabla43[UDS],Tabla43[ZONA DEFINITIVO],Tabla43[[#This Row],[ZONA DEFINITIVO]])," ")</f>
        <v>33</v>
      </c>
      <c r="Z79" s="12">
        <f>+IF(Tabla43[[#This Row],[AGRUPACIONES]]=1,SUMIFS(Tabla43[TOTAL COBERTURA],Tabla43[ZONA DEFINITIVO],Tabla43[[#This Row],[ZONA DEFINITIVO]])," ")</f>
        <v>679</v>
      </c>
      <c r="AA79" s="12"/>
      <c r="AB79" s="51">
        <v>69213852</v>
      </c>
      <c r="AC79" s="37">
        <v>0.02</v>
      </c>
      <c r="AD79" s="38">
        <f>Tabla43[[#This Row],[VALOR ATENCIÓN (7 MESES)]]*Tabla43[[#This Row],[% CONTRAPARTIDA]]</f>
        <v>1384277.04</v>
      </c>
      <c r="AE79" s="12"/>
      <c r="AF79" s="12">
        <f>COUNTIF($A$22:A79,A79)</f>
        <v>1</v>
      </c>
      <c r="AG79" s="51">
        <v>69213852</v>
      </c>
      <c r="AH79" s="38">
        <f>Tabla43[[#This Row],[VALOR CONTRAPARTIDA]]+Tabla43[[#This Row],[TOTAL APORTES ICBF]]</f>
        <v>70598129.040000007</v>
      </c>
      <c r="AI79" s="35">
        <f>+IF(Tabla43[[#This Row],[AGRUPACIONES]]=1,SUMIFS(Tabla43[TOTAL APORTES ICBF],Tabla43[ZONA DEFINITIVO],Tabla43[[#This Row],[ZONA DEFINITIVO]])," ")</f>
        <v>1305450153</v>
      </c>
      <c r="AJ79" s="38">
        <f>ROUND(+IF(Tabla43[[#This Row],[AGRUPACIONES]]=1,SUMIFS(Tabla43[VALOR CONTRAPARTIDA],Tabla43[ZONA DEFINITIVO],Tabla43[[#This Row],[ZONA DEFINITIVO]])," "),0)</f>
        <v>26109003</v>
      </c>
      <c r="AK79" s="38">
        <f>Tabla43[[#This Row],[TOTAL APORTES ICBF AGRUPADO]]+Tabla43[[#This Row],[TOTAL CONTRAPARTIDA AGRUPADO]]</f>
        <v>1331559156</v>
      </c>
      <c r="AL79" s="23">
        <f>Tabla43[[#This Row],[TOTAL APORTES ICBF AGRUPADO]]/$AL$20</f>
        <v>917.07070811380402</v>
      </c>
      <c r="AM79" s="35">
        <f>VLOOKUP(Tabla43[[#This Row],[SERVICIO 2025]],$J$2:$V$16,5,0)*Tabla43[[#This Row],[TOTAL COBERTURA]]</f>
        <v>1777536</v>
      </c>
      <c r="AN79" s="35">
        <f>VLOOKUP(Tabla43[[#This Row],[SERVICIO 2025]],$J$2:$V$16,6,0)*Tabla43[[#This Row],[TOTAL COBERTURA]]</f>
        <v>1477044</v>
      </c>
      <c r="AO79" s="35">
        <f>VLOOKUP(Tabla43[[#This Row],[SERVICIO 2025]],$J$2:$V$16,8,0)*Tabla43[[#This Row],[TOTAL COBERTURA]]</f>
        <v>1047600</v>
      </c>
      <c r="AP79" s="35">
        <f>VLOOKUP(Tabla43[[#This Row],[SERVICIO 2025]],$J$2:$V$16,3,0)*Tabla43[[#This Row],[TOTAL COBERTURA]]*7</f>
        <v>64911672</v>
      </c>
      <c r="AQ79" s="35"/>
      <c r="AR7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69213852</v>
      </c>
      <c r="AS79" s="35">
        <f>+IF(Tabla43[[#This Row],[AGRUPACIONES]]=1,SUMIFS(Tabla43[VALOR TOTAL],Tabla43[ZONA DEFINITIVO],Tabla43[[#This Row],[ZONA DEFINITIVO]])," ")</f>
        <v>1305450153</v>
      </c>
      <c r="AT7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12098232</v>
      </c>
      <c r="AU79" s="35">
        <f>VLOOKUP(Tabla43[[#This Row],[SERVICIO 2025]],$J$2:$V$16,3,0)*Tabla43[[#This Row],[TOTAL COBERTURA]]+Tabla43[[#This Row],[VALOR RACION PREPARADA]]/7</f>
        <v>9273096</v>
      </c>
      <c r="AV79" s="35">
        <f>VLOOKUP(Tabla43[[#This Row],[SERVICIO 2025]],$J$2:$V$16,3,0)*Tabla43[[#This Row],[TOTAL COBERTURA]]+Tabla43[[#This Row],[VALOR RACION PREPARADA]]/7</f>
        <v>9273096</v>
      </c>
      <c r="AW79" s="35">
        <f>VLOOKUP(Tabla43[[#This Row],[SERVICIO 2025]],$J$2:$V$16,3,0)*Tabla43[[#This Row],[TOTAL COBERTURA]]+Tabla43[[#This Row],[VALOR RACION PREPARADA]]/7</f>
        <v>9273096</v>
      </c>
      <c r="AX79" s="35">
        <f>VLOOKUP(Tabla43[[#This Row],[SERVICIO 2025]],$J$2:$V$16,3,0)*Tabla43[[#This Row],[TOTAL COBERTURA]]+Tabla43[[#This Row],[VALOR RACION PREPARADA]]/7</f>
        <v>9273096</v>
      </c>
      <c r="AY79" s="35">
        <f>VLOOKUP(Tabla43[[#This Row],[SERVICIO 2025]],$J$2:$V$16,3,0)*Tabla43[[#This Row],[TOTAL COBERTURA]]+Tabla43[[#This Row],[VALOR RACION PREPARADA]]/7</f>
        <v>9273096</v>
      </c>
      <c r="AZ79" s="35">
        <f>VLOOKUP(Tabla43[[#This Row],[SERVICIO 2025]],$J$2:$V$16,3,0)*Tabla43[[#This Row],[TOTAL COBERTURA]]+Tabla43[[#This Row],[VALOR RACION PREPARADA]]/7+Tabla43[[#This Row],[VALOR FASE PREPARATORIA DE CIERRE]]</f>
        <v>10750140</v>
      </c>
      <c r="BA79" s="35"/>
      <c r="BB79" s="35">
        <f>SUM(Tabla43[[#This Row],[DESEMBOLSO 1]:[DESEMBOLSO 8]])</f>
        <v>69213852</v>
      </c>
      <c r="BC79" s="55"/>
      <c r="BD79" s="47" t="s">
        <v>97</v>
      </c>
      <c r="BE79" s="12" t="b">
        <f>EXACT(Tabla43[[#This Row],[TOTAL APORTES ICBF]],Tabla43[[#This Row],[VALOR TOTAL]])</f>
        <v>1</v>
      </c>
      <c r="BF79" s="23">
        <f>SUM(Tabla43[[#This Row],[VALOR FASE PREPARATORIA DE ALISTAMIENTO]:[VALOR RACION PREPARADA]])-Tabla43[[#This Row],[VALOR TOTAL]]</f>
        <v>0</v>
      </c>
      <c r="BG79" s="12" t="b">
        <f>EXACT(Tabla43[[#This Row],[VALOR TOTAL]],Tabla43[[#This Row],[TOTAL DESEMBOLSOS]])</f>
        <v>1</v>
      </c>
      <c r="BH79" s="29">
        <f>Tabla43[[#This Row],[TOTAL DESEMBOLSOS]]-Tabla43[[#This Row],[VALOR TOTAL]]</f>
        <v>0</v>
      </c>
      <c r="BJ79" t="s">
        <v>3924</v>
      </c>
    </row>
    <row r="80" spans="1:62" hidden="1">
      <c r="A80" s="13">
        <v>1935</v>
      </c>
      <c r="B80" s="13"/>
      <c r="C80" s="12" t="s">
        <v>87</v>
      </c>
      <c r="D80" s="12" t="s">
        <v>987</v>
      </c>
      <c r="E80" s="12" t="s">
        <v>1143</v>
      </c>
      <c r="F80" s="12" t="s">
        <v>18</v>
      </c>
      <c r="G80" s="12" t="s">
        <v>90</v>
      </c>
      <c r="H80" s="12" t="s">
        <v>4011</v>
      </c>
      <c r="I80" s="12">
        <v>51541115139</v>
      </c>
      <c r="J80" s="12" t="s">
        <v>4012</v>
      </c>
      <c r="K80" s="12">
        <v>1</v>
      </c>
      <c r="L80" s="12">
        <v>17</v>
      </c>
      <c r="M80" s="12"/>
      <c r="N80" s="13">
        <v>1935</v>
      </c>
      <c r="O80" s="12" t="s">
        <v>93</v>
      </c>
      <c r="P80" s="12"/>
      <c r="Q80" s="12"/>
      <c r="R80" s="12" t="s">
        <v>94</v>
      </c>
      <c r="S80" s="12">
        <v>10</v>
      </c>
      <c r="T80" s="12" t="s">
        <v>4009</v>
      </c>
      <c r="U80" s="12" t="s">
        <v>4010</v>
      </c>
      <c r="V80" s="12">
        <f>VLOOKUP(Tabla43[[#This Row],[ZONA DEFINITIVO]],Hoja1!$A$1:$D$129,3,0)</f>
        <v>229954</v>
      </c>
      <c r="W80" s="12">
        <f>VLOOKUP(Tabla43[[#This Row],[ZONA DEFINITIVO]],Hoja1!$A$1:$D$129,2,0)</f>
        <v>18594</v>
      </c>
      <c r="X80" s="12">
        <f>VLOOKUP(Tabla43[[#This Row],[ZONA DEFINITIVO]],Hoja1!$A$1:$D$129,4,0)</f>
        <v>117625</v>
      </c>
      <c r="Y80" s="12" t="str">
        <f>+IF(Tabla43[[#This Row],[AGRUPACIONES]]=1,SUMIFS(Tabla43[UDS],Tabla43[ZONA DEFINITIVO],Tabla43[[#This Row],[ZONA DEFINITIVO]])," ")</f>
        <v xml:space="preserve"> </v>
      </c>
      <c r="Z80" s="12" t="str">
        <f>+IF(Tabla43[[#This Row],[AGRUPACIONES]]=1,SUMIFS(Tabla43[TOTAL COBERTURA],Tabla43[ZONA DEFINITIVO],Tabla43[[#This Row],[ZONA DEFINITIVO]])," ")</f>
        <v xml:space="preserve"> </v>
      </c>
      <c r="AA80" s="12"/>
      <c r="AB80" s="51">
        <v>32684319</v>
      </c>
      <c r="AC80" s="37">
        <v>0.02</v>
      </c>
      <c r="AD80" s="38">
        <f>Tabla43[[#This Row],[VALOR ATENCIÓN (7 MESES)]]*Tabla43[[#This Row],[% CONTRAPARTIDA]]</f>
        <v>653686.38</v>
      </c>
      <c r="AE80" s="12"/>
      <c r="AF80" s="12">
        <f>COUNTIF($A$22:A80,A80)</f>
        <v>2</v>
      </c>
      <c r="AG80" s="51">
        <v>32684319</v>
      </c>
      <c r="AH80" s="38">
        <f>Tabla43[[#This Row],[VALOR CONTRAPARTIDA]]+Tabla43[[#This Row],[TOTAL APORTES ICBF]]</f>
        <v>33338005.379999999</v>
      </c>
      <c r="AI80" s="35" t="str">
        <f>+IF(Tabla43[[#This Row],[AGRUPACIONES]]=1,SUMIFS(Tabla43[TOTAL APORTES ICBF],Tabla43[ZONA DEFINITIVO],Tabla43[[#This Row],[ZONA DEFINITIVO]])," ")</f>
        <v xml:space="preserve"> </v>
      </c>
      <c r="AJ80" s="38"/>
      <c r="AK80" s="38"/>
      <c r="AL80" s="23"/>
      <c r="AM80" s="35">
        <f>VLOOKUP(Tabla43[[#This Row],[SERVICIO 2025]],$J$2:$V$16,5,0)*Tabla43[[#This Row],[TOTAL COBERTURA]]</f>
        <v>839392</v>
      </c>
      <c r="AN80" s="35">
        <f>VLOOKUP(Tabla43[[#This Row],[SERVICIO 2025]],$J$2:$V$16,6,0)*Tabla43[[#This Row],[TOTAL COBERTURA]]</f>
        <v>697493</v>
      </c>
      <c r="AO80" s="35">
        <f>VLOOKUP(Tabla43[[#This Row],[SERVICIO 2025]],$J$2:$V$16,8,0)*Tabla43[[#This Row],[TOTAL COBERTURA]]</f>
        <v>494700</v>
      </c>
      <c r="AP80" s="35">
        <f>VLOOKUP(Tabla43[[#This Row],[SERVICIO 2025]],$J$2:$V$16,3,0)*Tabla43[[#This Row],[TOTAL COBERTURA]]*7</f>
        <v>30652734</v>
      </c>
      <c r="AQ80" s="35"/>
      <c r="AR8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32684319</v>
      </c>
      <c r="AS80" s="35" t="str">
        <f>+IF(Tabla43[[#This Row],[AGRUPACIONES]]=1,SUMIFS(Tabla43[VALOR TOTAL],Tabla43[ZONA DEFINITIVO],Tabla43[[#This Row],[ZONA DEFINITIVO]])," ")</f>
        <v xml:space="preserve"> </v>
      </c>
      <c r="AT8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5713054</v>
      </c>
      <c r="AU80" s="35">
        <f>VLOOKUP(Tabla43[[#This Row],[SERVICIO 2025]],$J$2:$V$16,3,0)*Tabla43[[#This Row],[TOTAL COBERTURA]]+Tabla43[[#This Row],[VALOR RACION PREPARADA]]/7</f>
        <v>4378962</v>
      </c>
      <c r="AV80" s="35">
        <f>VLOOKUP(Tabla43[[#This Row],[SERVICIO 2025]],$J$2:$V$16,3,0)*Tabla43[[#This Row],[TOTAL COBERTURA]]+Tabla43[[#This Row],[VALOR RACION PREPARADA]]/7</f>
        <v>4378962</v>
      </c>
      <c r="AW80" s="35">
        <f>VLOOKUP(Tabla43[[#This Row],[SERVICIO 2025]],$J$2:$V$16,3,0)*Tabla43[[#This Row],[TOTAL COBERTURA]]+Tabla43[[#This Row],[VALOR RACION PREPARADA]]/7</f>
        <v>4378962</v>
      </c>
      <c r="AX80" s="35">
        <f>VLOOKUP(Tabla43[[#This Row],[SERVICIO 2025]],$J$2:$V$16,3,0)*Tabla43[[#This Row],[TOTAL COBERTURA]]+Tabla43[[#This Row],[VALOR RACION PREPARADA]]/7</f>
        <v>4378962</v>
      </c>
      <c r="AY80" s="35">
        <f>VLOOKUP(Tabla43[[#This Row],[SERVICIO 2025]],$J$2:$V$16,3,0)*Tabla43[[#This Row],[TOTAL COBERTURA]]+Tabla43[[#This Row],[VALOR RACION PREPARADA]]/7</f>
        <v>4378962</v>
      </c>
      <c r="AZ80" s="35">
        <f>VLOOKUP(Tabla43[[#This Row],[SERVICIO 2025]],$J$2:$V$16,3,0)*Tabla43[[#This Row],[TOTAL COBERTURA]]+Tabla43[[#This Row],[VALOR RACION PREPARADA]]/7+Tabla43[[#This Row],[VALOR FASE PREPARATORIA DE CIERRE]]</f>
        <v>5076455</v>
      </c>
      <c r="BA80" s="35"/>
      <c r="BB80" s="35">
        <f>SUM(Tabla43[[#This Row],[DESEMBOLSO 1]:[DESEMBOLSO 8]])</f>
        <v>32684319</v>
      </c>
      <c r="BC80" s="55"/>
      <c r="BD80" s="47" t="s">
        <v>97</v>
      </c>
      <c r="BE80" s="12" t="b">
        <f>EXACT(Tabla43[[#This Row],[TOTAL APORTES ICBF]],Tabla43[[#This Row],[VALOR TOTAL]])</f>
        <v>1</v>
      </c>
      <c r="BF80" s="23">
        <f>SUM(Tabla43[[#This Row],[VALOR FASE PREPARATORIA DE ALISTAMIENTO]:[VALOR RACION PREPARADA]])-Tabla43[[#This Row],[VALOR TOTAL]]</f>
        <v>0</v>
      </c>
      <c r="BG80" s="12" t="b">
        <f>EXACT(Tabla43[[#This Row],[VALOR TOTAL]],Tabla43[[#This Row],[TOTAL DESEMBOLSOS]])</f>
        <v>1</v>
      </c>
      <c r="BH80" s="29">
        <f>Tabla43[[#This Row],[TOTAL DESEMBOLSOS]]-Tabla43[[#This Row],[VALOR TOTAL]]</f>
        <v>0</v>
      </c>
      <c r="BJ80" t="s">
        <v>3924</v>
      </c>
    </row>
    <row r="81" spans="1:62" hidden="1">
      <c r="A81" s="13">
        <v>1935</v>
      </c>
      <c r="B81" s="13"/>
      <c r="C81" s="12" t="s">
        <v>87</v>
      </c>
      <c r="D81" s="12" t="s">
        <v>987</v>
      </c>
      <c r="E81" s="12" t="s">
        <v>1143</v>
      </c>
      <c r="F81" s="12" t="s">
        <v>18</v>
      </c>
      <c r="G81" s="12" t="s">
        <v>90</v>
      </c>
      <c r="H81" s="12" t="s">
        <v>4013</v>
      </c>
      <c r="I81" s="12">
        <v>51541115147</v>
      </c>
      <c r="J81" s="12" t="s">
        <v>4014</v>
      </c>
      <c r="K81" s="12">
        <v>1</v>
      </c>
      <c r="L81" s="12">
        <v>33</v>
      </c>
      <c r="M81" s="12"/>
      <c r="N81" s="13">
        <v>1935</v>
      </c>
      <c r="O81" s="12" t="s">
        <v>93</v>
      </c>
      <c r="P81" s="12"/>
      <c r="Q81" s="12"/>
      <c r="R81" s="12" t="s">
        <v>94</v>
      </c>
      <c r="S81" s="12">
        <v>10</v>
      </c>
      <c r="T81" s="12" t="s">
        <v>4009</v>
      </c>
      <c r="U81" s="12" t="s">
        <v>4010</v>
      </c>
      <c r="V81" s="12">
        <f>VLOOKUP(Tabla43[[#This Row],[ZONA DEFINITIVO]],Hoja1!$A$1:$D$129,3,0)</f>
        <v>229954</v>
      </c>
      <c r="W81" s="12">
        <f>VLOOKUP(Tabla43[[#This Row],[ZONA DEFINITIVO]],Hoja1!$A$1:$D$129,2,0)</f>
        <v>18594</v>
      </c>
      <c r="X81" s="12">
        <f>VLOOKUP(Tabla43[[#This Row],[ZONA DEFINITIVO]],Hoja1!$A$1:$D$129,4,0)</f>
        <v>117625</v>
      </c>
      <c r="Y81" s="12" t="str">
        <f>+IF(Tabla43[[#This Row],[AGRUPACIONES]]=1,SUMIFS(Tabla43[UDS],Tabla43[ZONA DEFINITIVO],Tabla43[[#This Row],[ZONA DEFINITIVO]])," ")</f>
        <v xml:space="preserve"> </v>
      </c>
      <c r="Z81" s="12" t="str">
        <f>+IF(Tabla43[[#This Row],[AGRUPACIONES]]=1,SUMIFS(Tabla43[TOTAL COBERTURA],Tabla43[ZONA DEFINITIVO],Tabla43[[#This Row],[ZONA DEFINITIVO]])," ")</f>
        <v xml:space="preserve"> </v>
      </c>
      <c r="AA81" s="12"/>
      <c r="AB81" s="51">
        <v>63446031</v>
      </c>
      <c r="AC81" s="37">
        <v>0.02</v>
      </c>
      <c r="AD81" s="38">
        <f>Tabla43[[#This Row],[VALOR ATENCIÓN (7 MESES)]]*Tabla43[[#This Row],[% CONTRAPARTIDA]]</f>
        <v>1268920.6200000001</v>
      </c>
      <c r="AE81" s="12"/>
      <c r="AF81" s="12">
        <f>COUNTIF($A$22:A81,A81)</f>
        <v>3</v>
      </c>
      <c r="AG81" s="51">
        <v>63446031</v>
      </c>
      <c r="AH81" s="38">
        <f>Tabla43[[#This Row],[VALOR CONTRAPARTIDA]]+Tabla43[[#This Row],[TOTAL APORTES ICBF]]</f>
        <v>64714951.619999997</v>
      </c>
      <c r="AI81" s="35" t="str">
        <f>+IF(Tabla43[[#This Row],[AGRUPACIONES]]=1,SUMIFS(Tabla43[TOTAL APORTES ICBF],Tabla43[ZONA DEFINITIVO],Tabla43[[#This Row],[ZONA DEFINITIVO]])," ")</f>
        <v xml:space="preserve"> </v>
      </c>
      <c r="AJ81" s="38"/>
      <c r="AK81" s="38"/>
      <c r="AL81" s="23"/>
      <c r="AM81" s="35">
        <f>VLOOKUP(Tabla43[[#This Row],[SERVICIO 2025]],$J$2:$V$16,5,0)*Tabla43[[#This Row],[TOTAL COBERTURA]]</f>
        <v>1629408</v>
      </c>
      <c r="AN81" s="35">
        <f>VLOOKUP(Tabla43[[#This Row],[SERVICIO 2025]],$J$2:$V$16,6,0)*Tabla43[[#This Row],[TOTAL COBERTURA]]</f>
        <v>1353957</v>
      </c>
      <c r="AO81" s="35">
        <f>VLOOKUP(Tabla43[[#This Row],[SERVICIO 2025]],$J$2:$V$16,8,0)*Tabla43[[#This Row],[TOTAL COBERTURA]]</f>
        <v>960300</v>
      </c>
      <c r="AP81" s="35">
        <f>VLOOKUP(Tabla43[[#This Row],[SERVICIO 2025]],$J$2:$V$16,3,0)*Tabla43[[#This Row],[TOTAL COBERTURA]]*7</f>
        <v>59502366</v>
      </c>
      <c r="AQ81" s="35"/>
      <c r="AR8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63446031</v>
      </c>
      <c r="AS81" s="35" t="str">
        <f>+IF(Tabla43[[#This Row],[AGRUPACIONES]]=1,SUMIFS(Tabla43[VALOR TOTAL],Tabla43[ZONA DEFINITIVO],Tabla43[[#This Row],[ZONA DEFINITIVO]])," ")</f>
        <v xml:space="preserve"> </v>
      </c>
      <c r="AT8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11090046</v>
      </c>
      <c r="AU81" s="35">
        <f>VLOOKUP(Tabla43[[#This Row],[SERVICIO 2025]],$J$2:$V$16,3,0)*Tabla43[[#This Row],[TOTAL COBERTURA]]+Tabla43[[#This Row],[VALOR RACION PREPARADA]]/7</f>
        <v>8500338</v>
      </c>
      <c r="AV81" s="35">
        <f>VLOOKUP(Tabla43[[#This Row],[SERVICIO 2025]],$J$2:$V$16,3,0)*Tabla43[[#This Row],[TOTAL COBERTURA]]+Tabla43[[#This Row],[VALOR RACION PREPARADA]]/7</f>
        <v>8500338</v>
      </c>
      <c r="AW81" s="35">
        <f>VLOOKUP(Tabla43[[#This Row],[SERVICIO 2025]],$J$2:$V$16,3,0)*Tabla43[[#This Row],[TOTAL COBERTURA]]+Tabla43[[#This Row],[VALOR RACION PREPARADA]]/7</f>
        <v>8500338</v>
      </c>
      <c r="AX81" s="35">
        <f>VLOOKUP(Tabla43[[#This Row],[SERVICIO 2025]],$J$2:$V$16,3,0)*Tabla43[[#This Row],[TOTAL COBERTURA]]+Tabla43[[#This Row],[VALOR RACION PREPARADA]]/7</f>
        <v>8500338</v>
      </c>
      <c r="AY81" s="35">
        <f>VLOOKUP(Tabla43[[#This Row],[SERVICIO 2025]],$J$2:$V$16,3,0)*Tabla43[[#This Row],[TOTAL COBERTURA]]+Tabla43[[#This Row],[VALOR RACION PREPARADA]]/7</f>
        <v>8500338</v>
      </c>
      <c r="AZ81" s="35">
        <f>VLOOKUP(Tabla43[[#This Row],[SERVICIO 2025]],$J$2:$V$16,3,0)*Tabla43[[#This Row],[TOTAL COBERTURA]]+Tabla43[[#This Row],[VALOR RACION PREPARADA]]/7+Tabla43[[#This Row],[VALOR FASE PREPARATORIA DE CIERRE]]</f>
        <v>9854295</v>
      </c>
      <c r="BA81" s="35"/>
      <c r="BB81" s="35">
        <f>SUM(Tabla43[[#This Row],[DESEMBOLSO 1]:[DESEMBOLSO 8]])</f>
        <v>63446031</v>
      </c>
      <c r="BC81" s="55"/>
      <c r="BD81" s="47" t="s">
        <v>97</v>
      </c>
      <c r="BE81" s="12" t="b">
        <f>EXACT(Tabla43[[#This Row],[TOTAL APORTES ICBF]],Tabla43[[#This Row],[VALOR TOTAL]])</f>
        <v>1</v>
      </c>
      <c r="BF81" s="23">
        <f>SUM(Tabla43[[#This Row],[VALOR FASE PREPARATORIA DE ALISTAMIENTO]:[VALOR RACION PREPARADA]])-Tabla43[[#This Row],[VALOR TOTAL]]</f>
        <v>0</v>
      </c>
      <c r="BG81" s="12" t="b">
        <f>EXACT(Tabla43[[#This Row],[VALOR TOTAL]],Tabla43[[#This Row],[TOTAL DESEMBOLSOS]])</f>
        <v>1</v>
      </c>
      <c r="BH81" s="29">
        <f>Tabla43[[#This Row],[TOTAL DESEMBOLSOS]]-Tabla43[[#This Row],[VALOR TOTAL]]</f>
        <v>0</v>
      </c>
      <c r="BJ81" t="s">
        <v>3924</v>
      </c>
    </row>
    <row r="82" spans="1:62" hidden="1">
      <c r="A82" s="13">
        <v>1935</v>
      </c>
      <c r="B82" s="13"/>
      <c r="C82" s="12" t="s">
        <v>87</v>
      </c>
      <c r="D82" s="12" t="s">
        <v>987</v>
      </c>
      <c r="E82" s="12" t="s">
        <v>1143</v>
      </c>
      <c r="F82" s="12" t="s">
        <v>18</v>
      </c>
      <c r="G82" s="12" t="s">
        <v>90</v>
      </c>
      <c r="H82" s="12" t="s">
        <v>4015</v>
      </c>
      <c r="I82" s="12">
        <v>51541115148</v>
      </c>
      <c r="J82" s="12" t="s">
        <v>4016</v>
      </c>
      <c r="K82" s="12">
        <v>1</v>
      </c>
      <c r="L82" s="12">
        <v>20</v>
      </c>
      <c r="M82" s="12"/>
      <c r="N82" s="13">
        <v>1935</v>
      </c>
      <c r="O82" s="12" t="s">
        <v>93</v>
      </c>
      <c r="P82" s="12"/>
      <c r="Q82" s="12"/>
      <c r="R82" s="12" t="s">
        <v>94</v>
      </c>
      <c r="S82" s="12">
        <v>10</v>
      </c>
      <c r="T82" s="12" t="s">
        <v>4009</v>
      </c>
      <c r="U82" s="12" t="s">
        <v>4010</v>
      </c>
      <c r="V82" s="12">
        <f>VLOOKUP(Tabla43[[#This Row],[ZONA DEFINITIVO]],Hoja1!$A$1:$D$129,3,0)</f>
        <v>229954</v>
      </c>
      <c r="W82" s="12">
        <f>VLOOKUP(Tabla43[[#This Row],[ZONA DEFINITIVO]],Hoja1!$A$1:$D$129,2,0)</f>
        <v>18594</v>
      </c>
      <c r="X82" s="12">
        <f>VLOOKUP(Tabla43[[#This Row],[ZONA DEFINITIVO]],Hoja1!$A$1:$D$129,4,0)</f>
        <v>117625</v>
      </c>
      <c r="Y82" s="12" t="str">
        <f>+IF(Tabla43[[#This Row],[AGRUPACIONES]]=1,SUMIFS(Tabla43[UDS],Tabla43[ZONA DEFINITIVO],Tabla43[[#This Row],[ZONA DEFINITIVO]])," ")</f>
        <v xml:space="preserve"> </v>
      </c>
      <c r="Z82" s="12" t="str">
        <f>+IF(Tabla43[[#This Row],[AGRUPACIONES]]=1,SUMIFS(Tabla43[TOTAL COBERTURA],Tabla43[ZONA DEFINITIVO],Tabla43[[#This Row],[ZONA DEFINITIVO]])," ")</f>
        <v xml:space="preserve"> </v>
      </c>
      <c r="AA82" s="12"/>
      <c r="AB82" s="51">
        <v>38452140</v>
      </c>
      <c r="AC82" s="37">
        <v>0.02</v>
      </c>
      <c r="AD82" s="38">
        <f>Tabla43[[#This Row],[VALOR ATENCIÓN (7 MESES)]]*Tabla43[[#This Row],[% CONTRAPARTIDA]]</f>
        <v>769042.8</v>
      </c>
      <c r="AE82" s="12"/>
      <c r="AF82" s="12">
        <f>COUNTIF($A$22:A82,A82)</f>
        <v>4</v>
      </c>
      <c r="AG82" s="51">
        <v>38452140</v>
      </c>
      <c r="AH82" s="38">
        <f>Tabla43[[#This Row],[VALOR CONTRAPARTIDA]]+Tabla43[[#This Row],[TOTAL APORTES ICBF]]</f>
        <v>39221182.799999997</v>
      </c>
      <c r="AI82" s="35" t="str">
        <f>+IF(Tabla43[[#This Row],[AGRUPACIONES]]=1,SUMIFS(Tabla43[TOTAL APORTES ICBF],Tabla43[ZONA DEFINITIVO],Tabla43[[#This Row],[ZONA DEFINITIVO]])," ")</f>
        <v xml:space="preserve"> </v>
      </c>
      <c r="AJ82" s="38"/>
      <c r="AK82" s="38"/>
      <c r="AL82" s="23"/>
      <c r="AM82" s="35">
        <f>VLOOKUP(Tabla43[[#This Row],[SERVICIO 2025]],$J$2:$V$16,5,0)*Tabla43[[#This Row],[TOTAL COBERTURA]]</f>
        <v>987520</v>
      </c>
      <c r="AN82" s="35">
        <f>VLOOKUP(Tabla43[[#This Row],[SERVICIO 2025]],$J$2:$V$16,6,0)*Tabla43[[#This Row],[TOTAL COBERTURA]]</f>
        <v>820580</v>
      </c>
      <c r="AO82" s="35">
        <f>VLOOKUP(Tabla43[[#This Row],[SERVICIO 2025]],$J$2:$V$16,8,0)*Tabla43[[#This Row],[TOTAL COBERTURA]]</f>
        <v>582000</v>
      </c>
      <c r="AP82" s="35">
        <f>VLOOKUP(Tabla43[[#This Row],[SERVICIO 2025]],$J$2:$V$16,3,0)*Tabla43[[#This Row],[TOTAL COBERTURA]]*7</f>
        <v>36062040</v>
      </c>
      <c r="AQ82" s="35"/>
      <c r="AR8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82" s="35" t="str">
        <f>+IF(Tabla43[[#This Row],[AGRUPACIONES]]=1,SUMIFS(Tabla43[VALOR TOTAL],Tabla43[ZONA DEFINITIVO],Tabla43[[#This Row],[ZONA DEFINITIVO]])," ")</f>
        <v xml:space="preserve"> </v>
      </c>
      <c r="AT8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82" s="35">
        <f>VLOOKUP(Tabla43[[#This Row],[SERVICIO 2025]],$J$2:$V$16,3,0)*Tabla43[[#This Row],[TOTAL COBERTURA]]+Tabla43[[#This Row],[VALOR RACION PREPARADA]]/7</f>
        <v>5151720</v>
      </c>
      <c r="AV82" s="35">
        <f>VLOOKUP(Tabla43[[#This Row],[SERVICIO 2025]],$J$2:$V$16,3,0)*Tabla43[[#This Row],[TOTAL COBERTURA]]+Tabla43[[#This Row],[VALOR RACION PREPARADA]]/7</f>
        <v>5151720</v>
      </c>
      <c r="AW82" s="35">
        <f>VLOOKUP(Tabla43[[#This Row],[SERVICIO 2025]],$J$2:$V$16,3,0)*Tabla43[[#This Row],[TOTAL COBERTURA]]+Tabla43[[#This Row],[VALOR RACION PREPARADA]]/7</f>
        <v>5151720</v>
      </c>
      <c r="AX82" s="35">
        <f>VLOOKUP(Tabla43[[#This Row],[SERVICIO 2025]],$J$2:$V$16,3,0)*Tabla43[[#This Row],[TOTAL COBERTURA]]+Tabla43[[#This Row],[VALOR RACION PREPARADA]]/7</f>
        <v>5151720</v>
      </c>
      <c r="AY82" s="35">
        <f>VLOOKUP(Tabla43[[#This Row],[SERVICIO 2025]],$J$2:$V$16,3,0)*Tabla43[[#This Row],[TOTAL COBERTURA]]+Tabla43[[#This Row],[VALOR RACION PREPARADA]]/7</f>
        <v>5151720</v>
      </c>
      <c r="AZ82" s="35">
        <f>VLOOKUP(Tabla43[[#This Row],[SERVICIO 2025]],$J$2:$V$16,3,0)*Tabla43[[#This Row],[TOTAL COBERTURA]]+Tabla43[[#This Row],[VALOR RACION PREPARADA]]/7+Tabla43[[#This Row],[VALOR FASE PREPARATORIA DE CIERRE]]</f>
        <v>5972300</v>
      </c>
      <c r="BA82" s="35"/>
      <c r="BB82" s="35">
        <f>SUM(Tabla43[[#This Row],[DESEMBOLSO 1]:[DESEMBOLSO 8]])</f>
        <v>38452140</v>
      </c>
      <c r="BC82" s="55"/>
      <c r="BD82" s="47" t="s">
        <v>97</v>
      </c>
      <c r="BE82" s="12" t="b">
        <f>EXACT(Tabla43[[#This Row],[TOTAL APORTES ICBF]],Tabla43[[#This Row],[VALOR TOTAL]])</f>
        <v>1</v>
      </c>
      <c r="BF82" s="23">
        <f>SUM(Tabla43[[#This Row],[VALOR FASE PREPARATORIA DE ALISTAMIENTO]:[VALOR RACION PREPARADA]])-Tabla43[[#This Row],[VALOR TOTAL]]</f>
        <v>0</v>
      </c>
      <c r="BG82" s="12" t="b">
        <f>EXACT(Tabla43[[#This Row],[VALOR TOTAL]],Tabla43[[#This Row],[TOTAL DESEMBOLSOS]])</f>
        <v>1</v>
      </c>
      <c r="BH82" s="29">
        <f>Tabla43[[#This Row],[TOTAL DESEMBOLSOS]]-Tabla43[[#This Row],[VALOR TOTAL]]</f>
        <v>0</v>
      </c>
      <c r="BJ82" t="s">
        <v>3924</v>
      </c>
    </row>
    <row r="83" spans="1:62" hidden="1">
      <c r="A83" s="13">
        <v>1935</v>
      </c>
      <c r="B83" s="13"/>
      <c r="C83" s="12" t="s">
        <v>87</v>
      </c>
      <c r="D83" s="12" t="s">
        <v>987</v>
      </c>
      <c r="E83" s="12" t="s">
        <v>1143</v>
      </c>
      <c r="F83" s="12" t="s">
        <v>18</v>
      </c>
      <c r="G83" s="12" t="s">
        <v>90</v>
      </c>
      <c r="H83" s="12" t="s">
        <v>4017</v>
      </c>
      <c r="I83" s="12">
        <v>51541115154</v>
      </c>
      <c r="J83" s="12" t="s">
        <v>4018</v>
      </c>
      <c r="K83" s="12">
        <v>1</v>
      </c>
      <c r="L83" s="12">
        <v>16</v>
      </c>
      <c r="M83" s="12"/>
      <c r="N83" s="13">
        <v>1935</v>
      </c>
      <c r="O83" s="12" t="s">
        <v>93</v>
      </c>
      <c r="P83" s="12"/>
      <c r="Q83" s="12"/>
      <c r="R83" s="12" t="s">
        <v>94</v>
      </c>
      <c r="S83" s="12">
        <v>10</v>
      </c>
      <c r="T83" s="12" t="s">
        <v>4009</v>
      </c>
      <c r="U83" s="12" t="s">
        <v>4010</v>
      </c>
      <c r="V83" s="12">
        <f>VLOOKUP(Tabla43[[#This Row],[ZONA DEFINITIVO]],Hoja1!$A$1:$D$129,3,0)</f>
        <v>229954</v>
      </c>
      <c r="W83" s="12">
        <f>VLOOKUP(Tabla43[[#This Row],[ZONA DEFINITIVO]],Hoja1!$A$1:$D$129,2,0)</f>
        <v>18594</v>
      </c>
      <c r="X83" s="12">
        <f>VLOOKUP(Tabla43[[#This Row],[ZONA DEFINITIVO]],Hoja1!$A$1:$D$129,4,0)</f>
        <v>117625</v>
      </c>
      <c r="Y83" s="12" t="str">
        <f>+IF(Tabla43[[#This Row],[AGRUPACIONES]]=1,SUMIFS(Tabla43[UDS],Tabla43[ZONA DEFINITIVO],Tabla43[[#This Row],[ZONA DEFINITIVO]])," ")</f>
        <v xml:space="preserve"> </v>
      </c>
      <c r="Z83" s="12" t="str">
        <f>+IF(Tabla43[[#This Row],[AGRUPACIONES]]=1,SUMIFS(Tabla43[TOTAL COBERTURA],Tabla43[ZONA DEFINITIVO],Tabla43[[#This Row],[ZONA DEFINITIVO]])," ")</f>
        <v xml:space="preserve"> </v>
      </c>
      <c r="AA83" s="12"/>
      <c r="AB83" s="51">
        <v>30761712</v>
      </c>
      <c r="AC83" s="37">
        <v>0.02</v>
      </c>
      <c r="AD83" s="38">
        <f>Tabla43[[#This Row],[VALOR ATENCIÓN (7 MESES)]]*Tabla43[[#This Row],[% CONTRAPARTIDA]]</f>
        <v>615234.24</v>
      </c>
      <c r="AE83" s="12"/>
      <c r="AF83" s="12">
        <f>COUNTIF($A$22:A83,A83)</f>
        <v>5</v>
      </c>
      <c r="AG83" s="51">
        <v>30761712</v>
      </c>
      <c r="AH83" s="38">
        <f>Tabla43[[#This Row],[VALOR CONTRAPARTIDA]]+Tabla43[[#This Row],[TOTAL APORTES ICBF]]</f>
        <v>31376946.239999998</v>
      </c>
      <c r="AI83" s="35" t="str">
        <f>+IF(Tabla43[[#This Row],[AGRUPACIONES]]=1,SUMIFS(Tabla43[TOTAL APORTES ICBF],Tabla43[ZONA DEFINITIVO],Tabla43[[#This Row],[ZONA DEFINITIVO]])," ")</f>
        <v xml:space="preserve"> </v>
      </c>
      <c r="AJ83" s="38"/>
      <c r="AK83" s="38"/>
      <c r="AL83" s="23"/>
      <c r="AM83" s="35">
        <f>VLOOKUP(Tabla43[[#This Row],[SERVICIO 2025]],$J$2:$V$16,5,0)*Tabla43[[#This Row],[TOTAL COBERTURA]]</f>
        <v>790016</v>
      </c>
      <c r="AN83" s="35">
        <f>VLOOKUP(Tabla43[[#This Row],[SERVICIO 2025]],$J$2:$V$16,6,0)*Tabla43[[#This Row],[TOTAL COBERTURA]]</f>
        <v>656464</v>
      </c>
      <c r="AO83" s="35">
        <f>VLOOKUP(Tabla43[[#This Row],[SERVICIO 2025]],$J$2:$V$16,8,0)*Tabla43[[#This Row],[TOTAL COBERTURA]]</f>
        <v>465600</v>
      </c>
      <c r="AP83" s="35">
        <f>VLOOKUP(Tabla43[[#This Row],[SERVICIO 2025]],$J$2:$V$16,3,0)*Tabla43[[#This Row],[TOTAL COBERTURA]]*7</f>
        <v>28849632</v>
      </c>
      <c r="AQ83" s="35"/>
      <c r="AR8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83" s="35" t="str">
        <f>+IF(Tabla43[[#This Row],[AGRUPACIONES]]=1,SUMIFS(Tabla43[VALOR TOTAL],Tabla43[ZONA DEFINITIVO],Tabla43[[#This Row],[ZONA DEFINITIVO]])," ")</f>
        <v xml:space="preserve"> </v>
      </c>
      <c r="AT8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83" s="35">
        <f>VLOOKUP(Tabla43[[#This Row],[SERVICIO 2025]],$J$2:$V$16,3,0)*Tabla43[[#This Row],[TOTAL COBERTURA]]+Tabla43[[#This Row],[VALOR RACION PREPARADA]]/7</f>
        <v>4121376</v>
      </c>
      <c r="AV83" s="35">
        <f>VLOOKUP(Tabla43[[#This Row],[SERVICIO 2025]],$J$2:$V$16,3,0)*Tabla43[[#This Row],[TOTAL COBERTURA]]+Tabla43[[#This Row],[VALOR RACION PREPARADA]]/7</f>
        <v>4121376</v>
      </c>
      <c r="AW83" s="35">
        <f>VLOOKUP(Tabla43[[#This Row],[SERVICIO 2025]],$J$2:$V$16,3,0)*Tabla43[[#This Row],[TOTAL COBERTURA]]+Tabla43[[#This Row],[VALOR RACION PREPARADA]]/7</f>
        <v>4121376</v>
      </c>
      <c r="AX83" s="35">
        <f>VLOOKUP(Tabla43[[#This Row],[SERVICIO 2025]],$J$2:$V$16,3,0)*Tabla43[[#This Row],[TOTAL COBERTURA]]+Tabla43[[#This Row],[VALOR RACION PREPARADA]]/7</f>
        <v>4121376</v>
      </c>
      <c r="AY83" s="35">
        <f>VLOOKUP(Tabla43[[#This Row],[SERVICIO 2025]],$J$2:$V$16,3,0)*Tabla43[[#This Row],[TOTAL COBERTURA]]+Tabla43[[#This Row],[VALOR RACION PREPARADA]]/7</f>
        <v>4121376</v>
      </c>
      <c r="AZ83" s="35">
        <f>VLOOKUP(Tabla43[[#This Row],[SERVICIO 2025]],$J$2:$V$16,3,0)*Tabla43[[#This Row],[TOTAL COBERTURA]]+Tabla43[[#This Row],[VALOR RACION PREPARADA]]/7+Tabla43[[#This Row],[VALOR FASE PREPARATORIA DE CIERRE]]</f>
        <v>4777840</v>
      </c>
      <c r="BA83" s="35"/>
      <c r="BB83" s="35">
        <f>SUM(Tabla43[[#This Row],[DESEMBOLSO 1]:[DESEMBOLSO 8]])</f>
        <v>30761712</v>
      </c>
      <c r="BC83" s="55"/>
      <c r="BD83" s="47" t="s">
        <v>97</v>
      </c>
      <c r="BE83" s="12" t="b">
        <f>EXACT(Tabla43[[#This Row],[TOTAL APORTES ICBF]],Tabla43[[#This Row],[VALOR TOTAL]])</f>
        <v>1</v>
      </c>
      <c r="BF83" s="23">
        <f>SUM(Tabla43[[#This Row],[VALOR FASE PREPARATORIA DE ALISTAMIENTO]:[VALOR RACION PREPARADA]])-Tabla43[[#This Row],[VALOR TOTAL]]</f>
        <v>0</v>
      </c>
      <c r="BG83" s="12" t="b">
        <f>EXACT(Tabla43[[#This Row],[VALOR TOTAL]],Tabla43[[#This Row],[TOTAL DESEMBOLSOS]])</f>
        <v>1</v>
      </c>
      <c r="BH83" s="29">
        <f>Tabla43[[#This Row],[TOTAL DESEMBOLSOS]]-Tabla43[[#This Row],[VALOR TOTAL]]</f>
        <v>0</v>
      </c>
      <c r="BJ83" t="s">
        <v>3924</v>
      </c>
    </row>
    <row r="84" spans="1:62" hidden="1">
      <c r="A84" s="13">
        <v>1935</v>
      </c>
      <c r="B84" s="13"/>
      <c r="C84" s="12" t="s">
        <v>87</v>
      </c>
      <c r="D84" s="12" t="s">
        <v>987</v>
      </c>
      <c r="E84" s="12" t="s">
        <v>1143</v>
      </c>
      <c r="F84" s="12" t="s">
        <v>18</v>
      </c>
      <c r="G84" s="12" t="s">
        <v>90</v>
      </c>
      <c r="H84" s="12" t="s">
        <v>4019</v>
      </c>
      <c r="I84" s="12">
        <v>51541115160</v>
      </c>
      <c r="J84" s="12" t="s">
        <v>4020</v>
      </c>
      <c r="K84" s="12">
        <v>1</v>
      </c>
      <c r="L84" s="12">
        <v>10</v>
      </c>
      <c r="M84" s="12"/>
      <c r="N84" s="13">
        <v>1935</v>
      </c>
      <c r="O84" s="12" t="s">
        <v>93</v>
      </c>
      <c r="P84" s="12"/>
      <c r="Q84" s="12"/>
      <c r="R84" s="12" t="s">
        <v>94</v>
      </c>
      <c r="S84" s="12">
        <v>10</v>
      </c>
      <c r="T84" s="12" t="s">
        <v>4009</v>
      </c>
      <c r="U84" s="12" t="s">
        <v>4010</v>
      </c>
      <c r="V84" s="12">
        <f>VLOOKUP(Tabla43[[#This Row],[ZONA DEFINITIVO]],Hoja1!$A$1:$D$129,3,0)</f>
        <v>229954</v>
      </c>
      <c r="W84" s="12">
        <f>VLOOKUP(Tabla43[[#This Row],[ZONA DEFINITIVO]],Hoja1!$A$1:$D$129,2,0)</f>
        <v>18594</v>
      </c>
      <c r="X84" s="12">
        <f>VLOOKUP(Tabla43[[#This Row],[ZONA DEFINITIVO]],Hoja1!$A$1:$D$129,4,0)</f>
        <v>117625</v>
      </c>
      <c r="Y84" s="12" t="str">
        <f>+IF(Tabla43[[#This Row],[AGRUPACIONES]]=1,SUMIFS(Tabla43[UDS],Tabla43[ZONA DEFINITIVO],Tabla43[[#This Row],[ZONA DEFINITIVO]])," ")</f>
        <v xml:space="preserve"> </v>
      </c>
      <c r="Z84" s="12" t="str">
        <f>+IF(Tabla43[[#This Row],[AGRUPACIONES]]=1,SUMIFS(Tabla43[TOTAL COBERTURA],Tabla43[ZONA DEFINITIVO],Tabla43[[#This Row],[ZONA DEFINITIVO]])," ")</f>
        <v xml:space="preserve"> </v>
      </c>
      <c r="AA84" s="12"/>
      <c r="AB84" s="51">
        <v>19226070</v>
      </c>
      <c r="AC84" s="37">
        <v>0.02</v>
      </c>
      <c r="AD84" s="38">
        <f>Tabla43[[#This Row],[VALOR ATENCIÓN (7 MESES)]]*Tabla43[[#This Row],[% CONTRAPARTIDA]]</f>
        <v>384521.4</v>
      </c>
      <c r="AE84" s="12"/>
      <c r="AF84" s="12">
        <f>COUNTIF($A$22:A84,A84)</f>
        <v>6</v>
      </c>
      <c r="AG84" s="51">
        <v>19226070</v>
      </c>
      <c r="AH84" s="38">
        <f>Tabla43[[#This Row],[VALOR CONTRAPARTIDA]]+Tabla43[[#This Row],[TOTAL APORTES ICBF]]</f>
        <v>19610591.399999999</v>
      </c>
      <c r="AI84" s="35" t="str">
        <f>+IF(Tabla43[[#This Row],[AGRUPACIONES]]=1,SUMIFS(Tabla43[TOTAL APORTES ICBF],Tabla43[ZONA DEFINITIVO],Tabla43[[#This Row],[ZONA DEFINITIVO]])," ")</f>
        <v xml:space="preserve"> </v>
      </c>
      <c r="AJ84" s="38"/>
      <c r="AK84" s="38"/>
      <c r="AL84" s="23"/>
      <c r="AM84" s="35">
        <f>VLOOKUP(Tabla43[[#This Row],[SERVICIO 2025]],$J$2:$V$16,5,0)*Tabla43[[#This Row],[TOTAL COBERTURA]]</f>
        <v>493760</v>
      </c>
      <c r="AN84" s="35">
        <f>VLOOKUP(Tabla43[[#This Row],[SERVICIO 2025]],$J$2:$V$16,6,0)*Tabla43[[#This Row],[TOTAL COBERTURA]]</f>
        <v>410290</v>
      </c>
      <c r="AO84" s="35">
        <f>VLOOKUP(Tabla43[[#This Row],[SERVICIO 2025]],$J$2:$V$16,8,0)*Tabla43[[#This Row],[TOTAL COBERTURA]]</f>
        <v>291000</v>
      </c>
      <c r="AP84" s="35">
        <f>VLOOKUP(Tabla43[[#This Row],[SERVICIO 2025]],$J$2:$V$16,3,0)*Tabla43[[#This Row],[TOTAL COBERTURA]]*7</f>
        <v>18031020</v>
      </c>
      <c r="AQ84" s="35"/>
      <c r="AR8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19226070</v>
      </c>
      <c r="AS84" s="35" t="str">
        <f>+IF(Tabla43[[#This Row],[AGRUPACIONES]]=1,SUMIFS(Tabla43[VALOR TOTAL],Tabla43[ZONA DEFINITIVO],Tabla43[[#This Row],[ZONA DEFINITIVO]])," ")</f>
        <v xml:space="preserve"> </v>
      </c>
      <c r="AT8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3360620</v>
      </c>
      <c r="AU84" s="35">
        <f>VLOOKUP(Tabla43[[#This Row],[SERVICIO 2025]],$J$2:$V$16,3,0)*Tabla43[[#This Row],[TOTAL COBERTURA]]+Tabla43[[#This Row],[VALOR RACION PREPARADA]]/7</f>
        <v>2575860</v>
      </c>
      <c r="AV84" s="35">
        <f>VLOOKUP(Tabla43[[#This Row],[SERVICIO 2025]],$J$2:$V$16,3,0)*Tabla43[[#This Row],[TOTAL COBERTURA]]+Tabla43[[#This Row],[VALOR RACION PREPARADA]]/7</f>
        <v>2575860</v>
      </c>
      <c r="AW84" s="35">
        <f>VLOOKUP(Tabla43[[#This Row],[SERVICIO 2025]],$J$2:$V$16,3,0)*Tabla43[[#This Row],[TOTAL COBERTURA]]+Tabla43[[#This Row],[VALOR RACION PREPARADA]]/7</f>
        <v>2575860</v>
      </c>
      <c r="AX84" s="35">
        <f>VLOOKUP(Tabla43[[#This Row],[SERVICIO 2025]],$J$2:$V$16,3,0)*Tabla43[[#This Row],[TOTAL COBERTURA]]+Tabla43[[#This Row],[VALOR RACION PREPARADA]]/7</f>
        <v>2575860</v>
      </c>
      <c r="AY84" s="35">
        <f>VLOOKUP(Tabla43[[#This Row],[SERVICIO 2025]],$J$2:$V$16,3,0)*Tabla43[[#This Row],[TOTAL COBERTURA]]+Tabla43[[#This Row],[VALOR RACION PREPARADA]]/7</f>
        <v>2575860</v>
      </c>
      <c r="AZ84" s="35">
        <f>VLOOKUP(Tabla43[[#This Row],[SERVICIO 2025]],$J$2:$V$16,3,0)*Tabla43[[#This Row],[TOTAL COBERTURA]]+Tabla43[[#This Row],[VALOR RACION PREPARADA]]/7+Tabla43[[#This Row],[VALOR FASE PREPARATORIA DE CIERRE]]</f>
        <v>2986150</v>
      </c>
      <c r="BA84" s="35"/>
      <c r="BB84" s="35">
        <f>SUM(Tabla43[[#This Row],[DESEMBOLSO 1]:[DESEMBOLSO 8]])</f>
        <v>19226070</v>
      </c>
      <c r="BC84" s="55"/>
      <c r="BD84" s="47" t="s">
        <v>97</v>
      </c>
      <c r="BE84" s="12" t="b">
        <f>EXACT(Tabla43[[#This Row],[TOTAL APORTES ICBF]],Tabla43[[#This Row],[VALOR TOTAL]])</f>
        <v>1</v>
      </c>
      <c r="BF84" s="23">
        <f>SUM(Tabla43[[#This Row],[VALOR FASE PREPARATORIA DE ALISTAMIENTO]:[VALOR RACION PREPARADA]])-Tabla43[[#This Row],[VALOR TOTAL]]</f>
        <v>0</v>
      </c>
      <c r="BG84" s="12" t="b">
        <f>EXACT(Tabla43[[#This Row],[VALOR TOTAL]],Tabla43[[#This Row],[TOTAL DESEMBOLSOS]])</f>
        <v>1</v>
      </c>
      <c r="BH84" s="29">
        <f>Tabla43[[#This Row],[TOTAL DESEMBOLSOS]]-Tabla43[[#This Row],[VALOR TOTAL]]</f>
        <v>0</v>
      </c>
      <c r="BJ84" t="s">
        <v>3924</v>
      </c>
    </row>
    <row r="85" spans="1:62" hidden="1">
      <c r="A85" s="13">
        <v>1935</v>
      </c>
      <c r="B85" s="13"/>
      <c r="C85" s="12" t="s">
        <v>87</v>
      </c>
      <c r="D85" s="12" t="s">
        <v>987</v>
      </c>
      <c r="E85" s="12" t="s">
        <v>1143</v>
      </c>
      <c r="F85" s="12" t="s">
        <v>18</v>
      </c>
      <c r="G85" s="12" t="s">
        <v>90</v>
      </c>
      <c r="H85" s="12" t="s">
        <v>4021</v>
      </c>
      <c r="I85" s="12">
        <v>51541135121</v>
      </c>
      <c r="J85" s="12" t="s">
        <v>4022</v>
      </c>
      <c r="K85" s="12">
        <v>1</v>
      </c>
      <c r="L85" s="12">
        <v>19</v>
      </c>
      <c r="M85" s="12"/>
      <c r="N85" s="13">
        <v>1935</v>
      </c>
      <c r="O85" s="12" t="s">
        <v>93</v>
      </c>
      <c r="P85" s="12"/>
      <c r="Q85" s="12"/>
      <c r="R85" s="12" t="s">
        <v>94</v>
      </c>
      <c r="S85" s="12">
        <v>10</v>
      </c>
      <c r="T85" s="12" t="s">
        <v>4009</v>
      </c>
      <c r="U85" s="12" t="s">
        <v>4010</v>
      </c>
      <c r="V85" s="12">
        <f>VLOOKUP(Tabla43[[#This Row],[ZONA DEFINITIVO]],Hoja1!$A$1:$D$129,3,0)</f>
        <v>229954</v>
      </c>
      <c r="W85" s="12">
        <f>VLOOKUP(Tabla43[[#This Row],[ZONA DEFINITIVO]],Hoja1!$A$1:$D$129,2,0)</f>
        <v>18594</v>
      </c>
      <c r="X85" s="12">
        <f>VLOOKUP(Tabla43[[#This Row],[ZONA DEFINITIVO]],Hoja1!$A$1:$D$129,4,0)</f>
        <v>117625</v>
      </c>
      <c r="Y85" s="12" t="str">
        <f>+IF(Tabla43[[#This Row],[AGRUPACIONES]]=1,SUMIFS(Tabla43[UDS],Tabla43[ZONA DEFINITIVO],Tabla43[[#This Row],[ZONA DEFINITIVO]])," ")</f>
        <v xml:space="preserve"> </v>
      </c>
      <c r="Z85" s="12" t="str">
        <f>+IF(Tabla43[[#This Row],[AGRUPACIONES]]=1,SUMIFS(Tabla43[TOTAL COBERTURA],Tabla43[ZONA DEFINITIVO],Tabla43[[#This Row],[ZONA DEFINITIVO]])," ")</f>
        <v xml:space="preserve"> </v>
      </c>
      <c r="AA85" s="12"/>
      <c r="AB85" s="51">
        <v>36529533</v>
      </c>
      <c r="AC85" s="37">
        <v>0.02</v>
      </c>
      <c r="AD85" s="38">
        <f>Tabla43[[#This Row],[VALOR ATENCIÓN (7 MESES)]]*Tabla43[[#This Row],[% CONTRAPARTIDA]]</f>
        <v>730590.66</v>
      </c>
      <c r="AE85" s="12"/>
      <c r="AF85" s="12">
        <f>COUNTIF($A$22:A85,A85)</f>
        <v>7</v>
      </c>
      <c r="AG85" s="51">
        <v>36529533</v>
      </c>
      <c r="AH85" s="38">
        <f>Tabla43[[#This Row],[VALOR CONTRAPARTIDA]]+Tabla43[[#This Row],[TOTAL APORTES ICBF]]</f>
        <v>37260123.659999996</v>
      </c>
      <c r="AI85" s="35" t="str">
        <f>+IF(Tabla43[[#This Row],[AGRUPACIONES]]=1,SUMIFS(Tabla43[TOTAL APORTES ICBF],Tabla43[ZONA DEFINITIVO],Tabla43[[#This Row],[ZONA DEFINITIVO]])," ")</f>
        <v xml:space="preserve"> </v>
      </c>
      <c r="AJ85" s="38"/>
      <c r="AK85" s="38"/>
      <c r="AL85" s="23"/>
      <c r="AM85" s="35">
        <f>VLOOKUP(Tabla43[[#This Row],[SERVICIO 2025]],$J$2:$V$16,5,0)*Tabla43[[#This Row],[TOTAL COBERTURA]]</f>
        <v>938144</v>
      </c>
      <c r="AN85" s="35">
        <f>VLOOKUP(Tabla43[[#This Row],[SERVICIO 2025]],$J$2:$V$16,6,0)*Tabla43[[#This Row],[TOTAL COBERTURA]]</f>
        <v>779551</v>
      </c>
      <c r="AO85" s="35">
        <f>VLOOKUP(Tabla43[[#This Row],[SERVICIO 2025]],$J$2:$V$16,8,0)*Tabla43[[#This Row],[TOTAL COBERTURA]]</f>
        <v>552900</v>
      </c>
      <c r="AP85" s="35">
        <f>VLOOKUP(Tabla43[[#This Row],[SERVICIO 2025]],$J$2:$V$16,3,0)*Tabla43[[#This Row],[TOTAL COBERTURA]]*7</f>
        <v>34258938</v>
      </c>
      <c r="AQ85" s="35"/>
      <c r="AR8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36529533</v>
      </c>
      <c r="AS85" s="35" t="str">
        <f>+IF(Tabla43[[#This Row],[AGRUPACIONES]]=1,SUMIFS(Tabla43[VALOR TOTAL],Tabla43[ZONA DEFINITIVO],Tabla43[[#This Row],[ZONA DEFINITIVO]])," ")</f>
        <v xml:space="preserve"> </v>
      </c>
      <c r="AT8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6385178</v>
      </c>
      <c r="AU85" s="35">
        <f>VLOOKUP(Tabla43[[#This Row],[SERVICIO 2025]],$J$2:$V$16,3,0)*Tabla43[[#This Row],[TOTAL COBERTURA]]+Tabla43[[#This Row],[VALOR RACION PREPARADA]]/7</f>
        <v>4894134</v>
      </c>
      <c r="AV85" s="35">
        <f>VLOOKUP(Tabla43[[#This Row],[SERVICIO 2025]],$J$2:$V$16,3,0)*Tabla43[[#This Row],[TOTAL COBERTURA]]+Tabla43[[#This Row],[VALOR RACION PREPARADA]]/7</f>
        <v>4894134</v>
      </c>
      <c r="AW85" s="35">
        <f>VLOOKUP(Tabla43[[#This Row],[SERVICIO 2025]],$J$2:$V$16,3,0)*Tabla43[[#This Row],[TOTAL COBERTURA]]+Tabla43[[#This Row],[VALOR RACION PREPARADA]]/7</f>
        <v>4894134</v>
      </c>
      <c r="AX85" s="35">
        <f>VLOOKUP(Tabla43[[#This Row],[SERVICIO 2025]],$J$2:$V$16,3,0)*Tabla43[[#This Row],[TOTAL COBERTURA]]+Tabla43[[#This Row],[VALOR RACION PREPARADA]]/7</f>
        <v>4894134</v>
      </c>
      <c r="AY85" s="35">
        <f>VLOOKUP(Tabla43[[#This Row],[SERVICIO 2025]],$J$2:$V$16,3,0)*Tabla43[[#This Row],[TOTAL COBERTURA]]+Tabla43[[#This Row],[VALOR RACION PREPARADA]]/7</f>
        <v>4894134</v>
      </c>
      <c r="AZ85" s="35">
        <f>VLOOKUP(Tabla43[[#This Row],[SERVICIO 2025]],$J$2:$V$16,3,0)*Tabla43[[#This Row],[TOTAL COBERTURA]]+Tabla43[[#This Row],[VALOR RACION PREPARADA]]/7+Tabla43[[#This Row],[VALOR FASE PREPARATORIA DE CIERRE]]</f>
        <v>5673685</v>
      </c>
      <c r="BA85" s="35"/>
      <c r="BB85" s="35">
        <f>SUM(Tabla43[[#This Row],[DESEMBOLSO 1]:[DESEMBOLSO 8]])</f>
        <v>36529533</v>
      </c>
      <c r="BC85" s="55"/>
      <c r="BD85" s="47" t="s">
        <v>97</v>
      </c>
      <c r="BE85" s="12" t="b">
        <f>EXACT(Tabla43[[#This Row],[TOTAL APORTES ICBF]],Tabla43[[#This Row],[VALOR TOTAL]])</f>
        <v>1</v>
      </c>
      <c r="BF85" s="23">
        <f>SUM(Tabla43[[#This Row],[VALOR FASE PREPARATORIA DE ALISTAMIENTO]:[VALOR RACION PREPARADA]])-Tabla43[[#This Row],[VALOR TOTAL]]</f>
        <v>0</v>
      </c>
      <c r="BG85" s="12" t="b">
        <f>EXACT(Tabla43[[#This Row],[VALOR TOTAL]],Tabla43[[#This Row],[TOTAL DESEMBOLSOS]])</f>
        <v>1</v>
      </c>
      <c r="BH85" s="29">
        <f>Tabla43[[#This Row],[TOTAL DESEMBOLSOS]]-Tabla43[[#This Row],[VALOR TOTAL]]</f>
        <v>0</v>
      </c>
      <c r="BJ85" t="s">
        <v>3924</v>
      </c>
    </row>
    <row r="86" spans="1:62" hidden="1">
      <c r="A86" s="13">
        <v>1935</v>
      </c>
      <c r="B86" s="13"/>
      <c r="C86" s="12" t="s">
        <v>87</v>
      </c>
      <c r="D86" s="12" t="s">
        <v>987</v>
      </c>
      <c r="E86" s="12" t="s">
        <v>1143</v>
      </c>
      <c r="F86" s="12" t="s">
        <v>18</v>
      </c>
      <c r="G86" s="12" t="s">
        <v>90</v>
      </c>
      <c r="H86" s="12" t="s">
        <v>4023</v>
      </c>
      <c r="I86" s="12">
        <v>51541136833</v>
      </c>
      <c r="J86" s="12" t="s">
        <v>4024</v>
      </c>
      <c r="K86" s="12">
        <v>1</v>
      </c>
      <c r="L86" s="12">
        <v>50</v>
      </c>
      <c r="M86" s="12"/>
      <c r="N86" s="13">
        <v>1935</v>
      </c>
      <c r="O86" s="12" t="s">
        <v>93</v>
      </c>
      <c r="P86" s="12"/>
      <c r="Q86" s="12"/>
      <c r="R86" s="12" t="s">
        <v>94</v>
      </c>
      <c r="S86" s="12">
        <v>10</v>
      </c>
      <c r="T86" s="12" t="s">
        <v>4009</v>
      </c>
      <c r="U86" s="12" t="s">
        <v>4010</v>
      </c>
      <c r="V86" s="12">
        <f>VLOOKUP(Tabla43[[#This Row],[ZONA DEFINITIVO]],Hoja1!$A$1:$D$129,3,0)</f>
        <v>229954</v>
      </c>
      <c r="W86" s="12">
        <f>VLOOKUP(Tabla43[[#This Row],[ZONA DEFINITIVO]],Hoja1!$A$1:$D$129,2,0)</f>
        <v>18594</v>
      </c>
      <c r="X86" s="12">
        <f>VLOOKUP(Tabla43[[#This Row],[ZONA DEFINITIVO]],Hoja1!$A$1:$D$129,4,0)</f>
        <v>117625</v>
      </c>
      <c r="Y86" s="12" t="str">
        <f>+IF(Tabla43[[#This Row],[AGRUPACIONES]]=1,SUMIFS(Tabla43[UDS],Tabla43[ZONA DEFINITIVO],Tabla43[[#This Row],[ZONA DEFINITIVO]])," ")</f>
        <v xml:space="preserve"> </v>
      </c>
      <c r="Z86" s="12" t="str">
        <f>+IF(Tabla43[[#This Row],[AGRUPACIONES]]=1,SUMIFS(Tabla43[TOTAL COBERTURA],Tabla43[ZONA DEFINITIVO],Tabla43[[#This Row],[ZONA DEFINITIVO]])," ")</f>
        <v xml:space="preserve"> </v>
      </c>
      <c r="AA86" s="12"/>
      <c r="AB86" s="51">
        <v>96130350</v>
      </c>
      <c r="AC86" s="37">
        <v>0.02</v>
      </c>
      <c r="AD86" s="38">
        <f>Tabla43[[#This Row],[VALOR ATENCIÓN (7 MESES)]]*Tabla43[[#This Row],[% CONTRAPARTIDA]]</f>
        <v>1922607</v>
      </c>
      <c r="AE86" s="12"/>
      <c r="AF86" s="12">
        <f>COUNTIF($A$22:A86,A86)</f>
        <v>8</v>
      </c>
      <c r="AG86" s="51">
        <v>96130350</v>
      </c>
      <c r="AH86" s="38">
        <f>Tabla43[[#This Row],[VALOR CONTRAPARTIDA]]+Tabla43[[#This Row],[TOTAL APORTES ICBF]]</f>
        <v>98052957</v>
      </c>
      <c r="AI86" s="35" t="str">
        <f>+IF(Tabla43[[#This Row],[AGRUPACIONES]]=1,SUMIFS(Tabla43[TOTAL APORTES ICBF],Tabla43[ZONA DEFINITIVO],Tabla43[[#This Row],[ZONA DEFINITIVO]])," ")</f>
        <v xml:space="preserve"> </v>
      </c>
      <c r="AJ86" s="38"/>
      <c r="AK86" s="38"/>
      <c r="AL86" s="23"/>
      <c r="AM86" s="35">
        <f>VLOOKUP(Tabla43[[#This Row],[SERVICIO 2025]],$J$2:$V$16,5,0)*Tabla43[[#This Row],[TOTAL COBERTURA]]</f>
        <v>2468800</v>
      </c>
      <c r="AN86" s="35">
        <f>VLOOKUP(Tabla43[[#This Row],[SERVICIO 2025]],$J$2:$V$16,6,0)*Tabla43[[#This Row],[TOTAL COBERTURA]]</f>
        <v>2051450</v>
      </c>
      <c r="AO86" s="35">
        <f>VLOOKUP(Tabla43[[#This Row],[SERVICIO 2025]],$J$2:$V$16,8,0)*Tabla43[[#This Row],[TOTAL COBERTURA]]</f>
        <v>1455000</v>
      </c>
      <c r="AP86" s="35">
        <f>VLOOKUP(Tabla43[[#This Row],[SERVICIO 2025]],$J$2:$V$16,3,0)*Tabla43[[#This Row],[TOTAL COBERTURA]]*7</f>
        <v>90155100</v>
      </c>
      <c r="AQ86" s="35"/>
      <c r="AR8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96130350</v>
      </c>
      <c r="AS86" s="35" t="str">
        <f>+IF(Tabla43[[#This Row],[AGRUPACIONES]]=1,SUMIFS(Tabla43[VALOR TOTAL],Tabla43[ZONA DEFINITIVO],Tabla43[[#This Row],[ZONA DEFINITIVO]])," ")</f>
        <v xml:space="preserve"> </v>
      </c>
      <c r="AT8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16803100</v>
      </c>
      <c r="AU86" s="35">
        <f>VLOOKUP(Tabla43[[#This Row],[SERVICIO 2025]],$J$2:$V$16,3,0)*Tabla43[[#This Row],[TOTAL COBERTURA]]+Tabla43[[#This Row],[VALOR RACION PREPARADA]]/7</f>
        <v>12879300</v>
      </c>
      <c r="AV86" s="35">
        <f>VLOOKUP(Tabla43[[#This Row],[SERVICIO 2025]],$J$2:$V$16,3,0)*Tabla43[[#This Row],[TOTAL COBERTURA]]+Tabla43[[#This Row],[VALOR RACION PREPARADA]]/7</f>
        <v>12879300</v>
      </c>
      <c r="AW86" s="35">
        <f>VLOOKUP(Tabla43[[#This Row],[SERVICIO 2025]],$J$2:$V$16,3,0)*Tabla43[[#This Row],[TOTAL COBERTURA]]+Tabla43[[#This Row],[VALOR RACION PREPARADA]]/7</f>
        <v>12879300</v>
      </c>
      <c r="AX86" s="35">
        <f>VLOOKUP(Tabla43[[#This Row],[SERVICIO 2025]],$J$2:$V$16,3,0)*Tabla43[[#This Row],[TOTAL COBERTURA]]+Tabla43[[#This Row],[VALOR RACION PREPARADA]]/7</f>
        <v>12879300</v>
      </c>
      <c r="AY86" s="35">
        <f>VLOOKUP(Tabla43[[#This Row],[SERVICIO 2025]],$J$2:$V$16,3,0)*Tabla43[[#This Row],[TOTAL COBERTURA]]+Tabla43[[#This Row],[VALOR RACION PREPARADA]]/7</f>
        <v>12879300</v>
      </c>
      <c r="AZ86" s="35">
        <f>VLOOKUP(Tabla43[[#This Row],[SERVICIO 2025]],$J$2:$V$16,3,0)*Tabla43[[#This Row],[TOTAL COBERTURA]]+Tabla43[[#This Row],[VALOR RACION PREPARADA]]/7+Tabla43[[#This Row],[VALOR FASE PREPARATORIA DE CIERRE]]</f>
        <v>14930750</v>
      </c>
      <c r="BA86" s="35"/>
      <c r="BB86" s="35">
        <f>SUM(Tabla43[[#This Row],[DESEMBOLSO 1]:[DESEMBOLSO 8]])</f>
        <v>96130350</v>
      </c>
      <c r="BC86" s="55"/>
      <c r="BD86" s="47" t="s">
        <v>97</v>
      </c>
      <c r="BE86" s="12" t="b">
        <f>EXACT(Tabla43[[#This Row],[TOTAL APORTES ICBF]],Tabla43[[#This Row],[VALOR TOTAL]])</f>
        <v>1</v>
      </c>
      <c r="BF86" s="23">
        <f>SUM(Tabla43[[#This Row],[VALOR FASE PREPARATORIA DE ALISTAMIENTO]:[VALOR RACION PREPARADA]])-Tabla43[[#This Row],[VALOR TOTAL]]</f>
        <v>0</v>
      </c>
      <c r="BG86" s="12" t="b">
        <f>EXACT(Tabla43[[#This Row],[VALOR TOTAL]],Tabla43[[#This Row],[TOTAL DESEMBOLSOS]])</f>
        <v>1</v>
      </c>
      <c r="BH86" s="29">
        <f>Tabla43[[#This Row],[TOTAL DESEMBOLSOS]]-Tabla43[[#This Row],[VALOR TOTAL]]</f>
        <v>0</v>
      </c>
      <c r="BJ86" t="s">
        <v>3924</v>
      </c>
    </row>
    <row r="87" spans="1:62" hidden="1">
      <c r="A87" s="13">
        <v>1935</v>
      </c>
      <c r="B87" s="13"/>
      <c r="C87" s="12" t="s">
        <v>87</v>
      </c>
      <c r="D87" s="12" t="s">
        <v>987</v>
      </c>
      <c r="E87" s="12" t="s">
        <v>1143</v>
      </c>
      <c r="F87" s="12" t="s">
        <v>18</v>
      </c>
      <c r="G87" s="12" t="s">
        <v>90</v>
      </c>
      <c r="H87" s="12" t="s">
        <v>4025</v>
      </c>
      <c r="I87" s="12">
        <v>51541136846</v>
      </c>
      <c r="J87" s="12" t="s">
        <v>4026</v>
      </c>
      <c r="K87" s="12">
        <v>1</v>
      </c>
      <c r="L87" s="12">
        <v>20</v>
      </c>
      <c r="M87" s="12"/>
      <c r="N87" s="13">
        <v>1935</v>
      </c>
      <c r="O87" s="12" t="s">
        <v>93</v>
      </c>
      <c r="P87" s="12"/>
      <c r="Q87" s="12"/>
      <c r="R87" s="12" t="s">
        <v>94</v>
      </c>
      <c r="S87" s="12">
        <v>10</v>
      </c>
      <c r="T87" s="12" t="s">
        <v>4009</v>
      </c>
      <c r="U87" s="12" t="s">
        <v>4010</v>
      </c>
      <c r="V87" s="12">
        <f>VLOOKUP(Tabla43[[#This Row],[ZONA DEFINITIVO]],Hoja1!$A$1:$D$129,3,0)</f>
        <v>229954</v>
      </c>
      <c r="W87" s="12">
        <f>VLOOKUP(Tabla43[[#This Row],[ZONA DEFINITIVO]],Hoja1!$A$1:$D$129,2,0)</f>
        <v>18594</v>
      </c>
      <c r="X87" s="12">
        <f>VLOOKUP(Tabla43[[#This Row],[ZONA DEFINITIVO]],Hoja1!$A$1:$D$129,4,0)</f>
        <v>117625</v>
      </c>
      <c r="Y87" s="12" t="str">
        <f>+IF(Tabla43[[#This Row],[AGRUPACIONES]]=1,SUMIFS(Tabla43[UDS],Tabla43[ZONA DEFINITIVO],Tabla43[[#This Row],[ZONA DEFINITIVO]])," ")</f>
        <v xml:space="preserve"> </v>
      </c>
      <c r="Z87" s="12" t="str">
        <f>+IF(Tabla43[[#This Row],[AGRUPACIONES]]=1,SUMIFS(Tabla43[TOTAL COBERTURA],Tabla43[ZONA DEFINITIVO],Tabla43[[#This Row],[ZONA DEFINITIVO]])," ")</f>
        <v xml:space="preserve"> </v>
      </c>
      <c r="AA87" s="12"/>
      <c r="AB87" s="51">
        <v>38452140</v>
      </c>
      <c r="AC87" s="37">
        <v>0.02</v>
      </c>
      <c r="AD87" s="38">
        <f>Tabla43[[#This Row],[VALOR ATENCIÓN (7 MESES)]]*Tabla43[[#This Row],[% CONTRAPARTIDA]]</f>
        <v>769042.8</v>
      </c>
      <c r="AE87" s="12"/>
      <c r="AF87" s="12">
        <f>COUNTIF($A$22:A87,A87)</f>
        <v>9</v>
      </c>
      <c r="AG87" s="51">
        <v>38452140</v>
      </c>
      <c r="AH87" s="38">
        <f>Tabla43[[#This Row],[VALOR CONTRAPARTIDA]]+Tabla43[[#This Row],[TOTAL APORTES ICBF]]</f>
        <v>39221182.799999997</v>
      </c>
      <c r="AI87" s="35" t="str">
        <f>+IF(Tabla43[[#This Row],[AGRUPACIONES]]=1,SUMIFS(Tabla43[TOTAL APORTES ICBF],Tabla43[ZONA DEFINITIVO],Tabla43[[#This Row],[ZONA DEFINITIVO]])," ")</f>
        <v xml:space="preserve"> </v>
      </c>
      <c r="AJ87" s="38"/>
      <c r="AK87" s="38"/>
      <c r="AL87" s="23"/>
      <c r="AM87" s="35">
        <f>VLOOKUP(Tabla43[[#This Row],[SERVICIO 2025]],$J$2:$V$16,5,0)*Tabla43[[#This Row],[TOTAL COBERTURA]]</f>
        <v>987520</v>
      </c>
      <c r="AN87" s="35">
        <f>VLOOKUP(Tabla43[[#This Row],[SERVICIO 2025]],$J$2:$V$16,6,0)*Tabla43[[#This Row],[TOTAL COBERTURA]]</f>
        <v>820580</v>
      </c>
      <c r="AO87" s="35">
        <f>VLOOKUP(Tabla43[[#This Row],[SERVICIO 2025]],$J$2:$V$16,8,0)*Tabla43[[#This Row],[TOTAL COBERTURA]]</f>
        <v>582000</v>
      </c>
      <c r="AP87" s="35">
        <f>VLOOKUP(Tabla43[[#This Row],[SERVICIO 2025]],$J$2:$V$16,3,0)*Tabla43[[#This Row],[TOTAL COBERTURA]]*7</f>
        <v>36062040</v>
      </c>
      <c r="AQ87" s="35"/>
      <c r="AR8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87" s="35" t="str">
        <f>+IF(Tabla43[[#This Row],[AGRUPACIONES]]=1,SUMIFS(Tabla43[VALOR TOTAL],Tabla43[ZONA DEFINITIVO],Tabla43[[#This Row],[ZONA DEFINITIVO]])," ")</f>
        <v xml:space="preserve"> </v>
      </c>
      <c r="AT8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87" s="35">
        <f>VLOOKUP(Tabla43[[#This Row],[SERVICIO 2025]],$J$2:$V$16,3,0)*Tabla43[[#This Row],[TOTAL COBERTURA]]+Tabla43[[#This Row],[VALOR RACION PREPARADA]]/7</f>
        <v>5151720</v>
      </c>
      <c r="AV87" s="35">
        <f>VLOOKUP(Tabla43[[#This Row],[SERVICIO 2025]],$J$2:$V$16,3,0)*Tabla43[[#This Row],[TOTAL COBERTURA]]+Tabla43[[#This Row],[VALOR RACION PREPARADA]]/7</f>
        <v>5151720</v>
      </c>
      <c r="AW87" s="35">
        <f>VLOOKUP(Tabla43[[#This Row],[SERVICIO 2025]],$J$2:$V$16,3,0)*Tabla43[[#This Row],[TOTAL COBERTURA]]+Tabla43[[#This Row],[VALOR RACION PREPARADA]]/7</f>
        <v>5151720</v>
      </c>
      <c r="AX87" s="35">
        <f>VLOOKUP(Tabla43[[#This Row],[SERVICIO 2025]],$J$2:$V$16,3,0)*Tabla43[[#This Row],[TOTAL COBERTURA]]+Tabla43[[#This Row],[VALOR RACION PREPARADA]]/7</f>
        <v>5151720</v>
      </c>
      <c r="AY87" s="35">
        <f>VLOOKUP(Tabla43[[#This Row],[SERVICIO 2025]],$J$2:$V$16,3,0)*Tabla43[[#This Row],[TOTAL COBERTURA]]+Tabla43[[#This Row],[VALOR RACION PREPARADA]]/7</f>
        <v>5151720</v>
      </c>
      <c r="AZ87" s="35">
        <f>VLOOKUP(Tabla43[[#This Row],[SERVICIO 2025]],$J$2:$V$16,3,0)*Tabla43[[#This Row],[TOTAL COBERTURA]]+Tabla43[[#This Row],[VALOR RACION PREPARADA]]/7+Tabla43[[#This Row],[VALOR FASE PREPARATORIA DE CIERRE]]</f>
        <v>5972300</v>
      </c>
      <c r="BA87" s="35"/>
      <c r="BB87" s="35">
        <f>SUM(Tabla43[[#This Row],[DESEMBOLSO 1]:[DESEMBOLSO 8]])</f>
        <v>38452140</v>
      </c>
      <c r="BC87" s="55"/>
      <c r="BD87" s="47" t="s">
        <v>97</v>
      </c>
      <c r="BE87" s="12" t="b">
        <f>EXACT(Tabla43[[#This Row],[TOTAL APORTES ICBF]],Tabla43[[#This Row],[VALOR TOTAL]])</f>
        <v>1</v>
      </c>
      <c r="BF87" s="23">
        <f>SUM(Tabla43[[#This Row],[VALOR FASE PREPARATORIA DE ALISTAMIENTO]:[VALOR RACION PREPARADA]])-Tabla43[[#This Row],[VALOR TOTAL]]</f>
        <v>0</v>
      </c>
      <c r="BG87" s="12" t="b">
        <f>EXACT(Tabla43[[#This Row],[VALOR TOTAL]],Tabla43[[#This Row],[TOTAL DESEMBOLSOS]])</f>
        <v>1</v>
      </c>
      <c r="BH87" s="29">
        <f>Tabla43[[#This Row],[TOTAL DESEMBOLSOS]]-Tabla43[[#This Row],[VALOR TOTAL]]</f>
        <v>0</v>
      </c>
      <c r="BJ87" t="s">
        <v>3924</v>
      </c>
    </row>
    <row r="88" spans="1:62" hidden="1">
      <c r="A88" s="13">
        <v>1935</v>
      </c>
      <c r="B88" s="13"/>
      <c r="C88" s="12" t="s">
        <v>87</v>
      </c>
      <c r="D88" s="12" t="s">
        <v>987</v>
      </c>
      <c r="E88" s="12" t="s">
        <v>1143</v>
      </c>
      <c r="F88" s="12" t="s">
        <v>18</v>
      </c>
      <c r="G88" s="12" t="s">
        <v>90</v>
      </c>
      <c r="H88" s="12" t="s">
        <v>2592</v>
      </c>
      <c r="I88" s="12">
        <v>51541136847</v>
      </c>
      <c r="J88" s="12" t="s">
        <v>4027</v>
      </c>
      <c r="K88" s="12">
        <v>1</v>
      </c>
      <c r="L88" s="12">
        <v>28</v>
      </c>
      <c r="M88" s="12"/>
      <c r="N88" s="13">
        <v>1935</v>
      </c>
      <c r="O88" s="12" t="s">
        <v>93</v>
      </c>
      <c r="P88" s="12"/>
      <c r="Q88" s="12"/>
      <c r="R88" s="12" t="s">
        <v>94</v>
      </c>
      <c r="S88" s="12">
        <v>10</v>
      </c>
      <c r="T88" s="12" t="s">
        <v>4009</v>
      </c>
      <c r="U88" s="12" t="s">
        <v>4010</v>
      </c>
      <c r="V88" s="12">
        <f>VLOOKUP(Tabla43[[#This Row],[ZONA DEFINITIVO]],Hoja1!$A$1:$D$129,3,0)</f>
        <v>229954</v>
      </c>
      <c r="W88" s="12">
        <f>VLOOKUP(Tabla43[[#This Row],[ZONA DEFINITIVO]],Hoja1!$A$1:$D$129,2,0)</f>
        <v>18594</v>
      </c>
      <c r="X88" s="12">
        <f>VLOOKUP(Tabla43[[#This Row],[ZONA DEFINITIVO]],Hoja1!$A$1:$D$129,4,0)</f>
        <v>117625</v>
      </c>
      <c r="Y88" s="12" t="str">
        <f>+IF(Tabla43[[#This Row],[AGRUPACIONES]]=1,SUMIFS(Tabla43[UDS],Tabla43[ZONA DEFINITIVO],Tabla43[[#This Row],[ZONA DEFINITIVO]])," ")</f>
        <v xml:space="preserve"> </v>
      </c>
      <c r="Z88" s="12" t="str">
        <f>+IF(Tabla43[[#This Row],[AGRUPACIONES]]=1,SUMIFS(Tabla43[TOTAL COBERTURA],Tabla43[ZONA DEFINITIVO],Tabla43[[#This Row],[ZONA DEFINITIVO]])," ")</f>
        <v xml:space="preserve"> </v>
      </c>
      <c r="AA88" s="12"/>
      <c r="AB88" s="51">
        <v>53832996</v>
      </c>
      <c r="AC88" s="37">
        <v>0.02</v>
      </c>
      <c r="AD88" s="38">
        <f>Tabla43[[#This Row],[VALOR ATENCIÓN (7 MESES)]]*Tabla43[[#This Row],[% CONTRAPARTIDA]]</f>
        <v>1076659.92</v>
      </c>
      <c r="AE88" s="12"/>
      <c r="AF88" s="12">
        <f>COUNTIF($A$22:A88,A88)</f>
        <v>10</v>
      </c>
      <c r="AG88" s="51">
        <v>53832996</v>
      </c>
      <c r="AH88" s="38">
        <f>Tabla43[[#This Row],[VALOR CONTRAPARTIDA]]+Tabla43[[#This Row],[TOTAL APORTES ICBF]]</f>
        <v>54909655.920000002</v>
      </c>
      <c r="AI88" s="35" t="str">
        <f>+IF(Tabla43[[#This Row],[AGRUPACIONES]]=1,SUMIFS(Tabla43[TOTAL APORTES ICBF],Tabla43[ZONA DEFINITIVO],Tabla43[[#This Row],[ZONA DEFINITIVO]])," ")</f>
        <v xml:space="preserve"> </v>
      </c>
      <c r="AJ88" s="38"/>
      <c r="AK88" s="38"/>
      <c r="AL88" s="23"/>
      <c r="AM88" s="35">
        <f>VLOOKUP(Tabla43[[#This Row],[SERVICIO 2025]],$J$2:$V$16,5,0)*Tabla43[[#This Row],[TOTAL COBERTURA]]</f>
        <v>1382528</v>
      </c>
      <c r="AN88" s="35">
        <f>VLOOKUP(Tabla43[[#This Row],[SERVICIO 2025]],$J$2:$V$16,6,0)*Tabla43[[#This Row],[TOTAL COBERTURA]]</f>
        <v>1148812</v>
      </c>
      <c r="AO88" s="35">
        <f>VLOOKUP(Tabla43[[#This Row],[SERVICIO 2025]],$J$2:$V$16,8,0)*Tabla43[[#This Row],[TOTAL COBERTURA]]</f>
        <v>814800</v>
      </c>
      <c r="AP88" s="35">
        <f>VLOOKUP(Tabla43[[#This Row],[SERVICIO 2025]],$J$2:$V$16,3,0)*Tabla43[[#This Row],[TOTAL COBERTURA]]*7</f>
        <v>50486856</v>
      </c>
      <c r="AQ88" s="35"/>
      <c r="AR8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53832996</v>
      </c>
      <c r="AS88" s="35" t="str">
        <f>+IF(Tabla43[[#This Row],[AGRUPACIONES]]=1,SUMIFS(Tabla43[VALOR TOTAL],Tabla43[ZONA DEFINITIVO],Tabla43[[#This Row],[ZONA DEFINITIVO]])," ")</f>
        <v xml:space="preserve"> </v>
      </c>
      <c r="AT8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9409736</v>
      </c>
      <c r="AU88" s="35">
        <f>VLOOKUP(Tabla43[[#This Row],[SERVICIO 2025]],$J$2:$V$16,3,0)*Tabla43[[#This Row],[TOTAL COBERTURA]]+Tabla43[[#This Row],[VALOR RACION PREPARADA]]/7</f>
        <v>7212408</v>
      </c>
      <c r="AV88" s="35">
        <f>VLOOKUP(Tabla43[[#This Row],[SERVICIO 2025]],$J$2:$V$16,3,0)*Tabla43[[#This Row],[TOTAL COBERTURA]]+Tabla43[[#This Row],[VALOR RACION PREPARADA]]/7</f>
        <v>7212408</v>
      </c>
      <c r="AW88" s="35">
        <f>VLOOKUP(Tabla43[[#This Row],[SERVICIO 2025]],$J$2:$V$16,3,0)*Tabla43[[#This Row],[TOTAL COBERTURA]]+Tabla43[[#This Row],[VALOR RACION PREPARADA]]/7</f>
        <v>7212408</v>
      </c>
      <c r="AX88" s="35">
        <f>VLOOKUP(Tabla43[[#This Row],[SERVICIO 2025]],$J$2:$V$16,3,0)*Tabla43[[#This Row],[TOTAL COBERTURA]]+Tabla43[[#This Row],[VALOR RACION PREPARADA]]/7</f>
        <v>7212408</v>
      </c>
      <c r="AY88" s="35">
        <f>VLOOKUP(Tabla43[[#This Row],[SERVICIO 2025]],$J$2:$V$16,3,0)*Tabla43[[#This Row],[TOTAL COBERTURA]]+Tabla43[[#This Row],[VALOR RACION PREPARADA]]/7</f>
        <v>7212408</v>
      </c>
      <c r="AZ88" s="35">
        <f>VLOOKUP(Tabla43[[#This Row],[SERVICIO 2025]],$J$2:$V$16,3,0)*Tabla43[[#This Row],[TOTAL COBERTURA]]+Tabla43[[#This Row],[VALOR RACION PREPARADA]]/7+Tabla43[[#This Row],[VALOR FASE PREPARATORIA DE CIERRE]]</f>
        <v>8361220</v>
      </c>
      <c r="BA88" s="35"/>
      <c r="BB88" s="35">
        <f>SUM(Tabla43[[#This Row],[DESEMBOLSO 1]:[DESEMBOLSO 8]])</f>
        <v>53832996</v>
      </c>
      <c r="BC88" s="55"/>
      <c r="BD88" s="47" t="s">
        <v>97</v>
      </c>
      <c r="BE88" s="12" t="b">
        <f>EXACT(Tabla43[[#This Row],[TOTAL APORTES ICBF]],Tabla43[[#This Row],[VALOR TOTAL]])</f>
        <v>1</v>
      </c>
      <c r="BF88" s="23">
        <f>SUM(Tabla43[[#This Row],[VALOR FASE PREPARATORIA DE ALISTAMIENTO]:[VALOR RACION PREPARADA]])-Tabla43[[#This Row],[VALOR TOTAL]]</f>
        <v>0</v>
      </c>
      <c r="BG88" s="12" t="b">
        <f>EXACT(Tabla43[[#This Row],[VALOR TOTAL]],Tabla43[[#This Row],[TOTAL DESEMBOLSOS]])</f>
        <v>1</v>
      </c>
      <c r="BH88" s="29">
        <f>Tabla43[[#This Row],[TOTAL DESEMBOLSOS]]-Tabla43[[#This Row],[VALOR TOTAL]]</f>
        <v>0</v>
      </c>
      <c r="BJ88" t="s">
        <v>3924</v>
      </c>
    </row>
    <row r="89" spans="1:62" hidden="1">
      <c r="A89" s="13">
        <v>1935</v>
      </c>
      <c r="B89" s="13"/>
      <c r="C89" s="12" t="s">
        <v>87</v>
      </c>
      <c r="D89" s="12" t="s">
        <v>987</v>
      </c>
      <c r="E89" s="12" t="s">
        <v>1143</v>
      </c>
      <c r="F89" s="12" t="s">
        <v>18</v>
      </c>
      <c r="G89" s="12" t="s">
        <v>90</v>
      </c>
      <c r="H89" s="12" t="s">
        <v>4028</v>
      </c>
      <c r="I89" s="12">
        <v>51541136849</v>
      </c>
      <c r="J89" s="12" t="s">
        <v>4029</v>
      </c>
      <c r="K89" s="12">
        <v>1</v>
      </c>
      <c r="L89" s="12">
        <v>17</v>
      </c>
      <c r="M89" s="12"/>
      <c r="N89" s="13">
        <v>1935</v>
      </c>
      <c r="O89" s="12" t="s">
        <v>93</v>
      </c>
      <c r="P89" s="12"/>
      <c r="Q89" s="12"/>
      <c r="R89" s="12" t="s">
        <v>94</v>
      </c>
      <c r="S89" s="12">
        <v>10</v>
      </c>
      <c r="T89" s="12" t="s">
        <v>4009</v>
      </c>
      <c r="U89" s="12" t="s">
        <v>4010</v>
      </c>
      <c r="V89" s="12">
        <f>VLOOKUP(Tabla43[[#This Row],[ZONA DEFINITIVO]],Hoja1!$A$1:$D$129,3,0)</f>
        <v>229954</v>
      </c>
      <c r="W89" s="12">
        <f>VLOOKUP(Tabla43[[#This Row],[ZONA DEFINITIVO]],Hoja1!$A$1:$D$129,2,0)</f>
        <v>18594</v>
      </c>
      <c r="X89" s="12">
        <f>VLOOKUP(Tabla43[[#This Row],[ZONA DEFINITIVO]],Hoja1!$A$1:$D$129,4,0)</f>
        <v>117625</v>
      </c>
      <c r="Y89" s="12" t="str">
        <f>+IF(Tabla43[[#This Row],[AGRUPACIONES]]=1,SUMIFS(Tabla43[UDS],Tabla43[ZONA DEFINITIVO],Tabla43[[#This Row],[ZONA DEFINITIVO]])," ")</f>
        <v xml:space="preserve"> </v>
      </c>
      <c r="Z89" s="12" t="str">
        <f>+IF(Tabla43[[#This Row],[AGRUPACIONES]]=1,SUMIFS(Tabla43[TOTAL COBERTURA],Tabla43[ZONA DEFINITIVO],Tabla43[[#This Row],[ZONA DEFINITIVO]])," ")</f>
        <v xml:space="preserve"> </v>
      </c>
      <c r="AA89" s="12"/>
      <c r="AB89" s="51">
        <v>32684319</v>
      </c>
      <c r="AC89" s="37">
        <v>0.02</v>
      </c>
      <c r="AD89" s="38">
        <f>Tabla43[[#This Row],[VALOR ATENCIÓN (7 MESES)]]*Tabla43[[#This Row],[% CONTRAPARTIDA]]</f>
        <v>653686.38</v>
      </c>
      <c r="AE89" s="12"/>
      <c r="AF89" s="12">
        <f>COUNTIF($A$22:A89,A89)</f>
        <v>11</v>
      </c>
      <c r="AG89" s="51">
        <v>32684319</v>
      </c>
      <c r="AH89" s="38">
        <f>Tabla43[[#This Row],[VALOR CONTRAPARTIDA]]+Tabla43[[#This Row],[TOTAL APORTES ICBF]]</f>
        <v>33338005.379999999</v>
      </c>
      <c r="AI89" s="35" t="str">
        <f>+IF(Tabla43[[#This Row],[AGRUPACIONES]]=1,SUMIFS(Tabla43[TOTAL APORTES ICBF],Tabla43[ZONA DEFINITIVO],Tabla43[[#This Row],[ZONA DEFINITIVO]])," ")</f>
        <v xml:space="preserve"> </v>
      </c>
      <c r="AJ89" s="38"/>
      <c r="AK89" s="38"/>
      <c r="AL89" s="23"/>
      <c r="AM89" s="35">
        <f>VLOOKUP(Tabla43[[#This Row],[SERVICIO 2025]],$J$2:$V$16,5,0)*Tabla43[[#This Row],[TOTAL COBERTURA]]</f>
        <v>839392</v>
      </c>
      <c r="AN89" s="35">
        <f>VLOOKUP(Tabla43[[#This Row],[SERVICIO 2025]],$J$2:$V$16,6,0)*Tabla43[[#This Row],[TOTAL COBERTURA]]</f>
        <v>697493</v>
      </c>
      <c r="AO89" s="35">
        <f>VLOOKUP(Tabla43[[#This Row],[SERVICIO 2025]],$J$2:$V$16,8,0)*Tabla43[[#This Row],[TOTAL COBERTURA]]</f>
        <v>494700</v>
      </c>
      <c r="AP89" s="35">
        <f>VLOOKUP(Tabla43[[#This Row],[SERVICIO 2025]],$J$2:$V$16,3,0)*Tabla43[[#This Row],[TOTAL COBERTURA]]*7</f>
        <v>30652734</v>
      </c>
      <c r="AQ89" s="35"/>
      <c r="AR8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32684319</v>
      </c>
      <c r="AS89" s="35" t="str">
        <f>+IF(Tabla43[[#This Row],[AGRUPACIONES]]=1,SUMIFS(Tabla43[VALOR TOTAL],Tabla43[ZONA DEFINITIVO],Tabla43[[#This Row],[ZONA DEFINITIVO]])," ")</f>
        <v xml:space="preserve"> </v>
      </c>
      <c r="AT8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5713054</v>
      </c>
      <c r="AU89" s="35">
        <f>VLOOKUP(Tabla43[[#This Row],[SERVICIO 2025]],$J$2:$V$16,3,0)*Tabla43[[#This Row],[TOTAL COBERTURA]]+Tabla43[[#This Row],[VALOR RACION PREPARADA]]/7</f>
        <v>4378962</v>
      </c>
      <c r="AV89" s="35">
        <f>VLOOKUP(Tabla43[[#This Row],[SERVICIO 2025]],$J$2:$V$16,3,0)*Tabla43[[#This Row],[TOTAL COBERTURA]]+Tabla43[[#This Row],[VALOR RACION PREPARADA]]/7</f>
        <v>4378962</v>
      </c>
      <c r="AW89" s="35">
        <f>VLOOKUP(Tabla43[[#This Row],[SERVICIO 2025]],$J$2:$V$16,3,0)*Tabla43[[#This Row],[TOTAL COBERTURA]]+Tabla43[[#This Row],[VALOR RACION PREPARADA]]/7</f>
        <v>4378962</v>
      </c>
      <c r="AX89" s="35">
        <f>VLOOKUP(Tabla43[[#This Row],[SERVICIO 2025]],$J$2:$V$16,3,0)*Tabla43[[#This Row],[TOTAL COBERTURA]]+Tabla43[[#This Row],[VALOR RACION PREPARADA]]/7</f>
        <v>4378962</v>
      </c>
      <c r="AY89" s="35">
        <f>VLOOKUP(Tabla43[[#This Row],[SERVICIO 2025]],$J$2:$V$16,3,0)*Tabla43[[#This Row],[TOTAL COBERTURA]]+Tabla43[[#This Row],[VALOR RACION PREPARADA]]/7</f>
        <v>4378962</v>
      </c>
      <c r="AZ89" s="35">
        <f>VLOOKUP(Tabla43[[#This Row],[SERVICIO 2025]],$J$2:$V$16,3,0)*Tabla43[[#This Row],[TOTAL COBERTURA]]+Tabla43[[#This Row],[VALOR RACION PREPARADA]]/7+Tabla43[[#This Row],[VALOR FASE PREPARATORIA DE CIERRE]]</f>
        <v>5076455</v>
      </c>
      <c r="BA89" s="35"/>
      <c r="BB89" s="35">
        <f>SUM(Tabla43[[#This Row],[DESEMBOLSO 1]:[DESEMBOLSO 8]])</f>
        <v>32684319</v>
      </c>
      <c r="BC89" s="55"/>
      <c r="BD89" s="47" t="s">
        <v>97</v>
      </c>
      <c r="BE89" s="12" t="b">
        <f>EXACT(Tabla43[[#This Row],[TOTAL APORTES ICBF]],Tabla43[[#This Row],[VALOR TOTAL]])</f>
        <v>1</v>
      </c>
      <c r="BF89" s="23">
        <f>SUM(Tabla43[[#This Row],[VALOR FASE PREPARATORIA DE ALISTAMIENTO]:[VALOR RACION PREPARADA]])-Tabla43[[#This Row],[VALOR TOTAL]]</f>
        <v>0</v>
      </c>
      <c r="BG89" s="12" t="b">
        <f>EXACT(Tabla43[[#This Row],[VALOR TOTAL]],Tabla43[[#This Row],[TOTAL DESEMBOLSOS]])</f>
        <v>1</v>
      </c>
      <c r="BH89" s="29">
        <f>Tabla43[[#This Row],[TOTAL DESEMBOLSOS]]-Tabla43[[#This Row],[VALOR TOTAL]]</f>
        <v>0</v>
      </c>
      <c r="BJ89" t="s">
        <v>3924</v>
      </c>
    </row>
    <row r="90" spans="1:62" hidden="1">
      <c r="A90" s="13">
        <v>1935</v>
      </c>
      <c r="B90" s="13"/>
      <c r="C90" s="12" t="s">
        <v>87</v>
      </c>
      <c r="D90" s="12" t="s">
        <v>987</v>
      </c>
      <c r="E90" s="12" t="s">
        <v>1143</v>
      </c>
      <c r="F90" s="12" t="s">
        <v>18</v>
      </c>
      <c r="G90" s="12" t="s">
        <v>90</v>
      </c>
      <c r="H90" s="12" t="s">
        <v>4030</v>
      </c>
      <c r="I90" s="12">
        <v>51541137864</v>
      </c>
      <c r="J90" s="12" t="s">
        <v>4031</v>
      </c>
      <c r="K90" s="12">
        <v>1</v>
      </c>
      <c r="L90" s="12">
        <v>18</v>
      </c>
      <c r="M90" s="12"/>
      <c r="N90" s="13">
        <v>1935</v>
      </c>
      <c r="O90" s="12" t="s">
        <v>93</v>
      </c>
      <c r="P90" s="12"/>
      <c r="Q90" s="12"/>
      <c r="R90" s="12" t="s">
        <v>94</v>
      </c>
      <c r="S90" s="12">
        <v>10</v>
      </c>
      <c r="T90" s="12" t="s">
        <v>4009</v>
      </c>
      <c r="U90" s="12" t="s">
        <v>4010</v>
      </c>
      <c r="V90" s="12">
        <f>VLOOKUP(Tabla43[[#This Row],[ZONA DEFINITIVO]],Hoja1!$A$1:$D$129,3,0)</f>
        <v>229954</v>
      </c>
      <c r="W90" s="12">
        <f>VLOOKUP(Tabla43[[#This Row],[ZONA DEFINITIVO]],Hoja1!$A$1:$D$129,2,0)</f>
        <v>18594</v>
      </c>
      <c r="X90" s="12">
        <f>VLOOKUP(Tabla43[[#This Row],[ZONA DEFINITIVO]],Hoja1!$A$1:$D$129,4,0)</f>
        <v>117625</v>
      </c>
      <c r="Y90" s="12" t="str">
        <f>+IF(Tabla43[[#This Row],[AGRUPACIONES]]=1,SUMIFS(Tabla43[UDS],Tabla43[ZONA DEFINITIVO],Tabla43[[#This Row],[ZONA DEFINITIVO]])," ")</f>
        <v xml:space="preserve"> </v>
      </c>
      <c r="Z90" s="12" t="str">
        <f>+IF(Tabla43[[#This Row],[AGRUPACIONES]]=1,SUMIFS(Tabla43[TOTAL COBERTURA],Tabla43[ZONA DEFINITIVO],Tabla43[[#This Row],[ZONA DEFINITIVO]])," ")</f>
        <v xml:space="preserve"> </v>
      </c>
      <c r="AA90" s="12"/>
      <c r="AB90" s="51">
        <v>34606926</v>
      </c>
      <c r="AC90" s="37">
        <v>0.02</v>
      </c>
      <c r="AD90" s="38">
        <f>Tabla43[[#This Row],[VALOR ATENCIÓN (7 MESES)]]*Tabla43[[#This Row],[% CONTRAPARTIDA]]</f>
        <v>692138.52</v>
      </c>
      <c r="AE90" s="12"/>
      <c r="AF90" s="12">
        <f>COUNTIF($A$22:A90,A90)</f>
        <v>12</v>
      </c>
      <c r="AG90" s="51">
        <v>34606926</v>
      </c>
      <c r="AH90" s="38">
        <f>Tabla43[[#This Row],[VALOR CONTRAPARTIDA]]+Tabla43[[#This Row],[TOTAL APORTES ICBF]]</f>
        <v>35299064.520000003</v>
      </c>
      <c r="AI90" s="35" t="str">
        <f>+IF(Tabla43[[#This Row],[AGRUPACIONES]]=1,SUMIFS(Tabla43[TOTAL APORTES ICBF],Tabla43[ZONA DEFINITIVO],Tabla43[[#This Row],[ZONA DEFINITIVO]])," ")</f>
        <v xml:space="preserve"> </v>
      </c>
      <c r="AJ90" s="38"/>
      <c r="AK90" s="38"/>
      <c r="AL90" s="23"/>
      <c r="AM90" s="35">
        <f>VLOOKUP(Tabla43[[#This Row],[SERVICIO 2025]],$J$2:$V$16,5,0)*Tabla43[[#This Row],[TOTAL COBERTURA]]</f>
        <v>888768</v>
      </c>
      <c r="AN90" s="35">
        <f>VLOOKUP(Tabla43[[#This Row],[SERVICIO 2025]],$J$2:$V$16,6,0)*Tabla43[[#This Row],[TOTAL COBERTURA]]</f>
        <v>738522</v>
      </c>
      <c r="AO90" s="35">
        <f>VLOOKUP(Tabla43[[#This Row],[SERVICIO 2025]],$J$2:$V$16,8,0)*Tabla43[[#This Row],[TOTAL COBERTURA]]</f>
        <v>523800</v>
      </c>
      <c r="AP90" s="35">
        <f>VLOOKUP(Tabla43[[#This Row],[SERVICIO 2025]],$J$2:$V$16,3,0)*Tabla43[[#This Row],[TOTAL COBERTURA]]*7</f>
        <v>32455836</v>
      </c>
      <c r="AQ90" s="35"/>
      <c r="AR9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34606926</v>
      </c>
      <c r="AS90" s="35" t="str">
        <f>+IF(Tabla43[[#This Row],[AGRUPACIONES]]=1,SUMIFS(Tabla43[VALOR TOTAL],Tabla43[ZONA DEFINITIVO],Tabla43[[#This Row],[ZONA DEFINITIVO]])," ")</f>
        <v xml:space="preserve"> </v>
      </c>
      <c r="AT9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6049116</v>
      </c>
      <c r="AU90" s="35">
        <f>VLOOKUP(Tabla43[[#This Row],[SERVICIO 2025]],$J$2:$V$16,3,0)*Tabla43[[#This Row],[TOTAL COBERTURA]]+Tabla43[[#This Row],[VALOR RACION PREPARADA]]/7</f>
        <v>4636548</v>
      </c>
      <c r="AV90" s="35">
        <f>VLOOKUP(Tabla43[[#This Row],[SERVICIO 2025]],$J$2:$V$16,3,0)*Tabla43[[#This Row],[TOTAL COBERTURA]]+Tabla43[[#This Row],[VALOR RACION PREPARADA]]/7</f>
        <v>4636548</v>
      </c>
      <c r="AW90" s="35">
        <f>VLOOKUP(Tabla43[[#This Row],[SERVICIO 2025]],$J$2:$V$16,3,0)*Tabla43[[#This Row],[TOTAL COBERTURA]]+Tabla43[[#This Row],[VALOR RACION PREPARADA]]/7</f>
        <v>4636548</v>
      </c>
      <c r="AX90" s="35">
        <f>VLOOKUP(Tabla43[[#This Row],[SERVICIO 2025]],$J$2:$V$16,3,0)*Tabla43[[#This Row],[TOTAL COBERTURA]]+Tabla43[[#This Row],[VALOR RACION PREPARADA]]/7</f>
        <v>4636548</v>
      </c>
      <c r="AY90" s="35">
        <f>VLOOKUP(Tabla43[[#This Row],[SERVICIO 2025]],$J$2:$V$16,3,0)*Tabla43[[#This Row],[TOTAL COBERTURA]]+Tabla43[[#This Row],[VALOR RACION PREPARADA]]/7</f>
        <v>4636548</v>
      </c>
      <c r="AZ90" s="35">
        <f>VLOOKUP(Tabla43[[#This Row],[SERVICIO 2025]],$J$2:$V$16,3,0)*Tabla43[[#This Row],[TOTAL COBERTURA]]+Tabla43[[#This Row],[VALOR RACION PREPARADA]]/7+Tabla43[[#This Row],[VALOR FASE PREPARATORIA DE CIERRE]]</f>
        <v>5375070</v>
      </c>
      <c r="BA90" s="35"/>
      <c r="BB90" s="35">
        <f>SUM(Tabla43[[#This Row],[DESEMBOLSO 1]:[DESEMBOLSO 8]])</f>
        <v>34606926</v>
      </c>
      <c r="BC90" s="55"/>
      <c r="BD90" s="47" t="s">
        <v>97</v>
      </c>
      <c r="BE90" s="12" t="b">
        <f>EXACT(Tabla43[[#This Row],[TOTAL APORTES ICBF]],Tabla43[[#This Row],[VALOR TOTAL]])</f>
        <v>1</v>
      </c>
      <c r="BF90" s="23">
        <f>SUM(Tabla43[[#This Row],[VALOR FASE PREPARATORIA DE ALISTAMIENTO]:[VALOR RACION PREPARADA]])-Tabla43[[#This Row],[VALOR TOTAL]]</f>
        <v>0</v>
      </c>
      <c r="BG90" s="12" t="b">
        <f>EXACT(Tabla43[[#This Row],[VALOR TOTAL]],Tabla43[[#This Row],[TOTAL DESEMBOLSOS]])</f>
        <v>1</v>
      </c>
      <c r="BH90" s="29">
        <f>Tabla43[[#This Row],[TOTAL DESEMBOLSOS]]-Tabla43[[#This Row],[VALOR TOTAL]]</f>
        <v>0</v>
      </c>
      <c r="BJ90" t="s">
        <v>3924</v>
      </c>
    </row>
    <row r="91" spans="1:62" hidden="1">
      <c r="A91" s="13">
        <v>1935</v>
      </c>
      <c r="B91" s="13"/>
      <c r="C91" s="12" t="s">
        <v>87</v>
      </c>
      <c r="D91" s="12" t="s">
        <v>987</v>
      </c>
      <c r="E91" s="12" t="s">
        <v>1143</v>
      </c>
      <c r="F91" s="12" t="s">
        <v>18</v>
      </c>
      <c r="G91" s="12" t="s">
        <v>90</v>
      </c>
      <c r="H91" s="12" t="s">
        <v>4032</v>
      </c>
      <c r="I91" s="12">
        <v>51541143947</v>
      </c>
      <c r="J91" s="12" t="s">
        <v>4033</v>
      </c>
      <c r="K91" s="12">
        <v>1</v>
      </c>
      <c r="L91" s="12">
        <v>14</v>
      </c>
      <c r="M91" s="12"/>
      <c r="N91" s="13">
        <v>1935</v>
      </c>
      <c r="O91" s="12" t="s">
        <v>93</v>
      </c>
      <c r="P91" s="12"/>
      <c r="Q91" s="12"/>
      <c r="R91" s="12" t="s">
        <v>94</v>
      </c>
      <c r="S91" s="12">
        <v>10</v>
      </c>
      <c r="T91" s="12" t="s">
        <v>4009</v>
      </c>
      <c r="U91" s="12" t="s">
        <v>4010</v>
      </c>
      <c r="V91" s="12">
        <f>VLOOKUP(Tabla43[[#This Row],[ZONA DEFINITIVO]],Hoja1!$A$1:$D$129,3,0)</f>
        <v>229954</v>
      </c>
      <c r="W91" s="12">
        <f>VLOOKUP(Tabla43[[#This Row],[ZONA DEFINITIVO]],Hoja1!$A$1:$D$129,2,0)</f>
        <v>18594</v>
      </c>
      <c r="X91" s="12">
        <f>VLOOKUP(Tabla43[[#This Row],[ZONA DEFINITIVO]],Hoja1!$A$1:$D$129,4,0)</f>
        <v>117625</v>
      </c>
      <c r="Y91" s="12" t="str">
        <f>+IF(Tabla43[[#This Row],[AGRUPACIONES]]=1,SUMIFS(Tabla43[UDS],Tabla43[ZONA DEFINITIVO],Tabla43[[#This Row],[ZONA DEFINITIVO]])," ")</f>
        <v xml:space="preserve"> </v>
      </c>
      <c r="Z91" s="12" t="str">
        <f>+IF(Tabla43[[#This Row],[AGRUPACIONES]]=1,SUMIFS(Tabla43[TOTAL COBERTURA],Tabla43[ZONA DEFINITIVO],Tabla43[[#This Row],[ZONA DEFINITIVO]])," ")</f>
        <v xml:space="preserve"> </v>
      </c>
      <c r="AA91" s="12"/>
      <c r="AB91" s="51">
        <v>26916498</v>
      </c>
      <c r="AC91" s="37">
        <v>0.02</v>
      </c>
      <c r="AD91" s="38">
        <f>Tabla43[[#This Row],[VALOR ATENCIÓN (7 MESES)]]*Tabla43[[#This Row],[% CONTRAPARTIDA]]</f>
        <v>538329.96</v>
      </c>
      <c r="AE91" s="12"/>
      <c r="AF91" s="12">
        <f>COUNTIF($A$22:A91,A91)</f>
        <v>13</v>
      </c>
      <c r="AG91" s="51">
        <v>26916498</v>
      </c>
      <c r="AH91" s="38">
        <f>Tabla43[[#This Row],[VALOR CONTRAPARTIDA]]+Tabla43[[#This Row],[TOTAL APORTES ICBF]]</f>
        <v>27454827.960000001</v>
      </c>
      <c r="AI91" s="35" t="str">
        <f>+IF(Tabla43[[#This Row],[AGRUPACIONES]]=1,SUMIFS(Tabla43[TOTAL APORTES ICBF],Tabla43[ZONA DEFINITIVO],Tabla43[[#This Row],[ZONA DEFINITIVO]])," ")</f>
        <v xml:space="preserve"> </v>
      </c>
      <c r="AJ91" s="38"/>
      <c r="AK91" s="38"/>
      <c r="AL91" s="23"/>
      <c r="AM91" s="35">
        <f>VLOOKUP(Tabla43[[#This Row],[SERVICIO 2025]],$J$2:$V$16,5,0)*Tabla43[[#This Row],[TOTAL COBERTURA]]</f>
        <v>691264</v>
      </c>
      <c r="AN91" s="35">
        <f>VLOOKUP(Tabla43[[#This Row],[SERVICIO 2025]],$J$2:$V$16,6,0)*Tabla43[[#This Row],[TOTAL COBERTURA]]</f>
        <v>574406</v>
      </c>
      <c r="AO91" s="35">
        <f>VLOOKUP(Tabla43[[#This Row],[SERVICIO 2025]],$J$2:$V$16,8,0)*Tabla43[[#This Row],[TOTAL COBERTURA]]</f>
        <v>407400</v>
      </c>
      <c r="AP91" s="35">
        <f>VLOOKUP(Tabla43[[#This Row],[SERVICIO 2025]],$J$2:$V$16,3,0)*Tabla43[[#This Row],[TOTAL COBERTURA]]*7</f>
        <v>25243428</v>
      </c>
      <c r="AQ91" s="35"/>
      <c r="AR9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26916498</v>
      </c>
      <c r="AS91" s="35" t="str">
        <f>+IF(Tabla43[[#This Row],[AGRUPACIONES]]=1,SUMIFS(Tabla43[VALOR TOTAL],Tabla43[ZONA DEFINITIVO],Tabla43[[#This Row],[ZONA DEFINITIVO]])," ")</f>
        <v xml:space="preserve"> </v>
      </c>
      <c r="AT9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4704868</v>
      </c>
      <c r="AU91" s="35">
        <f>VLOOKUP(Tabla43[[#This Row],[SERVICIO 2025]],$J$2:$V$16,3,0)*Tabla43[[#This Row],[TOTAL COBERTURA]]+Tabla43[[#This Row],[VALOR RACION PREPARADA]]/7</f>
        <v>3606204</v>
      </c>
      <c r="AV91" s="35">
        <f>VLOOKUP(Tabla43[[#This Row],[SERVICIO 2025]],$J$2:$V$16,3,0)*Tabla43[[#This Row],[TOTAL COBERTURA]]+Tabla43[[#This Row],[VALOR RACION PREPARADA]]/7</f>
        <v>3606204</v>
      </c>
      <c r="AW91" s="35">
        <f>VLOOKUP(Tabla43[[#This Row],[SERVICIO 2025]],$J$2:$V$16,3,0)*Tabla43[[#This Row],[TOTAL COBERTURA]]+Tabla43[[#This Row],[VALOR RACION PREPARADA]]/7</f>
        <v>3606204</v>
      </c>
      <c r="AX91" s="35">
        <f>VLOOKUP(Tabla43[[#This Row],[SERVICIO 2025]],$J$2:$V$16,3,0)*Tabla43[[#This Row],[TOTAL COBERTURA]]+Tabla43[[#This Row],[VALOR RACION PREPARADA]]/7</f>
        <v>3606204</v>
      </c>
      <c r="AY91" s="35">
        <f>VLOOKUP(Tabla43[[#This Row],[SERVICIO 2025]],$J$2:$V$16,3,0)*Tabla43[[#This Row],[TOTAL COBERTURA]]+Tabla43[[#This Row],[VALOR RACION PREPARADA]]/7</f>
        <v>3606204</v>
      </c>
      <c r="AZ91" s="35">
        <f>VLOOKUP(Tabla43[[#This Row],[SERVICIO 2025]],$J$2:$V$16,3,0)*Tabla43[[#This Row],[TOTAL COBERTURA]]+Tabla43[[#This Row],[VALOR RACION PREPARADA]]/7+Tabla43[[#This Row],[VALOR FASE PREPARATORIA DE CIERRE]]</f>
        <v>4180610</v>
      </c>
      <c r="BA91" s="35"/>
      <c r="BB91" s="35">
        <f>SUM(Tabla43[[#This Row],[DESEMBOLSO 1]:[DESEMBOLSO 8]])</f>
        <v>26916498</v>
      </c>
      <c r="BC91" s="55"/>
      <c r="BD91" s="47" t="s">
        <v>97</v>
      </c>
      <c r="BE91" s="12" t="b">
        <f>EXACT(Tabla43[[#This Row],[TOTAL APORTES ICBF]],Tabla43[[#This Row],[VALOR TOTAL]])</f>
        <v>1</v>
      </c>
      <c r="BF91" s="23">
        <f>SUM(Tabla43[[#This Row],[VALOR FASE PREPARATORIA DE ALISTAMIENTO]:[VALOR RACION PREPARADA]])-Tabla43[[#This Row],[VALOR TOTAL]]</f>
        <v>0</v>
      </c>
      <c r="BG91" s="12" t="b">
        <f>EXACT(Tabla43[[#This Row],[VALOR TOTAL]],Tabla43[[#This Row],[TOTAL DESEMBOLSOS]])</f>
        <v>1</v>
      </c>
      <c r="BH91" s="29">
        <f>Tabla43[[#This Row],[TOTAL DESEMBOLSOS]]-Tabla43[[#This Row],[VALOR TOTAL]]</f>
        <v>0</v>
      </c>
      <c r="BJ91" t="s">
        <v>3924</v>
      </c>
    </row>
    <row r="92" spans="1:62" hidden="1">
      <c r="A92" s="13">
        <v>1935</v>
      </c>
      <c r="B92" s="13"/>
      <c r="C92" s="12" t="s">
        <v>87</v>
      </c>
      <c r="D92" s="12" t="s">
        <v>987</v>
      </c>
      <c r="E92" s="12" t="s">
        <v>1143</v>
      </c>
      <c r="F92" s="12" t="s">
        <v>18</v>
      </c>
      <c r="G92" s="12" t="s">
        <v>90</v>
      </c>
      <c r="H92" s="12" t="s">
        <v>4034</v>
      </c>
      <c r="I92" s="12">
        <v>51541143955</v>
      </c>
      <c r="J92" s="12" t="s">
        <v>4035</v>
      </c>
      <c r="K92" s="12">
        <v>1</v>
      </c>
      <c r="L92" s="12">
        <v>9</v>
      </c>
      <c r="M92" s="12"/>
      <c r="N92" s="13">
        <v>1935</v>
      </c>
      <c r="O92" s="12" t="s">
        <v>93</v>
      </c>
      <c r="P92" s="12"/>
      <c r="Q92" s="12"/>
      <c r="R92" s="12" t="s">
        <v>94</v>
      </c>
      <c r="S92" s="12">
        <v>10</v>
      </c>
      <c r="T92" s="12" t="s">
        <v>4009</v>
      </c>
      <c r="U92" s="12" t="s">
        <v>4010</v>
      </c>
      <c r="V92" s="12">
        <f>VLOOKUP(Tabla43[[#This Row],[ZONA DEFINITIVO]],Hoja1!$A$1:$D$129,3,0)</f>
        <v>229954</v>
      </c>
      <c r="W92" s="12">
        <f>VLOOKUP(Tabla43[[#This Row],[ZONA DEFINITIVO]],Hoja1!$A$1:$D$129,2,0)</f>
        <v>18594</v>
      </c>
      <c r="X92" s="12">
        <f>VLOOKUP(Tabla43[[#This Row],[ZONA DEFINITIVO]],Hoja1!$A$1:$D$129,4,0)</f>
        <v>117625</v>
      </c>
      <c r="Y92" s="12" t="str">
        <f>+IF(Tabla43[[#This Row],[AGRUPACIONES]]=1,SUMIFS(Tabla43[UDS],Tabla43[ZONA DEFINITIVO],Tabla43[[#This Row],[ZONA DEFINITIVO]])," ")</f>
        <v xml:space="preserve"> </v>
      </c>
      <c r="Z92" s="12" t="str">
        <f>+IF(Tabla43[[#This Row],[AGRUPACIONES]]=1,SUMIFS(Tabla43[TOTAL COBERTURA],Tabla43[ZONA DEFINITIVO],Tabla43[[#This Row],[ZONA DEFINITIVO]])," ")</f>
        <v xml:space="preserve"> </v>
      </c>
      <c r="AA92" s="12"/>
      <c r="AB92" s="51">
        <v>17303463</v>
      </c>
      <c r="AC92" s="37">
        <v>0.02</v>
      </c>
      <c r="AD92" s="38">
        <f>Tabla43[[#This Row],[VALOR ATENCIÓN (7 MESES)]]*Tabla43[[#This Row],[% CONTRAPARTIDA]]</f>
        <v>346069.26</v>
      </c>
      <c r="AE92" s="12"/>
      <c r="AF92" s="12">
        <f>COUNTIF($A$22:A92,A92)</f>
        <v>14</v>
      </c>
      <c r="AG92" s="51">
        <v>17303463</v>
      </c>
      <c r="AH92" s="38">
        <f>Tabla43[[#This Row],[VALOR CONTRAPARTIDA]]+Tabla43[[#This Row],[TOTAL APORTES ICBF]]</f>
        <v>17649532.260000002</v>
      </c>
      <c r="AI92" s="35" t="str">
        <f>+IF(Tabla43[[#This Row],[AGRUPACIONES]]=1,SUMIFS(Tabla43[TOTAL APORTES ICBF],Tabla43[ZONA DEFINITIVO],Tabla43[[#This Row],[ZONA DEFINITIVO]])," ")</f>
        <v xml:space="preserve"> </v>
      </c>
      <c r="AJ92" s="38"/>
      <c r="AK92" s="38"/>
      <c r="AL92" s="23"/>
      <c r="AM92" s="35">
        <f>VLOOKUP(Tabla43[[#This Row],[SERVICIO 2025]],$J$2:$V$16,5,0)*Tabla43[[#This Row],[TOTAL COBERTURA]]</f>
        <v>444384</v>
      </c>
      <c r="AN92" s="35">
        <f>VLOOKUP(Tabla43[[#This Row],[SERVICIO 2025]],$J$2:$V$16,6,0)*Tabla43[[#This Row],[TOTAL COBERTURA]]</f>
        <v>369261</v>
      </c>
      <c r="AO92" s="35">
        <f>VLOOKUP(Tabla43[[#This Row],[SERVICIO 2025]],$J$2:$V$16,8,0)*Tabla43[[#This Row],[TOTAL COBERTURA]]</f>
        <v>261900</v>
      </c>
      <c r="AP92" s="35">
        <f>VLOOKUP(Tabla43[[#This Row],[SERVICIO 2025]],$J$2:$V$16,3,0)*Tabla43[[#This Row],[TOTAL COBERTURA]]*7</f>
        <v>16227918</v>
      </c>
      <c r="AQ92" s="35"/>
      <c r="AR9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17303463</v>
      </c>
      <c r="AS92" s="35" t="str">
        <f>+IF(Tabla43[[#This Row],[AGRUPACIONES]]=1,SUMIFS(Tabla43[VALOR TOTAL],Tabla43[ZONA DEFINITIVO],Tabla43[[#This Row],[ZONA DEFINITIVO]])," ")</f>
        <v xml:space="preserve"> </v>
      </c>
      <c r="AT9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3024558</v>
      </c>
      <c r="AU92" s="35">
        <f>VLOOKUP(Tabla43[[#This Row],[SERVICIO 2025]],$J$2:$V$16,3,0)*Tabla43[[#This Row],[TOTAL COBERTURA]]+Tabla43[[#This Row],[VALOR RACION PREPARADA]]/7</f>
        <v>2318274</v>
      </c>
      <c r="AV92" s="35">
        <f>VLOOKUP(Tabla43[[#This Row],[SERVICIO 2025]],$J$2:$V$16,3,0)*Tabla43[[#This Row],[TOTAL COBERTURA]]+Tabla43[[#This Row],[VALOR RACION PREPARADA]]/7</f>
        <v>2318274</v>
      </c>
      <c r="AW92" s="35">
        <f>VLOOKUP(Tabla43[[#This Row],[SERVICIO 2025]],$J$2:$V$16,3,0)*Tabla43[[#This Row],[TOTAL COBERTURA]]+Tabla43[[#This Row],[VALOR RACION PREPARADA]]/7</f>
        <v>2318274</v>
      </c>
      <c r="AX92" s="35">
        <f>VLOOKUP(Tabla43[[#This Row],[SERVICIO 2025]],$J$2:$V$16,3,0)*Tabla43[[#This Row],[TOTAL COBERTURA]]+Tabla43[[#This Row],[VALOR RACION PREPARADA]]/7</f>
        <v>2318274</v>
      </c>
      <c r="AY92" s="35">
        <f>VLOOKUP(Tabla43[[#This Row],[SERVICIO 2025]],$J$2:$V$16,3,0)*Tabla43[[#This Row],[TOTAL COBERTURA]]+Tabla43[[#This Row],[VALOR RACION PREPARADA]]/7</f>
        <v>2318274</v>
      </c>
      <c r="AZ92" s="35">
        <f>VLOOKUP(Tabla43[[#This Row],[SERVICIO 2025]],$J$2:$V$16,3,0)*Tabla43[[#This Row],[TOTAL COBERTURA]]+Tabla43[[#This Row],[VALOR RACION PREPARADA]]/7+Tabla43[[#This Row],[VALOR FASE PREPARATORIA DE CIERRE]]</f>
        <v>2687535</v>
      </c>
      <c r="BA92" s="35"/>
      <c r="BB92" s="35">
        <f>SUM(Tabla43[[#This Row],[DESEMBOLSO 1]:[DESEMBOLSO 8]])</f>
        <v>17303463</v>
      </c>
      <c r="BC92" s="55"/>
      <c r="BD92" s="47" t="s">
        <v>97</v>
      </c>
      <c r="BE92" s="12" t="b">
        <f>EXACT(Tabla43[[#This Row],[TOTAL APORTES ICBF]],Tabla43[[#This Row],[VALOR TOTAL]])</f>
        <v>1</v>
      </c>
      <c r="BF92" s="23">
        <f>SUM(Tabla43[[#This Row],[VALOR FASE PREPARATORIA DE ALISTAMIENTO]:[VALOR RACION PREPARADA]])-Tabla43[[#This Row],[VALOR TOTAL]]</f>
        <v>0</v>
      </c>
      <c r="BG92" s="12" t="b">
        <f>EXACT(Tabla43[[#This Row],[VALOR TOTAL]],Tabla43[[#This Row],[TOTAL DESEMBOLSOS]])</f>
        <v>1</v>
      </c>
      <c r="BH92" s="29">
        <f>Tabla43[[#This Row],[TOTAL DESEMBOLSOS]]-Tabla43[[#This Row],[VALOR TOTAL]]</f>
        <v>0</v>
      </c>
      <c r="BJ92" t="s">
        <v>3924</v>
      </c>
    </row>
    <row r="93" spans="1:62" hidden="1">
      <c r="A93" s="13">
        <v>1935</v>
      </c>
      <c r="B93" s="13"/>
      <c r="C93" s="12" t="s">
        <v>87</v>
      </c>
      <c r="D93" s="12" t="s">
        <v>987</v>
      </c>
      <c r="E93" s="12" t="s">
        <v>1143</v>
      </c>
      <c r="F93" s="12" t="s">
        <v>18</v>
      </c>
      <c r="G93" s="12" t="s">
        <v>90</v>
      </c>
      <c r="H93" s="12" t="s">
        <v>4036</v>
      </c>
      <c r="I93" s="12">
        <v>51541143965</v>
      </c>
      <c r="J93" s="12" t="s">
        <v>4037</v>
      </c>
      <c r="K93" s="12">
        <v>1</v>
      </c>
      <c r="L93" s="12">
        <v>19</v>
      </c>
      <c r="M93" s="12"/>
      <c r="N93" s="13">
        <v>1935</v>
      </c>
      <c r="O93" s="12" t="s">
        <v>93</v>
      </c>
      <c r="P93" s="12"/>
      <c r="Q93" s="12"/>
      <c r="R93" s="12" t="s">
        <v>94</v>
      </c>
      <c r="S93" s="12">
        <v>10</v>
      </c>
      <c r="T93" s="12" t="s">
        <v>4009</v>
      </c>
      <c r="U93" s="12" t="s">
        <v>4010</v>
      </c>
      <c r="V93" s="12">
        <f>VLOOKUP(Tabla43[[#This Row],[ZONA DEFINITIVO]],Hoja1!$A$1:$D$129,3,0)</f>
        <v>229954</v>
      </c>
      <c r="W93" s="12">
        <f>VLOOKUP(Tabla43[[#This Row],[ZONA DEFINITIVO]],Hoja1!$A$1:$D$129,2,0)</f>
        <v>18594</v>
      </c>
      <c r="X93" s="12">
        <f>VLOOKUP(Tabla43[[#This Row],[ZONA DEFINITIVO]],Hoja1!$A$1:$D$129,4,0)</f>
        <v>117625</v>
      </c>
      <c r="Y93" s="12" t="str">
        <f>+IF(Tabla43[[#This Row],[AGRUPACIONES]]=1,SUMIFS(Tabla43[UDS],Tabla43[ZONA DEFINITIVO],Tabla43[[#This Row],[ZONA DEFINITIVO]])," ")</f>
        <v xml:space="preserve"> </v>
      </c>
      <c r="Z93" s="12" t="str">
        <f>+IF(Tabla43[[#This Row],[AGRUPACIONES]]=1,SUMIFS(Tabla43[TOTAL COBERTURA],Tabla43[ZONA DEFINITIVO],Tabla43[[#This Row],[ZONA DEFINITIVO]])," ")</f>
        <v xml:space="preserve"> </v>
      </c>
      <c r="AA93" s="12"/>
      <c r="AB93" s="51">
        <v>36529533</v>
      </c>
      <c r="AC93" s="37">
        <v>0.02</v>
      </c>
      <c r="AD93" s="38">
        <f>Tabla43[[#This Row],[VALOR ATENCIÓN (7 MESES)]]*Tabla43[[#This Row],[% CONTRAPARTIDA]]</f>
        <v>730590.66</v>
      </c>
      <c r="AE93" s="12"/>
      <c r="AF93" s="12">
        <f>COUNTIF($A$22:A93,A93)</f>
        <v>15</v>
      </c>
      <c r="AG93" s="51">
        <v>36529533</v>
      </c>
      <c r="AH93" s="38">
        <f>Tabla43[[#This Row],[VALOR CONTRAPARTIDA]]+Tabla43[[#This Row],[TOTAL APORTES ICBF]]</f>
        <v>37260123.659999996</v>
      </c>
      <c r="AI93" s="35" t="str">
        <f>+IF(Tabla43[[#This Row],[AGRUPACIONES]]=1,SUMIFS(Tabla43[TOTAL APORTES ICBF],Tabla43[ZONA DEFINITIVO],Tabla43[[#This Row],[ZONA DEFINITIVO]])," ")</f>
        <v xml:space="preserve"> </v>
      </c>
      <c r="AJ93" s="38"/>
      <c r="AK93" s="38"/>
      <c r="AL93" s="23"/>
      <c r="AM93" s="35">
        <f>VLOOKUP(Tabla43[[#This Row],[SERVICIO 2025]],$J$2:$V$16,5,0)*Tabla43[[#This Row],[TOTAL COBERTURA]]</f>
        <v>938144</v>
      </c>
      <c r="AN93" s="35">
        <f>VLOOKUP(Tabla43[[#This Row],[SERVICIO 2025]],$J$2:$V$16,6,0)*Tabla43[[#This Row],[TOTAL COBERTURA]]</f>
        <v>779551</v>
      </c>
      <c r="AO93" s="35">
        <f>VLOOKUP(Tabla43[[#This Row],[SERVICIO 2025]],$J$2:$V$16,8,0)*Tabla43[[#This Row],[TOTAL COBERTURA]]</f>
        <v>552900</v>
      </c>
      <c r="AP93" s="35">
        <f>VLOOKUP(Tabla43[[#This Row],[SERVICIO 2025]],$J$2:$V$16,3,0)*Tabla43[[#This Row],[TOTAL COBERTURA]]*7</f>
        <v>34258938</v>
      </c>
      <c r="AQ93" s="35"/>
      <c r="AR9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36529533</v>
      </c>
      <c r="AS93" s="35" t="str">
        <f>+IF(Tabla43[[#This Row],[AGRUPACIONES]]=1,SUMIFS(Tabla43[VALOR TOTAL],Tabla43[ZONA DEFINITIVO],Tabla43[[#This Row],[ZONA DEFINITIVO]])," ")</f>
        <v xml:space="preserve"> </v>
      </c>
      <c r="AT9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6385178</v>
      </c>
      <c r="AU93" s="35">
        <f>VLOOKUP(Tabla43[[#This Row],[SERVICIO 2025]],$J$2:$V$16,3,0)*Tabla43[[#This Row],[TOTAL COBERTURA]]+Tabla43[[#This Row],[VALOR RACION PREPARADA]]/7</f>
        <v>4894134</v>
      </c>
      <c r="AV93" s="35">
        <f>VLOOKUP(Tabla43[[#This Row],[SERVICIO 2025]],$J$2:$V$16,3,0)*Tabla43[[#This Row],[TOTAL COBERTURA]]+Tabla43[[#This Row],[VALOR RACION PREPARADA]]/7</f>
        <v>4894134</v>
      </c>
      <c r="AW93" s="35">
        <f>VLOOKUP(Tabla43[[#This Row],[SERVICIO 2025]],$J$2:$V$16,3,0)*Tabla43[[#This Row],[TOTAL COBERTURA]]+Tabla43[[#This Row],[VALOR RACION PREPARADA]]/7</f>
        <v>4894134</v>
      </c>
      <c r="AX93" s="35">
        <f>VLOOKUP(Tabla43[[#This Row],[SERVICIO 2025]],$J$2:$V$16,3,0)*Tabla43[[#This Row],[TOTAL COBERTURA]]+Tabla43[[#This Row],[VALOR RACION PREPARADA]]/7</f>
        <v>4894134</v>
      </c>
      <c r="AY93" s="35">
        <f>VLOOKUP(Tabla43[[#This Row],[SERVICIO 2025]],$J$2:$V$16,3,0)*Tabla43[[#This Row],[TOTAL COBERTURA]]+Tabla43[[#This Row],[VALOR RACION PREPARADA]]/7</f>
        <v>4894134</v>
      </c>
      <c r="AZ93" s="35">
        <f>VLOOKUP(Tabla43[[#This Row],[SERVICIO 2025]],$J$2:$V$16,3,0)*Tabla43[[#This Row],[TOTAL COBERTURA]]+Tabla43[[#This Row],[VALOR RACION PREPARADA]]/7+Tabla43[[#This Row],[VALOR FASE PREPARATORIA DE CIERRE]]</f>
        <v>5673685</v>
      </c>
      <c r="BA93" s="35"/>
      <c r="BB93" s="35">
        <f>SUM(Tabla43[[#This Row],[DESEMBOLSO 1]:[DESEMBOLSO 8]])</f>
        <v>36529533</v>
      </c>
      <c r="BC93" s="55"/>
      <c r="BD93" s="47" t="s">
        <v>97</v>
      </c>
      <c r="BE93" s="12" t="b">
        <f>EXACT(Tabla43[[#This Row],[TOTAL APORTES ICBF]],Tabla43[[#This Row],[VALOR TOTAL]])</f>
        <v>1</v>
      </c>
      <c r="BF93" s="23">
        <f>SUM(Tabla43[[#This Row],[VALOR FASE PREPARATORIA DE ALISTAMIENTO]:[VALOR RACION PREPARADA]])-Tabla43[[#This Row],[VALOR TOTAL]]</f>
        <v>0</v>
      </c>
      <c r="BG93" s="12" t="b">
        <f>EXACT(Tabla43[[#This Row],[VALOR TOTAL]],Tabla43[[#This Row],[TOTAL DESEMBOLSOS]])</f>
        <v>1</v>
      </c>
      <c r="BH93" s="29">
        <f>Tabla43[[#This Row],[TOTAL DESEMBOLSOS]]-Tabla43[[#This Row],[VALOR TOTAL]]</f>
        <v>0</v>
      </c>
      <c r="BJ93" t="s">
        <v>3924</v>
      </c>
    </row>
    <row r="94" spans="1:62" hidden="1">
      <c r="A94" s="71">
        <v>1935</v>
      </c>
      <c r="B94" s="13"/>
      <c r="C94" s="12" t="s">
        <v>87</v>
      </c>
      <c r="D94" s="12" t="s">
        <v>987</v>
      </c>
      <c r="E94" s="12" t="s">
        <v>1143</v>
      </c>
      <c r="F94" s="12" t="s">
        <v>18</v>
      </c>
      <c r="G94" s="12" t="s">
        <v>90</v>
      </c>
      <c r="H94" s="12" t="s">
        <v>4038</v>
      </c>
      <c r="I94" s="12">
        <v>51541143970</v>
      </c>
      <c r="J94" s="12" t="s">
        <v>4039</v>
      </c>
      <c r="K94" s="12">
        <v>1</v>
      </c>
      <c r="L94" s="12">
        <v>33</v>
      </c>
      <c r="M94" s="12"/>
      <c r="N94" s="71">
        <v>1935</v>
      </c>
      <c r="O94" s="12" t="s">
        <v>93</v>
      </c>
      <c r="P94" s="12"/>
      <c r="Q94" s="12"/>
      <c r="R94" s="12" t="s">
        <v>94</v>
      </c>
      <c r="S94" s="12">
        <v>10</v>
      </c>
      <c r="T94" s="12" t="s">
        <v>4009</v>
      </c>
      <c r="U94" s="12" t="s">
        <v>4010</v>
      </c>
      <c r="V94" s="12">
        <f>VLOOKUP(Tabla43[[#This Row],[ZONA DEFINITIVO]],Hoja1!$A$1:$D$129,3,0)</f>
        <v>229954</v>
      </c>
      <c r="W94" s="12">
        <f>VLOOKUP(Tabla43[[#This Row],[ZONA DEFINITIVO]],Hoja1!$A$1:$D$129,2,0)</f>
        <v>18594</v>
      </c>
      <c r="X94" s="12">
        <f>VLOOKUP(Tabla43[[#This Row],[ZONA DEFINITIVO]],Hoja1!$A$1:$D$129,4,0)</f>
        <v>117625</v>
      </c>
      <c r="Y94" s="12" t="str">
        <f>+IF(Tabla43[[#This Row],[AGRUPACIONES]]=1,SUMIFS(Tabla43[UDS],Tabla43[ZONA DEFINITIVO],Tabla43[[#This Row],[ZONA DEFINITIVO]])," ")</f>
        <v xml:space="preserve"> </v>
      </c>
      <c r="Z94" s="12" t="str">
        <f>+IF(Tabla43[[#This Row],[AGRUPACIONES]]=1,SUMIFS(Tabla43[TOTAL COBERTURA],Tabla43[ZONA DEFINITIVO],Tabla43[[#This Row],[ZONA DEFINITIVO]])," ")</f>
        <v xml:space="preserve"> </v>
      </c>
      <c r="AA94" s="12"/>
      <c r="AB94" s="51">
        <v>63446031</v>
      </c>
      <c r="AC94" s="37">
        <v>0.02</v>
      </c>
      <c r="AD94" s="38">
        <f>Tabla43[[#This Row],[VALOR ATENCIÓN (7 MESES)]]*Tabla43[[#This Row],[% CONTRAPARTIDA]]</f>
        <v>1268920.6200000001</v>
      </c>
      <c r="AE94" s="12"/>
      <c r="AF94" s="12">
        <f>COUNTIF($A$22:A94,A94)</f>
        <v>16</v>
      </c>
      <c r="AG94" s="51">
        <v>63446031</v>
      </c>
      <c r="AH94" s="38">
        <f>Tabla43[[#This Row],[VALOR CONTRAPARTIDA]]+Tabla43[[#This Row],[TOTAL APORTES ICBF]]</f>
        <v>64714951.619999997</v>
      </c>
      <c r="AI94" s="35" t="str">
        <f>+IF(Tabla43[[#This Row],[AGRUPACIONES]]=1,SUMIFS(Tabla43[TOTAL APORTES ICBF],Tabla43[ZONA DEFINITIVO],Tabla43[[#This Row],[ZONA DEFINITIVO]])," ")</f>
        <v xml:space="preserve"> </v>
      </c>
      <c r="AJ94" s="38"/>
      <c r="AK94" s="38"/>
      <c r="AL94" s="23"/>
      <c r="AM94" s="35">
        <f>VLOOKUP(Tabla43[[#This Row],[SERVICIO 2025]],$J$2:$V$16,5,0)*Tabla43[[#This Row],[TOTAL COBERTURA]]</f>
        <v>1629408</v>
      </c>
      <c r="AN94" s="35">
        <f>VLOOKUP(Tabla43[[#This Row],[SERVICIO 2025]],$J$2:$V$16,6,0)*Tabla43[[#This Row],[TOTAL COBERTURA]]</f>
        <v>1353957</v>
      </c>
      <c r="AO94" s="35">
        <f>VLOOKUP(Tabla43[[#This Row],[SERVICIO 2025]],$J$2:$V$16,8,0)*Tabla43[[#This Row],[TOTAL COBERTURA]]</f>
        <v>960300</v>
      </c>
      <c r="AP94" s="35">
        <f>VLOOKUP(Tabla43[[#This Row],[SERVICIO 2025]],$J$2:$V$16,3,0)*Tabla43[[#This Row],[TOTAL COBERTURA]]*7</f>
        <v>59502366</v>
      </c>
      <c r="AQ94" s="35"/>
      <c r="AR9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63446031</v>
      </c>
      <c r="AS94" s="35" t="str">
        <f>+IF(Tabla43[[#This Row],[AGRUPACIONES]]=1,SUMIFS(Tabla43[VALOR TOTAL],Tabla43[ZONA DEFINITIVO],Tabla43[[#This Row],[ZONA DEFINITIVO]])," ")</f>
        <v xml:space="preserve"> </v>
      </c>
      <c r="AT9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11090046</v>
      </c>
      <c r="AU94" s="35">
        <f>VLOOKUP(Tabla43[[#This Row],[SERVICIO 2025]],$J$2:$V$16,3,0)*Tabla43[[#This Row],[TOTAL COBERTURA]]+Tabla43[[#This Row],[VALOR RACION PREPARADA]]/7</f>
        <v>8500338</v>
      </c>
      <c r="AV94" s="35">
        <f>VLOOKUP(Tabla43[[#This Row],[SERVICIO 2025]],$J$2:$V$16,3,0)*Tabla43[[#This Row],[TOTAL COBERTURA]]+Tabla43[[#This Row],[VALOR RACION PREPARADA]]/7</f>
        <v>8500338</v>
      </c>
      <c r="AW94" s="35">
        <f>VLOOKUP(Tabla43[[#This Row],[SERVICIO 2025]],$J$2:$V$16,3,0)*Tabla43[[#This Row],[TOTAL COBERTURA]]+Tabla43[[#This Row],[VALOR RACION PREPARADA]]/7</f>
        <v>8500338</v>
      </c>
      <c r="AX94" s="35">
        <f>VLOOKUP(Tabla43[[#This Row],[SERVICIO 2025]],$J$2:$V$16,3,0)*Tabla43[[#This Row],[TOTAL COBERTURA]]+Tabla43[[#This Row],[VALOR RACION PREPARADA]]/7</f>
        <v>8500338</v>
      </c>
      <c r="AY94" s="35">
        <f>VLOOKUP(Tabla43[[#This Row],[SERVICIO 2025]],$J$2:$V$16,3,0)*Tabla43[[#This Row],[TOTAL COBERTURA]]+Tabla43[[#This Row],[VALOR RACION PREPARADA]]/7</f>
        <v>8500338</v>
      </c>
      <c r="AZ94" s="35">
        <f>VLOOKUP(Tabla43[[#This Row],[SERVICIO 2025]],$J$2:$V$16,3,0)*Tabla43[[#This Row],[TOTAL COBERTURA]]+Tabla43[[#This Row],[VALOR RACION PREPARADA]]/7+Tabla43[[#This Row],[VALOR FASE PREPARATORIA DE CIERRE]]</f>
        <v>9854295</v>
      </c>
      <c r="BA94" s="35"/>
      <c r="BB94" s="35">
        <f>SUM(Tabla43[[#This Row],[DESEMBOLSO 1]:[DESEMBOLSO 8]])</f>
        <v>63446031</v>
      </c>
      <c r="BC94" s="55"/>
      <c r="BD94" s="47" t="s">
        <v>97</v>
      </c>
      <c r="BE94" s="12" t="b">
        <f>EXACT(Tabla43[[#This Row],[TOTAL APORTES ICBF]],Tabla43[[#This Row],[VALOR TOTAL]])</f>
        <v>1</v>
      </c>
      <c r="BF94" s="23">
        <f>SUM(Tabla43[[#This Row],[VALOR FASE PREPARATORIA DE ALISTAMIENTO]:[VALOR RACION PREPARADA]])-Tabla43[[#This Row],[VALOR TOTAL]]</f>
        <v>0</v>
      </c>
      <c r="BG94" s="12" t="b">
        <f>EXACT(Tabla43[[#This Row],[VALOR TOTAL]],Tabla43[[#This Row],[TOTAL DESEMBOLSOS]])</f>
        <v>1</v>
      </c>
      <c r="BH94" s="29">
        <f>Tabla43[[#This Row],[TOTAL DESEMBOLSOS]]-Tabla43[[#This Row],[VALOR TOTAL]]</f>
        <v>0</v>
      </c>
      <c r="BJ94" t="s">
        <v>3924</v>
      </c>
    </row>
    <row r="95" spans="1:62" hidden="1">
      <c r="A95" s="13">
        <v>1935</v>
      </c>
      <c r="B95" s="13"/>
      <c r="C95" s="12" t="s">
        <v>87</v>
      </c>
      <c r="D95" s="12" t="s">
        <v>987</v>
      </c>
      <c r="E95" s="12" t="s">
        <v>1143</v>
      </c>
      <c r="F95" s="12" t="s">
        <v>18</v>
      </c>
      <c r="G95" s="12" t="s">
        <v>90</v>
      </c>
      <c r="H95" s="12" t="s">
        <v>4040</v>
      </c>
      <c r="I95" s="12">
        <v>51541143973</v>
      </c>
      <c r="J95" s="12" t="s">
        <v>4041</v>
      </c>
      <c r="K95" s="12">
        <v>1</v>
      </c>
      <c r="L95" s="12">
        <v>9</v>
      </c>
      <c r="M95" s="12"/>
      <c r="N95" s="13">
        <v>1935</v>
      </c>
      <c r="O95" s="12" t="s">
        <v>93</v>
      </c>
      <c r="P95" s="12"/>
      <c r="Q95" s="12"/>
      <c r="R95" s="12" t="s">
        <v>94</v>
      </c>
      <c r="S95" s="12">
        <v>10</v>
      </c>
      <c r="T95" s="12" t="s">
        <v>4009</v>
      </c>
      <c r="U95" s="12" t="s">
        <v>4010</v>
      </c>
      <c r="V95" s="12">
        <f>VLOOKUP(Tabla43[[#This Row],[ZONA DEFINITIVO]],Hoja1!$A$1:$D$129,3,0)</f>
        <v>229954</v>
      </c>
      <c r="W95" s="12">
        <f>VLOOKUP(Tabla43[[#This Row],[ZONA DEFINITIVO]],Hoja1!$A$1:$D$129,2,0)</f>
        <v>18594</v>
      </c>
      <c r="X95" s="12">
        <f>VLOOKUP(Tabla43[[#This Row],[ZONA DEFINITIVO]],Hoja1!$A$1:$D$129,4,0)</f>
        <v>117625</v>
      </c>
      <c r="Y95" s="12" t="str">
        <f>+IF(Tabla43[[#This Row],[AGRUPACIONES]]=1,SUMIFS(Tabla43[UDS],Tabla43[ZONA DEFINITIVO],Tabla43[[#This Row],[ZONA DEFINITIVO]])," ")</f>
        <v xml:space="preserve"> </v>
      </c>
      <c r="Z95" s="12" t="str">
        <f>+IF(Tabla43[[#This Row],[AGRUPACIONES]]=1,SUMIFS(Tabla43[TOTAL COBERTURA],Tabla43[ZONA DEFINITIVO],Tabla43[[#This Row],[ZONA DEFINITIVO]])," ")</f>
        <v xml:space="preserve"> </v>
      </c>
      <c r="AA95" s="12"/>
      <c r="AB95" s="51">
        <v>17303463</v>
      </c>
      <c r="AC95" s="37">
        <v>0.02</v>
      </c>
      <c r="AD95" s="38">
        <f>Tabla43[[#This Row],[VALOR ATENCIÓN (7 MESES)]]*Tabla43[[#This Row],[% CONTRAPARTIDA]]</f>
        <v>346069.26</v>
      </c>
      <c r="AE95" s="12"/>
      <c r="AF95" s="12">
        <f>COUNTIF($A$22:A95,A95)</f>
        <v>17</v>
      </c>
      <c r="AG95" s="51">
        <v>17303463</v>
      </c>
      <c r="AH95" s="38">
        <f>Tabla43[[#This Row],[VALOR CONTRAPARTIDA]]+Tabla43[[#This Row],[TOTAL APORTES ICBF]]</f>
        <v>17649532.260000002</v>
      </c>
      <c r="AI95" s="35" t="str">
        <f>+IF(Tabla43[[#This Row],[AGRUPACIONES]]=1,SUMIFS(Tabla43[TOTAL APORTES ICBF],Tabla43[ZONA DEFINITIVO],Tabla43[[#This Row],[ZONA DEFINITIVO]])," ")</f>
        <v xml:space="preserve"> </v>
      </c>
      <c r="AJ95" s="38"/>
      <c r="AK95" s="38"/>
      <c r="AL95" s="23"/>
      <c r="AM95" s="35">
        <f>VLOOKUP(Tabla43[[#This Row],[SERVICIO 2025]],$J$2:$V$16,5,0)*Tabla43[[#This Row],[TOTAL COBERTURA]]</f>
        <v>444384</v>
      </c>
      <c r="AN95" s="35">
        <f>VLOOKUP(Tabla43[[#This Row],[SERVICIO 2025]],$J$2:$V$16,6,0)*Tabla43[[#This Row],[TOTAL COBERTURA]]</f>
        <v>369261</v>
      </c>
      <c r="AO95" s="35">
        <f>VLOOKUP(Tabla43[[#This Row],[SERVICIO 2025]],$J$2:$V$16,8,0)*Tabla43[[#This Row],[TOTAL COBERTURA]]</f>
        <v>261900</v>
      </c>
      <c r="AP95" s="35">
        <f>VLOOKUP(Tabla43[[#This Row],[SERVICIO 2025]],$J$2:$V$16,3,0)*Tabla43[[#This Row],[TOTAL COBERTURA]]*7</f>
        <v>16227918</v>
      </c>
      <c r="AQ95" s="35"/>
      <c r="AR9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17303463</v>
      </c>
      <c r="AS95" s="35" t="str">
        <f>+IF(Tabla43[[#This Row],[AGRUPACIONES]]=1,SUMIFS(Tabla43[VALOR TOTAL],Tabla43[ZONA DEFINITIVO],Tabla43[[#This Row],[ZONA DEFINITIVO]])," ")</f>
        <v xml:space="preserve"> </v>
      </c>
      <c r="AT9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3024558</v>
      </c>
      <c r="AU95" s="35">
        <f>VLOOKUP(Tabla43[[#This Row],[SERVICIO 2025]],$J$2:$V$16,3,0)*Tabla43[[#This Row],[TOTAL COBERTURA]]+Tabla43[[#This Row],[VALOR RACION PREPARADA]]/7</f>
        <v>2318274</v>
      </c>
      <c r="AV95" s="35">
        <f>VLOOKUP(Tabla43[[#This Row],[SERVICIO 2025]],$J$2:$V$16,3,0)*Tabla43[[#This Row],[TOTAL COBERTURA]]+Tabla43[[#This Row],[VALOR RACION PREPARADA]]/7</f>
        <v>2318274</v>
      </c>
      <c r="AW95" s="35">
        <f>VLOOKUP(Tabla43[[#This Row],[SERVICIO 2025]],$J$2:$V$16,3,0)*Tabla43[[#This Row],[TOTAL COBERTURA]]+Tabla43[[#This Row],[VALOR RACION PREPARADA]]/7</f>
        <v>2318274</v>
      </c>
      <c r="AX95" s="35">
        <f>VLOOKUP(Tabla43[[#This Row],[SERVICIO 2025]],$J$2:$V$16,3,0)*Tabla43[[#This Row],[TOTAL COBERTURA]]+Tabla43[[#This Row],[VALOR RACION PREPARADA]]/7</f>
        <v>2318274</v>
      </c>
      <c r="AY95" s="35">
        <f>VLOOKUP(Tabla43[[#This Row],[SERVICIO 2025]],$J$2:$V$16,3,0)*Tabla43[[#This Row],[TOTAL COBERTURA]]+Tabla43[[#This Row],[VALOR RACION PREPARADA]]/7</f>
        <v>2318274</v>
      </c>
      <c r="AZ95" s="35">
        <f>VLOOKUP(Tabla43[[#This Row],[SERVICIO 2025]],$J$2:$V$16,3,0)*Tabla43[[#This Row],[TOTAL COBERTURA]]+Tabla43[[#This Row],[VALOR RACION PREPARADA]]/7+Tabla43[[#This Row],[VALOR FASE PREPARATORIA DE CIERRE]]</f>
        <v>2687535</v>
      </c>
      <c r="BA95" s="35"/>
      <c r="BB95" s="35">
        <f>SUM(Tabla43[[#This Row],[DESEMBOLSO 1]:[DESEMBOLSO 8]])</f>
        <v>17303463</v>
      </c>
      <c r="BC95" s="55"/>
      <c r="BD95" s="47" t="s">
        <v>97</v>
      </c>
      <c r="BE95" s="12" t="b">
        <f>EXACT(Tabla43[[#This Row],[TOTAL APORTES ICBF]],Tabla43[[#This Row],[VALOR TOTAL]])</f>
        <v>1</v>
      </c>
      <c r="BF95" s="23">
        <f>SUM(Tabla43[[#This Row],[VALOR FASE PREPARATORIA DE ALISTAMIENTO]:[VALOR RACION PREPARADA]])-Tabla43[[#This Row],[VALOR TOTAL]]</f>
        <v>0</v>
      </c>
      <c r="BG95" s="12" t="b">
        <f>EXACT(Tabla43[[#This Row],[VALOR TOTAL]],Tabla43[[#This Row],[TOTAL DESEMBOLSOS]])</f>
        <v>1</v>
      </c>
      <c r="BH95" s="29">
        <f>Tabla43[[#This Row],[TOTAL DESEMBOLSOS]]-Tabla43[[#This Row],[VALOR TOTAL]]</f>
        <v>0</v>
      </c>
      <c r="BJ95" t="s">
        <v>3924</v>
      </c>
    </row>
    <row r="96" spans="1:62" hidden="1">
      <c r="A96" s="13">
        <v>1935</v>
      </c>
      <c r="B96" s="13"/>
      <c r="C96" s="12" t="s">
        <v>87</v>
      </c>
      <c r="D96" s="12" t="s">
        <v>987</v>
      </c>
      <c r="E96" s="12" t="s">
        <v>1143</v>
      </c>
      <c r="F96" s="12" t="s">
        <v>18</v>
      </c>
      <c r="G96" s="12" t="s">
        <v>90</v>
      </c>
      <c r="H96" s="12" t="s">
        <v>4042</v>
      </c>
      <c r="I96" s="12">
        <v>51541143977</v>
      </c>
      <c r="J96" s="12" t="s">
        <v>4043</v>
      </c>
      <c r="K96" s="12">
        <v>1</v>
      </c>
      <c r="L96" s="12">
        <v>15</v>
      </c>
      <c r="M96" s="12"/>
      <c r="N96" s="13">
        <v>1935</v>
      </c>
      <c r="O96" s="12" t="s">
        <v>93</v>
      </c>
      <c r="P96" s="12"/>
      <c r="Q96" s="12"/>
      <c r="R96" s="12" t="s">
        <v>94</v>
      </c>
      <c r="S96" s="12">
        <v>10</v>
      </c>
      <c r="T96" s="12" t="s">
        <v>4009</v>
      </c>
      <c r="U96" s="12" t="s">
        <v>4010</v>
      </c>
      <c r="V96" s="12">
        <f>VLOOKUP(Tabla43[[#This Row],[ZONA DEFINITIVO]],Hoja1!$A$1:$D$129,3,0)</f>
        <v>229954</v>
      </c>
      <c r="W96" s="12">
        <f>VLOOKUP(Tabla43[[#This Row],[ZONA DEFINITIVO]],Hoja1!$A$1:$D$129,2,0)</f>
        <v>18594</v>
      </c>
      <c r="X96" s="12">
        <f>VLOOKUP(Tabla43[[#This Row],[ZONA DEFINITIVO]],Hoja1!$A$1:$D$129,4,0)</f>
        <v>117625</v>
      </c>
      <c r="Y96" s="12" t="str">
        <f>+IF(Tabla43[[#This Row],[AGRUPACIONES]]=1,SUMIFS(Tabla43[UDS],Tabla43[ZONA DEFINITIVO],Tabla43[[#This Row],[ZONA DEFINITIVO]])," ")</f>
        <v xml:space="preserve"> </v>
      </c>
      <c r="Z96" s="12" t="str">
        <f>+IF(Tabla43[[#This Row],[AGRUPACIONES]]=1,SUMIFS(Tabla43[TOTAL COBERTURA],Tabla43[ZONA DEFINITIVO],Tabla43[[#This Row],[ZONA DEFINITIVO]])," ")</f>
        <v xml:space="preserve"> </v>
      </c>
      <c r="AA96" s="12"/>
      <c r="AB96" s="51">
        <v>28839105</v>
      </c>
      <c r="AC96" s="37">
        <v>0.02</v>
      </c>
      <c r="AD96" s="38">
        <f>Tabla43[[#This Row],[VALOR ATENCIÓN (7 MESES)]]*Tabla43[[#This Row],[% CONTRAPARTIDA]]</f>
        <v>576782.1</v>
      </c>
      <c r="AE96" s="12"/>
      <c r="AF96" s="12">
        <f>COUNTIF($A$22:A96,A96)</f>
        <v>18</v>
      </c>
      <c r="AG96" s="51">
        <v>28839105</v>
      </c>
      <c r="AH96" s="38">
        <f>Tabla43[[#This Row],[VALOR CONTRAPARTIDA]]+Tabla43[[#This Row],[TOTAL APORTES ICBF]]</f>
        <v>29415887.100000001</v>
      </c>
      <c r="AI96" s="35" t="str">
        <f>+IF(Tabla43[[#This Row],[AGRUPACIONES]]=1,SUMIFS(Tabla43[TOTAL APORTES ICBF],Tabla43[ZONA DEFINITIVO],Tabla43[[#This Row],[ZONA DEFINITIVO]])," ")</f>
        <v xml:space="preserve"> </v>
      </c>
      <c r="AJ96" s="38"/>
      <c r="AK96" s="38"/>
      <c r="AL96" s="23"/>
      <c r="AM96" s="35">
        <f>VLOOKUP(Tabla43[[#This Row],[SERVICIO 2025]],$J$2:$V$16,5,0)*Tabla43[[#This Row],[TOTAL COBERTURA]]</f>
        <v>740640</v>
      </c>
      <c r="AN96" s="35">
        <f>VLOOKUP(Tabla43[[#This Row],[SERVICIO 2025]],$J$2:$V$16,6,0)*Tabla43[[#This Row],[TOTAL COBERTURA]]</f>
        <v>615435</v>
      </c>
      <c r="AO96" s="35">
        <f>VLOOKUP(Tabla43[[#This Row],[SERVICIO 2025]],$J$2:$V$16,8,0)*Tabla43[[#This Row],[TOTAL COBERTURA]]</f>
        <v>436500</v>
      </c>
      <c r="AP96" s="35">
        <f>VLOOKUP(Tabla43[[#This Row],[SERVICIO 2025]],$J$2:$V$16,3,0)*Tabla43[[#This Row],[TOTAL COBERTURA]]*7</f>
        <v>27046530</v>
      </c>
      <c r="AQ96" s="35"/>
      <c r="AR9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28839105</v>
      </c>
      <c r="AS96" s="35" t="str">
        <f>+IF(Tabla43[[#This Row],[AGRUPACIONES]]=1,SUMIFS(Tabla43[VALOR TOTAL],Tabla43[ZONA DEFINITIVO],Tabla43[[#This Row],[ZONA DEFINITIVO]])," ")</f>
        <v xml:space="preserve"> </v>
      </c>
      <c r="AT9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5040930</v>
      </c>
      <c r="AU96" s="35">
        <f>VLOOKUP(Tabla43[[#This Row],[SERVICIO 2025]],$J$2:$V$16,3,0)*Tabla43[[#This Row],[TOTAL COBERTURA]]+Tabla43[[#This Row],[VALOR RACION PREPARADA]]/7</f>
        <v>3863790</v>
      </c>
      <c r="AV96" s="35">
        <f>VLOOKUP(Tabla43[[#This Row],[SERVICIO 2025]],$J$2:$V$16,3,0)*Tabla43[[#This Row],[TOTAL COBERTURA]]+Tabla43[[#This Row],[VALOR RACION PREPARADA]]/7</f>
        <v>3863790</v>
      </c>
      <c r="AW96" s="35">
        <f>VLOOKUP(Tabla43[[#This Row],[SERVICIO 2025]],$J$2:$V$16,3,0)*Tabla43[[#This Row],[TOTAL COBERTURA]]+Tabla43[[#This Row],[VALOR RACION PREPARADA]]/7</f>
        <v>3863790</v>
      </c>
      <c r="AX96" s="35">
        <f>VLOOKUP(Tabla43[[#This Row],[SERVICIO 2025]],$J$2:$V$16,3,0)*Tabla43[[#This Row],[TOTAL COBERTURA]]+Tabla43[[#This Row],[VALOR RACION PREPARADA]]/7</f>
        <v>3863790</v>
      </c>
      <c r="AY96" s="35">
        <f>VLOOKUP(Tabla43[[#This Row],[SERVICIO 2025]],$J$2:$V$16,3,0)*Tabla43[[#This Row],[TOTAL COBERTURA]]+Tabla43[[#This Row],[VALOR RACION PREPARADA]]/7</f>
        <v>3863790</v>
      </c>
      <c r="AZ96" s="35">
        <f>VLOOKUP(Tabla43[[#This Row],[SERVICIO 2025]],$J$2:$V$16,3,0)*Tabla43[[#This Row],[TOTAL COBERTURA]]+Tabla43[[#This Row],[VALOR RACION PREPARADA]]/7+Tabla43[[#This Row],[VALOR FASE PREPARATORIA DE CIERRE]]</f>
        <v>4479225</v>
      </c>
      <c r="BA96" s="35"/>
      <c r="BB96" s="35">
        <f>SUM(Tabla43[[#This Row],[DESEMBOLSO 1]:[DESEMBOLSO 8]])</f>
        <v>28839105</v>
      </c>
      <c r="BC96" s="55"/>
      <c r="BD96" s="47" t="s">
        <v>97</v>
      </c>
      <c r="BE96" s="12" t="b">
        <f>EXACT(Tabla43[[#This Row],[TOTAL APORTES ICBF]],Tabla43[[#This Row],[VALOR TOTAL]])</f>
        <v>1</v>
      </c>
      <c r="BF96" s="23">
        <f>SUM(Tabla43[[#This Row],[VALOR FASE PREPARATORIA DE ALISTAMIENTO]:[VALOR RACION PREPARADA]])-Tabla43[[#This Row],[VALOR TOTAL]]</f>
        <v>0</v>
      </c>
      <c r="BG96" s="12" t="b">
        <f>EXACT(Tabla43[[#This Row],[VALOR TOTAL]],Tabla43[[#This Row],[TOTAL DESEMBOLSOS]])</f>
        <v>1</v>
      </c>
      <c r="BH96" s="29">
        <f>Tabla43[[#This Row],[TOTAL DESEMBOLSOS]]-Tabla43[[#This Row],[VALOR TOTAL]]</f>
        <v>0</v>
      </c>
      <c r="BJ96" t="s">
        <v>3924</v>
      </c>
    </row>
    <row r="97" spans="1:62" hidden="1">
      <c r="A97" s="13">
        <v>1935</v>
      </c>
      <c r="B97" s="13"/>
      <c r="C97" s="12" t="s">
        <v>87</v>
      </c>
      <c r="D97" s="12" t="s">
        <v>987</v>
      </c>
      <c r="E97" s="12" t="s">
        <v>1143</v>
      </c>
      <c r="F97" s="12" t="s">
        <v>18</v>
      </c>
      <c r="G97" s="12" t="s">
        <v>90</v>
      </c>
      <c r="H97" s="12" t="s">
        <v>4044</v>
      </c>
      <c r="I97" s="12">
        <v>51541143978</v>
      </c>
      <c r="J97" s="12" t="s">
        <v>4045</v>
      </c>
      <c r="K97" s="12">
        <v>1</v>
      </c>
      <c r="L97" s="12">
        <v>18</v>
      </c>
      <c r="M97" s="12"/>
      <c r="N97" s="13">
        <v>1935</v>
      </c>
      <c r="O97" s="12" t="s">
        <v>93</v>
      </c>
      <c r="P97" s="12"/>
      <c r="Q97" s="12"/>
      <c r="R97" s="12" t="s">
        <v>94</v>
      </c>
      <c r="S97" s="12">
        <v>10</v>
      </c>
      <c r="T97" s="12" t="s">
        <v>4009</v>
      </c>
      <c r="U97" s="12" t="s">
        <v>4010</v>
      </c>
      <c r="V97" s="12">
        <f>VLOOKUP(Tabla43[[#This Row],[ZONA DEFINITIVO]],Hoja1!$A$1:$D$129,3,0)</f>
        <v>229954</v>
      </c>
      <c r="W97" s="12">
        <f>VLOOKUP(Tabla43[[#This Row],[ZONA DEFINITIVO]],Hoja1!$A$1:$D$129,2,0)</f>
        <v>18594</v>
      </c>
      <c r="X97" s="12">
        <f>VLOOKUP(Tabla43[[#This Row],[ZONA DEFINITIVO]],Hoja1!$A$1:$D$129,4,0)</f>
        <v>117625</v>
      </c>
      <c r="Y97" s="12" t="str">
        <f>+IF(Tabla43[[#This Row],[AGRUPACIONES]]=1,SUMIFS(Tabla43[UDS],Tabla43[ZONA DEFINITIVO],Tabla43[[#This Row],[ZONA DEFINITIVO]])," ")</f>
        <v xml:space="preserve"> </v>
      </c>
      <c r="Z97" s="12" t="str">
        <f>+IF(Tabla43[[#This Row],[AGRUPACIONES]]=1,SUMIFS(Tabla43[TOTAL COBERTURA],Tabla43[ZONA DEFINITIVO],Tabla43[[#This Row],[ZONA DEFINITIVO]])," ")</f>
        <v xml:space="preserve"> </v>
      </c>
      <c r="AA97" s="12"/>
      <c r="AB97" s="51">
        <v>34606926</v>
      </c>
      <c r="AC97" s="37">
        <v>0.02</v>
      </c>
      <c r="AD97" s="38">
        <f>Tabla43[[#This Row],[VALOR ATENCIÓN (7 MESES)]]*Tabla43[[#This Row],[% CONTRAPARTIDA]]</f>
        <v>692138.52</v>
      </c>
      <c r="AE97" s="12"/>
      <c r="AF97" s="12">
        <f>COUNTIF($A$22:A97,A97)</f>
        <v>19</v>
      </c>
      <c r="AG97" s="51">
        <v>34606926</v>
      </c>
      <c r="AH97" s="38">
        <f>Tabla43[[#This Row],[VALOR CONTRAPARTIDA]]+Tabla43[[#This Row],[TOTAL APORTES ICBF]]</f>
        <v>35299064.520000003</v>
      </c>
      <c r="AI97" s="35" t="str">
        <f>+IF(Tabla43[[#This Row],[AGRUPACIONES]]=1,SUMIFS(Tabla43[TOTAL APORTES ICBF],Tabla43[ZONA DEFINITIVO],Tabla43[[#This Row],[ZONA DEFINITIVO]])," ")</f>
        <v xml:space="preserve"> </v>
      </c>
      <c r="AJ97" s="38"/>
      <c r="AK97" s="38"/>
      <c r="AL97" s="23"/>
      <c r="AM97" s="35">
        <f>VLOOKUP(Tabla43[[#This Row],[SERVICIO 2025]],$J$2:$V$16,5,0)*Tabla43[[#This Row],[TOTAL COBERTURA]]</f>
        <v>888768</v>
      </c>
      <c r="AN97" s="35">
        <f>VLOOKUP(Tabla43[[#This Row],[SERVICIO 2025]],$J$2:$V$16,6,0)*Tabla43[[#This Row],[TOTAL COBERTURA]]</f>
        <v>738522</v>
      </c>
      <c r="AO97" s="35">
        <f>VLOOKUP(Tabla43[[#This Row],[SERVICIO 2025]],$J$2:$V$16,8,0)*Tabla43[[#This Row],[TOTAL COBERTURA]]</f>
        <v>523800</v>
      </c>
      <c r="AP97" s="35">
        <f>VLOOKUP(Tabla43[[#This Row],[SERVICIO 2025]],$J$2:$V$16,3,0)*Tabla43[[#This Row],[TOTAL COBERTURA]]*7</f>
        <v>32455836</v>
      </c>
      <c r="AQ97" s="35"/>
      <c r="AR9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34606926</v>
      </c>
      <c r="AS97" s="35" t="str">
        <f>+IF(Tabla43[[#This Row],[AGRUPACIONES]]=1,SUMIFS(Tabla43[VALOR TOTAL],Tabla43[ZONA DEFINITIVO],Tabla43[[#This Row],[ZONA DEFINITIVO]])," ")</f>
        <v xml:space="preserve"> </v>
      </c>
      <c r="AT9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6049116</v>
      </c>
      <c r="AU97" s="35">
        <f>VLOOKUP(Tabla43[[#This Row],[SERVICIO 2025]],$J$2:$V$16,3,0)*Tabla43[[#This Row],[TOTAL COBERTURA]]+Tabla43[[#This Row],[VALOR RACION PREPARADA]]/7</f>
        <v>4636548</v>
      </c>
      <c r="AV97" s="35">
        <f>VLOOKUP(Tabla43[[#This Row],[SERVICIO 2025]],$J$2:$V$16,3,0)*Tabla43[[#This Row],[TOTAL COBERTURA]]+Tabla43[[#This Row],[VALOR RACION PREPARADA]]/7</f>
        <v>4636548</v>
      </c>
      <c r="AW97" s="35">
        <f>VLOOKUP(Tabla43[[#This Row],[SERVICIO 2025]],$J$2:$V$16,3,0)*Tabla43[[#This Row],[TOTAL COBERTURA]]+Tabla43[[#This Row],[VALOR RACION PREPARADA]]/7</f>
        <v>4636548</v>
      </c>
      <c r="AX97" s="35">
        <f>VLOOKUP(Tabla43[[#This Row],[SERVICIO 2025]],$J$2:$V$16,3,0)*Tabla43[[#This Row],[TOTAL COBERTURA]]+Tabla43[[#This Row],[VALOR RACION PREPARADA]]/7</f>
        <v>4636548</v>
      </c>
      <c r="AY97" s="35">
        <f>VLOOKUP(Tabla43[[#This Row],[SERVICIO 2025]],$J$2:$V$16,3,0)*Tabla43[[#This Row],[TOTAL COBERTURA]]+Tabla43[[#This Row],[VALOR RACION PREPARADA]]/7</f>
        <v>4636548</v>
      </c>
      <c r="AZ97" s="35">
        <f>VLOOKUP(Tabla43[[#This Row],[SERVICIO 2025]],$J$2:$V$16,3,0)*Tabla43[[#This Row],[TOTAL COBERTURA]]+Tabla43[[#This Row],[VALOR RACION PREPARADA]]/7+Tabla43[[#This Row],[VALOR FASE PREPARATORIA DE CIERRE]]</f>
        <v>5375070</v>
      </c>
      <c r="BA97" s="35"/>
      <c r="BB97" s="35">
        <f>SUM(Tabla43[[#This Row],[DESEMBOLSO 1]:[DESEMBOLSO 8]])</f>
        <v>34606926</v>
      </c>
      <c r="BC97" s="55"/>
      <c r="BD97" s="47" t="s">
        <v>97</v>
      </c>
      <c r="BE97" s="12" t="b">
        <f>EXACT(Tabla43[[#This Row],[TOTAL APORTES ICBF]],Tabla43[[#This Row],[VALOR TOTAL]])</f>
        <v>1</v>
      </c>
      <c r="BF97" s="23">
        <f>SUM(Tabla43[[#This Row],[VALOR FASE PREPARATORIA DE ALISTAMIENTO]:[VALOR RACION PREPARADA]])-Tabla43[[#This Row],[VALOR TOTAL]]</f>
        <v>0</v>
      </c>
      <c r="BG97" s="12" t="b">
        <f>EXACT(Tabla43[[#This Row],[VALOR TOTAL]],Tabla43[[#This Row],[TOTAL DESEMBOLSOS]])</f>
        <v>1</v>
      </c>
      <c r="BH97" s="29">
        <f>Tabla43[[#This Row],[TOTAL DESEMBOLSOS]]-Tabla43[[#This Row],[VALOR TOTAL]]</f>
        <v>0</v>
      </c>
      <c r="BJ97" t="s">
        <v>3924</v>
      </c>
    </row>
    <row r="98" spans="1:62" hidden="1">
      <c r="A98" s="13">
        <v>1935</v>
      </c>
      <c r="B98" s="13"/>
      <c r="C98" s="12" t="s">
        <v>87</v>
      </c>
      <c r="D98" s="12" t="s">
        <v>987</v>
      </c>
      <c r="E98" s="12" t="s">
        <v>1143</v>
      </c>
      <c r="F98" s="12" t="s">
        <v>18</v>
      </c>
      <c r="G98" s="12" t="s">
        <v>90</v>
      </c>
      <c r="H98" s="12" t="s">
        <v>1215</v>
      </c>
      <c r="I98" s="12">
        <v>51541143979</v>
      </c>
      <c r="J98" s="12" t="s">
        <v>4046</v>
      </c>
      <c r="K98" s="12">
        <v>1</v>
      </c>
      <c r="L98" s="12">
        <v>14</v>
      </c>
      <c r="M98" s="12"/>
      <c r="N98" s="13">
        <v>1935</v>
      </c>
      <c r="O98" s="12" t="s">
        <v>93</v>
      </c>
      <c r="P98" s="12"/>
      <c r="Q98" s="12"/>
      <c r="R98" s="12" t="s">
        <v>94</v>
      </c>
      <c r="S98" s="12">
        <v>10</v>
      </c>
      <c r="T98" s="12" t="s">
        <v>4009</v>
      </c>
      <c r="U98" s="12" t="s">
        <v>4010</v>
      </c>
      <c r="V98" s="12">
        <f>VLOOKUP(Tabla43[[#This Row],[ZONA DEFINITIVO]],Hoja1!$A$1:$D$129,3,0)</f>
        <v>229954</v>
      </c>
      <c r="W98" s="12">
        <f>VLOOKUP(Tabla43[[#This Row],[ZONA DEFINITIVO]],Hoja1!$A$1:$D$129,2,0)</f>
        <v>18594</v>
      </c>
      <c r="X98" s="12">
        <f>VLOOKUP(Tabla43[[#This Row],[ZONA DEFINITIVO]],Hoja1!$A$1:$D$129,4,0)</f>
        <v>117625</v>
      </c>
      <c r="Y98" s="12" t="str">
        <f>+IF(Tabla43[[#This Row],[AGRUPACIONES]]=1,SUMIFS(Tabla43[UDS],Tabla43[ZONA DEFINITIVO],Tabla43[[#This Row],[ZONA DEFINITIVO]])," ")</f>
        <v xml:space="preserve"> </v>
      </c>
      <c r="Z98" s="12" t="str">
        <f>+IF(Tabla43[[#This Row],[AGRUPACIONES]]=1,SUMIFS(Tabla43[TOTAL COBERTURA],Tabla43[ZONA DEFINITIVO],Tabla43[[#This Row],[ZONA DEFINITIVO]])," ")</f>
        <v xml:space="preserve"> </v>
      </c>
      <c r="AA98" s="12"/>
      <c r="AB98" s="51">
        <v>26916498</v>
      </c>
      <c r="AC98" s="37">
        <v>0.02</v>
      </c>
      <c r="AD98" s="38">
        <f>Tabla43[[#This Row],[VALOR ATENCIÓN (7 MESES)]]*Tabla43[[#This Row],[% CONTRAPARTIDA]]</f>
        <v>538329.96</v>
      </c>
      <c r="AE98" s="12"/>
      <c r="AF98" s="12">
        <f>COUNTIF($A$22:A98,A98)</f>
        <v>20</v>
      </c>
      <c r="AG98" s="51">
        <v>26916498</v>
      </c>
      <c r="AH98" s="38">
        <f>Tabla43[[#This Row],[VALOR CONTRAPARTIDA]]+Tabla43[[#This Row],[TOTAL APORTES ICBF]]</f>
        <v>27454827.960000001</v>
      </c>
      <c r="AI98" s="35" t="str">
        <f>+IF(Tabla43[[#This Row],[AGRUPACIONES]]=1,SUMIFS(Tabla43[TOTAL APORTES ICBF],Tabla43[ZONA DEFINITIVO],Tabla43[[#This Row],[ZONA DEFINITIVO]])," ")</f>
        <v xml:space="preserve"> </v>
      </c>
      <c r="AJ98" s="38"/>
      <c r="AK98" s="38"/>
      <c r="AL98" s="23"/>
      <c r="AM98" s="35">
        <f>VLOOKUP(Tabla43[[#This Row],[SERVICIO 2025]],$J$2:$V$16,5,0)*Tabla43[[#This Row],[TOTAL COBERTURA]]</f>
        <v>691264</v>
      </c>
      <c r="AN98" s="35">
        <f>VLOOKUP(Tabla43[[#This Row],[SERVICIO 2025]],$J$2:$V$16,6,0)*Tabla43[[#This Row],[TOTAL COBERTURA]]</f>
        <v>574406</v>
      </c>
      <c r="AO98" s="35">
        <f>VLOOKUP(Tabla43[[#This Row],[SERVICIO 2025]],$J$2:$V$16,8,0)*Tabla43[[#This Row],[TOTAL COBERTURA]]</f>
        <v>407400</v>
      </c>
      <c r="AP98" s="35">
        <f>VLOOKUP(Tabla43[[#This Row],[SERVICIO 2025]],$J$2:$V$16,3,0)*Tabla43[[#This Row],[TOTAL COBERTURA]]*7</f>
        <v>25243428</v>
      </c>
      <c r="AQ98" s="35"/>
      <c r="AR9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26916498</v>
      </c>
      <c r="AS98" s="35" t="str">
        <f>+IF(Tabla43[[#This Row],[AGRUPACIONES]]=1,SUMIFS(Tabla43[VALOR TOTAL],Tabla43[ZONA DEFINITIVO],Tabla43[[#This Row],[ZONA DEFINITIVO]])," ")</f>
        <v xml:space="preserve"> </v>
      </c>
      <c r="AT9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4704868</v>
      </c>
      <c r="AU98" s="35">
        <f>VLOOKUP(Tabla43[[#This Row],[SERVICIO 2025]],$J$2:$V$16,3,0)*Tabla43[[#This Row],[TOTAL COBERTURA]]+Tabla43[[#This Row],[VALOR RACION PREPARADA]]/7</f>
        <v>3606204</v>
      </c>
      <c r="AV98" s="35">
        <f>VLOOKUP(Tabla43[[#This Row],[SERVICIO 2025]],$J$2:$V$16,3,0)*Tabla43[[#This Row],[TOTAL COBERTURA]]+Tabla43[[#This Row],[VALOR RACION PREPARADA]]/7</f>
        <v>3606204</v>
      </c>
      <c r="AW98" s="35">
        <f>VLOOKUP(Tabla43[[#This Row],[SERVICIO 2025]],$J$2:$V$16,3,0)*Tabla43[[#This Row],[TOTAL COBERTURA]]+Tabla43[[#This Row],[VALOR RACION PREPARADA]]/7</f>
        <v>3606204</v>
      </c>
      <c r="AX98" s="35">
        <f>VLOOKUP(Tabla43[[#This Row],[SERVICIO 2025]],$J$2:$V$16,3,0)*Tabla43[[#This Row],[TOTAL COBERTURA]]+Tabla43[[#This Row],[VALOR RACION PREPARADA]]/7</f>
        <v>3606204</v>
      </c>
      <c r="AY98" s="35">
        <f>VLOOKUP(Tabla43[[#This Row],[SERVICIO 2025]],$J$2:$V$16,3,0)*Tabla43[[#This Row],[TOTAL COBERTURA]]+Tabla43[[#This Row],[VALOR RACION PREPARADA]]/7</f>
        <v>3606204</v>
      </c>
      <c r="AZ98" s="35">
        <f>VLOOKUP(Tabla43[[#This Row],[SERVICIO 2025]],$J$2:$V$16,3,0)*Tabla43[[#This Row],[TOTAL COBERTURA]]+Tabla43[[#This Row],[VALOR RACION PREPARADA]]/7+Tabla43[[#This Row],[VALOR FASE PREPARATORIA DE CIERRE]]</f>
        <v>4180610</v>
      </c>
      <c r="BA98" s="35"/>
      <c r="BB98" s="35">
        <f>SUM(Tabla43[[#This Row],[DESEMBOLSO 1]:[DESEMBOLSO 8]])</f>
        <v>26916498</v>
      </c>
      <c r="BC98" s="55"/>
      <c r="BD98" s="47" t="s">
        <v>97</v>
      </c>
      <c r="BE98" s="12" t="b">
        <f>EXACT(Tabla43[[#This Row],[TOTAL APORTES ICBF]],Tabla43[[#This Row],[VALOR TOTAL]])</f>
        <v>1</v>
      </c>
      <c r="BF98" s="23">
        <f>SUM(Tabla43[[#This Row],[VALOR FASE PREPARATORIA DE ALISTAMIENTO]:[VALOR RACION PREPARADA]])-Tabla43[[#This Row],[VALOR TOTAL]]</f>
        <v>0</v>
      </c>
      <c r="BG98" s="12" t="b">
        <f>EXACT(Tabla43[[#This Row],[VALOR TOTAL]],Tabla43[[#This Row],[TOTAL DESEMBOLSOS]])</f>
        <v>1</v>
      </c>
      <c r="BH98" s="29">
        <f>Tabla43[[#This Row],[TOTAL DESEMBOLSOS]]-Tabla43[[#This Row],[VALOR TOTAL]]</f>
        <v>0</v>
      </c>
      <c r="BJ98" t="s">
        <v>3924</v>
      </c>
    </row>
    <row r="99" spans="1:62" hidden="1">
      <c r="A99" s="13">
        <v>1935</v>
      </c>
      <c r="B99" s="13"/>
      <c r="C99" s="12" t="s">
        <v>87</v>
      </c>
      <c r="D99" s="12" t="s">
        <v>987</v>
      </c>
      <c r="E99" s="12" t="s">
        <v>1143</v>
      </c>
      <c r="F99" s="12" t="s">
        <v>18</v>
      </c>
      <c r="G99" s="12" t="s">
        <v>90</v>
      </c>
      <c r="H99" s="12" t="s">
        <v>4047</v>
      </c>
      <c r="I99" s="12">
        <v>51541143980</v>
      </c>
      <c r="J99" s="12" t="s">
        <v>4048</v>
      </c>
      <c r="K99" s="12">
        <v>1</v>
      </c>
      <c r="L99" s="12">
        <v>14</v>
      </c>
      <c r="M99" s="12"/>
      <c r="N99" s="13">
        <v>1935</v>
      </c>
      <c r="O99" s="12" t="s">
        <v>93</v>
      </c>
      <c r="P99" s="12"/>
      <c r="Q99" s="12"/>
      <c r="R99" s="12" t="s">
        <v>94</v>
      </c>
      <c r="S99" s="12">
        <v>10</v>
      </c>
      <c r="T99" s="12" t="s">
        <v>4009</v>
      </c>
      <c r="U99" s="12" t="s">
        <v>4010</v>
      </c>
      <c r="V99" s="12">
        <f>VLOOKUP(Tabla43[[#This Row],[ZONA DEFINITIVO]],Hoja1!$A$1:$D$129,3,0)</f>
        <v>229954</v>
      </c>
      <c r="W99" s="12">
        <f>VLOOKUP(Tabla43[[#This Row],[ZONA DEFINITIVO]],Hoja1!$A$1:$D$129,2,0)</f>
        <v>18594</v>
      </c>
      <c r="X99" s="12">
        <f>VLOOKUP(Tabla43[[#This Row],[ZONA DEFINITIVO]],Hoja1!$A$1:$D$129,4,0)</f>
        <v>117625</v>
      </c>
      <c r="Y99" s="12" t="str">
        <f>+IF(Tabla43[[#This Row],[AGRUPACIONES]]=1,SUMIFS(Tabla43[UDS],Tabla43[ZONA DEFINITIVO],Tabla43[[#This Row],[ZONA DEFINITIVO]])," ")</f>
        <v xml:space="preserve"> </v>
      </c>
      <c r="Z99" s="12" t="str">
        <f>+IF(Tabla43[[#This Row],[AGRUPACIONES]]=1,SUMIFS(Tabla43[TOTAL COBERTURA],Tabla43[ZONA DEFINITIVO],Tabla43[[#This Row],[ZONA DEFINITIVO]])," ")</f>
        <v xml:space="preserve"> </v>
      </c>
      <c r="AA99" s="12"/>
      <c r="AB99" s="51">
        <v>26916498</v>
      </c>
      <c r="AC99" s="37">
        <v>0.02</v>
      </c>
      <c r="AD99" s="38">
        <f>Tabla43[[#This Row],[VALOR ATENCIÓN (7 MESES)]]*Tabla43[[#This Row],[% CONTRAPARTIDA]]</f>
        <v>538329.96</v>
      </c>
      <c r="AE99" s="12"/>
      <c r="AF99" s="12">
        <f>COUNTIF($A$22:A99,A99)</f>
        <v>21</v>
      </c>
      <c r="AG99" s="51">
        <v>26916498</v>
      </c>
      <c r="AH99" s="38">
        <f>Tabla43[[#This Row],[VALOR CONTRAPARTIDA]]+Tabla43[[#This Row],[TOTAL APORTES ICBF]]</f>
        <v>27454827.960000001</v>
      </c>
      <c r="AI99" s="35" t="str">
        <f>+IF(Tabla43[[#This Row],[AGRUPACIONES]]=1,SUMIFS(Tabla43[TOTAL APORTES ICBF],Tabla43[ZONA DEFINITIVO],Tabla43[[#This Row],[ZONA DEFINITIVO]])," ")</f>
        <v xml:space="preserve"> </v>
      </c>
      <c r="AJ99" s="38"/>
      <c r="AK99" s="38"/>
      <c r="AL99" s="23"/>
      <c r="AM99" s="35">
        <f>VLOOKUP(Tabla43[[#This Row],[SERVICIO 2025]],$J$2:$V$16,5,0)*Tabla43[[#This Row],[TOTAL COBERTURA]]</f>
        <v>691264</v>
      </c>
      <c r="AN99" s="35">
        <f>VLOOKUP(Tabla43[[#This Row],[SERVICIO 2025]],$J$2:$V$16,6,0)*Tabla43[[#This Row],[TOTAL COBERTURA]]</f>
        <v>574406</v>
      </c>
      <c r="AO99" s="35">
        <f>VLOOKUP(Tabla43[[#This Row],[SERVICIO 2025]],$J$2:$V$16,8,0)*Tabla43[[#This Row],[TOTAL COBERTURA]]</f>
        <v>407400</v>
      </c>
      <c r="AP99" s="35">
        <f>VLOOKUP(Tabla43[[#This Row],[SERVICIO 2025]],$J$2:$V$16,3,0)*Tabla43[[#This Row],[TOTAL COBERTURA]]*7</f>
        <v>25243428</v>
      </c>
      <c r="AQ99" s="35"/>
      <c r="AR9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26916498</v>
      </c>
      <c r="AS99" s="35" t="str">
        <f>+IF(Tabla43[[#This Row],[AGRUPACIONES]]=1,SUMIFS(Tabla43[VALOR TOTAL],Tabla43[ZONA DEFINITIVO],Tabla43[[#This Row],[ZONA DEFINITIVO]])," ")</f>
        <v xml:space="preserve"> </v>
      </c>
      <c r="AT9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4704868</v>
      </c>
      <c r="AU99" s="35">
        <f>VLOOKUP(Tabla43[[#This Row],[SERVICIO 2025]],$J$2:$V$16,3,0)*Tabla43[[#This Row],[TOTAL COBERTURA]]+Tabla43[[#This Row],[VALOR RACION PREPARADA]]/7</f>
        <v>3606204</v>
      </c>
      <c r="AV99" s="35">
        <f>VLOOKUP(Tabla43[[#This Row],[SERVICIO 2025]],$J$2:$V$16,3,0)*Tabla43[[#This Row],[TOTAL COBERTURA]]+Tabla43[[#This Row],[VALOR RACION PREPARADA]]/7</f>
        <v>3606204</v>
      </c>
      <c r="AW99" s="35">
        <f>VLOOKUP(Tabla43[[#This Row],[SERVICIO 2025]],$J$2:$V$16,3,0)*Tabla43[[#This Row],[TOTAL COBERTURA]]+Tabla43[[#This Row],[VALOR RACION PREPARADA]]/7</f>
        <v>3606204</v>
      </c>
      <c r="AX99" s="35">
        <f>VLOOKUP(Tabla43[[#This Row],[SERVICIO 2025]],$J$2:$V$16,3,0)*Tabla43[[#This Row],[TOTAL COBERTURA]]+Tabla43[[#This Row],[VALOR RACION PREPARADA]]/7</f>
        <v>3606204</v>
      </c>
      <c r="AY99" s="35">
        <f>VLOOKUP(Tabla43[[#This Row],[SERVICIO 2025]],$J$2:$V$16,3,0)*Tabla43[[#This Row],[TOTAL COBERTURA]]+Tabla43[[#This Row],[VALOR RACION PREPARADA]]/7</f>
        <v>3606204</v>
      </c>
      <c r="AZ99" s="35">
        <f>VLOOKUP(Tabla43[[#This Row],[SERVICIO 2025]],$J$2:$V$16,3,0)*Tabla43[[#This Row],[TOTAL COBERTURA]]+Tabla43[[#This Row],[VALOR RACION PREPARADA]]/7+Tabla43[[#This Row],[VALOR FASE PREPARATORIA DE CIERRE]]</f>
        <v>4180610</v>
      </c>
      <c r="BA99" s="35"/>
      <c r="BB99" s="35">
        <f>SUM(Tabla43[[#This Row],[DESEMBOLSO 1]:[DESEMBOLSO 8]])</f>
        <v>26916498</v>
      </c>
      <c r="BC99" s="55"/>
      <c r="BD99" s="47" t="s">
        <v>97</v>
      </c>
      <c r="BE99" s="12" t="b">
        <f>EXACT(Tabla43[[#This Row],[TOTAL APORTES ICBF]],Tabla43[[#This Row],[VALOR TOTAL]])</f>
        <v>1</v>
      </c>
      <c r="BF99" s="23">
        <f>SUM(Tabla43[[#This Row],[VALOR FASE PREPARATORIA DE ALISTAMIENTO]:[VALOR RACION PREPARADA]])-Tabla43[[#This Row],[VALOR TOTAL]]</f>
        <v>0</v>
      </c>
      <c r="BG99" s="12" t="b">
        <f>EXACT(Tabla43[[#This Row],[VALOR TOTAL]],Tabla43[[#This Row],[TOTAL DESEMBOLSOS]])</f>
        <v>1</v>
      </c>
      <c r="BH99" s="29">
        <f>Tabla43[[#This Row],[TOTAL DESEMBOLSOS]]-Tabla43[[#This Row],[VALOR TOTAL]]</f>
        <v>0</v>
      </c>
      <c r="BJ99" t="s">
        <v>3924</v>
      </c>
    </row>
    <row r="100" spans="1:62" hidden="1">
      <c r="A100" s="13">
        <v>1935</v>
      </c>
      <c r="B100" s="13"/>
      <c r="C100" s="12" t="s">
        <v>87</v>
      </c>
      <c r="D100" s="12" t="s">
        <v>987</v>
      </c>
      <c r="E100" s="12" t="s">
        <v>1143</v>
      </c>
      <c r="F100" s="12" t="s">
        <v>18</v>
      </c>
      <c r="G100" s="12" t="s">
        <v>90</v>
      </c>
      <c r="H100" s="12" t="s">
        <v>4049</v>
      </c>
      <c r="I100" s="12">
        <v>51541143982</v>
      </c>
      <c r="J100" s="12" t="s">
        <v>4050</v>
      </c>
      <c r="K100" s="12">
        <v>1</v>
      </c>
      <c r="L100" s="12">
        <v>34</v>
      </c>
      <c r="M100" s="12"/>
      <c r="N100" s="13">
        <v>1935</v>
      </c>
      <c r="O100" s="12" t="s">
        <v>93</v>
      </c>
      <c r="P100" s="12"/>
      <c r="Q100" s="12"/>
      <c r="R100" s="12" t="s">
        <v>94</v>
      </c>
      <c r="S100" s="12">
        <v>10</v>
      </c>
      <c r="T100" s="12" t="s">
        <v>4009</v>
      </c>
      <c r="U100" s="12" t="s">
        <v>4010</v>
      </c>
      <c r="V100" s="12">
        <f>VLOOKUP(Tabla43[[#This Row],[ZONA DEFINITIVO]],Hoja1!$A$1:$D$129,3,0)</f>
        <v>229954</v>
      </c>
      <c r="W100" s="12">
        <f>VLOOKUP(Tabla43[[#This Row],[ZONA DEFINITIVO]],Hoja1!$A$1:$D$129,2,0)</f>
        <v>18594</v>
      </c>
      <c r="X100" s="12">
        <f>VLOOKUP(Tabla43[[#This Row],[ZONA DEFINITIVO]],Hoja1!$A$1:$D$129,4,0)</f>
        <v>117625</v>
      </c>
      <c r="Y100" s="12" t="str">
        <f>+IF(Tabla43[[#This Row],[AGRUPACIONES]]=1,SUMIFS(Tabla43[UDS],Tabla43[ZONA DEFINITIVO],Tabla43[[#This Row],[ZONA DEFINITIVO]])," ")</f>
        <v xml:space="preserve"> </v>
      </c>
      <c r="Z100" s="12" t="str">
        <f>+IF(Tabla43[[#This Row],[AGRUPACIONES]]=1,SUMIFS(Tabla43[TOTAL COBERTURA],Tabla43[ZONA DEFINITIVO],Tabla43[[#This Row],[ZONA DEFINITIVO]])," ")</f>
        <v xml:space="preserve"> </v>
      </c>
      <c r="AA100" s="12"/>
      <c r="AB100" s="51">
        <v>65368638</v>
      </c>
      <c r="AC100" s="37">
        <v>0.02</v>
      </c>
      <c r="AD100" s="38">
        <f>Tabla43[[#This Row],[VALOR ATENCIÓN (7 MESES)]]*Tabla43[[#This Row],[% CONTRAPARTIDA]]</f>
        <v>1307372.76</v>
      </c>
      <c r="AE100" s="12"/>
      <c r="AF100" s="12">
        <f>COUNTIF($A$22:A100,A100)</f>
        <v>22</v>
      </c>
      <c r="AG100" s="51">
        <v>65368638</v>
      </c>
      <c r="AH100" s="38">
        <f>Tabla43[[#This Row],[VALOR CONTRAPARTIDA]]+Tabla43[[#This Row],[TOTAL APORTES ICBF]]</f>
        <v>66676010.759999998</v>
      </c>
      <c r="AI100" s="35" t="str">
        <f>+IF(Tabla43[[#This Row],[AGRUPACIONES]]=1,SUMIFS(Tabla43[TOTAL APORTES ICBF],Tabla43[ZONA DEFINITIVO],Tabla43[[#This Row],[ZONA DEFINITIVO]])," ")</f>
        <v xml:space="preserve"> </v>
      </c>
      <c r="AJ100" s="38"/>
      <c r="AK100" s="38"/>
      <c r="AL100" s="23"/>
      <c r="AM100" s="35">
        <f>VLOOKUP(Tabla43[[#This Row],[SERVICIO 2025]],$J$2:$V$16,5,0)*Tabla43[[#This Row],[TOTAL COBERTURA]]</f>
        <v>1678784</v>
      </c>
      <c r="AN100" s="35">
        <f>VLOOKUP(Tabla43[[#This Row],[SERVICIO 2025]],$J$2:$V$16,6,0)*Tabla43[[#This Row],[TOTAL COBERTURA]]</f>
        <v>1394986</v>
      </c>
      <c r="AO100" s="35">
        <f>VLOOKUP(Tabla43[[#This Row],[SERVICIO 2025]],$J$2:$V$16,8,0)*Tabla43[[#This Row],[TOTAL COBERTURA]]</f>
        <v>989400</v>
      </c>
      <c r="AP100" s="35">
        <f>VLOOKUP(Tabla43[[#This Row],[SERVICIO 2025]],$J$2:$V$16,3,0)*Tabla43[[#This Row],[TOTAL COBERTURA]]*7</f>
        <v>61305468</v>
      </c>
      <c r="AQ100" s="35"/>
      <c r="AR10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65368638</v>
      </c>
      <c r="AS100" s="35" t="str">
        <f>+IF(Tabla43[[#This Row],[AGRUPACIONES]]=1,SUMIFS(Tabla43[VALOR TOTAL],Tabla43[ZONA DEFINITIVO],Tabla43[[#This Row],[ZONA DEFINITIVO]])," ")</f>
        <v xml:space="preserve"> </v>
      </c>
      <c r="AT10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11426108</v>
      </c>
      <c r="AU100" s="35">
        <f>VLOOKUP(Tabla43[[#This Row],[SERVICIO 2025]],$J$2:$V$16,3,0)*Tabla43[[#This Row],[TOTAL COBERTURA]]+Tabla43[[#This Row],[VALOR RACION PREPARADA]]/7</f>
        <v>8757924</v>
      </c>
      <c r="AV100" s="35">
        <f>VLOOKUP(Tabla43[[#This Row],[SERVICIO 2025]],$J$2:$V$16,3,0)*Tabla43[[#This Row],[TOTAL COBERTURA]]+Tabla43[[#This Row],[VALOR RACION PREPARADA]]/7</f>
        <v>8757924</v>
      </c>
      <c r="AW100" s="35">
        <f>VLOOKUP(Tabla43[[#This Row],[SERVICIO 2025]],$J$2:$V$16,3,0)*Tabla43[[#This Row],[TOTAL COBERTURA]]+Tabla43[[#This Row],[VALOR RACION PREPARADA]]/7</f>
        <v>8757924</v>
      </c>
      <c r="AX100" s="35">
        <f>VLOOKUP(Tabla43[[#This Row],[SERVICIO 2025]],$J$2:$V$16,3,0)*Tabla43[[#This Row],[TOTAL COBERTURA]]+Tabla43[[#This Row],[VALOR RACION PREPARADA]]/7</f>
        <v>8757924</v>
      </c>
      <c r="AY100" s="35">
        <f>VLOOKUP(Tabla43[[#This Row],[SERVICIO 2025]],$J$2:$V$16,3,0)*Tabla43[[#This Row],[TOTAL COBERTURA]]+Tabla43[[#This Row],[VALOR RACION PREPARADA]]/7</f>
        <v>8757924</v>
      </c>
      <c r="AZ100" s="35">
        <f>VLOOKUP(Tabla43[[#This Row],[SERVICIO 2025]],$J$2:$V$16,3,0)*Tabla43[[#This Row],[TOTAL COBERTURA]]+Tabla43[[#This Row],[VALOR RACION PREPARADA]]/7+Tabla43[[#This Row],[VALOR FASE PREPARATORIA DE CIERRE]]</f>
        <v>10152910</v>
      </c>
      <c r="BA100" s="35"/>
      <c r="BB100" s="35">
        <f>SUM(Tabla43[[#This Row],[DESEMBOLSO 1]:[DESEMBOLSO 8]])</f>
        <v>65368638</v>
      </c>
      <c r="BC100" s="55"/>
      <c r="BD100" s="47" t="s">
        <v>97</v>
      </c>
      <c r="BE100" s="12" t="b">
        <f>EXACT(Tabla43[[#This Row],[TOTAL APORTES ICBF]],Tabla43[[#This Row],[VALOR TOTAL]])</f>
        <v>1</v>
      </c>
      <c r="BF100" s="23">
        <f>SUM(Tabla43[[#This Row],[VALOR FASE PREPARATORIA DE ALISTAMIENTO]:[VALOR RACION PREPARADA]])-Tabla43[[#This Row],[VALOR TOTAL]]</f>
        <v>0</v>
      </c>
      <c r="BG100" s="12" t="b">
        <f>EXACT(Tabla43[[#This Row],[VALOR TOTAL]],Tabla43[[#This Row],[TOTAL DESEMBOLSOS]])</f>
        <v>1</v>
      </c>
      <c r="BH100" s="29">
        <f>Tabla43[[#This Row],[TOTAL DESEMBOLSOS]]-Tabla43[[#This Row],[VALOR TOTAL]]</f>
        <v>0</v>
      </c>
      <c r="BJ100" t="s">
        <v>3924</v>
      </c>
    </row>
    <row r="101" spans="1:62" hidden="1">
      <c r="A101" s="13">
        <v>1935</v>
      </c>
      <c r="B101" s="13"/>
      <c r="C101" s="12" t="s">
        <v>87</v>
      </c>
      <c r="D101" s="12" t="s">
        <v>987</v>
      </c>
      <c r="E101" s="12" t="s">
        <v>1143</v>
      </c>
      <c r="F101" s="12" t="s">
        <v>18</v>
      </c>
      <c r="G101" s="12" t="s">
        <v>90</v>
      </c>
      <c r="H101" s="12" t="s">
        <v>4051</v>
      </c>
      <c r="I101" s="12">
        <v>51541143983</v>
      </c>
      <c r="J101" s="12" t="s">
        <v>4052</v>
      </c>
      <c r="K101" s="12">
        <v>1</v>
      </c>
      <c r="L101" s="12">
        <v>20</v>
      </c>
      <c r="M101" s="12"/>
      <c r="N101" s="13">
        <v>1935</v>
      </c>
      <c r="O101" s="12" t="s">
        <v>93</v>
      </c>
      <c r="P101" s="12"/>
      <c r="Q101" s="12"/>
      <c r="R101" s="12" t="s">
        <v>94</v>
      </c>
      <c r="S101" s="12">
        <v>10</v>
      </c>
      <c r="T101" s="12" t="s">
        <v>4009</v>
      </c>
      <c r="U101" s="12" t="s">
        <v>4010</v>
      </c>
      <c r="V101" s="12">
        <f>VLOOKUP(Tabla43[[#This Row],[ZONA DEFINITIVO]],Hoja1!$A$1:$D$129,3,0)</f>
        <v>229954</v>
      </c>
      <c r="W101" s="12">
        <f>VLOOKUP(Tabla43[[#This Row],[ZONA DEFINITIVO]],Hoja1!$A$1:$D$129,2,0)</f>
        <v>18594</v>
      </c>
      <c r="X101" s="12">
        <f>VLOOKUP(Tabla43[[#This Row],[ZONA DEFINITIVO]],Hoja1!$A$1:$D$129,4,0)</f>
        <v>117625</v>
      </c>
      <c r="Y101" s="12" t="str">
        <f>+IF(Tabla43[[#This Row],[AGRUPACIONES]]=1,SUMIFS(Tabla43[UDS],Tabla43[ZONA DEFINITIVO],Tabla43[[#This Row],[ZONA DEFINITIVO]])," ")</f>
        <v xml:space="preserve"> </v>
      </c>
      <c r="Z101" s="12" t="str">
        <f>+IF(Tabla43[[#This Row],[AGRUPACIONES]]=1,SUMIFS(Tabla43[TOTAL COBERTURA],Tabla43[ZONA DEFINITIVO],Tabla43[[#This Row],[ZONA DEFINITIVO]])," ")</f>
        <v xml:space="preserve"> </v>
      </c>
      <c r="AA101" s="12"/>
      <c r="AB101" s="51">
        <v>38452140</v>
      </c>
      <c r="AC101" s="37">
        <v>0.02</v>
      </c>
      <c r="AD101" s="38">
        <f>Tabla43[[#This Row],[VALOR ATENCIÓN (7 MESES)]]*Tabla43[[#This Row],[% CONTRAPARTIDA]]</f>
        <v>769042.8</v>
      </c>
      <c r="AE101" s="12"/>
      <c r="AF101" s="12">
        <f>COUNTIF($A$22:A101,A101)</f>
        <v>23</v>
      </c>
      <c r="AG101" s="51">
        <v>38452140</v>
      </c>
      <c r="AH101" s="38">
        <f>Tabla43[[#This Row],[VALOR CONTRAPARTIDA]]+Tabla43[[#This Row],[TOTAL APORTES ICBF]]</f>
        <v>39221182.799999997</v>
      </c>
      <c r="AI101" s="35" t="str">
        <f>+IF(Tabla43[[#This Row],[AGRUPACIONES]]=1,SUMIFS(Tabla43[TOTAL APORTES ICBF],Tabla43[ZONA DEFINITIVO],Tabla43[[#This Row],[ZONA DEFINITIVO]])," ")</f>
        <v xml:space="preserve"> </v>
      </c>
      <c r="AJ101" s="38"/>
      <c r="AK101" s="38"/>
      <c r="AL101" s="23"/>
      <c r="AM101" s="35">
        <f>VLOOKUP(Tabla43[[#This Row],[SERVICIO 2025]],$J$2:$V$16,5,0)*Tabla43[[#This Row],[TOTAL COBERTURA]]</f>
        <v>987520</v>
      </c>
      <c r="AN101" s="35">
        <f>VLOOKUP(Tabla43[[#This Row],[SERVICIO 2025]],$J$2:$V$16,6,0)*Tabla43[[#This Row],[TOTAL COBERTURA]]</f>
        <v>820580</v>
      </c>
      <c r="AO101" s="35">
        <f>VLOOKUP(Tabla43[[#This Row],[SERVICIO 2025]],$J$2:$V$16,8,0)*Tabla43[[#This Row],[TOTAL COBERTURA]]</f>
        <v>582000</v>
      </c>
      <c r="AP101" s="35">
        <f>VLOOKUP(Tabla43[[#This Row],[SERVICIO 2025]],$J$2:$V$16,3,0)*Tabla43[[#This Row],[TOTAL COBERTURA]]*7</f>
        <v>36062040</v>
      </c>
      <c r="AQ101" s="35"/>
      <c r="AR10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01" s="35" t="str">
        <f>+IF(Tabla43[[#This Row],[AGRUPACIONES]]=1,SUMIFS(Tabla43[VALOR TOTAL],Tabla43[ZONA DEFINITIVO],Tabla43[[#This Row],[ZONA DEFINITIVO]])," ")</f>
        <v xml:space="preserve"> </v>
      </c>
      <c r="AT10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01" s="35">
        <f>VLOOKUP(Tabla43[[#This Row],[SERVICIO 2025]],$J$2:$V$16,3,0)*Tabla43[[#This Row],[TOTAL COBERTURA]]+Tabla43[[#This Row],[VALOR RACION PREPARADA]]/7</f>
        <v>5151720</v>
      </c>
      <c r="AV101" s="35">
        <f>VLOOKUP(Tabla43[[#This Row],[SERVICIO 2025]],$J$2:$V$16,3,0)*Tabla43[[#This Row],[TOTAL COBERTURA]]+Tabla43[[#This Row],[VALOR RACION PREPARADA]]/7</f>
        <v>5151720</v>
      </c>
      <c r="AW101" s="35">
        <f>VLOOKUP(Tabla43[[#This Row],[SERVICIO 2025]],$J$2:$V$16,3,0)*Tabla43[[#This Row],[TOTAL COBERTURA]]+Tabla43[[#This Row],[VALOR RACION PREPARADA]]/7</f>
        <v>5151720</v>
      </c>
      <c r="AX101" s="35">
        <f>VLOOKUP(Tabla43[[#This Row],[SERVICIO 2025]],$J$2:$V$16,3,0)*Tabla43[[#This Row],[TOTAL COBERTURA]]+Tabla43[[#This Row],[VALOR RACION PREPARADA]]/7</f>
        <v>5151720</v>
      </c>
      <c r="AY101" s="35">
        <f>VLOOKUP(Tabla43[[#This Row],[SERVICIO 2025]],$J$2:$V$16,3,0)*Tabla43[[#This Row],[TOTAL COBERTURA]]+Tabla43[[#This Row],[VALOR RACION PREPARADA]]/7</f>
        <v>5151720</v>
      </c>
      <c r="AZ101" s="35">
        <f>VLOOKUP(Tabla43[[#This Row],[SERVICIO 2025]],$J$2:$V$16,3,0)*Tabla43[[#This Row],[TOTAL COBERTURA]]+Tabla43[[#This Row],[VALOR RACION PREPARADA]]/7+Tabla43[[#This Row],[VALOR FASE PREPARATORIA DE CIERRE]]</f>
        <v>5972300</v>
      </c>
      <c r="BA101" s="35"/>
      <c r="BB101" s="35">
        <f>SUM(Tabla43[[#This Row],[DESEMBOLSO 1]:[DESEMBOLSO 8]])</f>
        <v>38452140</v>
      </c>
      <c r="BC101" s="55"/>
      <c r="BD101" s="47" t="s">
        <v>97</v>
      </c>
      <c r="BE101" s="12" t="b">
        <f>EXACT(Tabla43[[#This Row],[TOTAL APORTES ICBF]],Tabla43[[#This Row],[VALOR TOTAL]])</f>
        <v>1</v>
      </c>
      <c r="BF101" s="23">
        <f>SUM(Tabla43[[#This Row],[VALOR FASE PREPARATORIA DE ALISTAMIENTO]:[VALOR RACION PREPARADA]])-Tabla43[[#This Row],[VALOR TOTAL]]</f>
        <v>0</v>
      </c>
      <c r="BG101" s="12" t="b">
        <f>EXACT(Tabla43[[#This Row],[VALOR TOTAL]],Tabla43[[#This Row],[TOTAL DESEMBOLSOS]])</f>
        <v>1</v>
      </c>
      <c r="BH101" s="29">
        <f>Tabla43[[#This Row],[TOTAL DESEMBOLSOS]]-Tabla43[[#This Row],[VALOR TOTAL]]</f>
        <v>0</v>
      </c>
      <c r="BJ101" t="s">
        <v>3924</v>
      </c>
    </row>
    <row r="102" spans="1:62" hidden="1">
      <c r="A102" s="13">
        <v>1935</v>
      </c>
      <c r="B102" s="13"/>
      <c r="C102" s="12" t="s">
        <v>87</v>
      </c>
      <c r="D102" s="12" t="s">
        <v>987</v>
      </c>
      <c r="E102" s="12" t="s">
        <v>1143</v>
      </c>
      <c r="F102" s="12" t="s">
        <v>18</v>
      </c>
      <c r="G102" s="12" t="s">
        <v>90</v>
      </c>
      <c r="H102" s="12" t="s">
        <v>4053</v>
      </c>
      <c r="I102" s="12">
        <v>51541148672</v>
      </c>
      <c r="J102" s="12" t="s">
        <v>4054</v>
      </c>
      <c r="K102" s="12">
        <v>1</v>
      </c>
      <c r="L102" s="12">
        <v>20</v>
      </c>
      <c r="M102" s="12"/>
      <c r="N102" s="13">
        <v>1935</v>
      </c>
      <c r="O102" s="12" t="s">
        <v>93</v>
      </c>
      <c r="P102" s="12"/>
      <c r="Q102" s="12"/>
      <c r="R102" s="12" t="s">
        <v>94</v>
      </c>
      <c r="S102" s="12">
        <v>10</v>
      </c>
      <c r="T102" s="12" t="s">
        <v>4009</v>
      </c>
      <c r="U102" s="12" t="s">
        <v>4010</v>
      </c>
      <c r="V102" s="12">
        <f>VLOOKUP(Tabla43[[#This Row],[ZONA DEFINITIVO]],Hoja1!$A$1:$D$129,3,0)</f>
        <v>229954</v>
      </c>
      <c r="W102" s="12">
        <f>VLOOKUP(Tabla43[[#This Row],[ZONA DEFINITIVO]],Hoja1!$A$1:$D$129,2,0)</f>
        <v>18594</v>
      </c>
      <c r="X102" s="12">
        <f>VLOOKUP(Tabla43[[#This Row],[ZONA DEFINITIVO]],Hoja1!$A$1:$D$129,4,0)</f>
        <v>117625</v>
      </c>
      <c r="Y102" s="12" t="str">
        <f>+IF(Tabla43[[#This Row],[AGRUPACIONES]]=1,SUMIFS(Tabla43[UDS],Tabla43[ZONA DEFINITIVO],Tabla43[[#This Row],[ZONA DEFINITIVO]])," ")</f>
        <v xml:space="preserve"> </v>
      </c>
      <c r="Z102" s="12" t="str">
        <f>+IF(Tabla43[[#This Row],[AGRUPACIONES]]=1,SUMIFS(Tabla43[TOTAL COBERTURA],Tabla43[ZONA DEFINITIVO],Tabla43[[#This Row],[ZONA DEFINITIVO]])," ")</f>
        <v xml:space="preserve"> </v>
      </c>
      <c r="AA102" s="12"/>
      <c r="AB102" s="51">
        <v>38452140</v>
      </c>
      <c r="AC102" s="37">
        <v>0.02</v>
      </c>
      <c r="AD102" s="38">
        <f>Tabla43[[#This Row],[VALOR ATENCIÓN (7 MESES)]]*Tabla43[[#This Row],[% CONTRAPARTIDA]]</f>
        <v>769042.8</v>
      </c>
      <c r="AE102" s="12"/>
      <c r="AF102" s="12">
        <f>COUNTIF($A$22:A102,A102)</f>
        <v>24</v>
      </c>
      <c r="AG102" s="51">
        <v>38452140</v>
      </c>
      <c r="AH102" s="38">
        <f>Tabla43[[#This Row],[VALOR CONTRAPARTIDA]]+Tabla43[[#This Row],[TOTAL APORTES ICBF]]</f>
        <v>39221182.799999997</v>
      </c>
      <c r="AI102" s="35" t="str">
        <f>+IF(Tabla43[[#This Row],[AGRUPACIONES]]=1,SUMIFS(Tabla43[TOTAL APORTES ICBF],Tabla43[ZONA DEFINITIVO],Tabla43[[#This Row],[ZONA DEFINITIVO]])," ")</f>
        <v xml:space="preserve"> </v>
      </c>
      <c r="AJ102" s="38"/>
      <c r="AK102" s="38"/>
      <c r="AL102" s="23"/>
      <c r="AM102" s="35">
        <f>VLOOKUP(Tabla43[[#This Row],[SERVICIO 2025]],$J$2:$V$16,5,0)*Tabla43[[#This Row],[TOTAL COBERTURA]]</f>
        <v>987520</v>
      </c>
      <c r="AN102" s="35">
        <f>VLOOKUP(Tabla43[[#This Row],[SERVICIO 2025]],$J$2:$V$16,6,0)*Tabla43[[#This Row],[TOTAL COBERTURA]]</f>
        <v>820580</v>
      </c>
      <c r="AO102" s="35">
        <f>VLOOKUP(Tabla43[[#This Row],[SERVICIO 2025]],$J$2:$V$16,8,0)*Tabla43[[#This Row],[TOTAL COBERTURA]]</f>
        <v>582000</v>
      </c>
      <c r="AP102" s="35">
        <f>VLOOKUP(Tabla43[[#This Row],[SERVICIO 2025]],$J$2:$V$16,3,0)*Tabla43[[#This Row],[TOTAL COBERTURA]]*7</f>
        <v>36062040</v>
      </c>
      <c r="AQ102" s="35"/>
      <c r="AR10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02" s="35" t="str">
        <f>+IF(Tabla43[[#This Row],[AGRUPACIONES]]=1,SUMIFS(Tabla43[VALOR TOTAL],Tabla43[ZONA DEFINITIVO],Tabla43[[#This Row],[ZONA DEFINITIVO]])," ")</f>
        <v xml:space="preserve"> </v>
      </c>
      <c r="AT10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02" s="35">
        <f>VLOOKUP(Tabla43[[#This Row],[SERVICIO 2025]],$J$2:$V$16,3,0)*Tabla43[[#This Row],[TOTAL COBERTURA]]+Tabla43[[#This Row],[VALOR RACION PREPARADA]]/7</f>
        <v>5151720</v>
      </c>
      <c r="AV102" s="35">
        <f>VLOOKUP(Tabla43[[#This Row],[SERVICIO 2025]],$J$2:$V$16,3,0)*Tabla43[[#This Row],[TOTAL COBERTURA]]+Tabla43[[#This Row],[VALOR RACION PREPARADA]]/7</f>
        <v>5151720</v>
      </c>
      <c r="AW102" s="35">
        <f>VLOOKUP(Tabla43[[#This Row],[SERVICIO 2025]],$J$2:$V$16,3,0)*Tabla43[[#This Row],[TOTAL COBERTURA]]+Tabla43[[#This Row],[VALOR RACION PREPARADA]]/7</f>
        <v>5151720</v>
      </c>
      <c r="AX102" s="35">
        <f>VLOOKUP(Tabla43[[#This Row],[SERVICIO 2025]],$J$2:$V$16,3,0)*Tabla43[[#This Row],[TOTAL COBERTURA]]+Tabla43[[#This Row],[VALOR RACION PREPARADA]]/7</f>
        <v>5151720</v>
      </c>
      <c r="AY102" s="35">
        <f>VLOOKUP(Tabla43[[#This Row],[SERVICIO 2025]],$J$2:$V$16,3,0)*Tabla43[[#This Row],[TOTAL COBERTURA]]+Tabla43[[#This Row],[VALOR RACION PREPARADA]]/7</f>
        <v>5151720</v>
      </c>
      <c r="AZ102" s="35">
        <f>VLOOKUP(Tabla43[[#This Row],[SERVICIO 2025]],$J$2:$V$16,3,0)*Tabla43[[#This Row],[TOTAL COBERTURA]]+Tabla43[[#This Row],[VALOR RACION PREPARADA]]/7+Tabla43[[#This Row],[VALOR FASE PREPARATORIA DE CIERRE]]</f>
        <v>5972300</v>
      </c>
      <c r="BA102" s="35"/>
      <c r="BB102" s="35">
        <f>SUM(Tabla43[[#This Row],[DESEMBOLSO 1]:[DESEMBOLSO 8]])</f>
        <v>38452140</v>
      </c>
      <c r="BC102" s="55"/>
      <c r="BD102" s="47" t="s">
        <v>97</v>
      </c>
      <c r="BE102" s="12" t="b">
        <f>EXACT(Tabla43[[#This Row],[TOTAL APORTES ICBF]],Tabla43[[#This Row],[VALOR TOTAL]])</f>
        <v>1</v>
      </c>
      <c r="BF102" s="23">
        <f>SUM(Tabla43[[#This Row],[VALOR FASE PREPARATORIA DE ALISTAMIENTO]:[VALOR RACION PREPARADA]])-Tabla43[[#This Row],[VALOR TOTAL]]</f>
        <v>0</v>
      </c>
      <c r="BG102" s="12" t="b">
        <f>EXACT(Tabla43[[#This Row],[VALOR TOTAL]],Tabla43[[#This Row],[TOTAL DESEMBOLSOS]])</f>
        <v>1</v>
      </c>
      <c r="BH102" s="29">
        <f>Tabla43[[#This Row],[TOTAL DESEMBOLSOS]]-Tabla43[[#This Row],[VALOR TOTAL]]</f>
        <v>0</v>
      </c>
      <c r="BJ102" t="s">
        <v>3924</v>
      </c>
    </row>
    <row r="103" spans="1:62" hidden="1">
      <c r="A103" s="13">
        <v>1935</v>
      </c>
      <c r="B103" s="13"/>
      <c r="C103" s="12" t="s">
        <v>87</v>
      </c>
      <c r="D103" s="12" t="s">
        <v>987</v>
      </c>
      <c r="E103" s="12" t="s">
        <v>1143</v>
      </c>
      <c r="F103" s="12" t="s">
        <v>18</v>
      </c>
      <c r="G103" s="12" t="s">
        <v>90</v>
      </c>
      <c r="H103" s="12" t="s">
        <v>4055</v>
      </c>
      <c r="I103" s="12">
        <v>51541148711</v>
      </c>
      <c r="J103" s="12" t="s">
        <v>4056</v>
      </c>
      <c r="K103" s="12">
        <v>1</v>
      </c>
      <c r="L103" s="12">
        <v>20</v>
      </c>
      <c r="M103" s="12"/>
      <c r="N103" s="13">
        <v>1935</v>
      </c>
      <c r="O103" s="12" t="s">
        <v>93</v>
      </c>
      <c r="P103" s="12"/>
      <c r="Q103" s="12"/>
      <c r="R103" s="12" t="s">
        <v>94</v>
      </c>
      <c r="S103" s="12">
        <v>10</v>
      </c>
      <c r="T103" s="12" t="s">
        <v>4009</v>
      </c>
      <c r="U103" s="12" t="s">
        <v>4010</v>
      </c>
      <c r="V103" s="12">
        <f>VLOOKUP(Tabla43[[#This Row],[ZONA DEFINITIVO]],Hoja1!$A$1:$D$129,3,0)</f>
        <v>229954</v>
      </c>
      <c r="W103" s="12">
        <f>VLOOKUP(Tabla43[[#This Row],[ZONA DEFINITIVO]],Hoja1!$A$1:$D$129,2,0)</f>
        <v>18594</v>
      </c>
      <c r="X103" s="12">
        <f>VLOOKUP(Tabla43[[#This Row],[ZONA DEFINITIVO]],Hoja1!$A$1:$D$129,4,0)</f>
        <v>117625</v>
      </c>
      <c r="Y103" s="12" t="str">
        <f>+IF(Tabla43[[#This Row],[AGRUPACIONES]]=1,SUMIFS(Tabla43[UDS],Tabla43[ZONA DEFINITIVO],Tabla43[[#This Row],[ZONA DEFINITIVO]])," ")</f>
        <v xml:space="preserve"> </v>
      </c>
      <c r="Z103" s="12" t="str">
        <f>+IF(Tabla43[[#This Row],[AGRUPACIONES]]=1,SUMIFS(Tabla43[TOTAL COBERTURA],Tabla43[ZONA DEFINITIVO],Tabla43[[#This Row],[ZONA DEFINITIVO]])," ")</f>
        <v xml:space="preserve"> </v>
      </c>
      <c r="AA103" s="12"/>
      <c r="AB103" s="51">
        <v>38452140</v>
      </c>
      <c r="AC103" s="37">
        <v>0.02</v>
      </c>
      <c r="AD103" s="38">
        <f>Tabla43[[#This Row],[VALOR ATENCIÓN (7 MESES)]]*Tabla43[[#This Row],[% CONTRAPARTIDA]]</f>
        <v>769042.8</v>
      </c>
      <c r="AE103" s="12"/>
      <c r="AF103" s="12">
        <f>COUNTIF($A$22:A103,A103)</f>
        <v>25</v>
      </c>
      <c r="AG103" s="51">
        <v>38452140</v>
      </c>
      <c r="AH103" s="38">
        <f>Tabla43[[#This Row],[VALOR CONTRAPARTIDA]]+Tabla43[[#This Row],[TOTAL APORTES ICBF]]</f>
        <v>39221182.799999997</v>
      </c>
      <c r="AI103" s="35" t="str">
        <f>+IF(Tabla43[[#This Row],[AGRUPACIONES]]=1,SUMIFS(Tabla43[TOTAL APORTES ICBF],Tabla43[ZONA DEFINITIVO],Tabla43[[#This Row],[ZONA DEFINITIVO]])," ")</f>
        <v xml:space="preserve"> </v>
      </c>
      <c r="AJ103" s="38"/>
      <c r="AK103" s="38"/>
      <c r="AL103" s="23"/>
      <c r="AM103" s="35">
        <f>VLOOKUP(Tabla43[[#This Row],[SERVICIO 2025]],$J$2:$V$16,5,0)*Tabla43[[#This Row],[TOTAL COBERTURA]]</f>
        <v>987520</v>
      </c>
      <c r="AN103" s="35">
        <f>VLOOKUP(Tabla43[[#This Row],[SERVICIO 2025]],$J$2:$V$16,6,0)*Tabla43[[#This Row],[TOTAL COBERTURA]]</f>
        <v>820580</v>
      </c>
      <c r="AO103" s="35">
        <f>VLOOKUP(Tabla43[[#This Row],[SERVICIO 2025]],$J$2:$V$16,8,0)*Tabla43[[#This Row],[TOTAL COBERTURA]]</f>
        <v>582000</v>
      </c>
      <c r="AP103" s="35">
        <f>VLOOKUP(Tabla43[[#This Row],[SERVICIO 2025]],$J$2:$V$16,3,0)*Tabla43[[#This Row],[TOTAL COBERTURA]]*7</f>
        <v>36062040</v>
      </c>
      <c r="AQ103" s="35"/>
      <c r="AR10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03" s="35" t="str">
        <f>+IF(Tabla43[[#This Row],[AGRUPACIONES]]=1,SUMIFS(Tabla43[VALOR TOTAL],Tabla43[ZONA DEFINITIVO],Tabla43[[#This Row],[ZONA DEFINITIVO]])," ")</f>
        <v xml:space="preserve"> </v>
      </c>
      <c r="AT10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03" s="35">
        <f>VLOOKUP(Tabla43[[#This Row],[SERVICIO 2025]],$J$2:$V$16,3,0)*Tabla43[[#This Row],[TOTAL COBERTURA]]+Tabla43[[#This Row],[VALOR RACION PREPARADA]]/7</f>
        <v>5151720</v>
      </c>
      <c r="AV103" s="35">
        <f>VLOOKUP(Tabla43[[#This Row],[SERVICIO 2025]],$J$2:$V$16,3,0)*Tabla43[[#This Row],[TOTAL COBERTURA]]+Tabla43[[#This Row],[VALOR RACION PREPARADA]]/7</f>
        <v>5151720</v>
      </c>
      <c r="AW103" s="35">
        <f>VLOOKUP(Tabla43[[#This Row],[SERVICIO 2025]],$J$2:$V$16,3,0)*Tabla43[[#This Row],[TOTAL COBERTURA]]+Tabla43[[#This Row],[VALOR RACION PREPARADA]]/7</f>
        <v>5151720</v>
      </c>
      <c r="AX103" s="35">
        <f>VLOOKUP(Tabla43[[#This Row],[SERVICIO 2025]],$J$2:$V$16,3,0)*Tabla43[[#This Row],[TOTAL COBERTURA]]+Tabla43[[#This Row],[VALOR RACION PREPARADA]]/7</f>
        <v>5151720</v>
      </c>
      <c r="AY103" s="35">
        <f>VLOOKUP(Tabla43[[#This Row],[SERVICIO 2025]],$J$2:$V$16,3,0)*Tabla43[[#This Row],[TOTAL COBERTURA]]+Tabla43[[#This Row],[VALOR RACION PREPARADA]]/7</f>
        <v>5151720</v>
      </c>
      <c r="AZ103" s="35">
        <f>VLOOKUP(Tabla43[[#This Row],[SERVICIO 2025]],$J$2:$V$16,3,0)*Tabla43[[#This Row],[TOTAL COBERTURA]]+Tabla43[[#This Row],[VALOR RACION PREPARADA]]/7+Tabla43[[#This Row],[VALOR FASE PREPARATORIA DE CIERRE]]</f>
        <v>5972300</v>
      </c>
      <c r="BA103" s="35"/>
      <c r="BB103" s="35">
        <f>SUM(Tabla43[[#This Row],[DESEMBOLSO 1]:[DESEMBOLSO 8]])</f>
        <v>38452140</v>
      </c>
      <c r="BC103" s="55"/>
      <c r="BD103" s="47" t="s">
        <v>97</v>
      </c>
      <c r="BE103" s="12" t="b">
        <f>EXACT(Tabla43[[#This Row],[TOTAL APORTES ICBF]],Tabla43[[#This Row],[VALOR TOTAL]])</f>
        <v>1</v>
      </c>
      <c r="BF103" s="23">
        <f>SUM(Tabla43[[#This Row],[VALOR FASE PREPARATORIA DE ALISTAMIENTO]:[VALOR RACION PREPARADA]])-Tabla43[[#This Row],[VALOR TOTAL]]</f>
        <v>0</v>
      </c>
      <c r="BG103" s="12" t="b">
        <f>EXACT(Tabla43[[#This Row],[VALOR TOTAL]],Tabla43[[#This Row],[TOTAL DESEMBOLSOS]])</f>
        <v>1</v>
      </c>
      <c r="BH103" s="29">
        <f>Tabla43[[#This Row],[TOTAL DESEMBOLSOS]]-Tabla43[[#This Row],[VALOR TOTAL]]</f>
        <v>0</v>
      </c>
      <c r="BJ103" t="s">
        <v>3924</v>
      </c>
    </row>
    <row r="104" spans="1:62" hidden="1">
      <c r="A104" s="13">
        <v>1935</v>
      </c>
      <c r="B104" s="13"/>
      <c r="C104" s="12" t="s">
        <v>87</v>
      </c>
      <c r="D104" s="12" t="s">
        <v>987</v>
      </c>
      <c r="E104" s="12" t="s">
        <v>1143</v>
      </c>
      <c r="F104" s="12" t="s">
        <v>18</v>
      </c>
      <c r="G104" s="12" t="s">
        <v>90</v>
      </c>
      <c r="H104" s="12" t="s">
        <v>4057</v>
      </c>
      <c r="I104" s="12">
        <v>51541148733</v>
      </c>
      <c r="J104" s="12" t="s">
        <v>4058</v>
      </c>
      <c r="K104" s="12">
        <v>1</v>
      </c>
      <c r="L104" s="12">
        <v>11</v>
      </c>
      <c r="M104" s="12"/>
      <c r="N104" s="13">
        <v>1935</v>
      </c>
      <c r="O104" s="12" t="s">
        <v>93</v>
      </c>
      <c r="P104" s="12"/>
      <c r="Q104" s="12"/>
      <c r="R104" s="12" t="s">
        <v>94</v>
      </c>
      <c r="S104" s="12">
        <v>10</v>
      </c>
      <c r="T104" s="12" t="s">
        <v>4009</v>
      </c>
      <c r="U104" s="12" t="s">
        <v>4010</v>
      </c>
      <c r="V104" s="12">
        <f>VLOOKUP(Tabla43[[#This Row],[ZONA DEFINITIVO]],Hoja1!$A$1:$D$129,3,0)</f>
        <v>229954</v>
      </c>
      <c r="W104" s="12">
        <f>VLOOKUP(Tabla43[[#This Row],[ZONA DEFINITIVO]],Hoja1!$A$1:$D$129,2,0)</f>
        <v>18594</v>
      </c>
      <c r="X104" s="12">
        <f>VLOOKUP(Tabla43[[#This Row],[ZONA DEFINITIVO]],Hoja1!$A$1:$D$129,4,0)</f>
        <v>117625</v>
      </c>
      <c r="Y104" s="12" t="str">
        <f>+IF(Tabla43[[#This Row],[AGRUPACIONES]]=1,SUMIFS(Tabla43[UDS],Tabla43[ZONA DEFINITIVO],Tabla43[[#This Row],[ZONA DEFINITIVO]])," ")</f>
        <v xml:space="preserve"> </v>
      </c>
      <c r="Z104" s="12" t="str">
        <f>+IF(Tabla43[[#This Row],[AGRUPACIONES]]=1,SUMIFS(Tabla43[TOTAL COBERTURA],Tabla43[ZONA DEFINITIVO],Tabla43[[#This Row],[ZONA DEFINITIVO]])," ")</f>
        <v xml:space="preserve"> </v>
      </c>
      <c r="AA104" s="12"/>
      <c r="AB104" s="51">
        <v>21148677</v>
      </c>
      <c r="AC104" s="37">
        <v>0.02</v>
      </c>
      <c r="AD104" s="38">
        <f>Tabla43[[#This Row],[VALOR ATENCIÓN (7 MESES)]]*Tabla43[[#This Row],[% CONTRAPARTIDA]]</f>
        <v>422973.54000000004</v>
      </c>
      <c r="AE104" s="12"/>
      <c r="AF104" s="12">
        <f>COUNTIF($A$22:A104,A104)</f>
        <v>26</v>
      </c>
      <c r="AG104" s="51">
        <v>21148677</v>
      </c>
      <c r="AH104" s="38">
        <f>Tabla43[[#This Row],[VALOR CONTRAPARTIDA]]+Tabla43[[#This Row],[TOTAL APORTES ICBF]]</f>
        <v>21571650.539999999</v>
      </c>
      <c r="AI104" s="35" t="str">
        <f>+IF(Tabla43[[#This Row],[AGRUPACIONES]]=1,SUMIFS(Tabla43[TOTAL APORTES ICBF],Tabla43[ZONA DEFINITIVO],Tabla43[[#This Row],[ZONA DEFINITIVO]])," ")</f>
        <v xml:space="preserve"> </v>
      </c>
      <c r="AJ104" s="38"/>
      <c r="AK104" s="38"/>
      <c r="AL104" s="23"/>
      <c r="AM104" s="35">
        <f>VLOOKUP(Tabla43[[#This Row],[SERVICIO 2025]],$J$2:$V$16,5,0)*Tabla43[[#This Row],[TOTAL COBERTURA]]</f>
        <v>543136</v>
      </c>
      <c r="AN104" s="35">
        <f>VLOOKUP(Tabla43[[#This Row],[SERVICIO 2025]],$J$2:$V$16,6,0)*Tabla43[[#This Row],[TOTAL COBERTURA]]</f>
        <v>451319</v>
      </c>
      <c r="AO104" s="35">
        <f>VLOOKUP(Tabla43[[#This Row],[SERVICIO 2025]],$J$2:$V$16,8,0)*Tabla43[[#This Row],[TOTAL COBERTURA]]</f>
        <v>320100</v>
      </c>
      <c r="AP104" s="35">
        <f>VLOOKUP(Tabla43[[#This Row],[SERVICIO 2025]],$J$2:$V$16,3,0)*Tabla43[[#This Row],[TOTAL COBERTURA]]*7</f>
        <v>19834122</v>
      </c>
      <c r="AQ104" s="35"/>
      <c r="AR10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21148677</v>
      </c>
      <c r="AS104" s="35" t="str">
        <f>+IF(Tabla43[[#This Row],[AGRUPACIONES]]=1,SUMIFS(Tabla43[VALOR TOTAL],Tabla43[ZONA DEFINITIVO],Tabla43[[#This Row],[ZONA DEFINITIVO]])," ")</f>
        <v xml:space="preserve"> </v>
      </c>
      <c r="AT10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3696682</v>
      </c>
      <c r="AU104" s="35">
        <f>VLOOKUP(Tabla43[[#This Row],[SERVICIO 2025]],$J$2:$V$16,3,0)*Tabla43[[#This Row],[TOTAL COBERTURA]]+Tabla43[[#This Row],[VALOR RACION PREPARADA]]/7</f>
        <v>2833446</v>
      </c>
      <c r="AV104" s="35">
        <f>VLOOKUP(Tabla43[[#This Row],[SERVICIO 2025]],$J$2:$V$16,3,0)*Tabla43[[#This Row],[TOTAL COBERTURA]]+Tabla43[[#This Row],[VALOR RACION PREPARADA]]/7</f>
        <v>2833446</v>
      </c>
      <c r="AW104" s="35">
        <f>VLOOKUP(Tabla43[[#This Row],[SERVICIO 2025]],$J$2:$V$16,3,0)*Tabla43[[#This Row],[TOTAL COBERTURA]]+Tabla43[[#This Row],[VALOR RACION PREPARADA]]/7</f>
        <v>2833446</v>
      </c>
      <c r="AX104" s="35">
        <f>VLOOKUP(Tabla43[[#This Row],[SERVICIO 2025]],$J$2:$V$16,3,0)*Tabla43[[#This Row],[TOTAL COBERTURA]]+Tabla43[[#This Row],[VALOR RACION PREPARADA]]/7</f>
        <v>2833446</v>
      </c>
      <c r="AY104" s="35">
        <f>VLOOKUP(Tabla43[[#This Row],[SERVICIO 2025]],$J$2:$V$16,3,0)*Tabla43[[#This Row],[TOTAL COBERTURA]]+Tabla43[[#This Row],[VALOR RACION PREPARADA]]/7</f>
        <v>2833446</v>
      </c>
      <c r="AZ104" s="35">
        <f>VLOOKUP(Tabla43[[#This Row],[SERVICIO 2025]],$J$2:$V$16,3,0)*Tabla43[[#This Row],[TOTAL COBERTURA]]+Tabla43[[#This Row],[VALOR RACION PREPARADA]]/7+Tabla43[[#This Row],[VALOR FASE PREPARATORIA DE CIERRE]]</f>
        <v>3284765</v>
      </c>
      <c r="BA104" s="35"/>
      <c r="BB104" s="35">
        <f>SUM(Tabla43[[#This Row],[DESEMBOLSO 1]:[DESEMBOLSO 8]])</f>
        <v>21148677</v>
      </c>
      <c r="BC104" s="55"/>
      <c r="BD104" s="47" t="s">
        <v>97</v>
      </c>
      <c r="BE104" s="12" t="b">
        <f>EXACT(Tabla43[[#This Row],[TOTAL APORTES ICBF]],Tabla43[[#This Row],[VALOR TOTAL]])</f>
        <v>1</v>
      </c>
      <c r="BF104" s="23">
        <f>SUM(Tabla43[[#This Row],[VALOR FASE PREPARATORIA DE ALISTAMIENTO]:[VALOR RACION PREPARADA]])-Tabla43[[#This Row],[VALOR TOTAL]]</f>
        <v>0</v>
      </c>
      <c r="BG104" s="12" t="b">
        <f>EXACT(Tabla43[[#This Row],[VALOR TOTAL]],Tabla43[[#This Row],[TOTAL DESEMBOLSOS]])</f>
        <v>1</v>
      </c>
      <c r="BH104" s="29">
        <f>Tabla43[[#This Row],[TOTAL DESEMBOLSOS]]-Tabla43[[#This Row],[VALOR TOTAL]]</f>
        <v>0</v>
      </c>
      <c r="BJ104" t="s">
        <v>3924</v>
      </c>
    </row>
    <row r="105" spans="1:62" hidden="1">
      <c r="A105" s="13">
        <v>1935</v>
      </c>
      <c r="B105" s="13"/>
      <c r="C105" s="12" t="s">
        <v>87</v>
      </c>
      <c r="D105" s="12" t="s">
        <v>987</v>
      </c>
      <c r="E105" s="12" t="s">
        <v>1143</v>
      </c>
      <c r="F105" s="12" t="s">
        <v>18</v>
      </c>
      <c r="G105" s="12" t="s">
        <v>90</v>
      </c>
      <c r="H105" s="12" t="s">
        <v>4059</v>
      </c>
      <c r="I105" s="12">
        <v>51541148734</v>
      </c>
      <c r="J105" s="12" t="s">
        <v>4060</v>
      </c>
      <c r="K105" s="12">
        <v>1</v>
      </c>
      <c r="L105" s="12">
        <v>17</v>
      </c>
      <c r="M105" s="12"/>
      <c r="N105" s="13">
        <v>1935</v>
      </c>
      <c r="O105" s="12" t="s">
        <v>93</v>
      </c>
      <c r="P105" s="12"/>
      <c r="Q105" s="12"/>
      <c r="R105" s="12" t="s">
        <v>94</v>
      </c>
      <c r="S105" s="12">
        <v>10</v>
      </c>
      <c r="T105" s="12" t="s">
        <v>4009</v>
      </c>
      <c r="U105" s="12" t="s">
        <v>4010</v>
      </c>
      <c r="V105" s="12">
        <f>VLOOKUP(Tabla43[[#This Row],[ZONA DEFINITIVO]],Hoja1!$A$1:$D$129,3,0)</f>
        <v>229954</v>
      </c>
      <c r="W105" s="12">
        <f>VLOOKUP(Tabla43[[#This Row],[ZONA DEFINITIVO]],Hoja1!$A$1:$D$129,2,0)</f>
        <v>18594</v>
      </c>
      <c r="X105" s="12">
        <f>VLOOKUP(Tabla43[[#This Row],[ZONA DEFINITIVO]],Hoja1!$A$1:$D$129,4,0)</f>
        <v>117625</v>
      </c>
      <c r="Y105" s="12" t="str">
        <f>+IF(Tabla43[[#This Row],[AGRUPACIONES]]=1,SUMIFS(Tabla43[UDS],Tabla43[ZONA DEFINITIVO],Tabla43[[#This Row],[ZONA DEFINITIVO]])," ")</f>
        <v xml:space="preserve"> </v>
      </c>
      <c r="Z105" s="12" t="str">
        <f>+IF(Tabla43[[#This Row],[AGRUPACIONES]]=1,SUMIFS(Tabla43[TOTAL COBERTURA],Tabla43[ZONA DEFINITIVO],Tabla43[[#This Row],[ZONA DEFINITIVO]])," ")</f>
        <v xml:space="preserve"> </v>
      </c>
      <c r="AA105" s="12"/>
      <c r="AB105" s="51">
        <v>32684319</v>
      </c>
      <c r="AC105" s="37">
        <v>0.02</v>
      </c>
      <c r="AD105" s="38">
        <f>Tabla43[[#This Row],[VALOR ATENCIÓN (7 MESES)]]*Tabla43[[#This Row],[% CONTRAPARTIDA]]</f>
        <v>653686.38</v>
      </c>
      <c r="AE105" s="12"/>
      <c r="AF105" s="12">
        <f>COUNTIF($A$22:A105,A105)</f>
        <v>27</v>
      </c>
      <c r="AG105" s="51">
        <v>32684319</v>
      </c>
      <c r="AH105" s="38">
        <f>Tabla43[[#This Row],[VALOR CONTRAPARTIDA]]+Tabla43[[#This Row],[TOTAL APORTES ICBF]]</f>
        <v>33338005.379999999</v>
      </c>
      <c r="AI105" s="35" t="str">
        <f>+IF(Tabla43[[#This Row],[AGRUPACIONES]]=1,SUMIFS(Tabla43[TOTAL APORTES ICBF],Tabla43[ZONA DEFINITIVO],Tabla43[[#This Row],[ZONA DEFINITIVO]])," ")</f>
        <v xml:space="preserve"> </v>
      </c>
      <c r="AJ105" s="38"/>
      <c r="AK105" s="38"/>
      <c r="AL105" s="23"/>
      <c r="AM105" s="35">
        <f>VLOOKUP(Tabla43[[#This Row],[SERVICIO 2025]],$J$2:$V$16,5,0)*Tabla43[[#This Row],[TOTAL COBERTURA]]</f>
        <v>839392</v>
      </c>
      <c r="AN105" s="35">
        <f>VLOOKUP(Tabla43[[#This Row],[SERVICIO 2025]],$J$2:$V$16,6,0)*Tabla43[[#This Row],[TOTAL COBERTURA]]</f>
        <v>697493</v>
      </c>
      <c r="AO105" s="35">
        <f>VLOOKUP(Tabla43[[#This Row],[SERVICIO 2025]],$J$2:$V$16,8,0)*Tabla43[[#This Row],[TOTAL COBERTURA]]</f>
        <v>494700</v>
      </c>
      <c r="AP105" s="35">
        <f>VLOOKUP(Tabla43[[#This Row],[SERVICIO 2025]],$J$2:$V$16,3,0)*Tabla43[[#This Row],[TOTAL COBERTURA]]*7</f>
        <v>30652734</v>
      </c>
      <c r="AQ105" s="35"/>
      <c r="AR10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32684319</v>
      </c>
      <c r="AS105" s="35" t="str">
        <f>+IF(Tabla43[[#This Row],[AGRUPACIONES]]=1,SUMIFS(Tabla43[VALOR TOTAL],Tabla43[ZONA DEFINITIVO],Tabla43[[#This Row],[ZONA DEFINITIVO]])," ")</f>
        <v xml:space="preserve"> </v>
      </c>
      <c r="AT10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5713054</v>
      </c>
      <c r="AU105" s="35">
        <f>VLOOKUP(Tabla43[[#This Row],[SERVICIO 2025]],$J$2:$V$16,3,0)*Tabla43[[#This Row],[TOTAL COBERTURA]]+Tabla43[[#This Row],[VALOR RACION PREPARADA]]/7</f>
        <v>4378962</v>
      </c>
      <c r="AV105" s="35">
        <f>VLOOKUP(Tabla43[[#This Row],[SERVICIO 2025]],$J$2:$V$16,3,0)*Tabla43[[#This Row],[TOTAL COBERTURA]]+Tabla43[[#This Row],[VALOR RACION PREPARADA]]/7</f>
        <v>4378962</v>
      </c>
      <c r="AW105" s="35">
        <f>VLOOKUP(Tabla43[[#This Row],[SERVICIO 2025]],$J$2:$V$16,3,0)*Tabla43[[#This Row],[TOTAL COBERTURA]]+Tabla43[[#This Row],[VALOR RACION PREPARADA]]/7</f>
        <v>4378962</v>
      </c>
      <c r="AX105" s="35">
        <f>VLOOKUP(Tabla43[[#This Row],[SERVICIO 2025]],$J$2:$V$16,3,0)*Tabla43[[#This Row],[TOTAL COBERTURA]]+Tabla43[[#This Row],[VALOR RACION PREPARADA]]/7</f>
        <v>4378962</v>
      </c>
      <c r="AY105" s="35">
        <f>VLOOKUP(Tabla43[[#This Row],[SERVICIO 2025]],$J$2:$V$16,3,0)*Tabla43[[#This Row],[TOTAL COBERTURA]]+Tabla43[[#This Row],[VALOR RACION PREPARADA]]/7</f>
        <v>4378962</v>
      </c>
      <c r="AZ105" s="35">
        <f>VLOOKUP(Tabla43[[#This Row],[SERVICIO 2025]],$J$2:$V$16,3,0)*Tabla43[[#This Row],[TOTAL COBERTURA]]+Tabla43[[#This Row],[VALOR RACION PREPARADA]]/7+Tabla43[[#This Row],[VALOR FASE PREPARATORIA DE CIERRE]]</f>
        <v>5076455</v>
      </c>
      <c r="BA105" s="35"/>
      <c r="BB105" s="35">
        <f>SUM(Tabla43[[#This Row],[DESEMBOLSO 1]:[DESEMBOLSO 8]])</f>
        <v>32684319</v>
      </c>
      <c r="BC105" s="55"/>
      <c r="BD105" s="47" t="s">
        <v>97</v>
      </c>
      <c r="BE105" s="12" t="b">
        <f>EXACT(Tabla43[[#This Row],[TOTAL APORTES ICBF]],Tabla43[[#This Row],[VALOR TOTAL]])</f>
        <v>1</v>
      </c>
      <c r="BF105" s="23">
        <f>SUM(Tabla43[[#This Row],[VALOR FASE PREPARATORIA DE ALISTAMIENTO]:[VALOR RACION PREPARADA]])-Tabla43[[#This Row],[VALOR TOTAL]]</f>
        <v>0</v>
      </c>
      <c r="BG105" s="12" t="b">
        <f>EXACT(Tabla43[[#This Row],[VALOR TOTAL]],Tabla43[[#This Row],[TOTAL DESEMBOLSOS]])</f>
        <v>1</v>
      </c>
      <c r="BH105" s="29">
        <f>Tabla43[[#This Row],[TOTAL DESEMBOLSOS]]-Tabla43[[#This Row],[VALOR TOTAL]]</f>
        <v>0</v>
      </c>
      <c r="BJ105" t="s">
        <v>3924</v>
      </c>
    </row>
    <row r="106" spans="1:62" hidden="1">
      <c r="A106" s="13">
        <v>1935</v>
      </c>
      <c r="B106" s="13"/>
      <c r="C106" s="12" t="s">
        <v>87</v>
      </c>
      <c r="D106" s="12" t="s">
        <v>987</v>
      </c>
      <c r="E106" s="12" t="s">
        <v>1143</v>
      </c>
      <c r="F106" s="12" t="s">
        <v>18</v>
      </c>
      <c r="G106" s="12" t="s">
        <v>90</v>
      </c>
      <c r="H106" s="12" t="s">
        <v>4061</v>
      </c>
      <c r="I106" s="12">
        <v>51541148774</v>
      </c>
      <c r="J106" s="12" t="s">
        <v>4062</v>
      </c>
      <c r="K106" s="12">
        <v>1</v>
      </c>
      <c r="L106" s="12">
        <v>19</v>
      </c>
      <c r="M106" s="12"/>
      <c r="N106" s="13">
        <v>1935</v>
      </c>
      <c r="O106" s="12" t="s">
        <v>93</v>
      </c>
      <c r="P106" s="12"/>
      <c r="Q106" s="12"/>
      <c r="R106" s="12" t="s">
        <v>94</v>
      </c>
      <c r="S106" s="12">
        <v>10</v>
      </c>
      <c r="T106" s="12" t="s">
        <v>4009</v>
      </c>
      <c r="U106" s="12" t="s">
        <v>4010</v>
      </c>
      <c r="V106" s="12">
        <f>VLOOKUP(Tabla43[[#This Row],[ZONA DEFINITIVO]],Hoja1!$A$1:$D$129,3,0)</f>
        <v>229954</v>
      </c>
      <c r="W106" s="12">
        <f>VLOOKUP(Tabla43[[#This Row],[ZONA DEFINITIVO]],Hoja1!$A$1:$D$129,2,0)</f>
        <v>18594</v>
      </c>
      <c r="X106" s="12">
        <f>VLOOKUP(Tabla43[[#This Row],[ZONA DEFINITIVO]],Hoja1!$A$1:$D$129,4,0)</f>
        <v>117625</v>
      </c>
      <c r="Y106" s="12" t="str">
        <f>+IF(Tabla43[[#This Row],[AGRUPACIONES]]=1,SUMIFS(Tabla43[UDS],Tabla43[ZONA DEFINITIVO],Tabla43[[#This Row],[ZONA DEFINITIVO]])," ")</f>
        <v xml:space="preserve"> </v>
      </c>
      <c r="Z106" s="12" t="str">
        <f>+IF(Tabla43[[#This Row],[AGRUPACIONES]]=1,SUMIFS(Tabla43[TOTAL COBERTURA],Tabla43[ZONA DEFINITIVO],Tabla43[[#This Row],[ZONA DEFINITIVO]])," ")</f>
        <v xml:space="preserve"> </v>
      </c>
      <c r="AA106" s="12"/>
      <c r="AB106" s="51">
        <v>36529533</v>
      </c>
      <c r="AC106" s="37">
        <v>0.02</v>
      </c>
      <c r="AD106" s="38">
        <f>Tabla43[[#This Row],[VALOR ATENCIÓN (7 MESES)]]*Tabla43[[#This Row],[% CONTRAPARTIDA]]</f>
        <v>730590.66</v>
      </c>
      <c r="AE106" s="12"/>
      <c r="AF106" s="12">
        <f>COUNTIF($A$22:A106,A106)</f>
        <v>28</v>
      </c>
      <c r="AG106" s="51">
        <v>36529533</v>
      </c>
      <c r="AH106" s="38">
        <f>Tabla43[[#This Row],[VALOR CONTRAPARTIDA]]+Tabla43[[#This Row],[TOTAL APORTES ICBF]]</f>
        <v>37260123.659999996</v>
      </c>
      <c r="AI106" s="35" t="str">
        <f>+IF(Tabla43[[#This Row],[AGRUPACIONES]]=1,SUMIFS(Tabla43[TOTAL APORTES ICBF],Tabla43[ZONA DEFINITIVO],Tabla43[[#This Row],[ZONA DEFINITIVO]])," ")</f>
        <v xml:space="preserve"> </v>
      </c>
      <c r="AJ106" s="38"/>
      <c r="AK106" s="38"/>
      <c r="AL106" s="23"/>
      <c r="AM106" s="35">
        <f>VLOOKUP(Tabla43[[#This Row],[SERVICIO 2025]],$J$2:$V$16,5,0)*Tabla43[[#This Row],[TOTAL COBERTURA]]</f>
        <v>938144</v>
      </c>
      <c r="AN106" s="35">
        <f>VLOOKUP(Tabla43[[#This Row],[SERVICIO 2025]],$J$2:$V$16,6,0)*Tabla43[[#This Row],[TOTAL COBERTURA]]</f>
        <v>779551</v>
      </c>
      <c r="AO106" s="35">
        <f>VLOOKUP(Tabla43[[#This Row],[SERVICIO 2025]],$J$2:$V$16,8,0)*Tabla43[[#This Row],[TOTAL COBERTURA]]</f>
        <v>552900</v>
      </c>
      <c r="AP106" s="35">
        <f>VLOOKUP(Tabla43[[#This Row],[SERVICIO 2025]],$J$2:$V$16,3,0)*Tabla43[[#This Row],[TOTAL COBERTURA]]*7</f>
        <v>34258938</v>
      </c>
      <c r="AQ106" s="35"/>
      <c r="AR10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36529533</v>
      </c>
      <c r="AS106" s="35" t="str">
        <f>+IF(Tabla43[[#This Row],[AGRUPACIONES]]=1,SUMIFS(Tabla43[VALOR TOTAL],Tabla43[ZONA DEFINITIVO],Tabla43[[#This Row],[ZONA DEFINITIVO]])," ")</f>
        <v xml:space="preserve"> </v>
      </c>
      <c r="AT10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6385178</v>
      </c>
      <c r="AU106" s="35">
        <f>VLOOKUP(Tabla43[[#This Row],[SERVICIO 2025]],$J$2:$V$16,3,0)*Tabla43[[#This Row],[TOTAL COBERTURA]]+Tabla43[[#This Row],[VALOR RACION PREPARADA]]/7</f>
        <v>4894134</v>
      </c>
      <c r="AV106" s="35">
        <f>VLOOKUP(Tabla43[[#This Row],[SERVICIO 2025]],$J$2:$V$16,3,0)*Tabla43[[#This Row],[TOTAL COBERTURA]]+Tabla43[[#This Row],[VALOR RACION PREPARADA]]/7</f>
        <v>4894134</v>
      </c>
      <c r="AW106" s="35">
        <f>VLOOKUP(Tabla43[[#This Row],[SERVICIO 2025]],$J$2:$V$16,3,0)*Tabla43[[#This Row],[TOTAL COBERTURA]]+Tabla43[[#This Row],[VALOR RACION PREPARADA]]/7</f>
        <v>4894134</v>
      </c>
      <c r="AX106" s="35">
        <f>VLOOKUP(Tabla43[[#This Row],[SERVICIO 2025]],$J$2:$V$16,3,0)*Tabla43[[#This Row],[TOTAL COBERTURA]]+Tabla43[[#This Row],[VALOR RACION PREPARADA]]/7</f>
        <v>4894134</v>
      </c>
      <c r="AY106" s="35">
        <f>VLOOKUP(Tabla43[[#This Row],[SERVICIO 2025]],$J$2:$V$16,3,0)*Tabla43[[#This Row],[TOTAL COBERTURA]]+Tabla43[[#This Row],[VALOR RACION PREPARADA]]/7</f>
        <v>4894134</v>
      </c>
      <c r="AZ106" s="35">
        <f>VLOOKUP(Tabla43[[#This Row],[SERVICIO 2025]],$J$2:$V$16,3,0)*Tabla43[[#This Row],[TOTAL COBERTURA]]+Tabla43[[#This Row],[VALOR RACION PREPARADA]]/7+Tabla43[[#This Row],[VALOR FASE PREPARATORIA DE CIERRE]]</f>
        <v>5673685</v>
      </c>
      <c r="BA106" s="35"/>
      <c r="BB106" s="35">
        <f>SUM(Tabla43[[#This Row],[DESEMBOLSO 1]:[DESEMBOLSO 8]])</f>
        <v>36529533</v>
      </c>
      <c r="BC106" s="55"/>
      <c r="BD106" s="47" t="s">
        <v>97</v>
      </c>
      <c r="BE106" s="12" t="b">
        <f>EXACT(Tabla43[[#This Row],[TOTAL APORTES ICBF]],Tabla43[[#This Row],[VALOR TOTAL]])</f>
        <v>1</v>
      </c>
      <c r="BF106" s="23">
        <f>SUM(Tabla43[[#This Row],[VALOR FASE PREPARATORIA DE ALISTAMIENTO]:[VALOR RACION PREPARADA]])-Tabla43[[#This Row],[VALOR TOTAL]]</f>
        <v>0</v>
      </c>
      <c r="BG106" s="12" t="b">
        <f>EXACT(Tabla43[[#This Row],[VALOR TOTAL]],Tabla43[[#This Row],[TOTAL DESEMBOLSOS]])</f>
        <v>1</v>
      </c>
      <c r="BH106" s="29">
        <f>Tabla43[[#This Row],[TOTAL DESEMBOLSOS]]-Tabla43[[#This Row],[VALOR TOTAL]]</f>
        <v>0</v>
      </c>
      <c r="BJ106" t="s">
        <v>3924</v>
      </c>
    </row>
    <row r="107" spans="1:62" hidden="1">
      <c r="A107" s="13">
        <v>1935</v>
      </c>
      <c r="B107" s="13"/>
      <c r="C107" s="12" t="s">
        <v>87</v>
      </c>
      <c r="D107" s="12" t="s">
        <v>987</v>
      </c>
      <c r="E107" s="12" t="s">
        <v>1143</v>
      </c>
      <c r="F107" s="12" t="s">
        <v>18</v>
      </c>
      <c r="G107" s="12" t="s">
        <v>90</v>
      </c>
      <c r="H107" s="12" t="s">
        <v>4063</v>
      </c>
      <c r="I107" s="12">
        <v>51541148787</v>
      </c>
      <c r="J107" s="12" t="s">
        <v>4064</v>
      </c>
      <c r="K107" s="12">
        <v>1</v>
      </c>
      <c r="L107" s="12">
        <v>45</v>
      </c>
      <c r="M107" s="12"/>
      <c r="N107" s="13">
        <v>1935</v>
      </c>
      <c r="O107" s="12" t="s">
        <v>93</v>
      </c>
      <c r="P107" s="12"/>
      <c r="Q107" s="12"/>
      <c r="R107" s="12" t="s">
        <v>94</v>
      </c>
      <c r="S107" s="12">
        <v>10</v>
      </c>
      <c r="T107" s="12" t="s">
        <v>4009</v>
      </c>
      <c r="U107" s="12" t="s">
        <v>4010</v>
      </c>
      <c r="V107" s="12">
        <f>VLOOKUP(Tabla43[[#This Row],[ZONA DEFINITIVO]],Hoja1!$A$1:$D$129,3,0)</f>
        <v>229954</v>
      </c>
      <c r="W107" s="12">
        <f>VLOOKUP(Tabla43[[#This Row],[ZONA DEFINITIVO]],Hoja1!$A$1:$D$129,2,0)</f>
        <v>18594</v>
      </c>
      <c r="X107" s="12">
        <f>VLOOKUP(Tabla43[[#This Row],[ZONA DEFINITIVO]],Hoja1!$A$1:$D$129,4,0)</f>
        <v>117625</v>
      </c>
      <c r="Y107" s="12" t="str">
        <f>+IF(Tabla43[[#This Row],[AGRUPACIONES]]=1,SUMIFS(Tabla43[UDS],Tabla43[ZONA DEFINITIVO],Tabla43[[#This Row],[ZONA DEFINITIVO]])," ")</f>
        <v xml:space="preserve"> </v>
      </c>
      <c r="Z107" s="12" t="str">
        <f>+IF(Tabla43[[#This Row],[AGRUPACIONES]]=1,SUMIFS(Tabla43[TOTAL COBERTURA],Tabla43[ZONA DEFINITIVO],Tabla43[[#This Row],[ZONA DEFINITIVO]])," ")</f>
        <v xml:space="preserve"> </v>
      </c>
      <c r="AA107" s="12"/>
      <c r="AB107" s="51">
        <v>86517315</v>
      </c>
      <c r="AC107" s="37">
        <v>0.02</v>
      </c>
      <c r="AD107" s="38">
        <f>Tabla43[[#This Row],[VALOR ATENCIÓN (7 MESES)]]*Tabla43[[#This Row],[% CONTRAPARTIDA]]</f>
        <v>1730346.3</v>
      </c>
      <c r="AE107" s="12"/>
      <c r="AF107" s="12">
        <f>COUNTIF($A$22:A107,A107)</f>
        <v>29</v>
      </c>
      <c r="AG107" s="51">
        <v>86517315</v>
      </c>
      <c r="AH107" s="38">
        <f>Tabla43[[#This Row],[VALOR CONTRAPARTIDA]]+Tabla43[[#This Row],[TOTAL APORTES ICBF]]</f>
        <v>88247661.299999997</v>
      </c>
      <c r="AI107" s="35" t="str">
        <f>+IF(Tabla43[[#This Row],[AGRUPACIONES]]=1,SUMIFS(Tabla43[TOTAL APORTES ICBF],Tabla43[ZONA DEFINITIVO],Tabla43[[#This Row],[ZONA DEFINITIVO]])," ")</f>
        <v xml:space="preserve"> </v>
      </c>
      <c r="AJ107" s="38"/>
      <c r="AK107" s="38"/>
      <c r="AL107" s="23"/>
      <c r="AM107" s="35">
        <f>VLOOKUP(Tabla43[[#This Row],[SERVICIO 2025]],$J$2:$V$16,5,0)*Tabla43[[#This Row],[TOTAL COBERTURA]]</f>
        <v>2221920</v>
      </c>
      <c r="AN107" s="35">
        <f>VLOOKUP(Tabla43[[#This Row],[SERVICIO 2025]],$J$2:$V$16,6,0)*Tabla43[[#This Row],[TOTAL COBERTURA]]</f>
        <v>1846305</v>
      </c>
      <c r="AO107" s="35">
        <f>VLOOKUP(Tabla43[[#This Row],[SERVICIO 2025]],$J$2:$V$16,8,0)*Tabla43[[#This Row],[TOTAL COBERTURA]]</f>
        <v>1309500</v>
      </c>
      <c r="AP107" s="35">
        <f>VLOOKUP(Tabla43[[#This Row],[SERVICIO 2025]],$J$2:$V$16,3,0)*Tabla43[[#This Row],[TOTAL COBERTURA]]*7</f>
        <v>81139590</v>
      </c>
      <c r="AQ107" s="35"/>
      <c r="AR10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86517315</v>
      </c>
      <c r="AS107" s="35" t="str">
        <f>+IF(Tabla43[[#This Row],[AGRUPACIONES]]=1,SUMIFS(Tabla43[VALOR TOTAL],Tabla43[ZONA DEFINITIVO],Tabla43[[#This Row],[ZONA DEFINITIVO]])," ")</f>
        <v xml:space="preserve"> </v>
      </c>
      <c r="AT10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15122790</v>
      </c>
      <c r="AU107" s="35">
        <f>VLOOKUP(Tabla43[[#This Row],[SERVICIO 2025]],$J$2:$V$16,3,0)*Tabla43[[#This Row],[TOTAL COBERTURA]]+Tabla43[[#This Row],[VALOR RACION PREPARADA]]/7</f>
        <v>11591370</v>
      </c>
      <c r="AV107" s="35">
        <f>VLOOKUP(Tabla43[[#This Row],[SERVICIO 2025]],$J$2:$V$16,3,0)*Tabla43[[#This Row],[TOTAL COBERTURA]]+Tabla43[[#This Row],[VALOR RACION PREPARADA]]/7</f>
        <v>11591370</v>
      </c>
      <c r="AW107" s="35">
        <f>VLOOKUP(Tabla43[[#This Row],[SERVICIO 2025]],$J$2:$V$16,3,0)*Tabla43[[#This Row],[TOTAL COBERTURA]]+Tabla43[[#This Row],[VALOR RACION PREPARADA]]/7</f>
        <v>11591370</v>
      </c>
      <c r="AX107" s="35">
        <f>VLOOKUP(Tabla43[[#This Row],[SERVICIO 2025]],$J$2:$V$16,3,0)*Tabla43[[#This Row],[TOTAL COBERTURA]]+Tabla43[[#This Row],[VALOR RACION PREPARADA]]/7</f>
        <v>11591370</v>
      </c>
      <c r="AY107" s="35">
        <f>VLOOKUP(Tabla43[[#This Row],[SERVICIO 2025]],$J$2:$V$16,3,0)*Tabla43[[#This Row],[TOTAL COBERTURA]]+Tabla43[[#This Row],[VALOR RACION PREPARADA]]/7</f>
        <v>11591370</v>
      </c>
      <c r="AZ107" s="35">
        <f>VLOOKUP(Tabla43[[#This Row],[SERVICIO 2025]],$J$2:$V$16,3,0)*Tabla43[[#This Row],[TOTAL COBERTURA]]+Tabla43[[#This Row],[VALOR RACION PREPARADA]]/7+Tabla43[[#This Row],[VALOR FASE PREPARATORIA DE CIERRE]]</f>
        <v>13437675</v>
      </c>
      <c r="BA107" s="35"/>
      <c r="BB107" s="35">
        <f>SUM(Tabla43[[#This Row],[DESEMBOLSO 1]:[DESEMBOLSO 8]])</f>
        <v>86517315</v>
      </c>
      <c r="BC107" s="55"/>
      <c r="BD107" s="47" t="s">
        <v>97</v>
      </c>
      <c r="BE107" s="12" t="b">
        <f>EXACT(Tabla43[[#This Row],[TOTAL APORTES ICBF]],Tabla43[[#This Row],[VALOR TOTAL]])</f>
        <v>1</v>
      </c>
      <c r="BF107" s="23">
        <f>SUM(Tabla43[[#This Row],[VALOR FASE PREPARATORIA DE ALISTAMIENTO]:[VALOR RACION PREPARADA]])-Tabla43[[#This Row],[VALOR TOTAL]]</f>
        <v>0</v>
      </c>
      <c r="BG107" s="12" t="b">
        <f>EXACT(Tabla43[[#This Row],[VALOR TOTAL]],Tabla43[[#This Row],[TOTAL DESEMBOLSOS]])</f>
        <v>1</v>
      </c>
      <c r="BH107" s="29">
        <f>Tabla43[[#This Row],[TOTAL DESEMBOLSOS]]-Tabla43[[#This Row],[VALOR TOTAL]]</f>
        <v>0</v>
      </c>
      <c r="BJ107" t="s">
        <v>3924</v>
      </c>
    </row>
    <row r="108" spans="1:62" hidden="1">
      <c r="A108" s="13">
        <v>1935</v>
      </c>
      <c r="B108" s="13"/>
      <c r="C108" s="12" t="s">
        <v>87</v>
      </c>
      <c r="D108" s="12" t="s">
        <v>987</v>
      </c>
      <c r="E108" s="12" t="s">
        <v>1143</v>
      </c>
      <c r="F108" s="12" t="s">
        <v>18</v>
      </c>
      <c r="G108" s="12" t="s">
        <v>90</v>
      </c>
      <c r="H108" s="12" t="s">
        <v>4065</v>
      </c>
      <c r="I108" s="12">
        <v>51541151142</v>
      </c>
      <c r="J108" s="12" t="s">
        <v>4066</v>
      </c>
      <c r="K108" s="12">
        <v>1</v>
      </c>
      <c r="L108" s="12">
        <v>17</v>
      </c>
      <c r="M108" s="12"/>
      <c r="N108" s="13">
        <v>1935</v>
      </c>
      <c r="O108" s="12" t="s">
        <v>93</v>
      </c>
      <c r="P108" s="12"/>
      <c r="Q108" s="12"/>
      <c r="R108" s="12" t="s">
        <v>94</v>
      </c>
      <c r="S108" s="12">
        <v>10</v>
      </c>
      <c r="T108" s="12" t="s">
        <v>4009</v>
      </c>
      <c r="U108" s="12" t="s">
        <v>4010</v>
      </c>
      <c r="V108" s="12">
        <f>VLOOKUP(Tabla43[[#This Row],[ZONA DEFINITIVO]],Hoja1!$A$1:$D$129,3,0)</f>
        <v>229954</v>
      </c>
      <c r="W108" s="12">
        <f>VLOOKUP(Tabla43[[#This Row],[ZONA DEFINITIVO]],Hoja1!$A$1:$D$129,2,0)</f>
        <v>18594</v>
      </c>
      <c r="X108" s="12">
        <f>VLOOKUP(Tabla43[[#This Row],[ZONA DEFINITIVO]],Hoja1!$A$1:$D$129,4,0)</f>
        <v>117625</v>
      </c>
      <c r="Y108" s="12" t="str">
        <f>+IF(Tabla43[[#This Row],[AGRUPACIONES]]=1,SUMIFS(Tabla43[UDS],Tabla43[ZONA DEFINITIVO],Tabla43[[#This Row],[ZONA DEFINITIVO]])," ")</f>
        <v xml:space="preserve"> </v>
      </c>
      <c r="Z108" s="12" t="str">
        <f>+IF(Tabla43[[#This Row],[AGRUPACIONES]]=1,SUMIFS(Tabla43[TOTAL COBERTURA],Tabla43[ZONA DEFINITIVO],Tabla43[[#This Row],[ZONA DEFINITIVO]])," ")</f>
        <v xml:space="preserve"> </v>
      </c>
      <c r="AA108" s="12"/>
      <c r="AB108" s="51">
        <v>32684319</v>
      </c>
      <c r="AC108" s="37">
        <v>0.02</v>
      </c>
      <c r="AD108" s="38">
        <f>Tabla43[[#This Row],[VALOR ATENCIÓN (7 MESES)]]*Tabla43[[#This Row],[% CONTRAPARTIDA]]</f>
        <v>653686.38</v>
      </c>
      <c r="AE108" s="12"/>
      <c r="AF108" s="12">
        <f>COUNTIF($A$22:A108,A108)</f>
        <v>30</v>
      </c>
      <c r="AG108" s="51">
        <v>32684319</v>
      </c>
      <c r="AH108" s="38">
        <f>Tabla43[[#This Row],[VALOR CONTRAPARTIDA]]+Tabla43[[#This Row],[TOTAL APORTES ICBF]]</f>
        <v>33338005.379999999</v>
      </c>
      <c r="AI108" s="35" t="str">
        <f>+IF(Tabla43[[#This Row],[AGRUPACIONES]]=1,SUMIFS(Tabla43[TOTAL APORTES ICBF],Tabla43[ZONA DEFINITIVO],Tabla43[[#This Row],[ZONA DEFINITIVO]])," ")</f>
        <v xml:space="preserve"> </v>
      </c>
      <c r="AJ108" s="38"/>
      <c r="AK108" s="38"/>
      <c r="AL108" s="23"/>
      <c r="AM108" s="35">
        <f>VLOOKUP(Tabla43[[#This Row],[SERVICIO 2025]],$J$2:$V$16,5,0)*Tabla43[[#This Row],[TOTAL COBERTURA]]</f>
        <v>839392</v>
      </c>
      <c r="AN108" s="35">
        <f>VLOOKUP(Tabla43[[#This Row],[SERVICIO 2025]],$J$2:$V$16,6,0)*Tabla43[[#This Row],[TOTAL COBERTURA]]</f>
        <v>697493</v>
      </c>
      <c r="AO108" s="35">
        <f>VLOOKUP(Tabla43[[#This Row],[SERVICIO 2025]],$J$2:$V$16,8,0)*Tabla43[[#This Row],[TOTAL COBERTURA]]</f>
        <v>494700</v>
      </c>
      <c r="AP108" s="35">
        <f>VLOOKUP(Tabla43[[#This Row],[SERVICIO 2025]],$J$2:$V$16,3,0)*Tabla43[[#This Row],[TOTAL COBERTURA]]*7</f>
        <v>30652734</v>
      </c>
      <c r="AQ108" s="35"/>
      <c r="AR10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32684319</v>
      </c>
      <c r="AS108" s="35" t="str">
        <f>+IF(Tabla43[[#This Row],[AGRUPACIONES]]=1,SUMIFS(Tabla43[VALOR TOTAL],Tabla43[ZONA DEFINITIVO],Tabla43[[#This Row],[ZONA DEFINITIVO]])," ")</f>
        <v xml:space="preserve"> </v>
      </c>
      <c r="AT10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5713054</v>
      </c>
      <c r="AU108" s="35">
        <f>VLOOKUP(Tabla43[[#This Row],[SERVICIO 2025]],$J$2:$V$16,3,0)*Tabla43[[#This Row],[TOTAL COBERTURA]]+Tabla43[[#This Row],[VALOR RACION PREPARADA]]/7</f>
        <v>4378962</v>
      </c>
      <c r="AV108" s="35">
        <f>VLOOKUP(Tabla43[[#This Row],[SERVICIO 2025]],$J$2:$V$16,3,0)*Tabla43[[#This Row],[TOTAL COBERTURA]]+Tabla43[[#This Row],[VALOR RACION PREPARADA]]/7</f>
        <v>4378962</v>
      </c>
      <c r="AW108" s="35">
        <f>VLOOKUP(Tabla43[[#This Row],[SERVICIO 2025]],$J$2:$V$16,3,0)*Tabla43[[#This Row],[TOTAL COBERTURA]]+Tabla43[[#This Row],[VALOR RACION PREPARADA]]/7</f>
        <v>4378962</v>
      </c>
      <c r="AX108" s="35">
        <f>VLOOKUP(Tabla43[[#This Row],[SERVICIO 2025]],$J$2:$V$16,3,0)*Tabla43[[#This Row],[TOTAL COBERTURA]]+Tabla43[[#This Row],[VALOR RACION PREPARADA]]/7</f>
        <v>4378962</v>
      </c>
      <c r="AY108" s="35">
        <f>VLOOKUP(Tabla43[[#This Row],[SERVICIO 2025]],$J$2:$V$16,3,0)*Tabla43[[#This Row],[TOTAL COBERTURA]]+Tabla43[[#This Row],[VALOR RACION PREPARADA]]/7</f>
        <v>4378962</v>
      </c>
      <c r="AZ108" s="35">
        <f>VLOOKUP(Tabla43[[#This Row],[SERVICIO 2025]],$J$2:$V$16,3,0)*Tabla43[[#This Row],[TOTAL COBERTURA]]+Tabla43[[#This Row],[VALOR RACION PREPARADA]]/7+Tabla43[[#This Row],[VALOR FASE PREPARATORIA DE CIERRE]]</f>
        <v>5076455</v>
      </c>
      <c r="BA108" s="35"/>
      <c r="BB108" s="35">
        <f>SUM(Tabla43[[#This Row],[DESEMBOLSO 1]:[DESEMBOLSO 8]])</f>
        <v>32684319</v>
      </c>
      <c r="BC108" s="55"/>
      <c r="BD108" s="47" t="s">
        <v>97</v>
      </c>
      <c r="BE108" s="12" t="b">
        <f>EXACT(Tabla43[[#This Row],[TOTAL APORTES ICBF]],Tabla43[[#This Row],[VALOR TOTAL]])</f>
        <v>1</v>
      </c>
      <c r="BF108" s="23">
        <f>SUM(Tabla43[[#This Row],[VALOR FASE PREPARATORIA DE ALISTAMIENTO]:[VALOR RACION PREPARADA]])-Tabla43[[#This Row],[VALOR TOTAL]]</f>
        <v>0</v>
      </c>
      <c r="BG108" s="12" t="b">
        <f>EXACT(Tabla43[[#This Row],[VALOR TOTAL]],Tabla43[[#This Row],[TOTAL DESEMBOLSOS]])</f>
        <v>1</v>
      </c>
      <c r="BH108" s="29">
        <f>Tabla43[[#This Row],[TOTAL DESEMBOLSOS]]-Tabla43[[#This Row],[VALOR TOTAL]]</f>
        <v>0</v>
      </c>
      <c r="BJ108" t="s">
        <v>3924</v>
      </c>
    </row>
    <row r="109" spans="1:62" hidden="1">
      <c r="A109" s="13">
        <v>1935</v>
      </c>
      <c r="B109" s="13"/>
      <c r="C109" s="12" t="s">
        <v>87</v>
      </c>
      <c r="D109" s="12" t="s">
        <v>987</v>
      </c>
      <c r="E109" s="12" t="s">
        <v>1143</v>
      </c>
      <c r="F109" s="12" t="s">
        <v>18</v>
      </c>
      <c r="G109" s="12" t="s">
        <v>90</v>
      </c>
      <c r="H109" s="12" t="s">
        <v>4067</v>
      </c>
      <c r="I109" s="12">
        <v>51541151912</v>
      </c>
      <c r="J109" s="12" t="s">
        <v>4068</v>
      </c>
      <c r="K109" s="12">
        <v>1</v>
      </c>
      <c r="L109" s="12">
        <v>18</v>
      </c>
      <c r="M109" s="12"/>
      <c r="N109" s="13">
        <v>1935</v>
      </c>
      <c r="O109" s="12" t="s">
        <v>93</v>
      </c>
      <c r="P109" s="12"/>
      <c r="Q109" s="12"/>
      <c r="R109" s="12" t="s">
        <v>94</v>
      </c>
      <c r="S109" s="12">
        <v>10</v>
      </c>
      <c r="T109" s="12" t="s">
        <v>4009</v>
      </c>
      <c r="U109" s="12" t="s">
        <v>4010</v>
      </c>
      <c r="V109" s="12">
        <f>VLOOKUP(Tabla43[[#This Row],[ZONA DEFINITIVO]],Hoja1!$A$1:$D$129,3,0)</f>
        <v>229954</v>
      </c>
      <c r="W109" s="12">
        <f>VLOOKUP(Tabla43[[#This Row],[ZONA DEFINITIVO]],Hoja1!$A$1:$D$129,2,0)</f>
        <v>18594</v>
      </c>
      <c r="X109" s="12">
        <f>VLOOKUP(Tabla43[[#This Row],[ZONA DEFINITIVO]],Hoja1!$A$1:$D$129,4,0)</f>
        <v>117625</v>
      </c>
      <c r="Y109" s="12" t="str">
        <f>+IF(Tabla43[[#This Row],[AGRUPACIONES]]=1,SUMIFS(Tabla43[UDS],Tabla43[ZONA DEFINITIVO],Tabla43[[#This Row],[ZONA DEFINITIVO]])," ")</f>
        <v xml:space="preserve"> </v>
      </c>
      <c r="Z109" s="12" t="str">
        <f>+IF(Tabla43[[#This Row],[AGRUPACIONES]]=1,SUMIFS(Tabla43[TOTAL COBERTURA],Tabla43[ZONA DEFINITIVO],Tabla43[[#This Row],[ZONA DEFINITIVO]])," ")</f>
        <v xml:space="preserve"> </v>
      </c>
      <c r="AA109" s="12"/>
      <c r="AB109" s="51">
        <v>34606926</v>
      </c>
      <c r="AC109" s="37">
        <v>0.02</v>
      </c>
      <c r="AD109" s="38">
        <f>Tabla43[[#This Row],[VALOR ATENCIÓN (7 MESES)]]*Tabla43[[#This Row],[% CONTRAPARTIDA]]</f>
        <v>692138.52</v>
      </c>
      <c r="AE109" s="12"/>
      <c r="AF109" s="12">
        <f>COUNTIF($A$22:A109,A109)</f>
        <v>31</v>
      </c>
      <c r="AG109" s="51">
        <v>34606926</v>
      </c>
      <c r="AH109" s="38">
        <f>Tabla43[[#This Row],[VALOR CONTRAPARTIDA]]+Tabla43[[#This Row],[TOTAL APORTES ICBF]]</f>
        <v>35299064.520000003</v>
      </c>
      <c r="AI109" s="35" t="str">
        <f>+IF(Tabla43[[#This Row],[AGRUPACIONES]]=1,SUMIFS(Tabla43[TOTAL APORTES ICBF],Tabla43[ZONA DEFINITIVO],Tabla43[[#This Row],[ZONA DEFINITIVO]])," ")</f>
        <v xml:space="preserve"> </v>
      </c>
      <c r="AJ109" s="38"/>
      <c r="AK109" s="38"/>
      <c r="AL109" s="23"/>
      <c r="AM109" s="35">
        <f>VLOOKUP(Tabla43[[#This Row],[SERVICIO 2025]],$J$2:$V$16,5,0)*Tabla43[[#This Row],[TOTAL COBERTURA]]</f>
        <v>888768</v>
      </c>
      <c r="AN109" s="35">
        <f>VLOOKUP(Tabla43[[#This Row],[SERVICIO 2025]],$J$2:$V$16,6,0)*Tabla43[[#This Row],[TOTAL COBERTURA]]</f>
        <v>738522</v>
      </c>
      <c r="AO109" s="35">
        <f>VLOOKUP(Tabla43[[#This Row],[SERVICIO 2025]],$J$2:$V$16,8,0)*Tabla43[[#This Row],[TOTAL COBERTURA]]</f>
        <v>523800</v>
      </c>
      <c r="AP109" s="35">
        <f>VLOOKUP(Tabla43[[#This Row],[SERVICIO 2025]],$J$2:$V$16,3,0)*Tabla43[[#This Row],[TOTAL COBERTURA]]*7</f>
        <v>32455836</v>
      </c>
      <c r="AQ109" s="35"/>
      <c r="AR10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34606926</v>
      </c>
      <c r="AS109" s="35" t="str">
        <f>+IF(Tabla43[[#This Row],[AGRUPACIONES]]=1,SUMIFS(Tabla43[VALOR TOTAL],Tabla43[ZONA DEFINITIVO],Tabla43[[#This Row],[ZONA DEFINITIVO]])," ")</f>
        <v xml:space="preserve"> </v>
      </c>
      <c r="AT10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6049116</v>
      </c>
      <c r="AU109" s="35">
        <f>VLOOKUP(Tabla43[[#This Row],[SERVICIO 2025]],$J$2:$V$16,3,0)*Tabla43[[#This Row],[TOTAL COBERTURA]]+Tabla43[[#This Row],[VALOR RACION PREPARADA]]/7</f>
        <v>4636548</v>
      </c>
      <c r="AV109" s="35">
        <f>VLOOKUP(Tabla43[[#This Row],[SERVICIO 2025]],$J$2:$V$16,3,0)*Tabla43[[#This Row],[TOTAL COBERTURA]]+Tabla43[[#This Row],[VALOR RACION PREPARADA]]/7</f>
        <v>4636548</v>
      </c>
      <c r="AW109" s="35">
        <f>VLOOKUP(Tabla43[[#This Row],[SERVICIO 2025]],$J$2:$V$16,3,0)*Tabla43[[#This Row],[TOTAL COBERTURA]]+Tabla43[[#This Row],[VALOR RACION PREPARADA]]/7</f>
        <v>4636548</v>
      </c>
      <c r="AX109" s="35">
        <f>VLOOKUP(Tabla43[[#This Row],[SERVICIO 2025]],$J$2:$V$16,3,0)*Tabla43[[#This Row],[TOTAL COBERTURA]]+Tabla43[[#This Row],[VALOR RACION PREPARADA]]/7</f>
        <v>4636548</v>
      </c>
      <c r="AY109" s="35">
        <f>VLOOKUP(Tabla43[[#This Row],[SERVICIO 2025]],$J$2:$V$16,3,0)*Tabla43[[#This Row],[TOTAL COBERTURA]]+Tabla43[[#This Row],[VALOR RACION PREPARADA]]/7</f>
        <v>4636548</v>
      </c>
      <c r="AZ109" s="35">
        <f>VLOOKUP(Tabla43[[#This Row],[SERVICIO 2025]],$J$2:$V$16,3,0)*Tabla43[[#This Row],[TOTAL COBERTURA]]+Tabla43[[#This Row],[VALOR RACION PREPARADA]]/7+Tabla43[[#This Row],[VALOR FASE PREPARATORIA DE CIERRE]]</f>
        <v>5375070</v>
      </c>
      <c r="BA109" s="35"/>
      <c r="BB109" s="35">
        <f>SUM(Tabla43[[#This Row],[DESEMBOLSO 1]:[DESEMBOLSO 8]])</f>
        <v>34606926</v>
      </c>
      <c r="BC109" s="55"/>
      <c r="BD109" s="47" t="s">
        <v>97</v>
      </c>
      <c r="BE109" s="12" t="b">
        <f>EXACT(Tabla43[[#This Row],[TOTAL APORTES ICBF]],Tabla43[[#This Row],[VALOR TOTAL]])</f>
        <v>1</v>
      </c>
      <c r="BF109" s="23">
        <f>SUM(Tabla43[[#This Row],[VALOR FASE PREPARATORIA DE ALISTAMIENTO]:[VALOR RACION PREPARADA]])-Tabla43[[#This Row],[VALOR TOTAL]]</f>
        <v>0</v>
      </c>
      <c r="BG109" s="12" t="b">
        <f>EXACT(Tabla43[[#This Row],[VALOR TOTAL]],Tabla43[[#This Row],[TOTAL DESEMBOLSOS]])</f>
        <v>1</v>
      </c>
      <c r="BH109" s="29">
        <f>Tabla43[[#This Row],[TOTAL DESEMBOLSOS]]-Tabla43[[#This Row],[VALOR TOTAL]]</f>
        <v>0</v>
      </c>
      <c r="BJ109" t="s">
        <v>3924</v>
      </c>
    </row>
    <row r="110" spans="1:62" hidden="1">
      <c r="A110" s="13">
        <v>1935</v>
      </c>
      <c r="B110" s="13"/>
      <c r="C110" s="12" t="s">
        <v>87</v>
      </c>
      <c r="D110" s="12" t="s">
        <v>987</v>
      </c>
      <c r="E110" s="12" t="s">
        <v>1143</v>
      </c>
      <c r="F110" s="12" t="s">
        <v>18</v>
      </c>
      <c r="G110" s="12" t="s">
        <v>90</v>
      </c>
      <c r="H110" s="12" t="s">
        <v>4069</v>
      </c>
      <c r="I110" s="12">
        <v>51541152151</v>
      </c>
      <c r="J110" s="12" t="s">
        <v>4070</v>
      </c>
      <c r="K110" s="12">
        <v>1</v>
      </c>
      <c r="L110" s="12">
        <v>16</v>
      </c>
      <c r="M110" s="12"/>
      <c r="N110" s="13">
        <v>1935</v>
      </c>
      <c r="O110" s="12" t="s">
        <v>93</v>
      </c>
      <c r="P110" s="12"/>
      <c r="Q110" s="12"/>
      <c r="R110" s="12" t="s">
        <v>94</v>
      </c>
      <c r="S110" s="12">
        <v>10</v>
      </c>
      <c r="T110" s="12" t="s">
        <v>4009</v>
      </c>
      <c r="U110" s="12" t="s">
        <v>4010</v>
      </c>
      <c r="V110" s="12">
        <f>VLOOKUP(Tabla43[[#This Row],[ZONA DEFINITIVO]],Hoja1!$A$1:$D$129,3,0)</f>
        <v>229954</v>
      </c>
      <c r="W110" s="12">
        <f>VLOOKUP(Tabla43[[#This Row],[ZONA DEFINITIVO]],Hoja1!$A$1:$D$129,2,0)</f>
        <v>18594</v>
      </c>
      <c r="X110" s="12">
        <f>VLOOKUP(Tabla43[[#This Row],[ZONA DEFINITIVO]],Hoja1!$A$1:$D$129,4,0)</f>
        <v>117625</v>
      </c>
      <c r="Y110" s="12" t="str">
        <f>+IF(Tabla43[[#This Row],[AGRUPACIONES]]=1,SUMIFS(Tabla43[UDS],Tabla43[ZONA DEFINITIVO],Tabla43[[#This Row],[ZONA DEFINITIVO]])," ")</f>
        <v xml:space="preserve"> </v>
      </c>
      <c r="Z110" s="12" t="str">
        <f>+IF(Tabla43[[#This Row],[AGRUPACIONES]]=1,SUMIFS(Tabla43[TOTAL COBERTURA],Tabla43[ZONA DEFINITIVO],Tabla43[[#This Row],[ZONA DEFINITIVO]])," ")</f>
        <v xml:space="preserve"> </v>
      </c>
      <c r="AA110" s="12"/>
      <c r="AB110" s="51">
        <v>30761712</v>
      </c>
      <c r="AC110" s="37">
        <v>0.02</v>
      </c>
      <c r="AD110" s="38">
        <f>Tabla43[[#This Row],[VALOR ATENCIÓN (7 MESES)]]*Tabla43[[#This Row],[% CONTRAPARTIDA]]</f>
        <v>615234.24</v>
      </c>
      <c r="AE110" s="12"/>
      <c r="AF110" s="12">
        <f>COUNTIF($A$22:A110,A110)</f>
        <v>32</v>
      </c>
      <c r="AG110" s="51">
        <v>30761712</v>
      </c>
      <c r="AH110" s="38">
        <f>Tabla43[[#This Row],[VALOR CONTRAPARTIDA]]+Tabla43[[#This Row],[TOTAL APORTES ICBF]]</f>
        <v>31376946.239999998</v>
      </c>
      <c r="AI110" s="35" t="str">
        <f>+IF(Tabla43[[#This Row],[AGRUPACIONES]]=1,SUMIFS(Tabla43[TOTAL APORTES ICBF],Tabla43[ZONA DEFINITIVO],Tabla43[[#This Row],[ZONA DEFINITIVO]])," ")</f>
        <v xml:space="preserve"> </v>
      </c>
      <c r="AJ110" s="38"/>
      <c r="AK110" s="38"/>
      <c r="AL110" s="23"/>
      <c r="AM110" s="35">
        <f>VLOOKUP(Tabla43[[#This Row],[SERVICIO 2025]],$J$2:$V$16,5,0)*Tabla43[[#This Row],[TOTAL COBERTURA]]</f>
        <v>790016</v>
      </c>
      <c r="AN110" s="35">
        <f>VLOOKUP(Tabla43[[#This Row],[SERVICIO 2025]],$J$2:$V$16,6,0)*Tabla43[[#This Row],[TOTAL COBERTURA]]</f>
        <v>656464</v>
      </c>
      <c r="AO110" s="35">
        <f>VLOOKUP(Tabla43[[#This Row],[SERVICIO 2025]],$J$2:$V$16,8,0)*Tabla43[[#This Row],[TOTAL COBERTURA]]</f>
        <v>465600</v>
      </c>
      <c r="AP110" s="35">
        <f>VLOOKUP(Tabla43[[#This Row],[SERVICIO 2025]],$J$2:$V$16,3,0)*Tabla43[[#This Row],[TOTAL COBERTURA]]*7</f>
        <v>28849632</v>
      </c>
      <c r="AQ110" s="35"/>
      <c r="AR11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110" s="35" t="str">
        <f>+IF(Tabla43[[#This Row],[AGRUPACIONES]]=1,SUMIFS(Tabla43[VALOR TOTAL],Tabla43[ZONA DEFINITIVO],Tabla43[[#This Row],[ZONA DEFINITIVO]])," ")</f>
        <v xml:space="preserve"> </v>
      </c>
      <c r="AT11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110" s="35">
        <f>VLOOKUP(Tabla43[[#This Row],[SERVICIO 2025]],$J$2:$V$16,3,0)*Tabla43[[#This Row],[TOTAL COBERTURA]]+Tabla43[[#This Row],[VALOR RACION PREPARADA]]/7</f>
        <v>4121376</v>
      </c>
      <c r="AV110" s="35">
        <f>VLOOKUP(Tabla43[[#This Row],[SERVICIO 2025]],$J$2:$V$16,3,0)*Tabla43[[#This Row],[TOTAL COBERTURA]]+Tabla43[[#This Row],[VALOR RACION PREPARADA]]/7</f>
        <v>4121376</v>
      </c>
      <c r="AW110" s="35">
        <f>VLOOKUP(Tabla43[[#This Row],[SERVICIO 2025]],$J$2:$V$16,3,0)*Tabla43[[#This Row],[TOTAL COBERTURA]]+Tabla43[[#This Row],[VALOR RACION PREPARADA]]/7</f>
        <v>4121376</v>
      </c>
      <c r="AX110" s="35">
        <f>VLOOKUP(Tabla43[[#This Row],[SERVICIO 2025]],$J$2:$V$16,3,0)*Tabla43[[#This Row],[TOTAL COBERTURA]]+Tabla43[[#This Row],[VALOR RACION PREPARADA]]/7</f>
        <v>4121376</v>
      </c>
      <c r="AY110" s="35">
        <f>VLOOKUP(Tabla43[[#This Row],[SERVICIO 2025]],$J$2:$V$16,3,0)*Tabla43[[#This Row],[TOTAL COBERTURA]]+Tabla43[[#This Row],[VALOR RACION PREPARADA]]/7</f>
        <v>4121376</v>
      </c>
      <c r="AZ110" s="35">
        <f>VLOOKUP(Tabla43[[#This Row],[SERVICIO 2025]],$J$2:$V$16,3,0)*Tabla43[[#This Row],[TOTAL COBERTURA]]+Tabla43[[#This Row],[VALOR RACION PREPARADA]]/7+Tabla43[[#This Row],[VALOR FASE PREPARATORIA DE CIERRE]]</f>
        <v>4777840</v>
      </c>
      <c r="BA110" s="35"/>
      <c r="BB110" s="35">
        <f>SUM(Tabla43[[#This Row],[DESEMBOLSO 1]:[DESEMBOLSO 8]])</f>
        <v>30761712</v>
      </c>
      <c r="BC110" s="55"/>
      <c r="BD110" s="47" t="s">
        <v>97</v>
      </c>
      <c r="BE110" s="12" t="b">
        <f>EXACT(Tabla43[[#This Row],[TOTAL APORTES ICBF]],Tabla43[[#This Row],[VALOR TOTAL]])</f>
        <v>1</v>
      </c>
      <c r="BF110" s="23">
        <f>SUM(Tabla43[[#This Row],[VALOR FASE PREPARATORIA DE ALISTAMIENTO]:[VALOR RACION PREPARADA]])-Tabla43[[#This Row],[VALOR TOTAL]]</f>
        <v>0</v>
      </c>
      <c r="BG110" s="12" t="b">
        <f>EXACT(Tabla43[[#This Row],[VALOR TOTAL]],Tabla43[[#This Row],[TOTAL DESEMBOLSOS]])</f>
        <v>1</v>
      </c>
      <c r="BH110" s="29">
        <f>Tabla43[[#This Row],[TOTAL DESEMBOLSOS]]-Tabla43[[#This Row],[VALOR TOTAL]]</f>
        <v>0</v>
      </c>
      <c r="BJ110" t="s">
        <v>3924</v>
      </c>
    </row>
    <row r="111" spans="1:62" hidden="1">
      <c r="A111" s="13">
        <v>1935</v>
      </c>
      <c r="B111" s="13"/>
      <c r="C111" s="12" t="s">
        <v>87</v>
      </c>
      <c r="D111" s="12" t="s">
        <v>987</v>
      </c>
      <c r="E111" s="12" t="s">
        <v>1143</v>
      </c>
      <c r="F111" s="12" t="s">
        <v>18</v>
      </c>
      <c r="G111" s="12" t="s">
        <v>90</v>
      </c>
      <c r="H111" s="12" t="s">
        <v>4071</v>
      </c>
      <c r="I111" s="12">
        <v>51541152153</v>
      </c>
      <c r="J111" s="12" t="s">
        <v>4072</v>
      </c>
      <c r="K111" s="12">
        <v>1</v>
      </c>
      <c r="L111" s="12">
        <v>13</v>
      </c>
      <c r="M111" s="12"/>
      <c r="N111" s="13">
        <v>1935</v>
      </c>
      <c r="O111" s="12" t="s">
        <v>93</v>
      </c>
      <c r="P111" s="12"/>
      <c r="Q111" s="12"/>
      <c r="R111" s="12" t="s">
        <v>94</v>
      </c>
      <c r="S111" s="12">
        <v>10</v>
      </c>
      <c r="T111" s="12" t="s">
        <v>4009</v>
      </c>
      <c r="U111" s="12" t="s">
        <v>4010</v>
      </c>
      <c r="V111" s="12">
        <f>VLOOKUP(Tabla43[[#This Row],[ZONA DEFINITIVO]],Hoja1!$A$1:$D$129,3,0)</f>
        <v>229954</v>
      </c>
      <c r="W111" s="12">
        <f>VLOOKUP(Tabla43[[#This Row],[ZONA DEFINITIVO]],Hoja1!$A$1:$D$129,2,0)</f>
        <v>18594</v>
      </c>
      <c r="X111" s="12">
        <f>VLOOKUP(Tabla43[[#This Row],[ZONA DEFINITIVO]],Hoja1!$A$1:$D$129,4,0)</f>
        <v>117625</v>
      </c>
      <c r="Y111" s="12" t="str">
        <f>+IF(Tabla43[[#This Row],[AGRUPACIONES]]=1,SUMIFS(Tabla43[UDS],Tabla43[ZONA DEFINITIVO],Tabla43[[#This Row],[ZONA DEFINITIVO]])," ")</f>
        <v xml:space="preserve"> </v>
      </c>
      <c r="Z111" s="12" t="str">
        <f>+IF(Tabla43[[#This Row],[AGRUPACIONES]]=1,SUMIFS(Tabla43[TOTAL COBERTURA],Tabla43[ZONA DEFINITIVO],Tabla43[[#This Row],[ZONA DEFINITIVO]])," ")</f>
        <v xml:space="preserve"> </v>
      </c>
      <c r="AA111" s="12"/>
      <c r="AB111" s="51">
        <v>24993891</v>
      </c>
      <c r="AC111" s="37">
        <v>0.02</v>
      </c>
      <c r="AD111" s="38">
        <f>Tabla43[[#This Row],[VALOR ATENCIÓN (7 MESES)]]*Tabla43[[#This Row],[% CONTRAPARTIDA]]</f>
        <v>499877.82</v>
      </c>
      <c r="AE111" s="12"/>
      <c r="AF111" s="12">
        <f>COUNTIF($A$22:A111,A111)</f>
        <v>33</v>
      </c>
      <c r="AG111" s="51">
        <v>24993891</v>
      </c>
      <c r="AH111" s="38">
        <f>Tabla43[[#This Row],[VALOR CONTRAPARTIDA]]+Tabla43[[#This Row],[TOTAL APORTES ICBF]]</f>
        <v>25493768.82</v>
      </c>
      <c r="AI111" s="35" t="str">
        <f>+IF(Tabla43[[#This Row],[AGRUPACIONES]]=1,SUMIFS(Tabla43[TOTAL APORTES ICBF],Tabla43[ZONA DEFINITIVO],Tabla43[[#This Row],[ZONA DEFINITIVO]])," ")</f>
        <v xml:space="preserve"> </v>
      </c>
      <c r="AJ111" s="38"/>
      <c r="AK111" s="38"/>
      <c r="AL111" s="23"/>
      <c r="AM111" s="35">
        <f>VLOOKUP(Tabla43[[#This Row],[SERVICIO 2025]],$J$2:$V$16,5,0)*Tabla43[[#This Row],[TOTAL COBERTURA]]</f>
        <v>641888</v>
      </c>
      <c r="AN111" s="35">
        <f>VLOOKUP(Tabla43[[#This Row],[SERVICIO 2025]],$J$2:$V$16,6,0)*Tabla43[[#This Row],[TOTAL COBERTURA]]</f>
        <v>533377</v>
      </c>
      <c r="AO111" s="35">
        <f>VLOOKUP(Tabla43[[#This Row],[SERVICIO 2025]],$J$2:$V$16,8,0)*Tabla43[[#This Row],[TOTAL COBERTURA]]</f>
        <v>378300</v>
      </c>
      <c r="AP111" s="35">
        <f>VLOOKUP(Tabla43[[#This Row],[SERVICIO 2025]],$J$2:$V$16,3,0)*Tabla43[[#This Row],[TOTAL COBERTURA]]*7</f>
        <v>23440326</v>
      </c>
      <c r="AQ111" s="35"/>
      <c r="AR11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24993891</v>
      </c>
      <c r="AS111" s="35" t="str">
        <f>+IF(Tabla43[[#This Row],[AGRUPACIONES]]=1,SUMIFS(Tabla43[VALOR TOTAL],Tabla43[ZONA DEFINITIVO],Tabla43[[#This Row],[ZONA DEFINITIVO]])," ")</f>
        <v xml:space="preserve"> </v>
      </c>
      <c r="AT11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4368806</v>
      </c>
      <c r="AU111" s="35">
        <f>VLOOKUP(Tabla43[[#This Row],[SERVICIO 2025]],$J$2:$V$16,3,0)*Tabla43[[#This Row],[TOTAL COBERTURA]]+Tabla43[[#This Row],[VALOR RACION PREPARADA]]/7</f>
        <v>3348618</v>
      </c>
      <c r="AV111" s="35">
        <f>VLOOKUP(Tabla43[[#This Row],[SERVICIO 2025]],$J$2:$V$16,3,0)*Tabla43[[#This Row],[TOTAL COBERTURA]]+Tabla43[[#This Row],[VALOR RACION PREPARADA]]/7</f>
        <v>3348618</v>
      </c>
      <c r="AW111" s="35">
        <f>VLOOKUP(Tabla43[[#This Row],[SERVICIO 2025]],$J$2:$V$16,3,0)*Tabla43[[#This Row],[TOTAL COBERTURA]]+Tabla43[[#This Row],[VALOR RACION PREPARADA]]/7</f>
        <v>3348618</v>
      </c>
      <c r="AX111" s="35">
        <f>VLOOKUP(Tabla43[[#This Row],[SERVICIO 2025]],$J$2:$V$16,3,0)*Tabla43[[#This Row],[TOTAL COBERTURA]]+Tabla43[[#This Row],[VALOR RACION PREPARADA]]/7</f>
        <v>3348618</v>
      </c>
      <c r="AY111" s="35">
        <f>VLOOKUP(Tabla43[[#This Row],[SERVICIO 2025]],$J$2:$V$16,3,0)*Tabla43[[#This Row],[TOTAL COBERTURA]]+Tabla43[[#This Row],[VALOR RACION PREPARADA]]/7</f>
        <v>3348618</v>
      </c>
      <c r="AZ111" s="35">
        <f>VLOOKUP(Tabla43[[#This Row],[SERVICIO 2025]],$J$2:$V$16,3,0)*Tabla43[[#This Row],[TOTAL COBERTURA]]+Tabla43[[#This Row],[VALOR RACION PREPARADA]]/7+Tabla43[[#This Row],[VALOR FASE PREPARATORIA DE CIERRE]]</f>
        <v>3881995</v>
      </c>
      <c r="BA111" s="35"/>
      <c r="BB111" s="35">
        <f>SUM(Tabla43[[#This Row],[DESEMBOLSO 1]:[DESEMBOLSO 8]])</f>
        <v>24993891</v>
      </c>
      <c r="BC111" s="55"/>
      <c r="BD111" s="47" t="s">
        <v>97</v>
      </c>
      <c r="BE111" s="12" t="b">
        <f>EXACT(Tabla43[[#This Row],[TOTAL APORTES ICBF]],Tabla43[[#This Row],[VALOR TOTAL]])</f>
        <v>1</v>
      </c>
      <c r="BF111" s="23">
        <f>SUM(Tabla43[[#This Row],[VALOR FASE PREPARATORIA DE ALISTAMIENTO]:[VALOR RACION PREPARADA]])-Tabla43[[#This Row],[VALOR TOTAL]]</f>
        <v>0</v>
      </c>
      <c r="BG111" s="12" t="b">
        <f>EXACT(Tabla43[[#This Row],[VALOR TOTAL]],Tabla43[[#This Row],[TOTAL DESEMBOLSOS]])</f>
        <v>1</v>
      </c>
      <c r="BH111" s="29">
        <f>Tabla43[[#This Row],[TOTAL DESEMBOLSOS]]-Tabla43[[#This Row],[VALOR TOTAL]]</f>
        <v>0</v>
      </c>
      <c r="BJ111" t="s">
        <v>3924</v>
      </c>
    </row>
    <row r="112" spans="1:62" hidden="1">
      <c r="A112" s="71">
        <v>1943</v>
      </c>
      <c r="B112" s="13"/>
      <c r="C112" s="12" t="s">
        <v>87</v>
      </c>
      <c r="D112" s="12" t="s">
        <v>579</v>
      </c>
      <c r="E112" s="12" t="s">
        <v>4073</v>
      </c>
      <c r="F112" s="12" t="s">
        <v>18</v>
      </c>
      <c r="G112" s="12" t="s">
        <v>90</v>
      </c>
      <c r="H112" s="12" t="s">
        <v>4074</v>
      </c>
      <c r="I112" s="12">
        <v>52341119080</v>
      </c>
      <c r="J112" s="12" t="s">
        <v>4075</v>
      </c>
      <c r="K112" s="12">
        <v>1</v>
      </c>
      <c r="L112" s="12">
        <v>17</v>
      </c>
      <c r="M112" s="12"/>
      <c r="N112" s="71">
        <v>1943</v>
      </c>
      <c r="O112" s="12" t="s">
        <v>93</v>
      </c>
      <c r="P112" s="12"/>
      <c r="Q112" s="12"/>
      <c r="R112" s="12" t="s">
        <v>94</v>
      </c>
      <c r="S112" s="12">
        <v>10</v>
      </c>
      <c r="T112" s="12" t="s">
        <v>2629</v>
      </c>
      <c r="U112" s="12" t="s">
        <v>2630</v>
      </c>
      <c r="V112" s="12">
        <f>VLOOKUP(Tabla43[[#This Row],[ZONA DEFINITIVO]],Hoja1!$A$1:$D$129,3,0)</f>
        <v>232286</v>
      </c>
      <c r="W112" s="12">
        <f>VLOOKUP(Tabla43[[#This Row],[ZONA DEFINITIVO]],Hoja1!$A$1:$D$129,2,0)</f>
        <v>18587</v>
      </c>
      <c r="X112" s="12">
        <f>VLOOKUP(Tabla43[[#This Row],[ZONA DEFINITIVO]],Hoja1!$A$1:$D$129,4,0)</f>
        <v>117025</v>
      </c>
      <c r="Y112" s="12">
        <f>+IF(Tabla43[[#This Row],[AGRUPACIONES]]=1,SUMIFS(Tabla43[UDS],Tabla43[ZONA DEFINITIVO],Tabla43[[#This Row],[ZONA DEFINITIVO]])," ")</f>
        <v>23</v>
      </c>
      <c r="Z112" s="12">
        <f>+IF(Tabla43[[#This Row],[AGRUPACIONES]]=1,SUMIFS(Tabla43[TOTAL COBERTURA],Tabla43[ZONA DEFINITIVO],Tabla43[[#This Row],[ZONA DEFINITIVO]])," ")</f>
        <v>510</v>
      </c>
      <c r="AA112" s="12"/>
      <c r="AB112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32684319</v>
      </c>
      <c r="AC112" s="37">
        <v>0.02</v>
      </c>
      <c r="AD112" s="38">
        <f>Tabla43[[#This Row],[VALOR ATENCIÓN (7 MESES)]]*Tabla43[[#This Row],[% CONTRAPARTIDA]]</f>
        <v>653686.38</v>
      </c>
      <c r="AE112" s="12"/>
      <c r="AF112" s="12">
        <f>COUNTIF($A$22:A112,A112)</f>
        <v>1</v>
      </c>
      <c r="AG112" s="51">
        <v>32684319</v>
      </c>
      <c r="AH112" s="38">
        <f>Tabla43[[#This Row],[VALOR CONTRAPARTIDA]]+Tabla43[[#This Row],[TOTAL APORTES ICBF]]</f>
        <v>33338005.379999999</v>
      </c>
      <c r="AI112" s="35">
        <f>+IF(Tabla43[[#This Row],[AGRUPACIONES]]=1,SUMIFS(Tabla43[TOTAL APORTES ICBF],Tabla43[ZONA DEFINITIVO],Tabla43[[#This Row],[ZONA DEFINITIVO]])," ")</f>
        <v>1370160305</v>
      </c>
      <c r="AJ112" s="38">
        <f>ROUND(+IF(Tabla43[[#This Row],[AGRUPACIONES]]=1,SUMIFS(Tabla43[VALOR CONTRAPARTIDA],Tabla43[ZONA DEFINITIVO],Tabla43[[#This Row],[ZONA DEFINITIVO]])," "),0)</f>
        <v>27403206</v>
      </c>
      <c r="AK112" s="38">
        <f>Tabla43[[#This Row],[TOTAL APORTES ICBF AGRUPADO]]+Tabla43[[#This Row],[TOTAL CONTRAPARTIDA AGRUPADO]]</f>
        <v>1397563511</v>
      </c>
      <c r="AL112" s="23">
        <f>Tabla43[[#This Row],[TOTAL APORTES ICBF AGRUPADO]]/$AL$20</f>
        <v>962.52919213206883</v>
      </c>
      <c r="AM112" s="35">
        <f>VLOOKUP(Tabla43[[#This Row],[SERVICIO 2025]],$J$2:$V$16,5,0)*Tabla43[[#This Row],[TOTAL COBERTURA]]</f>
        <v>839392</v>
      </c>
      <c r="AN112" s="35">
        <f>VLOOKUP(Tabla43[[#This Row],[SERVICIO 2025]],$J$2:$V$16,6,0)*Tabla43[[#This Row],[TOTAL COBERTURA]]</f>
        <v>697493</v>
      </c>
      <c r="AO112" s="35">
        <f>VLOOKUP(Tabla43[[#This Row],[SERVICIO 2025]],$J$2:$V$16,8,0)*Tabla43[[#This Row],[TOTAL COBERTURA]]</f>
        <v>494700</v>
      </c>
      <c r="AP112" s="35">
        <f>VLOOKUP(Tabla43[[#This Row],[SERVICIO 2025]],$J$2:$V$16,3,0)*Tabla43[[#This Row],[TOTAL COBERTURA]]*7</f>
        <v>30652734</v>
      </c>
      <c r="AQ112" s="35"/>
      <c r="AR11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32684319</v>
      </c>
      <c r="AS112" s="35">
        <f>+IF(Tabla43[[#This Row],[AGRUPACIONES]]=1,SUMIFS(Tabla43[VALOR TOTAL],Tabla43[ZONA DEFINITIVO],Tabla43[[#This Row],[ZONA DEFINITIVO]])," ")</f>
        <v>1370160305</v>
      </c>
      <c r="AT11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5713054</v>
      </c>
      <c r="AU112" s="35">
        <f>VLOOKUP(Tabla43[[#This Row],[SERVICIO 2025]],$J$2:$V$16,3,0)*Tabla43[[#This Row],[TOTAL COBERTURA]]+Tabla43[[#This Row],[VALOR RACION PREPARADA]]/7</f>
        <v>4378962</v>
      </c>
      <c r="AV112" s="35">
        <f>VLOOKUP(Tabla43[[#This Row],[SERVICIO 2025]],$J$2:$V$16,3,0)*Tabla43[[#This Row],[TOTAL COBERTURA]]+Tabla43[[#This Row],[VALOR RACION PREPARADA]]/7</f>
        <v>4378962</v>
      </c>
      <c r="AW112" s="35">
        <f>VLOOKUP(Tabla43[[#This Row],[SERVICIO 2025]],$J$2:$V$16,3,0)*Tabla43[[#This Row],[TOTAL COBERTURA]]+Tabla43[[#This Row],[VALOR RACION PREPARADA]]/7</f>
        <v>4378962</v>
      </c>
      <c r="AX112" s="35">
        <f>VLOOKUP(Tabla43[[#This Row],[SERVICIO 2025]],$J$2:$V$16,3,0)*Tabla43[[#This Row],[TOTAL COBERTURA]]+Tabla43[[#This Row],[VALOR RACION PREPARADA]]/7</f>
        <v>4378962</v>
      </c>
      <c r="AY112" s="35">
        <f>VLOOKUP(Tabla43[[#This Row],[SERVICIO 2025]],$J$2:$V$16,3,0)*Tabla43[[#This Row],[TOTAL COBERTURA]]+Tabla43[[#This Row],[VALOR RACION PREPARADA]]/7</f>
        <v>4378962</v>
      </c>
      <c r="AZ112" s="35">
        <f>VLOOKUP(Tabla43[[#This Row],[SERVICIO 2025]],$J$2:$V$16,3,0)*Tabla43[[#This Row],[TOTAL COBERTURA]]+Tabla43[[#This Row],[VALOR RACION PREPARADA]]/7+Tabla43[[#This Row],[VALOR FASE PREPARATORIA DE CIERRE]]</f>
        <v>5076455</v>
      </c>
      <c r="BA112" s="35"/>
      <c r="BB112" s="35">
        <f>SUM(Tabla43[[#This Row],[DESEMBOLSO 1]:[DESEMBOLSO 8]])</f>
        <v>32684319</v>
      </c>
      <c r="BC112" s="55">
        <f>VLOOKUP(Tabla43[[#This Row],[SERVICIO 2025]],$J$2:$V$16,10,0)*Tabla43[[#This Row],[TOTAL COBERTURA]]*$W$3</f>
        <v>24532088</v>
      </c>
      <c r="BD112" s="47" t="s">
        <v>211</v>
      </c>
      <c r="BE112" s="12" t="b">
        <f>EXACT(Tabla43[[#This Row],[TOTAL APORTES ICBF]],Tabla43[[#This Row],[VALOR TOTAL]])</f>
        <v>1</v>
      </c>
      <c r="BF112" s="23">
        <f>SUM(Tabla43[[#This Row],[VALOR FASE PREPARATORIA DE ALISTAMIENTO]:[VALOR RACION PREPARADA]])-Tabla43[[#This Row],[VALOR TOTAL]]</f>
        <v>0</v>
      </c>
      <c r="BG112" s="12" t="b">
        <f>EXACT(Tabla43[[#This Row],[VALOR TOTAL]],Tabla43[[#This Row],[TOTAL DESEMBOLSOS]])</f>
        <v>1</v>
      </c>
      <c r="BH112" s="29">
        <f>Tabla43[[#This Row],[TOTAL DESEMBOLSOS]]-Tabla43[[#This Row],[VALOR TOTAL]]</f>
        <v>0</v>
      </c>
      <c r="BJ112" t="s">
        <v>3924</v>
      </c>
    </row>
    <row r="113" spans="1:62" hidden="1">
      <c r="A113" s="71">
        <v>1943</v>
      </c>
      <c r="B113" s="13"/>
      <c r="C113" s="12" t="s">
        <v>87</v>
      </c>
      <c r="D113" s="12" t="s">
        <v>579</v>
      </c>
      <c r="E113" s="12" t="s">
        <v>4073</v>
      </c>
      <c r="F113" s="12" t="s">
        <v>18</v>
      </c>
      <c r="G113" s="12" t="s">
        <v>90</v>
      </c>
      <c r="H113" s="12" t="s">
        <v>4076</v>
      </c>
      <c r="I113" s="12">
        <v>52341119081</v>
      </c>
      <c r="J113" s="12" t="s">
        <v>4077</v>
      </c>
      <c r="K113" s="12">
        <v>1</v>
      </c>
      <c r="L113" s="12">
        <v>20</v>
      </c>
      <c r="M113" s="12"/>
      <c r="N113" s="71">
        <v>1943</v>
      </c>
      <c r="O113" s="12" t="s">
        <v>93</v>
      </c>
      <c r="P113" s="12"/>
      <c r="Q113" s="12"/>
      <c r="R113" s="12" t="s">
        <v>94</v>
      </c>
      <c r="S113" s="12">
        <v>10</v>
      </c>
      <c r="T113" s="12" t="s">
        <v>2629</v>
      </c>
      <c r="U113" s="12" t="s">
        <v>2630</v>
      </c>
      <c r="V113" s="12">
        <f>VLOOKUP(Tabla43[[#This Row],[ZONA DEFINITIVO]],Hoja1!$A$1:$D$129,3,0)</f>
        <v>232286</v>
      </c>
      <c r="W113" s="12">
        <f>VLOOKUP(Tabla43[[#This Row],[ZONA DEFINITIVO]],Hoja1!$A$1:$D$129,2,0)</f>
        <v>18587</v>
      </c>
      <c r="X113" s="12">
        <f>VLOOKUP(Tabla43[[#This Row],[ZONA DEFINITIVO]],Hoja1!$A$1:$D$129,4,0)</f>
        <v>117025</v>
      </c>
      <c r="Y113" s="12" t="str">
        <f>+IF(Tabla43[[#This Row],[AGRUPACIONES]]=1,SUMIFS(Tabla43[UDS],Tabla43[ZONA DEFINITIVO],Tabla43[[#This Row],[ZONA DEFINITIVO]])," ")</f>
        <v xml:space="preserve"> </v>
      </c>
      <c r="Z113" s="12" t="str">
        <f>+IF(Tabla43[[#This Row],[AGRUPACIONES]]=1,SUMIFS(Tabla43[TOTAL COBERTURA],Tabla43[ZONA DEFINITIVO],Tabla43[[#This Row],[ZONA DEFINITIVO]])," ")</f>
        <v xml:space="preserve"> </v>
      </c>
      <c r="AA113" s="12"/>
      <c r="AB113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38452140</v>
      </c>
      <c r="AC113" s="37">
        <v>0.02</v>
      </c>
      <c r="AD113" s="38">
        <f>Tabla43[[#This Row],[VALOR ATENCIÓN (7 MESES)]]*Tabla43[[#This Row],[% CONTRAPARTIDA]]</f>
        <v>769042.8</v>
      </c>
      <c r="AE113" s="12"/>
      <c r="AF113" s="12">
        <f>COUNTIF($A$22:A113,A113)</f>
        <v>2</v>
      </c>
      <c r="AG113" s="51">
        <v>38452140</v>
      </c>
      <c r="AH113" s="38">
        <f>Tabla43[[#This Row],[VALOR CONTRAPARTIDA]]+Tabla43[[#This Row],[TOTAL APORTES ICBF]]</f>
        <v>39221182.799999997</v>
      </c>
      <c r="AI113" s="35" t="str">
        <f>+IF(Tabla43[[#This Row],[AGRUPACIONES]]=1,SUMIFS(Tabla43[TOTAL APORTES ICBF],Tabla43[ZONA DEFINITIVO],Tabla43[[#This Row],[ZONA DEFINITIVO]])," ")</f>
        <v xml:space="preserve"> </v>
      </c>
      <c r="AJ113" s="38"/>
      <c r="AK113" s="38"/>
      <c r="AL113" s="23"/>
      <c r="AM113" s="35">
        <f>VLOOKUP(Tabla43[[#This Row],[SERVICIO 2025]],$J$2:$V$16,5,0)*Tabla43[[#This Row],[TOTAL COBERTURA]]</f>
        <v>987520</v>
      </c>
      <c r="AN113" s="35">
        <f>VLOOKUP(Tabla43[[#This Row],[SERVICIO 2025]],$J$2:$V$16,6,0)*Tabla43[[#This Row],[TOTAL COBERTURA]]</f>
        <v>820580</v>
      </c>
      <c r="AO113" s="35">
        <f>VLOOKUP(Tabla43[[#This Row],[SERVICIO 2025]],$J$2:$V$16,8,0)*Tabla43[[#This Row],[TOTAL COBERTURA]]</f>
        <v>582000</v>
      </c>
      <c r="AP113" s="35">
        <f>VLOOKUP(Tabla43[[#This Row],[SERVICIO 2025]],$J$2:$V$16,3,0)*Tabla43[[#This Row],[TOTAL COBERTURA]]*7</f>
        <v>36062040</v>
      </c>
      <c r="AQ113" s="35"/>
      <c r="AR11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13" s="35" t="str">
        <f>+IF(Tabla43[[#This Row],[AGRUPACIONES]]=1,SUMIFS(Tabla43[VALOR TOTAL],Tabla43[ZONA DEFINITIVO],Tabla43[[#This Row],[ZONA DEFINITIVO]])," ")</f>
        <v xml:space="preserve"> </v>
      </c>
      <c r="AT11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13" s="35">
        <f>VLOOKUP(Tabla43[[#This Row],[SERVICIO 2025]],$J$2:$V$16,3,0)*Tabla43[[#This Row],[TOTAL COBERTURA]]+Tabla43[[#This Row],[VALOR RACION PREPARADA]]/7</f>
        <v>5151720</v>
      </c>
      <c r="AV113" s="35">
        <f>VLOOKUP(Tabla43[[#This Row],[SERVICIO 2025]],$J$2:$V$16,3,0)*Tabla43[[#This Row],[TOTAL COBERTURA]]+Tabla43[[#This Row],[VALOR RACION PREPARADA]]/7</f>
        <v>5151720</v>
      </c>
      <c r="AW113" s="35">
        <f>VLOOKUP(Tabla43[[#This Row],[SERVICIO 2025]],$J$2:$V$16,3,0)*Tabla43[[#This Row],[TOTAL COBERTURA]]+Tabla43[[#This Row],[VALOR RACION PREPARADA]]/7</f>
        <v>5151720</v>
      </c>
      <c r="AX113" s="35">
        <f>VLOOKUP(Tabla43[[#This Row],[SERVICIO 2025]],$J$2:$V$16,3,0)*Tabla43[[#This Row],[TOTAL COBERTURA]]+Tabla43[[#This Row],[VALOR RACION PREPARADA]]/7</f>
        <v>5151720</v>
      </c>
      <c r="AY113" s="35">
        <f>VLOOKUP(Tabla43[[#This Row],[SERVICIO 2025]],$J$2:$V$16,3,0)*Tabla43[[#This Row],[TOTAL COBERTURA]]+Tabla43[[#This Row],[VALOR RACION PREPARADA]]/7</f>
        <v>5151720</v>
      </c>
      <c r="AZ113" s="35">
        <f>VLOOKUP(Tabla43[[#This Row],[SERVICIO 2025]],$J$2:$V$16,3,0)*Tabla43[[#This Row],[TOTAL COBERTURA]]+Tabla43[[#This Row],[VALOR RACION PREPARADA]]/7+Tabla43[[#This Row],[VALOR FASE PREPARATORIA DE CIERRE]]</f>
        <v>5972300</v>
      </c>
      <c r="BA113" s="35"/>
      <c r="BB113" s="35">
        <f>SUM(Tabla43[[#This Row],[DESEMBOLSO 1]:[DESEMBOLSO 8]])</f>
        <v>38452140</v>
      </c>
      <c r="BC113" s="55">
        <f>VLOOKUP(Tabla43[[#This Row],[SERVICIO 2025]],$J$2:$V$16,10,0)*Tabla43[[#This Row],[TOTAL COBERTURA]]*$W$3</f>
        <v>28861280</v>
      </c>
      <c r="BD113" s="47" t="s">
        <v>211</v>
      </c>
      <c r="BE113" s="12" t="b">
        <f>EXACT(Tabla43[[#This Row],[TOTAL APORTES ICBF]],Tabla43[[#This Row],[VALOR TOTAL]])</f>
        <v>1</v>
      </c>
      <c r="BF113" s="23">
        <f>SUM(Tabla43[[#This Row],[VALOR FASE PREPARATORIA DE ALISTAMIENTO]:[VALOR RACION PREPARADA]])-Tabla43[[#This Row],[VALOR TOTAL]]</f>
        <v>0</v>
      </c>
      <c r="BG113" s="12" t="b">
        <f>EXACT(Tabla43[[#This Row],[VALOR TOTAL]],Tabla43[[#This Row],[TOTAL DESEMBOLSOS]])</f>
        <v>1</v>
      </c>
      <c r="BH113" s="29">
        <f>Tabla43[[#This Row],[TOTAL DESEMBOLSOS]]-Tabla43[[#This Row],[VALOR TOTAL]]</f>
        <v>0</v>
      </c>
      <c r="BJ113" t="s">
        <v>3924</v>
      </c>
    </row>
    <row r="114" spans="1:62" hidden="1">
      <c r="A114" s="71">
        <v>1943</v>
      </c>
      <c r="B114" s="13"/>
      <c r="C114" s="12" t="s">
        <v>87</v>
      </c>
      <c r="D114" s="12" t="s">
        <v>579</v>
      </c>
      <c r="E114" s="12" t="s">
        <v>4073</v>
      </c>
      <c r="F114" s="12" t="s">
        <v>18</v>
      </c>
      <c r="G114" s="12" t="s">
        <v>90</v>
      </c>
      <c r="H114" s="12" t="s">
        <v>4078</v>
      </c>
      <c r="I114" s="12">
        <v>52341119082</v>
      </c>
      <c r="J114" s="12" t="s">
        <v>4079</v>
      </c>
      <c r="K114" s="12">
        <v>1</v>
      </c>
      <c r="L114" s="12">
        <v>21</v>
      </c>
      <c r="M114" s="12"/>
      <c r="N114" s="71">
        <v>1943</v>
      </c>
      <c r="O114" s="12" t="s">
        <v>93</v>
      </c>
      <c r="P114" s="12"/>
      <c r="Q114" s="12"/>
      <c r="R114" s="12" t="s">
        <v>94</v>
      </c>
      <c r="S114" s="12">
        <v>10</v>
      </c>
      <c r="T114" s="12" t="s">
        <v>2629</v>
      </c>
      <c r="U114" s="12" t="s">
        <v>2630</v>
      </c>
      <c r="V114" s="12">
        <f>VLOOKUP(Tabla43[[#This Row],[ZONA DEFINITIVO]],Hoja1!$A$1:$D$129,3,0)</f>
        <v>232286</v>
      </c>
      <c r="W114" s="12">
        <f>VLOOKUP(Tabla43[[#This Row],[ZONA DEFINITIVO]],Hoja1!$A$1:$D$129,2,0)</f>
        <v>18587</v>
      </c>
      <c r="X114" s="12">
        <f>VLOOKUP(Tabla43[[#This Row],[ZONA DEFINITIVO]],Hoja1!$A$1:$D$129,4,0)</f>
        <v>117025</v>
      </c>
      <c r="Y114" s="12" t="str">
        <f>+IF(Tabla43[[#This Row],[AGRUPACIONES]]=1,SUMIFS(Tabla43[UDS],Tabla43[ZONA DEFINITIVO],Tabla43[[#This Row],[ZONA DEFINITIVO]])," ")</f>
        <v xml:space="preserve"> </v>
      </c>
      <c r="Z114" s="12" t="str">
        <f>+IF(Tabla43[[#This Row],[AGRUPACIONES]]=1,SUMIFS(Tabla43[TOTAL COBERTURA],Tabla43[ZONA DEFINITIVO],Tabla43[[#This Row],[ZONA DEFINITIVO]])," ")</f>
        <v xml:space="preserve"> </v>
      </c>
      <c r="AA114" s="12"/>
      <c r="AB114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40374747</v>
      </c>
      <c r="AC114" s="37">
        <v>0.02</v>
      </c>
      <c r="AD114" s="38">
        <f>Tabla43[[#This Row],[VALOR ATENCIÓN (7 MESES)]]*Tabla43[[#This Row],[% CONTRAPARTIDA]]</f>
        <v>807494.94000000006</v>
      </c>
      <c r="AE114" s="12"/>
      <c r="AF114" s="12">
        <f>COUNTIF($A$22:A114,A114)</f>
        <v>3</v>
      </c>
      <c r="AG114" s="51">
        <v>40374747</v>
      </c>
      <c r="AH114" s="38">
        <f>Tabla43[[#This Row],[VALOR CONTRAPARTIDA]]+Tabla43[[#This Row],[TOTAL APORTES ICBF]]</f>
        <v>41182241.939999998</v>
      </c>
      <c r="AI114" s="35" t="str">
        <f>+IF(Tabla43[[#This Row],[AGRUPACIONES]]=1,SUMIFS(Tabla43[TOTAL APORTES ICBF],Tabla43[ZONA DEFINITIVO],Tabla43[[#This Row],[ZONA DEFINITIVO]])," ")</f>
        <v xml:space="preserve"> </v>
      </c>
      <c r="AJ114" s="38"/>
      <c r="AK114" s="38"/>
      <c r="AL114" s="23"/>
      <c r="AM114" s="35">
        <f>VLOOKUP(Tabla43[[#This Row],[SERVICIO 2025]],$J$2:$V$16,5,0)*Tabla43[[#This Row],[TOTAL COBERTURA]]</f>
        <v>1036896</v>
      </c>
      <c r="AN114" s="35">
        <f>VLOOKUP(Tabla43[[#This Row],[SERVICIO 2025]],$J$2:$V$16,6,0)*Tabla43[[#This Row],[TOTAL COBERTURA]]</f>
        <v>861609</v>
      </c>
      <c r="AO114" s="35">
        <f>VLOOKUP(Tabla43[[#This Row],[SERVICIO 2025]],$J$2:$V$16,8,0)*Tabla43[[#This Row],[TOTAL COBERTURA]]</f>
        <v>611100</v>
      </c>
      <c r="AP114" s="35">
        <f>VLOOKUP(Tabla43[[#This Row],[SERVICIO 2025]],$J$2:$V$16,3,0)*Tabla43[[#This Row],[TOTAL COBERTURA]]*7</f>
        <v>37865142</v>
      </c>
      <c r="AQ114" s="35"/>
      <c r="AR11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40374747</v>
      </c>
      <c r="AS114" s="35" t="str">
        <f>+IF(Tabla43[[#This Row],[AGRUPACIONES]]=1,SUMIFS(Tabla43[VALOR TOTAL],Tabla43[ZONA DEFINITIVO],Tabla43[[#This Row],[ZONA DEFINITIVO]])," ")</f>
        <v xml:space="preserve"> </v>
      </c>
      <c r="AT11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7057302</v>
      </c>
      <c r="AU114" s="35">
        <f>VLOOKUP(Tabla43[[#This Row],[SERVICIO 2025]],$J$2:$V$16,3,0)*Tabla43[[#This Row],[TOTAL COBERTURA]]+Tabla43[[#This Row],[VALOR RACION PREPARADA]]/7</f>
        <v>5409306</v>
      </c>
      <c r="AV114" s="35">
        <f>VLOOKUP(Tabla43[[#This Row],[SERVICIO 2025]],$J$2:$V$16,3,0)*Tabla43[[#This Row],[TOTAL COBERTURA]]+Tabla43[[#This Row],[VALOR RACION PREPARADA]]/7</f>
        <v>5409306</v>
      </c>
      <c r="AW114" s="35">
        <f>VLOOKUP(Tabla43[[#This Row],[SERVICIO 2025]],$J$2:$V$16,3,0)*Tabla43[[#This Row],[TOTAL COBERTURA]]+Tabla43[[#This Row],[VALOR RACION PREPARADA]]/7</f>
        <v>5409306</v>
      </c>
      <c r="AX114" s="35">
        <f>VLOOKUP(Tabla43[[#This Row],[SERVICIO 2025]],$J$2:$V$16,3,0)*Tabla43[[#This Row],[TOTAL COBERTURA]]+Tabla43[[#This Row],[VALOR RACION PREPARADA]]/7</f>
        <v>5409306</v>
      </c>
      <c r="AY114" s="35">
        <f>VLOOKUP(Tabla43[[#This Row],[SERVICIO 2025]],$J$2:$V$16,3,0)*Tabla43[[#This Row],[TOTAL COBERTURA]]+Tabla43[[#This Row],[VALOR RACION PREPARADA]]/7</f>
        <v>5409306</v>
      </c>
      <c r="AZ114" s="35">
        <f>VLOOKUP(Tabla43[[#This Row],[SERVICIO 2025]],$J$2:$V$16,3,0)*Tabla43[[#This Row],[TOTAL COBERTURA]]+Tabla43[[#This Row],[VALOR RACION PREPARADA]]/7+Tabla43[[#This Row],[VALOR FASE PREPARATORIA DE CIERRE]]</f>
        <v>6270915</v>
      </c>
      <c r="BA114" s="35"/>
      <c r="BB114" s="35">
        <f>SUM(Tabla43[[#This Row],[DESEMBOLSO 1]:[DESEMBOLSO 8]])</f>
        <v>40374747</v>
      </c>
      <c r="BC114" s="55">
        <f>VLOOKUP(Tabla43[[#This Row],[SERVICIO 2025]],$J$2:$V$16,10,0)*Tabla43[[#This Row],[TOTAL COBERTURA]]*$W$3</f>
        <v>30304344</v>
      </c>
      <c r="BD114" s="47" t="s">
        <v>211</v>
      </c>
      <c r="BE114" s="12" t="b">
        <f>EXACT(Tabla43[[#This Row],[TOTAL APORTES ICBF]],Tabla43[[#This Row],[VALOR TOTAL]])</f>
        <v>1</v>
      </c>
      <c r="BF114" s="23">
        <f>SUM(Tabla43[[#This Row],[VALOR FASE PREPARATORIA DE ALISTAMIENTO]:[VALOR RACION PREPARADA]])-Tabla43[[#This Row],[VALOR TOTAL]]</f>
        <v>0</v>
      </c>
      <c r="BG114" s="12" t="b">
        <f>EXACT(Tabla43[[#This Row],[VALOR TOTAL]],Tabla43[[#This Row],[TOTAL DESEMBOLSOS]])</f>
        <v>1</v>
      </c>
      <c r="BH114" s="29">
        <f>Tabla43[[#This Row],[TOTAL DESEMBOLSOS]]-Tabla43[[#This Row],[VALOR TOTAL]]</f>
        <v>0</v>
      </c>
      <c r="BJ114" t="s">
        <v>3924</v>
      </c>
    </row>
    <row r="115" spans="1:62" hidden="1">
      <c r="A115" s="71">
        <v>1943</v>
      </c>
      <c r="B115" s="13"/>
      <c r="C115" s="12" t="s">
        <v>87</v>
      </c>
      <c r="D115" s="12" t="s">
        <v>579</v>
      </c>
      <c r="E115" s="12" t="s">
        <v>4073</v>
      </c>
      <c r="F115" s="12" t="s">
        <v>18</v>
      </c>
      <c r="G115" s="12" t="s">
        <v>90</v>
      </c>
      <c r="H115" s="12" t="s">
        <v>4080</v>
      </c>
      <c r="I115" s="12">
        <v>52341119103</v>
      </c>
      <c r="J115" s="12" t="s">
        <v>4081</v>
      </c>
      <c r="K115" s="12">
        <v>1</v>
      </c>
      <c r="L115" s="12">
        <v>18</v>
      </c>
      <c r="M115" s="12"/>
      <c r="N115" s="71">
        <v>1943</v>
      </c>
      <c r="O115" s="12" t="s">
        <v>93</v>
      </c>
      <c r="P115" s="12"/>
      <c r="Q115" s="12"/>
      <c r="R115" s="12" t="s">
        <v>94</v>
      </c>
      <c r="S115" s="12">
        <v>10</v>
      </c>
      <c r="T115" s="12" t="s">
        <v>2629</v>
      </c>
      <c r="U115" s="12" t="s">
        <v>2630</v>
      </c>
      <c r="V115" s="12">
        <f>VLOOKUP(Tabla43[[#This Row],[ZONA DEFINITIVO]],Hoja1!$A$1:$D$129,3,0)</f>
        <v>232286</v>
      </c>
      <c r="W115" s="12">
        <f>VLOOKUP(Tabla43[[#This Row],[ZONA DEFINITIVO]],Hoja1!$A$1:$D$129,2,0)</f>
        <v>18587</v>
      </c>
      <c r="X115" s="12">
        <f>VLOOKUP(Tabla43[[#This Row],[ZONA DEFINITIVO]],Hoja1!$A$1:$D$129,4,0)</f>
        <v>117025</v>
      </c>
      <c r="Y115" s="12" t="str">
        <f>+IF(Tabla43[[#This Row],[AGRUPACIONES]]=1,SUMIFS(Tabla43[UDS],Tabla43[ZONA DEFINITIVO],Tabla43[[#This Row],[ZONA DEFINITIVO]])," ")</f>
        <v xml:space="preserve"> </v>
      </c>
      <c r="Z115" s="12" t="str">
        <f>+IF(Tabla43[[#This Row],[AGRUPACIONES]]=1,SUMIFS(Tabla43[TOTAL COBERTURA],Tabla43[ZONA DEFINITIVO],Tabla43[[#This Row],[ZONA DEFINITIVO]])," ")</f>
        <v xml:space="preserve"> </v>
      </c>
      <c r="AA115" s="12"/>
      <c r="AB115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34606926</v>
      </c>
      <c r="AC115" s="37">
        <v>0.02</v>
      </c>
      <c r="AD115" s="38">
        <f>Tabla43[[#This Row],[VALOR ATENCIÓN (7 MESES)]]*Tabla43[[#This Row],[% CONTRAPARTIDA]]</f>
        <v>692138.52</v>
      </c>
      <c r="AE115" s="12"/>
      <c r="AF115" s="12">
        <f>COUNTIF($A$22:A115,A115)</f>
        <v>4</v>
      </c>
      <c r="AG115" s="51">
        <v>34606926</v>
      </c>
      <c r="AH115" s="38">
        <f>Tabla43[[#This Row],[VALOR CONTRAPARTIDA]]+Tabla43[[#This Row],[TOTAL APORTES ICBF]]</f>
        <v>35299064.520000003</v>
      </c>
      <c r="AI115" s="35" t="str">
        <f>+IF(Tabla43[[#This Row],[AGRUPACIONES]]=1,SUMIFS(Tabla43[TOTAL APORTES ICBF],Tabla43[ZONA DEFINITIVO],Tabla43[[#This Row],[ZONA DEFINITIVO]])," ")</f>
        <v xml:space="preserve"> </v>
      </c>
      <c r="AJ115" s="38"/>
      <c r="AK115" s="38"/>
      <c r="AL115" s="23"/>
      <c r="AM115" s="35">
        <f>VLOOKUP(Tabla43[[#This Row],[SERVICIO 2025]],$J$2:$V$16,5,0)*Tabla43[[#This Row],[TOTAL COBERTURA]]</f>
        <v>888768</v>
      </c>
      <c r="AN115" s="35">
        <f>VLOOKUP(Tabla43[[#This Row],[SERVICIO 2025]],$J$2:$V$16,6,0)*Tabla43[[#This Row],[TOTAL COBERTURA]]</f>
        <v>738522</v>
      </c>
      <c r="AO115" s="35">
        <f>VLOOKUP(Tabla43[[#This Row],[SERVICIO 2025]],$J$2:$V$16,8,0)*Tabla43[[#This Row],[TOTAL COBERTURA]]</f>
        <v>523800</v>
      </c>
      <c r="AP115" s="35">
        <f>VLOOKUP(Tabla43[[#This Row],[SERVICIO 2025]],$J$2:$V$16,3,0)*Tabla43[[#This Row],[TOTAL COBERTURA]]*7</f>
        <v>32455836</v>
      </c>
      <c r="AQ115" s="35"/>
      <c r="AR11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34606926</v>
      </c>
      <c r="AS115" s="35" t="str">
        <f>+IF(Tabla43[[#This Row],[AGRUPACIONES]]=1,SUMIFS(Tabla43[VALOR TOTAL],Tabla43[ZONA DEFINITIVO],Tabla43[[#This Row],[ZONA DEFINITIVO]])," ")</f>
        <v xml:space="preserve"> </v>
      </c>
      <c r="AT11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6049116</v>
      </c>
      <c r="AU115" s="35">
        <f>VLOOKUP(Tabla43[[#This Row],[SERVICIO 2025]],$J$2:$V$16,3,0)*Tabla43[[#This Row],[TOTAL COBERTURA]]+Tabla43[[#This Row],[VALOR RACION PREPARADA]]/7</f>
        <v>4636548</v>
      </c>
      <c r="AV115" s="35">
        <f>VLOOKUP(Tabla43[[#This Row],[SERVICIO 2025]],$J$2:$V$16,3,0)*Tabla43[[#This Row],[TOTAL COBERTURA]]+Tabla43[[#This Row],[VALOR RACION PREPARADA]]/7</f>
        <v>4636548</v>
      </c>
      <c r="AW115" s="35">
        <f>VLOOKUP(Tabla43[[#This Row],[SERVICIO 2025]],$J$2:$V$16,3,0)*Tabla43[[#This Row],[TOTAL COBERTURA]]+Tabla43[[#This Row],[VALOR RACION PREPARADA]]/7</f>
        <v>4636548</v>
      </c>
      <c r="AX115" s="35">
        <f>VLOOKUP(Tabla43[[#This Row],[SERVICIO 2025]],$J$2:$V$16,3,0)*Tabla43[[#This Row],[TOTAL COBERTURA]]+Tabla43[[#This Row],[VALOR RACION PREPARADA]]/7</f>
        <v>4636548</v>
      </c>
      <c r="AY115" s="35">
        <f>VLOOKUP(Tabla43[[#This Row],[SERVICIO 2025]],$J$2:$V$16,3,0)*Tabla43[[#This Row],[TOTAL COBERTURA]]+Tabla43[[#This Row],[VALOR RACION PREPARADA]]/7</f>
        <v>4636548</v>
      </c>
      <c r="AZ115" s="35">
        <f>VLOOKUP(Tabla43[[#This Row],[SERVICIO 2025]],$J$2:$V$16,3,0)*Tabla43[[#This Row],[TOTAL COBERTURA]]+Tabla43[[#This Row],[VALOR RACION PREPARADA]]/7+Tabla43[[#This Row],[VALOR FASE PREPARATORIA DE CIERRE]]</f>
        <v>5375070</v>
      </c>
      <c r="BA115" s="35"/>
      <c r="BB115" s="35">
        <f>SUM(Tabla43[[#This Row],[DESEMBOLSO 1]:[DESEMBOLSO 8]])</f>
        <v>34606926</v>
      </c>
      <c r="BC115" s="55">
        <f>VLOOKUP(Tabla43[[#This Row],[SERVICIO 2025]],$J$2:$V$16,10,0)*Tabla43[[#This Row],[TOTAL COBERTURA]]*$W$3</f>
        <v>25975152</v>
      </c>
      <c r="BD115" s="47" t="s">
        <v>211</v>
      </c>
      <c r="BE115" s="12" t="b">
        <f>EXACT(Tabla43[[#This Row],[TOTAL APORTES ICBF]],Tabla43[[#This Row],[VALOR TOTAL]])</f>
        <v>1</v>
      </c>
      <c r="BF115" s="23">
        <f>SUM(Tabla43[[#This Row],[VALOR FASE PREPARATORIA DE ALISTAMIENTO]:[VALOR RACION PREPARADA]])-Tabla43[[#This Row],[VALOR TOTAL]]</f>
        <v>0</v>
      </c>
      <c r="BG115" s="12" t="b">
        <f>EXACT(Tabla43[[#This Row],[VALOR TOTAL]],Tabla43[[#This Row],[TOTAL DESEMBOLSOS]])</f>
        <v>1</v>
      </c>
      <c r="BH115" s="29">
        <f>Tabla43[[#This Row],[TOTAL DESEMBOLSOS]]-Tabla43[[#This Row],[VALOR TOTAL]]</f>
        <v>0</v>
      </c>
      <c r="BJ115" t="s">
        <v>3924</v>
      </c>
    </row>
    <row r="116" spans="1:62" hidden="1">
      <c r="A116" s="71">
        <v>1943</v>
      </c>
      <c r="B116" s="13"/>
      <c r="C116" s="12" t="s">
        <v>87</v>
      </c>
      <c r="D116" s="12" t="s">
        <v>579</v>
      </c>
      <c r="E116" s="12" t="s">
        <v>4073</v>
      </c>
      <c r="F116" s="12" t="s">
        <v>18</v>
      </c>
      <c r="G116" s="12" t="s">
        <v>90</v>
      </c>
      <c r="H116" s="12" t="s">
        <v>4082</v>
      </c>
      <c r="I116" s="12">
        <v>52341119104</v>
      </c>
      <c r="J116" s="12" t="s">
        <v>4083</v>
      </c>
      <c r="K116" s="12">
        <v>1</v>
      </c>
      <c r="L116" s="12">
        <v>10</v>
      </c>
      <c r="M116" s="12"/>
      <c r="N116" s="71">
        <v>1943</v>
      </c>
      <c r="O116" s="12" t="s">
        <v>93</v>
      </c>
      <c r="P116" s="12"/>
      <c r="Q116" s="12"/>
      <c r="R116" s="12" t="s">
        <v>94</v>
      </c>
      <c r="S116" s="12">
        <v>10</v>
      </c>
      <c r="T116" s="12" t="s">
        <v>2629</v>
      </c>
      <c r="U116" s="12" t="s">
        <v>2630</v>
      </c>
      <c r="V116" s="12">
        <f>VLOOKUP(Tabla43[[#This Row],[ZONA DEFINITIVO]],Hoja1!$A$1:$D$129,3,0)</f>
        <v>232286</v>
      </c>
      <c r="W116" s="12">
        <f>VLOOKUP(Tabla43[[#This Row],[ZONA DEFINITIVO]],Hoja1!$A$1:$D$129,2,0)</f>
        <v>18587</v>
      </c>
      <c r="X116" s="12">
        <f>VLOOKUP(Tabla43[[#This Row],[ZONA DEFINITIVO]],Hoja1!$A$1:$D$129,4,0)</f>
        <v>117025</v>
      </c>
      <c r="Y116" s="12" t="str">
        <f>+IF(Tabla43[[#This Row],[AGRUPACIONES]]=1,SUMIFS(Tabla43[UDS],Tabla43[ZONA DEFINITIVO],Tabla43[[#This Row],[ZONA DEFINITIVO]])," ")</f>
        <v xml:space="preserve"> </v>
      </c>
      <c r="Z116" s="12" t="str">
        <f>+IF(Tabla43[[#This Row],[AGRUPACIONES]]=1,SUMIFS(Tabla43[TOTAL COBERTURA],Tabla43[ZONA DEFINITIVO],Tabla43[[#This Row],[ZONA DEFINITIVO]])," ")</f>
        <v xml:space="preserve"> </v>
      </c>
      <c r="AA116" s="12"/>
      <c r="AB116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19226070</v>
      </c>
      <c r="AC116" s="37">
        <v>0.02</v>
      </c>
      <c r="AD116" s="38">
        <f>Tabla43[[#This Row],[VALOR ATENCIÓN (7 MESES)]]*Tabla43[[#This Row],[% CONTRAPARTIDA]]</f>
        <v>384521.4</v>
      </c>
      <c r="AE116" s="12"/>
      <c r="AF116" s="12">
        <f>COUNTIF($A$22:A116,A116)</f>
        <v>5</v>
      </c>
      <c r="AG116" s="51">
        <v>19226070</v>
      </c>
      <c r="AH116" s="38">
        <f>Tabla43[[#This Row],[VALOR CONTRAPARTIDA]]+Tabla43[[#This Row],[TOTAL APORTES ICBF]]</f>
        <v>19610591.399999999</v>
      </c>
      <c r="AI116" s="35" t="str">
        <f>+IF(Tabla43[[#This Row],[AGRUPACIONES]]=1,SUMIFS(Tabla43[TOTAL APORTES ICBF],Tabla43[ZONA DEFINITIVO],Tabla43[[#This Row],[ZONA DEFINITIVO]])," ")</f>
        <v xml:space="preserve"> </v>
      </c>
      <c r="AJ116" s="38"/>
      <c r="AK116" s="38"/>
      <c r="AL116" s="23"/>
      <c r="AM116" s="35">
        <f>VLOOKUP(Tabla43[[#This Row],[SERVICIO 2025]],$J$2:$V$16,5,0)*Tabla43[[#This Row],[TOTAL COBERTURA]]</f>
        <v>493760</v>
      </c>
      <c r="AN116" s="35">
        <f>VLOOKUP(Tabla43[[#This Row],[SERVICIO 2025]],$J$2:$V$16,6,0)*Tabla43[[#This Row],[TOTAL COBERTURA]]</f>
        <v>410290</v>
      </c>
      <c r="AO116" s="35">
        <f>VLOOKUP(Tabla43[[#This Row],[SERVICIO 2025]],$J$2:$V$16,8,0)*Tabla43[[#This Row],[TOTAL COBERTURA]]</f>
        <v>291000</v>
      </c>
      <c r="AP116" s="35">
        <f>VLOOKUP(Tabla43[[#This Row],[SERVICIO 2025]],$J$2:$V$16,3,0)*Tabla43[[#This Row],[TOTAL COBERTURA]]*7</f>
        <v>18031020</v>
      </c>
      <c r="AQ116" s="35"/>
      <c r="AR11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19226070</v>
      </c>
      <c r="AS116" s="35" t="str">
        <f>+IF(Tabla43[[#This Row],[AGRUPACIONES]]=1,SUMIFS(Tabla43[VALOR TOTAL],Tabla43[ZONA DEFINITIVO],Tabla43[[#This Row],[ZONA DEFINITIVO]])," ")</f>
        <v xml:space="preserve"> </v>
      </c>
      <c r="AT11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3360620</v>
      </c>
      <c r="AU116" s="35">
        <f>VLOOKUP(Tabla43[[#This Row],[SERVICIO 2025]],$J$2:$V$16,3,0)*Tabla43[[#This Row],[TOTAL COBERTURA]]+Tabla43[[#This Row],[VALOR RACION PREPARADA]]/7</f>
        <v>2575860</v>
      </c>
      <c r="AV116" s="35">
        <f>VLOOKUP(Tabla43[[#This Row],[SERVICIO 2025]],$J$2:$V$16,3,0)*Tabla43[[#This Row],[TOTAL COBERTURA]]+Tabla43[[#This Row],[VALOR RACION PREPARADA]]/7</f>
        <v>2575860</v>
      </c>
      <c r="AW116" s="35">
        <f>VLOOKUP(Tabla43[[#This Row],[SERVICIO 2025]],$J$2:$V$16,3,0)*Tabla43[[#This Row],[TOTAL COBERTURA]]+Tabla43[[#This Row],[VALOR RACION PREPARADA]]/7</f>
        <v>2575860</v>
      </c>
      <c r="AX116" s="35">
        <f>VLOOKUP(Tabla43[[#This Row],[SERVICIO 2025]],$J$2:$V$16,3,0)*Tabla43[[#This Row],[TOTAL COBERTURA]]+Tabla43[[#This Row],[VALOR RACION PREPARADA]]/7</f>
        <v>2575860</v>
      </c>
      <c r="AY116" s="35">
        <f>VLOOKUP(Tabla43[[#This Row],[SERVICIO 2025]],$J$2:$V$16,3,0)*Tabla43[[#This Row],[TOTAL COBERTURA]]+Tabla43[[#This Row],[VALOR RACION PREPARADA]]/7</f>
        <v>2575860</v>
      </c>
      <c r="AZ116" s="35">
        <f>VLOOKUP(Tabla43[[#This Row],[SERVICIO 2025]],$J$2:$V$16,3,0)*Tabla43[[#This Row],[TOTAL COBERTURA]]+Tabla43[[#This Row],[VALOR RACION PREPARADA]]/7+Tabla43[[#This Row],[VALOR FASE PREPARATORIA DE CIERRE]]</f>
        <v>2986150</v>
      </c>
      <c r="BA116" s="35"/>
      <c r="BB116" s="35">
        <f>SUM(Tabla43[[#This Row],[DESEMBOLSO 1]:[DESEMBOLSO 8]])</f>
        <v>19226070</v>
      </c>
      <c r="BC116" s="55">
        <f>VLOOKUP(Tabla43[[#This Row],[SERVICIO 2025]],$J$2:$V$16,10,0)*Tabla43[[#This Row],[TOTAL COBERTURA]]*$W$3</f>
        <v>14430640</v>
      </c>
      <c r="BD116" s="47" t="s">
        <v>211</v>
      </c>
      <c r="BE116" s="12" t="b">
        <f>EXACT(Tabla43[[#This Row],[TOTAL APORTES ICBF]],Tabla43[[#This Row],[VALOR TOTAL]])</f>
        <v>1</v>
      </c>
      <c r="BF116" s="23">
        <f>SUM(Tabla43[[#This Row],[VALOR FASE PREPARATORIA DE ALISTAMIENTO]:[VALOR RACION PREPARADA]])-Tabla43[[#This Row],[VALOR TOTAL]]</f>
        <v>0</v>
      </c>
      <c r="BG116" s="12" t="b">
        <f>EXACT(Tabla43[[#This Row],[VALOR TOTAL]],Tabla43[[#This Row],[TOTAL DESEMBOLSOS]])</f>
        <v>1</v>
      </c>
      <c r="BH116" s="29">
        <f>Tabla43[[#This Row],[TOTAL DESEMBOLSOS]]-Tabla43[[#This Row],[VALOR TOTAL]]</f>
        <v>0</v>
      </c>
      <c r="BJ116" t="s">
        <v>3924</v>
      </c>
    </row>
    <row r="117" spans="1:62" hidden="1">
      <c r="A117" s="71">
        <v>1943</v>
      </c>
      <c r="B117" s="13"/>
      <c r="C117" s="12" t="s">
        <v>87</v>
      </c>
      <c r="D117" s="12" t="s">
        <v>579</v>
      </c>
      <c r="E117" s="12" t="s">
        <v>4073</v>
      </c>
      <c r="F117" s="12" t="s">
        <v>18</v>
      </c>
      <c r="G117" s="12" t="s">
        <v>90</v>
      </c>
      <c r="H117" s="12" t="s">
        <v>4084</v>
      </c>
      <c r="I117" s="12">
        <v>52341119109</v>
      </c>
      <c r="J117" s="12" t="s">
        <v>4085</v>
      </c>
      <c r="K117" s="12">
        <v>1</v>
      </c>
      <c r="L117" s="12">
        <v>22</v>
      </c>
      <c r="M117" s="12"/>
      <c r="N117" s="71">
        <v>1943</v>
      </c>
      <c r="O117" s="12" t="s">
        <v>93</v>
      </c>
      <c r="P117" s="12"/>
      <c r="Q117" s="12"/>
      <c r="R117" s="12" t="s">
        <v>94</v>
      </c>
      <c r="S117" s="12">
        <v>10</v>
      </c>
      <c r="T117" s="12" t="s">
        <v>2629</v>
      </c>
      <c r="U117" s="12" t="s">
        <v>2630</v>
      </c>
      <c r="V117" s="12">
        <f>VLOOKUP(Tabla43[[#This Row],[ZONA DEFINITIVO]],Hoja1!$A$1:$D$129,3,0)</f>
        <v>232286</v>
      </c>
      <c r="W117" s="12">
        <f>VLOOKUP(Tabla43[[#This Row],[ZONA DEFINITIVO]],Hoja1!$A$1:$D$129,2,0)</f>
        <v>18587</v>
      </c>
      <c r="X117" s="12">
        <f>VLOOKUP(Tabla43[[#This Row],[ZONA DEFINITIVO]],Hoja1!$A$1:$D$129,4,0)</f>
        <v>117025</v>
      </c>
      <c r="Y117" s="12" t="str">
        <f>+IF(Tabla43[[#This Row],[AGRUPACIONES]]=1,SUMIFS(Tabla43[UDS],Tabla43[ZONA DEFINITIVO],Tabla43[[#This Row],[ZONA DEFINITIVO]])," ")</f>
        <v xml:space="preserve"> </v>
      </c>
      <c r="Z117" s="12" t="str">
        <f>+IF(Tabla43[[#This Row],[AGRUPACIONES]]=1,SUMIFS(Tabla43[TOTAL COBERTURA],Tabla43[ZONA DEFINITIVO],Tabla43[[#This Row],[ZONA DEFINITIVO]])," ")</f>
        <v xml:space="preserve"> </v>
      </c>
      <c r="AA117" s="12"/>
      <c r="AB117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42297354</v>
      </c>
      <c r="AC117" s="37">
        <v>0.02</v>
      </c>
      <c r="AD117" s="38">
        <f>Tabla43[[#This Row],[VALOR ATENCIÓN (7 MESES)]]*Tabla43[[#This Row],[% CONTRAPARTIDA]]</f>
        <v>845947.08000000007</v>
      </c>
      <c r="AE117" s="12"/>
      <c r="AF117" s="12">
        <f>COUNTIF($A$22:A117,A117)</f>
        <v>6</v>
      </c>
      <c r="AG117" s="51">
        <v>42297354</v>
      </c>
      <c r="AH117" s="38">
        <f>Tabla43[[#This Row],[VALOR CONTRAPARTIDA]]+Tabla43[[#This Row],[TOTAL APORTES ICBF]]</f>
        <v>43143301.079999998</v>
      </c>
      <c r="AI117" s="35" t="str">
        <f>+IF(Tabla43[[#This Row],[AGRUPACIONES]]=1,SUMIFS(Tabla43[TOTAL APORTES ICBF],Tabla43[ZONA DEFINITIVO],Tabla43[[#This Row],[ZONA DEFINITIVO]])," ")</f>
        <v xml:space="preserve"> </v>
      </c>
      <c r="AJ117" s="38"/>
      <c r="AK117" s="38"/>
      <c r="AL117" s="23"/>
      <c r="AM117" s="35">
        <f>VLOOKUP(Tabla43[[#This Row],[SERVICIO 2025]],$J$2:$V$16,5,0)*Tabla43[[#This Row],[TOTAL COBERTURA]]</f>
        <v>1086272</v>
      </c>
      <c r="AN117" s="35">
        <f>VLOOKUP(Tabla43[[#This Row],[SERVICIO 2025]],$J$2:$V$16,6,0)*Tabla43[[#This Row],[TOTAL COBERTURA]]</f>
        <v>902638</v>
      </c>
      <c r="AO117" s="35">
        <f>VLOOKUP(Tabla43[[#This Row],[SERVICIO 2025]],$J$2:$V$16,8,0)*Tabla43[[#This Row],[TOTAL COBERTURA]]</f>
        <v>640200</v>
      </c>
      <c r="AP117" s="35">
        <f>VLOOKUP(Tabla43[[#This Row],[SERVICIO 2025]],$J$2:$V$16,3,0)*Tabla43[[#This Row],[TOTAL COBERTURA]]*7</f>
        <v>39668244</v>
      </c>
      <c r="AQ117" s="35"/>
      <c r="AR11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42297354</v>
      </c>
      <c r="AS117" s="35" t="str">
        <f>+IF(Tabla43[[#This Row],[AGRUPACIONES]]=1,SUMIFS(Tabla43[VALOR TOTAL],Tabla43[ZONA DEFINITIVO],Tabla43[[#This Row],[ZONA DEFINITIVO]])," ")</f>
        <v xml:space="preserve"> </v>
      </c>
      <c r="AT11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7393364</v>
      </c>
      <c r="AU117" s="35">
        <f>VLOOKUP(Tabla43[[#This Row],[SERVICIO 2025]],$J$2:$V$16,3,0)*Tabla43[[#This Row],[TOTAL COBERTURA]]+Tabla43[[#This Row],[VALOR RACION PREPARADA]]/7</f>
        <v>5666892</v>
      </c>
      <c r="AV117" s="35">
        <f>VLOOKUP(Tabla43[[#This Row],[SERVICIO 2025]],$J$2:$V$16,3,0)*Tabla43[[#This Row],[TOTAL COBERTURA]]+Tabla43[[#This Row],[VALOR RACION PREPARADA]]/7</f>
        <v>5666892</v>
      </c>
      <c r="AW117" s="35">
        <f>VLOOKUP(Tabla43[[#This Row],[SERVICIO 2025]],$J$2:$V$16,3,0)*Tabla43[[#This Row],[TOTAL COBERTURA]]+Tabla43[[#This Row],[VALOR RACION PREPARADA]]/7</f>
        <v>5666892</v>
      </c>
      <c r="AX117" s="35">
        <f>VLOOKUP(Tabla43[[#This Row],[SERVICIO 2025]],$J$2:$V$16,3,0)*Tabla43[[#This Row],[TOTAL COBERTURA]]+Tabla43[[#This Row],[VALOR RACION PREPARADA]]/7</f>
        <v>5666892</v>
      </c>
      <c r="AY117" s="35">
        <f>VLOOKUP(Tabla43[[#This Row],[SERVICIO 2025]],$J$2:$V$16,3,0)*Tabla43[[#This Row],[TOTAL COBERTURA]]+Tabla43[[#This Row],[VALOR RACION PREPARADA]]/7</f>
        <v>5666892</v>
      </c>
      <c r="AZ117" s="35">
        <f>VLOOKUP(Tabla43[[#This Row],[SERVICIO 2025]],$J$2:$V$16,3,0)*Tabla43[[#This Row],[TOTAL COBERTURA]]+Tabla43[[#This Row],[VALOR RACION PREPARADA]]/7+Tabla43[[#This Row],[VALOR FASE PREPARATORIA DE CIERRE]]</f>
        <v>6569530</v>
      </c>
      <c r="BA117" s="35"/>
      <c r="BB117" s="35">
        <f>SUM(Tabla43[[#This Row],[DESEMBOLSO 1]:[DESEMBOLSO 8]])</f>
        <v>42297354</v>
      </c>
      <c r="BC117" s="55">
        <f>VLOOKUP(Tabla43[[#This Row],[SERVICIO 2025]],$J$2:$V$16,10,0)*Tabla43[[#This Row],[TOTAL COBERTURA]]*$W$3</f>
        <v>31747408</v>
      </c>
      <c r="BD117" s="47" t="s">
        <v>211</v>
      </c>
      <c r="BE117" s="12" t="b">
        <f>EXACT(Tabla43[[#This Row],[TOTAL APORTES ICBF]],Tabla43[[#This Row],[VALOR TOTAL]])</f>
        <v>1</v>
      </c>
      <c r="BF117" s="23">
        <f>SUM(Tabla43[[#This Row],[VALOR FASE PREPARATORIA DE ALISTAMIENTO]:[VALOR RACION PREPARADA]])-Tabla43[[#This Row],[VALOR TOTAL]]</f>
        <v>0</v>
      </c>
      <c r="BG117" s="12" t="b">
        <f>EXACT(Tabla43[[#This Row],[VALOR TOTAL]],Tabla43[[#This Row],[TOTAL DESEMBOLSOS]])</f>
        <v>1</v>
      </c>
      <c r="BH117" s="29">
        <f>Tabla43[[#This Row],[TOTAL DESEMBOLSOS]]-Tabla43[[#This Row],[VALOR TOTAL]]</f>
        <v>0</v>
      </c>
      <c r="BJ117" t="s">
        <v>3924</v>
      </c>
    </row>
    <row r="118" spans="1:62" hidden="1">
      <c r="A118" s="71">
        <v>1943</v>
      </c>
      <c r="B118" s="13"/>
      <c r="C118" s="12" t="s">
        <v>87</v>
      </c>
      <c r="D118" s="12" t="s">
        <v>579</v>
      </c>
      <c r="E118" s="12" t="s">
        <v>4073</v>
      </c>
      <c r="F118" s="12" t="s">
        <v>18</v>
      </c>
      <c r="G118" s="12" t="s">
        <v>90</v>
      </c>
      <c r="H118" s="12" t="s">
        <v>4086</v>
      </c>
      <c r="I118" s="12">
        <v>52341134915</v>
      </c>
      <c r="J118" s="12" t="s">
        <v>4087</v>
      </c>
      <c r="K118" s="12">
        <v>1</v>
      </c>
      <c r="L118" s="12">
        <v>10</v>
      </c>
      <c r="M118" s="12"/>
      <c r="N118" s="71">
        <v>1943</v>
      </c>
      <c r="O118" s="12" t="s">
        <v>93</v>
      </c>
      <c r="P118" s="12"/>
      <c r="Q118" s="12"/>
      <c r="R118" s="12" t="s">
        <v>94</v>
      </c>
      <c r="S118" s="12">
        <v>10</v>
      </c>
      <c r="T118" s="12" t="s">
        <v>2629</v>
      </c>
      <c r="U118" s="12" t="s">
        <v>2630</v>
      </c>
      <c r="V118" s="12">
        <f>VLOOKUP(Tabla43[[#This Row],[ZONA DEFINITIVO]],Hoja1!$A$1:$D$129,3,0)</f>
        <v>232286</v>
      </c>
      <c r="W118" s="12">
        <f>VLOOKUP(Tabla43[[#This Row],[ZONA DEFINITIVO]],Hoja1!$A$1:$D$129,2,0)</f>
        <v>18587</v>
      </c>
      <c r="X118" s="12">
        <f>VLOOKUP(Tabla43[[#This Row],[ZONA DEFINITIVO]],Hoja1!$A$1:$D$129,4,0)</f>
        <v>117025</v>
      </c>
      <c r="Y118" s="12" t="str">
        <f>+IF(Tabla43[[#This Row],[AGRUPACIONES]]=1,SUMIFS(Tabla43[UDS],Tabla43[ZONA DEFINITIVO],Tabla43[[#This Row],[ZONA DEFINITIVO]])," ")</f>
        <v xml:space="preserve"> </v>
      </c>
      <c r="Z118" s="12" t="str">
        <f>+IF(Tabla43[[#This Row],[AGRUPACIONES]]=1,SUMIFS(Tabla43[TOTAL COBERTURA],Tabla43[ZONA DEFINITIVO],Tabla43[[#This Row],[ZONA DEFINITIVO]])," ")</f>
        <v xml:space="preserve"> </v>
      </c>
      <c r="AA118" s="12"/>
      <c r="AB118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19226070</v>
      </c>
      <c r="AC118" s="37">
        <v>0.02</v>
      </c>
      <c r="AD118" s="38">
        <f>Tabla43[[#This Row],[VALOR ATENCIÓN (7 MESES)]]*Tabla43[[#This Row],[% CONTRAPARTIDA]]</f>
        <v>384521.4</v>
      </c>
      <c r="AE118" s="12"/>
      <c r="AF118" s="12">
        <f>COUNTIF($A$22:A118,A118)</f>
        <v>7</v>
      </c>
      <c r="AG118" s="51">
        <v>19226070</v>
      </c>
      <c r="AH118" s="38">
        <f>Tabla43[[#This Row],[VALOR CONTRAPARTIDA]]+Tabla43[[#This Row],[TOTAL APORTES ICBF]]</f>
        <v>19610591.399999999</v>
      </c>
      <c r="AI118" s="35" t="str">
        <f>+IF(Tabla43[[#This Row],[AGRUPACIONES]]=1,SUMIFS(Tabla43[TOTAL APORTES ICBF],Tabla43[ZONA DEFINITIVO],Tabla43[[#This Row],[ZONA DEFINITIVO]])," ")</f>
        <v xml:space="preserve"> </v>
      </c>
      <c r="AJ118" s="38"/>
      <c r="AK118" s="38"/>
      <c r="AL118" s="23"/>
      <c r="AM118" s="35">
        <f>VLOOKUP(Tabla43[[#This Row],[SERVICIO 2025]],$J$2:$V$16,5,0)*Tabla43[[#This Row],[TOTAL COBERTURA]]</f>
        <v>493760</v>
      </c>
      <c r="AN118" s="35">
        <f>VLOOKUP(Tabla43[[#This Row],[SERVICIO 2025]],$J$2:$V$16,6,0)*Tabla43[[#This Row],[TOTAL COBERTURA]]</f>
        <v>410290</v>
      </c>
      <c r="AO118" s="35">
        <f>VLOOKUP(Tabla43[[#This Row],[SERVICIO 2025]],$J$2:$V$16,8,0)*Tabla43[[#This Row],[TOTAL COBERTURA]]</f>
        <v>291000</v>
      </c>
      <c r="AP118" s="35">
        <f>VLOOKUP(Tabla43[[#This Row],[SERVICIO 2025]],$J$2:$V$16,3,0)*Tabla43[[#This Row],[TOTAL COBERTURA]]*7</f>
        <v>18031020</v>
      </c>
      <c r="AQ118" s="35"/>
      <c r="AR11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19226070</v>
      </c>
      <c r="AS118" s="35" t="str">
        <f>+IF(Tabla43[[#This Row],[AGRUPACIONES]]=1,SUMIFS(Tabla43[VALOR TOTAL],Tabla43[ZONA DEFINITIVO],Tabla43[[#This Row],[ZONA DEFINITIVO]])," ")</f>
        <v xml:space="preserve"> </v>
      </c>
      <c r="AT11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3360620</v>
      </c>
      <c r="AU118" s="35">
        <f>VLOOKUP(Tabla43[[#This Row],[SERVICIO 2025]],$J$2:$V$16,3,0)*Tabla43[[#This Row],[TOTAL COBERTURA]]+Tabla43[[#This Row],[VALOR RACION PREPARADA]]/7</f>
        <v>2575860</v>
      </c>
      <c r="AV118" s="35">
        <f>VLOOKUP(Tabla43[[#This Row],[SERVICIO 2025]],$J$2:$V$16,3,0)*Tabla43[[#This Row],[TOTAL COBERTURA]]+Tabla43[[#This Row],[VALOR RACION PREPARADA]]/7</f>
        <v>2575860</v>
      </c>
      <c r="AW118" s="35">
        <f>VLOOKUP(Tabla43[[#This Row],[SERVICIO 2025]],$J$2:$V$16,3,0)*Tabla43[[#This Row],[TOTAL COBERTURA]]+Tabla43[[#This Row],[VALOR RACION PREPARADA]]/7</f>
        <v>2575860</v>
      </c>
      <c r="AX118" s="35">
        <f>VLOOKUP(Tabla43[[#This Row],[SERVICIO 2025]],$J$2:$V$16,3,0)*Tabla43[[#This Row],[TOTAL COBERTURA]]+Tabla43[[#This Row],[VALOR RACION PREPARADA]]/7</f>
        <v>2575860</v>
      </c>
      <c r="AY118" s="35">
        <f>VLOOKUP(Tabla43[[#This Row],[SERVICIO 2025]],$J$2:$V$16,3,0)*Tabla43[[#This Row],[TOTAL COBERTURA]]+Tabla43[[#This Row],[VALOR RACION PREPARADA]]/7</f>
        <v>2575860</v>
      </c>
      <c r="AZ118" s="35">
        <f>VLOOKUP(Tabla43[[#This Row],[SERVICIO 2025]],$J$2:$V$16,3,0)*Tabla43[[#This Row],[TOTAL COBERTURA]]+Tabla43[[#This Row],[VALOR RACION PREPARADA]]/7+Tabla43[[#This Row],[VALOR FASE PREPARATORIA DE CIERRE]]</f>
        <v>2986150</v>
      </c>
      <c r="BA118" s="35"/>
      <c r="BB118" s="35">
        <f>SUM(Tabla43[[#This Row],[DESEMBOLSO 1]:[DESEMBOLSO 8]])</f>
        <v>19226070</v>
      </c>
      <c r="BC118" s="55">
        <f>VLOOKUP(Tabla43[[#This Row],[SERVICIO 2025]],$J$2:$V$16,10,0)*Tabla43[[#This Row],[TOTAL COBERTURA]]*$W$3</f>
        <v>14430640</v>
      </c>
      <c r="BD118" s="47" t="s">
        <v>211</v>
      </c>
      <c r="BE118" s="12" t="b">
        <f>EXACT(Tabla43[[#This Row],[TOTAL APORTES ICBF]],Tabla43[[#This Row],[VALOR TOTAL]])</f>
        <v>1</v>
      </c>
      <c r="BF118" s="23">
        <f>SUM(Tabla43[[#This Row],[VALOR FASE PREPARATORIA DE ALISTAMIENTO]:[VALOR RACION PREPARADA]])-Tabla43[[#This Row],[VALOR TOTAL]]</f>
        <v>0</v>
      </c>
      <c r="BG118" s="12" t="b">
        <f>EXACT(Tabla43[[#This Row],[VALOR TOTAL]],Tabla43[[#This Row],[TOTAL DESEMBOLSOS]])</f>
        <v>1</v>
      </c>
      <c r="BH118" s="29">
        <f>Tabla43[[#This Row],[TOTAL DESEMBOLSOS]]-Tabla43[[#This Row],[VALOR TOTAL]]</f>
        <v>0</v>
      </c>
      <c r="BJ118" t="s">
        <v>3924</v>
      </c>
    </row>
    <row r="119" spans="1:62" hidden="1">
      <c r="A119" s="71">
        <v>1943</v>
      </c>
      <c r="B119" s="13"/>
      <c r="C119" s="12" t="s">
        <v>87</v>
      </c>
      <c r="D119" s="12" t="s">
        <v>579</v>
      </c>
      <c r="E119" s="12" t="s">
        <v>4073</v>
      </c>
      <c r="F119" s="12" t="s">
        <v>18</v>
      </c>
      <c r="G119" s="12" t="s">
        <v>90</v>
      </c>
      <c r="H119" s="12" t="s">
        <v>240</v>
      </c>
      <c r="I119" s="12">
        <v>52341134920</v>
      </c>
      <c r="J119" s="12" t="s">
        <v>4088</v>
      </c>
      <c r="K119" s="12">
        <v>1</v>
      </c>
      <c r="L119" s="12">
        <v>16</v>
      </c>
      <c r="M119" s="12"/>
      <c r="N119" s="71">
        <v>1943</v>
      </c>
      <c r="O119" s="12" t="s">
        <v>93</v>
      </c>
      <c r="P119" s="12"/>
      <c r="Q119" s="12"/>
      <c r="R119" s="12" t="s">
        <v>94</v>
      </c>
      <c r="S119" s="12">
        <v>10</v>
      </c>
      <c r="T119" s="12" t="s">
        <v>2629</v>
      </c>
      <c r="U119" s="12" t="s">
        <v>2630</v>
      </c>
      <c r="V119" s="12">
        <f>VLOOKUP(Tabla43[[#This Row],[ZONA DEFINITIVO]],Hoja1!$A$1:$D$129,3,0)</f>
        <v>232286</v>
      </c>
      <c r="W119" s="12">
        <f>VLOOKUP(Tabla43[[#This Row],[ZONA DEFINITIVO]],Hoja1!$A$1:$D$129,2,0)</f>
        <v>18587</v>
      </c>
      <c r="X119" s="12">
        <f>VLOOKUP(Tabla43[[#This Row],[ZONA DEFINITIVO]],Hoja1!$A$1:$D$129,4,0)</f>
        <v>117025</v>
      </c>
      <c r="Y119" s="12" t="str">
        <f>+IF(Tabla43[[#This Row],[AGRUPACIONES]]=1,SUMIFS(Tabla43[UDS],Tabla43[ZONA DEFINITIVO],Tabla43[[#This Row],[ZONA DEFINITIVO]])," ")</f>
        <v xml:space="preserve"> </v>
      </c>
      <c r="Z119" s="12" t="str">
        <f>+IF(Tabla43[[#This Row],[AGRUPACIONES]]=1,SUMIFS(Tabla43[TOTAL COBERTURA],Tabla43[ZONA DEFINITIVO],Tabla43[[#This Row],[ZONA DEFINITIVO]])," ")</f>
        <v xml:space="preserve"> </v>
      </c>
      <c r="AA119" s="12"/>
      <c r="AB119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30761712</v>
      </c>
      <c r="AC119" s="37">
        <v>0.02</v>
      </c>
      <c r="AD119" s="38">
        <f>Tabla43[[#This Row],[VALOR ATENCIÓN (7 MESES)]]*Tabla43[[#This Row],[% CONTRAPARTIDA]]</f>
        <v>615234.24</v>
      </c>
      <c r="AE119" s="12"/>
      <c r="AF119" s="12">
        <f>COUNTIF($A$22:A119,A119)</f>
        <v>8</v>
      </c>
      <c r="AG119" s="51">
        <v>30761712</v>
      </c>
      <c r="AH119" s="38">
        <f>Tabla43[[#This Row],[VALOR CONTRAPARTIDA]]+Tabla43[[#This Row],[TOTAL APORTES ICBF]]</f>
        <v>31376946.239999998</v>
      </c>
      <c r="AI119" s="35" t="str">
        <f>+IF(Tabla43[[#This Row],[AGRUPACIONES]]=1,SUMIFS(Tabla43[TOTAL APORTES ICBF],Tabla43[ZONA DEFINITIVO],Tabla43[[#This Row],[ZONA DEFINITIVO]])," ")</f>
        <v xml:space="preserve"> </v>
      </c>
      <c r="AJ119" s="38"/>
      <c r="AK119" s="38"/>
      <c r="AL119" s="23"/>
      <c r="AM119" s="35">
        <f>VLOOKUP(Tabla43[[#This Row],[SERVICIO 2025]],$J$2:$V$16,5,0)*Tabla43[[#This Row],[TOTAL COBERTURA]]</f>
        <v>790016</v>
      </c>
      <c r="AN119" s="35">
        <f>VLOOKUP(Tabla43[[#This Row],[SERVICIO 2025]],$J$2:$V$16,6,0)*Tabla43[[#This Row],[TOTAL COBERTURA]]</f>
        <v>656464</v>
      </c>
      <c r="AO119" s="35">
        <f>VLOOKUP(Tabla43[[#This Row],[SERVICIO 2025]],$J$2:$V$16,8,0)*Tabla43[[#This Row],[TOTAL COBERTURA]]</f>
        <v>465600</v>
      </c>
      <c r="AP119" s="35">
        <f>VLOOKUP(Tabla43[[#This Row],[SERVICIO 2025]],$J$2:$V$16,3,0)*Tabla43[[#This Row],[TOTAL COBERTURA]]*7</f>
        <v>28849632</v>
      </c>
      <c r="AQ119" s="35"/>
      <c r="AR11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119" s="35" t="str">
        <f>+IF(Tabla43[[#This Row],[AGRUPACIONES]]=1,SUMIFS(Tabla43[VALOR TOTAL],Tabla43[ZONA DEFINITIVO],Tabla43[[#This Row],[ZONA DEFINITIVO]])," ")</f>
        <v xml:space="preserve"> </v>
      </c>
      <c r="AT11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119" s="35">
        <f>VLOOKUP(Tabla43[[#This Row],[SERVICIO 2025]],$J$2:$V$16,3,0)*Tabla43[[#This Row],[TOTAL COBERTURA]]+Tabla43[[#This Row],[VALOR RACION PREPARADA]]/7</f>
        <v>4121376</v>
      </c>
      <c r="AV119" s="35">
        <f>VLOOKUP(Tabla43[[#This Row],[SERVICIO 2025]],$J$2:$V$16,3,0)*Tabla43[[#This Row],[TOTAL COBERTURA]]+Tabla43[[#This Row],[VALOR RACION PREPARADA]]/7</f>
        <v>4121376</v>
      </c>
      <c r="AW119" s="35">
        <f>VLOOKUP(Tabla43[[#This Row],[SERVICIO 2025]],$J$2:$V$16,3,0)*Tabla43[[#This Row],[TOTAL COBERTURA]]+Tabla43[[#This Row],[VALOR RACION PREPARADA]]/7</f>
        <v>4121376</v>
      </c>
      <c r="AX119" s="35">
        <f>VLOOKUP(Tabla43[[#This Row],[SERVICIO 2025]],$J$2:$V$16,3,0)*Tabla43[[#This Row],[TOTAL COBERTURA]]+Tabla43[[#This Row],[VALOR RACION PREPARADA]]/7</f>
        <v>4121376</v>
      </c>
      <c r="AY119" s="35">
        <f>VLOOKUP(Tabla43[[#This Row],[SERVICIO 2025]],$J$2:$V$16,3,0)*Tabla43[[#This Row],[TOTAL COBERTURA]]+Tabla43[[#This Row],[VALOR RACION PREPARADA]]/7</f>
        <v>4121376</v>
      </c>
      <c r="AZ119" s="35">
        <f>VLOOKUP(Tabla43[[#This Row],[SERVICIO 2025]],$J$2:$V$16,3,0)*Tabla43[[#This Row],[TOTAL COBERTURA]]+Tabla43[[#This Row],[VALOR RACION PREPARADA]]/7+Tabla43[[#This Row],[VALOR FASE PREPARATORIA DE CIERRE]]</f>
        <v>4777840</v>
      </c>
      <c r="BA119" s="35"/>
      <c r="BB119" s="35">
        <f>SUM(Tabla43[[#This Row],[DESEMBOLSO 1]:[DESEMBOLSO 8]])</f>
        <v>30761712</v>
      </c>
      <c r="BC119" s="55">
        <f>VLOOKUP(Tabla43[[#This Row],[SERVICIO 2025]],$J$2:$V$16,10,0)*Tabla43[[#This Row],[TOTAL COBERTURA]]*$W$3</f>
        <v>23089024</v>
      </c>
      <c r="BD119" s="47" t="s">
        <v>211</v>
      </c>
      <c r="BE119" s="12" t="b">
        <f>EXACT(Tabla43[[#This Row],[TOTAL APORTES ICBF]],Tabla43[[#This Row],[VALOR TOTAL]])</f>
        <v>1</v>
      </c>
      <c r="BF119" s="23">
        <f>SUM(Tabla43[[#This Row],[VALOR FASE PREPARATORIA DE ALISTAMIENTO]:[VALOR RACION PREPARADA]])-Tabla43[[#This Row],[VALOR TOTAL]]</f>
        <v>0</v>
      </c>
      <c r="BG119" s="12" t="b">
        <f>EXACT(Tabla43[[#This Row],[VALOR TOTAL]],Tabla43[[#This Row],[TOTAL DESEMBOLSOS]])</f>
        <v>1</v>
      </c>
      <c r="BH119" s="29">
        <f>Tabla43[[#This Row],[TOTAL DESEMBOLSOS]]-Tabla43[[#This Row],[VALOR TOTAL]]</f>
        <v>0</v>
      </c>
      <c r="BJ119" t="s">
        <v>3924</v>
      </c>
    </row>
    <row r="120" spans="1:62" hidden="1">
      <c r="A120" s="71">
        <v>1943</v>
      </c>
      <c r="B120" s="13"/>
      <c r="C120" s="12" t="s">
        <v>87</v>
      </c>
      <c r="D120" s="12" t="s">
        <v>579</v>
      </c>
      <c r="E120" s="12" t="s">
        <v>4073</v>
      </c>
      <c r="F120" s="12" t="s">
        <v>18</v>
      </c>
      <c r="G120" s="12" t="s">
        <v>90</v>
      </c>
      <c r="H120" s="12" t="s">
        <v>4089</v>
      </c>
      <c r="I120" s="12">
        <v>52341134924</v>
      </c>
      <c r="J120" s="12" t="s">
        <v>4090</v>
      </c>
      <c r="K120" s="12">
        <v>1</v>
      </c>
      <c r="L120" s="12">
        <v>13</v>
      </c>
      <c r="M120" s="12"/>
      <c r="N120" s="71">
        <v>1943</v>
      </c>
      <c r="O120" s="12" t="s">
        <v>93</v>
      </c>
      <c r="P120" s="12"/>
      <c r="Q120" s="12"/>
      <c r="R120" s="12" t="s">
        <v>94</v>
      </c>
      <c r="S120" s="12">
        <v>10</v>
      </c>
      <c r="T120" s="12" t="s">
        <v>2629</v>
      </c>
      <c r="U120" s="12" t="s">
        <v>2630</v>
      </c>
      <c r="V120" s="12">
        <f>VLOOKUP(Tabla43[[#This Row],[ZONA DEFINITIVO]],Hoja1!$A$1:$D$129,3,0)</f>
        <v>232286</v>
      </c>
      <c r="W120" s="12">
        <f>VLOOKUP(Tabla43[[#This Row],[ZONA DEFINITIVO]],Hoja1!$A$1:$D$129,2,0)</f>
        <v>18587</v>
      </c>
      <c r="X120" s="12">
        <f>VLOOKUP(Tabla43[[#This Row],[ZONA DEFINITIVO]],Hoja1!$A$1:$D$129,4,0)</f>
        <v>117025</v>
      </c>
      <c r="Y120" s="12" t="str">
        <f>+IF(Tabla43[[#This Row],[AGRUPACIONES]]=1,SUMIFS(Tabla43[UDS],Tabla43[ZONA DEFINITIVO],Tabla43[[#This Row],[ZONA DEFINITIVO]])," ")</f>
        <v xml:space="preserve"> </v>
      </c>
      <c r="Z120" s="12" t="str">
        <f>+IF(Tabla43[[#This Row],[AGRUPACIONES]]=1,SUMIFS(Tabla43[TOTAL COBERTURA],Tabla43[ZONA DEFINITIVO],Tabla43[[#This Row],[ZONA DEFINITIVO]])," ")</f>
        <v xml:space="preserve"> </v>
      </c>
      <c r="AA120" s="12"/>
      <c r="AB120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24993891</v>
      </c>
      <c r="AC120" s="37">
        <v>0.02</v>
      </c>
      <c r="AD120" s="38">
        <f>Tabla43[[#This Row],[VALOR ATENCIÓN (7 MESES)]]*Tabla43[[#This Row],[% CONTRAPARTIDA]]</f>
        <v>499877.82</v>
      </c>
      <c r="AE120" s="12"/>
      <c r="AF120" s="12">
        <f>COUNTIF($A$22:A120,A120)</f>
        <v>9</v>
      </c>
      <c r="AG120" s="51">
        <v>24993891</v>
      </c>
      <c r="AH120" s="38">
        <f>Tabla43[[#This Row],[VALOR CONTRAPARTIDA]]+Tabla43[[#This Row],[TOTAL APORTES ICBF]]</f>
        <v>25493768.82</v>
      </c>
      <c r="AI120" s="35" t="str">
        <f>+IF(Tabla43[[#This Row],[AGRUPACIONES]]=1,SUMIFS(Tabla43[TOTAL APORTES ICBF],Tabla43[ZONA DEFINITIVO],Tabla43[[#This Row],[ZONA DEFINITIVO]])," ")</f>
        <v xml:space="preserve"> </v>
      </c>
      <c r="AJ120" s="38"/>
      <c r="AK120" s="38"/>
      <c r="AL120" s="23"/>
      <c r="AM120" s="35">
        <f>VLOOKUP(Tabla43[[#This Row],[SERVICIO 2025]],$J$2:$V$16,5,0)*Tabla43[[#This Row],[TOTAL COBERTURA]]</f>
        <v>641888</v>
      </c>
      <c r="AN120" s="35">
        <f>VLOOKUP(Tabla43[[#This Row],[SERVICIO 2025]],$J$2:$V$16,6,0)*Tabla43[[#This Row],[TOTAL COBERTURA]]</f>
        <v>533377</v>
      </c>
      <c r="AO120" s="35">
        <f>VLOOKUP(Tabla43[[#This Row],[SERVICIO 2025]],$J$2:$V$16,8,0)*Tabla43[[#This Row],[TOTAL COBERTURA]]</f>
        <v>378300</v>
      </c>
      <c r="AP120" s="35">
        <f>VLOOKUP(Tabla43[[#This Row],[SERVICIO 2025]],$J$2:$V$16,3,0)*Tabla43[[#This Row],[TOTAL COBERTURA]]*7</f>
        <v>23440326</v>
      </c>
      <c r="AQ120" s="35"/>
      <c r="AR12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24993891</v>
      </c>
      <c r="AS120" s="35" t="str">
        <f>+IF(Tabla43[[#This Row],[AGRUPACIONES]]=1,SUMIFS(Tabla43[VALOR TOTAL],Tabla43[ZONA DEFINITIVO],Tabla43[[#This Row],[ZONA DEFINITIVO]])," ")</f>
        <v xml:space="preserve"> </v>
      </c>
      <c r="AT12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4368806</v>
      </c>
      <c r="AU120" s="35">
        <f>VLOOKUP(Tabla43[[#This Row],[SERVICIO 2025]],$J$2:$V$16,3,0)*Tabla43[[#This Row],[TOTAL COBERTURA]]+Tabla43[[#This Row],[VALOR RACION PREPARADA]]/7</f>
        <v>3348618</v>
      </c>
      <c r="AV120" s="35">
        <f>VLOOKUP(Tabla43[[#This Row],[SERVICIO 2025]],$J$2:$V$16,3,0)*Tabla43[[#This Row],[TOTAL COBERTURA]]+Tabla43[[#This Row],[VALOR RACION PREPARADA]]/7</f>
        <v>3348618</v>
      </c>
      <c r="AW120" s="35">
        <f>VLOOKUP(Tabla43[[#This Row],[SERVICIO 2025]],$J$2:$V$16,3,0)*Tabla43[[#This Row],[TOTAL COBERTURA]]+Tabla43[[#This Row],[VALOR RACION PREPARADA]]/7</f>
        <v>3348618</v>
      </c>
      <c r="AX120" s="35">
        <f>VLOOKUP(Tabla43[[#This Row],[SERVICIO 2025]],$J$2:$V$16,3,0)*Tabla43[[#This Row],[TOTAL COBERTURA]]+Tabla43[[#This Row],[VALOR RACION PREPARADA]]/7</f>
        <v>3348618</v>
      </c>
      <c r="AY120" s="35">
        <f>VLOOKUP(Tabla43[[#This Row],[SERVICIO 2025]],$J$2:$V$16,3,0)*Tabla43[[#This Row],[TOTAL COBERTURA]]+Tabla43[[#This Row],[VALOR RACION PREPARADA]]/7</f>
        <v>3348618</v>
      </c>
      <c r="AZ120" s="35">
        <f>VLOOKUP(Tabla43[[#This Row],[SERVICIO 2025]],$J$2:$V$16,3,0)*Tabla43[[#This Row],[TOTAL COBERTURA]]+Tabla43[[#This Row],[VALOR RACION PREPARADA]]/7+Tabla43[[#This Row],[VALOR FASE PREPARATORIA DE CIERRE]]</f>
        <v>3881995</v>
      </c>
      <c r="BA120" s="35"/>
      <c r="BB120" s="35">
        <f>SUM(Tabla43[[#This Row],[DESEMBOLSO 1]:[DESEMBOLSO 8]])</f>
        <v>24993891</v>
      </c>
      <c r="BC120" s="55">
        <f>VLOOKUP(Tabla43[[#This Row],[SERVICIO 2025]],$J$2:$V$16,10,0)*Tabla43[[#This Row],[TOTAL COBERTURA]]*$W$3</f>
        <v>18759832</v>
      </c>
      <c r="BD120" s="47" t="s">
        <v>211</v>
      </c>
      <c r="BE120" s="12" t="b">
        <f>EXACT(Tabla43[[#This Row],[TOTAL APORTES ICBF]],Tabla43[[#This Row],[VALOR TOTAL]])</f>
        <v>1</v>
      </c>
      <c r="BF120" s="23">
        <f>SUM(Tabla43[[#This Row],[VALOR FASE PREPARATORIA DE ALISTAMIENTO]:[VALOR RACION PREPARADA]])-Tabla43[[#This Row],[VALOR TOTAL]]</f>
        <v>0</v>
      </c>
      <c r="BG120" s="12" t="b">
        <f>EXACT(Tabla43[[#This Row],[VALOR TOTAL]],Tabla43[[#This Row],[TOTAL DESEMBOLSOS]])</f>
        <v>1</v>
      </c>
      <c r="BH120" s="29">
        <f>Tabla43[[#This Row],[TOTAL DESEMBOLSOS]]-Tabla43[[#This Row],[VALOR TOTAL]]</f>
        <v>0</v>
      </c>
      <c r="BJ120" t="s">
        <v>3924</v>
      </c>
    </row>
    <row r="121" spans="1:62" hidden="1">
      <c r="A121" s="71">
        <v>1943</v>
      </c>
      <c r="B121" s="13"/>
      <c r="C121" s="12" t="s">
        <v>87</v>
      </c>
      <c r="D121" s="12" t="s">
        <v>579</v>
      </c>
      <c r="E121" s="12" t="s">
        <v>4073</v>
      </c>
      <c r="F121" s="12" t="s">
        <v>18</v>
      </c>
      <c r="G121" s="12" t="s">
        <v>90</v>
      </c>
      <c r="H121" s="12" t="s">
        <v>4091</v>
      </c>
      <c r="I121" s="12">
        <v>52341134930</v>
      </c>
      <c r="J121" s="12" t="s">
        <v>4092</v>
      </c>
      <c r="K121" s="12">
        <v>1</v>
      </c>
      <c r="L121" s="12">
        <v>20</v>
      </c>
      <c r="M121" s="12"/>
      <c r="N121" s="71">
        <v>1943</v>
      </c>
      <c r="O121" s="12" t="s">
        <v>93</v>
      </c>
      <c r="P121" s="12"/>
      <c r="Q121" s="12"/>
      <c r="R121" s="12" t="s">
        <v>94</v>
      </c>
      <c r="S121" s="12">
        <v>10</v>
      </c>
      <c r="T121" s="12" t="s">
        <v>2629</v>
      </c>
      <c r="U121" s="12" t="s">
        <v>2630</v>
      </c>
      <c r="V121" s="12">
        <f>VLOOKUP(Tabla43[[#This Row],[ZONA DEFINITIVO]],Hoja1!$A$1:$D$129,3,0)</f>
        <v>232286</v>
      </c>
      <c r="W121" s="12">
        <f>VLOOKUP(Tabla43[[#This Row],[ZONA DEFINITIVO]],Hoja1!$A$1:$D$129,2,0)</f>
        <v>18587</v>
      </c>
      <c r="X121" s="12">
        <f>VLOOKUP(Tabla43[[#This Row],[ZONA DEFINITIVO]],Hoja1!$A$1:$D$129,4,0)</f>
        <v>117025</v>
      </c>
      <c r="Y121" s="12" t="str">
        <f>+IF(Tabla43[[#This Row],[AGRUPACIONES]]=1,SUMIFS(Tabla43[UDS],Tabla43[ZONA DEFINITIVO],Tabla43[[#This Row],[ZONA DEFINITIVO]])," ")</f>
        <v xml:space="preserve"> </v>
      </c>
      <c r="Z121" s="12" t="str">
        <f>+IF(Tabla43[[#This Row],[AGRUPACIONES]]=1,SUMIFS(Tabla43[TOTAL COBERTURA],Tabla43[ZONA DEFINITIVO],Tabla43[[#This Row],[ZONA DEFINITIVO]])," ")</f>
        <v xml:space="preserve"> </v>
      </c>
      <c r="AA121" s="12"/>
      <c r="AB121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38452140</v>
      </c>
      <c r="AC121" s="37">
        <v>0.02</v>
      </c>
      <c r="AD121" s="38">
        <f>Tabla43[[#This Row],[VALOR ATENCIÓN (7 MESES)]]*Tabla43[[#This Row],[% CONTRAPARTIDA]]</f>
        <v>769042.8</v>
      </c>
      <c r="AE121" s="12"/>
      <c r="AF121" s="12">
        <f>COUNTIF($A$22:A121,A121)</f>
        <v>10</v>
      </c>
      <c r="AG121" s="51">
        <v>38452140</v>
      </c>
      <c r="AH121" s="38">
        <f>Tabla43[[#This Row],[VALOR CONTRAPARTIDA]]+Tabla43[[#This Row],[TOTAL APORTES ICBF]]</f>
        <v>39221182.799999997</v>
      </c>
      <c r="AI121" s="35" t="str">
        <f>+IF(Tabla43[[#This Row],[AGRUPACIONES]]=1,SUMIFS(Tabla43[TOTAL APORTES ICBF],Tabla43[ZONA DEFINITIVO],Tabla43[[#This Row],[ZONA DEFINITIVO]])," ")</f>
        <v xml:space="preserve"> </v>
      </c>
      <c r="AJ121" s="38"/>
      <c r="AK121" s="38"/>
      <c r="AL121" s="23"/>
      <c r="AM121" s="35">
        <f>VLOOKUP(Tabla43[[#This Row],[SERVICIO 2025]],$J$2:$V$16,5,0)*Tabla43[[#This Row],[TOTAL COBERTURA]]</f>
        <v>987520</v>
      </c>
      <c r="AN121" s="35">
        <f>VLOOKUP(Tabla43[[#This Row],[SERVICIO 2025]],$J$2:$V$16,6,0)*Tabla43[[#This Row],[TOTAL COBERTURA]]</f>
        <v>820580</v>
      </c>
      <c r="AO121" s="35">
        <f>VLOOKUP(Tabla43[[#This Row],[SERVICIO 2025]],$J$2:$V$16,8,0)*Tabla43[[#This Row],[TOTAL COBERTURA]]</f>
        <v>582000</v>
      </c>
      <c r="AP121" s="35">
        <f>VLOOKUP(Tabla43[[#This Row],[SERVICIO 2025]],$J$2:$V$16,3,0)*Tabla43[[#This Row],[TOTAL COBERTURA]]*7</f>
        <v>36062040</v>
      </c>
      <c r="AQ121" s="35"/>
      <c r="AR12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21" s="35" t="str">
        <f>+IF(Tabla43[[#This Row],[AGRUPACIONES]]=1,SUMIFS(Tabla43[VALOR TOTAL],Tabla43[ZONA DEFINITIVO],Tabla43[[#This Row],[ZONA DEFINITIVO]])," ")</f>
        <v xml:space="preserve"> </v>
      </c>
      <c r="AT12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21" s="35">
        <f>VLOOKUP(Tabla43[[#This Row],[SERVICIO 2025]],$J$2:$V$16,3,0)*Tabla43[[#This Row],[TOTAL COBERTURA]]+Tabla43[[#This Row],[VALOR RACION PREPARADA]]/7</f>
        <v>5151720</v>
      </c>
      <c r="AV121" s="35">
        <f>VLOOKUP(Tabla43[[#This Row],[SERVICIO 2025]],$J$2:$V$16,3,0)*Tabla43[[#This Row],[TOTAL COBERTURA]]+Tabla43[[#This Row],[VALOR RACION PREPARADA]]/7</f>
        <v>5151720</v>
      </c>
      <c r="AW121" s="35">
        <f>VLOOKUP(Tabla43[[#This Row],[SERVICIO 2025]],$J$2:$V$16,3,0)*Tabla43[[#This Row],[TOTAL COBERTURA]]+Tabla43[[#This Row],[VALOR RACION PREPARADA]]/7</f>
        <v>5151720</v>
      </c>
      <c r="AX121" s="35">
        <f>VLOOKUP(Tabla43[[#This Row],[SERVICIO 2025]],$J$2:$V$16,3,0)*Tabla43[[#This Row],[TOTAL COBERTURA]]+Tabla43[[#This Row],[VALOR RACION PREPARADA]]/7</f>
        <v>5151720</v>
      </c>
      <c r="AY121" s="35">
        <f>VLOOKUP(Tabla43[[#This Row],[SERVICIO 2025]],$J$2:$V$16,3,0)*Tabla43[[#This Row],[TOTAL COBERTURA]]+Tabla43[[#This Row],[VALOR RACION PREPARADA]]/7</f>
        <v>5151720</v>
      </c>
      <c r="AZ121" s="35">
        <f>VLOOKUP(Tabla43[[#This Row],[SERVICIO 2025]],$J$2:$V$16,3,0)*Tabla43[[#This Row],[TOTAL COBERTURA]]+Tabla43[[#This Row],[VALOR RACION PREPARADA]]/7+Tabla43[[#This Row],[VALOR FASE PREPARATORIA DE CIERRE]]</f>
        <v>5972300</v>
      </c>
      <c r="BA121" s="35"/>
      <c r="BB121" s="35">
        <f>SUM(Tabla43[[#This Row],[DESEMBOLSO 1]:[DESEMBOLSO 8]])</f>
        <v>38452140</v>
      </c>
      <c r="BC121" s="55">
        <f>VLOOKUP(Tabla43[[#This Row],[SERVICIO 2025]],$J$2:$V$16,10,0)*Tabla43[[#This Row],[TOTAL COBERTURA]]*$W$3</f>
        <v>28861280</v>
      </c>
      <c r="BD121" s="47" t="s">
        <v>211</v>
      </c>
      <c r="BE121" s="12" t="b">
        <f>EXACT(Tabla43[[#This Row],[TOTAL APORTES ICBF]],Tabla43[[#This Row],[VALOR TOTAL]])</f>
        <v>1</v>
      </c>
      <c r="BF121" s="23">
        <f>SUM(Tabla43[[#This Row],[VALOR FASE PREPARATORIA DE ALISTAMIENTO]:[VALOR RACION PREPARADA]])-Tabla43[[#This Row],[VALOR TOTAL]]</f>
        <v>0</v>
      </c>
      <c r="BG121" s="12" t="b">
        <f>EXACT(Tabla43[[#This Row],[VALOR TOTAL]],Tabla43[[#This Row],[TOTAL DESEMBOLSOS]])</f>
        <v>1</v>
      </c>
      <c r="BH121" s="29">
        <f>Tabla43[[#This Row],[TOTAL DESEMBOLSOS]]-Tabla43[[#This Row],[VALOR TOTAL]]</f>
        <v>0</v>
      </c>
      <c r="BJ121" t="s">
        <v>3924</v>
      </c>
    </row>
    <row r="122" spans="1:62" hidden="1">
      <c r="A122" s="71">
        <v>1943</v>
      </c>
      <c r="B122" s="13"/>
      <c r="C122" s="12" t="s">
        <v>87</v>
      </c>
      <c r="D122" s="12" t="s">
        <v>579</v>
      </c>
      <c r="E122" s="12" t="s">
        <v>4073</v>
      </c>
      <c r="F122" s="12" t="s">
        <v>18</v>
      </c>
      <c r="G122" s="12" t="s">
        <v>90</v>
      </c>
      <c r="H122" s="12" t="s">
        <v>4093</v>
      </c>
      <c r="I122" s="12">
        <v>52341135539</v>
      </c>
      <c r="J122" s="12" t="s">
        <v>4094</v>
      </c>
      <c r="K122" s="12">
        <v>1</v>
      </c>
      <c r="L122" s="12">
        <v>15</v>
      </c>
      <c r="M122" s="12"/>
      <c r="N122" s="71">
        <v>1943</v>
      </c>
      <c r="O122" s="12" t="s">
        <v>93</v>
      </c>
      <c r="P122" s="12"/>
      <c r="Q122" s="12"/>
      <c r="R122" s="12" t="s">
        <v>94</v>
      </c>
      <c r="S122" s="12">
        <v>10</v>
      </c>
      <c r="T122" s="12" t="s">
        <v>2629</v>
      </c>
      <c r="U122" s="12" t="s">
        <v>2630</v>
      </c>
      <c r="V122" s="12">
        <f>VLOOKUP(Tabla43[[#This Row],[ZONA DEFINITIVO]],Hoja1!$A$1:$D$129,3,0)</f>
        <v>232286</v>
      </c>
      <c r="W122" s="12">
        <f>VLOOKUP(Tabla43[[#This Row],[ZONA DEFINITIVO]],Hoja1!$A$1:$D$129,2,0)</f>
        <v>18587</v>
      </c>
      <c r="X122" s="12">
        <f>VLOOKUP(Tabla43[[#This Row],[ZONA DEFINITIVO]],Hoja1!$A$1:$D$129,4,0)</f>
        <v>117025</v>
      </c>
      <c r="Y122" s="12" t="str">
        <f>+IF(Tabla43[[#This Row],[AGRUPACIONES]]=1,SUMIFS(Tabla43[UDS],Tabla43[ZONA DEFINITIVO],Tabla43[[#This Row],[ZONA DEFINITIVO]])," ")</f>
        <v xml:space="preserve"> </v>
      </c>
      <c r="Z122" s="12" t="str">
        <f>+IF(Tabla43[[#This Row],[AGRUPACIONES]]=1,SUMIFS(Tabla43[TOTAL COBERTURA],Tabla43[ZONA DEFINITIVO],Tabla43[[#This Row],[ZONA DEFINITIVO]])," ")</f>
        <v xml:space="preserve"> </v>
      </c>
      <c r="AA122" s="12"/>
      <c r="AB122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28839105</v>
      </c>
      <c r="AC122" s="37">
        <v>0.02</v>
      </c>
      <c r="AD122" s="38">
        <f>Tabla43[[#This Row],[VALOR ATENCIÓN (7 MESES)]]*Tabla43[[#This Row],[% CONTRAPARTIDA]]</f>
        <v>576782.1</v>
      </c>
      <c r="AE122" s="12"/>
      <c r="AF122" s="12">
        <f>COUNTIF($A$22:A122,A122)</f>
        <v>11</v>
      </c>
      <c r="AG122" s="51">
        <v>28839105</v>
      </c>
      <c r="AH122" s="38">
        <f>Tabla43[[#This Row],[VALOR CONTRAPARTIDA]]+Tabla43[[#This Row],[TOTAL APORTES ICBF]]</f>
        <v>29415887.100000001</v>
      </c>
      <c r="AI122" s="35" t="str">
        <f>+IF(Tabla43[[#This Row],[AGRUPACIONES]]=1,SUMIFS(Tabla43[TOTAL APORTES ICBF],Tabla43[ZONA DEFINITIVO],Tabla43[[#This Row],[ZONA DEFINITIVO]])," ")</f>
        <v xml:space="preserve"> </v>
      </c>
      <c r="AJ122" s="38"/>
      <c r="AK122" s="38"/>
      <c r="AL122" s="23"/>
      <c r="AM122" s="35">
        <f>VLOOKUP(Tabla43[[#This Row],[SERVICIO 2025]],$J$2:$V$16,5,0)*Tabla43[[#This Row],[TOTAL COBERTURA]]</f>
        <v>740640</v>
      </c>
      <c r="AN122" s="35">
        <f>VLOOKUP(Tabla43[[#This Row],[SERVICIO 2025]],$J$2:$V$16,6,0)*Tabla43[[#This Row],[TOTAL COBERTURA]]</f>
        <v>615435</v>
      </c>
      <c r="AO122" s="35">
        <f>VLOOKUP(Tabla43[[#This Row],[SERVICIO 2025]],$J$2:$V$16,8,0)*Tabla43[[#This Row],[TOTAL COBERTURA]]</f>
        <v>436500</v>
      </c>
      <c r="AP122" s="35">
        <f>VLOOKUP(Tabla43[[#This Row],[SERVICIO 2025]],$J$2:$V$16,3,0)*Tabla43[[#This Row],[TOTAL COBERTURA]]*7</f>
        <v>27046530</v>
      </c>
      <c r="AQ122" s="35"/>
      <c r="AR12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28839105</v>
      </c>
      <c r="AS122" s="35" t="str">
        <f>+IF(Tabla43[[#This Row],[AGRUPACIONES]]=1,SUMIFS(Tabla43[VALOR TOTAL],Tabla43[ZONA DEFINITIVO],Tabla43[[#This Row],[ZONA DEFINITIVO]])," ")</f>
        <v xml:space="preserve"> </v>
      </c>
      <c r="AT12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5040930</v>
      </c>
      <c r="AU122" s="35">
        <f>VLOOKUP(Tabla43[[#This Row],[SERVICIO 2025]],$J$2:$V$16,3,0)*Tabla43[[#This Row],[TOTAL COBERTURA]]+Tabla43[[#This Row],[VALOR RACION PREPARADA]]/7</f>
        <v>3863790</v>
      </c>
      <c r="AV122" s="35">
        <f>VLOOKUP(Tabla43[[#This Row],[SERVICIO 2025]],$J$2:$V$16,3,0)*Tabla43[[#This Row],[TOTAL COBERTURA]]+Tabla43[[#This Row],[VALOR RACION PREPARADA]]/7</f>
        <v>3863790</v>
      </c>
      <c r="AW122" s="35">
        <f>VLOOKUP(Tabla43[[#This Row],[SERVICIO 2025]],$J$2:$V$16,3,0)*Tabla43[[#This Row],[TOTAL COBERTURA]]+Tabla43[[#This Row],[VALOR RACION PREPARADA]]/7</f>
        <v>3863790</v>
      </c>
      <c r="AX122" s="35">
        <f>VLOOKUP(Tabla43[[#This Row],[SERVICIO 2025]],$J$2:$V$16,3,0)*Tabla43[[#This Row],[TOTAL COBERTURA]]+Tabla43[[#This Row],[VALOR RACION PREPARADA]]/7</f>
        <v>3863790</v>
      </c>
      <c r="AY122" s="35">
        <f>VLOOKUP(Tabla43[[#This Row],[SERVICIO 2025]],$J$2:$V$16,3,0)*Tabla43[[#This Row],[TOTAL COBERTURA]]+Tabla43[[#This Row],[VALOR RACION PREPARADA]]/7</f>
        <v>3863790</v>
      </c>
      <c r="AZ122" s="35">
        <f>VLOOKUP(Tabla43[[#This Row],[SERVICIO 2025]],$J$2:$V$16,3,0)*Tabla43[[#This Row],[TOTAL COBERTURA]]+Tabla43[[#This Row],[VALOR RACION PREPARADA]]/7+Tabla43[[#This Row],[VALOR FASE PREPARATORIA DE CIERRE]]</f>
        <v>4479225</v>
      </c>
      <c r="BA122" s="35"/>
      <c r="BB122" s="35">
        <f>SUM(Tabla43[[#This Row],[DESEMBOLSO 1]:[DESEMBOLSO 8]])</f>
        <v>28839105</v>
      </c>
      <c r="BC122" s="55">
        <f>VLOOKUP(Tabla43[[#This Row],[SERVICIO 2025]],$J$2:$V$16,10,0)*Tabla43[[#This Row],[TOTAL COBERTURA]]*$W$3</f>
        <v>21645960</v>
      </c>
      <c r="BD122" s="47" t="s">
        <v>211</v>
      </c>
      <c r="BE122" s="12" t="b">
        <f>EXACT(Tabla43[[#This Row],[TOTAL APORTES ICBF]],Tabla43[[#This Row],[VALOR TOTAL]])</f>
        <v>1</v>
      </c>
      <c r="BF122" s="23">
        <f>SUM(Tabla43[[#This Row],[VALOR FASE PREPARATORIA DE ALISTAMIENTO]:[VALOR RACION PREPARADA]])-Tabla43[[#This Row],[VALOR TOTAL]]</f>
        <v>0</v>
      </c>
      <c r="BG122" s="12" t="b">
        <f>EXACT(Tabla43[[#This Row],[VALOR TOTAL]],Tabla43[[#This Row],[TOTAL DESEMBOLSOS]])</f>
        <v>1</v>
      </c>
      <c r="BH122" s="29">
        <f>Tabla43[[#This Row],[TOTAL DESEMBOLSOS]]-Tabla43[[#This Row],[VALOR TOTAL]]</f>
        <v>0</v>
      </c>
      <c r="BJ122" t="s">
        <v>3924</v>
      </c>
    </row>
    <row r="123" spans="1:62" hidden="1">
      <c r="A123" s="71">
        <v>1943</v>
      </c>
      <c r="B123" s="13"/>
      <c r="C123" s="12" t="s">
        <v>87</v>
      </c>
      <c r="D123" s="12" t="s">
        <v>579</v>
      </c>
      <c r="E123" s="12" t="s">
        <v>4073</v>
      </c>
      <c r="F123" s="12" t="s">
        <v>18</v>
      </c>
      <c r="G123" s="12" t="s">
        <v>90</v>
      </c>
      <c r="H123" s="12" t="s">
        <v>4095</v>
      </c>
      <c r="I123" s="12">
        <v>52341135540</v>
      </c>
      <c r="J123" s="12" t="s">
        <v>4096</v>
      </c>
      <c r="K123" s="12">
        <v>1</v>
      </c>
      <c r="L123" s="12">
        <v>12</v>
      </c>
      <c r="M123" s="12"/>
      <c r="N123" s="71">
        <v>1943</v>
      </c>
      <c r="O123" s="12" t="s">
        <v>93</v>
      </c>
      <c r="P123" s="12"/>
      <c r="Q123" s="12"/>
      <c r="R123" s="12" t="s">
        <v>94</v>
      </c>
      <c r="S123" s="12">
        <v>10</v>
      </c>
      <c r="T123" s="12" t="s">
        <v>2629</v>
      </c>
      <c r="U123" s="12" t="s">
        <v>2630</v>
      </c>
      <c r="V123" s="12">
        <f>VLOOKUP(Tabla43[[#This Row],[ZONA DEFINITIVO]],Hoja1!$A$1:$D$129,3,0)</f>
        <v>232286</v>
      </c>
      <c r="W123" s="12">
        <f>VLOOKUP(Tabla43[[#This Row],[ZONA DEFINITIVO]],Hoja1!$A$1:$D$129,2,0)</f>
        <v>18587</v>
      </c>
      <c r="X123" s="12">
        <f>VLOOKUP(Tabla43[[#This Row],[ZONA DEFINITIVO]],Hoja1!$A$1:$D$129,4,0)</f>
        <v>117025</v>
      </c>
      <c r="Y123" s="12" t="str">
        <f>+IF(Tabla43[[#This Row],[AGRUPACIONES]]=1,SUMIFS(Tabla43[UDS],Tabla43[ZONA DEFINITIVO],Tabla43[[#This Row],[ZONA DEFINITIVO]])," ")</f>
        <v xml:space="preserve"> </v>
      </c>
      <c r="Z123" s="12" t="str">
        <f>+IF(Tabla43[[#This Row],[AGRUPACIONES]]=1,SUMIFS(Tabla43[TOTAL COBERTURA],Tabla43[ZONA DEFINITIVO],Tabla43[[#This Row],[ZONA DEFINITIVO]])," ")</f>
        <v xml:space="preserve"> </v>
      </c>
      <c r="AA123" s="12"/>
      <c r="AB123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23071284</v>
      </c>
      <c r="AC123" s="37">
        <v>0.02</v>
      </c>
      <c r="AD123" s="38">
        <f>Tabla43[[#This Row],[VALOR ATENCIÓN (7 MESES)]]*Tabla43[[#This Row],[% CONTRAPARTIDA]]</f>
        <v>461425.68</v>
      </c>
      <c r="AE123" s="12"/>
      <c r="AF123" s="12">
        <f>COUNTIF($A$22:A123,A123)</f>
        <v>12</v>
      </c>
      <c r="AG123" s="51">
        <v>23071284</v>
      </c>
      <c r="AH123" s="38">
        <f>Tabla43[[#This Row],[VALOR CONTRAPARTIDA]]+Tabla43[[#This Row],[TOTAL APORTES ICBF]]</f>
        <v>23532709.68</v>
      </c>
      <c r="AI123" s="35" t="str">
        <f>+IF(Tabla43[[#This Row],[AGRUPACIONES]]=1,SUMIFS(Tabla43[TOTAL APORTES ICBF],Tabla43[ZONA DEFINITIVO],Tabla43[[#This Row],[ZONA DEFINITIVO]])," ")</f>
        <v xml:space="preserve"> </v>
      </c>
      <c r="AJ123" s="38"/>
      <c r="AK123" s="38"/>
      <c r="AL123" s="23"/>
      <c r="AM123" s="35">
        <f>VLOOKUP(Tabla43[[#This Row],[SERVICIO 2025]],$J$2:$V$16,5,0)*Tabla43[[#This Row],[TOTAL COBERTURA]]</f>
        <v>592512</v>
      </c>
      <c r="AN123" s="35">
        <f>VLOOKUP(Tabla43[[#This Row],[SERVICIO 2025]],$J$2:$V$16,6,0)*Tabla43[[#This Row],[TOTAL COBERTURA]]</f>
        <v>492348</v>
      </c>
      <c r="AO123" s="35">
        <f>VLOOKUP(Tabla43[[#This Row],[SERVICIO 2025]],$J$2:$V$16,8,0)*Tabla43[[#This Row],[TOTAL COBERTURA]]</f>
        <v>349200</v>
      </c>
      <c r="AP123" s="35">
        <f>VLOOKUP(Tabla43[[#This Row],[SERVICIO 2025]],$J$2:$V$16,3,0)*Tabla43[[#This Row],[TOTAL COBERTURA]]*7</f>
        <v>21637224</v>
      </c>
      <c r="AQ123" s="35"/>
      <c r="AR12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23071284</v>
      </c>
      <c r="AS123" s="35" t="str">
        <f>+IF(Tabla43[[#This Row],[AGRUPACIONES]]=1,SUMIFS(Tabla43[VALOR TOTAL],Tabla43[ZONA DEFINITIVO],Tabla43[[#This Row],[ZONA DEFINITIVO]])," ")</f>
        <v xml:space="preserve"> </v>
      </c>
      <c r="AT12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4032744</v>
      </c>
      <c r="AU123" s="35">
        <f>VLOOKUP(Tabla43[[#This Row],[SERVICIO 2025]],$J$2:$V$16,3,0)*Tabla43[[#This Row],[TOTAL COBERTURA]]+Tabla43[[#This Row],[VALOR RACION PREPARADA]]/7</f>
        <v>3091032</v>
      </c>
      <c r="AV123" s="35">
        <f>VLOOKUP(Tabla43[[#This Row],[SERVICIO 2025]],$J$2:$V$16,3,0)*Tabla43[[#This Row],[TOTAL COBERTURA]]+Tabla43[[#This Row],[VALOR RACION PREPARADA]]/7</f>
        <v>3091032</v>
      </c>
      <c r="AW123" s="35">
        <f>VLOOKUP(Tabla43[[#This Row],[SERVICIO 2025]],$J$2:$V$16,3,0)*Tabla43[[#This Row],[TOTAL COBERTURA]]+Tabla43[[#This Row],[VALOR RACION PREPARADA]]/7</f>
        <v>3091032</v>
      </c>
      <c r="AX123" s="35">
        <f>VLOOKUP(Tabla43[[#This Row],[SERVICIO 2025]],$J$2:$V$16,3,0)*Tabla43[[#This Row],[TOTAL COBERTURA]]+Tabla43[[#This Row],[VALOR RACION PREPARADA]]/7</f>
        <v>3091032</v>
      </c>
      <c r="AY123" s="35">
        <f>VLOOKUP(Tabla43[[#This Row],[SERVICIO 2025]],$J$2:$V$16,3,0)*Tabla43[[#This Row],[TOTAL COBERTURA]]+Tabla43[[#This Row],[VALOR RACION PREPARADA]]/7</f>
        <v>3091032</v>
      </c>
      <c r="AZ123" s="35">
        <f>VLOOKUP(Tabla43[[#This Row],[SERVICIO 2025]],$J$2:$V$16,3,0)*Tabla43[[#This Row],[TOTAL COBERTURA]]+Tabla43[[#This Row],[VALOR RACION PREPARADA]]/7+Tabla43[[#This Row],[VALOR FASE PREPARATORIA DE CIERRE]]</f>
        <v>3583380</v>
      </c>
      <c r="BA123" s="35"/>
      <c r="BB123" s="35">
        <f>SUM(Tabla43[[#This Row],[DESEMBOLSO 1]:[DESEMBOLSO 8]])</f>
        <v>23071284</v>
      </c>
      <c r="BC123" s="55">
        <f>VLOOKUP(Tabla43[[#This Row],[SERVICIO 2025]],$J$2:$V$16,10,0)*Tabla43[[#This Row],[TOTAL COBERTURA]]*$W$3</f>
        <v>17316768</v>
      </c>
      <c r="BD123" s="47" t="s">
        <v>211</v>
      </c>
      <c r="BE123" s="12" t="b">
        <f>EXACT(Tabla43[[#This Row],[TOTAL APORTES ICBF]],Tabla43[[#This Row],[VALOR TOTAL]])</f>
        <v>1</v>
      </c>
      <c r="BF123" s="23">
        <f>SUM(Tabla43[[#This Row],[VALOR FASE PREPARATORIA DE ALISTAMIENTO]:[VALOR RACION PREPARADA]])-Tabla43[[#This Row],[VALOR TOTAL]]</f>
        <v>0</v>
      </c>
      <c r="BG123" s="12" t="b">
        <f>EXACT(Tabla43[[#This Row],[VALOR TOTAL]],Tabla43[[#This Row],[TOTAL DESEMBOLSOS]])</f>
        <v>1</v>
      </c>
      <c r="BH123" s="29">
        <f>Tabla43[[#This Row],[TOTAL DESEMBOLSOS]]-Tabla43[[#This Row],[VALOR TOTAL]]</f>
        <v>0</v>
      </c>
      <c r="BJ123" t="s">
        <v>3924</v>
      </c>
    </row>
    <row r="124" spans="1:62" hidden="1">
      <c r="A124" s="71">
        <v>1943</v>
      </c>
      <c r="B124" s="13"/>
      <c r="C124" s="12" t="s">
        <v>87</v>
      </c>
      <c r="D124" s="12" t="s">
        <v>579</v>
      </c>
      <c r="E124" s="12" t="s">
        <v>4073</v>
      </c>
      <c r="F124" s="12" t="s">
        <v>18</v>
      </c>
      <c r="G124" s="12" t="s">
        <v>90</v>
      </c>
      <c r="H124" s="12" t="s">
        <v>4097</v>
      </c>
      <c r="I124" s="12">
        <v>52341136232</v>
      </c>
      <c r="J124" s="12" t="s">
        <v>4098</v>
      </c>
      <c r="K124" s="12">
        <v>1</v>
      </c>
      <c r="L124" s="12">
        <v>14</v>
      </c>
      <c r="M124" s="12"/>
      <c r="N124" s="71">
        <v>1943</v>
      </c>
      <c r="O124" s="12" t="s">
        <v>93</v>
      </c>
      <c r="P124" s="12"/>
      <c r="Q124" s="12"/>
      <c r="R124" s="12" t="s">
        <v>94</v>
      </c>
      <c r="S124" s="12">
        <v>10</v>
      </c>
      <c r="T124" s="12" t="s">
        <v>2629</v>
      </c>
      <c r="U124" s="12" t="s">
        <v>2630</v>
      </c>
      <c r="V124" s="12">
        <f>VLOOKUP(Tabla43[[#This Row],[ZONA DEFINITIVO]],Hoja1!$A$1:$D$129,3,0)</f>
        <v>232286</v>
      </c>
      <c r="W124" s="12">
        <f>VLOOKUP(Tabla43[[#This Row],[ZONA DEFINITIVO]],Hoja1!$A$1:$D$129,2,0)</f>
        <v>18587</v>
      </c>
      <c r="X124" s="12">
        <f>VLOOKUP(Tabla43[[#This Row],[ZONA DEFINITIVO]],Hoja1!$A$1:$D$129,4,0)</f>
        <v>117025</v>
      </c>
      <c r="Y124" s="12" t="str">
        <f>+IF(Tabla43[[#This Row],[AGRUPACIONES]]=1,SUMIFS(Tabla43[UDS],Tabla43[ZONA DEFINITIVO],Tabla43[[#This Row],[ZONA DEFINITIVO]])," ")</f>
        <v xml:space="preserve"> </v>
      </c>
      <c r="Z124" s="12" t="str">
        <f>+IF(Tabla43[[#This Row],[AGRUPACIONES]]=1,SUMIFS(Tabla43[TOTAL COBERTURA],Tabla43[ZONA DEFINITIVO],Tabla43[[#This Row],[ZONA DEFINITIVO]])," ")</f>
        <v xml:space="preserve"> </v>
      </c>
      <c r="AA124" s="12"/>
      <c r="AB124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26916498</v>
      </c>
      <c r="AC124" s="37">
        <v>0.02</v>
      </c>
      <c r="AD124" s="38">
        <f>Tabla43[[#This Row],[VALOR ATENCIÓN (7 MESES)]]*Tabla43[[#This Row],[% CONTRAPARTIDA]]</f>
        <v>538329.96</v>
      </c>
      <c r="AE124" s="12"/>
      <c r="AF124" s="12">
        <f>COUNTIF($A$22:A124,A124)</f>
        <v>13</v>
      </c>
      <c r="AG124" s="51">
        <v>26916498</v>
      </c>
      <c r="AH124" s="38">
        <f>Tabla43[[#This Row],[VALOR CONTRAPARTIDA]]+Tabla43[[#This Row],[TOTAL APORTES ICBF]]</f>
        <v>27454827.960000001</v>
      </c>
      <c r="AI124" s="35" t="str">
        <f>+IF(Tabla43[[#This Row],[AGRUPACIONES]]=1,SUMIFS(Tabla43[TOTAL APORTES ICBF],Tabla43[ZONA DEFINITIVO],Tabla43[[#This Row],[ZONA DEFINITIVO]])," ")</f>
        <v xml:space="preserve"> </v>
      </c>
      <c r="AJ124" s="38"/>
      <c r="AK124" s="38"/>
      <c r="AL124" s="23"/>
      <c r="AM124" s="35">
        <f>VLOOKUP(Tabla43[[#This Row],[SERVICIO 2025]],$J$2:$V$16,5,0)*Tabla43[[#This Row],[TOTAL COBERTURA]]</f>
        <v>691264</v>
      </c>
      <c r="AN124" s="35">
        <f>VLOOKUP(Tabla43[[#This Row],[SERVICIO 2025]],$J$2:$V$16,6,0)*Tabla43[[#This Row],[TOTAL COBERTURA]]</f>
        <v>574406</v>
      </c>
      <c r="AO124" s="35">
        <f>VLOOKUP(Tabla43[[#This Row],[SERVICIO 2025]],$J$2:$V$16,8,0)*Tabla43[[#This Row],[TOTAL COBERTURA]]</f>
        <v>407400</v>
      </c>
      <c r="AP124" s="35">
        <f>VLOOKUP(Tabla43[[#This Row],[SERVICIO 2025]],$J$2:$V$16,3,0)*Tabla43[[#This Row],[TOTAL COBERTURA]]*7</f>
        <v>25243428</v>
      </c>
      <c r="AQ124" s="35"/>
      <c r="AR12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26916498</v>
      </c>
      <c r="AS124" s="35" t="str">
        <f>+IF(Tabla43[[#This Row],[AGRUPACIONES]]=1,SUMIFS(Tabla43[VALOR TOTAL],Tabla43[ZONA DEFINITIVO],Tabla43[[#This Row],[ZONA DEFINITIVO]])," ")</f>
        <v xml:space="preserve"> </v>
      </c>
      <c r="AT12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4704868</v>
      </c>
      <c r="AU124" s="35">
        <f>VLOOKUP(Tabla43[[#This Row],[SERVICIO 2025]],$J$2:$V$16,3,0)*Tabla43[[#This Row],[TOTAL COBERTURA]]+Tabla43[[#This Row],[VALOR RACION PREPARADA]]/7</f>
        <v>3606204</v>
      </c>
      <c r="AV124" s="35">
        <f>VLOOKUP(Tabla43[[#This Row],[SERVICIO 2025]],$J$2:$V$16,3,0)*Tabla43[[#This Row],[TOTAL COBERTURA]]+Tabla43[[#This Row],[VALOR RACION PREPARADA]]/7</f>
        <v>3606204</v>
      </c>
      <c r="AW124" s="35">
        <f>VLOOKUP(Tabla43[[#This Row],[SERVICIO 2025]],$J$2:$V$16,3,0)*Tabla43[[#This Row],[TOTAL COBERTURA]]+Tabla43[[#This Row],[VALOR RACION PREPARADA]]/7</f>
        <v>3606204</v>
      </c>
      <c r="AX124" s="35">
        <f>VLOOKUP(Tabla43[[#This Row],[SERVICIO 2025]],$J$2:$V$16,3,0)*Tabla43[[#This Row],[TOTAL COBERTURA]]+Tabla43[[#This Row],[VALOR RACION PREPARADA]]/7</f>
        <v>3606204</v>
      </c>
      <c r="AY124" s="35">
        <f>VLOOKUP(Tabla43[[#This Row],[SERVICIO 2025]],$J$2:$V$16,3,0)*Tabla43[[#This Row],[TOTAL COBERTURA]]+Tabla43[[#This Row],[VALOR RACION PREPARADA]]/7</f>
        <v>3606204</v>
      </c>
      <c r="AZ124" s="35">
        <f>VLOOKUP(Tabla43[[#This Row],[SERVICIO 2025]],$J$2:$V$16,3,0)*Tabla43[[#This Row],[TOTAL COBERTURA]]+Tabla43[[#This Row],[VALOR RACION PREPARADA]]/7+Tabla43[[#This Row],[VALOR FASE PREPARATORIA DE CIERRE]]</f>
        <v>4180610</v>
      </c>
      <c r="BA124" s="35"/>
      <c r="BB124" s="35">
        <f>SUM(Tabla43[[#This Row],[DESEMBOLSO 1]:[DESEMBOLSO 8]])</f>
        <v>26916498</v>
      </c>
      <c r="BC124" s="55">
        <f>VLOOKUP(Tabla43[[#This Row],[SERVICIO 2025]],$J$2:$V$16,10,0)*Tabla43[[#This Row],[TOTAL COBERTURA]]*$W$3</f>
        <v>20202896</v>
      </c>
      <c r="BD124" s="47" t="s">
        <v>211</v>
      </c>
      <c r="BE124" s="12" t="b">
        <f>EXACT(Tabla43[[#This Row],[TOTAL APORTES ICBF]],Tabla43[[#This Row],[VALOR TOTAL]])</f>
        <v>1</v>
      </c>
      <c r="BF124" s="23">
        <f>SUM(Tabla43[[#This Row],[VALOR FASE PREPARATORIA DE ALISTAMIENTO]:[VALOR RACION PREPARADA]])-Tabla43[[#This Row],[VALOR TOTAL]]</f>
        <v>0</v>
      </c>
      <c r="BG124" s="12" t="b">
        <f>EXACT(Tabla43[[#This Row],[VALOR TOTAL]],Tabla43[[#This Row],[TOTAL DESEMBOLSOS]])</f>
        <v>1</v>
      </c>
      <c r="BH124" s="29">
        <f>Tabla43[[#This Row],[TOTAL DESEMBOLSOS]]-Tabla43[[#This Row],[VALOR TOTAL]]</f>
        <v>0</v>
      </c>
      <c r="BJ124" t="s">
        <v>3924</v>
      </c>
    </row>
    <row r="125" spans="1:62" hidden="1">
      <c r="A125" s="71">
        <v>1943</v>
      </c>
      <c r="B125" s="13"/>
      <c r="C125" s="12" t="s">
        <v>87</v>
      </c>
      <c r="D125" s="12" t="s">
        <v>579</v>
      </c>
      <c r="E125" s="12" t="s">
        <v>4073</v>
      </c>
      <c r="F125" s="12" t="s">
        <v>14</v>
      </c>
      <c r="G125" s="12" t="s">
        <v>90</v>
      </c>
      <c r="H125" s="12" t="s">
        <v>4099</v>
      </c>
      <c r="I125" s="12">
        <v>52341139957</v>
      </c>
      <c r="J125" s="12" t="s">
        <v>4100</v>
      </c>
      <c r="K125" s="12">
        <v>1</v>
      </c>
      <c r="L125" s="12">
        <v>74</v>
      </c>
      <c r="M125" s="12"/>
      <c r="N125" s="71">
        <v>1943</v>
      </c>
      <c r="O125" s="12" t="s">
        <v>93</v>
      </c>
      <c r="P125" s="12"/>
      <c r="Q125" s="12"/>
      <c r="R125" s="12" t="s">
        <v>94</v>
      </c>
      <c r="S125" s="12">
        <v>10</v>
      </c>
      <c r="T125" s="12" t="s">
        <v>2629</v>
      </c>
      <c r="U125" s="12" t="s">
        <v>2630</v>
      </c>
      <c r="V125" s="12">
        <f>VLOOKUP(Tabla43[[#This Row],[ZONA DEFINITIVO]],Hoja1!$A$1:$D$129,3,0)</f>
        <v>232286</v>
      </c>
      <c r="W125" s="12">
        <f>VLOOKUP(Tabla43[[#This Row],[ZONA DEFINITIVO]],Hoja1!$A$1:$D$129,2,0)</f>
        <v>18587</v>
      </c>
      <c r="X125" s="12">
        <f>VLOOKUP(Tabla43[[#This Row],[ZONA DEFINITIVO]],Hoja1!$A$1:$D$129,4,0)</f>
        <v>117025</v>
      </c>
      <c r="Y125" s="12" t="str">
        <f>+IF(Tabla43[[#This Row],[AGRUPACIONES]]=1,SUMIFS(Tabla43[UDS],Tabla43[ZONA DEFINITIVO],Tabla43[[#This Row],[ZONA DEFINITIVO]])," ")</f>
        <v xml:space="preserve"> </v>
      </c>
      <c r="Z125" s="12" t="str">
        <f>+IF(Tabla43[[#This Row],[AGRUPACIONES]]=1,SUMIFS(Tabla43[TOTAL COBERTURA],Tabla43[ZONA DEFINITIVO],Tabla43[[#This Row],[ZONA DEFINITIVO]])," ")</f>
        <v xml:space="preserve"> </v>
      </c>
      <c r="AA125" s="12"/>
      <c r="AB125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272737508</v>
      </c>
      <c r="AC125" s="37">
        <v>0.02</v>
      </c>
      <c r="AD125" s="38">
        <f>Tabla43[[#This Row],[VALOR ATENCIÓN (7 MESES)]]*Tabla43[[#This Row],[% CONTRAPARTIDA]]</f>
        <v>5454750.1600000001</v>
      </c>
      <c r="AE125" s="12"/>
      <c r="AF125" s="12">
        <f>COUNTIF($A$22:A125,A125)</f>
        <v>14</v>
      </c>
      <c r="AG125" s="51">
        <v>272737508</v>
      </c>
      <c r="AH125" s="38">
        <f>Tabla43[[#This Row],[VALOR CONTRAPARTIDA]]+Tabla43[[#This Row],[TOTAL APORTES ICBF]]</f>
        <v>278192258.16000003</v>
      </c>
      <c r="AI125" s="35" t="str">
        <f>+IF(Tabla43[[#This Row],[AGRUPACIONES]]=1,SUMIFS(Tabla43[TOTAL APORTES ICBF],Tabla43[ZONA DEFINITIVO],Tabla43[[#This Row],[ZONA DEFINITIVO]])," ")</f>
        <v xml:space="preserve"> </v>
      </c>
      <c r="AJ125" s="38"/>
      <c r="AK125" s="38"/>
      <c r="AL125" s="23"/>
      <c r="AM125" s="35">
        <f>VLOOKUP(Tabla43[[#This Row],[SERVICIO 2025]],$J$2:$V$16,5,0)*Tabla43[[#This Row],[TOTAL COBERTURA]]</f>
        <v>6522582</v>
      </c>
      <c r="AN125" s="35">
        <f>VLOOKUP(Tabla43[[#This Row],[SERVICIO 2025]],$J$2:$V$16,6,0)*Tabla43[[#This Row],[TOTAL COBERTURA]]</f>
        <v>5553182</v>
      </c>
      <c r="AO125" s="35">
        <f>VLOOKUP(Tabla43[[#This Row],[SERVICIO 2025]],$J$2:$V$16,8,0)*Tabla43[[#This Row],[TOTAL COBERTURA]]</f>
        <v>0</v>
      </c>
      <c r="AP125" s="35">
        <f>VLOOKUP(Tabla43[[#This Row],[SERVICIO 2025]],$J$2:$V$16,3,0)*Tabla43[[#This Row],[TOTAL COBERTURA]]*7</f>
        <v>260661744</v>
      </c>
      <c r="AQ125" s="35">
        <f>VLOOKUP(Tabla43[[#This Row],[SERVICIO 2025]],$J$2:$V$16,10,0)*Tabla43[[#This Row],[TOTAL COBERTURA]]*7</f>
        <v>0</v>
      </c>
      <c r="AR12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272737508</v>
      </c>
      <c r="AS125" s="35" t="str">
        <f>+IF(Tabla43[[#This Row],[AGRUPACIONES]]=1,SUMIFS(Tabla43[VALOR TOTAL],Tabla43[ZONA DEFINITIVO],Tabla43[[#This Row],[ZONA DEFINITIVO]])," ")</f>
        <v xml:space="preserve"> </v>
      </c>
      <c r="AT12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43759974</v>
      </c>
      <c r="AU125" s="35">
        <f>VLOOKUP(Tabla43[[#This Row],[SERVICIO 2025]],$J$2:$V$16,3,0)*Tabla43[[#This Row],[TOTAL COBERTURA]]+Tabla43[[#This Row],[VALOR RACION PREPARADA]]/7</f>
        <v>37237392</v>
      </c>
      <c r="AV125" s="35">
        <f>VLOOKUP(Tabla43[[#This Row],[SERVICIO 2025]],$J$2:$V$16,3,0)*Tabla43[[#This Row],[TOTAL COBERTURA]]+Tabla43[[#This Row],[VALOR RACION PREPARADA]]/7</f>
        <v>37237392</v>
      </c>
      <c r="AW125" s="35">
        <f>VLOOKUP(Tabla43[[#This Row],[SERVICIO 2025]],$J$2:$V$16,3,0)*Tabla43[[#This Row],[TOTAL COBERTURA]]+Tabla43[[#This Row],[VALOR RACION PREPARADA]]/7</f>
        <v>37237392</v>
      </c>
      <c r="AX125" s="35">
        <f>VLOOKUP(Tabla43[[#This Row],[SERVICIO 2025]],$J$2:$V$16,3,0)*Tabla43[[#This Row],[TOTAL COBERTURA]]+Tabla43[[#This Row],[VALOR RACION PREPARADA]]/7</f>
        <v>37237392</v>
      </c>
      <c r="AY125" s="35">
        <f>VLOOKUP(Tabla43[[#This Row],[SERVICIO 2025]],$J$2:$V$16,3,0)*Tabla43[[#This Row],[TOTAL COBERTURA]]+Tabla43[[#This Row],[VALOR RACION PREPARADA]]/7</f>
        <v>37237392</v>
      </c>
      <c r="AZ125" s="35">
        <f>VLOOKUP(Tabla43[[#This Row],[SERVICIO 2025]],$J$2:$V$16,3,0)*Tabla43[[#This Row],[TOTAL COBERTURA]]+Tabla43[[#This Row],[VALOR RACION PREPARADA]]/7+Tabla43[[#This Row],[VALOR FASE PREPARATORIA DE CIERRE]]</f>
        <v>42790574</v>
      </c>
      <c r="BA125" s="35"/>
      <c r="BB125" s="35">
        <f>SUM(Tabla43[[#This Row],[DESEMBOLSO 1]:[DESEMBOLSO 8]])</f>
        <v>272737508</v>
      </c>
      <c r="BC125" s="55">
        <f>VLOOKUP(Tabla43[[#This Row],[SERVICIO 2025]],$J$2:$V$16,10,0)*Tabla43[[#This Row],[TOTAL COBERTURA]]*$W$3</f>
        <v>0</v>
      </c>
      <c r="BD125" s="47" t="s">
        <v>145</v>
      </c>
      <c r="BE125" s="12" t="b">
        <f>EXACT(Tabla43[[#This Row],[TOTAL APORTES ICBF]],Tabla43[[#This Row],[VALOR TOTAL]])</f>
        <v>1</v>
      </c>
      <c r="BF125" s="23">
        <f>SUM(Tabla43[[#This Row],[VALOR FASE PREPARATORIA DE ALISTAMIENTO]:[VALOR RACION PREPARADA]])-Tabla43[[#This Row],[VALOR TOTAL]]</f>
        <v>0</v>
      </c>
      <c r="BG125" s="12" t="b">
        <f>EXACT(Tabla43[[#This Row],[VALOR TOTAL]],Tabla43[[#This Row],[TOTAL DESEMBOLSOS]])</f>
        <v>1</v>
      </c>
      <c r="BH125" s="29">
        <f>Tabla43[[#This Row],[TOTAL DESEMBOLSOS]]-Tabla43[[#This Row],[VALOR TOTAL]]</f>
        <v>0</v>
      </c>
      <c r="BJ125" t="s">
        <v>3924</v>
      </c>
    </row>
    <row r="126" spans="1:62" hidden="1">
      <c r="A126" s="71">
        <v>1943</v>
      </c>
      <c r="B126" s="13"/>
      <c r="C126" s="12" t="s">
        <v>87</v>
      </c>
      <c r="D126" s="12" t="s">
        <v>579</v>
      </c>
      <c r="E126" s="12" t="s">
        <v>4073</v>
      </c>
      <c r="F126" s="12" t="s">
        <v>14</v>
      </c>
      <c r="G126" s="12" t="s">
        <v>90</v>
      </c>
      <c r="H126" s="12" t="s">
        <v>4101</v>
      </c>
      <c r="I126" s="12">
        <v>52341148740</v>
      </c>
      <c r="J126" s="12" t="s">
        <v>4102</v>
      </c>
      <c r="K126" s="12">
        <v>1</v>
      </c>
      <c r="L126" s="12">
        <v>9</v>
      </c>
      <c r="M126" s="12"/>
      <c r="N126" s="71">
        <v>1943</v>
      </c>
      <c r="O126" s="12" t="s">
        <v>93</v>
      </c>
      <c r="P126" s="12"/>
      <c r="Q126" s="12"/>
      <c r="R126" s="12" t="s">
        <v>94</v>
      </c>
      <c r="S126" s="12">
        <v>10</v>
      </c>
      <c r="T126" s="12" t="s">
        <v>2629</v>
      </c>
      <c r="U126" s="12" t="s">
        <v>2630</v>
      </c>
      <c r="V126" s="12">
        <f>VLOOKUP(Tabla43[[#This Row],[ZONA DEFINITIVO]],Hoja1!$A$1:$D$129,3,0)</f>
        <v>232286</v>
      </c>
      <c r="W126" s="12">
        <f>VLOOKUP(Tabla43[[#This Row],[ZONA DEFINITIVO]],Hoja1!$A$1:$D$129,2,0)</f>
        <v>18587</v>
      </c>
      <c r="X126" s="12">
        <f>VLOOKUP(Tabla43[[#This Row],[ZONA DEFINITIVO]],Hoja1!$A$1:$D$129,4,0)</f>
        <v>117025</v>
      </c>
      <c r="Y126" s="12" t="str">
        <f>+IF(Tabla43[[#This Row],[AGRUPACIONES]]=1,SUMIFS(Tabla43[UDS],Tabla43[ZONA DEFINITIVO],Tabla43[[#This Row],[ZONA DEFINITIVO]])," ")</f>
        <v xml:space="preserve"> </v>
      </c>
      <c r="Z126" s="12" t="str">
        <f>+IF(Tabla43[[#This Row],[AGRUPACIONES]]=1,SUMIFS(Tabla43[TOTAL COBERTURA],Tabla43[ZONA DEFINITIVO],Tabla43[[#This Row],[ZONA DEFINITIVO]])," ")</f>
        <v xml:space="preserve"> </v>
      </c>
      <c r="AA126" s="12"/>
      <c r="AB126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33170778</v>
      </c>
      <c r="AC126" s="37">
        <v>0.02</v>
      </c>
      <c r="AD126" s="38">
        <f>Tabla43[[#This Row],[VALOR ATENCIÓN (7 MESES)]]*Tabla43[[#This Row],[% CONTRAPARTIDA]]</f>
        <v>663415.56000000006</v>
      </c>
      <c r="AE126" s="12"/>
      <c r="AF126" s="12">
        <f>COUNTIF($A$22:A126,A126)</f>
        <v>15</v>
      </c>
      <c r="AG126" s="51">
        <v>33170778</v>
      </c>
      <c r="AH126" s="38">
        <f>Tabla43[[#This Row],[VALOR CONTRAPARTIDA]]+Tabla43[[#This Row],[TOTAL APORTES ICBF]]</f>
        <v>33834193.560000002</v>
      </c>
      <c r="AI126" s="35" t="str">
        <f>+IF(Tabla43[[#This Row],[AGRUPACIONES]]=1,SUMIFS(Tabla43[TOTAL APORTES ICBF],Tabla43[ZONA DEFINITIVO],Tabla43[[#This Row],[ZONA DEFINITIVO]])," ")</f>
        <v xml:space="preserve"> </v>
      </c>
      <c r="AJ126" s="38"/>
      <c r="AK126" s="38"/>
      <c r="AL126" s="23"/>
      <c r="AM126" s="35">
        <f>VLOOKUP(Tabla43[[#This Row],[SERVICIO 2025]],$J$2:$V$16,5,0)*Tabla43[[#This Row],[TOTAL COBERTURA]]</f>
        <v>793287</v>
      </c>
      <c r="AN126" s="35">
        <f>VLOOKUP(Tabla43[[#This Row],[SERVICIO 2025]],$J$2:$V$16,6,0)*Tabla43[[#This Row],[TOTAL COBERTURA]]</f>
        <v>675387</v>
      </c>
      <c r="AO126" s="35">
        <f>VLOOKUP(Tabla43[[#This Row],[SERVICIO 2025]],$J$2:$V$16,8,0)*Tabla43[[#This Row],[TOTAL COBERTURA]]</f>
        <v>0</v>
      </c>
      <c r="AP126" s="35">
        <f>VLOOKUP(Tabla43[[#This Row],[SERVICIO 2025]],$J$2:$V$16,3,0)*Tabla43[[#This Row],[TOTAL COBERTURA]]*7</f>
        <v>31702104</v>
      </c>
      <c r="AQ126" s="35">
        <f>VLOOKUP(Tabla43[[#This Row],[SERVICIO 2025]],$J$2:$V$16,10,0)*Tabla43[[#This Row],[TOTAL COBERTURA]]*7</f>
        <v>0</v>
      </c>
      <c r="AR12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33170778</v>
      </c>
      <c r="AS126" s="35" t="str">
        <f>+IF(Tabla43[[#This Row],[AGRUPACIONES]]=1,SUMIFS(Tabla43[VALOR TOTAL],Tabla43[ZONA DEFINITIVO],Tabla43[[#This Row],[ZONA DEFINITIVO]])," ")</f>
        <v xml:space="preserve"> </v>
      </c>
      <c r="AT12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5322159</v>
      </c>
      <c r="AU126" s="35">
        <f>VLOOKUP(Tabla43[[#This Row],[SERVICIO 2025]],$J$2:$V$16,3,0)*Tabla43[[#This Row],[TOTAL COBERTURA]]+Tabla43[[#This Row],[VALOR RACION PREPARADA]]/7</f>
        <v>4528872</v>
      </c>
      <c r="AV126" s="35">
        <f>VLOOKUP(Tabla43[[#This Row],[SERVICIO 2025]],$J$2:$V$16,3,0)*Tabla43[[#This Row],[TOTAL COBERTURA]]+Tabla43[[#This Row],[VALOR RACION PREPARADA]]/7</f>
        <v>4528872</v>
      </c>
      <c r="AW126" s="35">
        <f>VLOOKUP(Tabla43[[#This Row],[SERVICIO 2025]],$J$2:$V$16,3,0)*Tabla43[[#This Row],[TOTAL COBERTURA]]+Tabla43[[#This Row],[VALOR RACION PREPARADA]]/7</f>
        <v>4528872</v>
      </c>
      <c r="AX126" s="35">
        <f>VLOOKUP(Tabla43[[#This Row],[SERVICIO 2025]],$J$2:$V$16,3,0)*Tabla43[[#This Row],[TOTAL COBERTURA]]+Tabla43[[#This Row],[VALOR RACION PREPARADA]]/7</f>
        <v>4528872</v>
      </c>
      <c r="AY126" s="35">
        <f>VLOOKUP(Tabla43[[#This Row],[SERVICIO 2025]],$J$2:$V$16,3,0)*Tabla43[[#This Row],[TOTAL COBERTURA]]+Tabla43[[#This Row],[VALOR RACION PREPARADA]]/7</f>
        <v>4528872</v>
      </c>
      <c r="AZ126" s="35">
        <f>VLOOKUP(Tabla43[[#This Row],[SERVICIO 2025]],$J$2:$V$16,3,0)*Tabla43[[#This Row],[TOTAL COBERTURA]]+Tabla43[[#This Row],[VALOR RACION PREPARADA]]/7+Tabla43[[#This Row],[VALOR FASE PREPARATORIA DE CIERRE]]</f>
        <v>5204259</v>
      </c>
      <c r="BA126" s="35"/>
      <c r="BB126" s="35">
        <f>SUM(Tabla43[[#This Row],[DESEMBOLSO 1]:[DESEMBOLSO 8]])</f>
        <v>33170778</v>
      </c>
      <c r="BC126" s="55">
        <f>VLOOKUP(Tabla43[[#This Row],[SERVICIO 2025]],$J$2:$V$16,10,0)*Tabla43[[#This Row],[TOTAL COBERTURA]]*$W$3</f>
        <v>0</v>
      </c>
      <c r="BD126" s="47" t="s">
        <v>145</v>
      </c>
      <c r="BE126" s="12" t="b">
        <f>EXACT(Tabla43[[#This Row],[TOTAL APORTES ICBF]],Tabla43[[#This Row],[VALOR TOTAL]])</f>
        <v>1</v>
      </c>
      <c r="BF126" s="23">
        <f>SUM(Tabla43[[#This Row],[VALOR FASE PREPARATORIA DE ALISTAMIENTO]:[VALOR RACION PREPARADA]])-Tabla43[[#This Row],[VALOR TOTAL]]</f>
        <v>0</v>
      </c>
      <c r="BG126" s="12" t="b">
        <f>EXACT(Tabla43[[#This Row],[VALOR TOTAL]],Tabla43[[#This Row],[TOTAL DESEMBOLSOS]])</f>
        <v>1</v>
      </c>
      <c r="BH126" s="29">
        <f>Tabla43[[#This Row],[TOTAL DESEMBOLSOS]]-Tabla43[[#This Row],[VALOR TOTAL]]</f>
        <v>0</v>
      </c>
      <c r="BJ126" t="s">
        <v>3924</v>
      </c>
    </row>
    <row r="127" spans="1:62" hidden="1">
      <c r="A127" s="71">
        <v>1943</v>
      </c>
      <c r="B127" s="13"/>
      <c r="C127" s="12" t="s">
        <v>87</v>
      </c>
      <c r="D127" s="12" t="s">
        <v>579</v>
      </c>
      <c r="E127" s="12" t="s">
        <v>4073</v>
      </c>
      <c r="F127" s="12" t="s">
        <v>18</v>
      </c>
      <c r="G127" s="12" t="s">
        <v>90</v>
      </c>
      <c r="H127" s="12" t="s">
        <v>4103</v>
      </c>
      <c r="I127" s="12">
        <v>52341150450</v>
      </c>
      <c r="J127" s="12" t="s">
        <v>4104</v>
      </c>
      <c r="K127" s="12">
        <v>1</v>
      </c>
      <c r="L127" s="12">
        <v>13</v>
      </c>
      <c r="M127" s="12"/>
      <c r="N127" s="71">
        <v>1943</v>
      </c>
      <c r="O127" s="12" t="s">
        <v>93</v>
      </c>
      <c r="P127" s="12"/>
      <c r="Q127" s="12"/>
      <c r="R127" s="12" t="s">
        <v>94</v>
      </c>
      <c r="S127" s="12">
        <v>10</v>
      </c>
      <c r="T127" s="12" t="s">
        <v>2629</v>
      </c>
      <c r="U127" s="12" t="s">
        <v>2630</v>
      </c>
      <c r="V127" s="12">
        <f>VLOOKUP(Tabla43[[#This Row],[ZONA DEFINITIVO]],Hoja1!$A$1:$D$129,3,0)</f>
        <v>232286</v>
      </c>
      <c r="W127" s="12">
        <f>VLOOKUP(Tabla43[[#This Row],[ZONA DEFINITIVO]],Hoja1!$A$1:$D$129,2,0)</f>
        <v>18587</v>
      </c>
      <c r="X127" s="12">
        <f>VLOOKUP(Tabla43[[#This Row],[ZONA DEFINITIVO]],Hoja1!$A$1:$D$129,4,0)</f>
        <v>117025</v>
      </c>
      <c r="Y127" s="12" t="str">
        <f>+IF(Tabla43[[#This Row],[AGRUPACIONES]]=1,SUMIFS(Tabla43[UDS],Tabla43[ZONA DEFINITIVO],Tabla43[[#This Row],[ZONA DEFINITIVO]])," ")</f>
        <v xml:space="preserve"> </v>
      </c>
      <c r="Z127" s="12" t="str">
        <f>+IF(Tabla43[[#This Row],[AGRUPACIONES]]=1,SUMIFS(Tabla43[TOTAL COBERTURA],Tabla43[ZONA DEFINITIVO],Tabla43[[#This Row],[ZONA DEFINITIVO]])," ")</f>
        <v xml:space="preserve"> </v>
      </c>
      <c r="AA127" s="12"/>
      <c r="AB127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24993891</v>
      </c>
      <c r="AC127" s="37">
        <v>0.02</v>
      </c>
      <c r="AD127" s="38">
        <f>Tabla43[[#This Row],[VALOR ATENCIÓN (7 MESES)]]*Tabla43[[#This Row],[% CONTRAPARTIDA]]</f>
        <v>499877.82</v>
      </c>
      <c r="AE127" s="12"/>
      <c r="AF127" s="12">
        <f>COUNTIF($A$22:A127,A127)</f>
        <v>16</v>
      </c>
      <c r="AG127" s="51">
        <v>24993891</v>
      </c>
      <c r="AH127" s="38">
        <f>Tabla43[[#This Row],[VALOR CONTRAPARTIDA]]+Tabla43[[#This Row],[TOTAL APORTES ICBF]]</f>
        <v>25493768.82</v>
      </c>
      <c r="AI127" s="35" t="str">
        <f>+IF(Tabla43[[#This Row],[AGRUPACIONES]]=1,SUMIFS(Tabla43[TOTAL APORTES ICBF],Tabla43[ZONA DEFINITIVO],Tabla43[[#This Row],[ZONA DEFINITIVO]])," ")</f>
        <v xml:space="preserve"> </v>
      </c>
      <c r="AJ127" s="38"/>
      <c r="AK127" s="38"/>
      <c r="AL127" s="23"/>
      <c r="AM127" s="35">
        <f>VLOOKUP(Tabla43[[#This Row],[SERVICIO 2025]],$J$2:$V$16,5,0)*Tabla43[[#This Row],[TOTAL COBERTURA]]</f>
        <v>641888</v>
      </c>
      <c r="AN127" s="35">
        <f>VLOOKUP(Tabla43[[#This Row],[SERVICIO 2025]],$J$2:$V$16,6,0)*Tabla43[[#This Row],[TOTAL COBERTURA]]</f>
        <v>533377</v>
      </c>
      <c r="AO127" s="35">
        <f>VLOOKUP(Tabla43[[#This Row],[SERVICIO 2025]],$J$2:$V$16,8,0)*Tabla43[[#This Row],[TOTAL COBERTURA]]</f>
        <v>378300</v>
      </c>
      <c r="AP127" s="35">
        <f>VLOOKUP(Tabla43[[#This Row],[SERVICIO 2025]],$J$2:$V$16,3,0)*Tabla43[[#This Row],[TOTAL COBERTURA]]*7</f>
        <v>23440326</v>
      </c>
      <c r="AQ127" s="35"/>
      <c r="AR12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24993891</v>
      </c>
      <c r="AS127" s="35" t="str">
        <f>+IF(Tabla43[[#This Row],[AGRUPACIONES]]=1,SUMIFS(Tabla43[VALOR TOTAL],Tabla43[ZONA DEFINITIVO],Tabla43[[#This Row],[ZONA DEFINITIVO]])," ")</f>
        <v xml:space="preserve"> </v>
      </c>
      <c r="AT12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4368806</v>
      </c>
      <c r="AU127" s="35">
        <f>VLOOKUP(Tabla43[[#This Row],[SERVICIO 2025]],$J$2:$V$16,3,0)*Tabla43[[#This Row],[TOTAL COBERTURA]]+Tabla43[[#This Row],[VALOR RACION PREPARADA]]/7</f>
        <v>3348618</v>
      </c>
      <c r="AV127" s="35">
        <f>VLOOKUP(Tabla43[[#This Row],[SERVICIO 2025]],$J$2:$V$16,3,0)*Tabla43[[#This Row],[TOTAL COBERTURA]]+Tabla43[[#This Row],[VALOR RACION PREPARADA]]/7</f>
        <v>3348618</v>
      </c>
      <c r="AW127" s="35">
        <f>VLOOKUP(Tabla43[[#This Row],[SERVICIO 2025]],$J$2:$V$16,3,0)*Tabla43[[#This Row],[TOTAL COBERTURA]]+Tabla43[[#This Row],[VALOR RACION PREPARADA]]/7</f>
        <v>3348618</v>
      </c>
      <c r="AX127" s="35">
        <f>VLOOKUP(Tabla43[[#This Row],[SERVICIO 2025]],$J$2:$V$16,3,0)*Tabla43[[#This Row],[TOTAL COBERTURA]]+Tabla43[[#This Row],[VALOR RACION PREPARADA]]/7</f>
        <v>3348618</v>
      </c>
      <c r="AY127" s="35">
        <f>VLOOKUP(Tabla43[[#This Row],[SERVICIO 2025]],$J$2:$V$16,3,0)*Tabla43[[#This Row],[TOTAL COBERTURA]]+Tabla43[[#This Row],[VALOR RACION PREPARADA]]/7</f>
        <v>3348618</v>
      </c>
      <c r="AZ127" s="35">
        <f>VLOOKUP(Tabla43[[#This Row],[SERVICIO 2025]],$J$2:$V$16,3,0)*Tabla43[[#This Row],[TOTAL COBERTURA]]+Tabla43[[#This Row],[VALOR RACION PREPARADA]]/7+Tabla43[[#This Row],[VALOR FASE PREPARATORIA DE CIERRE]]</f>
        <v>3881995</v>
      </c>
      <c r="BA127" s="35"/>
      <c r="BB127" s="35">
        <f>SUM(Tabla43[[#This Row],[DESEMBOLSO 1]:[DESEMBOLSO 8]])</f>
        <v>24993891</v>
      </c>
      <c r="BC127" s="55">
        <f>VLOOKUP(Tabla43[[#This Row],[SERVICIO 2025]],$J$2:$V$16,10,0)*Tabla43[[#This Row],[TOTAL COBERTURA]]*$W$3</f>
        <v>18759832</v>
      </c>
      <c r="BD127" s="47" t="s">
        <v>211</v>
      </c>
      <c r="BE127" s="12" t="b">
        <f>EXACT(Tabla43[[#This Row],[TOTAL APORTES ICBF]],Tabla43[[#This Row],[VALOR TOTAL]])</f>
        <v>1</v>
      </c>
      <c r="BF127" s="23">
        <f>SUM(Tabla43[[#This Row],[VALOR FASE PREPARATORIA DE ALISTAMIENTO]:[VALOR RACION PREPARADA]])-Tabla43[[#This Row],[VALOR TOTAL]]</f>
        <v>0</v>
      </c>
      <c r="BG127" s="12" t="b">
        <f>EXACT(Tabla43[[#This Row],[VALOR TOTAL]],Tabla43[[#This Row],[TOTAL DESEMBOLSOS]])</f>
        <v>1</v>
      </c>
      <c r="BH127" s="29">
        <f>Tabla43[[#This Row],[TOTAL DESEMBOLSOS]]-Tabla43[[#This Row],[VALOR TOTAL]]</f>
        <v>0</v>
      </c>
      <c r="BJ127" t="s">
        <v>3924</v>
      </c>
    </row>
    <row r="128" spans="1:62" hidden="1">
      <c r="A128" s="71">
        <v>1943</v>
      </c>
      <c r="B128" s="13"/>
      <c r="C128" s="12" t="s">
        <v>87</v>
      </c>
      <c r="D128" s="12" t="s">
        <v>579</v>
      </c>
      <c r="E128" s="12" t="s">
        <v>4073</v>
      </c>
      <c r="F128" s="12" t="s">
        <v>18</v>
      </c>
      <c r="G128" s="12" t="s">
        <v>90</v>
      </c>
      <c r="H128" s="12" t="s">
        <v>4105</v>
      </c>
      <c r="I128" s="12">
        <v>52341151149</v>
      </c>
      <c r="J128" s="12" t="s">
        <v>4106</v>
      </c>
      <c r="K128" s="12">
        <v>1</v>
      </c>
      <c r="L128" s="12">
        <v>17</v>
      </c>
      <c r="M128" s="12"/>
      <c r="N128" s="71">
        <v>1943</v>
      </c>
      <c r="O128" s="12" t="s">
        <v>93</v>
      </c>
      <c r="P128" s="12"/>
      <c r="Q128" s="12"/>
      <c r="R128" s="12" t="s">
        <v>94</v>
      </c>
      <c r="S128" s="12">
        <v>10</v>
      </c>
      <c r="T128" s="12" t="s">
        <v>2629</v>
      </c>
      <c r="U128" s="12" t="s">
        <v>2630</v>
      </c>
      <c r="V128" s="12">
        <f>VLOOKUP(Tabla43[[#This Row],[ZONA DEFINITIVO]],Hoja1!$A$1:$D$129,3,0)</f>
        <v>232286</v>
      </c>
      <c r="W128" s="12">
        <f>VLOOKUP(Tabla43[[#This Row],[ZONA DEFINITIVO]],Hoja1!$A$1:$D$129,2,0)</f>
        <v>18587</v>
      </c>
      <c r="X128" s="12">
        <f>VLOOKUP(Tabla43[[#This Row],[ZONA DEFINITIVO]],Hoja1!$A$1:$D$129,4,0)</f>
        <v>117025</v>
      </c>
      <c r="Y128" s="12" t="str">
        <f>+IF(Tabla43[[#This Row],[AGRUPACIONES]]=1,SUMIFS(Tabla43[UDS],Tabla43[ZONA DEFINITIVO],Tabla43[[#This Row],[ZONA DEFINITIVO]])," ")</f>
        <v xml:space="preserve"> </v>
      </c>
      <c r="Z128" s="12" t="str">
        <f>+IF(Tabla43[[#This Row],[AGRUPACIONES]]=1,SUMIFS(Tabla43[TOTAL COBERTURA],Tabla43[ZONA DEFINITIVO],Tabla43[[#This Row],[ZONA DEFINITIVO]])," ")</f>
        <v xml:space="preserve"> </v>
      </c>
      <c r="AA128" s="12"/>
      <c r="AB128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32684319</v>
      </c>
      <c r="AC128" s="37">
        <v>0.02</v>
      </c>
      <c r="AD128" s="38">
        <f>Tabla43[[#This Row],[VALOR ATENCIÓN (7 MESES)]]*Tabla43[[#This Row],[% CONTRAPARTIDA]]</f>
        <v>653686.38</v>
      </c>
      <c r="AE128" s="12"/>
      <c r="AF128" s="12">
        <f>COUNTIF($A$22:A128,A128)</f>
        <v>17</v>
      </c>
      <c r="AG128" s="51">
        <v>32684319</v>
      </c>
      <c r="AH128" s="38">
        <f>Tabla43[[#This Row],[VALOR CONTRAPARTIDA]]+Tabla43[[#This Row],[TOTAL APORTES ICBF]]</f>
        <v>33338005.379999999</v>
      </c>
      <c r="AI128" s="35" t="str">
        <f>+IF(Tabla43[[#This Row],[AGRUPACIONES]]=1,SUMIFS(Tabla43[TOTAL APORTES ICBF],Tabla43[ZONA DEFINITIVO],Tabla43[[#This Row],[ZONA DEFINITIVO]])," ")</f>
        <v xml:space="preserve"> </v>
      </c>
      <c r="AJ128" s="38"/>
      <c r="AK128" s="38"/>
      <c r="AL128" s="23"/>
      <c r="AM128" s="35">
        <f>VLOOKUP(Tabla43[[#This Row],[SERVICIO 2025]],$J$2:$V$16,5,0)*Tabla43[[#This Row],[TOTAL COBERTURA]]</f>
        <v>839392</v>
      </c>
      <c r="AN128" s="35">
        <f>VLOOKUP(Tabla43[[#This Row],[SERVICIO 2025]],$J$2:$V$16,6,0)*Tabla43[[#This Row],[TOTAL COBERTURA]]</f>
        <v>697493</v>
      </c>
      <c r="AO128" s="35">
        <f>VLOOKUP(Tabla43[[#This Row],[SERVICIO 2025]],$J$2:$V$16,8,0)*Tabla43[[#This Row],[TOTAL COBERTURA]]</f>
        <v>494700</v>
      </c>
      <c r="AP128" s="35">
        <f>VLOOKUP(Tabla43[[#This Row],[SERVICIO 2025]],$J$2:$V$16,3,0)*Tabla43[[#This Row],[TOTAL COBERTURA]]*7</f>
        <v>30652734</v>
      </c>
      <c r="AQ128" s="35"/>
      <c r="AR12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32684319</v>
      </c>
      <c r="AS128" s="35" t="str">
        <f>+IF(Tabla43[[#This Row],[AGRUPACIONES]]=1,SUMIFS(Tabla43[VALOR TOTAL],Tabla43[ZONA DEFINITIVO],Tabla43[[#This Row],[ZONA DEFINITIVO]])," ")</f>
        <v xml:space="preserve"> </v>
      </c>
      <c r="AT12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5713054</v>
      </c>
      <c r="AU128" s="35">
        <f>VLOOKUP(Tabla43[[#This Row],[SERVICIO 2025]],$J$2:$V$16,3,0)*Tabla43[[#This Row],[TOTAL COBERTURA]]+Tabla43[[#This Row],[VALOR RACION PREPARADA]]/7</f>
        <v>4378962</v>
      </c>
      <c r="AV128" s="35">
        <f>VLOOKUP(Tabla43[[#This Row],[SERVICIO 2025]],$J$2:$V$16,3,0)*Tabla43[[#This Row],[TOTAL COBERTURA]]+Tabla43[[#This Row],[VALOR RACION PREPARADA]]/7</f>
        <v>4378962</v>
      </c>
      <c r="AW128" s="35">
        <f>VLOOKUP(Tabla43[[#This Row],[SERVICIO 2025]],$J$2:$V$16,3,0)*Tabla43[[#This Row],[TOTAL COBERTURA]]+Tabla43[[#This Row],[VALOR RACION PREPARADA]]/7</f>
        <v>4378962</v>
      </c>
      <c r="AX128" s="35">
        <f>VLOOKUP(Tabla43[[#This Row],[SERVICIO 2025]],$J$2:$V$16,3,0)*Tabla43[[#This Row],[TOTAL COBERTURA]]+Tabla43[[#This Row],[VALOR RACION PREPARADA]]/7</f>
        <v>4378962</v>
      </c>
      <c r="AY128" s="35">
        <f>VLOOKUP(Tabla43[[#This Row],[SERVICIO 2025]],$J$2:$V$16,3,0)*Tabla43[[#This Row],[TOTAL COBERTURA]]+Tabla43[[#This Row],[VALOR RACION PREPARADA]]/7</f>
        <v>4378962</v>
      </c>
      <c r="AZ128" s="35">
        <f>VLOOKUP(Tabla43[[#This Row],[SERVICIO 2025]],$J$2:$V$16,3,0)*Tabla43[[#This Row],[TOTAL COBERTURA]]+Tabla43[[#This Row],[VALOR RACION PREPARADA]]/7+Tabla43[[#This Row],[VALOR FASE PREPARATORIA DE CIERRE]]</f>
        <v>5076455</v>
      </c>
      <c r="BA128" s="35"/>
      <c r="BB128" s="35">
        <f>SUM(Tabla43[[#This Row],[DESEMBOLSO 1]:[DESEMBOLSO 8]])</f>
        <v>32684319</v>
      </c>
      <c r="BC128" s="55">
        <f>VLOOKUP(Tabla43[[#This Row],[SERVICIO 2025]],$J$2:$V$16,10,0)*Tabla43[[#This Row],[TOTAL COBERTURA]]*$W$3</f>
        <v>24532088</v>
      </c>
      <c r="BD128" s="47" t="s">
        <v>211</v>
      </c>
      <c r="BE128" s="12" t="b">
        <f>EXACT(Tabla43[[#This Row],[TOTAL APORTES ICBF]],Tabla43[[#This Row],[VALOR TOTAL]])</f>
        <v>1</v>
      </c>
      <c r="BF128" s="23">
        <f>SUM(Tabla43[[#This Row],[VALOR FASE PREPARATORIA DE ALISTAMIENTO]:[VALOR RACION PREPARADA]])-Tabla43[[#This Row],[VALOR TOTAL]]</f>
        <v>0</v>
      </c>
      <c r="BG128" s="12" t="b">
        <f>EXACT(Tabla43[[#This Row],[VALOR TOTAL]],Tabla43[[#This Row],[TOTAL DESEMBOLSOS]])</f>
        <v>1</v>
      </c>
      <c r="BH128" s="29">
        <f>Tabla43[[#This Row],[TOTAL DESEMBOLSOS]]-Tabla43[[#This Row],[VALOR TOTAL]]</f>
        <v>0</v>
      </c>
      <c r="BJ128" t="s">
        <v>3924</v>
      </c>
    </row>
    <row r="129" spans="1:62" hidden="1">
      <c r="A129" s="71">
        <v>1943</v>
      </c>
      <c r="B129" s="13"/>
      <c r="C129" s="12" t="s">
        <v>87</v>
      </c>
      <c r="D129" s="12" t="s">
        <v>579</v>
      </c>
      <c r="E129" s="12" t="s">
        <v>4073</v>
      </c>
      <c r="F129" s="12" t="s">
        <v>18</v>
      </c>
      <c r="G129" s="12" t="s">
        <v>90</v>
      </c>
      <c r="H129" s="12" t="s">
        <v>4107</v>
      </c>
      <c r="I129" s="12">
        <v>52341151150</v>
      </c>
      <c r="J129" s="12" t="s">
        <v>4108</v>
      </c>
      <c r="K129" s="12">
        <v>1</v>
      </c>
      <c r="L129" s="12">
        <v>18</v>
      </c>
      <c r="M129" s="12"/>
      <c r="N129" s="71">
        <v>1943</v>
      </c>
      <c r="O129" s="12" t="s">
        <v>93</v>
      </c>
      <c r="P129" s="12"/>
      <c r="Q129" s="12"/>
      <c r="R129" s="12" t="s">
        <v>94</v>
      </c>
      <c r="S129" s="12">
        <v>10</v>
      </c>
      <c r="T129" s="12" t="s">
        <v>2629</v>
      </c>
      <c r="U129" s="12" t="s">
        <v>2630</v>
      </c>
      <c r="V129" s="12">
        <f>VLOOKUP(Tabla43[[#This Row],[ZONA DEFINITIVO]],Hoja1!$A$1:$D$129,3,0)</f>
        <v>232286</v>
      </c>
      <c r="W129" s="12">
        <f>VLOOKUP(Tabla43[[#This Row],[ZONA DEFINITIVO]],Hoja1!$A$1:$D$129,2,0)</f>
        <v>18587</v>
      </c>
      <c r="X129" s="12">
        <f>VLOOKUP(Tabla43[[#This Row],[ZONA DEFINITIVO]],Hoja1!$A$1:$D$129,4,0)</f>
        <v>117025</v>
      </c>
      <c r="Y129" s="12" t="str">
        <f>+IF(Tabla43[[#This Row],[AGRUPACIONES]]=1,SUMIFS(Tabla43[UDS],Tabla43[ZONA DEFINITIVO],Tabla43[[#This Row],[ZONA DEFINITIVO]])," ")</f>
        <v xml:space="preserve"> </v>
      </c>
      <c r="Z129" s="12" t="str">
        <f>+IF(Tabla43[[#This Row],[AGRUPACIONES]]=1,SUMIFS(Tabla43[TOTAL COBERTURA],Tabla43[ZONA DEFINITIVO],Tabla43[[#This Row],[ZONA DEFINITIVO]])," ")</f>
        <v xml:space="preserve"> </v>
      </c>
      <c r="AA129" s="12"/>
      <c r="AB129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34606926</v>
      </c>
      <c r="AC129" s="37">
        <v>0.02</v>
      </c>
      <c r="AD129" s="38">
        <f>Tabla43[[#This Row],[VALOR ATENCIÓN (7 MESES)]]*Tabla43[[#This Row],[% CONTRAPARTIDA]]</f>
        <v>692138.52</v>
      </c>
      <c r="AE129" s="12"/>
      <c r="AF129" s="12">
        <f>COUNTIF($A$22:A129,A129)</f>
        <v>18</v>
      </c>
      <c r="AG129" s="51">
        <v>34606926</v>
      </c>
      <c r="AH129" s="38">
        <f>Tabla43[[#This Row],[VALOR CONTRAPARTIDA]]+Tabla43[[#This Row],[TOTAL APORTES ICBF]]</f>
        <v>35299064.520000003</v>
      </c>
      <c r="AI129" s="35" t="str">
        <f>+IF(Tabla43[[#This Row],[AGRUPACIONES]]=1,SUMIFS(Tabla43[TOTAL APORTES ICBF],Tabla43[ZONA DEFINITIVO],Tabla43[[#This Row],[ZONA DEFINITIVO]])," ")</f>
        <v xml:space="preserve"> </v>
      </c>
      <c r="AJ129" s="38"/>
      <c r="AK129" s="38"/>
      <c r="AL129" s="23"/>
      <c r="AM129" s="35">
        <f>VLOOKUP(Tabla43[[#This Row],[SERVICIO 2025]],$J$2:$V$16,5,0)*Tabla43[[#This Row],[TOTAL COBERTURA]]</f>
        <v>888768</v>
      </c>
      <c r="AN129" s="35">
        <f>VLOOKUP(Tabla43[[#This Row],[SERVICIO 2025]],$J$2:$V$16,6,0)*Tabla43[[#This Row],[TOTAL COBERTURA]]</f>
        <v>738522</v>
      </c>
      <c r="AO129" s="35">
        <f>VLOOKUP(Tabla43[[#This Row],[SERVICIO 2025]],$J$2:$V$16,8,0)*Tabla43[[#This Row],[TOTAL COBERTURA]]</f>
        <v>523800</v>
      </c>
      <c r="AP129" s="35">
        <f>VLOOKUP(Tabla43[[#This Row],[SERVICIO 2025]],$J$2:$V$16,3,0)*Tabla43[[#This Row],[TOTAL COBERTURA]]*7</f>
        <v>32455836</v>
      </c>
      <c r="AQ129" s="35"/>
      <c r="AR12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34606926</v>
      </c>
      <c r="AS129" s="35" t="str">
        <f>+IF(Tabla43[[#This Row],[AGRUPACIONES]]=1,SUMIFS(Tabla43[VALOR TOTAL],Tabla43[ZONA DEFINITIVO],Tabla43[[#This Row],[ZONA DEFINITIVO]])," ")</f>
        <v xml:space="preserve"> </v>
      </c>
      <c r="AT12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6049116</v>
      </c>
      <c r="AU129" s="35">
        <f>VLOOKUP(Tabla43[[#This Row],[SERVICIO 2025]],$J$2:$V$16,3,0)*Tabla43[[#This Row],[TOTAL COBERTURA]]+Tabla43[[#This Row],[VALOR RACION PREPARADA]]/7</f>
        <v>4636548</v>
      </c>
      <c r="AV129" s="35">
        <f>VLOOKUP(Tabla43[[#This Row],[SERVICIO 2025]],$J$2:$V$16,3,0)*Tabla43[[#This Row],[TOTAL COBERTURA]]+Tabla43[[#This Row],[VALOR RACION PREPARADA]]/7</f>
        <v>4636548</v>
      </c>
      <c r="AW129" s="35">
        <f>VLOOKUP(Tabla43[[#This Row],[SERVICIO 2025]],$J$2:$V$16,3,0)*Tabla43[[#This Row],[TOTAL COBERTURA]]+Tabla43[[#This Row],[VALOR RACION PREPARADA]]/7</f>
        <v>4636548</v>
      </c>
      <c r="AX129" s="35">
        <f>VLOOKUP(Tabla43[[#This Row],[SERVICIO 2025]],$J$2:$V$16,3,0)*Tabla43[[#This Row],[TOTAL COBERTURA]]+Tabla43[[#This Row],[VALOR RACION PREPARADA]]/7</f>
        <v>4636548</v>
      </c>
      <c r="AY129" s="35">
        <f>VLOOKUP(Tabla43[[#This Row],[SERVICIO 2025]],$J$2:$V$16,3,0)*Tabla43[[#This Row],[TOTAL COBERTURA]]+Tabla43[[#This Row],[VALOR RACION PREPARADA]]/7</f>
        <v>4636548</v>
      </c>
      <c r="AZ129" s="35">
        <f>VLOOKUP(Tabla43[[#This Row],[SERVICIO 2025]],$J$2:$V$16,3,0)*Tabla43[[#This Row],[TOTAL COBERTURA]]+Tabla43[[#This Row],[VALOR RACION PREPARADA]]/7+Tabla43[[#This Row],[VALOR FASE PREPARATORIA DE CIERRE]]</f>
        <v>5375070</v>
      </c>
      <c r="BA129" s="35"/>
      <c r="BB129" s="35">
        <f>SUM(Tabla43[[#This Row],[DESEMBOLSO 1]:[DESEMBOLSO 8]])</f>
        <v>34606926</v>
      </c>
      <c r="BC129" s="55">
        <f>VLOOKUP(Tabla43[[#This Row],[SERVICIO 2025]],$J$2:$V$16,10,0)*Tabla43[[#This Row],[TOTAL COBERTURA]]*$W$3</f>
        <v>25975152</v>
      </c>
      <c r="BD129" s="47" t="s">
        <v>211</v>
      </c>
      <c r="BE129" s="12" t="b">
        <f>EXACT(Tabla43[[#This Row],[TOTAL APORTES ICBF]],Tabla43[[#This Row],[VALOR TOTAL]])</f>
        <v>1</v>
      </c>
      <c r="BF129" s="23">
        <f>SUM(Tabla43[[#This Row],[VALOR FASE PREPARATORIA DE ALISTAMIENTO]:[VALOR RACION PREPARADA]])-Tabla43[[#This Row],[VALOR TOTAL]]</f>
        <v>0</v>
      </c>
      <c r="BG129" s="12" t="b">
        <f>EXACT(Tabla43[[#This Row],[VALOR TOTAL]],Tabla43[[#This Row],[TOTAL DESEMBOLSOS]])</f>
        <v>1</v>
      </c>
      <c r="BH129" s="29">
        <f>Tabla43[[#This Row],[TOTAL DESEMBOLSOS]]-Tabla43[[#This Row],[VALOR TOTAL]]</f>
        <v>0</v>
      </c>
      <c r="BJ129" t="s">
        <v>3924</v>
      </c>
    </row>
    <row r="130" spans="1:62" hidden="1">
      <c r="A130" s="71">
        <v>1943</v>
      </c>
      <c r="B130" s="13"/>
      <c r="C130" s="12" t="s">
        <v>87</v>
      </c>
      <c r="D130" s="12" t="s">
        <v>579</v>
      </c>
      <c r="E130" s="12" t="s">
        <v>4073</v>
      </c>
      <c r="F130" s="12" t="s">
        <v>18</v>
      </c>
      <c r="G130" s="12" t="s">
        <v>90</v>
      </c>
      <c r="H130" s="12" t="s">
        <v>4109</v>
      </c>
      <c r="I130" s="12">
        <v>52341151151</v>
      </c>
      <c r="J130" s="12" t="s">
        <v>4110</v>
      </c>
      <c r="K130" s="12">
        <v>1</v>
      </c>
      <c r="L130" s="12">
        <v>16</v>
      </c>
      <c r="M130" s="12"/>
      <c r="N130" s="71">
        <v>1943</v>
      </c>
      <c r="O130" s="12" t="s">
        <v>93</v>
      </c>
      <c r="P130" s="12"/>
      <c r="Q130" s="12"/>
      <c r="R130" s="12" t="s">
        <v>94</v>
      </c>
      <c r="S130" s="12">
        <v>10</v>
      </c>
      <c r="T130" s="12" t="s">
        <v>2629</v>
      </c>
      <c r="U130" s="12" t="s">
        <v>2630</v>
      </c>
      <c r="V130" s="12">
        <f>VLOOKUP(Tabla43[[#This Row],[ZONA DEFINITIVO]],Hoja1!$A$1:$D$129,3,0)</f>
        <v>232286</v>
      </c>
      <c r="W130" s="12">
        <f>VLOOKUP(Tabla43[[#This Row],[ZONA DEFINITIVO]],Hoja1!$A$1:$D$129,2,0)</f>
        <v>18587</v>
      </c>
      <c r="X130" s="12">
        <f>VLOOKUP(Tabla43[[#This Row],[ZONA DEFINITIVO]],Hoja1!$A$1:$D$129,4,0)</f>
        <v>117025</v>
      </c>
      <c r="Y130" s="12" t="str">
        <f>+IF(Tabla43[[#This Row],[AGRUPACIONES]]=1,SUMIFS(Tabla43[UDS],Tabla43[ZONA DEFINITIVO],Tabla43[[#This Row],[ZONA DEFINITIVO]])," ")</f>
        <v xml:space="preserve"> </v>
      </c>
      <c r="Z130" s="12" t="str">
        <f>+IF(Tabla43[[#This Row],[AGRUPACIONES]]=1,SUMIFS(Tabla43[TOTAL COBERTURA],Tabla43[ZONA DEFINITIVO],Tabla43[[#This Row],[ZONA DEFINITIVO]])," ")</f>
        <v xml:space="preserve"> </v>
      </c>
      <c r="AA130" s="12"/>
      <c r="AB130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30761712</v>
      </c>
      <c r="AC130" s="37">
        <v>0.02</v>
      </c>
      <c r="AD130" s="38">
        <f>Tabla43[[#This Row],[VALOR ATENCIÓN (7 MESES)]]*Tabla43[[#This Row],[% CONTRAPARTIDA]]</f>
        <v>615234.24</v>
      </c>
      <c r="AE130" s="12"/>
      <c r="AF130" s="12">
        <f>COUNTIF($A$22:A130,A130)</f>
        <v>19</v>
      </c>
      <c r="AG130" s="51">
        <v>30761712</v>
      </c>
      <c r="AH130" s="38">
        <f>Tabla43[[#This Row],[VALOR CONTRAPARTIDA]]+Tabla43[[#This Row],[TOTAL APORTES ICBF]]</f>
        <v>31376946.239999998</v>
      </c>
      <c r="AI130" s="35" t="str">
        <f>+IF(Tabla43[[#This Row],[AGRUPACIONES]]=1,SUMIFS(Tabla43[TOTAL APORTES ICBF],Tabla43[ZONA DEFINITIVO],Tabla43[[#This Row],[ZONA DEFINITIVO]])," ")</f>
        <v xml:space="preserve"> </v>
      </c>
      <c r="AJ130" s="38"/>
      <c r="AK130" s="38"/>
      <c r="AL130" s="23"/>
      <c r="AM130" s="35">
        <f>VLOOKUP(Tabla43[[#This Row],[SERVICIO 2025]],$J$2:$V$16,5,0)*Tabla43[[#This Row],[TOTAL COBERTURA]]</f>
        <v>790016</v>
      </c>
      <c r="AN130" s="35">
        <f>VLOOKUP(Tabla43[[#This Row],[SERVICIO 2025]],$J$2:$V$16,6,0)*Tabla43[[#This Row],[TOTAL COBERTURA]]</f>
        <v>656464</v>
      </c>
      <c r="AO130" s="35">
        <f>VLOOKUP(Tabla43[[#This Row],[SERVICIO 2025]],$J$2:$V$16,8,0)*Tabla43[[#This Row],[TOTAL COBERTURA]]</f>
        <v>465600</v>
      </c>
      <c r="AP130" s="35">
        <f>VLOOKUP(Tabla43[[#This Row],[SERVICIO 2025]],$J$2:$V$16,3,0)*Tabla43[[#This Row],[TOTAL COBERTURA]]*7</f>
        <v>28849632</v>
      </c>
      <c r="AQ130" s="35"/>
      <c r="AR13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130" s="35" t="str">
        <f>+IF(Tabla43[[#This Row],[AGRUPACIONES]]=1,SUMIFS(Tabla43[VALOR TOTAL],Tabla43[ZONA DEFINITIVO],Tabla43[[#This Row],[ZONA DEFINITIVO]])," ")</f>
        <v xml:space="preserve"> </v>
      </c>
      <c r="AT13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130" s="35">
        <f>VLOOKUP(Tabla43[[#This Row],[SERVICIO 2025]],$J$2:$V$16,3,0)*Tabla43[[#This Row],[TOTAL COBERTURA]]+Tabla43[[#This Row],[VALOR RACION PREPARADA]]/7</f>
        <v>4121376</v>
      </c>
      <c r="AV130" s="35">
        <f>VLOOKUP(Tabla43[[#This Row],[SERVICIO 2025]],$J$2:$V$16,3,0)*Tabla43[[#This Row],[TOTAL COBERTURA]]+Tabla43[[#This Row],[VALOR RACION PREPARADA]]/7</f>
        <v>4121376</v>
      </c>
      <c r="AW130" s="35">
        <f>VLOOKUP(Tabla43[[#This Row],[SERVICIO 2025]],$J$2:$V$16,3,0)*Tabla43[[#This Row],[TOTAL COBERTURA]]+Tabla43[[#This Row],[VALOR RACION PREPARADA]]/7</f>
        <v>4121376</v>
      </c>
      <c r="AX130" s="35">
        <f>VLOOKUP(Tabla43[[#This Row],[SERVICIO 2025]],$J$2:$V$16,3,0)*Tabla43[[#This Row],[TOTAL COBERTURA]]+Tabla43[[#This Row],[VALOR RACION PREPARADA]]/7</f>
        <v>4121376</v>
      </c>
      <c r="AY130" s="35">
        <f>VLOOKUP(Tabla43[[#This Row],[SERVICIO 2025]],$J$2:$V$16,3,0)*Tabla43[[#This Row],[TOTAL COBERTURA]]+Tabla43[[#This Row],[VALOR RACION PREPARADA]]/7</f>
        <v>4121376</v>
      </c>
      <c r="AZ130" s="35">
        <f>VLOOKUP(Tabla43[[#This Row],[SERVICIO 2025]],$J$2:$V$16,3,0)*Tabla43[[#This Row],[TOTAL COBERTURA]]+Tabla43[[#This Row],[VALOR RACION PREPARADA]]/7+Tabla43[[#This Row],[VALOR FASE PREPARATORIA DE CIERRE]]</f>
        <v>4777840</v>
      </c>
      <c r="BA130" s="35"/>
      <c r="BB130" s="35">
        <f>SUM(Tabla43[[#This Row],[DESEMBOLSO 1]:[DESEMBOLSO 8]])</f>
        <v>30761712</v>
      </c>
      <c r="BC130" s="55">
        <f>VLOOKUP(Tabla43[[#This Row],[SERVICIO 2025]],$J$2:$V$16,10,0)*Tabla43[[#This Row],[TOTAL COBERTURA]]*$W$3</f>
        <v>23089024</v>
      </c>
      <c r="BD130" s="47" t="s">
        <v>211</v>
      </c>
      <c r="BE130" s="12" t="b">
        <f>EXACT(Tabla43[[#This Row],[TOTAL APORTES ICBF]],Tabla43[[#This Row],[VALOR TOTAL]])</f>
        <v>1</v>
      </c>
      <c r="BF130" s="23">
        <f>SUM(Tabla43[[#This Row],[VALOR FASE PREPARATORIA DE ALISTAMIENTO]:[VALOR RACION PREPARADA]])-Tabla43[[#This Row],[VALOR TOTAL]]</f>
        <v>0</v>
      </c>
      <c r="BG130" s="12" t="b">
        <f>EXACT(Tabla43[[#This Row],[VALOR TOTAL]],Tabla43[[#This Row],[TOTAL DESEMBOLSOS]])</f>
        <v>1</v>
      </c>
      <c r="BH130" s="29">
        <f>Tabla43[[#This Row],[TOTAL DESEMBOLSOS]]-Tabla43[[#This Row],[VALOR TOTAL]]</f>
        <v>0</v>
      </c>
      <c r="BJ130" t="s">
        <v>3924</v>
      </c>
    </row>
    <row r="131" spans="1:62" hidden="1">
      <c r="A131" s="71">
        <v>1943</v>
      </c>
      <c r="B131" s="13"/>
      <c r="C131" s="12" t="s">
        <v>87</v>
      </c>
      <c r="D131" s="12" t="s">
        <v>579</v>
      </c>
      <c r="E131" s="12" t="s">
        <v>4073</v>
      </c>
      <c r="F131" s="12" t="s">
        <v>18</v>
      </c>
      <c r="G131" s="12" t="s">
        <v>90</v>
      </c>
      <c r="H131" s="12" t="s">
        <v>4111</v>
      </c>
      <c r="I131" s="12">
        <v>52341151156</v>
      </c>
      <c r="J131" s="12" t="s">
        <v>4112</v>
      </c>
      <c r="K131" s="12">
        <v>1</v>
      </c>
      <c r="L131" s="12">
        <v>8</v>
      </c>
      <c r="M131" s="12"/>
      <c r="N131" s="71">
        <v>1943</v>
      </c>
      <c r="O131" s="12" t="s">
        <v>93</v>
      </c>
      <c r="P131" s="12"/>
      <c r="Q131" s="12"/>
      <c r="R131" s="12" t="s">
        <v>94</v>
      </c>
      <c r="S131" s="12">
        <v>10</v>
      </c>
      <c r="T131" s="12" t="s">
        <v>2629</v>
      </c>
      <c r="U131" s="12" t="s">
        <v>2630</v>
      </c>
      <c r="V131" s="12">
        <f>VLOOKUP(Tabla43[[#This Row],[ZONA DEFINITIVO]],Hoja1!$A$1:$D$129,3,0)</f>
        <v>232286</v>
      </c>
      <c r="W131" s="12">
        <f>VLOOKUP(Tabla43[[#This Row],[ZONA DEFINITIVO]],Hoja1!$A$1:$D$129,2,0)</f>
        <v>18587</v>
      </c>
      <c r="X131" s="12">
        <f>VLOOKUP(Tabla43[[#This Row],[ZONA DEFINITIVO]],Hoja1!$A$1:$D$129,4,0)</f>
        <v>117025</v>
      </c>
      <c r="Y131" s="12" t="str">
        <f>+IF(Tabla43[[#This Row],[AGRUPACIONES]]=1,SUMIFS(Tabla43[UDS],Tabla43[ZONA DEFINITIVO],Tabla43[[#This Row],[ZONA DEFINITIVO]])," ")</f>
        <v xml:space="preserve"> </v>
      </c>
      <c r="Z131" s="12" t="str">
        <f>+IF(Tabla43[[#This Row],[AGRUPACIONES]]=1,SUMIFS(Tabla43[TOTAL COBERTURA],Tabla43[ZONA DEFINITIVO],Tabla43[[#This Row],[ZONA DEFINITIVO]])," ")</f>
        <v xml:space="preserve"> </v>
      </c>
      <c r="AA131" s="12"/>
      <c r="AB131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15380856</v>
      </c>
      <c r="AC131" s="37">
        <v>0.02</v>
      </c>
      <c r="AD131" s="38">
        <f>Tabla43[[#This Row],[VALOR ATENCIÓN (7 MESES)]]*Tabla43[[#This Row],[% CONTRAPARTIDA]]</f>
        <v>307617.12</v>
      </c>
      <c r="AE131" s="12"/>
      <c r="AF131" s="12">
        <f>COUNTIF($A$22:A131,A131)</f>
        <v>20</v>
      </c>
      <c r="AG131" s="51">
        <v>15380856</v>
      </c>
      <c r="AH131" s="38">
        <f>Tabla43[[#This Row],[VALOR CONTRAPARTIDA]]+Tabla43[[#This Row],[TOTAL APORTES ICBF]]</f>
        <v>15688473.119999999</v>
      </c>
      <c r="AI131" s="35" t="str">
        <f>+IF(Tabla43[[#This Row],[AGRUPACIONES]]=1,SUMIFS(Tabla43[TOTAL APORTES ICBF],Tabla43[ZONA DEFINITIVO],Tabla43[[#This Row],[ZONA DEFINITIVO]])," ")</f>
        <v xml:space="preserve"> </v>
      </c>
      <c r="AJ131" s="38"/>
      <c r="AK131" s="38"/>
      <c r="AL131" s="23"/>
      <c r="AM131" s="35">
        <f>VLOOKUP(Tabla43[[#This Row],[SERVICIO 2025]],$J$2:$V$16,5,0)*Tabla43[[#This Row],[TOTAL COBERTURA]]</f>
        <v>395008</v>
      </c>
      <c r="AN131" s="35">
        <f>VLOOKUP(Tabla43[[#This Row],[SERVICIO 2025]],$J$2:$V$16,6,0)*Tabla43[[#This Row],[TOTAL COBERTURA]]</f>
        <v>328232</v>
      </c>
      <c r="AO131" s="35">
        <f>VLOOKUP(Tabla43[[#This Row],[SERVICIO 2025]],$J$2:$V$16,8,0)*Tabla43[[#This Row],[TOTAL COBERTURA]]</f>
        <v>232800</v>
      </c>
      <c r="AP131" s="35">
        <f>VLOOKUP(Tabla43[[#This Row],[SERVICIO 2025]],$J$2:$V$16,3,0)*Tabla43[[#This Row],[TOTAL COBERTURA]]*7</f>
        <v>14424816</v>
      </c>
      <c r="AQ131" s="35"/>
      <c r="AR13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15380856</v>
      </c>
      <c r="AS131" s="35" t="str">
        <f>+IF(Tabla43[[#This Row],[AGRUPACIONES]]=1,SUMIFS(Tabla43[VALOR TOTAL],Tabla43[ZONA DEFINITIVO],Tabla43[[#This Row],[ZONA DEFINITIVO]])," ")</f>
        <v xml:space="preserve"> </v>
      </c>
      <c r="AT13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2688496</v>
      </c>
      <c r="AU131" s="35">
        <f>VLOOKUP(Tabla43[[#This Row],[SERVICIO 2025]],$J$2:$V$16,3,0)*Tabla43[[#This Row],[TOTAL COBERTURA]]+Tabla43[[#This Row],[VALOR RACION PREPARADA]]/7</f>
        <v>2060688</v>
      </c>
      <c r="AV131" s="35">
        <f>VLOOKUP(Tabla43[[#This Row],[SERVICIO 2025]],$J$2:$V$16,3,0)*Tabla43[[#This Row],[TOTAL COBERTURA]]+Tabla43[[#This Row],[VALOR RACION PREPARADA]]/7</f>
        <v>2060688</v>
      </c>
      <c r="AW131" s="35">
        <f>VLOOKUP(Tabla43[[#This Row],[SERVICIO 2025]],$J$2:$V$16,3,0)*Tabla43[[#This Row],[TOTAL COBERTURA]]+Tabla43[[#This Row],[VALOR RACION PREPARADA]]/7</f>
        <v>2060688</v>
      </c>
      <c r="AX131" s="35">
        <f>VLOOKUP(Tabla43[[#This Row],[SERVICIO 2025]],$J$2:$V$16,3,0)*Tabla43[[#This Row],[TOTAL COBERTURA]]+Tabla43[[#This Row],[VALOR RACION PREPARADA]]/7</f>
        <v>2060688</v>
      </c>
      <c r="AY131" s="35">
        <f>VLOOKUP(Tabla43[[#This Row],[SERVICIO 2025]],$J$2:$V$16,3,0)*Tabla43[[#This Row],[TOTAL COBERTURA]]+Tabla43[[#This Row],[VALOR RACION PREPARADA]]/7</f>
        <v>2060688</v>
      </c>
      <c r="AZ131" s="35">
        <f>VLOOKUP(Tabla43[[#This Row],[SERVICIO 2025]],$J$2:$V$16,3,0)*Tabla43[[#This Row],[TOTAL COBERTURA]]+Tabla43[[#This Row],[VALOR RACION PREPARADA]]/7+Tabla43[[#This Row],[VALOR FASE PREPARATORIA DE CIERRE]]</f>
        <v>2388920</v>
      </c>
      <c r="BA131" s="35"/>
      <c r="BB131" s="35">
        <f>SUM(Tabla43[[#This Row],[DESEMBOLSO 1]:[DESEMBOLSO 8]])</f>
        <v>15380856</v>
      </c>
      <c r="BC131" s="55">
        <f>VLOOKUP(Tabla43[[#This Row],[SERVICIO 2025]],$J$2:$V$16,10,0)*Tabla43[[#This Row],[TOTAL COBERTURA]]*$W$3</f>
        <v>11544512</v>
      </c>
      <c r="BD131" s="47" t="s">
        <v>211</v>
      </c>
      <c r="BE131" s="12" t="b">
        <f>EXACT(Tabla43[[#This Row],[TOTAL APORTES ICBF]],Tabla43[[#This Row],[VALOR TOTAL]])</f>
        <v>1</v>
      </c>
      <c r="BF131" s="23">
        <f>SUM(Tabla43[[#This Row],[VALOR FASE PREPARATORIA DE ALISTAMIENTO]:[VALOR RACION PREPARADA]])-Tabla43[[#This Row],[VALOR TOTAL]]</f>
        <v>0</v>
      </c>
      <c r="BG131" s="12" t="b">
        <f>EXACT(Tabla43[[#This Row],[VALOR TOTAL]],Tabla43[[#This Row],[TOTAL DESEMBOLSOS]])</f>
        <v>1</v>
      </c>
      <c r="BH131" s="29">
        <f>Tabla43[[#This Row],[TOTAL DESEMBOLSOS]]-Tabla43[[#This Row],[VALOR TOTAL]]</f>
        <v>0</v>
      </c>
      <c r="BJ131" t="s">
        <v>3924</v>
      </c>
    </row>
    <row r="132" spans="1:62" hidden="1">
      <c r="A132" s="71">
        <v>1943</v>
      </c>
      <c r="B132" s="13"/>
      <c r="C132" s="12" t="s">
        <v>87</v>
      </c>
      <c r="D132" s="12" t="s">
        <v>579</v>
      </c>
      <c r="E132" s="12" t="s">
        <v>4073</v>
      </c>
      <c r="F132" s="12" t="s">
        <v>14</v>
      </c>
      <c r="G132" s="12" t="s">
        <v>90</v>
      </c>
      <c r="H132" s="12" t="s">
        <v>4113</v>
      </c>
      <c r="I132" s="12">
        <v>52341153571</v>
      </c>
      <c r="J132" s="12" t="s">
        <v>4114</v>
      </c>
      <c r="K132" s="12">
        <v>1</v>
      </c>
      <c r="L132" s="12">
        <v>35</v>
      </c>
      <c r="M132" s="12"/>
      <c r="N132" s="71">
        <v>1943</v>
      </c>
      <c r="O132" s="12" t="s">
        <v>93</v>
      </c>
      <c r="P132" s="12"/>
      <c r="Q132" s="12"/>
      <c r="R132" s="12" t="s">
        <v>94</v>
      </c>
      <c r="S132" s="12">
        <v>10</v>
      </c>
      <c r="T132" s="12" t="s">
        <v>2629</v>
      </c>
      <c r="U132" s="12" t="s">
        <v>2630</v>
      </c>
      <c r="V132" s="12">
        <f>VLOOKUP(Tabla43[[#This Row],[ZONA DEFINITIVO]],Hoja1!$A$1:$D$129,3,0)</f>
        <v>232286</v>
      </c>
      <c r="W132" s="12">
        <f>VLOOKUP(Tabla43[[#This Row],[ZONA DEFINITIVO]],Hoja1!$A$1:$D$129,2,0)</f>
        <v>18587</v>
      </c>
      <c r="X132" s="12">
        <f>VLOOKUP(Tabla43[[#This Row],[ZONA DEFINITIVO]],Hoja1!$A$1:$D$129,4,0)</f>
        <v>117025</v>
      </c>
      <c r="Y132" s="12" t="str">
        <f>+IF(Tabla43[[#This Row],[AGRUPACIONES]]=1,SUMIFS(Tabla43[UDS],Tabla43[ZONA DEFINITIVO],Tabla43[[#This Row],[ZONA DEFINITIVO]])," ")</f>
        <v xml:space="preserve"> </v>
      </c>
      <c r="Z132" s="12" t="str">
        <f>+IF(Tabla43[[#This Row],[AGRUPACIONES]]=1,SUMIFS(Tabla43[TOTAL COBERTURA],Tabla43[ZONA DEFINITIVO],Tabla43[[#This Row],[ZONA DEFINITIVO]])," ")</f>
        <v xml:space="preserve"> </v>
      </c>
      <c r="AA132" s="12"/>
      <c r="AB132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128997470</v>
      </c>
      <c r="AC132" s="37">
        <v>0.02</v>
      </c>
      <c r="AD132" s="38">
        <f>Tabla43[[#This Row],[VALOR ATENCIÓN (7 MESES)]]*Tabla43[[#This Row],[% CONTRAPARTIDA]]</f>
        <v>2579949.4</v>
      </c>
      <c r="AE132" s="12"/>
      <c r="AF132" s="12">
        <f>COUNTIF($A$22:A132,A132)</f>
        <v>21</v>
      </c>
      <c r="AG132" s="51">
        <v>128997470</v>
      </c>
      <c r="AH132" s="38">
        <f>Tabla43[[#This Row],[VALOR CONTRAPARTIDA]]+Tabla43[[#This Row],[TOTAL APORTES ICBF]]</f>
        <v>131577419.40000001</v>
      </c>
      <c r="AI132" s="35" t="str">
        <f>+IF(Tabla43[[#This Row],[AGRUPACIONES]]=1,SUMIFS(Tabla43[TOTAL APORTES ICBF],Tabla43[ZONA DEFINITIVO],Tabla43[[#This Row],[ZONA DEFINITIVO]])," ")</f>
        <v xml:space="preserve"> </v>
      </c>
      <c r="AJ132" s="38"/>
      <c r="AK132" s="38"/>
      <c r="AL132" s="23"/>
      <c r="AM132" s="35">
        <f>VLOOKUP(Tabla43[[#This Row],[SERVICIO 2025]],$J$2:$V$16,5,0)*Tabla43[[#This Row],[TOTAL COBERTURA]]</f>
        <v>3085005</v>
      </c>
      <c r="AN132" s="35">
        <f>VLOOKUP(Tabla43[[#This Row],[SERVICIO 2025]],$J$2:$V$16,6,0)*Tabla43[[#This Row],[TOTAL COBERTURA]]</f>
        <v>2626505</v>
      </c>
      <c r="AO132" s="35">
        <f>VLOOKUP(Tabla43[[#This Row],[SERVICIO 2025]],$J$2:$V$16,8,0)*Tabla43[[#This Row],[TOTAL COBERTURA]]</f>
        <v>0</v>
      </c>
      <c r="AP132" s="35">
        <f>VLOOKUP(Tabla43[[#This Row],[SERVICIO 2025]],$J$2:$V$16,3,0)*Tabla43[[#This Row],[TOTAL COBERTURA]]*7</f>
        <v>123285960</v>
      </c>
      <c r="AQ132" s="35">
        <f>VLOOKUP(Tabla43[[#This Row],[SERVICIO 2025]],$J$2:$V$16,10,0)*Tabla43[[#This Row],[TOTAL COBERTURA]]*7</f>
        <v>0</v>
      </c>
      <c r="AR13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128997470</v>
      </c>
      <c r="AS132" s="35" t="str">
        <f>+IF(Tabla43[[#This Row],[AGRUPACIONES]]=1,SUMIFS(Tabla43[VALOR TOTAL],Tabla43[ZONA DEFINITIVO],Tabla43[[#This Row],[ZONA DEFINITIVO]])," ")</f>
        <v xml:space="preserve"> </v>
      </c>
      <c r="AT13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20697285</v>
      </c>
      <c r="AU132" s="35">
        <f>VLOOKUP(Tabla43[[#This Row],[SERVICIO 2025]],$J$2:$V$16,3,0)*Tabla43[[#This Row],[TOTAL COBERTURA]]+Tabla43[[#This Row],[VALOR RACION PREPARADA]]/7</f>
        <v>17612280</v>
      </c>
      <c r="AV132" s="35">
        <f>VLOOKUP(Tabla43[[#This Row],[SERVICIO 2025]],$J$2:$V$16,3,0)*Tabla43[[#This Row],[TOTAL COBERTURA]]+Tabla43[[#This Row],[VALOR RACION PREPARADA]]/7</f>
        <v>17612280</v>
      </c>
      <c r="AW132" s="35">
        <f>VLOOKUP(Tabla43[[#This Row],[SERVICIO 2025]],$J$2:$V$16,3,0)*Tabla43[[#This Row],[TOTAL COBERTURA]]+Tabla43[[#This Row],[VALOR RACION PREPARADA]]/7</f>
        <v>17612280</v>
      </c>
      <c r="AX132" s="35">
        <f>VLOOKUP(Tabla43[[#This Row],[SERVICIO 2025]],$J$2:$V$16,3,0)*Tabla43[[#This Row],[TOTAL COBERTURA]]+Tabla43[[#This Row],[VALOR RACION PREPARADA]]/7</f>
        <v>17612280</v>
      </c>
      <c r="AY132" s="35">
        <f>VLOOKUP(Tabla43[[#This Row],[SERVICIO 2025]],$J$2:$V$16,3,0)*Tabla43[[#This Row],[TOTAL COBERTURA]]+Tabla43[[#This Row],[VALOR RACION PREPARADA]]/7</f>
        <v>17612280</v>
      </c>
      <c r="AZ132" s="35">
        <f>VLOOKUP(Tabla43[[#This Row],[SERVICIO 2025]],$J$2:$V$16,3,0)*Tabla43[[#This Row],[TOTAL COBERTURA]]+Tabla43[[#This Row],[VALOR RACION PREPARADA]]/7+Tabla43[[#This Row],[VALOR FASE PREPARATORIA DE CIERRE]]</f>
        <v>20238785</v>
      </c>
      <c r="BA132" s="35"/>
      <c r="BB132" s="35">
        <f>SUM(Tabla43[[#This Row],[DESEMBOLSO 1]:[DESEMBOLSO 8]])</f>
        <v>128997470</v>
      </c>
      <c r="BC132" s="55">
        <f>VLOOKUP(Tabla43[[#This Row],[SERVICIO 2025]],$J$2:$V$16,10,0)*Tabla43[[#This Row],[TOTAL COBERTURA]]*$W$3</f>
        <v>0</v>
      </c>
      <c r="BD132" s="47" t="s">
        <v>145</v>
      </c>
      <c r="BE132" s="12" t="b">
        <f>EXACT(Tabla43[[#This Row],[TOTAL APORTES ICBF]],Tabla43[[#This Row],[VALOR TOTAL]])</f>
        <v>1</v>
      </c>
      <c r="BF132" s="23">
        <f>SUM(Tabla43[[#This Row],[VALOR FASE PREPARATORIA DE ALISTAMIENTO]:[VALOR RACION PREPARADA]])-Tabla43[[#This Row],[VALOR TOTAL]]</f>
        <v>0</v>
      </c>
      <c r="BG132" s="12" t="b">
        <f>EXACT(Tabla43[[#This Row],[VALOR TOTAL]],Tabla43[[#This Row],[TOTAL DESEMBOLSOS]])</f>
        <v>1</v>
      </c>
      <c r="BH132" s="29">
        <f>Tabla43[[#This Row],[TOTAL DESEMBOLSOS]]-Tabla43[[#This Row],[VALOR TOTAL]]</f>
        <v>0</v>
      </c>
      <c r="BJ132" t="s">
        <v>3924</v>
      </c>
    </row>
    <row r="133" spans="1:62" hidden="1">
      <c r="A133" s="71">
        <v>1943</v>
      </c>
      <c r="B133" s="13"/>
      <c r="C133" s="12" t="s">
        <v>87</v>
      </c>
      <c r="D133" s="12" t="s">
        <v>579</v>
      </c>
      <c r="E133" s="12" t="s">
        <v>4073</v>
      </c>
      <c r="F133" s="12" t="s">
        <v>18</v>
      </c>
      <c r="G133" s="12" t="s">
        <v>90</v>
      </c>
      <c r="H133" s="12" t="s">
        <v>4115</v>
      </c>
      <c r="I133" s="12">
        <v>523400100031</v>
      </c>
      <c r="J133" s="12" t="s">
        <v>4116</v>
      </c>
      <c r="K133" s="12">
        <v>1</v>
      </c>
      <c r="L133" s="12">
        <v>9</v>
      </c>
      <c r="M133" s="12"/>
      <c r="N133" s="71">
        <v>1943</v>
      </c>
      <c r="O133" s="12" t="s">
        <v>93</v>
      </c>
      <c r="P133" s="12"/>
      <c r="Q133" s="12"/>
      <c r="R133" s="12" t="s">
        <v>94</v>
      </c>
      <c r="S133" s="12">
        <v>10</v>
      </c>
      <c r="T133" s="12" t="s">
        <v>2629</v>
      </c>
      <c r="U133" s="12" t="s">
        <v>2630</v>
      </c>
      <c r="V133" s="12">
        <f>VLOOKUP(Tabla43[[#This Row],[ZONA DEFINITIVO]],Hoja1!$A$1:$D$129,3,0)</f>
        <v>232286</v>
      </c>
      <c r="W133" s="12">
        <f>VLOOKUP(Tabla43[[#This Row],[ZONA DEFINITIVO]],Hoja1!$A$1:$D$129,2,0)</f>
        <v>18587</v>
      </c>
      <c r="X133" s="12">
        <f>VLOOKUP(Tabla43[[#This Row],[ZONA DEFINITIVO]],Hoja1!$A$1:$D$129,4,0)</f>
        <v>117025</v>
      </c>
      <c r="Y133" s="12" t="str">
        <f>+IF(Tabla43[[#This Row],[AGRUPACIONES]]=1,SUMIFS(Tabla43[UDS],Tabla43[ZONA DEFINITIVO],Tabla43[[#This Row],[ZONA DEFINITIVO]])," ")</f>
        <v xml:space="preserve"> </v>
      </c>
      <c r="Z133" s="12" t="str">
        <f>+IF(Tabla43[[#This Row],[AGRUPACIONES]]=1,SUMIFS(Tabla43[TOTAL COBERTURA],Tabla43[ZONA DEFINITIVO],Tabla43[[#This Row],[ZONA DEFINITIVO]])," ")</f>
        <v xml:space="preserve"> </v>
      </c>
      <c r="AA133" s="12"/>
      <c r="AB133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17303463</v>
      </c>
      <c r="AC133" s="37">
        <v>0.02</v>
      </c>
      <c r="AD133" s="38">
        <f>Tabla43[[#This Row],[VALOR ATENCIÓN (7 MESES)]]*Tabla43[[#This Row],[% CONTRAPARTIDA]]</f>
        <v>346069.26</v>
      </c>
      <c r="AE133" s="12"/>
      <c r="AF133" s="12">
        <f>COUNTIF($A$22:A133,A133)</f>
        <v>22</v>
      </c>
      <c r="AG133" s="51">
        <v>17303463</v>
      </c>
      <c r="AH133" s="38">
        <f>Tabla43[[#This Row],[VALOR CONTRAPARTIDA]]+Tabla43[[#This Row],[TOTAL APORTES ICBF]]</f>
        <v>17649532.260000002</v>
      </c>
      <c r="AI133" s="35" t="str">
        <f>+IF(Tabla43[[#This Row],[AGRUPACIONES]]=1,SUMIFS(Tabla43[TOTAL APORTES ICBF],Tabla43[ZONA DEFINITIVO],Tabla43[[#This Row],[ZONA DEFINITIVO]])," ")</f>
        <v xml:space="preserve"> </v>
      </c>
      <c r="AJ133" s="38"/>
      <c r="AK133" s="38"/>
      <c r="AL133" s="23"/>
      <c r="AM133" s="35">
        <f>VLOOKUP(Tabla43[[#This Row],[SERVICIO 2025]],$J$2:$V$16,5,0)*Tabla43[[#This Row],[TOTAL COBERTURA]]</f>
        <v>444384</v>
      </c>
      <c r="AN133" s="35">
        <f>VLOOKUP(Tabla43[[#This Row],[SERVICIO 2025]],$J$2:$V$16,6,0)*Tabla43[[#This Row],[TOTAL COBERTURA]]</f>
        <v>369261</v>
      </c>
      <c r="AO133" s="35">
        <f>VLOOKUP(Tabla43[[#This Row],[SERVICIO 2025]],$J$2:$V$16,8,0)*Tabla43[[#This Row],[TOTAL COBERTURA]]</f>
        <v>261900</v>
      </c>
      <c r="AP133" s="35">
        <f>VLOOKUP(Tabla43[[#This Row],[SERVICIO 2025]],$J$2:$V$16,3,0)*Tabla43[[#This Row],[TOTAL COBERTURA]]*7</f>
        <v>16227918</v>
      </c>
      <c r="AQ133" s="35"/>
      <c r="AR13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17303463</v>
      </c>
      <c r="AS133" s="35" t="str">
        <f>+IF(Tabla43[[#This Row],[AGRUPACIONES]]=1,SUMIFS(Tabla43[VALOR TOTAL],Tabla43[ZONA DEFINITIVO],Tabla43[[#This Row],[ZONA DEFINITIVO]])," ")</f>
        <v xml:space="preserve"> </v>
      </c>
      <c r="AT13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3024558</v>
      </c>
      <c r="AU133" s="35">
        <f>VLOOKUP(Tabla43[[#This Row],[SERVICIO 2025]],$J$2:$V$16,3,0)*Tabla43[[#This Row],[TOTAL COBERTURA]]+Tabla43[[#This Row],[VALOR RACION PREPARADA]]/7</f>
        <v>2318274</v>
      </c>
      <c r="AV133" s="35">
        <f>VLOOKUP(Tabla43[[#This Row],[SERVICIO 2025]],$J$2:$V$16,3,0)*Tabla43[[#This Row],[TOTAL COBERTURA]]+Tabla43[[#This Row],[VALOR RACION PREPARADA]]/7</f>
        <v>2318274</v>
      </c>
      <c r="AW133" s="35">
        <f>VLOOKUP(Tabla43[[#This Row],[SERVICIO 2025]],$J$2:$V$16,3,0)*Tabla43[[#This Row],[TOTAL COBERTURA]]+Tabla43[[#This Row],[VALOR RACION PREPARADA]]/7</f>
        <v>2318274</v>
      </c>
      <c r="AX133" s="35">
        <f>VLOOKUP(Tabla43[[#This Row],[SERVICIO 2025]],$J$2:$V$16,3,0)*Tabla43[[#This Row],[TOTAL COBERTURA]]+Tabla43[[#This Row],[VALOR RACION PREPARADA]]/7</f>
        <v>2318274</v>
      </c>
      <c r="AY133" s="35">
        <f>VLOOKUP(Tabla43[[#This Row],[SERVICIO 2025]],$J$2:$V$16,3,0)*Tabla43[[#This Row],[TOTAL COBERTURA]]+Tabla43[[#This Row],[VALOR RACION PREPARADA]]/7</f>
        <v>2318274</v>
      </c>
      <c r="AZ133" s="35">
        <f>VLOOKUP(Tabla43[[#This Row],[SERVICIO 2025]],$J$2:$V$16,3,0)*Tabla43[[#This Row],[TOTAL COBERTURA]]+Tabla43[[#This Row],[VALOR RACION PREPARADA]]/7+Tabla43[[#This Row],[VALOR FASE PREPARATORIA DE CIERRE]]</f>
        <v>2687535</v>
      </c>
      <c r="BA133" s="35"/>
      <c r="BB133" s="35">
        <f>SUM(Tabla43[[#This Row],[DESEMBOLSO 1]:[DESEMBOLSO 8]])</f>
        <v>17303463</v>
      </c>
      <c r="BC133" s="55">
        <f>VLOOKUP(Tabla43[[#This Row],[SERVICIO 2025]],$J$2:$V$16,10,0)*Tabla43[[#This Row],[TOTAL COBERTURA]]*$W$3</f>
        <v>12987576</v>
      </c>
      <c r="BD133" s="47" t="s">
        <v>211</v>
      </c>
      <c r="BE133" s="12" t="b">
        <f>EXACT(Tabla43[[#This Row],[TOTAL APORTES ICBF]],Tabla43[[#This Row],[VALOR TOTAL]])</f>
        <v>1</v>
      </c>
      <c r="BF133" s="23">
        <f>SUM(Tabla43[[#This Row],[VALOR FASE PREPARATORIA DE ALISTAMIENTO]:[VALOR RACION PREPARADA]])-Tabla43[[#This Row],[VALOR TOTAL]]</f>
        <v>0</v>
      </c>
      <c r="BG133" s="12" t="b">
        <f>EXACT(Tabla43[[#This Row],[VALOR TOTAL]],Tabla43[[#This Row],[TOTAL DESEMBOLSOS]])</f>
        <v>1</v>
      </c>
      <c r="BH133" s="29">
        <f>Tabla43[[#This Row],[TOTAL DESEMBOLSOS]]-Tabla43[[#This Row],[VALOR TOTAL]]</f>
        <v>0</v>
      </c>
      <c r="BJ133" t="s">
        <v>3924</v>
      </c>
    </row>
    <row r="134" spans="1:62" hidden="1">
      <c r="A134" s="71">
        <v>1943</v>
      </c>
      <c r="B134" s="13"/>
      <c r="C134" s="12" t="s">
        <v>87</v>
      </c>
      <c r="D134" s="12" t="s">
        <v>579</v>
      </c>
      <c r="E134" s="12" t="s">
        <v>4073</v>
      </c>
      <c r="F134" s="12" t="s">
        <v>14</v>
      </c>
      <c r="G134" s="12" t="s">
        <v>90</v>
      </c>
      <c r="H134" s="12" t="s">
        <v>4117</v>
      </c>
      <c r="I134" s="12">
        <v>523400104903</v>
      </c>
      <c r="J134" s="12" t="s">
        <v>4118</v>
      </c>
      <c r="K134" s="12">
        <v>1</v>
      </c>
      <c r="L134" s="12">
        <v>103</v>
      </c>
      <c r="M134" s="12"/>
      <c r="N134" s="71">
        <v>1943</v>
      </c>
      <c r="O134" s="12" t="s">
        <v>93</v>
      </c>
      <c r="P134" s="12"/>
      <c r="Q134" s="12"/>
      <c r="R134" s="12" t="s">
        <v>94</v>
      </c>
      <c r="S134" s="12">
        <v>10</v>
      </c>
      <c r="T134" s="12" t="s">
        <v>2629</v>
      </c>
      <c r="U134" s="12" t="s">
        <v>2630</v>
      </c>
      <c r="V134" s="12">
        <f>VLOOKUP(Tabla43[[#This Row],[ZONA DEFINITIVO]],Hoja1!$A$1:$D$129,3,0)</f>
        <v>232286</v>
      </c>
      <c r="W134" s="12">
        <f>VLOOKUP(Tabla43[[#This Row],[ZONA DEFINITIVO]],Hoja1!$A$1:$D$129,2,0)</f>
        <v>18587</v>
      </c>
      <c r="X134" s="12">
        <f>VLOOKUP(Tabla43[[#This Row],[ZONA DEFINITIVO]],Hoja1!$A$1:$D$129,4,0)</f>
        <v>117025</v>
      </c>
      <c r="Y134" s="12" t="str">
        <f>+IF(Tabla43[[#This Row],[AGRUPACIONES]]=1,SUMIFS(Tabla43[UDS],Tabla43[ZONA DEFINITIVO],Tabla43[[#This Row],[ZONA DEFINITIVO]])," ")</f>
        <v xml:space="preserve"> </v>
      </c>
      <c r="Z134" s="12" t="str">
        <f>+IF(Tabla43[[#This Row],[AGRUPACIONES]]=1,SUMIFS(Tabla43[TOTAL COBERTURA],Tabla43[ZONA DEFINITIVO],Tabla43[[#This Row],[ZONA DEFINITIVO]])," ")</f>
        <v xml:space="preserve"> </v>
      </c>
      <c r="AA134" s="12"/>
      <c r="AB134" s="51">
        <f>VLOOKUP(Tabla43[[#This Row],[SERVICIO 2025]],$J$2:$V$16,3,0)*Tabla43[[#This Row],[TOTAL COBERTURA]]*7+Tabla43[[#This Row],[VALOR FASE PREPARATORIA DE ALISTAMIENTO]]+Tabla43[[#This Row],[VALOR FASE PREPARATORIA DE CIERRE]]+Tabla43[[#This Row],[DOTACIÓN ÚNICA]]</f>
        <v>379621126</v>
      </c>
      <c r="AC134" s="37">
        <v>0.02</v>
      </c>
      <c r="AD134" s="38">
        <f>Tabla43[[#This Row],[VALOR ATENCIÓN (7 MESES)]]*Tabla43[[#This Row],[% CONTRAPARTIDA]]</f>
        <v>7592422.5200000005</v>
      </c>
      <c r="AE134" s="12"/>
      <c r="AF134" s="12">
        <f>COUNTIF($A$22:A134,A134)</f>
        <v>23</v>
      </c>
      <c r="AG134" s="51">
        <v>379621126</v>
      </c>
      <c r="AH134" s="38">
        <f>Tabla43[[#This Row],[VALOR CONTRAPARTIDA]]+Tabla43[[#This Row],[TOTAL APORTES ICBF]]</f>
        <v>387213548.51999998</v>
      </c>
      <c r="AI134" s="35" t="str">
        <f>+IF(Tabla43[[#This Row],[AGRUPACIONES]]=1,SUMIFS(Tabla43[TOTAL APORTES ICBF],Tabla43[ZONA DEFINITIVO],Tabla43[[#This Row],[ZONA DEFINITIVO]])," ")</f>
        <v xml:space="preserve"> </v>
      </c>
      <c r="AJ134" s="38"/>
      <c r="AK134" s="38"/>
      <c r="AL134" s="23"/>
      <c r="AM134" s="35">
        <f>VLOOKUP(Tabla43[[#This Row],[SERVICIO 2025]],$J$2:$V$16,5,0)*Tabla43[[#This Row],[TOTAL COBERTURA]]</f>
        <v>9078729</v>
      </c>
      <c r="AN134" s="35">
        <f>VLOOKUP(Tabla43[[#This Row],[SERVICIO 2025]],$J$2:$V$16,6,0)*Tabla43[[#This Row],[TOTAL COBERTURA]]</f>
        <v>7729429</v>
      </c>
      <c r="AO134" s="35">
        <f>VLOOKUP(Tabla43[[#This Row],[SERVICIO 2025]],$J$2:$V$16,8,0)*Tabla43[[#This Row],[TOTAL COBERTURA]]</f>
        <v>0</v>
      </c>
      <c r="AP134" s="35">
        <f>VLOOKUP(Tabla43[[#This Row],[SERVICIO 2025]],$J$2:$V$16,3,0)*Tabla43[[#This Row],[TOTAL COBERTURA]]*7</f>
        <v>362812968</v>
      </c>
      <c r="AQ134" s="35">
        <f>VLOOKUP(Tabla43[[#This Row],[SERVICIO 2025]],$J$2:$V$16,10,0)*Tabla43[[#This Row],[TOTAL COBERTURA]]*7</f>
        <v>0</v>
      </c>
      <c r="AR13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379621126</v>
      </c>
      <c r="AS134" s="35" t="str">
        <f>+IF(Tabla43[[#This Row],[AGRUPACIONES]]=1,SUMIFS(Tabla43[VALOR TOTAL],Tabla43[ZONA DEFINITIVO],Tabla43[[#This Row],[ZONA DEFINITIVO]])," ")</f>
        <v xml:space="preserve"> </v>
      </c>
      <c r="AT13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60909153</v>
      </c>
      <c r="AU134" s="35">
        <f>VLOOKUP(Tabla43[[#This Row],[SERVICIO 2025]],$J$2:$V$16,3,0)*Tabla43[[#This Row],[TOTAL COBERTURA]]+Tabla43[[#This Row],[VALOR RACION PREPARADA]]/7</f>
        <v>51830424</v>
      </c>
      <c r="AV134" s="35">
        <f>VLOOKUP(Tabla43[[#This Row],[SERVICIO 2025]],$J$2:$V$16,3,0)*Tabla43[[#This Row],[TOTAL COBERTURA]]+Tabla43[[#This Row],[VALOR RACION PREPARADA]]/7</f>
        <v>51830424</v>
      </c>
      <c r="AW134" s="35">
        <f>VLOOKUP(Tabla43[[#This Row],[SERVICIO 2025]],$J$2:$V$16,3,0)*Tabla43[[#This Row],[TOTAL COBERTURA]]+Tabla43[[#This Row],[VALOR RACION PREPARADA]]/7</f>
        <v>51830424</v>
      </c>
      <c r="AX134" s="35">
        <f>VLOOKUP(Tabla43[[#This Row],[SERVICIO 2025]],$J$2:$V$16,3,0)*Tabla43[[#This Row],[TOTAL COBERTURA]]+Tabla43[[#This Row],[VALOR RACION PREPARADA]]/7</f>
        <v>51830424</v>
      </c>
      <c r="AY134" s="35">
        <f>VLOOKUP(Tabla43[[#This Row],[SERVICIO 2025]],$J$2:$V$16,3,0)*Tabla43[[#This Row],[TOTAL COBERTURA]]+Tabla43[[#This Row],[VALOR RACION PREPARADA]]/7</f>
        <v>51830424</v>
      </c>
      <c r="AZ134" s="35">
        <f>VLOOKUP(Tabla43[[#This Row],[SERVICIO 2025]],$J$2:$V$16,3,0)*Tabla43[[#This Row],[TOTAL COBERTURA]]+Tabla43[[#This Row],[VALOR RACION PREPARADA]]/7+Tabla43[[#This Row],[VALOR FASE PREPARATORIA DE CIERRE]]</f>
        <v>59559853</v>
      </c>
      <c r="BA134" s="35"/>
      <c r="BB134" s="35">
        <f>SUM(Tabla43[[#This Row],[DESEMBOLSO 1]:[DESEMBOLSO 8]])</f>
        <v>379621126</v>
      </c>
      <c r="BC134" s="55">
        <f>VLOOKUP(Tabla43[[#This Row],[SERVICIO 2025]],$J$2:$V$16,10,0)*Tabla43[[#This Row],[TOTAL COBERTURA]]*$W$3</f>
        <v>0</v>
      </c>
      <c r="BD134" s="47" t="s">
        <v>145</v>
      </c>
      <c r="BE134" s="12" t="b">
        <f>EXACT(Tabla43[[#This Row],[TOTAL APORTES ICBF]],Tabla43[[#This Row],[VALOR TOTAL]])</f>
        <v>1</v>
      </c>
      <c r="BF134" s="23">
        <f>SUM(Tabla43[[#This Row],[VALOR FASE PREPARATORIA DE ALISTAMIENTO]:[VALOR RACION PREPARADA]])-Tabla43[[#This Row],[VALOR TOTAL]]</f>
        <v>0</v>
      </c>
      <c r="BG134" s="12" t="b">
        <f>EXACT(Tabla43[[#This Row],[VALOR TOTAL]],Tabla43[[#This Row],[TOTAL DESEMBOLSOS]])</f>
        <v>1</v>
      </c>
      <c r="BH134" s="29">
        <f>Tabla43[[#This Row],[TOTAL DESEMBOLSOS]]-Tabla43[[#This Row],[VALOR TOTAL]]</f>
        <v>0</v>
      </c>
      <c r="BJ134" t="s">
        <v>3924</v>
      </c>
    </row>
    <row r="135" spans="1:62" hidden="1">
      <c r="A135" s="13">
        <v>1947</v>
      </c>
      <c r="B135" s="13"/>
      <c r="C135" s="12" t="s">
        <v>87</v>
      </c>
      <c r="D135" s="12" t="s">
        <v>987</v>
      </c>
      <c r="E135" s="12" t="s">
        <v>1404</v>
      </c>
      <c r="F135" s="12" t="s">
        <v>18</v>
      </c>
      <c r="G135" s="12" t="s">
        <v>90</v>
      </c>
      <c r="H135" s="12" t="s">
        <v>4119</v>
      </c>
      <c r="I135" s="12">
        <v>52501115515</v>
      </c>
      <c r="J135" s="12" t="s">
        <v>4120</v>
      </c>
      <c r="K135" s="12">
        <v>1</v>
      </c>
      <c r="L135" s="12">
        <v>28</v>
      </c>
      <c r="M135" s="12"/>
      <c r="N135" s="13">
        <v>1947</v>
      </c>
      <c r="O135" s="12" t="s">
        <v>93</v>
      </c>
      <c r="P135" s="12"/>
      <c r="Q135" s="12"/>
      <c r="R135" s="12" t="s">
        <v>94</v>
      </c>
      <c r="S135" s="12">
        <v>10</v>
      </c>
      <c r="T135" s="12" t="s">
        <v>991</v>
      </c>
      <c r="U135" s="12" t="s">
        <v>992</v>
      </c>
      <c r="V135" s="12">
        <f>VLOOKUP(Tabla43[[#This Row],[ZONA DEFINITIVO]],Hoja1!$A$1:$D$129,3,0)</f>
        <v>229956</v>
      </c>
      <c r="W135" s="12">
        <f>VLOOKUP(Tabla43[[#This Row],[ZONA DEFINITIVO]],Hoja1!$A$1:$D$129,2,0)</f>
        <v>18583</v>
      </c>
      <c r="X135" s="12">
        <f>VLOOKUP(Tabla43[[#This Row],[ZONA DEFINITIVO]],Hoja1!$A$1:$D$129,4,0)</f>
        <v>116725</v>
      </c>
      <c r="Y135" s="12">
        <f>+IF(Tabla43[[#This Row],[AGRUPACIONES]]=1,SUMIFS(Tabla43[UDS],Tabla43[ZONA DEFINITIVO],Tabla43[[#This Row],[ZONA DEFINITIVO]])," ")</f>
        <v>20</v>
      </c>
      <c r="Z135" s="12">
        <f>+IF(Tabla43[[#This Row],[AGRUPACIONES]]=1,SUMIFS(Tabla43[TOTAL COBERTURA],Tabla43[ZONA DEFINITIVO],Tabla43[[#This Row],[ZONA DEFINITIVO]])," ")</f>
        <v>589</v>
      </c>
      <c r="AA135" s="12"/>
      <c r="AB135" s="51">
        <v>53832996</v>
      </c>
      <c r="AC135" s="37">
        <v>0.02</v>
      </c>
      <c r="AD135" s="38">
        <f>Tabla43[[#This Row],[VALOR ATENCIÓN (7 MESES)]]*Tabla43[[#This Row],[% CONTRAPARTIDA]]</f>
        <v>1076659.92</v>
      </c>
      <c r="AE135" s="12"/>
      <c r="AF135" s="12">
        <f>COUNTIF($A$22:A135,A135)</f>
        <v>1</v>
      </c>
      <c r="AG135" s="51">
        <v>53832996</v>
      </c>
      <c r="AH135" s="38">
        <f>Tabla43[[#This Row],[VALOR CONTRAPARTIDA]]+Tabla43[[#This Row],[TOTAL APORTES ICBF]]</f>
        <v>54909655.920000002</v>
      </c>
      <c r="AI135" s="35">
        <f>+IF(Tabla43[[#This Row],[AGRUPACIONES]]=1,SUMIFS(Tabla43[TOTAL APORTES ICBF],Tabla43[ZONA DEFINITIVO],Tabla43[[#This Row],[ZONA DEFINITIVO]])," ")</f>
        <v>1132415523</v>
      </c>
      <c r="AJ135" s="38">
        <f>ROUND(+IF(Tabla43[[#This Row],[AGRUPACIONES]]=1,SUMIFS(Tabla43[VALOR CONTRAPARTIDA],Tabla43[ZONA DEFINITIVO],Tabla43[[#This Row],[ZONA DEFINITIVO]])," "),0)</f>
        <v>22648310</v>
      </c>
      <c r="AK135" s="38">
        <f>Tabla43[[#This Row],[TOTAL APORTES ICBF AGRUPADO]]+Tabla43[[#This Row],[TOTAL CONTRAPARTIDA AGRUPADO]]</f>
        <v>1155063833</v>
      </c>
      <c r="AL135" s="23">
        <f>Tabla43[[#This Row],[TOTAL APORTES ICBF AGRUPADO]]/$AL$20</f>
        <v>795.51494415173863</v>
      </c>
      <c r="AM135" s="35">
        <f>VLOOKUP(Tabla43[[#This Row],[SERVICIO 2025]],$J$2:$V$16,5,0)*Tabla43[[#This Row],[TOTAL COBERTURA]]</f>
        <v>1382528</v>
      </c>
      <c r="AN135" s="35">
        <f>VLOOKUP(Tabla43[[#This Row],[SERVICIO 2025]],$J$2:$V$16,6,0)*Tabla43[[#This Row],[TOTAL COBERTURA]]</f>
        <v>1148812</v>
      </c>
      <c r="AO135" s="35">
        <f>VLOOKUP(Tabla43[[#This Row],[SERVICIO 2025]],$J$2:$V$16,8,0)*Tabla43[[#This Row],[TOTAL COBERTURA]]</f>
        <v>814800</v>
      </c>
      <c r="AP135" s="35">
        <f>VLOOKUP(Tabla43[[#This Row],[SERVICIO 2025]],$J$2:$V$16,3,0)*Tabla43[[#This Row],[TOTAL COBERTURA]]*7</f>
        <v>50486856</v>
      </c>
      <c r="AQ135" s="35"/>
      <c r="AR13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53832996</v>
      </c>
      <c r="AS135" s="35">
        <f>+IF(Tabla43[[#This Row],[AGRUPACIONES]]=1,SUMIFS(Tabla43[VALOR TOTAL],Tabla43[ZONA DEFINITIVO],Tabla43[[#This Row],[ZONA DEFINITIVO]])," ")</f>
        <v>1132415523</v>
      </c>
      <c r="AT13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9409736</v>
      </c>
      <c r="AU135" s="35">
        <f>VLOOKUP(Tabla43[[#This Row],[SERVICIO 2025]],$J$2:$V$16,3,0)*Tabla43[[#This Row],[TOTAL COBERTURA]]+Tabla43[[#This Row],[VALOR RACION PREPARADA]]/7</f>
        <v>7212408</v>
      </c>
      <c r="AV135" s="35">
        <f>VLOOKUP(Tabla43[[#This Row],[SERVICIO 2025]],$J$2:$V$16,3,0)*Tabla43[[#This Row],[TOTAL COBERTURA]]+Tabla43[[#This Row],[VALOR RACION PREPARADA]]/7</f>
        <v>7212408</v>
      </c>
      <c r="AW135" s="35">
        <f>VLOOKUP(Tabla43[[#This Row],[SERVICIO 2025]],$J$2:$V$16,3,0)*Tabla43[[#This Row],[TOTAL COBERTURA]]+Tabla43[[#This Row],[VALOR RACION PREPARADA]]/7</f>
        <v>7212408</v>
      </c>
      <c r="AX135" s="35">
        <f>VLOOKUP(Tabla43[[#This Row],[SERVICIO 2025]],$J$2:$V$16,3,0)*Tabla43[[#This Row],[TOTAL COBERTURA]]+Tabla43[[#This Row],[VALOR RACION PREPARADA]]/7</f>
        <v>7212408</v>
      </c>
      <c r="AY135" s="35">
        <f>VLOOKUP(Tabla43[[#This Row],[SERVICIO 2025]],$J$2:$V$16,3,0)*Tabla43[[#This Row],[TOTAL COBERTURA]]+Tabla43[[#This Row],[VALOR RACION PREPARADA]]/7</f>
        <v>7212408</v>
      </c>
      <c r="AZ135" s="35">
        <f>VLOOKUP(Tabla43[[#This Row],[SERVICIO 2025]],$J$2:$V$16,3,0)*Tabla43[[#This Row],[TOTAL COBERTURA]]+Tabla43[[#This Row],[VALOR RACION PREPARADA]]/7+Tabla43[[#This Row],[VALOR FASE PREPARATORIA DE CIERRE]]</f>
        <v>8361220</v>
      </c>
      <c r="BA135" s="35"/>
      <c r="BB135" s="35">
        <f>SUM(Tabla43[[#This Row],[DESEMBOLSO 1]:[DESEMBOLSO 8]])</f>
        <v>53832996</v>
      </c>
      <c r="BC135" s="55">
        <f>VLOOKUP(Tabla43[[#This Row],[SERVICIO 2025]],$J$2:$V$16,10,0)*Tabla43[[#This Row],[TOTAL COBERTURA]]*$W$3</f>
        <v>40405792</v>
      </c>
      <c r="BD135" s="47" t="s">
        <v>211</v>
      </c>
      <c r="BE135" s="12" t="b">
        <f>EXACT(Tabla43[[#This Row],[TOTAL APORTES ICBF]],Tabla43[[#This Row],[VALOR TOTAL]])</f>
        <v>1</v>
      </c>
      <c r="BF135" s="23">
        <f>SUM(Tabla43[[#This Row],[VALOR FASE PREPARATORIA DE ALISTAMIENTO]:[VALOR RACION PREPARADA]])-Tabla43[[#This Row],[VALOR TOTAL]]</f>
        <v>0</v>
      </c>
      <c r="BG135" s="12" t="b">
        <f>EXACT(Tabla43[[#This Row],[VALOR TOTAL]],Tabla43[[#This Row],[TOTAL DESEMBOLSOS]])</f>
        <v>1</v>
      </c>
      <c r="BH135" s="29">
        <f>Tabla43[[#This Row],[TOTAL DESEMBOLSOS]]-Tabla43[[#This Row],[VALOR TOTAL]]</f>
        <v>0</v>
      </c>
      <c r="BJ135" t="s">
        <v>3924</v>
      </c>
    </row>
    <row r="136" spans="1:62" hidden="1">
      <c r="A136" s="13">
        <v>1947</v>
      </c>
      <c r="B136" s="13"/>
      <c r="C136" s="12" t="s">
        <v>87</v>
      </c>
      <c r="D136" s="12" t="s">
        <v>987</v>
      </c>
      <c r="E136" s="12" t="s">
        <v>1404</v>
      </c>
      <c r="F136" s="12" t="s">
        <v>18</v>
      </c>
      <c r="G136" s="12" t="s">
        <v>90</v>
      </c>
      <c r="H136" s="12" t="s">
        <v>4121</v>
      </c>
      <c r="I136" s="12">
        <v>52501148705</v>
      </c>
      <c r="J136" s="12" t="s">
        <v>4122</v>
      </c>
      <c r="K136" s="12">
        <v>1</v>
      </c>
      <c r="L136" s="12">
        <v>13</v>
      </c>
      <c r="M136" s="12"/>
      <c r="N136" s="13">
        <v>1947</v>
      </c>
      <c r="O136" s="12" t="s">
        <v>93</v>
      </c>
      <c r="P136" s="12"/>
      <c r="Q136" s="12"/>
      <c r="R136" s="12" t="s">
        <v>94</v>
      </c>
      <c r="S136" s="12">
        <v>10</v>
      </c>
      <c r="T136" s="12" t="s">
        <v>991</v>
      </c>
      <c r="U136" s="12" t="s">
        <v>992</v>
      </c>
      <c r="V136" s="12">
        <f>VLOOKUP(Tabla43[[#This Row],[ZONA DEFINITIVO]],Hoja1!$A$1:$D$129,3,0)</f>
        <v>229956</v>
      </c>
      <c r="W136" s="12">
        <f>VLOOKUP(Tabla43[[#This Row],[ZONA DEFINITIVO]],Hoja1!$A$1:$D$129,2,0)</f>
        <v>18583</v>
      </c>
      <c r="X136" s="12">
        <f>VLOOKUP(Tabla43[[#This Row],[ZONA DEFINITIVO]],Hoja1!$A$1:$D$129,4,0)</f>
        <v>116725</v>
      </c>
      <c r="Y136" s="12" t="str">
        <f>+IF(Tabla43[[#This Row],[AGRUPACIONES]]=1,SUMIFS(Tabla43[UDS],Tabla43[ZONA DEFINITIVO],Tabla43[[#This Row],[ZONA DEFINITIVO]])," ")</f>
        <v xml:space="preserve"> </v>
      </c>
      <c r="Z136" s="12" t="str">
        <f>+IF(Tabla43[[#This Row],[AGRUPACIONES]]=1,SUMIFS(Tabla43[TOTAL COBERTURA],Tabla43[ZONA DEFINITIVO],Tabla43[[#This Row],[ZONA DEFINITIVO]])," ")</f>
        <v xml:space="preserve"> </v>
      </c>
      <c r="AA136" s="12"/>
      <c r="AB136" s="51">
        <v>24993891</v>
      </c>
      <c r="AC136" s="37">
        <v>0.02</v>
      </c>
      <c r="AD136" s="38">
        <f>Tabla43[[#This Row],[VALOR ATENCIÓN (7 MESES)]]*Tabla43[[#This Row],[% CONTRAPARTIDA]]</f>
        <v>499877.82</v>
      </c>
      <c r="AE136" s="12"/>
      <c r="AF136" s="12">
        <f>COUNTIF($A$22:A136,A136)</f>
        <v>2</v>
      </c>
      <c r="AG136" s="51">
        <v>24993891</v>
      </c>
      <c r="AH136" s="38">
        <f>Tabla43[[#This Row],[VALOR CONTRAPARTIDA]]+Tabla43[[#This Row],[TOTAL APORTES ICBF]]</f>
        <v>25493768.82</v>
      </c>
      <c r="AI136" s="35" t="str">
        <f>+IF(Tabla43[[#This Row],[AGRUPACIONES]]=1,SUMIFS(Tabla43[TOTAL APORTES ICBF],Tabla43[ZONA DEFINITIVO],Tabla43[[#This Row],[ZONA DEFINITIVO]])," ")</f>
        <v xml:space="preserve"> </v>
      </c>
      <c r="AJ136" s="38"/>
      <c r="AK136" s="38"/>
      <c r="AL136" s="23"/>
      <c r="AM136" s="35">
        <f>VLOOKUP(Tabla43[[#This Row],[SERVICIO 2025]],$J$2:$V$16,5,0)*Tabla43[[#This Row],[TOTAL COBERTURA]]</f>
        <v>641888</v>
      </c>
      <c r="AN136" s="35">
        <f>VLOOKUP(Tabla43[[#This Row],[SERVICIO 2025]],$J$2:$V$16,6,0)*Tabla43[[#This Row],[TOTAL COBERTURA]]</f>
        <v>533377</v>
      </c>
      <c r="AO136" s="35">
        <f>VLOOKUP(Tabla43[[#This Row],[SERVICIO 2025]],$J$2:$V$16,8,0)*Tabla43[[#This Row],[TOTAL COBERTURA]]</f>
        <v>378300</v>
      </c>
      <c r="AP136" s="35">
        <f>VLOOKUP(Tabla43[[#This Row],[SERVICIO 2025]],$J$2:$V$16,3,0)*Tabla43[[#This Row],[TOTAL COBERTURA]]*7</f>
        <v>23440326</v>
      </c>
      <c r="AQ136" s="35"/>
      <c r="AR13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24993891</v>
      </c>
      <c r="AS136" s="35" t="str">
        <f>+IF(Tabla43[[#This Row],[AGRUPACIONES]]=1,SUMIFS(Tabla43[VALOR TOTAL],Tabla43[ZONA DEFINITIVO],Tabla43[[#This Row],[ZONA DEFINITIVO]])," ")</f>
        <v xml:space="preserve"> </v>
      </c>
      <c r="AT13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4368806</v>
      </c>
      <c r="AU136" s="35">
        <f>VLOOKUP(Tabla43[[#This Row],[SERVICIO 2025]],$J$2:$V$16,3,0)*Tabla43[[#This Row],[TOTAL COBERTURA]]+Tabla43[[#This Row],[VALOR RACION PREPARADA]]/7</f>
        <v>3348618</v>
      </c>
      <c r="AV136" s="35">
        <f>VLOOKUP(Tabla43[[#This Row],[SERVICIO 2025]],$J$2:$V$16,3,0)*Tabla43[[#This Row],[TOTAL COBERTURA]]+Tabla43[[#This Row],[VALOR RACION PREPARADA]]/7</f>
        <v>3348618</v>
      </c>
      <c r="AW136" s="35">
        <f>VLOOKUP(Tabla43[[#This Row],[SERVICIO 2025]],$J$2:$V$16,3,0)*Tabla43[[#This Row],[TOTAL COBERTURA]]+Tabla43[[#This Row],[VALOR RACION PREPARADA]]/7</f>
        <v>3348618</v>
      </c>
      <c r="AX136" s="35">
        <f>VLOOKUP(Tabla43[[#This Row],[SERVICIO 2025]],$J$2:$V$16,3,0)*Tabla43[[#This Row],[TOTAL COBERTURA]]+Tabla43[[#This Row],[VALOR RACION PREPARADA]]/7</f>
        <v>3348618</v>
      </c>
      <c r="AY136" s="35">
        <f>VLOOKUP(Tabla43[[#This Row],[SERVICIO 2025]],$J$2:$V$16,3,0)*Tabla43[[#This Row],[TOTAL COBERTURA]]+Tabla43[[#This Row],[VALOR RACION PREPARADA]]/7</f>
        <v>3348618</v>
      </c>
      <c r="AZ136" s="35">
        <f>VLOOKUP(Tabla43[[#This Row],[SERVICIO 2025]],$J$2:$V$16,3,0)*Tabla43[[#This Row],[TOTAL COBERTURA]]+Tabla43[[#This Row],[VALOR RACION PREPARADA]]/7+Tabla43[[#This Row],[VALOR FASE PREPARATORIA DE CIERRE]]</f>
        <v>3881995</v>
      </c>
      <c r="BA136" s="35"/>
      <c r="BB136" s="35">
        <f>SUM(Tabla43[[#This Row],[DESEMBOLSO 1]:[DESEMBOLSO 8]])</f>
        <v>24993891</v>
      </c>
      <c r="BC136" s="55">
        <f>VLOOKUP(Tabla43[[#This Row],[SERVICIO 2025]],$J$2:$V$16,10,0)*Tabla43[[#This Row],[TOTAL COBERTURA]]*$W$3</f>
        <v>18759832</v>
      </c>
      <c r="BD136" s="47" t="s">
        <v>211</v>
      </c>
      <c r="BE136" s="12" t="b">
        <f>EXACT(Tabla43[[#This Row],[TOTAL APORTES ICBF]],Tabla43[[#This Row],[VALOR TOTAL]])</f>
        <v>1</v>
      </c>
      <c r="BF136" s="23">
        <f>SUM(Tabla43[[#This Row],[VALOR FASE PREPARATORIA DE ALISTAMIENTO]:[VALOR RACION PREPARADA]])-Tabla43[[#This Row],[VALOR TOTAL]]</f>
        <v>0</v>
      </c>
      <c r="BG136" s="12" t="b">
        <f>EXACT(Tabla43[[#This Row],[VALOR TOTAL]],Tabla43[[#This Row],[TOTAL DESEMBOLSOS]])</f>
        <v>1</v>
      </c>
      <c r="BH136" s="29">
        <f>Tabla43[[#This Row],[TOTAL DESEMBOLSOS]]-Tabla43[[#This Row],[VALOR TOTAL]]</f>
        <v>0</v>
      </c>
      <c r="BJ136" t="s">
        <v>3924</v>
      </c>
    </row>
    <row r="137" spans="1:62" hidden="1">
      <c r="A137" s="13">
        <v>1947</v>
      </c>
      <c r="B137" s="13"/>
      <c r="C137" s="12" t="s">
        <v>87</v>
      </c>
      <c r="D137" s="12" t="s">
        <v>987</v>
      </c>
      <c r="E137" s="12" t="s">
        <v>1404</v>
      </c>
      <c r="F137" s="12" t="s">
        <v>18</v>
      </c>
      <c r="G137" s="12" t="s">
        <v>90</v>
      </c>
      <c r="H137" s="12" t="s">
        <v>4123</v>
      </c>
      <c r="I137" s="12">
        <v>52501150545</v>
      </c>
      <c r="J137" s="12" t="s">
        <v>4124</v>
      </c>
      <c r="K137" s="12">
        <v>1</v>
      </c>
      <c r="L137" s="12">
        <v>20</v>
      </c>
      <c r="M137" s="12"/>
      <c r="N137" s="13">
        <v>1947</v>
      </c>
      <c r="O137" s="12" t="s">
        <v>93</v>
      </c>
      <c r="P137" s="12"/>
      <c r="Q137" s="12"/>
      <c r="R137" s="12" t="s">
        <v>94</v>
      </c>
      <c r="S137" s="12">
        <v>10</v>
      </c>
      <c r="T137" s="12" t="s">
        <v>991</v>
      </c>
      <c r="U137" s="12" t="s">
        <v>992</v>
      </c>
      <c r="V137" s="12">
        <f>VLOOKUP(Tabla43[[#This Row],[ZONA DEFINITIVO]],Hoja1!$A$1:$D$129,3,0)</f>
        <v>229956</v>
      </c>
      <c r="W137" s="12">
        <f>VLOOKUP(Tabla43[[#This Row],[ZONA DEFINITIVO]],Hoja1!$A$1:$D$129,2,0)</f>
        <v>18583</v>
      </c>
      <c r="X137" s="12">
        <f>VLOOKUP(Tabla43[[#This Row],[ZONA DEFINITIVO]],Hoja1!$A$1:$D$129,4,0)</f>
        <v>116725</v>
      </c>
      <c r="Y137" s="12" t="str">
        <f>+IF(Tabla43[[#This Row],[AGRUPACIONES]]=1,SUMIFS(Tabla43[UDS],Tabla43[ZONA DEFINITIVO],Tabla43[[#This Row],[ZONA DEFINITIVO]])," ")</f>
        <v xml:space="preserve"> </v>
      </c>
      <c r="Z137" s="12" t="str">
        <f>+IF(Tabla43[[#This Row],[AGRUPACIONES]]=1,SUMIFS(Tabla43[TOTAL COBERTURA],Tabla43[ZONA DEFINITIVO],Tabla43[[#This Row],[ZONA DEFINITIVO]])," ")</f>
        <v xml:space="preserve"> </v>
      </c>
      <c r="AA137" s="12"/>
      <c r="AB137" s="51">
        <v>38452140</v>
      </c>
      <c r="AC137" s="37">
        <v>0.02</v>
      </c>
      <c r="AD137" s="38">
        <f>Tabla43[[#This Row],[VALOR ATENCIÓN (7 MESES)]]*Tabla43[[#This Row],[% CONTRAPARTIDA]]</f>
        <v>769042.8</v>
      </c>
      <c r="AE137" s="12"/>
      <c r="AF137" s="12">
        <f>COUNTIF($A$22:A137,A137)</f>
        <v>3</v>
      </c>
      <c r="AG137" s="51">
        <v>38452140</v>
      </c>
      <c r="AH137" s="38">
        <f>Tabla43[[#This Row],[VALOR CONTRAPARTIDA]]+Tabla43[[#This Row],[TOTAL APORTES ICBF]]</f>
        <v>39221182.799999997</v>
      </c>
      <c r="AI137" s="35" t="str">
        <f>+IF(Tabla43[[#This Row],[AGRUPACIONES]]=1,SUMIFS(Tabla43[TOTAL APORTES ICBF],Tabla43[ZONA DEFINITIVO],Tabla43[[#This Row],[ZONA DEFINITIVO]])," ")</f>
        <v xml:space="preserve"> </v>
      </c>
      <c r="AJ137" s="38"/>
      <c r="AK137" s="38"/>
      <c r="AL137" s="23"/>
      <c r="AM137" s="35">
        <f>VLOOKUP(Tabla43[[#This Row],[SERVICIO 2025]],$J$2:$V$16,5,0)*Tabla43[[#This Row],[TOTAL COBERTURA]]</f>
        <v>987520</v>
      </c>
      <c r="AN137" s="35">
        <f>VLOOKUP(Tabla43[[#This Row],[SERVICIO 2025]],$J$2:$V$16,6,0)*Tabla43[[#This Row],[TOTAL COBERTURA]]</f>
        <v>820580</v>
      </c>
      <c r="AO137" s="35">
        <f>VLOOKUP(Tabla43[[#This Row],[SERVICIO 2025]],$J$2:$V$16,8,0)*Tabla43[[#This Row],[TOTAL COBERTURA]]</f>
        <v>582000</v>
      </c>
      <c r="AP137" s="35">
        <f>VLOOKUP(Tabla43[[#This Row],[SERVICIO 2025]],$J$2:$V$16,3,0)*Tabla43[[#This Row],[TOTAL COBERTURA]]*7</f>
        <v>36062040</v>
      </c>
      <c r="AQ137" s="35"/>
      <c r="AR13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37" s="35" t="str">
        <f>+IF(Tabla43[[#This Row],[AGRUPACIONES]]=1,SUMIFS(Tabla43[VALOR TOTAL],Tabla43[ZONA DEFINITIVO],Tabla43[[#This Row],[ZONA DEFINITIVO]])," ")</f>
        <v xml:space="preserve"> </v>
      </c>
      <c r="AT13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37" s="35">
        <f>VLOOKUP(Tabla43[[#This Row],[SERVICIO 2025]],$J$2:$V$16,3,0)*Tabla43[[#This Row],[TOTAL COBERTURA]]+Tabla43[[#This Row],[VALOR RACION PREPARADA]]/7</f>
        <v>5151720</v>
      </c>
      <c r="AV137" s="35">
        <f>VLOOKUP(Tabla43[[#This Row],[SERVICIO 2025]],$J$2:$V$16,3,0)*Tabla43[[#This Row],[TOTAL COBERTURA]]+Tabla43[[#This Row],[VALOR RACION PREPARADA]]/7</f>
        <v>5151720</v>
      </c>
      <c r="AW137" s="35">
        <f>VLOOKUP(Tabla43[[#This Row],[SERVICIO 2025]],$J$2:$V$16,3,0)*Tabla43[[#This Row],[TOTAL COBERTURA]]+Tabla43[[#This Row],[VALOR RACION PREPARADA]]/7</f>
        <v>5151720</v>
      </c>
      <c r="AX137" s="35">
        <f>VLOOKUP(Tabla43[[#This Row],[SERVICIO 2025]],$J$2:$V$16,3,0)*Tabla43[[#This Row],[TOTAL COBERTURA]]+Tabla43[[#This Row],[VALOR RACION PREPARADA]]/7</f>
        <v>5151720</v>
      </c>
      <c r="AY137" s="35">
        <f>VLOOKUP(Tabla43[[#This Row],[SERVICIO 2025]],$J$2:$V$16,3,0)*Tabla43[[#This Row],[TOTAL COBERTURA]]+Tabla43[[#This Row],[VALOR RACION PREPARADA]]/7</f>
        <v>5151720</v>
      </c>
      <c r="AZ137" s="35">
        <f>VLOOKUP(Tabla43[[#This Row],[SERVICIO 2025]],$J$2:$V$16,3,0)*Tabla43[[#This Row],[TOTAL COBERTURA]]+Tabla43[[#This Row],[VALOR RACION PREPARADA]]/7+Tabla43[[#This Row],[VALOR FASE PREPARATORIA DE CIERRE]]</f>
        <v>5972300</v>
      </c>
      <c r="BA137" s="35"/>
      <c r="BB137" s="35">
        <f>SUM(Tabla43[[#This Row],[DESEMBOLSO 1]:[DESEMBOLSO 8]])</f>
        <v>38452140</v>
      </c>
      <c r="BC137" s="55">
        <f>VLOOKUP(Tabla43[[#This Row],[SERVICIO 2025]],$J$2:$V$16,10,0)*Tabla43[[#This Row],[TOTAL COBERTURA]]*$W$3</f>
        <v>28861280</v>
      </c>
      <c r="BD137" s="47" t="s">
        <v>211</v>
      </c>
      <c r="BE137" s="12" t="b">
        <f>EXACT(Tabla43[[#This Row],[TOTAL APORTES ICBF]],Tabla43[[#This Row],[VALOR TOTAL]])</f>
        <v>1</v>
      </c>
      <c r="BF137" s="23">
        <f>SUM(Tabla43[[#This Row],[VALOR FASE PREPARATORIA DE ALISTAMIENTO]:[VALOR RACION PREPARADA]])-Tabla43[[#This Row],[VALOR TOTAL]]</f>
        <v>0</v>
      </c>
      <c r="BG137" s="12" t="b">
        <f>EXACT(Tabla43[[#This Row],[VALOR TOTAL]],Tabla43[[#This Row],[TOTAL DESEMBOLSOS]])</f>
        <v>1</v>
      </c>
      <c r="BH137" s="29">
        <f>Tabla43[[#This Row],[TOTAL DESEMBOLSOS]]-Tabla43[[#This Row],[VALOR TOTAL]]</f>
        <v>0</v>
      </c>
      <c r="BJ137" t="s">
        <v>3924</v>
      </c>
    </row>
    <row r="138" spans="1:62" hidden="1">
      <c r="A138" s="13">
        <v>1947</v>
      </c>
      <c r="B138" s="13"/>
      <c r="C138" s="12" t="s">
        <v>87</v>
      </c>
      <c r="D138" s="12" t="s">
        <v>987</v>
      </c>
      <c r="E138" s="12" t="s">
        <v>1404</v>
      </c>
      <c r="F138" s="12" t="s">
        <v>18</v>
      </c>
      <c r="G138" s="12" t="s">
        <v>90</v>
      </c>
      <c r="H138" s="12" t="s">
        <v>4123</v>
      </c>
      <c r="I138" s="12">
        <v>52501150546</v>
      </c>
      <c r="J138" s="12" t="s">
        <v>4125</v>
      </c>
      <c r="K138" s="12">
        <v>1</v>
      </c>
      <c r="L138" s="12">
        <v>19</v>
      </c>
      <c r="M138" s="12"/>
      <c r="N138" s="13">
        <v>1947</v>
      </c>
      <c r="O138" s="12" t="s">
        <v>93</v>
      </c>
      <c r="P138" s="12"/>
      <c r="Q138" s="12"/>
      <c r="R138" s="12" t="s">
        <v>94</v>
      </c>
      <c r="S138" s="12">
        <v>10</v>
      </c>
      <c r="T138" s="12" t="s">
        <v>991</v>
      </c>
      <c r="U138" s="12" t="s">
        <v>992</v>
      </c>
      <c r="V138" s="12">
        <f>VLOOKUP(Tabla43[[#This Row],[ZONA DEFINITIVO]],Hoja1!$A$1:$D$129,3,0)</f>
        <v>229956</v>
      </c>
      <c r="W138" s="12">
        <f>VLOOKUP(Tabla43[[#This Row],[ZONA DEFINITIVO]],Hoja1!$A$1:$D$129,2,0)</f>
        <v>18583</v>
      </c>
      <c r="X138" s="12">
        <f>VLOOKUP(Tabla43[[#This Row],[ZONA DEFINITIVO]],Hoja1!$A$1:$D$129,4,0)</f>
        <v>116725</v>
      </c>
      <c r="Y138" s="12" t="str">
        <f>+IF(Tabla43[[#This Row],[AGRUPACIONES]]=1,SUMIFS(Tabla43[UDS],Tabla43[ZONA DEFINITIVO],Tabla43[[#This Row],[ZONA DEFINITIVO]])," ")</f>
        <v xml:space="preserve"> </v>
      </c>
      <c r="Z138" s="12" t="str">
        <f>+IF(Tabla43[[#This Row],[AGRUPACIONES]]=1,SUMIFS(Tabla43[TOTAL COBERTURA],Tabla43[ZONA DEFINITIVO],Tabla43[[#This Row],[ZONA DEFINITIVO]])," ")</f>
        <v xml:space="preserve"> </v>
      </c>
      <c r="AA138" s="12"/>
      <c r="AB138" s="51">
        <v>36529533</v>
      </c>
      <c r="AC138" s="37">
        <v>0.02</v>
      </c>
      <c r="AD138" s="38">
        <f>Tabla43[[#This Row],[VALOR ATENCIÓN (7 MESES)]]*Tabla43[[#This Row],[% CONTRAPARTIDA]]</f>
        <v>730590.66</v>
      </c>
      <c r="AE138" s="12"/>
      <c r="AF138" s="12">
        <f>COUNTIF($A$22:A138,A138)</f>
        <v>4</v>
      </c>
      <c r="AG138" s="51">
        <v>36529533</v>
      </c>
      <c r="AH138" s="38">
        <f>Tabla43[[#This Row],[VALOR CONTRAPARTIDA]]+Tabla43[[#This Row],[TOTAL APORTES ICBF]]</f>
        <v>37260123.659999996</v>
      </c>
      <c r="AI138" s="35" t="str">
        <f>+IF(Tabla43[[#This Row],[AGRUPACIONES]]=1,SUMIFS(Tabla43[TOTAL APORTES ICBF],Tabla43[ZONA DEFINITIVO],Tabla43[[#This Row],[ZONA DEFINITIVO]])," ")</f>
        <v xml:space="preserve"> </v>
      </c>
      <c r="AJ138" s="38"/>
      <c r="AK138" s="38"/>
      <c r="AL138" s="23"/>
      <c r="AM138" s="35">
        <f>VLOOKUP(Tabla43[[#This Row],[SERVICIO 2025]],$J$2:$V$16,5,0)*Tabla43[[#This Row],[TOTAL COBERTURA]]</f>
        <v>938144</v>
      </c>
      <c r="AN138" s="35">
        <f>VLOOKUP(Tabla43[[#This Row],[SERVICIO 2025]],$J$2:$V$16,6,0)*Tabla43[[#This Row],[TOTAL COBERTURA]]</f>
        <v>779551</v>
      </c>
      <c r="AO138" s="35">
        <f>VLOOKUP(Tabla43[[#This Row],[SERVICIO 2025]],$J$2:$V$16,8,0)*Tabla43[[#This Row],[TOTAL COBERTURA]]</f>
        <v>552900</v>
      </c>
      <c r="AP138" s="35">
        <f>VLOOKUP(Tabla43[[#This Row],[SERVICIO 2025]],$J$2:$V$16,3,0)*Tabla43[[#This Row],[TOTAL COBERTURA]]*7</f>
        <v>34258938</v>
      </c>
      <c r="AQ138" s="35"/>
      <c r="AR13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36529533</v>
      </c>
      <c r="AS138" s="35" t="str">
        <f>+IF(Tabla43[[#This Row],[AGRUPACIONES]]=1,SUMIFS(Tabla43[VALOR TOTAL],Tabla43[ZONA DEFINITIVO],Tabla43[[#This Row],[ZONA DEFINITIVO]])," ")</f>
        <v xml:space="preserve"> </v>
      </c>
      <c r="AT13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6385178</v>
      </c>
      <c r="AU138" s="35">
        <f>VLOOKUP(Tabla43[[#This Row],[SERVICIO 2025]],$J$2:$V$16,3,0)*Tabla43[[#This Row],[TOTAL COBERTURA]]+Tabla43[[#This Row],[VALOR RACION PREPARADA]]/7</f>
        <v>4894134</v>
      </c>
      <c r="AV138" s="35">
        <f>VLOOKUP(Tabla43[[#This Row],[SERVICIO 2025]],$J$2:$V$16,3,0)*Tabla43[[#This Row],[TOTAL COBERTURA]]+Tabla43[[#This Row],[VALOR RACION PREPARADA]]/7</f>
        <v>4894134</v>
      </c>
      <c r="AW138" s="35">
        <f>VLOOKUP(Tabla43[[#This Row],[SERVICIO 2025]],$J$2:$V$16,3,0)*Tabla43[[#This Row],[TOTAL COBERTURA]]+Tabla43[[#This Row],[VALOR RACION PREPARADA]]/7</f>
        <v>4894134</v>
      </c>
      <c r="AX138" s="35">
        <f>VLOOKUP(Tabla43[[#This Row],[SERVICIO 2025]],$J$2:$V$16,3,0)*Tabla43[[#This Row],[TOTAL COBERTURA]]+Tabla43[[#This Row],[VALOR RACION PREPARADA]]/7</f>
        <v>4894134</v>
      </c>
      <c r="AY138" s="35">
        <f>VLOOKUP(Tabla43[[#This Row],[SERVICIO 2025]],$J$2:$V$16,3,0)*Tabla43[[#This Row],[TOTAL COBERTURA]]+Tabla43[[#This Row],[VALOR RACION PREPARADA]]/7</f>
        <v>4894134</v>
      </c>
      <c r="AZ138" s="35">
        <f>VLOOKUP(Tabla43[[#This Row],[SERVICIO 2025]],$J$2:$V$16,3,0)*Tabla43[[#This Row],[TOTAL COBERTURA]]+Tabla43[[#This Row],[VALOR RACION PREPARADA]]/7+Tabla43[[#This Row],[VALOR FASE PREPARATORIA DE CIERRE]]</f>
        <v>5673685</v>
      </c>
      <c r="BA138" s="35"/>
      <c r="BB138" s="35">
        <f>SUM(Tabla43[[#This Row],[DESEMBOLSO 1]:[DESEMBOLSO 8]])</f>
        <v>36529533</v>
      </c>
      <c r="BC138" s="55">
        <f>VLOOKUP(Tabla43[[#This Row],[SERVICIO 2025]],$J$2:$V$16,10,0)*Tabla43[[#This Row],[TOTAL COBERTURA]]*$W$3</f>
        <v>27418216</v>
      </c>
      <c r="BD138" s="47" t="s">
        <v>211</v>
      </c>
      <c r="BE138" s="12" t="b">
        <f>EXACT(Tabla43[[#This Row],[TOTAL APORTES ICBF]],Tabla43[[#This Row],[VALOR TOTAL]])</f>
        <v>1</v>
      </c>
      <c r="BF138" s="23">
        <f>SUM(Tabla43[[#This Row],[VALOR FASE PREPARATORIA DE ALISTAMIENTO]:[VALOR RACION PREPARADA]])-Tabla43[[#This Row],[VALOR TOTAL]]</f>
        <v>0</v>
      </c>
      <c r="BG138" s="12" t="b">
        <f>EXACT(Tabla43[[#This Row],[VALOR TOTAL]],Tabla43[[#This Row],[TOTAL DESEMBOLSOS]])</f>
        <v>1</v>
      </c>
      <c r="BH138" s="29">
        <f>Tabla43[[#This Row],[TOTAL DESEMBOLSOS]]-Tabla43[[#This Row],[VALOR TOTAL]]</f>
        <v>0</v>
      </c>
      <c r="BJ138" t="s">
        <v>3924</v>
      </c>
    </row>
    <row r="139" spans="1:62" hidden="1">
      <c r="A139" s="13">
        <v>1947</v>
      </c>
      <c r="B139" s="13"/>
      <c r="C139" s="12" t="s">
        <v>87</v>
      </c>
      <c r="D139" s="12" t="s">
        <v>987</v>
      </c>
      <c r="E139" s="12" t="s">
        <v>1404</v>
      </c>
      <c r="F139" s="12" t="s">
        <v>18</v>
      </c>
      <c r="G139" s="12" t="s">
        <v>90</v>
      </c>
      <c r="H139" s="12" t="s">
        <v>4123</v>
      </c>
      <c r="I139" s="12">
        <v>52501150547</v>
      </c>
      <c r="J139" s="12" t="s">
        <v>4126</v>
      </c>
      <c r="K139" s="12">
        <v>1</v>
      </c>
      <c r="L139" s="12">
        <v>20</v>
      </c>
      <c r="M139" s="12"/>
      <c r="N139" s="13">
        <v>1947</v>
      </c>
      <c r="O139" s="12" t="s">
        <v>93</v>
      </c>
      <c r="P139" s="12"/>
      <c r="Q139" s="12"/>
      <c r="R139" s="12" t="s">
        <v>94</v>
      </c>
      <c r="S139" s="12">
        <v>10</v>
      </c>
      <c r="T139" s="12" t="s">
        <v>991</v>
      </c>
      <c r="U139" s="12" t="s">
        <v>992</v>
      </c>
      <c r="V139" s="12">
        <f>VLOOKUP(Tabla43[[#This Row],[ZONA DEFINITIVO]],Hoja1!$A$1:$D$129,3,0)</f>
        <v>229956</v>
      </c>
      <c r="W139" s="12">
        <f>VLOOKUP(Tabla43[[#This Row],[ZONA DEFINITIVO]],Hoja1!$A$1:$D$129,2,0)</f>
        <v>18583</v>
      </c>
      <c r="X139" s="12">
        <f>VLOOKUP(Tabla43[[#This Row],[ZONA DEFINITIVO]],Hoja1!$A$1:$D$129,4,0)</f>
        <v>116725</v>
      </c>
      <c r="Y139" s="12" t="str">
        <f>+IF(Tabla43[[#This Row],[AGRUPACIONES]]=1,SUMIFS(Tabla43[UDS],Tabla43[ZONA DEFINITIVO],Tabla43[[#This Row],[ZONA DEFINITIVO]])," ")</f>
        <v xml:space="preserve"> </v>
      </c>
      <c r="Z139" s="12" t="str">
        <f>+IF(Tabla43[[#This Row],[AGRUPACIONES]]=1,SUMIFS(Tabla43[TOTAL COBERTURA],Tabla43[ZONA DEFINITIVO],Tabla43[[#This Row],[ZONA DEFINITIVO]])," ")</f>
        <v xml:space="preserve"> </v>
      </c>
      <c r="AA139" s="12"/>
      <c r="AB139" s="51">
        <v>38452140</v>
      </c>
      <c r="AC139" s="37">
        <v>0.02</v>
      </c>
      <c r="AD139" s="38">
        <f>Tabla43[[#This Row],[VALOR ATENCIÓN (7 MESES)]]*Tabla43[[#This Row],[% CONTRAPARTIDA]]</f>
        <v>769042.8</v>
      </c>
      <c r="AE139" s="12"/>
      <c r="AF139" s="12">
        <f>COUNTIF($A$22:A139,A139)</f>
        <v>5</v>
      </c>
      <c r="AG139" s="51">
        <v>38452140</v>
      </c>
      <c r="AH139" s="38">
        <f>Tabla43[[#This Row],[VALOR CONTRAPARTIDA]]+Tabla43[[#This Row],[TOTAL APORTES ICBF]]</f>
        <v>39221182.799999997</v>
      </c>
      <c r="AI139" s="35" t="str">
        <f>+IF(Tabla43[[#This Row],[AGRUPACIONES]]=1,SUMIFS(Tabla43[TOTAL APORTES ICBF],Tabla43[ZONA DEFINITIVO],Tabla43[[#This Row],[ZONA DEFINITIVO]])," ")</f>
        <v xml:space="preserve"> </v>
      </c>
      <c r="AJ139" s="38"/>
      <c r="AK139" s="38"/>
      <c r="AL139" s="23"/>
      <c r="AM139" s="35">
        <f>VLOOKUP(Tabla43[[#This Row],[SERVICIO 2025]],$J$2:$V$16,5,0)*Tabla43[[#This Row],[TOTAL COBERTURA]]</f>
        <v>987520</v>
      </c>
      <c r="AN139" s="35">
        <f>VLOOKUP(Tabla43[[#This Row],[SERVICIO 2025]],$J$2:$V$16,6,0)*Tabla43[[#This Row],[TOTAL COBERTURA]]</f>
        <v>820580</v>
      </c>
      <c r="AO139" s="35">
        <f>VLOOKUP(Tabla43[[#This Row],[SERVICIO 2025]],$J$2:$V$16,8,0)*Tabla43[[#This Row],[TOTAL COBERTURA]]</f>
        <v>582000</v>
      </c>
      <c r="AP139" s="35">
        <f>VLOOKUP(Tabla43[[#This Row],[SERVICIO 2025]],$J$2:$V$16,3,0)*Tabla43[[#This Row],[TOTAL COBERTURA]]*7</f>
        <v>36062040</v>
      </c>
      <c r="AQ139" s="35"/>
      <c r="AR13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39" s="35" t="str">
        <f>+IF(Tabla43[[#This Row],[AGRUPACIONES]]=1,SUMIFS(Tabla43[VALOR TOTAL],Tabla43[ZONA DEFINITIVO],Tabla43[[#This Row],[ZONA DEFINITIVO]])," ")</f>
        <v xml:space="preserve"> </v>
      </c>
      <c r="AT13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39" s="35">
        <f>VLOOKUP(Tabla43[[#This Row],[SERVICIO 2025]],$J$2:$V$16,3,0)*Tabla43[[#This Row],[TOTAL COBERTURA]]+Tabla43[[#This Row],[VALOR RACION PREPARADA]]/7</f>
        <v>5151720</v>
      </c>
      <c r="AV139" s="35">
        <f>VLOOKUP(Tabla43[[#This Row],[SERVICIO 2025]],$J$2:$V$16,3,0)*Tabla43[[#This Row],[TOTAL COBERTURA]]+Tabla43[[#This Row],[VALOR RACION PREPARADA]]/7</f>
        <v>5151720</v>
      </c>
      <c r="AW139" s="35">
        <f>VLOOKUP(Tabla43[[#This Row],[SERVICIO 2025]],$J$2:$V$16,3,0)*Tabla43[[#This Row],[TOTAL COBERTURA]]+Tabla43[[#This Row],[VALOR RACION PREPARADA]]/7</f>
        <v>5151720</v>
      </c>
      <c r="AX139" s="35">
        <f>VLOOKUP(Tabla43[[#This Row],[SERVICIO 2025]],$J$2:$V$16,3,0)*Tabla43[[#This Row],[TOTAL COBERTURA]]+Tabla43[[#This Row],[VALOR RACION PREPARADA]]/7</f>
        <v>5151720</v>
      </c>
      <c r="AY139" s="35">
        <f>VLOOKUP(Tabla43[[#This Row],[SERVICIO 2025]],$J$2:$V$16,3,0)*Tabla43[[#This Row],[TOTAL COBERTURA]]+Tabla43[[#This Row],[VALOR RACION PREPARADA]]/7</f>
        <v>5151720</v>
      </c>
      <c r="AZ139" s="35">
        <f>VLOOKUP(Tabla43[[#This Row],[SERVICIO 2025]],$J$2:$V$16,3,0)*Tabla43[[#This Row],[TOTAL COBERTURA]]+Tabla43[[#This Row],[VALOR RACION PREPARADA]]/7+Tabla43[[#This Row],[VALOR FASE PREPARATORIA DE CIERRE]]</f>
        <v>5972300</v>
      </c>
      <c r="BA139" s="35"/>
      <c r="BB139" s="35">
        <f>SUM(Tabla43[[#This Row],[DESEMBOLSO 1]:[DESEMBOLSO 8]])</f>
        <v>38452140</v>
      </c>
      <c r="BC139" s="55">
        <f>VLOOKUP(Tabla43[[#This Row],[SERVICIO 2025]],$J$2:$V$16,10,0)*Tabla43[[#This Row],[TOTAL COBERTURA]]*$W$3</f>
        <v>28861280</v>
      </c>
      <c r="BD139" s="47" t="s">
        <v>211</v>
      </c>
      <c r="BE139" s="12" t="b">
        <f>EXACT(Tabla43[[#This Row],[TOTAL APORTES ICBF]],Tabla43[[#This Row],[VALOR TOTAL]])</f>
        <v>1</v>
      </c>
      <c r="BF139" s="23">
        <f>SUM(Tabla43[[#This Row],[VALOR FASE PREPARATORIA DE ALISTAMIENTO]:[VALOR RACION PREPARADA]])-Tabla43[[#This Row],[VALOR TOTAL]]</f>
        <v>0</v>
      </c>
      <c r="BG139" s="12" t="b">
        <f>EXACT(Tabla43[[#This Row],[VALOR TOTAL]],Tabla43[[#This Row],[TOTAL DESEMBOLSOS]])</f>
        <v>1</v>
      </c>
      <c r="BH139" s="29">
        <f>Tabla43[[#This Row],[TOTAL DESEMBOLSOS]]-Tabla43[[#This Row],[VALOR TOTAL]]</f>
        <v>0</v>
      </c>
      <c r="BJ139" t="s">
        <v>3924</v>
      </c>
    </row>
    <row r="140" spans="1:62" hidden="1">
      <c r="A140" s="13">
        <v>1947</v>
      </c>
      <c r="B140" s="13"/>
      <c r="C140" s="12" t="s">
        <v>87</v>
      </c>
      <c r="D140" s="12" t="s">
        <v>987</v>
      </c>
      <c r="E140" s="12" t="s">
        <v>1404</v>
      </c>
      <c r="F140" s="12" t="s">
        <v>18</v>
      </c>
      <c r="G140" s="12" t="s">
        <v>90</v>
      </c>
      <c r="H140" s="12" t="s">
        <v>4123</v>
      </c>
      <c r="I140" s="12">
        <v>52501150548</v>
      </c>
      <c r="J140" s="12" t="s">
        <v>4127</v>
      </c>
      <c r="K140" s="12">
        <v>1</v>
      </c>
      <c r="L140" s="12">
        <v>20</v>
      </c>
      <c r="M140" s="12"/>
      <c r="N140" s="13">
        <v>1947</v>
      </c>
      <c r="O140" s="12" t="s">
        <v>93</v>
      </c>
      <c r="P140" s="12"/>
      <c r="Q140" s="12"/>
      <c r="R140" s="12" t="s">
        <v>94</v>
      </c>
      <c r="S140" s="12">
        <v>10</v>
      </c>
      <c r="T140" s="12" t="s">
        <v>991</v>
      </c>
      <c r="U140" s="12" t="s">
        <v>992</v>
      </c>
      <c r="V140" s="12">
        <f>VLOOKUP(Tabla43[[#This Row],[ZONA DEFINITIVO]],Hoja1!$A$1:$D$129,3,0)</f>
        <v>229956</v>
      </c>
      <c r="W140" s="12">
        <f>VLOOKUP(Tabla43[[#This Row],[ZONA DEFINITIVO]],Hoja1!$A$1:$D$129,2,0)</f>
        <v>18583</v>
      </c>
      <c r="X140" s="12">
        <f>VLOOKUP(Tabla43[[#This Row],[ZONA DEFINITIVO]],Hoja1!$A$1:$D$129,4,0)</f>
        <v>116725</v>
      </c>
      <c r="Y140" s="12" t="str">
        <f>+IF(Tabla43[[#This Row],[AGRUPACIONES]]=1,SUMIFS(Tabla43[UDS],Tabla43[ZONA DEFINITIVO],Tabla43[[#This Row],[ZONA DEFINITIVO]])," ")</f>
        <v xml:space="preserve"> </v>
      </c>
      <c r="Z140" s="12" t="str">
        <f>+IF(Tabla43[[#This Row],[AGRUPACIONES]]=1,SUMIFS(Tabla43[TOTAL COBERTURA],Tabla43[ZONA DEFINITIVO],Tabla43[[#This Row],[ZONA DEFINITIVO]])," ")</f>
        <v xml:space="preserve"> </v>
      </c>
      <c r="AA140" s="12"/>
      <c r="AB140" s="51">
        <v>38452140</v>
      </c>
      <c r="AC140" s="37">
        <v>0.02</v>
      </c>
      <c r="AD140" s="38">
        <f>Tabla43[[#This Row],[VALOR ATENCIÓN (7 MESES)]]*Tabla43[[#This Row],[% CONTRAPARTIDA]]</f>
        <v>769042.8</v>
      </c>
      <c r="AE140" s="12"/>
      <c r="AF140" s="12">
        <f>COUNTIF($A$22:A140,A140)</f>
        <v>6</v>
      </c>
      <c r="AG140" s="51">
        <v>38452140</v>
      </c>
      <c r="AH140" s="38">
        <f>Tabla43[[#This Row],[VALOR CONTRAPARTIDA]]+Tabla43[[#This Row],[TOTAL APORTES ICBF]]</f>
        <v>39221182.799999997</v>
      </c>
      <c r="AI140" s="35" t="str">
        <f>+IF(Tabla43[[#This Row],[AGRUPACIONES]]=1,SUMIFS(Tabla43[TOTAL APORTES ICBF],Tabla43[ZONA DEFINITIVO],Tabla43[[#This Row],[ZONA DEFINITIVO]])," ")</f>
        <v xml:space="preserve"> </v>
      </c>
      <c r="AJ140" s="38"/>
      <c r="AK140" s="38"/>
      <c r="AL140" s="23"/>
      <c r="AM140" s="35">
        <f>VLOOKUP(Tabla43[[#This Row],[SERVICIO 2025]],$J$2:$V$16,5,0)*Tabla43[[#This Row],[TOTAL COBERTURA]]</f>
        <v>987520</v>
      </c>
      <c r="AN140" s="35">
        <f>VLOOKUP(Tabla43[[#This Row],[SERVICIO 2025]],$J$2:$V$16,6,0)*Tabla43[[#This Row],[TOTAL COBERTURA]]</f>
        <v>820580</v>
      </c>
      <c r="AO140" s="35">
        <f>VLOOKUP(Tabla43[[#This Row],[SERVICIO 2025]],$J$2:$V$16,8,0)*Tabla43[[#This Row],[TOTAL COBERTURA]]</f>
        <v>582000</v>
      </c>
      <c r="AP140" s="35">
        <f>VLOOKUP(Tabla43[[#This Row],[SERVICIO 2025]],$J$2:$V$16,3,0)*Tabla43[[#This Row],[TOTAL COBERTURA]]*7</f>
        <v>36062040</v>
      </c>
      <c r="AQ140" s="35"/>
      <c r="AR14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40" s="35" t="str">
        <f>+IF(Tabla43[[#This Row],[AGRUPACIONES]]=1,SUMIFS(Tabla43[VALOR TOTAL],Tabla43[ZONA DEFINITIVO],Tabla43[[#This Row],[ZONA DEFINITIVO]])," ")</f>
        <v xml:space="preserve"> </v>
      </c>
      <c r="AT14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40" s="35">
        <f>VLOOKUP(Tabla43[[#This Row],[SERVICIO 2025]],$J$2:$V$16,3,0)*Tabla43[[#This Row],[TOTAL COBERTURA]]+Tabla43[[#This Row],[VALOR RACION PREPARADA]]/7</f>
        <v>5151720</v>
      </c>
      <c r="AV140" s="35">
        <f>VLOOKUP(Tabla43[[#This Row],[SERVICIO 2025]],$J$2:$V$16,3,0)*Tabla43[[#This Row],[TOTAL COBERTURA]]+Tabla43[[#This Row],[VALOR RACION PREPARADA]]/7</f>
        <v>5151720</v>
      </c>
      <c r="AW140" s="35">
        <f>VLOOKUP(Tabla43[[#This Row],[SERVICIO 2025]],$J$2:$V$16,3,0)*Tabla43[[#This Row],[TOTAL COBERTURA]]+Tabla43[[#This Row],[VALOR RACION PREPARADA]]/7</f>
        <v>5151720</v>
      </c>
      <c r="AX140" s="35">
        <f>VLOOKUP(Tabla43[[#This Row],[SERVICIO 2025]],$J$2:$V$16,3,0)*Tabla43[[#This Row],[TOTAL COBERTURA]]+Tabla43[[#This Row],[VALOR RACION PREPARADA]]/7</f>
        <v>5151720</v>
      </c>
      <c r="AY140" s="35">
        <f>VLOOKUP(Tabla43[[#This Row],[SERVICIO 2025]],$J$2:$V$16,3,0)*Tabla43[[#This Row],[TOTAL COBERTURA]]+Tabla43[[#This Row],[VALOR RACION PREPARADA]]/7</f>
        <v>5151720</v>
      </c>
      <c r="AZ140" s="35">
        <f>VLOOKUP(Tabla43[[#This Row],[SERVICIO 2025]],$J$2:$V$16,3,0)*Tabla43[[#This Row],[TOTAL COBERTURA]]+Tabla43[[#This Row],[VALOR RACION PREPARADA]]/7+Tabla43[[#This Row],[VALOR FASE PREPARATORIA DE CIERRE]]</f>
        <v>5972300</v>
      </c>
      <c r="BA140" s="35"/>
      <c r="BB140" s="35">
        <f>SUM(Tabla43[[#This Row],[DESEMBOLSO 1]:[DESEMBOLSO 8]])</f>
        <v>38452140</v>
      </c>
      <c r="BC140" s="55">
        <f>VLOOKUP(Tabla43[[#This Row],[SERVICIO 2025]],$J$2:$V$16,10,0)*Tabla43[[#This Row],[TOTAL COBERTURA]]*$W$3</f>
        <v>28861280</v>
      </c>
      <c r="BD140" s="47" t="s">
        <v>211</v>
      </c>
      <c r="BE140" s="12" t="b">
        <f>EXACT(Tabla43[[#This Row],[TOTAL APORTES ICBF]],Tabla43[[#This Row],[VALOR TOTAL]])</f>
        <v>1</v>
      </c>
      <c r="BF140" s="23">
        <f>SUM(Tabla43[[#This Row],[VALOR FASE PREPARATORIA DE ALISTAMIENTO]:[VALOR RACION PREPARADA]])-Tabla43[[#This Row],[VALOR TOTAL]]</f>
        <v>0</v>
      </c>
      <c r="BG140" s="12" t="b">
        <f>EXACT(Tabla43[[#This Row],[VALOR TOTAL]],Tabla43[[#This Row],[TOTAL DESEMBOLSOS]])</f>
        <v>1</v>
      </c>
      <c r="BH140" s="29">
        <f>Tabla43[[#This Row],[TOTAL DESEMBOLSOS]]-Tabla43[[#This Row],[VALOR TOTAL]]</f>
        <v>0</v>
      </c>
      <c r="BJ140" t="s">
        <v>3924</v>
      </c>
    </row>
    <row r="141" spans="1:62" hidden="1">
      <c r="A141" s="13">
        <v>1947</v>
      </c>
      <c r="B141" s="13"/>
      <c r="C141" s="12" t="s">
        <v>87</v>
      </c>
      <c r="D141" s="12" t="s">
        <v>987</v>
      </c>
      <c r="E141" s="12" t="s">
        <v>1404</v>
      </c>
      <c r="F141" s="12" t="s">
        <v>18</v>
      </c>
      <c r="G141" s="12" t="s">
        <v>90</v>
      </c>
      <c r="H141" s="12" t="s">
        <v>4123</v>
      </c>
      <c r="I141" s="12">
        <v>52501150549</v>
      </c>
      <c r="J141" s="12" t="s">
        <v>4128</v>
      </c>
      <c r="K141" s="12">
        <v>1</v>
      </c>
      <c r="L141" s="12">
        <v>20</v>
      </c>
      <c r="M141" s="12"/>
      <c r="N141" s="13">
        <v>1947</v>
      </c>
      <c r="O141" s="12" t="s">
        <v>93</v>
      </c>
      <c r="P141" s="12"/>
      <c r="Q141" s="12"/>
      <c r="R141" s="12" t="s">
        <v>94</v>
      </c>
      <c r="S141" s="12">
        <v>10</v>
      </c>
      <c r="T141" s="12" t="s">
        <v>991</v>
      </c>
      <c r="U141" s="12" t="s">
        <v>992</v>
      </c>
      <c r="V141" s="12">
        <f>VLOOKUP(Tabla43[[#This Row],[ZONA DEFINITIVO]],Hoja1!$A$1:$D$129,3,0)</f>
        <v>229956</v>
      </c>
      <c r="W141" s="12">
        <f>VLOOKUP(Tabla43[[#This Row],[ZONA DEFINITIVO]],Hoja1!$A$1:$D$129,2,0)</f>
        <v>18583</v>
      </c>
      <c r="X141" s="12">
        <f>VLOOKUP(Tabla43[[#This Row],[ZONA DEFINITIVO]],Hoja1!$A$1:$D$129,4,0)</f>
        <v>116725</v>
      </c>
      <c r="Y141" s="12" t="str">
        <f>+IF(Tabla43[[#This Row],[AGRUPACIONES]]=1,SUMIFS(Tabla43[UDS],Tabla43[ZONA DEFINITIVO],Tabla43[[#This Row],[ZONA DEFINITIVO]])," ")</f>
        <v xml:space="preserve"> </v>
      </c>
      <c r="Z141" s="12" t="str">
        <f>+IF(Tabla43[[#This Row],[AGRUPACIONES]]=1,SUMIFS(Tabla43[TOTAL COBERTURA],Tabla43[ZONA DEFINITIVO],Tabla43[[#This Row],[ZONA DEFINITIVO]])," ")</f>
        <v xml:space="preserve"> </v>
      </c>
      <c r="AA141" s="12"/>
      <c r="AB141" s="51">
        <v>38452140</v>
      </c>
      <c r="AC141" s="37">
        <v>0.02</v>
      </c>
      <c r="AD141" s="38">
        <f>Tabla43[[#This Row],[VALOR ATENCIÓN (7 MESES)]]*Tabla43[[#This Row],[% CONTRAPARTIDA]]</f>
        <v>769042.8</v>
      </c>
      <c r="AE141" s="12"/>
      <c r="AF141" s="12">
        <f>COUNTIF($A$22:A141,A141)</f>
        <v>7</v>
      </c>
      <c r="AG141" s="51">
        <v>38452140</v>
      </c>
      <c r="AH141" s="38">
        <f>Tabla43[[#This Row],[VALOR CONTRAPARTIDA]]+Tabla43[[#This Row],[TOTAL APORTES ICBF]]</f>
        <v>39221182.799999997</v>
      </c>
      <c r="AI141" s="35" t="str">
        <f>+IF(Tabla43[[#This Row],[AGRUPACIONES]]=1,SUMIFS(Tabla43[TOTAL APORTES ICBF],Tabla43[ZONA DEFINITIVO],Tabla43[[#This Row],[ZONA DEFINITIVO]])," ")</f>
        <v xml:space="preserve"> </v>
      </c>
      <c r="AJ141" s="38"/>
      <c r="AK141" s="38"/>
      <c r="AL141" s="23"/>
      <c r="AM141" s="35">
        <f>VLOOKUP(Tabla43[[#This Row],[SERVICIO 2025]],$J$2:$V$16,5,0)*Tabla43[[#This Row],[TOTAL COBERTURA]]</f>
        <v>987520</v>
      </c>
      <c r="AN141" s="35">
        <f>VLOOKUP(Tabla43[[#This Row],[SERVICIO 2025]],$J$2:$V$16,6,0)*Tabla43[[#This Row],[TOTAL COBERTURA]]</f>
        <v>820580</v>
      </c>
      <c r="AO141" s="35">
        <f>VLOOKUP(Tabla43[[#This Row],[SERVICIO 2025]],$J$2:$V$16,8,0)*Tabla43[[#This Row],[TOTAL COBERTURA]]</f>
        <v>582000</v>
      </c>
      <c r="AP141" s="35">
        <f>VLOOKUP(Tabla43[[#This Row],[SERVICIO 2025]],$J$2:$V$16,3,0)*Tabla43[[#This Row],[TOTAL COBERTURA]]*7</f>
        <v>36062040</v>
      </c>
      <c r="AQ141" s="35"/>
      <c r="AR14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41" s="35" t="str">
        <f>+IF(Tabla43[[#This Row],[AGRUPACIONES]]=1,SUMIFS(Tabla43[VALOR TOTAL],Tabla43[ZONA DEFINITIVO],Tabla43[[#This Row],[ZONA DEFINITIVO]])," ")</f>
        <v xml:space="preserve"> </v>
      </c>
      <c r="AT14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41" s="35">
        <f>VLOOKUP(Tabla43[[#This Row],[SERVICIO 2025]],$J$2:$V$16,3,0)*Tabla43[[#This Row],[TOTAL COBERTURA]]+Tabla43[[#This Row],[VALOR RACION PREPARADA]]/7</f>
        <v>5151720</v>
      </c>
      <c r="AV141" s="35">
        <f>VLOOKUP(Tabla43[[#This Row],[SERVICIO 2025]],$J$2:$V$16,3,0)*Tabla43[[#This Row],[TOTAL COBERTURA]]+Tabla43[[#This Row],[VALOR RACION PREPARADA]]/7</f>
        <v>5151720</v>
      </c>
      <c r="AW141" s="35">
        <f>VLOOKUP(Tabla43[[#This Row],[SERVICIO 2025]],$J$2:$V$16,3,0)*Tabla43[[#This Row],[TOTAL COBERTURA]]+Tabla43[[#This Row],[VALOR RACION PREPARADA]]/7</f>
        <v>5151720</v>
      </c>
      <c r="AX141" s="35">
        <f>VLOOKUP(Tabla43[[#This Row],[SERVICIO 2025]],$J$2:$V$16,3,0)*Tabla43[[#This Row],[TOTAL COBERTURA]]+Tabla43[[#This Row],[VALOR RACION PREPARADA]]/7</f>
        <v>5151720</v>
      </c>
      <c r="AY141" s="35">
        <f>VLOOKUP(Tabla43[[#This Row],[SERVICIO 2025]],$J$2:$V$16,3,0)*Tabla43[[#This Row],[TOTAL COBERTURA]]+Tabla43[[#This Row],[VALOR RACION PREPARADA]]/7</f>
        <v>5151720</v>
      </c>
      <c r="AZ141" s="35">
        <f>VLOOKUP(Tabla43[[#This Row],[SERVICIO 2025]],$J$2:$V$16,3,0)*Tabla43[[#This Row],[TOTAL COBERTURA]]+Tabla43[[#This Row],[VALOR RACION PREPARADA]]/7+Tabla43[[#This Row],[VALOR FASE PREPARATORIA DE CIERRE]]</f>
        <v>5972300</v>
      </c>
      <c r="BA141" s="35"/>
      <c r="BB141" s="35">
        <f>SUM(Tabla43[[#This Row],[DESEMBOLSO 1]:[DESEMBOLSO 8]])</f>
        <v>38452140</v>
      </c>
      <c r="BC141" s="55">
        <f>VLOOKUP(Tabla43[[#This Row],[SERVICIO 2025]],$J$2:$V$16,10,0)*Tabla43[[#This Row],[TOTAL COBERTURA]]*$W$3</f>
        <v>28861280</v>
      </c>
      <c r="BD141" s="47" t="s">
        <v>211</v>
      </c>
      <c r="BE141" s="12" t="b">
        <f>EXACT(Tabla43[[#This Row],[TOTAL APORTES ICBF]],Tabla43[[#This Row],[VALOR TOTAL]])</f>
        <v>1</v>
      </c>
      <c r="BF141" s="23">
        <f>SUM(Tabla43[[#This Row],[VALOR FASE PREPARATORIA DE ALISTAMIENTO]:[VALOR RACION PREPARADA]])-Tabla43[[#This Row],[VALOR TOTAL]]</f>
        <v>0</v>
      </c>
      <c r="BG141" s="12" t="b">
        <f>EXACT(Tabla43[[#This Row],[VALOR TOTAL]],Tabla43[[#This Row],[TOTAL DESEMBOLSOS]])</f>
        <v>1</v>
      </c>
      <c r="BH141" s="29">
        <f>Tabla43[[#This Row],[TOTAL DESEMBOLSOS]]-Tabla43[[#This Row],[VALOR TOTAL]]</f>
        <v>0</v>
      </c>
      <c r="BJ141" t="s">
        <v>3924</v>
      </c>
    </row>
    <row r="142" spans="1:62" hidden="1">
      <c r="A142" s="13">
        <v>1947</v>
      </c>
      <c r="B142" s="13"/>
      <c r="C142" s="12" t="s">
        <v>87</v>
      </c>
      <c r="D142" s="12" t="s">
        <v>987</v>
      </c>
      <c r="E142" s="12" t="s">
        <v>1404</v>
      </c>
      <c r="F142" s="12" t="s">
        <v>18</v>
      </c>
      <c r="G142" s="12" t="s">
        <v>90</v>
      </c>
      <c r="H142" s="12" t="s">
        <v>4129</v>
      </c>
      <c r="I142" s="12">
        <v>52501150550</v>
      </c>
      <c r="J142" s="12" t="s">
        <v>4130</v>
      </c>
      <c r="K142" s="12">
        <v>1</v>
      </c>
      <c r="L142" s="12">
        <v>20</v>
      </c>
      <c r="M142" s="12"/>
      <c r="N142" s="13">
        <v>1947</v>
      </c>
      <c r="O142" s="12" t="s">
        <v>93</v>
      </c>
      <c r="P142" s="12"/>
      <c r="Q142" s="12"/>
      <c r="R142" s="12" t="s">
        <v>94</v>
      </c>
      <c r="S142" s="12">
        <v>10</v>
      </c>
      <c r="T142" s="12" t="s">
        <v>991</v>
      </c>
      <c r="U142" s="12" t="s">
        <v>992</v>
      </c>
      <c r="V142" s="12">
        <f>VLOOKUP(Tabla43[[#This Row],[ZONA DEFINITIVO]],Hoja1!$A$1:$D$129,3,0)</f>
        <v>229956</v>
      </c>
      <c r="W142" s="12">
        <f>VLOOKUP(Tabla43[[#This Row],[ZONA DEFINITIVO]],Hoja1!$A$1:$D$129,2,0)</f>
        <v>18583</v>
      </c>
      <c r="X142" s="12">
        <f>VLOOKUP(Tabla43[[#This Row],[ZONA DEFINITIVO]],Hoja1!$A$1:$D$129,4,0)</f>
        <v>116725</v>
      </c>
      <c r="Y142" s="12" t="str">
        <f>+IF(Tabla43[[#This Row],[AGRUPACIONES]]=1,SUMIFS(Tabla43[UDS],Tabla43[ZONA DEFINITIVO],Tabla43[[#This Row],[ZONA DEFINITIVO]])," ")</f>
        <v xml:space="preserve"> </v>
      </c>
      <c r="Z142" s="12" t="str">
        <f>+IF(Tabla43[[#This Row],[AGRUPACIONES]]=1,SUMIFS(Tabla43[TOTAL COBERTURA],Tabla43[ZONA DEFINITIVO],Tabla43[[#This Row],[ZONA DEFINITIVO]])," ")</f>
        <v xml:space="preserve"> </v>
      </c>
      <c r="AA142" s="12"/>
      <c r="AB142" s="51">
        <v>38452140</v>
      </c>
      <c r="AC142" s="37">
        <v>0.02</v>
      </c>
      <c r="AD142" s="38">
        <f>Tabla43[[#This Row],[VALOR ATENCIÓN (7 MESES)]]*Tabla43[[#This Row],[% CONTRAPARTIDA]]</f>
        <v>769042.8</v>
      </c>
      <c r="AE142" s="12"/>
      <c r="AF142" s="12">
        <f>COUNTIF($A$22:A142,A142)</f>
        <v>8</v>
      </c>
      <c r="AG142" s="51">
        <v>38452140</v>
      </c>
      <c r="AH142" s="38">
        <f>Tabla43[[#This Row],[VALOR CONTRAPARTIDA]]+Tabla43[[#This Row],[TOTAL APORTES ICBF]]</f>
        <v>39221182.799999997</v>
      </c>
      <c r="AI142" s="35" t="str">
        <f>+IF(Tabla43[[#This Row],[AGRUPACIONES]]=1,SUMIFS(Tabla43[TOTAL APORTES ICBF],Tabla43[ZONA DEFINITIVO],Tabla43[[#This Row],[ZONA DEFINITIVO]])," ")</f>
        <v xml:space="preserve"> </v>
      </c>
      <c r="AJ142" s="38"/>
      <c r="AK142" s="38"/>
      <c r="AL142" s="23"/>
      <c r="AM142" s="35">
        <f>VLOOKUP(Tabla43[[#This Row],[SERVICIO 2025]],$J$2:$V$16,5,0)*Tabla43[[#This Row],[TOTAL COBERTURA]]</f>
        <v>987520</v>
      </c>
      <c r="AN142" s="35">
        <f>VLOOKUP(Tabla43[[#This Row],[SERVICIO 2025]],$J$2:$V$16,6,0)*Tabla43[[#This Row],[TOTAL COBERTURA]]</f>
        <v>820580</v>
      </c>
      <c r="AO142" s="35">
        <f>VLOOKUP(Tabla43[[#This Row],[SERVICIO 2025]],$J$2:$V$16,8,0)*Tabla43[[#This Row],[TOTAL COBERTURA]]</f>
        <v>582000</v>
      </c>
      <c r="AP142" s="35">
        <f>VLOOKUP(Tabla43[[#This Row],[SERVICIO 2025]],$J$2:$V$16,3,0)*Tabla43[[#This Row],[TOTAL COBERTURA]]*7</f>
        <v>36062040</v>
      </c>
      <c r="AQ142" s="35"/>
      <c r="AR14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42" s="35" t="str">
        <f>+IF(Tabla43[[#This Row],[AGRUPACIONES]]=1,SUMIFS(Tabla43[VALOR TOTAL],Tabla43[ZONA DEFINITIVO],Tabla43[[#This Row],[ZONA DEFINITIVO]])," ")</f>
        <v xml:space="preserve"> </v>
      </c>
      <c r="AT14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42" s="35">
        <f>VLOOKUP(Tabla43[[#This Row],[SERVICIO 2025]],$J$2:$V$16,3,0)*Tabla43[[#This Row],[TOTAL COBERTURA]]+Tabla43[[#This Row],[VALOR RACION PREPARADA]]/7</f>
        <v>5151720</v>
      </c>
      <c r="AV142" s="35">
        <f>VLOOKUP(Tabla43[[#This Row],[SERVICIO 2025]],$J$2:$V$16,3,0)*Tabla43[[#This Row],[TOTAL COBERTURA]]+Tabla43[[#This Row],[VALOR RACION PREPARADA]]/7</f>
        <v>5151720</v>
      </c>
      <c r="AW142" s="35">
        <f>VLOOKUP(Tabla43[[#This Row],[SERVICIO 2025]],$J$2:$V$16,3,0)*Tabla43[[#This Row],[TOTAL COBERTURA]]+Tabla43[[#This Row],[VALOR RACION PREPARADA]]/7</f>
        <v>5151720</v>
      </c>
      <c r="AX142" s="35">
        <f>VLOOKUP(Tabla43[[#This Row],[SERVICIO 2025]],$J$2:$V$16,3,0)*Tabla43[[#This Row],[TOTAL COBERTURA]]+Tabla43[[#This Row],[VALOR RACION PREPARADA]]/7</f>
        <v>5151720</v>
      </c>
      <c r="AY142" s="35">
        <f>VLOOKUP(Tabla43[[#This Row],[SERVICIO 2025]],$J$2:$V$16,3,0)*Tabla43[[#This Row],[TOTAL COBERTURA]]+Tabla43[[#This Row],[VALOR RACION PREPARADA]]/7</f>
        <v>5151720</v>
      </c>
      <c r="AZ142" s="35">
        <f>VLOOKUP(Tabla43[[#This Row],[SERVICIO 2025]],$J$2:$V$16,3,0)*Tabla43[[#This Row],[TOTAL COBERTURA]]+Tabla43[[#This Row],[VALOR RACION PREPARADA]]/7+Tabla43[[#This Row],[VALOR FASE PREPARATORIA DE CIERRE]]</f>
        <v>5972300</v>
      </c>
      <c r="BA142" s="35"/>
      <c r="BB142" s="35">
        <f>SUM(Tabla43[[#This Row],[DESEMBOLSO 1]:[DESEMBOLSO 8]])</f>
        <v>38452140</v>
      </c>
      <c r="BC142" s="55">
        <f>VLOOKUP(Tabla43[[#This Row],[SERVICIO 2025]],$J$2:$V$16,10,0)*Tabla43[[#This Row],[TOTAL COBERTURA]]*$W$3</f>
        <v>28861280</v>
      </c>
      <c r="BD142" s="47" t="s">
        <v>211</v>
      </c>
      <c r="BE142" s="12" t="b">
        <f>EXACT(Tabla43[[#This Row],[TOTAL APORTES ICBF]],Tabla43[[#This Row],[VALOR TOTAL]])</f>
        <v>1</v>
      </c>
      <c r="BF142" s="23">
        <f>SUM(Tabla43[[#This Row],[VALOR FASE PREPARATORIA DE ALISTAMIENTO]:[VALOR RACION PREPARADA]])-Tabla43[[#This Row],[VALOR TOTAL]]</f>
        <v>0</v>
      </c>
      <c r="BG142" s="12" t="b">
        <f>EXACT(Tabla43[[#This Row],[VALOR TOTAL]],Tabla43[[#This Row],[TOTAL DESEMBOLSOS]])</f>
        <v>1</v>
      </c>
      <c r="BH142" s="29">
        <f>Tabla43[[#This Row],[TOTAL DESEMBOLSOS]]-Tabla43[[#This Row],[VALOR TOTAL]]</f>
        <v>0</v>
      </c>
      <c r="BJ142" t="s">
        <v>3924</v>
      </c>
    </row>
    <row r="143" spans="1:62" hidden="1">
      <c r="A143" s="13">
        <v>1947</v>
      </c>
      <c r="B143" s="13"/>
      <c r="C143" s="12" t="s">
        <v>87</v>
      </c>
      <c r="D143" s="12" t="s">
        <v>987</v>
      </c>
      <c r="E143" s="12" t="s">
        <v>1404</v>
      </c>
      <c r="F143" s="12" t="s">
        <v>18</v>
      </c>
      <c r="G143" s="12" t="s">
        <v>90</v>
      </c>
      <c r="H143" s="12" t="s">
        <v>4131</v>
      </c>
      <c r="I143" s="12">
        <v>52501150551</v>
      </c>
      <c r="J143" s="12" t="s">
        <v>4132</v>
      </c>
      <c r="K143" s="12">
        <v>1</v>
      </c>
      <c r="L143" s="12">
        <v>20</v>
      </c>
      <c r="M143" s="12"/>
      <c r="N143" s="13">
        <v>1947</v>
      </c>
      <c r="O143" s="12" t="s">
        <v>93</v>
      </c>
      <c r="P143" s="12"/>
      <c r="Q143" s="12"/>
      <c r="R143" s="12" t="s">
        <v>94</v>
      </c>
      <c r="S143" s="12">
        <v>10</v>
      </c>
      <c r="T143" s="12" t="s">
        <v>991</v>
      </c>
      <c r="U143" s="12" t="s">
        <v>992</v>
      </c>
      <c r="V143" s="12">
        <f>VLOOKUP(Tabla43[[#This Row],[ZONA DEFINITIVO]],Hoja1!$A$1:$D$129,3,0)</f>
        <v>229956</v>
      </c>
      <c r="W143" s="12">
        <f>VLOOKUP(Tabla43[[#This Row],[ZONA DEFINITIVO]],Hoja1!$A$1:$D$129,2,0)</f>
        <v>18583</v>
      </c>
      <c r="X143" s="12">
        <f>VLOOKUP(Tabla43[[#This Row],[ZONA DEFINITIVO]],Hoja1!$A$1:$D$129,4,0)</f>
        <v>116725</v>
      </c>
      <c r="Y143" s="12" t="str">
        <f>+IF(Tabla43[[#This Row],[AGRUPACIONES]]=1,SUMIFS(Tabla43[UDS],Tabla43[ZONA DEFINITIVO],Tabla43[[#This Row],[ZONA DEFINITIVO]])," ")</f>
        <v xml:space="preserve"> </v>
      </c>
      <c r="Z143" s="12" t="str">
        <f>+IF(Tabla43[[#This Row],[AGRUPACIONES]]=1,SUMIFS(Tabla43[TOTAL COBERTURA],Tabla43[ZONA DEFINITIVO],Tabla43[[#This Row],[ZONA DEFINITIVO]])," ")</f>
        <v xml:space="preserve"> </v>
      </c>
      <c r="AA143" s="12"/>
      <c r="AB143" s="51">
        <v>38452140</v>
      </c>
      <c r="AC143" s="37">
        <v>0.02</v>
      </c>
      <c r="AD143" s="38">
        <f>Tabla43[[#This Row],[VALOR ATENCIÓN (7 MESES)]]*Tabla43[[#This Row],[% CONTRAPARTIDA]]</f>
        <v>769042.8</v>
      </c>
      <c r="AE143" s="12"/>
      <c r="AF143" s="12">
        <f>COUNTIF($A$22:A143,A143)</f>
        <v>9</v>
      </c>
      <c r="AG143" s="51">
        <v>38452140</v>
      </c>
      <c r="AH143" s="38">
        <f>Tabla43[[#This Row],[VALOR CONTRAPARTIDA]]+Tabla43[[#This Row],[TOTAL APORTES ICBF]]</f>
        <v>39221182.799999997</v>
      </c>
      <c r="AI143" s="35" t="str">
        <f>+IF(Tabla43[[#This Row],[AGRUPACIONES]]=1,SUMIFS(Tabla43[TOTAL APORTES ICBF],Tabla43[ZONA DEFINITIVO],Tabla43[[#This Row],[ZONA DEFINITIVO]])," ")</f>
        <v xml:space="preserve"> </v>
      </c>
      <c r="AJ143" s="38"/>
      <c r="AK143" s="38"/>
      <c r="AL143" s="23"/>
      <c r="AM143" s="35">
        <f>VLOOKUP(Tabla43[[#This Row],[SERVICIO 2025]],$J$2:$V$16,5,0)*Tabla43[[#This Row],[TOTAL COBERTURA]]</f>
        <v>987520</v>
      </c>
      <c r="AN143" s="35">
        <f>VLOOKUP(Tabla43[[#This Row],[SERVICIO 2025]],$J$2:$V$16,6,0)*Tabla43[[#This Row],[TOTAL COBERTURA]]</f>
        <v>820580</v>
      </c>
      <c r="AO143" s="35">
        <f>VLOOKUP(Tabla43[[#This Row],[SERVICIO 2025]],$J$2:$V$16,8,0)*Tabla43[[#This Row],[TOTAL COBERTURA]]</f>
        <v>582000</v>
      </c>
      <c r="AP143" s="35">
        <f>VLOOKUP(Tabla43[[#This Row],[SERVICIO 2025]],$J$2:$V$16,3,0)*Tabla43[[#This Row],[TOTAL COBERTURA]]*7</f>
        <v>36062040</v>
      </c>
      <c r="AQ143" s="35"/>
      <c r="AR14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43" s="35" t="str">
        <f>+IF(Tabla43[[#This Row],[AGRUPACIONES]]=1,SUMIFS(Tabla43[VALOR TOTAL],Tabla43[ZONA DEFINITIVO],Tabla43[[#This Row],[ZONA DEFINITIVO]])," ")</f>
        <v xml:space="preserve"> </v>
      </c>
      <c r="AT14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43" s="35">
        <f>VLOOKUP(Tabla43[[#This Row],[SERVICIO 2025]],$J$2:$V$16,3,0)*Tabla43[[#This Row],[TOTAL COBERTURA]]+Tabla43[[#This Row],[VALOR RACION PREPARADA]]/7</f>
        <v>5151720</v>
      </c>
      <c r="AV143" s="35">
        <f>VLOOKUP(Tabla43[[#This Row],[SERVICIO 2025]],$J$2:$V$16,3,0)*Tabla43[[#This Row],[TOTAL COBERTURA]]+Tabla43[[#This Row],[VALOR RACION PREPARADA]]/7</f>
        <v>5151720</v>
      </c>
      <c r="AW143" s="35">
        <f>VLOOKUP(Tabla43[[#This Row],[SERVICIO 2025]],$J$2:$V$16,3,0)*Tabla43[[#This Row],[TOTAL COBERTURA]]+Tabla43[[#This Row],[VALOR RACION PREPARADA]]/7</f>
        <v>5151720</v>
      </c>
      <c r="AX143" s="35">
        <f>VLOOKUP(Tabla43[[#This Row],[SERVICIO 2025]],$J$2:$V$16,3,0)*Tabla43[[#This Row],[TOTAL COBERTURA]]+Tabla43[[#This Row],[VALOR RACION PREPARADA]]/7</f>
        <v>5151720</v>
      </c>
      <c r="AY143" s="35">
        <f>VLOOKUP(Tabla43[[#This Row],[SERVICIO 2025]],$J$2:$V$16,3,0)*Tabla43[[#This Row],[TOTAL COBERTURA]]+Tabla43[[#This Row],[VALOR RACION PREPARADA]]/7</f>
        <v>5151720</v>
      </c>
      <c r="AZ143" s="35">
        <f>VLOOKUP(Tabla43[[#This Row],[SERVICIO 2025]],$J$2:$V$16,3,0)*Tabla43[[#This Row],[TOTAL COBERTURA]]+Tabla43[[#This Row],[VALOR RACION PREPARADA]]/7+Tabla43[[#This Row],[VALOR FASE PREPARATORIA DE CIERRE]]</f>
        <v>5972300</v>
      </c>
      <c r="BA143" s="35"/>
      <c r="BB143" s="35">
        <f>SUM(Tabla43[[#This Row],[DESEMBOLSO 1]:[DESEMBOLSO 8]])</f>
        <v>38452140</v>
      </c>
      <c r="BC143" s="55">
        <f>VLOOKUP(Tabla43[[#This Row],[SERVICIO 2025]],$J$2:$V$16,10,0)*Tabla43[[#This Row],[TOTAL COBERTURA]]*$W$3</f>
        <v>28861280</v>
      </c>
      <c r="BD143" s="47" t="s">
        <v>211</v>
      </c>
      <c r="BE143" s="12" t="b">
        <f>EXACT(Tabla43[[#This Row],[TOTAL APORTES ICBF]],Tabla43[[#This Row],[VALOR TOTAL]])</f>
        <v>1</v>
      </c>
      <c r="BF143" s="23">
        <f>SUM(Tabla43[[#This Row],[VALOR FASE PREPARATORIA DE ALISTAMIENTO]:[VALOR RACION PREPARADA]])-Tabla43[[#This Row],[VALOR TOTAL]]</f>
        <v>0</v>
      </c>
      <c r="BG143" s="12" t="b">
        <f>EXACT(Tabla43[[#This Row],[VALOR TOTAL]],Tabla43[[#This Row],[TOTAL DESEMBOLSOS]])</f>
        <v>1</v>
      </c>
      <c r="BH143" s="29">
        <f>Tabla43[[#This Row],[TOTAL DESEMBOLSOS]]-Tabla43[[#This Row],[VALOR TOTAL]]</f>
        <v>0</v>
      </c>
      <c r="BJ143" t="s">
        <v>3924</v>
      </c>
    </row>
    <row r="144" spans="1:62" hidden="1">
      <c r="A144" s="13">
        <v>1947</v>
      </c>
      <c r="B144" s="13"/>
      <c r="C144" s="12" t="s">
        <v>87</v>
      </c>
      <c r="D144" s="12" t="s">
        <v>987</v>
      </c>
      <c r="E144" s="12" t="s">
        <v>1404</v>
      </c>
      <c r="F144" s="12" t="s">
        <v>18</v>
      </c>
      <c r="G144" s="12" t="s">
        <v>90</v>
      </c>
      <c r="H144" s="12" t="s">
        <v>4133</v>
      </c>
      <c r="I144" s="12">
        <v>52501150552</v>
      </c>
      <c r="J144" s="12" t="s">
        <v>4134</v>
      </c>
      <c r="K144" s="12">
        <v>1</v>
      </c>
      <c r="L144" s="12">
        <v>20</v>
      </c>
      <c r="M144" s="12"/>
      <c r="N144" s="13">
        <v>1947</v>
      </c>
      <c r="O144" s="12" t="s">
        <v>93</v>
      </c>
      <c r="P144" s="12"/>
      <c r="Q144" s="12"/>
      <c r="R144" s="12" t="s">
        <v>94</v>
      </c>
      <c r="S144" s="12">
        <v>10</v>
      </c>
      <c r="T144" s="12" t="s">
        <v>991</v>
      </c>
      <c r="U144" s="12" t="s">
        <v>992</v>
      </c>
      <c r="V144" s="12">
        <f>VLOOKUP(Tabla43[[#This Row],[ZONA DEFINITIVO]],Hoja1!$A$1:$D$129,3,0)</f>
        <v>229956</v>
      </c>
      <c r="W144" s="12">
        <f>VLOOKUP(Tabla43[[#This Row],[ZONA DEFINITIVO]],Hoja1!$A$1:$D$129,2,0)</f>
        <v>18583</v>
      </c>
      <c r="X144" s="12">
        <f>VLOOKUP(Tabla43[[#This Row],[ZONA DEFINITIVO]],Hoja1!$A$1:$D$129,4,0)</f>
        <v>116725</v>
      </c>
      <c r="Y144" s="12" t="str">
        <f>+IF(Tabla43[[#This Row],[AGRUPACIONES]]=1,SUMIFS(Tabla43[UDS],Tabla43[ZONA DEFINITIVO],Tabla43[[#This Row],[ZONA DEFINITIVO]])," ")</f>
        <v xml:space="preserve"> </v>
      </c>
      <c r="Z144" s="12" t="str">
        <f>+IF(Tabla43[[#This Row],[AGRUPACIONES]]=1,SUMIFS(Tabla43[TOTAL COBERTURA],Tabla43[ZONA DEFINITIVO],Tabla43[[#This Row],[ZONA DEFINITIVO]])," ")</f>
        <v xml:space="preserve"> </v>
      </c>
      <c r="AA144" s="12"/>
      <c r="AB144" s="51">
        <v>38452140</v>
      </c>
      <c r="AC144" s="37">
        <v>0.02</v>
      </c>
      <c r="AD144" s="38">
        <f>Tabla43[[#This Row],[VALOR ATENCIÓN (7 MESES)]]*Tabla43[[#This Row],[% CONTRAPARTIDA]]</f>
        <v>769042.8</v>
      </c>
      <c r="AE144" s="12"/>
      <c r="AF144" s="12">
        <f>COUNTIF($A$22:A144,A144)</f>
        <v>10</v>
      </c>
      <c r="AG144" s="51">
        <v>38452140</v>
      </c>
      <c r="AH144" s="38">
        <f>Tabla43[[#This Row],[VALOR CONTRAPARTIDA]]+Tabla43[[#This Row],[TOTAL APORTES ICBF]]</f>
        <v>39221182.799999997</v>
      </c>
      <c r="AI144" s="35" t="str">
        <f>+IF(Tabla43[[#This Row],[AGRUPACIONES]]=1,SUMIFS(Tabla43[TOTAL APORTES ICBF],Tabla43[ZONA DEFINITIVO],Tabla43[[#This Row],[ZONA DEFINITIVO]])," ")</f>
        <v xml:space="preserve"> </v>
      </c>
      <c r="AJ144" s="38"/>
      <c r="AK144" s="38"/>
      <c r="AL144" s="23"/>
      <c r="AM144" s="35">
        <f>VLOOKUP(Tabla43[[#This Row],[SERVICIO 2025]],$J$2:$V$16,5,0)*Tabla43[[#This Row],[TOTAL COBERTURA]]</f>
        <v>987520</v>
      </c>
      <c r="AN144" s="35">
        <f>VLOOKUP(Tabla43[[#This Row],[SERVICIO 2025]],$J$2:$V$16,6,0)*Tabla43[[#This Row],[TOTAL COBERTURA]]</f>
        <v>820580</v>
      </c>
      <c r="AO144" s="35">
        <f>VLOOKUP(Tabla43[[#This Row],[SERVICIO 2025]],$J$2:$V$16,8,0)*Tabla43[[#This Row],[TOTAL COBERTURA]]</f>
        <v>582000</v>
      </c>
      <c r="AP144" s="35">
        <f>VLOOKUP(Tabla43[[#This Row],[SERVICIO 2025]],$J$2:$V$16,3,0)*Tabla43[[#This Row],[TOTAL COBERTURA]]*7</f>
        <v>36062040</v>
      </c>
      <c r="AQ144" s="35"/>
      <c r="AR14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44" s="35" t="str">
        <f>+IF(Tabla43[[#This Row],[AGRUPACIONES]]=1,SUMIFS(Tabla43[VALOR TOTAL],Tabla43[ZONA DEFINITIVO],Tabla43[[#This Row],[ZONA DEFINITIVO]])," ")</f>
        <v xml:space="preserve"> </v>
      </c>
      <c r="AT14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44" s="35">
        <f>VLOOKUP(Tabla43[[#This Row],[SERVICIO 2025]],$J$2:$V$16,3,0)*Tabla43[[#This Row],[TOTAL COBERTURA]]+Tabla43[[#This Row],[VALOR RACION PREPARADA]]/7</f>
        <v>5151720</v>
      </c>
      <c r="AV144" s="35">
        <f>VLOOKUP(Tabla43[[#This Row],[SERVICIO 2025]],$J$2:$V$16,3,0)*Tabla43[[#This Row],[TOTAL COBERTURA]]+Tabla43[[#This Row],[VALOR RACION PREPARADA]]/7</f>
        <v>5151720</v>
      </c>
      <c r="AW144" s="35">
        <f>VLOOKUP(Tabla43[[#This Row],[SERVICIO 2025]],$J$2:$V$16,3,0)*Tabla43[[#This Row],[TOTAL COBERTURA]]+Tabla43[[#This Row],[VALOR RACION PREPARADA]]/7</f>
        <v>5151720</v>
      </c>
      <c r="AX144" s="35">
        <f>VLOOKUP(Tabla43[[#This Row],[SERVICIO 2025]],$J$2:$V$16,3,0)*Tabla43[[#This Row],[TOTAL COBERTURA]]+Tabla43[[#This Row],[VALOR RACION PREPARADA]]/7</f>
        <v>5151720</v>
      </c>
      <c r="AY144" s="35">
        <f>VLOOKUP(Tabla43[[#This Row],[SERVICIO 2025]],$J$2:$V$16,3,0)*Tabla43[[#This Row],[TOTAL COBERTURA]]+Tabla43[[#This Row],[VALOR RACION PREPARADA]]/7</f>
        <v>5151720</v>
      </c>
      <c r="AZ144" s="35">
        <f>VLOOKUP(Tabla43[[#This Row],[SERVICIO 2025]],$J$2:$V$16,3,0)*Tabla43[[#This Row],[TOTAL COBERTURA]]+Tabla43[[#This Row],[VALOR RACION PREPARADA]]/7+Tabla43[[#This Row],[VALOR FASE PREPARATORIA DE CIERRE]]</f>
        <v>5972300</v>
      </c>
      <c r="BA144" s="35"/>
      <c r="BB144" s="35">
        <f>SUM(Tabla43[[#This Row],[DESEMBOLSO 1]:[DESEMBOLSO 8]])</f>
        <v>38452140</v>
      </c>
      <c r="BC144" s="55">
        <f>VLOOKUP(Tabla43[[#This Row],[SERVICIO 2025]],$J$2:$V$16,10,0)*Tabla43[[#This Row],[TOTAL COBERTURA]]*$W$3</f>
        <v>28861280</v>
      </c>
      <c r="BD144" s="47" t="s">
        <v>211</v>
      </c>
      <c r="BE144" s="12" t="b">
        <f>EXACT(Tabla43[[#This Row],[TOTAL APORTES ICBF]],Tabla43[[#This Row],[VALOR TOTAL]])</f>
        <v>1</v>
      </c>
      <c r="BF144" s="23">
        <f>SUM(Tabla43[[#This Row],[VALOR FASE PREPARATORIA DE ALISTAMIENTO]:[VALOR RACION PREPARADA]])-Tabla43[[#This Row],[VALOR TOTAL]]</f>
        <v>0</v>
      </c>
      <c r="BG144" s="12" t="b">
        <f>EXACT(Tabla43[[#This Row],[VALOR TOTAL]],Tabla43[[#This Row],[TOTAL DESEMBOLSOS]])</f>
        <v>1</v>
      </c>
      <c r="BH144" s="29">
        <f>Tabla43[[#This Row],[TOTAL DESEMBOLSOS]]-Tabla43[[#This Row],[VALOR TOTAL]]</f>
        <v>0</v>
      </c>
      <c r="BJ144" t="s">
        <v>3924</v>
      </c>
    </row>
    <row r="145" spans="1:62" hidden="1">
      <c r="A145" s="13">
        <v>1947</v>
      </c>
      <c r="B145" s="13"/>
      <c r="C145" s="12" t="s">
        <v>87</v>
      </c>
      <c r="D145" s="12" t="s">
        <v>987</v>
      </c>
      <c r="E145" s="12" t="s">
        <v>1404</v>
      </c>
      <c r="F145" s="12" t="s">
        <v>18</v>
      </c>
      <c r="G145" s="12" t="s">
        <v>90</v>
      </c>
      <c r="H145" s="12" t="s">
        <v>1446</v>
      </c>
      <c r="I145" s="12">
        <v>52501150589</v>
      </c>
      <c r="J145" s="12" t="s">
        <v>4135</v>
      </c>
      <c r="K145" s="12">
        <v>1</v>
      </c>
      <c r="L145" s="12">
        <v>20</v>
      </c>
      <c r="M145" s="12"/>
      <c r="N145" s="13">
        <v>1947</v>
      </c>
      <c r="O145" s="12" t="s">
        <v>93</v>
      </c>
      <c r="P145" s="12"/>
      <c r="Q145" s="12"/>
      <c r="R145" s="12" t="s">
        <v>94</v>
      </c>
      <c r="S145" s="12">
        <v>10</v>
      </c>
      <c r="T145" s="12" t="s">
        <v>991</v>
      </c>
      <c r="U145" s="12" t="s">
        <v>992</v>
      </c>
      <c r="V145" s="12">
        <f>VLOOKUP(Tabla43[[#This Row],[ZONA DEFINITIVO]],Hoja1!$A$1:$D$129,3,0)</f>
        <v>229956</v>
      </c>
      <c r="W145" s="12">
        <f>VLOOKUP(Tabla43[[#This Row],[ZONA DEFINITIVO]],Hoja1!$A$1:$D$129,2,0)</f>
        <v>18583</v>
      </c>
      <c r="X145" s="12">
        <f>VLOOKUP(Tabla43[[#This Row],[ZONA DEFINITIVO]],Hoja1!$A$1:$D$129,4,0)</f>
        <v>116725</v>
      </c>
      <c r="Y145" s="12" t="str">
        <f>+IF(Tabla43[[#This Row],[AGRUPACIONES]]=1,SUMIFS(Tabla43[UDS],Tabla43[ZONA DEFINITIVO],Tabla43[[#This Row],[ZONA DEFINITIVO]])," ")</f>
        <v xml:space="preserve"> </v>
      </c>
      <c r="Z145" s="12" t="str">
        <f>+IF(Tabla43[[#This Row],[AGRUPACIONES]]=1,SUMIFS(Tabla43[TOTAL COBERTURA],Tabla43[ZONA DEFINITIVO],Tabla43[[#This Row],[ZONA DEFINITIVO]])," ")</f>
        <v xml:space="preserve"> </v>
      </c>
      <c r="AA145" s="12"/>
      <c r="AB145" s="51">
        <v>38452140</v>
      </c>
      <c r="AC145" s="37">
        <v>0.02</v>
      </c>
      <c r="AD145" s="38">
        <f>Tabla43[[#This Row],[VALOR ATENCIÓN (7 MESES)]]*Tabla43[[#This Row],[% CONTRAPARTIDA]]</f>
        <v>769042.8</v>
      </c>
      <c r="AE145" s="12"/>
      <c r="AF145" s="12">
        <f>COUNTIF($A$22:A145,A145)</f>
        <v>11</v>
      </c>
      <c r="AG145" s="51">
        <v>38452140</v>
      </c>
      <c r="AH145" s="38">
        <f>Tabla43[[#This Row],[VALOR CONTRAPARTIDA]]+Tabla43[[#This Row],[TOTAL APORTES ICBF]]</f>
        <v>39221182.799999997</v>
      </c>
      <c r="AI145" s="35" t="str">
        <f>+IF(Tabla43[[#This Row],[AGRUPACIONES]]=1,SUMIFS(Tabla43[TOTAL APORTES ICBF],Tabla43[ZONA DEFINITIVO],Tabla43[[#This Row],[ZONA DEFINITIVO]])," ")</f>
        <v xml:space="preserve"> </v>
      </c>
      <c r="AJ145" s="38"/>
      <c r="AK145" s="38"/>
      <c r="AL145" s="23"/>
      <c r="AM145" s="35">
        <f>VLOOKUP(Tabla43[[#This Row],[SERVICIO 2025]],$J$2:$V$16,5,0)*Tabla43[[#This Row],[TOTAL COBERTURA]]</f>
        <v>987520</v>
      </c>
      <c r="AN145" s="35">
        <f>VLOOKUP(Tabla43[[#This Row],[SERVICIO 2025]],$J$2:$V$16,6,0)*Tabla43[[#This Row],[TOTAL COBERTURA]]</f>
        <v>820580</v>
      </c>
      <c r="AO145" s="35">
        <f>VLOOKUP(Tabla43[[#This Row],[SERVICIO 2025]],$J$2:$V$16,8,0)*Tabla43[[#This Row],[TOTAL COBERTURA]]</f>
        <v>582000</v>
      </c>
      <c r="AP145" s="35">
        <f>VLOOKUP(Tabla43[[#This Row],[SERVICIO 2025]],$J$2:$V$16,3,0)*Tabla43[[#This Row],[TOTAL COBERTURA]]*7</f>
        <v>36062040</v>
      </c>
      <c r="AQ145" s="35"/>
      <c r="AR14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45" s="35" t="str">
        <f>+IF(Tabla43[[#This Row],[AGRUPACIONES]]=1,SUMIFS(Tabla43[VALOR TOTAL],Tabla43[ZONA DEFINITIVO],Tabla43[[#This Row],[ZONA DEFINITIVO]])," ")</f>
        <v xml:space="preserve"> </v>
      </c>
      <c r="AT14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45" s="35">
        <f>VLOOKUP(Tabla43[[#This Row],[SERVICIO 2025]],$J$2:$V$16,3,0)*Tabla43[[#This Row],[TOTAL COBERTURA]]+Tabla43[[#This Row],[VALOR RACION PREPARADA]]/7</f>
        <v>5151720</v>
      </c>
      <c r="AV145" s="35">
        <f>VLOOKUP(Tabla43[[#This Row],[SERVICIO 2025]],$J$2:$V$16,3,0)*Tabla43[[#This Row],[TOTAL COBERTURA]]+Tabla43[[#This Row],[VALOR RACION PREPARADA]]/7</f>
        <v>5151720</v>
      </c>
      <c r="AW145" s="35">
        <f>VLOOKUP(Tabla43[[#This Row],[SERVICIO 2025]],$J$2:$V$16,3,0)*Tabla43[[#This Row],[TOTAL COBERTURA]]+Tabla43[[#This Row],[VALOR RACION PREPARADA]]/7</f>
        <v>5151720</v>
      </c>
      <c r="AX145" s="35">
        <f>VLOOKUP(Tabla43[[#This Row],[SERVICIO 2025]],$J$2:$V$16,3,0)*Tabla43[[#This Row],[TOTAL COBERTURA]]+Tabla43[[#This Row],[VALOR RACION PREPARADA]]/7</f>
        <v>5151720</v>
      </c>
      <c r="AY145" s="35">
        <f>VLOOKUP(Tabla43[[#This Row],[SERVICIO 2025]],$J$2:$V$16,3,0)*Tabla43[[#This Row],[TOTAL COBERTURA]]+Tabla43[[#This Row],[VALOR RACION PREPARADA]]/7</f>
        <v>5151720</v>
      </c>
      <c r="AZ145" s="35">
        <f>VLOOKUP(Tabla43[[#This Row],[SERVICIO 2025]],$J$2:$V$16,3,0)*Tabla43[[#This Row],[TOTAL COBERTURA]]+Tabla43[[#This Row],[VALOR RACION PREPARADA]]/7+Tabla43[[#This Row],[VALOR FASE PREPARATORIA DE CIERRE]]</f>
        <v>5972300</v>
      </c>
      <c r="BA145" s="35"/>
      <c r="BB145" s="35">
        <f>SUM(Tabla43[[#This Row],[DESEMBOLSO 1]:[DESEMBOLSO 8]])</f>
        <v>38452140</v>
      </c>
      <c r="BC145" s="55">
        <f>VLOOKUP(Tabla43[[#This Row],[SERVICIO 2025]],$J$2:$V$16,10,0)*Tabla43[[#This Row],[TOTAL COBERTURA]]*$W$3</f>
        <v>28861280</v>
      </c>
      <c r="BD145" s="47" t="s">
        <v>211</v>
      </c>
      <c r="BE145" s="12" t="b">
        <f>EXACT(Tabla43[[#This Row],[TOTAL APORTES ICBF]],Tabla43[[#This Row],[VALOR TOTAL]])</f>
        <v>1</v>
      </c>
      <c r="BF145" s="23">
        <f>SUM(Tabla43[[#This Row],[VALOR FASE PREPARATORIA DE ALISTAMIENTO]:[VALOR RACION PREPARADA]])-Tabla43[[#This Row],[VALOR TOTAL]]</f>
        <v>0</v>
      </c>
      <c r="BG145" s="12" t="b">
        <f>EXACT(Tabla43[[#This Row],[VALOR TOTAL]],Tabla43[[#This Row],[TOTAL DESEMBOLSOS]])</f>
        <v>1</v>
      </c>
      <c r="BH145" s="29">
        <f>Tabla43[[#This Row],[TOTAL DESEMBOLSOS]]-Tabla43[[#This Row],[VALOR TOTAL]]</f>
        <v>0</v>
      </c>
      <c r="BJ145" t="s">
        <v>3924</v>
      </c>
    </row>
    <row r="146" spans="1:62" hidden="1">
      <c r="A146" s="13">
        <v>1947</v>
      </c>
      <c r="B146" s="13"/>
      <c r="C146" s="12" t="s">
        <v>87</v>
      </c>
      <c r="D146" s="12" t="s">
        <v>987</v>
      </c>
      <c r="E146" s="12" t="s">
        <v>1404</v>
      </c>
      <c r="F146" s="12" t="s">
        <v>18</v>
      </c>
      <c r="G146" s="12" t="s">
        <v>90</v>
      </c>
      <c r="H146" s="12" t="s">
        <v>1449</v>
      </c>
      <c r="I146" s="12">
        <v>52501150590</v>
      </c>
      <c r="J146" s="12" t="s">
        <v>4136</v>
      </c>
      <c r="K146" s="12">
        <v>1</v>
      </c>
      <c r="L146" s="12">
        <v>20</v>
      </c>
      <c r="M146" s="12"/>
      <c r="N146" s="13">
        <v>1947</v>
      </c>
      <c r="O146" s="12" t="s">
        <v>93</v>
      </c>
      <c r="P146" s="12"/>
      <c r="Q146" s="12"/>
      <c r="R146" s="12" t="s">
        <v>94</v>
      </c>
      <c r="S146" s="12">
        <v>10</v>
      </c>
      <c r="T146" s="12" t="s">
        <v>991</v>
      </c>
      <c r="U146" s="12" t="s">
        <v>992</v>
      </c>
      <c r="V146" s="12">
        <f>VLOOKUP(Tabla43[[#This Row],[ZONA DEFINITIVO]],Hoja1!$A$1:$D$129,3,0)</f>
        <v>229956</v>
      </c>
      <c r="W146" s="12">
        <f>VLOOKUP(Tabla43[[#This Row],[ZONA DEFINITIVO]],Hoja1!$A$1:$D$129,2,0)</f>
        <v>18583</v>
      </c>
      <c r="X146" s="12">
        <f>VLOOKUP(Tabla43[[#This Row],[ZONA DEFINITIVO]],Hoja1!$A$1:$D$129,4,0)</f>
        <v>116725</v>
      </c>
      <c r="Y146" s="12" t="str">
        <f>+IF(Tabla43[[#This Row],[AGRUPACIONES]]=1,SUMIFS(Tabla43[UDS],Tabla43[ZONA DEFINITIVO],Tabla43[[#This Row],[ZONA DEFINITIVO]])," ")</f>
        <v xml:space="preserve"> </v>
      </c>
      <c r="Z146" s="12" t="str">
        <f>+IF(Tabla43[[#This Row],[AGRUPACIONES]]=1,SUMIFS(Tabla43[TOTAL COBERTURA],Tabla43[ZONA DEFINITIVO],Tabla43[[#This Row],[ZONA DEFINITIVO]])," ")</f>
        <v xml:space="preserve"> </v>
      </c>
      <c r="AA146" s="12"/>
      <c r="AB146" s="51">
        <v>38452140</v>
      </c>
      <c r="AC146" s="37">
        <v>0.02</v>
      </c>
      <c r="AD146" s="38">
        <f>Tabla43[[#This Row],[VALOR ATENCIÓN (7 MESES)]]*Tabla43[[#This Row],[% CONTRAPARTIDA]]</f>
        <v>769042.8</v>
      </c>
      <c r="AE146" s="12"/>
      <c r="AF146" s="12">
        <f>COUNTIF($A$22:A146,A146)</f>
        <v>12</v>
      </c>
      <c r="AG146" s="51">
        <v>38452140</v>
      </c>
      <c r="AH146" s="38">
        <f>Tabla43[[#This Row],[VALOR CONTRAPARTIDA]]+Tabla43[[#This Row],[TOTAL APORTES ICBF]]</f>
        <v>39221182.799999997</v>
      </c>
      <c r="AI146" s="35" t="str">
        <f>+IF(Tabla43[[#This Row],[AGRUPACIONES]]=1,SUMIFS(Tabla43[TOTAL APORTES ICBF],Tabla43[ZONA DEFINITIVO],Tabla43[[#This Row],[ZONA DEFINITIVO]])," ")</f>
        <v xml:space="preserve"> </v>
      </c>
      <c r="AJ146" s="38"/>
      <c r="AK146" s="38"/>
      <c r="AL146" s="23"/>
      <c r="AM146" s="35">
        <f>VLOOKUP(Tabla43[[#This Row],[SERVICIO 2025]],$J$2:$V$16,5,0)*Tabla43[[#This Row],[TOTAL COBERTURA]]</f>
        <v>987520</v>
      </c>
      <c r="AN146" s="35">
        <f>VLOOKUP(Tabla43[[#This Row],[SERVICIO 2025]],$J$2:$V$16,6,0)*Tabla43[[#This Row],[TOTAL COBERTURA]]</f>
        <v>820580</v>
      </c>
      <c r="AO146" s="35">
        <f>VLOOKUP(Tabla43[[#This Row],[SERVICIO 2025]],$J$2:$V$16,8,0)*Tabla43[[#This Row],[TOTAL COBERTURA]]</f>
        <v>582000</v>
      </c>
      <c r="AP146" s="35">
        <f>VLOOKUP(Tabla43[[#This Row],[SERVICIO 2025]],$J$2:$V$16,3,0)*Tabla43[[#This Row],[TOTAL COBERTURA]]*7</f>
        <v>36062040</v>
      </c>
      <c r="AQ146" s="35"/>
      <c r="AR14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46" s="35" t="str">
        <f>+IF(Tabla43[[#This Row],[AGRUPACIONES]]=1,SUMIFS(Tabla43[VALOR TOTAL],Tabla43[ZONA DEFINITIVO],Tabla43[[#This Row],[ZONA DEFINITIVO]])," ")</f>
        <v xml:space="preserve"> </v>
      </c>
      <c r="AT14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46" s="35">
        <f>VLOOKUP(Tabla43[[#This Row],[SERVICIO 2025]],$J$2:$V$16,3,0)*Tabla43[[#This Row],[TOTAL COBERTURA]]+Tabla43[[#This Row],[VALOR RACION PREPARADA]]/7</f>
        <v>5151720</v>
      </c>
      <c r="AV146" s="35">
        <f>VLOOKUP(Tabla43[[#This Row],[SERVICIO 2025]],$J$2:$V$16,3,0)*Tabla43[[#This Row],[TOTAL COBERTURA]]+Tabla43[[#This Row],[VALOR RACION PREPARADA]]/7</f>
        <v>5151720</v>
      </c>
      <c r="AW146" s="35">
        <f>VLOOKUP(Tabla43[[#This Row],[SERVICIO 2025]],$J$2:$V$16,3,0)*Tabla43[[#This Row],[TOTAL COBERTURA]]+Tabla43[[#This Row],[VALOR RACION PREPARADA]]/7</f>
        <v>5151720</v>
      </c>
      <c r="AX146" s="35">
        <f>VLOOKUP(Tabla43[[#This Row],[SERVICIO 2025]],$J$2:$V$16,3,0)*Tabla43[[#This Row],[TOTAL COBERTURA]]+Tabla43[[#This Row],[VALOR RACION PREPARADA]]/7</f>
        <v>5151720</v>
      </c>
      <c r="AY146" s="35">
        <f>VLOOKUP(Tabla43[[#This Row],[SERVICIO 2025]],$J$2:$V$16,3,0)*Tabla43[[#This Row],[TOTAL COBERTURA]]+Tabla43[[#This Row],[VALOR RACION PREPARADA]]/7</f>
        <v>5151720</v>
      </c>
      <c r="AZ146" s="35">
        <f>VLOOKUP(Tabla43[[#This Row],[SERVICIO 2025]],$J$2:$V$16,3,0)*Tabla43[[#This Row],[TOTAL COBERTURA]]+Tabla43[[#This Row],[VALOR RACION PREPARADA]]/7+Tabla43[[#This Row],[VALOR FASE PREPARATORIA DE CIERRE]]</f>
        <v>5972300</v>
      </c>
      <c r="BA146" s="35"/>
      <c r="BB146" s="35">
        <f>SUM(Tabla43[[#This Row],[DESEMBOLSO 1]:[DESEMBOLSO 8]])</f>
        <v>38452140</v>
      </c>
      <c r="BC146" s="55">
        <f>VLOOKUP(Tabla43[[#This Row],[SERVICIO 2025]],$J$2:$V$16,10,0)*Tabla43[[#This Row],[TOTAL COBERTURA]]*$W$3</f>
        <v>28861280</v>
      </c>
      <c r="BD146" s="47" t="s">
        <v>211</v>
      </c>
      <c r="BE146" s="12" t="b">
        <f>EXACT(Tabla43[[#This Row],[TOTAL APORTES ICBF]],Tabla43[[#This Row],[VALOR TOTAL]])</f>
        <v>1</v>
      </c>
      <c r="BF146" s="23">
        <f>SUM(Tabla43[[#This Row],[VALOR FASE PREPARATORIA DE ALISTAMIENTO]:[VALOR RACION PREPARADA]])-Tabla43[[#This Row],[VALOR TOTAL]]</f>
        <v>0</v>
      </c>
      <c r="BG146" s="12" t="b">
        <f>EXACT(Tabla43[[#This Row],[VALOR TOTAL]],Tabla43[[#This Row],[TOTAL DESEMBOLSOS]])</f>
        <v>1</v>
      </c>
      <c r="BH146" s="29">
        <f>Tabla43[[#This Row],[TOTAL DESEMBOLSOS]]-Tabla43[[#This Row],[VALOR TOTAL]]</f>
        <v>0</v>
      </c>
      <c r="BJ146" t="s">
        <v>3924</v>
      </c>
    </row>
    <row r="147" spans="1:62" hidden="1">
      <c r="A147" s="13">
        <v>1947</v>
      </c>
      <c r="B147" s="13"/>
      <c r="C147" s="12" t="s">
        <v>87</v>
      </c>
      <c r="D147" s="12" t="s">
        <v>987</v>
      </c>
      <c r="E147" s="12" t="s">
        <v>1404</v>
      </c>
      <c r="F147" s="12" t="s">
        <v>18</v>
      </c>
      <c r="G147" s="12" t="s">
        <v>90</v>
      </c>
      <c r="H147" s="12" t="s">
        <v>4137</v>
      </c>
      <c r="I147" s="12">
        <v>52501150591</v>
      </c>
      <c r="J147" s="12" t="s">
        <v>4138</v>
      </c>
      <c r="K147" s="12">
        <v>1</v>
      </c>
      <c r="L147" s="12">
        <v>20</v>
      </c>
      <c r="M147" s="12"/>
      <c r="N147" s="13">
        <v>1947</v>
      </c>
      <c r="O147" s="12" t="s">
        <v>93</v>
      </c>
      <c r="P147" s="12"/>
      <c r="Q147" s="12"/>
      <c r="R147" s="12" t="s">
        <v>94</v>
      </c>
      <c r="S147" s="12">
        <v>10</v>
      </c>
      <c r="T147" s="12" t="s">
        <v>991</v>
      </c>
      <c r="U147" s="12" t="s">
        <v>992</v>
      </c>
      <c r="V147" s="12">
        <f>VLOOKUP(Tabla43[[#This Row],[ZONA DEFINITIVO]],Hoja1!$A$1:$D$129,3,0)</f>
        <v>229956</v>
      </c>
      <c r="W147" s="12">
        <f>VLOOKUP(Tabla43[[#This Row],[ZONA DEFINITIVO]],Hoja1!$A$1:$D$129,2,0)</f>
        <v>18583</v>
      </c>
      <c r="X147" s="12">
        <f>VLOOKUP(Tabla43[[#This Row],[ZONA DEFINITIVO]],Hoja1!$A$1:$D$129,4,0)</f>
        <v>116725</v>
      </c>
      <c r="Y147" s="12" t="str">
        <f>+IF(Tabla43[[#This Row],[AGRUPACIONES]]=1,SUMIFS(Tabla43[UDS],Tabla43[ZONA DEFINITIVO],Tabla43[[#This Row],[ZONA DEFINITIVO]])," ")</f>
        <v xml:space="preserve"> </v>
      </c>
      <c r="Z147" s="12" t="str">
        <f>+IF(Tabla43[[#This Row],[AGRUPACIONES]]=1,SUMIFS(Tabla43[TOTAL COBERTURA],Tabla43[ZONA DEFINITIVO],Tabla43[[#This Row],[ZONA DEFINITIVO]])," ")</f>
        <v xml:space="preserve"> </v>
      </c>
      <c r="AA147" s="12"/>
      <c r="AB147" s="51">
        <v>38452140</v>
      </c>
      <c r="AC147" s="37">
        <v>0.02</v>
      </c>
      <c r="AD147" s="38">
        <f>Tabla43[[#This Row],[VALOR ATENCIÓN (7 MESES)]]*Tabla43[[#This Row],[% CONTRAPARTIDA]]</f>
        <v>769042.8</v>
      </c>
      <c r="AE147" s="12"/>
      <c r="AF147" s="12">
        <f>COUNTIF($A$22:A147,A147)</f>
        <v>13</v>
      </c>
      <c r="AG147" s="51">
        <v>38452140</v>
      </c>
      <c r="AH147" s="38">
        <f>Tabla43[[#This Row],[VALOR CONTRAPARTIDA]]+Tabla43[[#This Row],[TOTAL APORTES ICBF]]</f>
        <v>39221182.799999997</v>
      </c>
      <c r="AI147" s="35" t="str">
        <f>+IF(Tabla43[[#This Row],[AGRUPACIONES]]=1,SUMIFS(Tabla43[TOTAL APORTES ICBF],Tabla43[ZONA DEFINITIVO],Tabla43[[#This Row],[ZONA DEFINITIVO]])," ")</f>
        <v xml:space="preserve"> </v>
      </c>
      <c r="AJ147" s="38"/>
      <c r="AK147" s="38"/>
      <c r="AL147" s="23"/>
      <c r="AM147" s="35">
        <f>VLOOKUP(Tabla43[[#This Row],[SERVICIO 2025]],$J$2:$V$16,5,0)*Tabla43[[#This Row],[TOTAL COBERTURA]]</f>
        <v>987520</v>
      </c>
      <c r="AN147" s="35">
        <f>VLOOKUP(Tabla43[[#This Row],[SERVICIO 2025]],$J$2:$V$16,6,0)*Tabla43[[#This Row],[TOTAL COBERTURA]]</f>
        <v>820580</v>
      </c>
      <c r="AO147" s="35">
        <f>VLOOKUP(Tabla43[[#This Row],[SERVICIO 2025]],$J$2:$V$16,8,0)*Tabla43[[#This Row],[TOTAL COBERTURA]]</f>
        <v>582000</v>
      </c>
      <c r="AP147" s="35">
        <f>VLOOKUP(Tabla43[[#This Row],[SERVICIO 2025]],$J$2:$V$16,3,0)*Tabla43[[#This Row],[TOTAL COBERTURA]]*7</f>
        <v>36062040</v>
      </c>
      <c r="AQ147" s="35"/>
      <c r="AR14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47" s="35" t="str">
        <f>+IF(Tabla43[[#This Row],[AGRUPACIONES]]=1,SUMIFS(Tabla43[VALOR TOTAL],Tabla43[ZONA DEFINITIVO],Tabla43[[#This Row],[ZONA DEFINITIVO]])," ")</f>
        <v xml:space="preserve"> </v>
      </c>
      <c r="AT14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47" s="35">
        <f>VLOOKUP(Tabla43[[#This Row],[SERVICIO 2025]],$J$2:$V$16,3,0)*Tabla43[[#This Row],[TOTAL COBERTURA]]+Tabla43[[#This Row],[VALOR RACION PREPARADA]]/7</f>
        <v>5151720</v>
      </c>
      <c r="AV147" s="35">
        <f>VLOOKUP(Tabla43[[#This Row],[SERVICIO 2025]],$J$2:$V$16,3,0)*Tabla43[[#This Row],[TOTAL COBERTURA]]+Tabla43[[#This Row],[VALOR RACION PREPARADA]]/7</f>
        <v>5151720</v>
      </c>
      <c r="AW147" s="35">
        <f>VLOOKUP(Tabla43[[#This Row],[SERVICIO 2025]],$J$2:$V$16,3,0)*Tabla43[[#This Row],[TOTAL COBERTURA]]+Tabla43[[#This Row],[VALOR RACION PREPARADA]]/7</f>
        <v>5151720</v>
      </c>
      <c r="AX147" s="35">
        <f>VLOOKUP(Tabla43[[#This Row],[SERVICIO 2025]],$J$2:$V$16,3,0)*Tabla43[[#This Row],[TOTAL COBERTURA]]+Tabla43[[#This Row],[VALOR RACION PREPARADA]]/7</f>
        <v>5151720</v>
      </c>
      <c r="AY147" s="35">
        <f>VLOOKUP(Tabla43[[#This Row],[SERVICIO 2025]],$J$2:$V$16,3,0)*Tabla43[[#This Row],[TOTAL COBERTURA]]+Tabla43[[#This Row],[VALOR RACION PREPARADA]]/7</f>
        <v>5151720</v>
      </c>
      <c r="AZ147" s="35">
        <f>VLOOKUP(Tabla43[[#This Row],[SERVICIO 2025]],$J$2:$V$16,3,0)*Tabla43[[#This Row],[TOTAL COBERTURA]]+Tabla43[[#This Row],[VALOR RACION PREPARADA]]/7+Tabla43[[#This Row],[VALOR FASE PREPARATORIA DE CIERRE]]</f>
        <v>5972300</v>
      </c>
      <c r="BA147" s="35"/>
      <c r="BB147" s="35">
        <f>SUM(Tabla43[[#This Row],[DESEMBOLSO 1]:[DESEMBOLSO 8]])</f>
        <v>38452140</v>
      </c>
      <c r="BC147" s="55">
        <f>VLOOKUP(Tabla43[[#This Row],[SERVICIO 2025]],$J$2:$V$16,10,0)*Tabla43[[#This Row],[TOTAL COBERTURA]]*$W$3</f>
        <v>28861280</v>
      </c>
      <c r="BD147" s="47" t="s">
        <v>211</v>
      </c>
      <c r="BE147" s="12" t="b">
        <f>EXACT(Tabla43[[#This Row],[TOTAL APORTES ICBF]],Tabla43[[#This Row],[VALOR TOTAL]])</f>
        <v>1</v>
      </c>
      <c r="BF147" s="23">
        <f>SUM(Tabla43[[#This Row],[VALOR FASE PREPARATORIA DE ALISTAMIENTO]:[VALOR RACION PREPARADA]])-Tabla43[[#This Row],[VALOR TOTAL]]</f>
        <v>0</v>
      </c>
      <c r="BG147" s="12" t="b">
        <f>EXACT(Tabla43[[#This Row],[VALOR TOTAL]],Tabla43[[#This Row],[TOTAL DESEMBOLSOS]])</f>
        <v>1</v>
      </c>
      <c r="BH147" s="29">
        <f>Tabla43[[#This Row],[TOTAL DESEMBOLSOS]]-Tabla43[[#This Row],[VALOR TOTAL]]</f>
        <v>0</v>
      </c>
      <c r="BJ147" t="s">
        <v>3924</v>
      </c>
    </row>
    <row r="148" spans="1:62" hidden="1">
      <c r="A148" s="13">
        <v>1947</v>
      </c>
      <c r="B148" s="13"/>
      <c r="C148" s="12" t="s">
        <v>87</v>
      </c>
      <c r="D148" s="12" t="s">
        <v>987</v>
      </c>
      <c r="E148" s="12" t="s">
        <v>1404</v>
      </c>
      <c r="F148" s="12" t="s">
        <v>18</v>
      </c>
      <c r="G148" s="12" t="s">
        <v>90</v>
      </c>
      <c r="H148" s="12" t="s">
        <v>4139</v>
      </c>
      <c r="I148" s="12">
        <v>52501150592</v>
      </c>
      <c r="J148" s="12" t="s">
        <v>4140</v>
      </c>
      <c r="K148" s="12">
        <v>1</v>
      </c>
      <c r="L148" s="12">
        <v>20</v>
      </c>
      <c r="M148" s="12"/>
      <c r="N148" s="13">
        <v>1947</v>
      </c>
      <c r="O148" s="12" t="s">
        <v>93</v>
      </c>
      <c r="P148" s="12"/>
      <c r="Q148" s="12"/>
      <c r="R148" s="12" t="s">
        <v>94</v>
      </c>
      <c r="S148" s="12">
        <v>10</v>
      </c>
      <c r="T148" s="12" t="s">
        <v>991</v>
      </c>
      <c r="U148" s="12" t="s">
        <v>992</v>
      </c>
      <c r="V148" s="12">
        <f>VLOOKUP(Tabla43[[#This Row],[ZONA DEFINITIVO]],Hoja1!$A$1:$D$129,3,0)</f>
        <v>229956</v>
      </c>
      <c r="W148" s="12">
        <f>VLOOKUP(Tabla43[[#This Row],[ZONA DEFINITIVO]],Hoja1!$A$1:$D$129,2,0)</f>
        <v>18583</v>
      </c>
      <c r="X148" s="12">
        <f>VLOOKUP(Tabla43[[#This Row],[ZONA DEFINITIVO]],Hoja1!$A$1:$D$129,4,0)</f>
        <v>116725</v>
      </c>
      <c r="Y148" s="12" t="str">
        <f>+IF(Tabla43[[#This Row],[AGRUPACIONES]]=1,SUMIFS(Tabla43[UDS],Tabla43[ZONA DEFINITIVO],Tabla43[[#This Row],[ZONA DEFINITIVO]])," ")</f>
        <v xml:space="preserve"> </v>
      </c>
      <c r="Z148" s="12" t="str">
        <f>+IF(Tabla43[[#This Row],[AGRUPACIONES]]=1,SUMIFS(Tabla43[TOTAL COBERTURA],Tabla43[ZONA DEFINITIVO],Tabla43[[#This Row],[ZONA DEFINITIVO]])," ")</f>
        <v xml:space="preserve"> </v>
      </c>
      <c r="AA148" s="12"/>
      <c r="AB148" s="51">
        <v>38452140</v>
      </c>
      <c r="AC148" s="37">
        <v>0.02</v>
      </c>
      <c r="AD148" s="38">
        <f>Tabla43[[#This Row],[VALOR ATENCIÓN (7 MESES)]]*Tabla43[[#This Row],[% CONTRAPARTIDA]]</f>
        <v>769042.8</v>
      </c>
      <c r="AE148" s="12"/>
      <c r="AF148" s="12">
        <f>COUNTIF($A$22:A148,A148)</f>
        <v>14</v>
      </c>
      <c r="AG148" s="51">
        <v>38452140</v>
      </c>
      <c r="AH148" s="38">
        <f>Tabla43[[#This Row],[VALOR CONTRAPARTIDA]]+Tabla43[[#This Row],[TOTAL APORTES ICBF]]</f>
        <v>39221182.799999997</v>
      </c>
      <c r="AI148" s="35" t="str">
        <f>+IF(Tabla43[[#This Row],[AGRUPACIONES]]=1,SUMIFS(Tabla43[TOTAL APORTES ICBF],Tabla43[ZONA DEFINITIVO],Tabla43[[#This Row],[ZONA DEFINITIVO]])," ")</f>
        <v xml:space="preserve"> </v>
      </c>
      <c r="AJ148" s="38"/>
      <c r="AK148" s="38"/>
      <c r="AL148" s="23"/>
      <c r="AM148" s="35">
        <f>VLOOKUP(Tabla43[[#This Row],[SERVICIO 2025]],$J$2:$V$16,5,0)*Tabla43[[#This Row],[TOTAL COBERTURA]]</f>
        <v>987520</v>
      </c>
      <c r="AN148" s="35">
        <f>VLOOKUP(Tabla43[[#This Row],[SERVICIO 2025]],$J$2:$V$16,6,0)*Tabla43[[#This Row],[TOTAL COBERTURA]]</f>
        <v>820580</v>
      </c>
      <c r="AO148" s="35">
        <f>VLOOKUP(Tabla43[[#This Row],[SERVICIO 2025]],$J$2:$V$16,8,0)*Tabla43[[#This Row],[TOTAL COBERTURA]]</f>
        <v>582000</v>
      </c>
      <c r="AP148" s="35">
        <f>VLOOKUP(Tabla43[[#This Row],[SERVICIO 2025]],$J$2:$V$16,3,0)*Tabla43[[#This Row],[TOTAL COBERTURA]]*7</f>
        <v>36062040</v>
      </c>
      <c r="AQ148" s="35"/>
      <c r="AR14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48" s="35" t="str">
        <f>+IF(Tabla43[[#This Row],[AGRUPACIONES]]=1,SUMIFS(Tabla43[VALOR TOTAL],Tabla43[ZONA DEFINITIVO],Tabla43[[#This Row],[ZONA DEFINITIVO]])," ")</f>
        <v xml:space="preserve"> </v>
      </c>
      <c r="AT14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48" s="35">
        <f>VLOOKUP(Tabla43[[#This Row],[SERVICIO 2025]],$J$2:$V$16,3,0)*Tabla43[[#This Row],[TOTAL COBERTURA]]+Tabla43[[#This Row],[VALOR RACION PREPARADA]]/7</f>
        <v>5151720</v>
      </c>
      <c r="AV148" s="35">
        <f>VLOOKUP(Tabla43[[#This Row],[SERVICIO 2025]],$J$2:$V$16,3,0)*Tabla43[[#This Row],[TOTAL COBERTURA]]+Tabla43[[#This Row],[VALOR RACION PREPARADA]]/7</f>
        <v>5151720</v>
      </c>
      <c r="AW148" s="35">
        <f>VLOOKUP(Tabla43[[#This Row],[SERVICIO 2025]],$J$2:$V$16,3,0)*Tabla43[[#This Row],[TOTAL COBERTURA]]+Tabla43[[#This Row],[VALOR RACION PREPARADA]]/7</f>
        <v>5151720</v>
      </c>
      <c r="AX148" s="35">
        <f>VLOOKUP(Tabla43[[#This Row],[SERVICIO 2025]],$J$2:$V$16,3,0)*Tabla43[[#This Row],[TOTAL COBERTURA]]+Tabla43[[#This Row],[VALOR RACION PREPARADA]]/7</f>
        <v>5151720</v>
      </c>
      <c r="AY148" s="35">
        <f>VLOOKUP(Tabla43[[#This Row],[SERVICIO 2025]],$J$2:$V$16,3,0)*Tabla43[[#This Row],[TOTAL COBERTURA]]+Tabla43[[#This Row],[VALOR RACION PREPARADA]]/7</f>
        <v>5151720</v>
      </c>
      <c r="AZ148" s="35">
        <f>VLOOKUP(Tabla43[[#This Row],[SERVICIO 2025]],$J$2:$V$16,3,0)*Tabla43[[#This Row],[TOTAL COBERTURA]]+Tabla43[[#This Row],[VALOR RACION PREPARADA]]/7+Tabla43[[#This Row],[VALOR FASE PREPARATORIA DE CIERRE]]</f>
        <v>5972300</v>
      </c>
      <c r="BA148" s="35"/>
      <c r="BB148" s="35">
        <f>SUM(Tabla43[[#This Row],[DESEMBOLSO 1]:[DESEMBOLSO 8]])</f>
        <v>38452140</v>
      </c>
      <c r="BC148" s="55">
        <f>VLOOKUP(Tabla43[[#This Row],[SERVICIO 2025]],$J$2:$V$16,10,0)*Tabla43[[#This Row],[TOTAL COBERTURA]]*$W$3</f>
        <v>28861280</v>
      </c>
      <c r="BD148" s="47" t="s">
        <v>211</v>
      </c>
      <c r="BE148" s="12" t="b">
        <f>EXACT(Tabla43[[#This Row],[TOTAL APORTES ICBF]],Tabla43[[#This Row],[VALOR TOTAL]])</f>
        <v>1</v>
      </c>
      <c r="BF148" s="23">
        <f>SUM(Tabla43[[#This Row],[VALOR FASE PREPARATORIA DE ALISTAMIENTO]:[VALOR RACION PREPARADA]])-Tabla43[[#This Row],[VALOR TOTAL]]</f>
        <v>0</v>
      </c>
      <c r="BG148" s="12" t="b">
        <f>EXACT(Tabla43[[#This Row],[VALOR TOTAL]],Tabla43[[#This Row],[TOTAL DESEMBOLSOS]])</f>
        <v>1</v>
      </c>
      <c r="BH148" s="29">
        <f>Tabla43[[#This Row],[TOTAL DESEMBOLSOS]]-Tabla43[[#This Row],[VALOR TOTAL]]</f>
        <v>0</v>
      </c>
      <c r="BJ148" t="s">
        <v>3924</v>
      </c>
    </row>
    <row r="149" spans="1:62" hidden="1">
      <c r="A149" s="13">
        <v>1947</v>
      </c>
      <c r="B149" s="13"/>
      <c r="C149" s="12" t="s">
        <v>87</v>
      </c>
      <c r="D149" s="12" t="s">
        <v>987</v>
      </c>
      <c r="E149" s="12" t="s">
        <v>1404</v>
      </c>
      <c r="F149" s="12" t="s">
        <v>18</v>
      </c>
      <c r="G149" s="12" t="s">
        <v>90</v>
      </c>
      <c r="H149" s="12" t="s">
        <v>4141</v>
      </c>
      <c r="I149" s="12">
        <v>52501152433</v>
      </c>
      <c r="J149" s="12" t="s">
        <v>4142</v>
      </c>
      <c r="K149" s="12">
        <v>1</v>
      </c>
      <c r="L149" s="12">
        <v>65</v>
      </c>
      <c r="M149" s="12"/>
      <c r="N149" s="13">
        <v>1947</v>
      </c>
      <c r="O149" s="12" t="s">
        <v>93</v>
      </c>
      <c r="P149" s="12"/>
      <c r="Q149" s="12"/>
      <c r="R149" s="12" t="s">
        <v>94</v>
      </c>
      <c r="S149" s="12">
        <v>10</v>
      </c>
      <c r="T149" s="12" t="s">
        <v>991</v>
      </c>
      <c r="U149" s="12" t="s">
        <v>992</v>
      </c>
      <c r="V149" s="12">
        <f>VLOOKUP(Tabla43[[#This Row],[ZONA DEFINITIVO]],Hoja1!$A$1:$D$129,3,0)</f>
        <v>229956</v>
      </c>
      <c r="W149" s="12">
        <f>VLOOKUP(Tabla43[[#This Row],[ZONA DEFINITIVO]],Hoja1!$A$1:$D$129,2,0)</f>
        <v>18583</v>
      </c>
      <c r="X149" s="12">
        <f>VLOOKUP(Tabla43[[#This Row],[ZONA DEFINITIVO]],Hoja1!$A$1:$D$129,4,0)</f>
        <v>116725</v>
      </c>
      <c r="Y149" s="12" t="str">
        <f>+IF(Tabla43[[#This Row],[AGRUPACIONES]]=1,SUMIFS(Tabla43[UDS],Tabla43[ZONA DEFINITIVO],Tabla43[[#This Row],[ZONA DEFINITIVO]])," ")</f>
        <v xml:space="preserve"> </v>
      </c>
      <c r="Z149" s="12" t="str">
        <f>+IF(Tabla43[[#This Row],[AGRUPACIONES]]=1,SUMIFS(Tabla43[TOTAL COBERTURA],Tabla43[ZONA DEFINITIVO],Tabla43[[#This Row],[ZONA DEFINITIVO]])," ")</f>
        <v xml:space="preserve"> </v>
      </c>
      <c r="AA149" s="12"/>
      <c r="AB149" s="51">
        <v>124969455</v>
      </c>
      <c r="AC149" s="37">
        <v>0.02</v>
      </c>
      <c r="AD149" s="38">
        <f>Tabla43[[#This Row],[VALOR ATENCIÓN (7 MESES)]]*Tabla43[[#This Row],[% CONTRAPARTIDA]]</f>
        <v>2499389.1</v>
      </c>
      <c r="AE149" s="12"/>
      <c r="AF149" s="12">
        <f>COUNTIF($A$22:A149,A149)</f>
        <v>15</v>
      </c>
      <c r="AG149" s="51">
        <v>124969455</v>
      </c>
      <c r="AH149" s="38">
        <f>Tabla43[[#This Row],[VALOR CONTRAPARTIDA]]+Tabla43[[#This Row],[TOTAL APORTES ICBF]]</f>
        <v>127468844.09999999</v>
      </c>
      <c r="AI149" s="35" t="str">
        <f>+IF(Tabla43[[#This Row],[AGRUPACIONES]]=1,SUMIFS(Tabla43[TOTAL APORTES ICBF],Tabla43[ZONA DEFINITIVO],Tabla43[[#This Row],[ZONA DEFINITIVO]])," ")</f>
        <v xml:space="preserve"> </v>
      </c>
      <c r="AJ149" s="38"/>
      <c r="AK149" s="38"/>
      <c r="AL149" s="23"/>
      <c r="AM149" s="35">
        <f>VLOOKUP(Tabla43[[#This Row],[SERVICIO 2025]],$J$2:$V$16,5,0)*Tabla43[[#This Row],[TOTAL COBERTURA]]</f>
        <v>3209440</v>
      </c>
      <c r="AN149" s="35">
        <f>VLOOKUP(Tabla43[[#This Row],[SERVICIO 2025]],$J$2:$V$16,6,0)*Tabla43[[#This Row],[TOTAL COBERTURA]]</f>
        <v>2666885</v>
      </c>
      <c r="AO149" s="35">
        <f>VLOOKUP(Tabla43[[#This Row],[SERVICIO 2025]],$J$2:$V$16,8,0)*Tabla43[[#This Row],[TOTAL COBERTURA]]</f>
        <v>1891500</v>
      </c>
      <c r="AP149" s="35">
        <f>VLOOKUP(Tabla43[[#This Row],[SERVICIO 2025]],$J$2:$V$16,3,0)*Tabla43[[#This Row],[TOTAL COBERTURA]]*7</f>
        <v>117201630</v>
      </c>
      <c r="AQ149" s="35"/>
      <c r="AR14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124969455</v>
      </c>
      <c r="AS149" s="35" t="str">
        <f>+IF(Tabla43[[#This Row],[AGRUPACIONES]]=1,SUMIFS(Tabla43[VALOR TOTAL],Tabla43[ZONA DEFINITIVO],Tabla43[[#This Row],[ZONA DEFINITIVO]])," ")</f>
        <v xml:space="preserve"> </v>
      </c>
      <c r="AT14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21844030</v>
      </c>
      <c r="AU149" s="35">
        <f>VLOOKUP(Tabla43[[#This Row],[SERVICIO 2025]],$J$2:$V$16,3,0)*Tabla43[[#This Row],[TOTAL COBERTURA]]+Tabla43[[#This Row],[VALOR RACION PREPARADA]]/7</f>
        <v>16743090</v>
      </c>
      <c r="AV149" s="35">
        <f>VLOOKUP(Tabla43[[#This Row],[SERVICIO 2025]],$J$2:$V$16,3,0)*Tabla43[[#This Row],[TOTAL COBERTURA]]+Tabla43[[#This Row],[VALOR RACION PREPARADA]]/7</f>
        <v>16743090</v>
      </c>
      <c r="AW149" s="35">
        <f>VLOOKUP(Tabla43[[#This Row],[SERVICIO 2025]],$J$2:$V$16,3,0)*Tabla43[[#This Row],[TOTAL COBERTURA]]+Tabla43[[#This Row],[VALOR RACION PREPARADA]]/7</f>
        <v>16743090</v>
      </c>
      <c r="AX149" s="35">
        <f>VLOOKUP(Tabla43[[#This Row],[SERVICIO 2025]],$J$2:$V$16,3,0)*Tabla43[[#This Row],[TOTAL COBERTURA]]+Tabla43[[#This Row],[VALOR RACION PREPARADA]]/7</f>
        <v>16743090</v>
      </c>
      <c r="AY149" s="35">
        <f>VLOOKUP(Tabla43[[#This Row],[SERVICIO 2025]],$J$2:$V$16,3,0)*Tabla43[[#This Row],[TOTAL COBERTURA]]+Tabla43[[#This Row],[VALOR RACION PREPARADA]]/7</f>
        <v>16743090</v>
      </c>
      <c r="AZ149" s="35">
        <f>VLOOKUP(Tabla43[[#This Row],[SERVICIO 2025]],$J$2:$V$16,3,0)*Tabla43[[#This Row],[TOTAL COBERTURA]]+Tabla43[[#This Row],[VALOR RACION PREPARADA]]/7+Tabla43[[#This Row],[VALOR FASE PREPARATORIA DE CIERRE]]</f>
        <v>19409975</v>
      </c>
      <c r="BA149" s="35"/>
      <c r="BB149" s="35">
        <f>SUM(Tabla43[[#This Row],[DESEMBOLSO 1]:[DESEMBOLSO 8]])</f>
        <v>124969455</v>
      </c>
      <c r="BC149" s="55">
        <f>VLOOKUP(Tabla43[[#This Row],[SERVICIO 2025]],$J$2:$V$16,10,0)*Tabla43[[#This Row],[TOTAL COBERTURA]]*$W$3</f>
        <v>93799160</v>
      </c>
      <c r="BD149" s="47" t="s">
        <v>211</v>
      </c>
      <c r="BE149" s="12" t="b">
        <f>EXACT(Tabla43[[#This Row],[TOTAL APORTES ICBF]],Tabla43[[#This Row],[VALOR TOTAL]])</f>
        <v>1</v>
      </c>
      <c r="BF149" s="23">
        <f>SUM(Tabla43[[#This Row],[VALOR FASE PREPARATORIA DE ALISTAMIENTO]:[VALOR RACION PREPARADA]])-Tabla43[[#This Row],[VALOR TOTAL]]</f>
        <v>0</v>
      </c>
      <c r="BG149" s="12" t="b">
        <f>EXACT(Tabla43[[#This Row],[VALOR TOTAL]],Tabla43[[#This Row],[TOTAL DESEMBOLSOS]])</f>
        <v>1</v>
      </c>
      <c r="BH149" s="29">
        <f>Tabla43[[#This Row],[TOTAL DESEMBOLSOS]]-Tabla43[[#This Row],[VALOR TOTAL]]</f>
        <v>0</v>
      </c>
      <c r="BJ149" t="s">
        <v>3924</v>
      </c>
    </row>
    <row r="150" spans="1:62" hidden="1">
      <c r="A150" s="13">
        <v>1947</v>
      </c>
      <c r="B150" s="13"/>
      <c r="C150" s="12" t="s">
        <v>87</v>
      </c>
      <c r="D150" s="12" t="s">
        <v>987</v>
      </c>
      <c r="E150" s="12" t="s">
        <v>1404</v>
      </c>
      <c r="F150" s="12" t="s">
        <v>18</v>
      </c>
      <c r="G150" s="12" t="s">
        <v>90</v>
      </c>
      <c r="H150" s="12" t="s">
        <v>4141</v>
      </c>
      <c r="I150" s="12">
        <v>52501152434</v>
      </c>
      <c r="J150" s="12" t="s">
        <v>4143</v>
      </c>
      <c r="K150" s="12">
        <v>1</v>
      </c>
      <c r="L150" s="12">
        <v>76</v>
      </c>
      <c r="M150" s="12"/>
      <c r="N150" s="13">
        <v>1947</v>
      </c>
      <c r="O150" s="12" t="s">
        <v>93</v>
      </c>
      <c r="P150" s="12"/>
      <c r="Q150" s="12"/>
      <c r="R150" s="12" t="s">
        <v>94</v>
      </c>
      <c r="S150" s="12">
        <v>10</v>
      </c>
      <c r="T150" s="12" t="s">
        <v>991</v>
      </c>
      <c r="U150" s="12" t="s">
        <v>992</v>
      </c>
      <c r="V150" s="12">
        <f>VLOOKUP(Tabla43[[#This Row],[ZONA DEFINITIVO]],Hoja1!$A$1:$D$129,3,0)</f>
        <v>229956</v>
      </c>
      <c r="W150" s="12">
        <f>VLOOKUP(Tabla43[[#This Row],[ZONA DEFINITIVO]],Hoja1!$A$1:$D$129,2,0)</f>
        <v>18583</v>
      </c>
      <c r="X150" s="12">
        <f>VLOOKUP(Tabla43[[#This Row],[ZONA DEFINITIVO]],Hoja1!$A$1:$D$129,4,0)</f>
        <v>116725</v>
      </c>
      <c r="Y150" s="12" t="str">
        <f>+IF(Tabla43[[#This Row],[AGRUPACIONES]]=1,SUMIFS(Tabla43[UDS],Tabla43[ZONA DEFINITIVO],Tabla43[[#This Row],[ZONA DEFINITIVO]])," ")</f>
        <v xml:space="preserve"> </v>
      </c>
      <c r="Z150" s="12" t="str">
        <f>+IF(Tabla43[[#This Row],[AGRUPACIONES]]=1,SUMIFS(Tabla43[TOTAL COBERTURA],Tabla43[ZONA DEFINITIVO],Tabla43[[#This Row],[ZONA DEFINITIVO]])," ")</f>
        <v xml:space="preserve"> </v>
      </c>
      <c r="AA150" s="12"/>
      <c r="AB150" s="51">
        <v>146118132</v>
      </c>
      <c r="AC150" s="37">
        <v>0.02</v>
      </c>
      <c r="AD150" s="38">
        <f>Tabla43[[#This Row],[VALOR ATENCIÓN (7 MESES)]]*Tabla43[[#This Row],[% CONTRAPARTIDA]]</f>
        <v>2922362.64</v>
      </c>
      <c r="AE150" s="12"/>
      <c r="AF150" s="12">
        <f>COUNTIF($A$22:A150,A150)</f>
        <v>16</v>
      </c>
      <c r="AG150" s="51">
        <v>146118132</v>
      </c>
      <c r="AH150" s="38">
        <f>Tabla43[[#This Row],[VALOR CONTRAPARTIDA]]+Tabla43[[#This Row],[TOTAL APORTES ICBF]]</f>
        <v>149040494.63999999</v>
      </c>
      <c r="AI150" s="35" t="str">
        <f>+IF(Tabla43[[#This Row],[AGRUPACIONES]]=1,SUMIFS(Tabla43[TOTAL APORTES ICBF],Tabla43[ZONA DEFINITIVO],Tabla43[[#This Row],[ZONA DEFINITIVO]])," ")</f>
        <v xml:space="preserve"> </v>
      </c>
      <c r="AJ150" s="38"/>
      <c r="AK150" s="38"/>
      <c r="AL150" s="23"/>
      <c r="AM150" s="35">
        <f>VLOOKUP(Tabla43[[#This Row],[SERVICIO 2025]],$J$2:$V$16,5,0)*Tabla43[[#This Row],[TOTAL COBERTURA]]</f>
        <v>3752576</v>
      </c>
      <c r="AN150" s="35">
        <f>VLOOKUP(Tabla43[[#This Row],[SERVICIO 2025]],$J$2:$V$16,6,0)*Tabla43[[#This Row],[TOTAL COBERTURA]]</f>
        <v>3118204</v>
      </c>
      <c r="AO150" s="35">
        <f>VLOOKUP(Tabla43[[#This Row],[SERVICIO 2025]],$J$2:$V$16,8,0)*Tabla43[[#This Row],[TOTAL COBERTURA]]</f>
        <v>2211600</v>
      </c>
      <c r="AP150" s="35">
        <f>VLOOKUP(Tabla43[[#This Row],[SERVICIO 2025]],$J$2:$V$16,3,0)*Tabla43[[#This Row],[TOTAL COBERTURA]]*7</f>
        <v>137035752</v>
      </c>
      <c r="AQ150" s="35"/>
      <c r="AR15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146118132</v>
      </c>
      <c r="AS150" s="35" t="str">
        <f>+IF(Tabla43[[#This Row],[AGRUPACIONES]]=1,SUMIFS(Tabla43[VALOR TOTAL],Tabla43[ZONA DEFINITIVO],Tabla43[[#This Row],[ZONA DEFINITIVO]])," ")</f>
        <v xml:space="preserve"> </v>
      </c>
      <c r="AT15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25540712</v>
      </c>
      <c r="AU150" s="35">
        <f>VLOOKUP(Tabla43[[#This Row],[SERVICIO 2025]],$J$2:$V$16,3,0)*Tabla43[[#This Row],[TOTAL COBERTURA]]+Tabla43[[#This Row],[VALOR RACION PREPARADA]]/7</f>
        <v>19576536</v>
      </c>
      <c r="AV150" s="35">
        <f>VLOOKUP(Tabla43[[#This Row],[SERVICIO 2025]],$J$2:$V$16,3,0)*Tabla43[[#This Row],[TOTAL COBERTURA]]+Tabla43[[#This Row],[VALOR RACION PREPARADA]]/7</f>
        <v>19576536</v>
      </c>
      <c r="AW150" s="35">
        <f>VLOOKUP(Tabla43[[#This Row],[SERVICIO 2025]],$J$2:$V$16,3,0)*Tabla43[[#This Row],[TOTAL COBERTURA]]+Tabla43[[#This Row],[VALOR RACION PREPARADA]]/7</f>
        <v>19576536</v>
      </c>
      <c r="AX150" s="35">
        <f>VLOOKUP(Tabla43[[#This Row],[SERVICIO 2025]],$J$2:$V$16,3,0)*Tabla43[[#This Row],[TOTAL COBERTURA]]+Tabla43[[#This Row],[VALOR RACION PREPARADA]]/7</f>
        <v>19576536</v>
      </c>
      <c r="AY150" s="35">
        <f>VLOOKUP(Tabla43[[#This Row],[SERVICIO 2025]],$J$2:$V$16,3,0)*Tabla43[[#This Row],[TOTAL COBERTURA]]+Tabla43[[#This Row],[VALOR RACION PREPARADA]]/7</f>
        <v>19576536</v>
      </c>
      <c r="AZ150" s="35">
        <f>VLOOKUP(Tabla43[[#This Row],[SERVICIO 2025]],$J$2:$V$16,3,0)*Tabla43[[#This Row],[TOTAL COBERTURA]]+Tabla43[[#This Row],[VALOR RACION PREPARADA]]/7+Tabla43[[#This Row],[VALOR FASE PREPARATORIA DE CIERRE]]</f>
        <v>22694740</v>
      </c>
      <c r="BA150" s="35"/>
      <c r="BB150" s="35">
        <f>SUM(Tabla43[[#This Row],[DESEMBOLSO 1]:[DESEMBOLSO 8]])</f>
        <v>146118132</v>
      </c>
      <c r="BC150" s="55">
        <f>VLOOKUP(Tabla43[[#This Row],[SERVICIO 2025]],$J$2:$V$16,10,0)*Tabla43[[#This Row],[TOTAL COBERTURA]]*$W$3</f>
        <v>109672864</v>
      </c>
      <c r="BD150" s="47" t="s">
        <v>211</v>
      </c>
      <c r="BE150" s="12" t="b">
        <f>EXACT(Tabla43[[#This Row],[TOTAL APORTES ICBF]],Tabla43[[#This Row],[VALOR TOTAL]])</f>
        <v>1</v>
      </c>
      <c r="BF150" s="23">
        <f>SUM(Tabla43[[#This Row],[VALOR FASE PREPARATORIA DE ALISTAMIENTO]:[VALOR RACION PREPARADA]])-Tabla43[[#This Row],[VALOR TOTAL]]</f>
        <v>0</v>
      </c>
      <c r="BG150" s="12" t="b">
        <f>EXACT(Tabla43[[#This Row],[VALOR TOTAL]],Tabla43[[#This Row],[TOTAL DESEMBOLSOS]])</f>
        <v>1</v>
      </c>
      <c r="BH150" s="29">
        <f>Tabla43[[#This Row],[TOTAL DESEMBOLSOS]]-Tabla43[[#This Row],[VALOR TOTAL]]</f>
        <v>0</v>
      </c>
      <c r="BJ150" t="s">
        <v>3924</v>
      </c>
    </row>
    <row r="151" spans="1:62" hidden="1">
      <c r="A151" s="13">
        <v>1947</v>
      </c>
      <c r="B151" s="13"/>
      <c r="C151" s="12" t="s">
        <v>87</v>
      </c>
      <c r="D151" s="12" t="s">
        <v>987</v>
      </c>
      <c r="E151" s="12" t="s">
        <v>1404</v>
      </c>
      <c r="F151" s="12" t="s">
        <v>18</v>
      </c>
      <c r="G151" s="12" t="s">
        <v>90</v>
      </c>
      <c r="H151" s="12" t="s">
        <v>4144</v>
      </c>
      <c r="I151" s="12">
        <v>52501152435</v>
      </c>
      <c r="J151" s="12" t="s">
        <v>4145</v>
      </c>
      <c r="K151" s="12">
        <v>1</v>
      </c>
      <c r="L151" s="12">
        <v>33</v>
      </c>
      <c r="M151" s="12"/>
      <c r="N151" s="13">
        <v>1947</v>
      </c>
      <c r="O151" s="12" t="s">
        <v>93</v>
      </c>
      <c r="P151" s="12"/>
      <c r="Q151" s="12"/>
      <c r="R151" s="12" t="s">
        <v>94</v>
      </c>
      <c r="S151" s="12">
        <v>10</v>
      </c>
      <c r="T151" s="12" t="s">
        <v>991</v>
      </c>
      <c r="U151" s="12" t="s">
        <v>992</v>
      </c>
      <c r="V151" s="12">
        <f>VLOOKUP(Tabla43[[#This Row],[ZONA DEFINITIVO]],Hoja1!$A$1:$D$129,3,0)</f>
        <v>229956</v>
      </c>
      <c r="W151" s="12">
        <f>VLOOKUP(Tabla43[[#This Row],[ZONA DEFINITIVO]],Hoja1!$A$1:$D$129,2,0)</f>
        <v>18583</v>
      </c>
      <c r="X151" s="12">
        <f>VLOOKUP(Tabla43[[#This Row],[ZONA DEFINITIVO]],Hoja1!$A$1:$D$129,4,0)</f>
        <v>116725</v>
      </c>
      <c r="Y151" s="12" t="str">
        <f>+IF(Tabla43[[#This Row],[AGRUPACIONES]]=1,SUMIFS(Tabla43[UDS],Tabla43[ZONA DEFINITIVO],Tabla43[[#This Row],[ZONA DEFINITIVO]])," ")</f>
        <v xml:space="preserve"> </v>
      </c>
      <c r="Z151" s="12" t="str">
        <f>+IF(Tabla43[[#This Row],[AGRUPACIONES]]=1,SUMIFS(Tabla43[TOTAL COBERTURA],Tabla43[ZONA DEFINITIVO],Tabla43[[#This Row],[ZONA DEFINITIVO]])," ")</f>
        <v xml:space="preserve"> </v>
      </c>
      <c r="AA151" s="12"/>
      <c r="AB151" s="51">
        <v>63446031</v>
      </c>
      <c r="AC151" s="37">
        <v>0.02</v>
      </c>
      <c r="AD151" s="38">
        <f>Tabla43[[#This Row],[VALOR ATENCIÓN (7 MESES)]]*Tabla43[[#This Row],[% CONTRAPARTIDA]]</f>
        <v>1268920.6200000001</v>
      </c>
      <c r="AE151" s="12"/>
      <c r="AF151" s="12">
        <f>COUNTIF($A$22:A151,A151)</f>
        <v>17</v>
      </c>
      <c r="AG151" s="51">
        <v>63446031</v>
      </c>
      <c r="AH151" s="38">
        <f>Tabla43[[#This Row],[VALOR CONTRAPARTIDA]]+Tabla43[[#This Row],[TOTAL APORTES ICBF]]</f>
        <v>64714951.619999997</v>
      </c>
      <c r="AI151" s="35" t="str">
        <f>+IF(Tabla43[[#This Row],[AGRUPACIONES]]=1,SUMIFS(Tabla43[TOTAL APORTES ICBF],Tabla43[ZONA DEFINITIVO],Tabla43[[#This Row],[ZONA DEFINITIVO]])," ")</f>
        <v xml:space="preserve"> </v>
      </c>
      <c r="AJ151" s="38"/>
      <c r="AK151" s="38"/>
      <c r="AL151" s="23"/>
      <c r="AM151" s="35">
        <f>VLOOKUP(Tabla43[[#This Row],[SERVICIO 2025]],$J$2:$V$16,5,0)*Tabla43[[#This Row],[TOTAL COBERTURA]]</f>
        <v>1629408</v>
      </c>
      <c r="AN151" s="35">
        <f>VLOOKUP(Tabla43[[#This Row],[SERVICIO 2025]],$J$2:$V$16,6,0)*Tabla43[[#This Row],[TOTAL COBERTURA]]</f>
        <v>1353957</v>
      </c>
      <c r="AO151" s="35">
        <f>VLOOKUP(Tabla43[[#This Row],[SERVICIO 2025]],$J$2:$V$16,8,0)*Tabla43[[#This Row],[TOTAL COBERTURA]]</f>
        <v>960300</v>
      </c>
      <c r="AP151" s="35">
        <f>VLOOKUP(Tabla43[[#This Row],[SERVICIO 2025]],$J$2:$V$16,3,0)*Tabla43[[#This Row],[TOTAL COBERTURA]]*7</f>
        <v>59502366</v>
      </c>
      <c r="AQ151" s="35"/>
      <c r="AR15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63446031</v>
      </c>
      <c r="AS151" s="35" t="str">
        <f>+IF(Tabla43[[#This Row],[AGRUPACIONES]]=1,SUMIFS(Tabla43[VALOR TOTAL],Tabla43[ZONA DEFINITIVO],Tabla43[[#This Row],[ZONA DEFINITIVO]])," ")</f>
        <v xml:space="preserve"> </v>
      </c>
      <c r="AT15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11090046</v>
      </c>
      <c r="AU151" s="35">
        <f>VLOOKUP(Tabla43[[#This Row],[SERVICIO 2025]],$J$2:$V$16,3,0)*Tabla43[[#This Row],[TOTAL COBERTURA]]+Tabla43[[#This Row],[VALOR RACION PREPARADA]]/7</f>
        <v>8500338</v>
      </c>
      <c r="AV151" s="35">
        <f>VLOOKUP(Tabla43[[#This Row],[SERVICIO 2025]],$J$2:$V$16,3,0)*Tabla43[[#This Row],[TOTAL COBERTURA]]+Tabla43[[#This Row],[VALOR RACION PREPARADA]]/7</f>
        <v>8500338</v>
      </c>
      <c r="AW151" s="35">
        <f>VLOOKUP(Tabla43[[#This Row],[SERVICIO 2025]],$J$2:$V$16,3,0)*Tabla43[[#This Row],[TOTAL COBERTURA]]+Tabla43[[#This Row],[VALOR RACION PREPARADA]]/7</f>
        <v>8500338</v>
      </c>
      <c r="AX151" s="35">
        <f>VLOOKUP(Tabla43[[#This Row],[SERVICIO 2025]],$J$2:$V$16,3,0)*Tabla43[[#This Row],[TOTAL COBERTURA]]+Tabla43[[#This Row],[VALOR RACION PREPARADA]]/7</f>
        <v>8500338</v>
      </c>
      <c r="AY151" s="35">
        <f>VLOOKUP(Tabla43[[#This Row],[SERVICIO 2025]],$J$2:$V$16,3,0)*Tabla43[[#This Row],[TOTAL COBERTURA]]+Tabla43[[#This Row],[VALOR RACION PREPARADA]]/7</f>
        <v>8500338</v>
      </c>
      <c r="AZ151" s="35">
        <f>VLOOKUP(Tabla43[[#This Row],[SERVICIO 2025]],$J$2:$V$16,3,0)*Tabla43[[#This Row],[TOTAL COBERTURA]]+Tabla43[[#This Row],[VALOR RACION PREPARADA]]/7+Tabla43[[#This Row],[VALOR FASE PREPARATORIA DE CIERRE]]</f>
        <v>9854295</v>
      </c>
      <c r="BA151" s="35"/>
      <c r="BB151" s="35">
        <f>SUM(Tabla43[[#This Row],[DESEMBOLSO 1]:[DESEMBOLSO 8]])</f>
        <v>63446031</v>
      </c>
      <c r="BC151" s="55">
        <f>VLOOKUP(Tabla43[[#This Row],[SERVICIO 2025]],$J$2:$V$16,10,0)*Tabla43[[#This Row],[TOTAL COBERTURA]]*$W$3</f>
        <v>47621112</v>
      </c>
      <c r="BD151" s="47" t="s">
        <v>211</v>
      </c>
      <c r="BE151" s="12" t="b">
        <f>EXACT(Tabla43[[#This Row],[TOTAL APORTES ICBF]],Tabla43[[#This Row],[VALOR TOTAL]])</f>
        <v>1</v>
      </c>
      <c r="BF151" s="23">
        <f>SUM(Tabla43[[#This Row],[VALOR FASE PREPARATORIA DE ALISTAMIENTO]:[VALOR RACION PREPARADA]])-Tabla43[[#This Row],[VALOR TOTAL]]</f>
        <v>0</v>
      </c>
      <c r="BG151" s="12" t="b">
        <f>EXACT(Tabla43[[#This Row],[VALOR TOTAL]],Tabla43[[#This Row],[TOTAL DESEMBOLSOS]])</f>
        <v>1</v>
      </c>
      <c r="BH151" s="29">
        <f>Tabla43[[#This Row],[TOTAL DESEMBOLSOS]]-Tabla43[[#This Row],[VALOR TOTAL]]</f>
        <v>0</v>
      </c>
      <c r="BJ151" t="s">
        <v>3924</v>
      </c>
    </row>
    <row r="152" spans="1:62" hidden="1">
      <c r="A152" s="13">
        <v>1947</v>
      </c>
      <c r="B152" s="13"/>
      <c r="C152" s="12" t="s">
        <v>87</v>
      </c>
      <c r="D152" s="12" t="s">
        <v>987</v>
      </c>
      <c r="E152" s="12" t="s">
        <v>1404</v>
      </c>
      <c r="F152" s="12" t="s">
        <v>18</v>
      </c>
      <c r="G152" s="12" t="s">
        <v>90</v>
      </c>
      <c r="H152" s="12" t="s">
        <v>4146</v>
      </c>
      <c r="I152" s="12">
        <v>52501152439</v>
      </c>
      <c r="J152" s="12" t="s">
        <v>4147</v>
      </c>
      <c r="K152" s="12">
        <v>1</v>
      </c>
      <c r="L152" s="12">
        <v>29</v>
      </c>
      <c r="M152" s="12"/>
      <c r="N152" s="13">
        <v>1947</v>
      </c>
      <c r="O152" s="12" t="s">
        <v>93</v>
      </c>
      <c r="P152" s="12"/>
      <c r="Q152" s="12"/>
      <c r="R152" s="12" t="s">
        <v>94</v>
      </c>
      <c r="S152" s="12">
        <v>10</v>
      </c>
      <c r="T152" s="12" t="s">
        <v>991</v>
      </c>
      <c r="U152" s="12" t="s">
        <v>992</v>
      </c>
      <c r="V152" s="12">
        <f>VLOOKUP(Tabla43[[#This Row],[ZONA DEFINITIVO]],Hoja1!$A$1:$D$129,3,0)</f>
        <v>229956</v>
      </c>
      <c r="W152" s="12">
        <f>VLOOKUP(Tabla43[[#This Row],[ZONA DEFINITIVO]],Hoja1!$A$1:$D$129,2,0)</f>
        <v>18583</v>
      </c>
      <c r="X152" s="12">
        <f>VLOOKUP(Tabla43[[#This Row],[ZONA DEFINITIVO]],Hoja1!$A$1:$D$129,4,0)</f>
        <v>116725</v>
      </c>
      <c r="Y152" s="12" t="str">
        <f>+IF(Tabla43[[#This Row],[AGRUPACIONES]]=1,SUMIFS(Tabla43[UDS],Tabla43[ZONA DEFINITIVO],Tabla43[[#This Row],[ZONA DEFINITIVO]])," ")</f>
        <v xml:space="preserve"> </v>
      </c>
      <c r="Z152" s="12" t="str">
        <f>+IF(Tabla43[[#This Row],[AGRUPACIONES]]=1,SUMIFS(Tabla43[TOTAL COBERTURA],Tabla43[ZONA DEFINITIVO],Tabla43[[#This Row],[ZONA DEFINITIVO]])," ")</f>
        <v xml:space="preserve"> </v>
      </c>
      <c r="AA152" s="12"/>
      <c r="AB152" s="51">
        <v>55755603</v>
      </c>
      <c r="AC152" s="37">
        <v>0.02</v>
      </c>
      <c r="AD152" s="38">
        <f>Tabla43[[#This Row],[VALOR ATENCIÓN (7 MESES)]]*Tabla43[[#This Row],[% CONTRAPARTIDA]]</f>
        <v>1115112.06</v>
      </c>
      <c r="AE152" s="12"/>
      <c r="AF152" s="12">
        <f>COUNTIF($A$22:A152,A152)</f>
        <v>18</v>
      </c>
      <c r="AG152" s="51">
        <v>55755603</v>
      </c>
      <c r="AH152" s="38">
        <f>Tabla43[[#This Row],[VALOR CONTRAPARTIDA]]+Tabla43[[#This Row],[TOTAL APORTES ICBF]]</f>
        <v>56870715.060000002</v>
      </c>
      <c r="AI152" s="35" t="str">
        <f>+IF(Tabla43[[#This Row],[AGRUPACIONES]]=1,SUMIFS(Tabla43[TOTAL APORTES ICBF],Tabla43[ZONA DEFINITIVO],Tabla43[[#This Row],[ZONA DEFINITIVO]])," ")</f>
        <v xml:space="preserve"> </v>
      </c>
      <c r="AJ152" s="38"/>
      <c r="AK152" s="38"/>
      <c r="AL152" s="23"/>
      <c r="AM152" s="35">
        <f>VLOOKUP(Tabla43[[#This Row],[SERVICIO 2025]],$J$2:$V$16,5,0)*Tabla43[[#This Row],[TOTAL COBERTURA]]</f>
        <v>1431904</v>
      </c>
      <c r="AN152" s="35">
        <f>VLOOKUP(Tabla43[[#This Row],[SERVICIO 2025]],$J$2:$V$16,6,0)*Tabla43[[#This Row],[TOTAL COBERTURA]]</f>
        <v>1189841</v>
      </c>
      <c r="AO152" s="35">
        <f>VLOOKUP(Tabla43[[#This Row],[SERVICIO 2025]],$J$2:$V$16,8,0)*Tabla43[[#This Row],[TOTAL COBERTURA]]</f>
        <v>843900</v>
      </c>
      <c r="AP152" s="35">
        <f>VLOOKUP(Tabla43[[#This Row],[SERVICIO 2025]],$J$2:$V$16,3,0)*Tabla43[[#This Row],[TOTAL COBERTURA]]*7</f>
        <v>52289958</v>
      </c>
      <c r="AQ152" s="35"/>
      <c r="AR15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55755603</v>
      </c>
      <c r="AS152" s="35" t="str">
        <f>+IF(Tabla43[[#This Row],[AGRUPACIONES]]=1,SUMIFS(Tabla43[VALOR TOTAL],Tabla43[ZONA DEFINITIVO],Tabla43[[#This Row],[ZONA DEFINITIVO]])," ")</f>
        <v xml:space="preserve"> </v>
      </c>
      <c r="AT15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9745798</v>
      </c>
      <c r="AU152" s="35">
        <f>VLOOKUP(Tabla43[[#This Row],[SERVICIO 2025]],$J$2:$V$16,3,0)*Tabla43[[#This Row],[TOTAL COBERTURA]]+Tabla43[[#This Row],[VALOR RACION PREPARADA]]/7</f>
        <v>7469994</v>
      </c>
      <c r="AV152" s="35">
        <f>VLOOKUP(Tabla43[[#This Row],[SERVICIO 2025]],$J$2:$V$16,3,0)*Tabla43[[#This Row],[TOTAL COBERTURA]]+Tabla43[[#This Row],[VALOR RACION PREPARADA]]/7</f>
        <v>7469994</v>
      </c>
      <c r="AW152" s="35">
        <f>VLOOKUP(Tabla43[[#This Row],[SERVICIO 2025]],$J$2:$V$16,3,0)*Tabla43[[#This Row],[TOTAL COBERTURA]]+Tabla43[[#This Row],[VALOR RACION PREPARADA]]/7</f>
        <v>7469994</v>
      </c>
      <c r="AX152" s="35">
        <f>VLOOKUP(Tabla43[[#This Row],[SERVICIO 2025]],$J$2:$V$16,3,0)*Tabla43[[#This Row],[TOTAL COBERTURA]]+Tabla43[[#This Row],[VALOR RACION PREPARADA]]/7</f>
        <v>7469994</v>
      </c>
      <c r="AY152" s="35">
        <f>VLOOKUP(Tabla43[[#This Row],[SERVICIO 2025]],$J$2:$V$16,3,0)*Tabla43[[#This Row],[TOTAL COBERTURA]]+Tabla43[[#This Row],[VALOR RACION PREPARADA]]/7</f>
        <v>7469994</v>
      </c>
      <c r="AZ152" s="35">
        <f>VLOOKUP(Tabla43[[#This Row],[SERVICIO 2025]],$J$2:$V$16,3,0)*Tabla43[[#This Row],[TOTAL COBERTURA]]+Tabla43[[#This Row],[VALOR RACION PREPARADA]]/7+Tabla43[[#This Row],[VALOR FASE PREPARATORIA DE CIERRE]]</f>
        <v>8659835</v>
      </c>
      <c r="BA152" s="35"/>
      <c r="BB152" s="35">
        <f>SUM(Tabla43[[#This Row],[DESEMBOLSO 1]:[DESEMBOLSO 8]])</f>
        <v>55755603</v>
      </c>
      <c r="BC152" s="55">
        <f>VLOOKUP(Tabla43[[#This Row],[SERVICIO 2025]],$J$2:$V$16,10,0)*Tabla43[[#This Row],[TOTAL COBERTURA]]*$W$3</f>
        <v>41848856</v>
      </c>
      <c r="BD152" s="47" t="s">
        <v>211</v>
      </c>
      <c r="BE152" s="12" t="b">
        <f>EXACT(Tabla43[[#This Row],[TOTAL APORTES ICBF]],Tabla43[[#This Row],[VALOR TOTAL]])</f>
        <v>1</v>
      </c>
      <c r="BF152" s="23">
        <f>SUM(Tabla43[[#This Row],[VALOR FASE PREPARATORIA DE ALISTAMIENTO]:[VALOR RACION PREPARADA]])-Tabla43[[#This Row],[VALOR TOTAL]]</f>
        <v>0</v>
      </c>
      <c r="BG152" s="12" t="b">
        <f>EXACT(Tabla43[[#This Row],[VALOR TOTAL]],Tabla43[[#This Row],[TOTAL DESEMBOLSOS]])</f>
        <v>1</v>
      </c>
      <c r="BH152" s="29">
        <f>Tabla43[[#This Row],[TOTAL DESEMBOLSOS]]-Tabla43[[#This Row],[VALOR TOTAL]]</f>
        <v>0</v>
      </c>
      <c r="BJ152" t="s">
        <v>3924</v>
      </c>
    </row>
    <row r="153" spans="1:62" hidden="1">
      <c r="A153" s="13">
        <v>1947</v>
      </c>
      <c r="B153" s="13"/>
      <c r="C153" s="12" t="s">
        <v>87</v>
      </c>
      <c r="D153" s="12" t="s">
        <v>987</v>
      </c>
      <c r="E153" s="12" t="s">
        <v>1404</v>
      </c>
      <c r="F153" s="12" t="s">
        <v>18</v>
      </c>
      <c r="G153" s="12" t="s">
        <v>90</v>
      </c>
      <c r="H153" s="12" t="s">
        <v>4148</v>
      </c>
      <c r="I153" s="12">
        <v>52501152909</v>
      </c>
      <c r="J153" s="12" t="s">
        <v>4149</v>
      </c>
      <c r="K153" s="12">
        <v>1</v>
      </c>
      <c r="L153" s="12">
        <v>53</v>
      </c>
      <c r="M153" s="12"/>
      <c r="N153" s="13">
        <v>1947</v>
      </c>
      <c r="O153" s="12" t="s">
        <v>93</v>
      </c>
      <c r="P153" s="12"/>
      <c r="Q153" s="12"/>
      <c r="R153" s="12" t="s">
        <v>94</v>
      </c>
      <c r="S153" s="12">
        <v>10</v>
      </c>
      <c r="T153" s="12" t="s">
        <v>991</v>
      </c>
      <c r="U153" s="12" t="s">
        <v>992</v>
      </c>
      <c r="V153" s="12">
        <f>VLOOKUP(Tabla43[[#This Row],[ZONA DEFINITIVO]],Hoja1!$A$1:$D$129,3,0)</f>
        <v>229956</v>
      </c>
      <c r="W153" s="12">
        <f>VLOOKUP(Tabla43[[#This Row],[ZONA DEFINITIVO]],Hoja1!$A$1:$D$129,2,0)</f>
        <v>18583</v>
      </c>
      <c r="X153" s="12">
        <f>VLOOKUP(Tabla43[[#This Row],[ZONA DEFINITIVO]],Hoja1!$A$1:$D$129,4,0)</f>
        <v>116725</v>
      </c>
      <c r="Y153" s="12" t="str">
        <f>+IF(Tabla43[[#This Row],[AGRUPACIONES]]=1,SUMIFS(Tabla43[UDS],Tabla43[ZONA DEFINITIVO],Tabla43[[#This Row],[ZONA DEFINITIVO]])," ")</f>
        <v xml:space="preserve"> </v>
      </c>
      <c r="Z153" s="12" t="str">
        <f>+IF(Tabla43[[#This Row],[AGRUPACIONES]]=1,SUMIFS(Tabla43[TOTAL COBERTURA],Tabla43[ZONA DEFINITIVO],Tabla43[[#This Row],[ZONA DEFINITIVO]])," ")</f>
        <v xml:space="preserve"> </v>
      </c>
      <c r="AA153" s="12"/>
      <c r="AB153" s="51">
        <v>101898171</v>
      </c>
      <c r="AC153" s="37">
        <v>0.02</v>
      </c>
      <c r="AD153" s="38">
        <f>Tabla43[[#This Row],[VALOR ATENCIÓN (7 MESES)]]*Tabla43[[#This Row],[% CONTRAPARTIDA]]</f>
        <v>2037963.4200000002</v>
      </c>
      <c r="AE153" s="12"/>
      <c r="AF153" s="12">
        <f>COUNTIF($A$22:A153,A153)</f>
        <v>19</v>
      </c>
      <c r="AG153" s="51">
        <v>101898171</v>
      </c>
      <c r="AH153" s="38">
        <f>Tabla43[[#This Row],[VALOR CONTRAPARTIDA]]+Tabla43[[#This Row],[TOTAL APORTES ICBF]]</f>
        <v>103936134.42</v>
      </c>
      <c r="AI153" s="35" t="str">
        <f>+IF(Tabla43[[#This Row],[AGRUPACIONES]]=1,SUMIFS(Tabla43[TOTAL APORTES ICBF],Tabla43[ZONA DEFINITIVO],Tabla43[[#This Row],[ZONA DEFINITIVO]])," ")</f>
        <v xml:space="preserve"> </v>
      </c>
      <c r="AJ153" s="38"/>
      <c r="AK153" s="38"/>
      <c r="AL153" s="23"/>
      <c r="AM153" s="35">
        <f>VLOOKUP(Tabla43[[#This Row],[SERVICIO 2025]],$J$2:$V$16,5,0)*Tabla43[[#This Row],[TOTAL COBERTURA]]</f>
        <v>2616928</v>
      </c>
      <c r="AN153" s="35">
        <f>VLOOKUP(Tabla43[[#This Row],[SERVICIO 2025]],$J$2:$V$16,6,0)*Tabla43[[#This Row],[TOTAL COBERTURA]]</f>
        <v>2174537</v>
      </c>
      <c r="AO153" s="35">
        <f>VLOOKUP(Tabla43[[#This Row],[SERVICIO 2025]],$J$2:$V$16,8,0)*Tabla43[[#This Row],[TOTAL COBERTURA]]</f>
        <v>1542300</v>
      </c>
      <c r="AP153" s="35">
        <f>VLOOKUP(Tabla43[[#This Row],[SERVICIO 2025]],$J$2:$V$16,3,0)*Tabla43[[#This Row],[TOTAL COBERTURA]]*7</f>
        <v>95564406</v>
      </c>
      <c r="AQ153" s="35"/>
      <c r="AR15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101898171</v>
      </c>
      <c r="AS153" s="35" t="str">
        <f>+IF(Tabla43[[#This Row],[AGRUPACIONES]]=1,SUMIFS(Tabla43[VALOR TOTAL],Tabla43[ZONA DEFINITIVO],Tabla43[[#This Row],[ZONA DEFINITIVO]])," ")</f>
        <v xml:space="preserve"> </v>
      </c>
      <c r="AT15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17811286</v>
      </c>
      <c r="AU153" s="35">
        <f>VLOOKUP(Tabla43[[#This Row],[SERVICIO 2025]],$J$2:$V$16,3,0)*Tabla43[[#This Row],[TOTAL COBERTURA]]+Tabla43[[#This Row],[VALOR RACION PREPARADA]]/7</f>
        <v>13652058</v>
      </c>
      <c r="AV153" s="35">
        <f>VLOOKUP(Tabla43[[#This Row],[SERVICIO 2025]],$J$2:$V$16,3,0)*Tabla43[[#This Row],[TOTAL COBERTURA]]+Tabla43[[#This Row],[VALOR RACION PREPARADA]]/7</f>
        <v>13652058</v>
      </c>
      <c r="AW153" s="35">
        <f>VLOOKUP(Tabla43[[#This Row],[SERVICIO 2025]],$J$2:$V$16,3,0)*Tabla43[[#This Row],[TOTAL COBERTURA]]+Tabla43[[#This Row],[VALOR RACION PREPARADA]]/7</f>
        <v>13652058</v>
      </c>
      <c r="AX153" s="35">
        <f>VLOOKUP(Tabla43[[#This Row],[SERVICIO 2025]],$J$2:$V$16,3,0)*Tabla43[[#This Row],[TOTAL COBERTURA]]+Tabla43[[#This Row],[VALOR RACION PREPARADA]]/7</f>
        <v>13652058</v>
      </c>
      <c r="AY153" s="35">
        <f>VLOOKUP(Tabla43[[#This Row],[SERVICIO 2025]],$J$2:$V$16,3,0)*Tabla43[[#This Row],[TOTAL COBERTURA]]+Tabla43[[#This Row],[VALOR RACION PREPARADA]]/7</f>
        <v>13652058</v>
      </c>
      <c r="AZ153" s="35">
        <f>VLOOKUP(Tabla43[[#This Row],[SERVICIO 2025]],$J$2:$V$16,3,0)*Tabla43[[#This Row],[TOTAL COBERTURA]]+Tabla43[[#This Row],[VALOR RACION PREPARADA]]/7+Tabla43[[#This Row],[VALOR FASE PREPARATORIA DE CIERRE]]</f>
        <v>15826595</v>
      </c>
      <c r="BA153" s="35"/>
      <c r="BB153" s="35">
        <f>SUM(Tabla43[[#This Row],[DESEMBOLSO 1]:[DESEMBOLSO 8]])</f>
        <v>101898171</v>
      </c>
      <c r="BC153" s="55">
        <f>VLOOKUP(Tabla43[[#This Row],[SERVICIO 2025]],$J$2:$V$16,10,0)*Tabla43[[#This Row],[TOTAL COBERTURA]]*$W$3</f>
        <v>76482392</v>
      </c>
      <c r="BD153" s="47" t="s">
        <v>211</v>
      </c>
      <c r="BE153" s="12" t="b">
        <f>EXACT(Tabla43[[#This Row],[TOTAL APORTES ICBF]],Tabla43[[#This Row],[VALOR TOTAL]])</f>
        <v>1</v>
      </c>
      <c r="BF153" s="23">
        <f>SUM(Tabla43[[#This Row],[VALOR FASE PREPARATORIA DE ALISTAMIENTO]:[VALOR RACION PREPARADA]])-Tabla43[[#This Row],[VALOR TOTAL]]</f>
        <v>0</v>
      </c>
      <c r="BG153" s="12" t="b">
        <f>EXACT(Tabla43[[#This Row],[VALOR TOTAL]],Tabla43[[#This Row],[TOTAL DESEMBOLSOS]])</f>
        <v>1</v>
      </c>
      <c r="BH153" s="29">
        <f>Tabla43[[#This Row],[TOTAL DESEMBOLSOS]]-Tabla43[[#This Row],[VALOR TOTAL]]</f>
        <v>0</v>
      </c>
      <c r="BJ153" t="s">
        <v>3924</v>
      </c>
    </row>
    <row r="154" spans="1:62" hidden="1">
      <c r="A154" s="13">
        <v>1947</v>
      </c>
      <c r="B154" s="13"/>
      <c r="C154" s="12" t="s">
        <v>87</v>
      </c>
      <c r="D154" s="12" t="s">
        <v>987</v>
      </c>
      <c r="E154" s="12" t="s">
        <v>1404</v>
      </c>
      <c r="F154" s="12" t="s">
        <v>18</v>
      </c>
      <c r="G154" s="12" t="s">
        <v>90</v>
      </c>
      <c r="H154" s="12" t="s">
        <v>4148</v>
      </c>
      <c r="I154" s="12">
        <v>52501152912</v>
      </c>
      <c r="J154" s="12" t="s">
        <v>4150</v>
      </c>
      <c r="K154" s="12">
        <v>1</v>
      </c>
      <c r="L154" s="12">
        <v>53</v>
      </c>
      <c r="M154" s="12"/>
      <c r="N154" s="13">
        <v>1947</v>
      </c>
      <c r="O154" s="12" t="s">
        <v>93</v>
      </c>
      <c r="P154" s="12"/>
      <c r="Q154" s="12"/>
      <c r="R154" s="12" t="s">
        <v>94</v>
      </c>
      <c r="S154" s="12">
        <v>10</v>
      </c>
      <c r="T154" s="12" t="s">
        <v>991</v>
      </c>
      <c r="U154" s="12" t="s">
        <v>992</v>
      </c>
      <c r="V154" s="12">
        <f>VLOOKUP(Tabla43[[#This Row],[ZONA DEFINITIVO]],Hoja1!$A$1:$D$129,3,0)</f>
        <v>229956</v>
      </c>
      <c r="W154" s="12">
        <f>VLOOKUP(Tabla43[[#This Row],[ZONA DEFINITIVO]],Hoja1!$A$1:$D$129,2,0)</f>
        <v>18583</v>
      </c>
      <c r="X154" s="12">
        <f>VLOOKUP(Tabla43[[#This Row],[ZONA DEFINITIVO]],Hoja1!$A$1:$D$129,4,0)</f>
        <v>116725</v>
      </c>
      <c r="Y154" s="12" t="str">
        <f>+IF(Tabla43[[#This Row],[AGRUPACIONES]]=1,SUMIFS(Tabla43[UDS],Tabla43[ZONA DEFINITIVO],Tabla43[[#This Row],[ZONA DEFINITIVO]])," ")</f>
        <v xml:space="preserve"> </v>
      </c>
      <c r="Z154" s="12" t="str">
        <f>+IF(Tabla43[[#This Row],[AGRUPACIONES]]=1,SUMIFS(Tabla43[TOTAL COBERTURA],Tabla43[ZONA DEFINITIVO],Tabla43[[#This Row],[ZONA DEFINITIVO]])," ")</f>
        <v xml:space="preserve"> </v>
      </c>
      <c r="AA154" s="12"/>
      <c r="AB154" s="51">
        <v>101898171</v>
      </c>
      <c r="AC154" s="37">
        <v>0.02</v>
      </c>
      <c r="AD154" s="38">
        <f>Tabla43[[#This Row],[VALOR ATENCIÓN (7 MESES)]]*Tabla43[[#This Row],[% CONTRAPARTIDA]]</f>
        <v>2037963.4200000002</v>
      </c>
      <c r="AE154" s="12"/>
      <c r="AF154" s="12">
        <f>COUNTIF($A$22:A154,A154)</f>
        <v>20</v>
      </c>
      <c r="AG154" s="51">
        <v>101898171</v>
      </c>
      <c r="AH154" s="38">
        <f>Tabla43[[#This Row],[VALOR CONTRAPARTIDA]]+Tabla43[[#This Row],[TOTAL APORTES ICBF]]</f>
        <v>103936134.42</v>
      </c>
      <c r="AI154" s="35" t="str">
        <f>+IF(Tabla43[[#This Row],[AGRUPACIONES]]=1,SUMIFS(Tabla43[TOTAL APORTES ICBF],Tabla43[ZONA DEFINITIVO],Tabla43[[#This Row],[ZONA DEFINITIVO]])," ")</f>
        <v xml:space="preserve"> </v>
      </c>
      <c r="AJ154" s="38"/>
      <c r="AK154" s="38"/>
      <c r="AL154" s="23"/>
      <c r="AM154" s="35">
        <f>VLOOKUP(Tabla43[[#This Row],[SERVICIO 2025]],$J$2:$V$16,5,0)*Tabla43[[#This Row],[TOTAL COBERTURA]]</f>
        <v>2616928</v>
      </c>
      <c r="AN154" s="35">
        <f>VLOOKUP(Tabla43[[#This Row],[SERVICIO 2025]],$J$2:$V$16,6,0)*Tabla43[[#This Row],[TOTAL COBERTURA]]</f>
        <v>2174537</v>
      </c>
      <c r="AO154" s="35">
        <f>VLOOKUP(Tabla43[[#This Row],[SERVICIO 2025]],$J$2:$V$16,8,0)*Tabla43[[#This Row],[TOTAL COBERTURA]]</f>
        <v>1542300</v>
      </c>
      <c r="AP154" s="35">
        <f>VLOOKUP(Tabla43[[#This Row],[SERVICIO 2025]],$J$2:$V$16,3,0)*Tabla43[[#This Row],[TOTAL COBERTURA]]*7</f>
        <v>95564406</v>
      </c>
      <c r="AQ154" s="35"/>
      <c r="AR15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101898171</v>
      </c>
      <c r="AS154" s="35" t="str">
        <f>+IF(Tabla43[[#This Row],[AGRUPACIONES]]=1,SUMIFS(Tabla43[VALOR TOTAL],Tabla43[ZONA DEFINITIVO],Tabla43[[#This Row],[ZONA DEFINITIVO]])," ")</f>
        <v xml:space="preserve"> </v>
      </c>
      <c r="AT15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17811286</v>
      </c>
      <c r="AU154" s="35">
        <f>VLOOKUP(Tabla43[[#This Row],[SERVICIO 2025]],$J$2:$V$16,3,0)*Tabla43[[#This Row],[TOTAL COBERTURA]]+Tabla43[[#This Row],[VALOR RACION PREPARADA]]/7</f>
        <v>13652058</v>
      </c>
      <c r="AV154" s="35">
        <f>VLOOKUP(Tabla43[[#This Row],[SERVICIO 2025]],$J$2:$V$16,3,0)*Tabla43[[#This Row],[TOTAL COBERTURA]]+Tabla43[[#This Row],[VALOR RACION PREPARADA]]/7</f>
        <v>13652058</v>
      </c>
      <c r="AW154" s="35">
        <f>VLOOKUP(Tabla43[[#This Row],[SERVICIO 2025]],$J$2:$V$16,3,0)*Tabla43[[#This Row],[TOTAL COBERTURA]]+Tabla43[[#This Row],[VALOR RACION PREPARADA]]/7</f>
        <v>13652058</v>
      </c>
      <c r="AX154" s="35">
        <f>VLOOKUP(Tabla43[[#This Row],[SERVICIO 2025]],$J$2:$V$16,3,0)*Tabla43[[#This Row],[TOTAL COBERTURA]]+Tabla43[[#This Row],[VALOR RACION PREPARADA]]/7</f>
        <v>13652058</v>
      </c>
      <c r="AY154" s="35">
        <f>VLOOKUP(Tabla43[[#This Row],[SERVICIO 2025]],$J$2:$V$16,3,0)*Tabla43[[#This Row],[TOTAL COBERTURA]]+Tabla43[[#This Row],[VALOR RACION PREPARADA]]/7</f>
        <v>13652058</v>
      </c>
      <c r="AZ154" s="35">
        <f>VLOOKUP(Tabla43[[#This Row],[SERVICIO 2025]],$J$2:$V$16,3,0)*Tabla43[[#This Row],[TOTAL COBERTURA]]+Tabla43[[#This Row],[VALOR RACION PREPARADA]]/7+Tabla43[[#This Row],[VALOR FASE PREPARATORIA DE CIERRE]]</f>
        <v>15826595</v>
      </c>
      <c r="BA154" s="35"/>
      <c r="BB154" s="35">
        <f>SUM(Tabla43[[#This Row],[DESEMBOLSO 1]:[DESEMBOLSO 8]])</f>
        <v>101898171</v>
      </c>
      <c r="BC154" s="55">
        <f>VLOOKUP(Tabla43[[#This Row],[SERVICIO 2025]],$J$2:$V$16,10,0)*Tabla43[[#This Row],[TOTAL COBERTURA]]*$W$3</f>
        <v>76482392</v>
      </c>
      <c r="BD154" s="47" t="s">
        <v>211</v>
      </c>
      <c r="BE154" s="12" t="b">
        <f>EXACT(Tabla43[[#This Row],[TOTAL APORTES ICBF]],Tabla43[[#This Row],[VALOR TOTAL]])</f>
        <v>1</v>
      </c>
      <c r="BF154" s="23">
        <f>SUM(Tabla43[[#This Row],[VALOR FASE PREPARATORIA DE ALISTAMIENTO]:[VALOR RACION PREPARADA]])-Tabla43[[#This Row],[VALOR TOTAL]]</f>
        <v>0</v>
      </c>
      <c r="BG154" s="12" t="b">
        <f>EXACT(Tabla43[[#This Row],[VALOR TOTAL]],Tabla43[[#This Row],[TOTAL DESEMBOLSOS]])</f>
        <v>1</v>
      </c>
      <c r="BH154" s="29">
        <f>Tabla43[[#This Row],[TOTAL DESEMBOLSOS]]-Tabla43[[#This Row],[VALOR TOTAL]]</f>
        <v>0</v>
      </c>
      <c r="BJ154" t="s">
        <v>3924</v>
      </c>
    </row>
    <row r="155" spans="1:62" hidden="1">
      <c r="A155" s="13">
        <v>1973</v>
      </c>
      <c r="B155" s="13"/>
      <c r="C155" s="12" t="s">
        <v>87</v>
      </c>
      <c r="D155" s="12" t="s">
        <v>462</v>
      </c>
      <c r="E155" s="12" t="s">
        <v>4151</v>
      </c>
      <c r="F155" s="12" t="s">
        <v>18</v>
      </c>
      <c r="G155" s="12" t="s">
        <v>90</v>
      </c>
      <c r="H155" s="12" t="s">
        <v>4152</v>
      </c>
      <c r="I155" s="12">
        <v>54901118859</v>
      </c>
      <c r="J155" s="12" t="s">
        <v>4153</v>
      </c>
      <c r="K155" s="12">
        <v>1</v>
      </c>
      <c r="L155" s="12">
        <v>30</v>
      </c>
      <c r="M155" s="12"/>
      <c r="N155" s="13">
        <v>1973</v>
      </c>
      <c r="O155" s="12" t="s">
        <v>93</v>
      </c>
      <c r="P155" s="12"/>
      <c r="Q155" s="12"/>
      <c r="R155" s="12" t="s">
        <v>94</v>
      </c>
      <c r="S155" s="12">
        <v>10</v>
      </c>
      <c r="T155" s="12" t="s">
        <v>2502</v>
      </c>
      <c r="U155" s="12" t="s">
        <v>2503</v>
      </c>
      <c r="V155" s="12">
        <f>VLOOKUP(Tabla43[[#This Row],[ZONA DEFINITIVO]],Hoja1!$A$1:$D$129,3,0)</f>
        <v>229958</v>
      </c>
      <c r="W155" s="12">
        <f>VLOOKUP(Tabla43[[#This Row],[ZONA DEFINITIVO]],Hoja1!$A$1:$D$129,2,0)</f>
        <v>18597</v>
      </c>
      <c r="X155" s="12">
        <f>VLOOKUP(Tabla43[[#This Row],[ZONA DEFINITIVO]],Hoja1!$A$1:$D$129,4,0)</f>
        <v>117825</v>
      </c>
      <c r="Y155" s="12">
        <f>+IF(Tabla43[[#This Row],[AGRUPACIONES]]=1,SUMIFS(Tabla43[UDS],Tabla43[ZONA DEFINITIVO],Tabla43[[#This Row],[ZONA DEFINITIVO]])," ")</f>
        <v>13</v>
      </c>
      <c r="Z155" s="12">
        <f>+IF(Tabla43[[#This Row],[AGRUPACIONES]]=1,SUMIFS(Tabla43[TOTAL COBERTURA],Tabla43[ZONA DEFINITIVO],Tabla43[[#This Row],[ZONA DEFINITIVO]])," ")</f>
        <v>676</v>
      </c>
      <c r="AA155" s="12"/>
      <c r="AB155" s="51">
        <v>57678210</v>
      </c>
      <c r="AC155" s="37">
        <v>0.02</v>
      </c>
      <c r="AD155" s="38">
        <f>Tabla43[[#This Row],[VALOR ATENCIÓN (7 MESES)]]*Tabla43[[#This Row],[% CONTRAPARTIDA]]</f>
        <v>1153564.2</v>
      </c>
      <c r="AE155" s="12"/>
      <c r="AF155" s="12">
        <f>COUNTIF($A$22:A155,A155)</f>
        <v>1</v>
      </c>
      <c r="AG155" s="51">
        <v>57678210</v>
      </c>
      <c r="AH155" s="38">
        <f>Tabla43[[#This Row],[VALOR CONTRAPARTIDA]]+Tabla43[[#This Row],[TOTAL APORTES ICBF]]</f>
        <v>58831774.200000003</v>
      </c>
      <c r="AI155" s="35">
        <f>+IF(Tabla43[[#This Row],[AGRUPACIONES]]=1,SUMIFS(Tabla43[TOTAL APORTES ICBF],Tabla43[ZONA DEFINITIVO],Tabla43[[#This Row],[ZONA DEFINITIVO]])," ")</f>
        <v>1517483394</v>
      </c>
      <c r="AJ155" s="38">
        <f>ROUND(+IF(Tabla43[[#This Row],[AGRUPACIONES]]=1,SUMIFS(Tabla43[VALOR CONTRAPARTIDA],Tabla43[ZONA DEFINITIVO],Tabla43[[#This Row],[ZONA DEFINITIVO]])," "),0)</f>
        <v>30349668</v>
      </c>
      <c r="AK155" s="38">
        <f>Tabla43[[#This Row],[TOTAL APORTES ICBF AGRUPADO]]+Tabla43[[#This Row],[TOTAL CONTRAPARTIDA AGRUPADO]]</f>
        <v>1547833062</v>
      </c>
      <c r="AL155" s="23">
        <f>Tabla43[[#This Row],[VALOR TOTAL CONTRATO AGRUPADO]]/$AL$20</f>
        <v>1087.3432118018968</v>
      </c>
      <c r="AM155" s="35">
        <f>VLOOKUP(Tabla43[[#This Row],[SERVICIO 2025]],$J$2:$V$16,5,0)*Tabla43[[#This Row],[TOTAL COBERTURA]]</f>
        <v>1481280</v>
      </c>
      <c r="AN155" s="35">
        <f>VLOOKUP(Tabla43[[#This Row],[SERVICIO 2025]],$J$2:$V$16,6,0)*Tabla43[[#This Row],[TOTAL COBERTURA]]</f>
        <v>1230870</v>
      </c>
      <c r="AO155" s="35">
        <f>VLOOKUP(Tabla43[[#This Row],[SERVICIO 2025]],$J$2:$V$16,8,0)*Tabla43[[#This Row],[TOTAL COBERTURA]]</f>
        <v>873000</v>
      </c>
      <c r="AP155" s="35">
        <f>VLOOKUP(Tabla43[[#This Row],[SERVICIO 2025]],$J$2:$V$16,3,0)*Tabla43[[#This Row],[TOTAL COBERTURA]]*7</f>
        <v>54093060</v>
      </c>
      <c r="AQ155" s="35"/>
      <c r="AR15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57678210</v>
      </c>
      <c r="AS155" s="35">
        <f>+IF(Tabla43[[#This Row],[AGRUPACIONES]]=1,SUMIFS(Tabla43[VALOR TOTAL],Tabla43[ZONA DEFINITIVO],Tabla43[[#This Row],[ZONA DEFINITIVO]])," ")</f>
        <v>1517483394</v>
      </c>
      <c r="AT15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10081860</v>
      </c>
      <c r="AU155" s="35">
        <f>VLOOKUP(Tabla43[[#This Row],[SERVICIO 2025]],$J$2:$V$16,3,0)*Tabla43[[#This Row],[TOTAL COBERTURA]]+Tabla43[[#This Row],[VALOR RACION PREPARADA]]/7</f>
        <v>7727580</v>
      </c>
      <c r="AV155" s="35">
        <f>VLOOKUP(Tabla43[[#This Row],[SERVICIO 2025]],$J$2:$V$16,3,0)*Tabla43[[#This Row],[TOTAL COBERTURA]]+Tabla43[[#This Row],[VALOR RACION PREPARADA]]/7</f>
        <v>7727580</v>
      </c>
      <c r="AW155" s="35">
        <f>VLOOKUP(Tabla43[[#This Row],[SERVICIO 2025]],$J$2:$V$16,3,0)*Tabla43[[#This Row],[TOTAL COBERTURA]]+Tabla43[[#This Row],[VALOR RACION PREPARADA]]/7</f>
        <v>7727580</v>
      </c>
      <c r="AX155" s="35">
        <f>VLOOKUP(Tabla43[[#This Row],[SERVICIO 2025]],$J$2:$V$16,3,0)*Tabla43[[#This Row],[TOTAL COBERTURA]]+Tabla43[[#This Row],[VALOR RACION PREPARADA]]/7</f>
        <v>7727580</v>
      </c>
      <c r="AY155" s="35">
        <f>VLOOKUP(Tabla43[[#This Row],[SERVICIO 2025]],$J$2:$V$16,3,0)*Tabla43[[#This Row],[TOTAL COBERTURA]]+Tabla43[[#This Row],[VALOR RACION PREPARADA]]/7</f>
        <v>7727580</v>
      </c>
      <c r="AZ155" s="35">
        <f>VLOOKUP(Tabla43[[#This Row],[SERVICIO 2025]],$J$2:$V$16,3,0)*Tabla43[[#This Row],[TOTAL COBERTURA]]+Tabla43[[#This Row],[VALOR RACION PREPARADA]]/7+Tabla43[[#This Row],[VALOR FASE PREPARATORIA DE CIERRE]]</f>
        <v>8958450</v>
      </c>
      <c r="BA155" s="35"/>
      <c r="BB155" s="35">
        <f>SUM(Tabla43[[#This Row],[DESEMBOLSO 1]:[DESEMBOLSO 8]])</f>
        <v>57678210</v>
      </c>
      <c r="BC155" s="55">
        <f>VLOOKUP(Tabla43[[#This Row],[SERVICIO 2025]],$J$2:$V$16,10,0)*Tabla43[[#This Row],[TOTAL COBERTURA]]*$W$3</f>
        <v>43291920</v>
      </c>
      <c r="BD155" s="47" t="s">
        <v>211</v>
      </c>
      <c r="BE155" s="12" t="b">
        <f>EXACT(Tabla43[[#This Row],[TOTAL APORTES ICBF]],Tabla43[[#This Row],[VALOR TOTAL]])</f>
        <v>1</v>
      </c>
      <c r="BF155" s="23">
        <f>SUM(Tabla43[[#This Row],[VALOR FASE PREPARATORIA DE ALISTAMIENTO]:[VALOR RACION PREPARADA]])-Tabla43[[#This Row],[VALOR TOTAL]]</f>
        <v>0</v>
      </c>
      <c r="BG155" s="12" t="b">
        <f>EXACT(Tabla43[[#This Row],[VALOR TOTAL]],Tabla43[[#This Row],[TOTAL DESEMBOLSOS]])</f>
        <v>1</v>
      </c>
      <c r="BH155" s="29">
        <f>Tabla43[[#This Row],[TOTAL DESEMBOLSOS]]-Tabla43[[#This Row],[VALOR TOTAL]]</f>
        <v>0</v>
      </c>
      <c r="BJ155" t="s">
        <v>3924</v>
      </c>
    </row>
    <row r="156" spans="1:62" hidden="1">
      <c r="A156" s="13">
        <v>1973</v>
      </c>
      <c r="B156" s="13"/>
      <c r="C156" s="12" t="s">
        <v>87</v>
      </c>
      <c r="D156" s="12" t="s">
        <v>462</v>
      </c>
      <c r="E156" s="12" t="s">
        <v>4151</v>
      </c>
      <c r="F156" s="12" t="s">
        <v>18</v>
      </c>
      <c r="G156" s="12" t="s">
        <v>90</v>
      </c>
      <c r="H156" s="12" t="s">
        <v>4154</v>
      </c>
      <c r="I156" s="12">
        <v>54901118860</v>
      </c>
      <c r="J156" s="12" t="s">
        <v>4155</v>
      </c>
      <c r="K156" s="12">
        <v>1</v>
      </c>
      <c r="L156" s="12">
        <v>25</v>
      </c>
      <c r="M156" s="12"/>
      <c r="N156" s="13">
        <v>1973</v>
      </c>
      <c r="O156" s="12" t="s">
        <v>93</v>
      </c>
      <c r="P156" s="12"/>
      <c r="Q156" s="12"/>
      <c r="R156" s="12" t="s">
        <v>94</v>
      </c>
      <c r="S156" s="12">
        <v>10</v>
      </c>
      <c r="T156" s="12" t="s">
        <v>2502</v>
      </c>
      <c r="U156" s="12" t="s">
        <v>2503</v>
      </c>
      <c r="V156" s="12">
        <f>VLOOKUP(Tabla43[[#This Row],[ZONA DEFINITIVO]],Hoja1!$A$1:$D$129,3,0)</f>
        <v>229958</v>
      </c>
      <c r="W156" s="12">
        <f>VLOOKUP(Tabla43[[#This Row],[ZONA DEFINITIVO]],Hoja1!$A$1:$D$129,2,0)</f>
        <v>18597</v>
      </c>
      <c r="X156" s="12">
        <f>VLOOKUP(Tabla43[[#This Row],[ZONA DEFINITIVO]],Hoja1!$A$1:$D$129,4,0)</f>
        <v>117825</v>
      </c>
      <c r="Y156" s="12" t="str">
        <f>+IF(Tabla43[[#This Row],[AGRUPACIONES]]=1,SUMIFS(Tabla43[UDS],Tabla43[ZONA DEFINITIVO],Tabla43[[#This Row],[ZONA DEFINITIVO]])," ")</f>
        <v xml:space="preserve"> </v>
      </c>
      <c r="Z156" s="12" t="str">
        <f>+IF(Tabla43[[#This Row],[AGRUPACIONES]]=1,SUMIFS(Tabla43[TOTAL COBERTURA],Tabla43[ZONA DEFINITIVO],Tabla43[[#This Row],[ZONA DEFINITIVO]])," ")</f>
        <v xml:space="preserve"> </v>
      </c>
      <c r="AA156" s="12"/>
      <c r="AB156" s="51">
        <v>48065175</v>
      </c>
      <c r="AC156" s="37">
        <v>0.02</v>
      </c>
      <c r="AD156" s="38">
        <f>Tabla43[[#This Row],[VALOR ATENCIÓN (7 MESES)]]*Tabla43[[#This Row],[% CONTRAPARTIDA]]</f>
        <v>961303.5</v>
      </c>
      <c r="AE156" s="12"/>
      <c r="AF156" s="12">
        <f>COUNTIF($A$22:A156,A156)</f>
        <v>2</v>
      </c>
      <c r="AG156" s="51">
        <v>48065175</v>
      </c>
      <c r="AH156" s="38">
        <f>Tabla43[[#This Row],[VALOR CONTRAPARTIDA]]+Tabla43[[#This Row],[TOTAL APORTES ICBF]]</f>
        <v>49026478.5</v>
      </c>
      <c r="AI156" s="35" t="str">
        <f>+IF(Tabla43[[#This Row],[AGRUPACIONES]]=1,SUMIFS(Tabla43[TOTAL APORTES ICBF],Tabla43[ZONA DEFINITIVO],Tabla43[[#This Row],[ZONA DEFINITIVO]])," ")</f>
        <v xml:space="preserve"> </v>
      </c>
      <c r="AJ156" s="38"/>
      <c r="AK156" s="38"/>
      <c r="AL156" s="23"/>
      <c r="AM156" s="35">
        <f>VLOOKUP(Tabla43[[#This Row],[SERVICIO 2025]],$J$2:$V$16,5,0)*Tabla43[[#This Row],[TOTAL COBERTURA]]</f>
        <v>1234400</v>
      </c>
      <c r="AN156" s="35">
        <f>VLOOKUP(Tabla43[[#This Row],[SERVICIO 2025]],$J$2:$V$16,6,0)*Tabla43[[#This Row],[TOTAL COBERTURA]]</f>
        <v>1025725</v>
      </c>
      <c r="AO156" s="35">
        <f>VLOOKUP(Tabla43[[#This Row],[SERVICIO 2025]],$J$2:$V$16,8,0)*Tabla43[[#This Row],[TOTAL COBERTURA]]</f>
        <v>727500</v>
      </c>
      <c r="AP156" s="35">
        <f>VLOOKUP(Tabla43[[#This Row],[SERVICIO 2025]],$J$2:$V$16,3,0)*Tabla43[[#This Row],[TOTAL COBERTURA]]*7</f>
        <v>45077550</v>
      </c>
      <c r="AQ156" s="35"/>
      <c r="AR15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48065175</v>
      </c>
      <c r="AS156" s="35" t="str">
        <f>+IF(Tabla43[[#This Row],[AGRUPACIONES]]=1,SUMIFS(Tabla43[VALOR TOTAL],Tabla43[ZONA DEFINITIVO],Tabla43[[#This Row],[ZONA DEFINITIVO]])," ")</f>
        <v xml:space="preserve"> </v>
      </c>
      <c r="AT15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8401550</v>
      </c>
      <c r="AU156" s="35">
        <f>VLOOKUP(Tabla43[[#This Row],[SERVICIO 2025]],$J$2:$V$16,3,0)*Tabla43[[#This Row],[TOTAL COBERTURA]]+Tabla43[[#This Row],[VALOR RACION PREPARADA]]/7</f>
        <v>6439650</v>
      </c>
      <c r="AV156" s="35">
        <f>VLOOKUP(Tabla43[[#This Row],[SERVICIO 2025]],$J$2:$V$16,3,0)*Tabla43[[#This Row],[TOTAL COBERTURA]]+Tabla43[[#This Row],[VALOR RACION PREPARADA]]/7</f>
        <v>6439650</v>
      </c>
      <c r="AW156" s="35">
        <f>VLOOKUP(Tabla43[[#This Row],[SERVICIO 2025]],$J$2:$V$16,3,0)*Tabla43[[#This Row],[TOTAL COBERTURA]]+Tabla43[[#This Row],[VALOR RACION PREPARADA]]/7</f>
        <v>6439650</v>
      </c>
      <c r="AX156" s="35">
        <f>VLOOKUP(Tabla43[[#This Row],[SERVICIO 2025]],$J$2:$V$16,3,0)*Tabla43[[#This Row],[TOTAL COBERTURA]]+Tabla43[[#This Row],[VALOR RACION PREPARADA]]/7</f>
        <v>6439650</v>
      </c>
      <c r="AY156" s="35">
        <f>VLOOKUP(Tabla43[[#This Row],[SERVICIO 2025]],$J$2:$V$16,3,0)*Tabla43[[#This Row],[TOTAL COBERTURA]]+Tabla43[[#This Row],[VALOR RACION PREPARADA]]/7</f>
        <v>6439650</v>
      </c>
      <c r="AZ156" s="35">
        <f>VLOOKUP(Tabla43[[#This Row],[SERVICIO 2025]],$J$2:$V$16,3,0)*Tabla43[[#This Row],[TOTAL COBERTURA]]+Tabla43[[#This Row],[VALOR RACION PREPARADA]]/7+Tabla43[[#This Row],[VALOR FASE PREPARATORIA DE CIERRE]]</f>
        <v>7465375</v>
      </c>
      <c r="BA156" s="35"/>
      <c r="BB156" s="35">
        <f>SUM(Tabla43[[#This Row],[DESEMBOLSO 1]:[DESEMBOLSO 8]])</f>
        <v>48065175</v>
      </c>
      <c r="BC156" s="55">
        <f>VLOOKUP(Tabla43[[#This Row],[SERVICIO 2025]],$J$2:$V$16,10,0)*Tabla43[[#This Row],[TOTAL COBERTURA]]*$W$3</f>
        <v>36076600</v>
      </c>
      <c r="BD156" s="47" t="s">
        <v>211</v>
      </c>
      <c r="BE156" s="12" t="b">
        <f>EXACT(Tabla43[[#This Row],[TOTAL APORTES ICBF]],Tabla43[[#This Row],[VALOR TOTAL]])</f>
        <v>1</v>
      </c>
      <c r="BF156" s="23">
        <f>SUM(Tabla43[[#This Row],[VALOR FASE PREPARATORIA DE ALISTAMIENTO]:[VALOR RACION PREPARADA]])-Tabla43[[#This Row],[VALOR TOTAL]]</f>
        <v>0</v>
      </c>
      <c r="BG156" s="12" t="b">
        <f>EXACT(Tabla43[[#This Row],[VALOR TOTAL]],Tabla43[[#This Row],[TOTAL DESEMBOLSOS]])</f>
        <v>1</v>
      </c>
      <c r="BH156" s="29">
        <f>Tabla43[[#This Row],[TOTAL DESEMBOLSOS]]-Tabla43[[#This Row],[VALOR TOTAL]]</f>
        <v>0</v>
      </c>
      <c r="BJ156" t="s">
        <v>3924</v>
      </c>
    </row>
    <row r="157" spans="1:62" hidden="1">
      <c r="A157" s="13">
        <v>1973</v>
      </c>
      <c r="B157" s="13"/>
      <c r="C157" s="12" t="s">
        <v>87</v>
      </c>
      <c r="D157" s="12" t="s">
        <v>462</v>
      </c>
      <c r="E157" s="12" t="s">
        <v>4151</v>
      </c>
      <c r="F157" s="12" t="s">
        <v>18</v>
      </c>
      <c r="G157" s="12" t="s">
        <v>90</v>
      </c>
      <c r="H157" s="12" t="s">
        <v>4156</v>
      </c>
      <c r="I157" s="12">
        <v>54901118865</v>
      </c>
      <c r="J157" s="12" t="s">
        <v>4157</v>
      </c>
      <c r="K157" s="12">
        <v>1</v>
      </c>
      <c r="L157" s="12">
        <v>29</v>
      </c>
      <c r="M157" s="12"/>
      <c r="N157" s="13">
        <v>1973</v>
      </c>
      <c r="O157" s="12" t="s">
        <v>93</v>
      </c>
      <c r="P157" s="12"/>
      <c r="Q157" s="12"/>
      <c r="R157" s="12" t="s">
        <v>94</v>
      </c>
      <c r="S157" s="12">
        <v>10</v>
      </c>
      <c r="T157" s="12" t="s">
        <v>2502</v>
      </c>
      <c r="U157" s="12" t="s">
        <v>2503</v>
      </c>
      <c r="V157" s="12">
        <f>VLOOKUP(Tabla43[[#This Row],[ZONA DEFINITIVO]],Hoja1!$A$1:$D$129,3,0)</f>
        <v>229958</v>
      </c>
      <c r="W157" s="12">
        <f>VLOOKUP(Tabla43[[#This Row],[ZONA DEFINITIVO]],Hoja1!$A$1:$D$129,2,0)</f>
        <v>18597</v>
      </c>
      <c r="X157" s="12">
        <f>VLOOKUP(Tabla43[[#This Row],[ZONA DEFINITIVO]],Hoja1!$A$1:$D$129,4,0)</f>
        <v>117825</v>
      </c>
      <c r="Y157" s="12" t="str">
        <f>+IF(Tabla43[[#This Row],[AGRUPACIONES]]=1,SUMIFS(Tabla43[UDS],Tabla43[ZONA DEFINITIVO],Tabla43[[#This Row],[ZONA DEFINITIVO]])," ")</f>
        <v xml:space="preserve"> </v>
      </c>
      <c r="Z157" s="12" t="str">
        <f>+IF(Tabla43[[#This Row],[AGRUPACIONES]]=1,SUMIFS(Tabla43[TOTAL COBERTURA],Tabla43[ZONA DEFINITIVO],Tabla43[[#This Row],[ZONA DEFINITIVO]])," ")</f>
        <v xml:space="preserve"> </v>
      </c>
      <c r="AA157" s="12"/>
      <c r="AB157" s="51">
        <v>55755603</v>
      </c>
      <c r="AC157" s="37">
        <v>0.02</v>
      </c>
      <c r="AD157" s="38">
        <f>Tabla43[[#This Row],[VALOR ATENCIÓN (7 MESES)]]*Tabla43[[#This Row],[% CONTRAPARTIDA]]</f>
        <v>1115112.06</v>
      </c>
      <c r="AE157" s="12"/>
      <c r="AF157" s="12">
        <f>COUNTIF($A$22:A157,A157)</f>
        <v>3</v>
      </c>
      <c r="AG157" s="51">
        <v>55755603</v>
      </c>
      <c r="AH157" s="38">
        <f>Tabla43[[#This Row],[VALOR CONTRAPARTIDA]]+Tabla43[[#This Row],[TOTAL APORTES ICBF]]</f>
        <v>56870715.060000002</v>
      </c>
      <c r="AI157" s="35" t="str">
        <f>+IF(Tabla43[[#This Row],[AGRUPACIONES]]=1,SUMIFS(Tabla43[TOTAL APORTES ICBF],Tabla43[ZONA DEFINITIVO],Tabla43[[#This Row],[ZONA DEFINITIVO]])," ")</f>
        <v xml:space="preserve"> </v>
      </c>
      <c r="AJ157" s="38"/>
      <c r="AK157" s="38"/>
      <c r="AL157" s="23"/>
      <c r="AM157" s="35">
        <f>VLOOKUP(Tabla43[[#This Row],[SERVICIO 2025]],$J$2:$V$16,5,0)*Tabla43[[#This Row],[TOTAL COBERTURA]]</f>
        <v>1431904</v>
      </c>
      <c r="AN157" s="35">
        <f>VLOOKUP(Tabla43[[#This Row],[SERVICIO 2025]],$J$2:$V$16,6,0)*Tabla43[[#This Row],[TOTAL COBERTURA]]</f>
        <v>1189841</v>
      </c>
      <c r="AO157" s="35">
        <f>VLOOKUP(Tabla43[[#This Row],[SERVICIO 2025]],$J$2:$V$16,8,0)*Tabla43[[#This Row],[TOTAL COBERTURA]]</f>
        <v>843900</v>
      </c>
      <c r="AP157" s="35">
        <f>VLOOKUP(Tabla43[[#This Row],[SERVICIO 2025]],$J$2:$V$16,3,0)*Tabla43[[#This Row],[TOTAL COBERTURA]]*7</f>
        <v>52289958</v>
      </c>
      <c r="AQ157" s="35"/>
      <c r="AR15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55755603</v>
      </c>
      <c r="AS157" s="35" t="str">
        <f>+IF(Tabla43[[#This Row],[AGRUPACIONES]]=1,SUMIFS(Tabla43[VALOR TOTAL],Tabla43[ZONA DEFINITIVO],Tabla43[[#This Row],[ZONA DEFINITIVO]])," ")</f>
        <v xml:space="preserve"> </v>
      </c>
      <c r="AT15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9745798</v>
      </c>
      <c r="AU157" s="35">
        <f>VLOOKUP(Tabla43[[#This Row],[SERVICIO 2025]],$J$2:$V$16,3,0)*Tabla43[[#This Row],[TOTAL COBERTURA]]+Tabla43[[#This Row],[VALOR RACION PREPARADA]]/7</f>
        <v>7469994</v>
      </c>
      <c r="AV157" s="35">
        <f>VLOOKUP(Tabla43[[#This Row],[SERVICIO 2025]],$J$2:$V$16,3,0)*Tabla43[[#This Row],[TOTAL COBERTURA]]+Tabla43[[#This Row],[VALOR RACION PREPARADA]]/7</f>
        <v>7469994</v>
      </c>
      <c r="AW157" s="35">
        <f>VLOOKUP(Tabla43[[#This Row],[SERVICIO 2025]],$J$2:$V$16,3,0)*Tabla43[[#This Row],[TOTAL COBERTURA]]+Tabla43[[#This Row],[VALOR RACION PREPARADA]]/7</f>
        <v>7469994</v>
      </c>
      <c r="AX157" s="35">
        <f>VLOOKUP(Tabla43[[#This Row],[SERVICIO 2025]],$J$2:$V$16,3,0)*Tabla43[[#This Row],[TOTAL COBERTURA]]+Tabla43[[#This Row],[VALOR RACION PREPARADA]]/7</f>
        <v>7469994</v>
      </c>
      <c r="AY157" s="35">
        <f>VLOOKUP(Tabla43[[#This Row],[SERVICIO 2025]],$J$2:$V$16,3,0)*Tabla43[[#This Row],[TOTAL COBERTURA]]+Tabla43[[#This Row],[VALOR RACION PREPARADA]]/7</f>
        <v>7469994</v>
      </c>
      <c r="AZ157" s="35">
        <f>VLOOKUP(Tabla43[[#This Row],[SERVICIO 2025]],$J$2:$V$16,3,0)*Tabla43[[#This Row],[TOTAL COBERTURA]]+Tabla43[[#This Row],[VALOR RACION PREPARADA]]/7+Tabla43[[#This Row],[VALOR FASE PREPARATORIA DE CIERRE]]</f>
        <v>8659835</v>
      </c>
      <c r="BA157" s="35"/>
      <c r="BB157" s="35">
        <f>SUM(Tabla43[[#This Row],[DESEMBOLSO 1]:[DESEMBOLSO 8]])</f>
        <v>55755603</v>
      </c>
      <c r="BC157" s="55">
        <f>VLOOKUP(Tabla43[[#This Row],[SERVICIO 2025]],$J$2:$V$16,10,0)*Tabla43[[#This Row],[TOTAL COBERTURA]]*$W$3</f>
        <v>41848856</v>
      </c>
      <c r="BD157" s="47" t="s">
        <v>211</v>
      </c>
      <c r="BE157" s="12" t="b">
        <f>EXACT(Tabla43[[#This Row],[TOTAL APORTES ICBF]],Tabla43[[#This Row],[VALOR TOTAL]])</f>
        <v>1</v>
      </c>
      <c r="BF157" s="23">
        <f>SUM(Tabla43[[#This Row],[VALOR FASE PREPARATORIA DE ALISTAMIENTO]:[VALOR RACION PREPARADA]])-Tabla43[[#This Row],[VALOR TOTAL]]</f>
        <v>0</v>
      </c>
      <c r="BG157" s="12" t="b">
        <f>EXACT(Tabla43[[#This Row],[VALOR TOTAL]],Tabla43[[#This Row],[TOTAL DESEMBOLSOS]])</f>
        <v>1</v>
      </c>
      <c r="BH157" s="29">
        <f>Tabla43[[#This Row],[TOTAL DESEMBOLSOS]]-Tabla43[[#This Row],[VALOR TOTAL]]</f>
        <v>0</v>
      </c>
      <c r="BJ157" t="s">
        <v>3924</v>
      </c>
    </row>
    <row r="158" spans="1:62" hidden="1">
      <c r="A158" s="13">
        <v>1973</v>
      </c>
      <c r="B158" s="13"/>
      <c r="C158" s="12" t="s">
        <v>87</v>
      </c>
      <c r="D158" s="12" t="s">
        <v>462</v>
      </c>
      <c r="E158" s="12" t="s">
        <v>4151</v>
      </c>
      <c r="F158" s="12" t="s">
        <v>18</v>
      </c>
      <c r="G158" s="12" t="s">
        <v>90</v>
      </c>
      <c r="H158" s="12" t="s">
        <v>4158</v>
      </c>
      <c r="I158" s="12">
        <v>54901118866</v>
      </c>
      <c r="J158" s="12" t="s">
        <v>4159</v>
      </c>
      <c r="K158" s="12">
        <v>1</v>
      </c>
      <c r="L158" s="12">
        <v>50</v>
      </c>
      <c r="M158" s="12"/>
      <c r="N158" s="13">
        <v>1973</v>
      </c>
      <c r="O158" s="12" t="s">
        <v>93</v>
      </c>
      <c r="P158" s="12"/>
      <c r="Q158" s="12"/>
      <c r="R158" s="12" t="s">
        <v>94</v>
      </c>
      <c r="S158" s="12">
        <v>10</v>
      </c>
      <c r="T158" s="12" t="s">
        <v>2502</v>
      </c>
      <c r="U158" s="12" t="s">
        <v>2503</v>
      </c>
      <c r="V158" s="12">
        <f>VLOOKUP(Tabla43[[#This Row],[ZONA DEFINITIVO]],Hoja1!$A$1:$D$129,3,0)</f>
        <v>229958</v>
      </c>
      <c r="W158" s="12">
        <f>VLOOKUP(Tabla43[[#This Row],[ZONA DEFINITIVO]],Hoja1!$A$1:$D$129,2,0)</f>
        <v>18597</v>
      </c>
      <c r="X158" s="12">
        <f>VLOOKUP(Tabla43[[#This Row],[ZONA DEFINITIVO]],Hoja1!$A$1:$D$129,4,0)</f>
        <v>117825</v>
      </c>
      <c r="Y158" s="12" t="str">
        <f>+IF(Tabla43[[#This Row],[AGRUPACIONES]]=1,SUMIFS(Tabla43[UDS],Tabla43[ZONA DEFINITIVO],Tabla43[[#This Row],[ZONA DEFINITIVO]])," ")</f>
        <v xml:space="preserve"> </v>
      </c>
      <c r="Z158" s="12" t="str">
        <f>+IF(Tabla43[[#This Row],[AGRUPACIONES]]=1,SUMIFS(Tabla43[TOTAL COBERTURA],Tabla43[ZONA DEFINITIVO],Tabla43[[#This Row],[ZONA DEFINITIVO]])," ")</f>
        <v xml:space="preserve"> </v>
      </c>
      <c r="AA158" s="12"/>
      <c r="AB158" s="51">
        <v>96130350</v>
      </c>
      <c r="AC158" s="37">
        <v>0.02</v>
      </c>
      <c r="AD158" s="38">
        <f>Tabla43[[#This Row],[VALOR ATENCIÓN (7 MESES)]]*Tabla43[[#This Row],[% CONTRAPARTIDA]]</f>
        <v>1922607</v>
      </c>
      <c r="AE158" s="12"/>
      <c r="AF158" s="12">
        <f>COUNTIF($A$22:A158,A158)</f>
        <v>4</v>
      </c>
      <c r="AG158" s="51">
        <v>96130350</v>
      </c>
      <c r="AH158" s="38">
        <f>Tabla43[[#This Row],[VALOR CONTRAPARTIDA]]+Tabla43[[#This Row],[TOTAL APORTES ICBF]]</f>
        <v>98052957</v>
      </c>
      <c r="AI158" s="35" t="str">
        <f>+IF(Tabla43[[#This Row],[AGRUPACIONES]]=1,SUMIFS(Tabla43[TOTAL APORTES ICBF],Tabla43[ZONA DEFINITIVO],Tabla43[[#This Row],[ZONA DEFINITIVO]])," ")</f>
        <v xml:space="preserve"> </v>
      </c>
      <c r="AJ158" s="38"/>
      <c r="AK158" s="38"/>
      <c r="AL158" s="23"/>
      <c r="AM158" s="35">
        <f>VLOOKUP(Tabla43[[#This Row],[SERVICIO 2025]],$J$2:$V$16,5,0)*Tabla43[[#This Row],[TOTAL COBERTURA]]</f>
        <v>2468800</v>
      </c>
      <c r="AN158" s="35">
        <f>VLOOKUP(Tabla43[[#This Row],[SERVICIO 2025]],$J$2:$V$16,6,0)*Tabla43[[#This Row],[TOTAL COBERTURA]]</f>
        <v>2051450</v>
      </c>
      <c r="AO158" s="35">
        <f>VLOOKUP(Tabla43[[#This Row],[SERVICIO 2025]],$J$2:$V$16,8,0)*Tabla43[[#This Row],[TOTAL COBERTURA]]</f>
        <v>1455000</v>
      </c>
      <c r="AP158" s="35">
        <f>VLOOKUP(Tabla43[[#This Row],[SERVICIO 2025]],$J$2:$V$16,3,0)*Tabla43[[#This Row],[TOTAL COBERTURA]]*7</f>
        <v>90155100</v>
      </c>
      <c r="AQ158" s="35"/>
      <c r="AR15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96130350</v>
      </c>
      <c r="AS158" s="35" t="str">
        <f>+IF(Tabla43[[#This Row],[AGRUPACIONES]]=1,SUMIFS(Tabla43[VALOR TOTAL],Tabla43[ZONA DEFINITIVO],Tabla43[[#This Row],[ZONA DEFINITIVO]])," ")</f>
        <v xml:space="preserve"> </v>
      </c>
      <c r="AT15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16803100</v>
      </c>
      <c r="AU158" s="35">
        <f>VLOOKUP(Tabla43[[#This Row],[SERVICIO 2025]],$J$2:$V$16,3,0)*Tabla43[[#This Row],[TOTAL COBERTURA]]+Tabla43[[#This Row],[VALOR RACION PREPARADA]]/7</f>
        <v>12879300</v>
      </c>
      <c r="AV158" s="35">
        <f>VLOOKUP(Tabla43[[#This Row],[SERVICIO 2025]],$J$2:$V$16,3,0)*Tabla43[[#This Row],[TOTAL COBERTURA]]+Tabla43[[#This Row],[VALOR RACION PREPARADA]]/7</f>
        <v>12879300</v>
      </c>
      <c r="AW158" s="35">
        <f>VLOOKUP(Tabla43[[#This Row],[SERVICIO 2025]],$J$2:$V$16,3,0)*Tabla43[[#This Row],[TOTAL COBERTURA]]+Tabla43[[#This Row],[VALOR RACION PREPARADA]]/7</f>
        <v>12879300</v>
      </c>
      <c r="AX158" s="35">
        <f>VLOOKUP(Tabla43[[#This Row],[SERVICIO 2025]],$J$2:$V$16,3,0)*Tabla43[[#This Row],[TOTAL COBERTURA]]+Tabla43[[#This Row],[VALOR RACION PREPARADA]]/7</f>
        <v>12879300</v>
      </c>
      <c r="AY158" s="35">
        <f>VLOOKUP(Tabla43[[#This Row],[SERVICIO 2025]],$J$2:$V$16,3,0)*Tabla43[[#This Row],[TOTAL COBERTURA]]+Tabla43[[#This Row],[VALOR RACION PREPARADA]]/7</f>
        <v>12879300</v>
      </c>
      <c r="AZ158" s="35">
        <f>VLOOKUP(Tabla43[[#This Row],[SERVICIO 2025]],$J$2:$V$16,3,0)*Tabla43[[#This Row],[TOTAL COBERTURA]]+Tabla43[[#This Row],[VALOR RACION PREPARADA]]/7+Tabla43[[#This Row],[VALOR FASE PREPARATORIA DE CIERRE]]</f>
        <v>14930750</v>
      </c>
      <c r="BA158" s="35"/>
      <c r="BB158" s="35">
        <f>SUM(Tabla43[[#This Row],[DESEMBOLSO 1]:[DESEMBOLSO 8]])</f>
        <v>96130350</v>
      </c>
      <c r="BC158" s="55">
        <f>VLOOKUP(Tabla43[[#This Row],[SERVICIO 2025]],$J$2:$V$16,10,0)*Tabla43[[#This Row],[TOTAL COBERTURA]]*$W$3</f>
        <v>72153200</v>
      </c>
      <c r="BD158" s="47" t="s">
        <v>211</v>
      </c>
      <c r="BE158" s="12" t="b">
        <f>EXACT(Tabla43[[#This Row],[TOTAL APORTES ICBF]],Tabla43[[#This Row],[VALOR TOTAL]])</f>
        <v>1</v>
      </c>
      <c r="BF158" s="23">
        <f>SUM(Tabla43[[#This Row],[VALOR FASE PREPARATORIA DE ALISTAMIENTO]:[VALOR RACION PREPARADA]])-Tabla43[[#This Row],[VALOR TOTAL]]</f>
        <v>0</v>
      </c>
      <c r="BG158" s="12" t="b">
        <f>EXACT(Tabla43[[#This Row],[VALOR TOTAL]],Tabla43[[#This Row],[TOTAL DESEMBOLSOS]])</f>
        <v>1</v>
      </c>
      <c r="BH158" s="29">
        <f>Tabla43[[#This Row],[TOTAL DESEMBOLSOS]]-Tabla43[[#This Row],[VALOR TOTAL]]</f>
        <v>0</v>
      </c>
      <c r="BJ158" t="s">
        <v>3924</v>
      </c>
    </row>
    <row r="159" spans="1:62" hidden="1">
      <c r="A159" s="13">
        <v>1973</v>
      </c>
      <c r="B159" s="13"/>
      <c r="C159" s="12" t="s">
        <v>87</v>
      </c>
      <c r="D159" s="12" t="s">
        <v>462</v>
      </c>
      <c r="E159" s="12" t="s">
        <v>4151</v>
      </c>
      <c r="F159" s="12" t="s">
        <v>18</v>
      </c>
      <c r="G159" s="12" t="s">
        <v>90</v>
      </c>
      <c r="H159" s="12" t="s">
        <v>4160</v>
      </c>
      <c r="I159" s="12">
        <v>54901118867</v>
      </c>
      <c r="J159" s="12" t="s">
        <v>4161</v>
      </c>
      <c r="K159" s="12">
        <v>1</v>
      </c>
      <c r="L159" s="12">
        <v>50</v>
      </c>
      <c r="M159" s="12"/>
      <c r="N159" s="13">
        <v>1973</v>
      </c>
      <c r="O159" s="12" t="s">
        <v>93</v>
      </c>
      <c r="P159" s="12"/>
      <c r="Q159" s="12"/>
      <c r="R159" s="12" t="s">
        <v>94</v>
      </c>
      <c r="S159" s="12">
        <v>10</v>
      </c>
      <c r="T159" s="12" t="s">
        <v>2502</v>
      </c>
      <c r="U159" s="12" t="s">
        <v>2503</v>
      </c>
      <c r="V159" s="12">
        <f>VLOOKUP(Tabla43[[#This Row],[ZONA DEFINITIVO]],Hoja1!$A$1:$D$129,3,0)</f>
        <v>229958</v>
      </c>
      <c r="W159" s="12">
        <f>VLOOKUP(Tabla43[[#This Row],[ZONA DEFINITIVO]],Hoja1!$A$1:$D$129,2,0)</f>
        <v>18597</v>
      </c>
      <c r="X159" s="12">
        <f>VLOOKUP(Tabla43[[#This Row],[ZONA DEFINITIVO]],Hoja1!$A$1:$D$129,4,0)</f>
        <v>117825</v>
      </c>
      <c r="Y159" s="12" t="str">
        <f>+IF(Tabla43[[#This Row],[AGRUPACIONES]]=1,SUMIFS(Tabla43[UDS],Tabla43[ZONA DEFINITIVO],Tabla43[[#This Row],[ZONA DEFINITIVO]])," ")</f>
        <v xml:space="preserve"> </v>
      </c>
      <c r="Z159" s="12" t="str">
        <f>+IF(Tabla43[[#This Row],[AGRUPACIONES]]=1,SUMIFS(Tabla43[TOTAL COBERTURA],Tabla43[ZONA DEFINITIVO],Tabla43[[#This Row],[ZONA DEFINITIVO]])," ")</f>
        <v xml:space="preserve"> </v>
      </c>
      <c r="AA159" s="12"/>
      <c r="AB159" s="51">
        <v>96130350</v>
      </c>
      <c r="AC159" s="37">
        <v>0.02</v>
      </c>
      <c r="AD159" s="38">
        <f>Tabla43[[#This Row],[VALOR ATENCIÓN (7 MESES)]]*Tabla43[[#This Row],[% CONTRAPARTIDA]]</f>
        <v>1922607</v>
      </c>
      <c r="AE159" s="12"/>
      <c r="AF159" s="12">
        <f>COUNTIF($A$22:A159,A159)</f>
        <v>5</v>
      </c>
      <c r="AG159" s="51">
        <v>96130350</v>
      </c>
      <c r="AH159" s="38">
        <f>Tabla43[[#This Row],[VALOR CONTRAPARTIDA]]+Tabla43[[#This Row],[TOTAL APORTES ICBF]]</f>
        <v>98052957</v>
      </c>
      <c r="AI159" s="35" t="str">
        <f>+IF(Tabla43[[#This Row],[AGRUPACIONES]]=1,SUMIFS(Tabla43[TOTAL APORTES ICBF],Tabla43[ZONA DEFINITIVO],Tabla43[[#This Row],[ZONA DEFINITIVO]])," ")</f>
        <v xml:space="preserve"> </v>
      </c>
      <c r="AJ159" s="38"/>
      <c r="AK159" s="38"/>
      <c r="AL159" s="23"/>
      <c r="AM159" s="35">
        <f>VLOOKUP(Tabla43[[#This Row],[SERVICIO 2025]],$J$2:$V$16,5,0)*Tabla43[[#This Row],[TOTAL COBERTURA]]</f>
        <v>2468800</v>
      </c>
      <c r="AN159" s="35">
        <f>VLOOKUP(Tabla43[[#This Row],[SERVICIO 2025]],$J$2:$V$16,6,0)*Tabla43[[#This Row],[TOTAL COBERTURA]]</f>
        <v>2051450</v>
      </c>
      <c r="AO159" s="35">
        <f>VLOOKUP(Tabla43[[#This Row],[SERVICIO 2025]],$J$2:$V$16,8,0)*Tabla43[[#This Row],[TOTAL COBERTURA]]</f>
        <v>1455000</v>
      </c>
      <c r="AP159" s="35">
        <f>VLOOKUP(Tabla43[[#This Row],[SERVICIO 2025]],$J$2:$V$16,3,0)*Tabla43[[#This Row],[TOTAL COBERTURA]]*7</f>
        <v>90155100</v>
      </c>
      <c r="AQ159" s="35"/>
      <c r="AR15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96130350</v>
      </c>
      <c r="AS159" s="35" t="str">
        <f>+IF(Tabla43[[#This Row],[AGRUPACIONES]]=1,SUMIFS(Tabla43[VALOR TOTAL],Tabla43[ZONA DEFINITIVO],Tabla43[[#This Row],[ZONA DEFINITIVO]])," ")</f>
        <v xml:space="preserve"> </v>
      </c>
      <c r="AT15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16803100</v>
      </c>
      <c r="AU159" s="35">
        <f>VLOOKUP(Tabla43[[#This Row],[SERVICIO 2025]],$J$2:$V$16,3,0)*Tabla43[[#This Row],[TOTAL COBERTURA]]+Tabla43[[#This Row],[VALOR RACION PREPARADA]]/7</f>
        <v>12879300</v>
      </c>
      <c r="AV159" s="35">
        <f>VLOOKUP(Tabla43[[#This Row],[SERVICIO 2025]],$J$2:$V$16,3,0)*Tabla43[[#This Row],[TOTAL COBERTURA]]+Tabla43[[#This Row],[VALOR RACION PREPARADA]]/7</f>
        <v>12879300</v>
      </c>
      <c r="AW159" s="35">
        <f>VLOOKUP(Tabla43[[#This Row],[SERVICIO 2025]],$J$2:$V$16,3,0)*Tabla43[[#This Row],[TOTAL COBERTURA]]+Tabla43[[#This Row],[VALOR RACION PREPARADA]]/7</f>
        <v>12879300</v>
      </c>
      <c r="AX159" s="35">
        <f>VLOOKUP(Tabla43[[#This Row],[SERVICIO 2025]],$J$2:$V$16,3,0)*Tabla43[[#This Row],[TOTAL COBERTURA]]+Tabla43[[#This Row],[VALOR RACION PREPARADA]]/7</f>
        <v>12879300</v>
      </c>
      <c r="AY159" s="35">
        <f>VLOOKUP(Tabla43[[#This Row],[SERVICIO 2025]],$J$2:$V$16,3,0)*Tabla43[[#This Row],[TOTAL COBERTURA]]+Tabla43[[#This Row],[VALOR RACION PREPARADA]]/7</f>
        <v>12879300</v>
      </c>
      <c r="AZ159" s="35">
        <f>VLOOKUP(Tabla43[[#This Row],[SERVICIO 2025]],$J$2:$V$16,3,0)*Tabla43[[#This Row],[TOTAL COBERTURA]]+Tabla43[[#This Row],[VALOR RACION PREPARADA]]/7+Tabla43[[#This Row],[VALOR FASE PREPARATORIA DE CIERRE]]</f>
        <v>14930750</v>
      </c>
      <c r="BA159" s="35"/>
      <c r="BB159" s="35">
        <f>SUM(Tabla43[[#This Row],[DESEMBOLSO 1]:[DESEMBOLSO 8]])</f>
        <v>96130350</v>
      </c>
      <c r="BC159" s="55">
        <f>VLOOKUP(Tabla43[[#This Row],[SERVICIO 2025]],$J$2:$V$16,10,0)*Tabla43[[#This Row],[TOTAL COBERTURA]]*$W$3</f>
        <v>72153200</v>
      </c>
      <c r="BD159" s="47" t="s">
        <v>211</v>
      </c>
      <c r="BE159" s="12" t="b">
        <f>EXACT(Tabla43[[#This Row],[TOTAL APORTES ICBF]],Tabla43[[#This Row],[VALOR TOTAL]])</f>
        <v>1</v>
      </c>
      <c r="BF159" s="23">
        <f>SUM(Tabla43[[#This Row],[VALOR FASE PREPARATORIA DE ALISTAMIENTO]:[VALOR RACION PREPARADA]])-Tabla43[[#This Row],[VALOR TOTAL]]</f>
        <v>0</v>
      </c>
      <c r="BG159" s="12" t="b">
        <f>EXACT(Tabla43[[#This Row],[VALOR TOTAL]],Tabla43[[#This Row],[TOTAL DESEMBOLSOS]])</f>
        <v>1</v>
      </c>
      <c r="BH159" s="29">
        <f>Tabla43[[#This Row],[TOTAL DESEMBOLSOS]]-Tabla43[[#This Row],[VALOR TOTAL]]</f>
        <v>0</v>
      </c>
      <c r="BJ159" t="s">
        <v>3924</v>
      </c>
    </row>
    <row r="160" spans="1:62" hidden="1">
      <c r="A160" s="13">
        <v>1973</v>
      </c>
      <c r="B160" s="13"/>
      <c r="C160" s="12" t="s">
        <v>87</v>
      </c>
      <c r="D160" s="12" t="s">
        <v>462</v>
      </c>
      <c r="E160" s="12" t="s">
        <v>4151</v>
      </c>
      <c r="F160" s="12" t="s">
        <v>13</v>
      </c>
      <c r="G160" s="12" t="s">
        <v>90</v>
      </c>
      <c r="H160" s="12" t="s">
        <v>4162</v>
      </c>
      <c r="I160" s="12">
        <v>54901134891</v>
      </c>
      <c r="J160" s="12" t="s">
        <v>4163</v>
      </c>
      <c r="K160" s="12">
        <v>1</v>
      </c>
      <c r="L160" s="12">
        <v>105</v>
      </c>
      <c r="M160" s="12"/>
      <c r="N160" s="13">
        <v>1973</v>
      </c>
      <c r="O160" s="12" t="s">
        <v>93</v>
      </c>
      <c r="P160" s="12"/>
      <c r="Q160" s="12"/>
      <c r="R160" s="12" t="s">
        <v>94</v>
      </c>
      <c r="S160" s="12">
        <v>10</v>
      </c>
      <c r="T160" s="12" t="s">
        <v>2502</v>
      </c>
      <c r="U160" s="12" t="s">
        <v>2503</v>
      </c>
      <c r="V160" s="12">
        <f>VLOOKUP(Tabla43[[#This Row],[ZONA DEFINITIVO]],Hoja1!$A$1:$D$129,3,0)</f>
        <v>229958</v>
      </c>
      <c r="W160" s="12">
        <f>VLOOKUP(Tabla43[[#This Row],[ZONA DEFINITIVO]],Hoja1!$A$1:$D$129,2,0)</f>
        <v>18597</v>
      </c>
      <c r="X160" s="12">
        <f>VLOOKUP(Tabla43[[#This Row],[ZONA DEFINITIVO]],Hoja1!$A$1:$D$129,4,0)</f>
        <v>117825</v>
      </c>
      <c r="Y160" s="12" t="str">
        <f>+IF(Tabla43[[#This Row],[AGRUPACIONES]]=1,SUMIFS(Tabla43[UDS],Tabla43[ZONA DEFINITIVO],Tabla43[[#This Row],[ZONA DEFINITIVO]])," ")</f>
        <v xml:space="preserve"> </v>
      </c>
      <c r="Z160" s="12" t="str">
        <f>+IF(Tabla43[[#This Row],[AGRUPACIONES]]=1,SUMIFS(Tabla43[TOTAL COBERTURA],Tabla43[ZONA DEFINITIVO],Tabla43[[#This Row],[ZONA DEFINITIVO]])," ")</f>
        <v xml:space="preserve"> </v>
      </c>
      <c r="AA160" s="12"/>
      <c r="AB160" s="51">
        <v>273789180</v>
      </c>
      <c r="AC160" s="37">
        <v>0.02</v>
      </c>
      <c r="AD160" s="38">
        <f>Tabla43[[#This Row],[VALOR ATENCIÓN (7 MESES)]]*Tabla43[[#This Row],[% CONTRAPARTIDA]]</f>
        <v>5475783.6000000006</v>
      </c>
      <c r="AE160" s="12"/>
      <c r="AF160" s="12">
        <f>COUNTIF($A$22:A160,A160)</f>
        <v>6</v>
      </c>
      <c r="AG160" s="51">
        <v>273789180</v>
      </c>
      <c r="AH160" s="38">
        <f>Tabla43[[#This Row],[VALOR CONTRAPARTIDA]]+Tabla43[[#This Row],[TOTAL APORTES ICBF]]</f>
        <v>279264963.60000002</v>
      </c>
      <c r="AI160" s="35" t="str">
        <f>+IF(Tabla43[[#This Row],[AGRUPACIONES]]=1,SUMIFS(Tabla43[TOTAL APORTES ICBF],Tabla43[ZONA DEFINITIVO],Tabla43[[#This Row],[ZONA DEFINITIVO]])," ")</f>
        <v xml:space="preserve"> </v>
      </c>
      <c r="AJ160" s="38"/>
      <c r="AK160" s="38"/>
      <c r="AL160" s="23"/>
      <c r="AM160" s="35">
        <f>VLOOKUP(Tabla43[[#This Row],[SERVICIO 2025]],$J$2:$V$16,5,0)*Tabla43[[#This Row],[TOTAL COBERTURA]]</f>
        <v>9255015</v>
      </c>
      <c r="AN160" s="35">
        <f>VLOOKUP(Tabla43[[#This Row],[SERVICIO 2025]],$J$2:$V$16,6,0)*Tabla43[[#This Row],[TOTAL COBERTURA]]</f>
        <v>7879515</v>
      </c>
      <c r="AO160" s="35">
        <f>VLOOKUP(Tabla43[[#This Row],[SERVICIO 2025]],$J$2:$V$16,8,0)*Tabla43[[#This Row],[TOTAL COBERTURA]]</f>
        <v>0</v>
      </c>
      <c r="AP160" s="35">
        <f>VLOOKUP(Tabla43[[#This Row],[SERVICIO 2025]],$J$2:$V$16,3,0)*Tabla43[[#This Row],[TOTAL COBERTURA]]*7</f>
        <v>256654650</v>
      </c>
      <c r="AQ160" s="35"/>
      <c r="AR16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273789180</v>
      </c>
      <c r="AS160" s="35" t="str">
        <f>+IF(Tabla43[[#This Row],[AGRUPACIONES]]=1,SUMIFS(Tabla43[VALOR TOTAL],Tabla43[ZONA DEFINITIVO],Tabla43[[#This Row],[ZONA DEFINITIVO]])," ")</f>
        <v xml:space="preserve"> </v>
      </c>
      <c r="AT16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45919965</v>
      </c>
      <c r="AU160" s="35">
        <f>VLOOKUP(Tabla43[[#This Row],[SERVICIO 2025]],$J$2:$V$16,3,0)*Tabla43[[#This Row],[TOTAL COBERTURA]]+Tabla43[[#This Row],[VALOR RACION PREPARADA]]/7</f>
        <v>36664950</v>
      </c>
      <c r="AV160" s="35">
        <f>VLOOKUP(Tabla43[[#This Row],[SERVICIO 2025]],$J$2:$V$16,3,0)*Tabla43[[#This Row],[TOTAL COBERTURA]]+Tabla43[[#This Row],[VALOR RACION PREPARADA]]/7</f>
        <v>36664950</v>
      </c>
      <c r="AW160" s="35">
        <f>VLOOKUP(Tabla43[[#This Row],[SERVICIO 2025]],$J$2:$V$16,3,0)*Tabla43[[#This Row],[TOTAL COBERTURA]]+Tabla43[[#This Row],[VALOR RACION PREPARADA]]/7</f>
        <v>36664950</v>
      </c>
      <c r="AX160" s="35">
        <f>VLOOKUP(Tabla43[[#This Row],[SERVICIO 2025]],$J$2:$V$16,3,0)*Tabla43[[#This Row],[TOTAL COBERTURA]]+Tabla43[[#This Row],[VALOR RACION PREPARADA]]/7</f>
        <v>36664950</v>
      </c>
      <c r="AY160" s="35">
        <f>VLOOKUP(Tabla43[[#This Row],[SERVICIO 2025]],$J$2:$V$16,3,0)*Tabla43[[#This Row],[TOTAL COBERTURA]]+Tabla43[[#This Row],[VALOR RACION PREPARADA]]/7</f>
        <v>36664950</v>
      </c>
      <c r="AZ160" s="35">
        <f>VLOOKUP(Tabla43[[#This Row],[SERVICIO 2025]],$J$2:$V$16,3,0)*Tabla43[[#This Row],[TOTAL COBERTURA]]+Tabla43[[#This Row],[VALOR RACION PREPARADA]]/7+Tabla43[[#This Row],[VALOR FASE PREPARATORIA DE CIERRE]]</f>
        <v>44544465</v>
      </c>
      <c r="BA160" s="35"/>
      <c r="BB160" s="35">
        <f>SUM(Tabla43[[#This Row],[DESEMBOLSO 1]:[DESEMBOLSO 8]])</f>
        <v>273789180</v>
      </c>
      <c r="BC160" s="55">
        <f>VLOOKUP(Tabla43[[#This Row],[SERVICIO 2025]],$J$2:$V$16,10,0)*Tabla43[[#This Row],[TOTAL COBERTURA]]*$W$3</f>
        <v>129375120</v>
      </c>
      <c r="BD160" s="47" t="s">
        <v>211</v>
      </c>
      <c r="BE160" s="12" t="b">
        <f>EXACT(Tabla43[[#This Row],[TOTAL APORTES ICBF]],Tabla43[[#This Row],[VALOR TOTAL]])</f>
        <v>1</v>
      </c>
      <c r="BF160" s="23">
        <f>SUM(Tabla43[[#This Row],[VALOR FASE PREPARATORIA DE ALISTAMIENTO]:[VALOR RACION PREPARADA]])-Tabla43[[#This Row],[VALOR TOTAL]]</f>
        <v>0</v>
      </c>
      <c r="BG160" s="12" t="b">
        <f>EXACT(Tabla43[[#This Row],[VALOR TOTAL]],Tabla43[[#This Row],[TOTAL DESEMBOLSOS]])</f>
        <v>1</v>
      </c>
      <c r="BH160" s="29">
        <f>Tabla43[[#This Row],[TOTAL DESEMBOLSOS]]-Tabla43[[#This Row],[VALOR TOTAL]]</f>
        <v>0</v>
      </c>
      <c r="BJ160" t="s">
        <v>3924</v>
      </c>
    </row>
    <row r="161" spans="1:62" hidden="1">
      <c r="A161" s="13">
        <v>1973</v>
      </c>
      <c r="B161" s="13"/>
      <c r="C161" s="12" t="s">
        <v>87</v>
      </c>
      <c r="D161" s="12" t="s">
        <v>462</v>
      </c>
      <c r="E161" s="12" t="s">
        <v>4151</v>
      </c>
      <c r="F161" s="12" t="s">
        <v>18</v>
      </c>
      <c r="G161" s="12" t="s">
        <v>90</v>
      </c>
      <c r="H161" s="12" t="s">
        <v>4164</v>
      </c>
      <c r="I161" s="12">
        <v>54901136516</v>
      </c>
      <c r="J161" s="12" t="s">
        <v>4164</v>
      </c>
      <c r="K161" s="12">
        <v>1</v>
      </c>
      <c r="L161" s="12">
        <v>36</v>
      </c>
      <c r="M161" s="12"/>
      <c r="N161" s="13">
        <v>1973</v>
      </c>
      <c r="O161" s="12" t="s">
        <v>93</v>
      </c>
      <c r="P161" s="12"/>
      <c r="Q161" s="12"/>
      <c r="R161" s="12" t="s">
        <v>94</v>
      </c>
      <c r="S161" s="12">
        <v>10</v>
      </c>
      <c r="T161" s="12" t="s">
        <v>2502</v>
      </c>
      <c r="U161" s="12" t="s">
        <v>2503</v>
      </c>
      <c r="V161" s="12">
        <f>VLOOKUP(Tabla43[[#This Row],[ZONA DEFINITIVO]],Hoja1!$A$1:$D$129,3,0)</f>
        <v>229958</v>
      </c>
      <c r="W161" s="12">
        <f>VLOOKUP(Tabla43[[#This Row],[ZONA DEFINITIVO]],Hoja1!$A$1:$D$129,2,0)</f>
        <v>18597</v>
      </c>
      <c r="X161" s="12">
        <f>VLOOKUP(Tabla43[[#This Row],[ZONA DEFINITIVO]],Hoja1!$A$1:$D$129,4,0)</f>
        <v>117825</v>
      </c>
      <c r="Y161" s="12" t="str">
        <f>+IF(Tabla43[[#This Row],[AGRUPACIONES]]=1,SUMIFS(Tabla43[UDS],Tabla43[ZONA DEFINITIVO],Tabla43[[#This Row],[ZONA DEFINITIVO]])," ")</f>
        <v xml:space="preserve"> </v>
      </c>
      <c r="Z161" s="12" t="str">
        <f>+IF(Tabla43[[#This Row],[AGRUPACIONES]]=1,SUMIFS(Tabla43[TOTAL COBERTURA],Tabla43[ZONA DEFINITIVO],Tabla43[[#This Row],[ZONA DEFINITIVO]])," ")</f>
        <v xml:space="preserve"> </v>
      </c>
      <c r="AA161" s="12"/>
      <c r="AB161" s="51">
        <v>69213852</v>
      </c>
      <c r="AC161" s="37">
        <v>0.02</v>
      </c>
      <c r="AD161" s="38">
        <f>Tabla43[[#This Row],[VALOR ATENCIÓN (7 MESES)]]*Tabla43[[#This Row],[% CONTRAPARTIDA]]</f>
        <v>1384277.04</v>
      </c>
      <c r="AE161" s="12"/>
      <c r="AF161" s="12">
        <f>COUNTIF($A$22:A161,A161)</f>
        <v>7</v>
      </c>
      <c r="AG161" s="51">
        <v>69213852</v>
      </c>
      <c r="AH161" s="38">
        <f>Tabla43[[#This Row],[VALOR CONTRAPARTIDA]]+Tabla43[[#This Row],[TOTAL APORTES ICBF]]</f>
        <v>70598129.040000007</v>
      </c>
      <c r="AI161" s="35" t="str">
        <f>+IF(Tabla43[[#This Row],[AGRUPACIONES]]=1,SUMIFS(Tabla43[TOTAL APORTES ICBF],Tabla43[ZONA DEFINITIVO],Tabla43[[#This Row],[ZONA DEFINITIVO]])," ")</f>
        <v xml:space="preserve"> </v>
      </c>
      <c r="AJ161" s="38"/>
      <c r="AK161" s="38"/>
      <c r="AL161" s="23"/>
      <c r="AM161" s="35">
        <f>VLOOKUP(Tabla43[[#This Row],[SERVICIO 2025]],$J$2:$V$16,5,0)*Tabla43[[#This Row],[TOTAL COBERTURA]]</f>
        <v>1777536</v>
      </c>
      <c r="AN161" s="35">
        <f>VLOOKUP(Tabla43[[#This Row],[SERVICIO 2025]],$J$2:$V$16,6,0)*Tabla43[[#This Row],[TOTAL COBERTURA]]</f>
        <v>1477044</v>
      </c>
      <c r="AO161" s="35">
        <f>VLOOKUP(Tabla43[[#This Row],[SERVICIO 2025]],$J$2:$V$16,8,0)*Tabla43[[#This Row],[TOTAL COBERTURA]]</f>
        <v>1047600</v>
      </c>
      <c r="AP161" s="35">
        <f>VLOOKUP(Tabla43[[#This Row],[SERVICIO 2025]],$J$2:$V$16,3,0)*Tabla43[[#This Row],[TOTAL COBERTURA]]*7</f>
        <v>64911672</v>
      </c>
      <c r="AQ161" s="35"/>
      <c r="AR16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69213852</v>
      </c>
      <c r="AS161" s="35" t="str">
        <f>+IF(Tabla43[[#This Row],[AGRUPACIONES]]=1,SUMIFS(Tabla43[VALOR TOTAL],Tabla43[ZONA DEFINITIVO],Tabla43[[#This Row],[ZONA DEFINITIVO]])," ")</f>
        <v xml:space="preserve"> </v>
      </c>
      <c r="AT16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12098232</v>
      </c>
      <c r="AU161" s="35">
        <f>VLOOKUP(Tabla43[[#This Row],[SERVICIO 2025]],$J$2:$V$16,3,0)*Tabla43[[#This Row],[TOTAL COBERTURA]]+Tabla43[[#This Row],[VALOR RACION PREPARADA]]/7</f>
        <v>9273096</v>
      </c>
      <c r="AV161" s="35">
        <f>VLOOKUP(Tabla43[[#This Row],[SERVICIO 2025]],$J$2:$V$16,3,0)*Tabla43[[#This Row],[TOTAL COBERTURA]]+Tabla43[[#This Row],[VALOR RACION PREPARADA]]/7</f>
        <v>9273096</v>
      </c>
      <c r="AW161" s="35">
        <f>VLOOKUP(Tabla43[[#This Row],[SERVICIO 2025]],$J$2:$V$16,3,0)*Tabla43[[#This Row],[TOTAL COBERTURA]]+Tabla43[[#This Row],[VALOR RACION PREPARADA]]/7</f>
        <v>9273096</v>
      </c>
      <c r="AX161" s="35">
        <f>VLOOKUP(Tabla43[[#This Row],[SERVICIO 2025]],$J$2:$V$16,3,0)*Tabla43[[#This Row],[TOTAL COBERTURA]]+Tabla43[[#This Row],[VALOR RACION PREPARADA]]/7</f>
        <v>9273096</v>
      </c>
      <c r="AY161" s="35">
        <f>VLOOKUP(Tabla43[[#This Row],[SERVICIO 2025]],$J$2:$V$16,3,0)*Tabla43[[#This Row],[TOTAL COBERTURA]]+Tabla43[[#This Row],[VALOR RACION PREPARADA]]/7</f>
        <v>9273096</v>
      </c>
      <c r="AZ161" s="35">
        <f>VLOOKUP(Tabla43[[#This Row],[SERVICIO 2025]],$J$2:$V$16,3,0)*Tabla43[[#This Row],[TOTAL COBERTURA]]+Tabla43[[#This Row],[VALOR RACION PREPARADA]]/7+Tabla43[[#This Row],[VALOR FASE PREPARATORIA DE CIERRE]]</f>
        <v>10750140</v>
      </c>
      <c r="BA161" s="35"/>
      <c r="BB161" s="35">
        <f>SUM(Tabla43[[#This Row],[DESEMBOLSO 1]:[DESEMBOLSO 8]])</f>
        <v>69213852</v>
      </c>
      <c r="BC161" s="55">
        <f>VLOOKUP(Tabla43[[#This Row],[SERVICIO 2025]],$J$2:$V$16,10,0)*Tabla43[[#This Row],[TOTAL COBERTURA]]*$W$3</f>
        <v>51950304</v>
      </c>
      <c r="BD161" s="47" t="s">
        <v>211</v>
      </c>
      <c r="BE161" s="12" t="b">
        <f>EXACT(Tabla43[[#This Row],[TOTAL APORTES ICBF]],Tabla43[[#This Row],[VALOR TOTAL]])</f>
        <v>1</v>
      </c>
      <c r="BF161" s="23">
        <f>SUM(Tabla43[[#This Row],[VALOR FASE PREPARATORIA DE ALISTAMIENTO]:[VALOR RACION PREPARADA]])-Tabla43[[#This Row],[VALOR TOTAL]]</f>
        <v>0</v>
      </c>
      <c r="BG161" s="12" t="b">
        <f>EXACT(Tabla43[[#This Row],[VALOR TOTAL]],Tabla43[[#This Row],[TOTAL DESEMBOLSOS]])</f>
        <v>1</v>
      </c>
      <c r="BH161" s="29">
        <f>Tabla43[[#This Row],[TOTAL DESEMBOLSOS]]-Tabla43[[#This Row],[VALOR TOTAL]]</f>
        <v>0</v>
      </c>
      <c r="BJ161" t="s">
        <v>3924</v>
      </c>
    </row>
    <row r="162" spans="1:62" hidden="1">
      <c r="A162" s="13">
        <v>1973</v>
      </c>
      <c r="B162" s="13"/>
      <c r="C162" s="12" t="s">
        <v>87</v>
      </c>
      <c r="D162" s="12" t="s">
        <v>462</v>
      </c>
      <c r="E162" s="12" t="s">
        <v>4151</v>
      </c>
      <c r="F162" s="12" t="s">
        <v>18</v>
      </c>
      <c r="G162" s="12" t="s">
        <v>90</v>
      </c>
      <c r="H162" s="12" t="s">
        <v>4165</v>
      </c>
      <c r="I162" s="12">
        <v>54901136641</v>
      </c>
      <c r="J162" s="12" t="s">
        <v>4166</v>
      </c>
      <c r="K162" s="12">
        <v>1</v>
      </c>
      <c r="L162" s="12">
        <v>38</v>
      </c>
      <c r="M162" s="12"/>
      <c r="N162" s="13">
        <v>1973</v>
      </c>
      <c r="O162" s="12" t="s">
        <v>93</v>
      </c>
      <c r="P162" s="12"/>
      <c r="Q162" s="12"/>
      <c r="R162" s="12" t="s">
        <v>94</v>
      </c>
      <c r="S162" s="12">
        <v>10</v>
      </c>
      <c r="T162" s="12" t="s">
        <v>2502</v>
      </c>
      <c r="U162" s="12" t="s">
        <v>2503</v>
      </c>
      <c r="V162" s="12">
        <f>VLOOKUP(Tabla43[[#This Row],[ZONA DEFINITIVO]],Hoja1!$A$1:$D$129,3,0)</f>
        <v>229958</v>
      </c>
      <c r="W162" s="12">
        <f>VLOOKUP(Tabla43[[#This Row],[ZONA DEFINITIVO]],Hoja1!$A$1:$D$129,2,0)</f>
        <v>18597</v>
      </c>
      <c r="X162" s="12">
        <f>VLOOKUP(Tabla43[[#This Row],[ZONA DEFINITIVO]],Hoja1!$A$1:$D$129,4,0)</f>
        <v>117825</v>
      </c>
      <c r="Y162" s="12" t="str">
        <f>+IF(Tabla43[[#This Row],[AGRUPACIONES]]=1,SUMIFS(Tabla43[UDS],Tabla43[ZONA DEFINITIVO],Tabla43[[#This Row],[ZONA DEFINITIVO]])," ")</f>
        <v xml:space="preserve"> </v>
      </c>
      <c r="Z162" s="12" t="str">
        <f>+IF(Tabla43[[#This Row],[AGRUPACIONES]]=1,SUMIFS(Tabla43[TOTAL COBERTURA],Tabla43[ZONA DEFINITIVO],Tabla43[[#This Row],[ZONA DEFINITIVO]])," ")</f>
        <v xml:space="preserve"> </v>
      </c>
      <c r="AA162" s="12"/>
      <c r="AB162" s="51">
        <v>73059066</v>
      </c>
      <c r="AC162" s="37">
        <v>0.02</v>
      </c>
      <c r="AD162" s="38">
        <f>Tabla43[[#This Row],[VALOR ATENCIÓN (7 MESES)]]*Tabla43[[#This Row],[% CONTRAPARTIDA]]</f>
        <v>1461181.32</v>
      </c>
      <c r="AE162" s="12"/>
      <c r="AF162" s="12">
        <f>COUNTIF($A$22:A162,A162)</f>
        <v>8</v>
      </c>
      <c r="AG162" s="51">
        <v>73059066</v>
      </c>
      <c r="AH162" s="38">
        <f>Tabla43[[#This Row],[VALOR CONTRAPARTIDA]]+Tabla43[[#This Row],[TOTAL APORTES ICBF]]</f>
        <v>74520247.319999993</v>
      </c>
      <c r="AI162" s="35" t="str">
        <f>+IF(Tabla43[[#This Row],[AGRUPACIONES]]=1,SUMIFS(Tabla43[TOTAL APORTES ICBF],Tabla43[ZONA DEFINITIVO],Tabla43[[#This Row],[ZONA DEFINITIVO]])," ")</f>
        <v xml:space="preserve"> </v>
      </c>
      <c r="AJ162" s="38"/>
      <c r="AK162" s="38"/>
      <c r="AL162" s="23"/>
      <c r="AM162" s="35">
        <f>VLOOKUP(Tabla43[[#This Row],[SERVICIO 2025]],$J$2:$V$16,5,0)*Tabla43[[#This Row],[TOTAL COBERTURA]]</f>
        <v>1876288</v>
      </c>
      <c r="AN162" s="35">
        <f>VLOOKUP(Tabla43[[#This Row],[SERVICIO 2025]],$J$2:$V$16,6,0)*Tabla43[[#This Row],[TOTAL COBERTURA]]</f>
        <v>1559102</v>
      </c>
      <c r="AO162" s="35">
        <f>VLOOKUP(Tabla43[[#This Row],[SERVICIO 2025]],$J$2:$V$16,8,0)*Tabla43[[#This Row],[TOTAL COBERTURA]]</f>
        <v>1105800</v>
      </c>
      <c r="AP162" s="35">
        <f>VLOOKUP(Tabla43[[#This Row],[SERVICIO 2025]],$J$2:$V$16,3,0)*Tabla43[[#This Row],[TOTAL COBERTURA]]*7</f>
        <v>68517876</v>
      </c>
      <c r="AQ162" s="35"/>
      <c r="AR16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73059066</v>
      </c>
      <c r="AS162" s="35" t="str">
        <f>+IF(Tabla43[[#This Row],[AGRUPACIONES]]=1,SUMIFS(Tabla43[VALOR TOTAL],Tabla43[ZONA DEFINITIVO],Tabla43[[#This Row],[ZONA DEFINITIVO]])," ")</f>
        <v xml:space="preserve"> </v>
      </c>
      <c r="AT16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12770356</v>
      </c>
      <c r="AU162" s="35">
        <f>VLOOKUP(Tabla43[[#This Row],[SERVICIO 2025]],$J$2:$V$16,3,0)*Tabla43[[#This Row],[TOTAL COBERTURA]]+Tabla43[[#This Row],[VALOR RACION PREPARADA]]/7</f>
        <v>9788268</v>
      </c>
      <c r="AV162" s="35">
        <f>VLOOKUP(Tabla43[[#This Row],[SERVICIO 2025]],$J$2:$V$16,3,0)*Tabla43[[#This Row],[TOTAL COBERTURA]]+Tabla43[[#This Row],[VALOR RACION PREPARADA]]/7</f>
        <v>9788268</v>
      </c>
      <c r="AW162" s="35">
        <f>VLOOKUP(Tabla43[[#This Row],[SERVICIO 2025]],$J$2:$V$16,3,0)*Tabla43[[#This Row],[TOTAL COBERTURA]]+Tabla43[[#This Row],[VALOR RACION PREPARADA]]/7</f>
        <v>9788268</v>
      </c>
      <c r="AX162" s="35">
        <f>VLOOKUP(Tabla43[[#This Row],[SERVICIO 2025]],$J$2:$V$16,3,0)*Tabla43[[#This Row],[TOTAL COBERTURA]]+Tabla43[[#This Row],[VALOR RACION PREPARADA]]/7</f>
        <v>9788268</v>
      </c>
      <c r="AY162" s="35">
        <f>VLOOKUP(Tabla43[[#This Row],[SERVICIO 2025]],$J$2:$V$16,3,0)*Tabla43[[#This Row],[TOTAL COBERTURA]]+Tabla43[[#This Row],[VALOR RACION PREPARADA]]/7</f>
        <v>9788268</v>
      </c>
      <c r="AZ162" s="35">
        <f>VLOOKUP(Tabla43[[#This Row],[SERVICIO 2025]],$J$2:$V$16,3,0)*Tabla43[[#This Row],[TOTAL COBERTURA]]+Tabla43[[#This Row],[VALOR RACION PREPARADA]]/7+Tabla43[[#This Row],[VALOR FASE PREPARATORIA DE CIERRE]]</f>
        <v>11347370</v>
      </c>
      <c r="BA162" s="35"/>
      <c r="BB162" s="35">
        <f>SUM(Tabla43[[#This Row],[DESEMBOLSO 1]:[DESEMBOLSO 8]])</f>
        <v>73059066</v>
      </c>
      <c r="BC162" s="55">
        <f>VLOOKUP(Tabla43[[#This Row],[SERVICIO 2025]],$J$2:$V$16,10,0)*Tabla43[[#This Row],[TOTAL COBERTURA]]*$W$3</f>
        <v>54836432</v>
      </c>
      <c r="BD162" s="47" t="s">
        <v>211</v>
      </c>
      <c r="BE162" s="12" t="b">
        <f>EXACT(Tabla43[[#This Row],[TOTAL APORTES ICBF]],Tabla43[[#This Row],[VALOR TOTAL]])</f>
        <v>1</v>
      </c>
      <c r="BF162" s="23">
        <f>SUM(Tabla43[[#This Row],[VALOR FASE PREPARATORIA DE ALISTAMIENTO]:[VALOR RACION PREPARADA]])-Tabla43[[#This Row],[VALOR TOTAL]]</f>
        <v>0</v>
      </c>
      <c r="BG162" s="12" t="b">
        <f>EXACT(Tabla43[[#This Row],[VALOR TOTAL]],Tabla43[[#This Row],[TOTAL DESEMBOLSOS]])</f>
        <v>1</v>
      </c>
      <c r="BH162" s="29">
        <f>Tabla43[[#This Row],[TOTAL DESEMBOLSOS]]-Tabla43[[#This Row],[VALOR TOTAL]]</f>
        <v>0</v>
      </c>
      <c r="BJ162" t="s">
        <v>3924</v>
      </c>
    </row>
    <row r="163" spans="1:62" hidden="1">
      <c r="A163" s="13">
        <v>1973</v>
      </c>
      <c r="B163" s="13"/>
      <c r="C163" s="12" t="s">
        <v>87</v>
      </c>
      <c r="D163" s="12" t="s">
        <v>462</v>
      </c>
      <c r="E163" s="12" t="s">
        <v>4151</v>
      </c>
      <c r="F163" s="12" t="s">
        <v>18</v>
      </c>
      <c r="G163" s="12" t="s">
        <v>90</v>
      </c>
      <c r="H163" s="12" t="s">
        <v>4167</v>
      </c>
      <c r="I163" s="12">
        <v>54901136658</v>
      </c>
      <c r="J163" s="12" t="s">
        <v>4167</v>
      </c>
      <c r="K163" s="12">
        <v>1</v>
      </c>
      <c r="L163" s="12">
        <v>25</v>
      </c>
      <c r="M163" s="12"/>
      <c r="N163" s="13">
        <v>1973</v>
      </c>
      <c r="O163" s="12" t="s">
        <v>93</v>
      </c>
      <c r="P163" s="12"/>
      <c r="Q163" s="12"/>
      <c r="R163" s="12" t="s">
        <v>94</v>
      </c>
      <c r="S163" s="12">
        <v>10</v>
      </c>
      <c r="T163" s="12" t="s">
        <v>2502</v>
      </c>
      <c r="U163" s="12" t="s">
        <v>2503</v>
      </c>
      <c r="V163" s="12">
        <f>VLOOKUP(Tabla43[[#This Row],[ZONA DEFINITIVO]],Hoja1!$A$1:$D$129,3,0)</f>
        <v>229958</v>
      </c>
      <c r="W163" s="12">
        <f>VLOOKUP(Tabla43[[#This Row],[ZONA DEFINITIVO]],Hoja1!$A$1:$D$129,2,0)</f>
        <v>18597</v>
      </c>
      <c r="X163" s="12">
        <f>VLOOKUP(Tabla43[[#This Row],[ZONA DEFINITIVO]],Hoja1!$A$1:$D$129,4,0)</f>
        <v>117825</v>
      </c>
      <c r="Y163" s="12" t="str">
        <f>+IF(Tabla43[[#This Row],[AGRUPACIONES]]=1,SUMIFS(Tabla43[UDS],Tabla43[ZONA DEFINITIVO],Tabla43[[#This Row],[ZONA DEFINITIVO]])," ")</f>
        <v xml:space="preserve"> </v>
      </c>
      <c r="Z163" s="12" t="str">
        <f>+IF(Tabla43[[#This Row],[AGRUPACIONES]]=1,SUMIFS(Tabla43[TOTAL COBERTURA],Tabla43[ZONA DEFINITIVO],Tabla43[[#This Row],[ZONA DEFINITIVO]])," ")</f>
        <v xml:space="preserve"> </v>
      </c>
      <c r="AA163" s="12"/>
      <c r="AB163" s="51">
        <v>48065175</v>
      </c>
      <c r="AC163" s="37">
        <v>0.02</v>
      </c>
      <c r="AD163" s="38">
        <f>Tabla43[[#This Row],[VALOR ATENCIÓN (7 MESES)]]*Tabla43[[#This Row],[% CONTRAPARTIDA]]</f>
        <v>961303.5</v>
      </c>
      <c r="AE163" s="12"/>
      <c r="AF163" s="12">
        <f>COUNTIF($A$22:A163,A163)</f>
        <v>9</v>
      </c>
      <c r="AG163" s="51">
        <v>48065175</v>
      </c>
      <c r="AH163" s="38">
        <f>Tabla43[[#This Row],[VALOR CONTRAPARTIDA]]+Tabla43[[#This Row],[TOTAL APORTES ICBF]]</f>
        <v>49026478.5</v>
      </c>
      <c r="AI163" s="35" t="str">
        <f>+IF(Tabla43[[#This Row],[AGRUPACIONES]]=1,SUMIFS(Tabla43[TOTAL APORTES ICBF],Tabla43[ZONA DEFINITIVO],Tabla43[[#This Row],[ZONA DEFINITIVO]])," ")</f>
        <v xml:space="preserve"> </v>
      </c>
      <c r="AJ163" s="38"/>
      <c r="AK163" s="38"/>
      <c r="AL163" s="23"/>
      <c r="AM163" s="35">
        <f>VLOOKUP(Tabla43[[#This Row],[SERVICIO 2025]],$J$2:$V$16,5,0)*Tabla43[[#This Row],[TOTAL COBERTURA]]</f>
        <v>1234400</v>
      </c>
      <c r="AN163" s="35">
        <f>VLOOKUP(Tabla43[[#This Row],[SERVICIO 2025]],$J$2:$V$16,6,0)*Tabla43[[#This Row],[TOTAL COBERTURA]]</f>
        <v>1025725</v>
      </c>
      <c r="AO163" s="35">
        <f>VLOOKUP(Tabla43[[#This Row],[SERVICIO 2025]],$J$2:$V$16,8,0)*Tabla43[[#This Row],[TOTAL COBERTURA]]</f>
        <v>727500</v>
      </c>
      <c r="AP163" s="35">
        <f>VLOOKUP(Tabla43[[#This Row],[SERVICIO 2025]],$J$2:$V$16,3,0)*Tabla43[[#This Row],[TOTAL COBERTURA]]*7</f>
        <v>45077550</v>
      </c>
      <c r="AQ163" s="35"/>
      <c r="AR16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48065175</v>
      </c>
      <c r="AS163" s="35" t="str">
        <f>+IF(Tabla43[[#This Row],[AGRUPACIONES]]=1,SUMIFS(Tabla43[VALOR TOTAL],Tabla43[ZONA DEFINITIVO],Tabla43[[#This Row],[ZONA DEFINITIVO]])," ")</f>
        <v xml:space="preserve"> </v>
      </c>
      <c r="AT16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8401550</v>
      </c>
      <c r="AU163" s="35">
        <f>VLOOKUP(Tabla43[[#This Row],[SERVICIO 2025]],$J$2:$V$16,3,0)*Tabla43[[#This Row],[TOTAL COBERTURA]]+Tabla43[[#This Row],[VALOR RACION PREPARADA]]/7</f>
        <v>6439650</v>
      </c>
      <c r="AV163" s="35">
        <f>VLOOKUP(Tabla43[[#This Row],[SERVICIO 2025]],$J$2:$V$16,3,0)*Tabla43[[#This Row],[TOTAL COBERTURA]]+Tabla43[[#This Row],[VALOR RACION PREPARADA]]/7</f>
        <v>6439650</v>
      </c>
      <c r="AW163" s="35">
        <f>VLOOKUP(Tabla43[[#This Row],[SERVICIO 2025]],$J$2:$V$16,3,0)*Tabla43[[#This Row],[TOTAL COBERTURA]]+Tabla43[[#This Row],[VALOR RACION PREPARADA]]/7</f>
        <v>6439650</v>
      </c>
      <c r="AX163" s="35">
        <f>VLOOKUP(Tabla43[[#This Row],[SERVICIO 2025]],$J$2:$V$16,3,0)*Tabla43[[#This Row],[TOTAL COBERTURA]]+Tabla43[[#This Row],[VALOR RACION PREPARADA]]/7</f>
        <v>6439650</v>
      </c>
      <c r="AY163" s="35">
        <f>VLOOKUP(Tabla43[[#This Row],[SERVICIO 2025]],$J$2:$V$16,3,0)*Tabla43[[#This Row],[TOTAL COBERTURA]]+Tabla43[[#This Row],[VALOR RACION PREPARADA]]/7</f>
        <v>6439650</v>
      </c>
      <c r="AZ163" s="35">
        <f>VLOOKUP(Tabla43[[#This Row],[SERVICIO 2025]],$J$2:$V$16,3,0)*Tabla43[[#This Row],[TOTAL COBERTURA]]+Tabla43[[#This Row],[VALOR RACION PREPARADA]]/7+Tabla43[[#This Row],[VALOR FASE PREPARATORIA DE CIERRE]]</f>
        <v>7465375</v>
      </c>
      <c r="BA163" s="35"/>
      <c r="BB163" s="35">
        <f>SUM(Tabla43[[#This Row],[DESEMBOLSO 1]:[DESEMBOLSO 8]])</f>
        <v>48065175</v>
      </c>
      <c r="BC163" s="55">
        <f>VLOOKUP(Tabla43[[#This Row],[SERVICIO 2025]],$J$2:$V$16,10,0)*Tabla43[[#This Row],[TOTAL COBERTURA]]*$W$3</f>
        <v>36076600</v>
      </c>
      <c r="BD163" s="47" t="s">
        <v>211</v>
      </c>
      <c r="BE163" s="12" t="b">
        <f>EXACT(Tabla43[[#This Row],[TOTAL APORTES ICBF]],Tabla43[[#This Row],[VALOR TOTAL]])</f>
        <v>1</v>
      </c>
      <c r="BF163" s="23">
        <f>SUM(Tabla43[[#This Row],[VALOR FASE PREPARATORIA DE ALISTAMIENTO]:[VALOR RACION PREPARADA]])-Tabla43[[#This Row],[VALOR TOTAL]]</f>
        <v>0</v>
      </c>
      <c r="BG163" s="12" t="b">
        <f>EXACT(Tabla43[[#This Row],[VALOR TOTAL]],Tabla43[[#This Row],[TOTAL DESEMBOLSOS]])</f>
        <v>1</v>
      </c>
      <c r="BH163" s="29">
        <f>Tabla43[[#This Row],[TOTAL DESEMBOLSOS]]-Tabla43[[#This Row],[VALOR TOTAL]]</f>
        <v>0</v>
      </c>
      <c r="BJ163" t="s">
        <v>3924</v>
      </c>
    </row>
    <row r="164" spans="1:62" hidden="1">
      <c r="A164" s="13">
        <v>1973</v>
      </c>
      <c r="B164" s="13"/>
      <c r="C164" s="12" t="s">
        <v>87</v>
      </c>
      <c r="D164" s="12" t="s">
        <v>462</v>
      </c>
      <c r="E164" s="12" t="s">
        <v>4151</v>
      </c>
      <c r="F164" s="12" t="s">
        <v>18</v>
      </c>
      <c r="G164" s="12" t="s">
        <v>90</v>
      </c>
      <c r="H164" s="12" t="s">
        <v>4168</v>
      </c>
      <c r="I164" s="12">
        <v>54901136750</v>
      </c>
      <c r="J164" s="12" t="s">
        <v>4169</v>
      </c>
      <c r="K164" s="12">
        <v>1</v>
      </c>
      <c r="L164" s="12">
        <v>26</v>
      </c>
      <c r="M164" s="12"/>
      <c r="N164" s="13">
        <v>1973</v>
      </c>
      <c r="O164" s="12" t="s">
        <v>93</v>
      </c>
      <c r="P164" s="12"/>
      <c r="Q164" s="12"/>
      <c r="R164" s="12" t="s">
        <v>94</v>
      </c>
      <c r="S164" s="12">
        <v>10</v>
      </c>
      <c r="T164" s="12" t="s">
        <v>2502</v>
      </c>
      <c r="U164" s="12" t="s">
        <v>2503</v>
      </c>
      <c r="V164" s="12">
        <f>VLOOKUP(Tabla43[[#This Row],[ZONA DEFINITIVO]],Hoja1!$A$1:$D$129,3,0)</f>
        <v>229958</v>
      </c>
      <c r="W164" s="12">
        <f>VLOOKUP(Tabla43[[#This Row],[ZONA DEFINITIVO]],Hoja1!$A$1:$D$129,2,0)</f>
        <v>18597</v>
      </c>
      <c r="X164" s="12">
        <f>VLOOKUP(Tabla43[[#This Row],[ZONA DEFINITIVO]],Hoja1!$A$1:$D$129,4,0)</f>
        <v>117825</v>
      </c>
      <c r="Y164" s="12" t="str">
        <f>+IF(Tabla43[[#This Row],[AGRUPACIONES]]=1,SUMIFS(Tabla43[UDS],Tabla43[ZONA DEFINITIVO],Tabla43[[#This Row],[ZONA DEFINITIVO]])," ")</f>
        <v xml:space="preserve"> </v>
      </c>
      <c r="Z164" s="12" t="str">
        <f>+IF(Tabla43[[#This Row],[AGRUPACIONES]]=1,SUMIFS(Tabla43[TOTAL COBERTURA],Tabla43[ZONA DEFINITIVO],Tabla43[[#This Row],[ZONA DEFINITIVO]])," ")</f>
        <v xml:space="preserve"> </v>
      </c>
      <c r="AA164" s="12"/>
      <c r="AB164" s="51">
        <v>49987782</v>
      </c>
      <c r="AC164" s="37">
        <v>0.02</v>
      </c>
      <c r="AD164" s="38">
        <f>Tabla43[[#This Row],[VALOR ATENCIÓN (7 MESES)]]*Tabla43[[#This Row],[% CONTRAPARTIDA]]</f>
        <v>999755.64</v>
      </c>
      <c r="AE164" s="12"/>
      <c r="AF164" s="12">
        <f>COUNTIF($A$22:A164,A164)</f>
        <v>10</v>
      </c>
      <c r="AG164" s="51">
        <v>49987782</v>
      </c>
      <c r="AH164" s="38">
        <f>Tabla43[[#This Row],[VALOR CONTRAPARTIDA]]+Tabla43[[#This Row],[TOTAL APORTES ICBF]]</f>
        <v>50987537.640000001</v>
      </c>
      <c r="AI164" s="35" t="str">
        <f>+IF(Tabla43[[#This Row],[AGRUPACIONES]]=1,SUMIFS(Tabla43[TOTAL APORTES ICBF],Tabla43[ZONA DEFINITIVO],Tabla43[[#This Row],[ZONA DEFINITIVO]])," ")</f>
        <v xml:space="preserve"> </v>
      </c>
      <c r="AJ164" s="38"/>
      <c r="AK164" s="38"/>
      <c r="AL164" s="23"/>
      <c r="AM164" s="35">
        <f>VLOOKUP(Tabla43[[#This Row],[SERVICIO 2025]],$J$2:$V$16,5,0)*Tabla43[[#This Row],[TOTAL COBERTURA]]</f>
        <v>1283776</v>
      </c>
      <c r="AN164" s="35">
        <f>VLOOKUP(Tabla43[[#This Row],[SERVICIO 2025]],$J$2:$V$16,6,0)*Tabla43[[#This Row],[TOTAL COBERTURA]]</f>
        <v>1066754</v>
      </c>
      <c r="AO164" s="35">
        <f>VLOOKUP(Tabla43[[#This Row],[SERVICIO 2025]],$J$2:$V$16,8,0)*Tabla43[[#This Row],[TOTAL COBERTURA]]</f>
        <v>756600</v>
      </c>
      <c r="AP164" s="35">
        <f>VLOOKUP(Tabla43[[#This Row],[SERVICIO 2025]],$J$2:$V$16,3,0)*Tabla43[[#This Row],[TOTAL COBERTURA]]*7</f>
        <v>46880652</v>
      </c>
      <c r="AQ164" s="35"/>
      <c r="AR16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49987782</v>
      </c>
      <c r="AS164" s="35" t="str">
        <f>+IF(Tabla43[[#This Row],[AGRUPACIONES]]=1,SUMIFS(Tabla43[VALOR TOTAL],Tabla43[ZONA DEFINITIVO],Tabla43[[#This Row],[ZONA DEFINITIVO]])," ")</f>
        <v xml:space="preserve"> </v>
      </c>
      <c r="AT16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8737612</v>
      </c>
      <c r="AU164" s="35">
        <f>VLOOKUP(Tabla43[[#This Row],[SERVICIO 2025]],$J$2:$V$16,3,0)*Tabla43[[#This Row],[TOTAL COBERTURA]]+Tabla43[[#This Row],[VALOR RACION PREPARADA]]/7</f>
        <v>6697236</v>
      </c>
      <c r="AV164" s="35">
        <f>VLOOKUP(Tabla43[[#This Row],[SERVICIO 2025]],$J$2:$V$16,3,0)*Tabla43[[#This Row],[TOTAL COBERTURA]]+Tabla43[[#This Row],[VALOR RACION PREPARADA]]/7</f>
        <v>6697236</v>
      </c>
      <c r="AW164" s="35">
        <f>VLOOKUP(Tabla43[[#This Row],[SERVICIO 2025]],$J$2:$V$16,3,0)*Tabla43[[#This Row],[TOTAL COBERTURA]]+Tabla43[[#This Row],[VALOR RACION PREPARADA]]/7</f>
        <v>6697236</v>
      </c>
      <c r="AX164" s="35">
        <f>VLOOKUP(Tabla43[[#This Row],[SERVICIO 2025]],$J$2:$V$16,3,0)*Tabla43[[#This Row],[TOTAL COBERTURA]]+Tabla43[[#This Row],[VALOR RACION PREPARADA]]/7</f>
        <v>6697236</v>
      </c>
      <c r="AY164" s="35">
        <f>VLOOKUP(Tabla43[[#This Row],[SERVICIO 2025]],$J$2:$V$16,3,0)*Tabla43[[#This Row],[TOTAL COBERTURA]]+Tabla43[[#This Row],[VALOR RACION PREPARADA]]/7</f>
        <v>6697236</v>
      </c>
      <c r="AZ164" s="35">
        <f>VLOOKUP(Tabla43[[#This Row],[SERVICIO 2025]],$J$2:$V$16,3,0)*Tabla43[[#This Row],[TOTAL COBERTURA]]+Tabla43[[#This Row],[VALOR RACION PREPARADA]]/7+Tabla43[[#This Row],[VALOR FASE PREPARATORIA DE CIERRE]]</f>
        <v>7763990</v>
      </c>
      <c r="BA164" s="35"/>
      <c r="BB164" s="35">
        <f>SUM(Tabla43[[#This Row],[DESEMBOLSO 1]:[DESEMBOLSO 8]])</f>
        <v>49987782</v>
      </c>
      <c r="BC164" s="55">
        <f>VLOOKUP(Tabla43[[#This Row],[SERVICIO 2025]],$J$2:$V$16,10,0)*Tabla43[[#This Row],[TOTAL COBERTURA]]*$W$3</f>
        <v>37519664</v>
      </c>
      <c r="BD164" s="47" t="s">
        <v>211</v>
      </c>
      <c r="BE164" s="12" t="b">
        <f>EXACT(Tabla43[[#This Row],[TOTAL APORTES ICBF]],Tabla43[[#This Row],[VALOR TOTAL]])</f>
        <v>1</v>
      </c>
      <c r="BF164" s="23">
        <f>SUM(Tabla43[[#This Row],[VALOR FASE PREPARATORIA DE ALISTAMIENTO]:[VALOR RACION PREPARADA]])-Tabla43[[#This Row],[VALOR TOTAL]]</f>
        <v>0</v>
      </c>
      <c r="BG164" s="12" t="b">
        <f>EXACT(Tabla43[[#This Row],[VALOR TOTAL]],Tabla43[[#This Row],[TOTAL DESEMBOLSOS]])</f>
        <v>1</v>
      </c>
      <c r="BH164" s="29">
        <f>Tabla43[[#This Row],[TOTAL DESEMBOLSOS]]-Tabla43[[#This Row],[VALOR TOTAL]]</f>
        <v>0</v>
      </c>
      <c r="BJ164" t="s">
        <v>3924</v>
      </c>
    </row>
    <row r="165" spans="1:62" hidden="1">
      <c r="A165" s="13">
        <v>1973</v>
      </c>
      <c r="B165" s="13"/>
      <c r="C165" s="12" t="s">
        <v>87</v>
      </c>
      <c r="D165" s="12" t="s">
        <v>462</v>
      </c>
      <c r="E165" s="12" t="s">
        <v>4151</v>
      </c>
      <c r="F165" s="12" t="s">
        <v>18</v>
      </c>
      <c r="G165" s="12" t="s">
        <v>90</v>
      </c>
      <c r="H165" s="12" t="s">
        <v>4170</v>
      </c>
      <c r="I165" s="12">
        <v>54901136998</v>
      </c>
      <c r="J165" s="12" t="s">
        <v>4170</v>
      </c>
      <c r="K165" s="12">
        <v>1</v>
      </c>
      <c r="L165" s="12">
        <v>24</v>
      </c>
      <c r="M165" s="12"/>
      <c r="N165" s="13">
        <v>1973</v>
      </c>
      <c r="O165" s="12" t="s">
        <v>93</v>
      </c>
      <c r="P165" s="12"/>
      <c r="Q165" s="12"/>
      <c r="R165" s="12" t="s">
        <v>94</v>
      </c>
      <c r="S165" s="12">
        <v>10</v>
      </c>
      <c r="T165" s="12" t="s">
        <v>2502</v>
      </c>
      <c r="U165" s="12" t="s">
        <v>2503</v>
      </c>
      <c r="V165" s="12">
        <f>VLOOKUP(Tabla43[[#This Row],[ZONA DEFINITIVO]],Hoja1!$A$1:$D$129,3,0)</f>
        <v>229958</v>
      </c>
      <c r="W165" s="12">
        <f>VLOOKUP(Tabla43[[#This Row],[ZONA DEFINITIVO]],Hoja1!$A$1:$D$129,2,0)</f>
        <v>18597</v>
      </c>
      <c r="X165" s="12">
        <f>VLOOKUP(Tabla43[[#This Row],[ZONA DEFINITIVO]],Hoja1!$A$1:$D$129,4,0)</f>
        <v>117825</v>
      </c>
      <c r="Y165" s="12" t="str">
        <f>+IF(Tabla43[[#This Row],[AGRUPACIONES]]=1,SUMIFS(Tabla43[UDS],Tabla43[ZONA DEFINITIVO],Tabla43[[#This Row],[ZONA DEFINITIVO]])," ")</f>
        <v xml:space="preserve"> </v>
      </c>
      <c r="Z165" s="12" t="str">
        <f>+IF(Tabla43[[#This Row],[AGRUPACIONES]]=1,SUMIFS(Tabla43[TOTAL COBERTURA],Tabla43[ZONA DEFINITIVO],Tabla43[[#This Row],[ZONA DEFINITIVO]])," ")</f>
        <v xml:space="preserve"> </v>
      </c>
      <c r="AA165" s="12"/>
      <c r="AB165" s="51">
        <v>46142568</v>
      </c>
      <c r="AC165" s="37">
        <v>0.02</v>
      </c>
      <c r="AD165" s="38">
        <f>Tabla43[[#This Row],[VALOR ATENCIÓN (7 MESES)]]*Tabla43[[#This Row],[% CONTRAPARTIDA]]</f>
        <v>922851.36</v>
      </c>
      <c r="AE165" s="12"/>
      <c r="AF165" s="12">
        <f>COUNTIF($A$22:A165,A165)</f>
        <v>11</v>
      </c>
      <c r="AG165" s="51">
        <v>46142568</v>
      </c>
      <c r="AH165" s="38">
        <f>Tabla43[[#This Row],[VALOR CONTRAPARTIDA]]+Tabla43[[#This Row],[TOTAL APORTES ICBF]]</f>
        <v>47065419.359999999</v>
      </c>
      <c r="AI165" s="35" t="str">
        <f>+IF(Tabla43[[#This Row],[AGRUPACIONES]]=1,SUMIFS(Tabla43[TOTAL APORTES ICBF],Tabla43[ZONA DEFINITIVO],Tabla43[[#This Row],[ZONA DEFINITIVO]])," ")</f>
        <v xml:space="preserve"> </v>
      </c>
      <c r="AJ165" s="38"/>
      <c r="AK165" s="38"/>
      <c r="AL165" s="23"/>
      <c r="AM165" s="35">
        <f>VLOOKUP(Tabla43[[#This Row],[SERVICIO 2025]],$J$2:$V$16,5,0)*Tabla43[[#This Row],[TOTAL COBERTURA]]</f>
        <v>1185024</v>
      </c>
      <c r="AN165" s="35">
        <f>VLOOKUP(Tabla43[[#This Row],[SERVICIO 2025]],$J$2:$V$16,6,0)*Tabla43[[#This Row],[TOTAL COBERTURA]]</f>
        <v>984696</v>
      </c>
      <c r="AO165" s="35">
        <f>VLOOKUP(Tabla43[[#This Row],[SERVICIO 2025]],$J$2:$V$16,8,0)*Tabla43[[#This Row],[TOTAL COBERTURA]]</f>
        <v>698400</v>
      </c>
      <c r="AP165" s="35">
        <f>VLOOKUP(Tabla43[[#This Row],[SERVICIO 2025]],$J$2:$V$16,3,0)*Tabla43[[#This Row],[TOTAL COBERTURA]]*7</f>
        <v>43274448</v>
      </c>
      <c r="AQ165" s="35"/>
      <c r="AR16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46142568</v>
      </c>
      <c r="AS165" s="35" t="str">
        <f>+IF(Tabla43[[#This Row],[AGRUPACIONES]]=1,SUMIFS(Tabla43[VALOR TOTAL],Tabla43[ZONA DEFINITIVO],Tabla43[[#This Row],[ZONA DEFINITIVO]])," ")</f>
        <v xml:space="preserve"> </v>
      </c>
      <c r="AT16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8065488</v>
      </c>
      <c r="AU165" s="35">
        <f>VLOOKUP(Tabla43[[#This Row],[SERVICIO 2025]],$J$2:$V$16,3,0)*Tabla43[[#This Row],[TOTAL COBERTURA]]+Tabla43[[#This Row],[VALOR RACION PREPARADA]]/7</f>
        <v>6182064</v>
      </c>
      <c r="AV165" s="35">
        <f>VLOOKUP(Tabla43[[#This Row],[SERVICIO 2025]],$J$2:$V$16,3,0)*Tabla43[[#This Row],[TOTAL COBERTURA]]+Tabla43[[#This Row],[VALOR RACION PREPARADA]]/7</f>
        <v>6182064</v>
      </c>
      <c r="AW165" s="35">
        <f>VLOOKUP(Tabla43[[#This Row],[SERVICIO 2025]],$J$2:$V$16,3,0)*Tabla43[[#This Row],[TOTAL COBERTURA]]+Tabla43[[#This Row],[VALOR RACION PREPARADA]]/7</f>
        <v>6182064</v>
      </c>
      <c r="AX165" s="35">
        <f>VLOOKUP(Tabla43[[#This Row],[SERVICIO 2025]],$J$2:$V$16,3,0)*Tabla43[[#This Row],[TOTAL COBERTURA]]+Tabla43[[#This Row],[VALOR RACION PREPARADA]]/7</f>
        <v>6182064</v>
      </c>
      <c r="AY165" s="35">
        <f>VLOOKUP(Tabla43[[#This Row],[SERVICIO 2025]],$J$2:$V$16,3,0)*Tabla43[[#This Row],[TOTAL COBERTURA]]+Tabla43[[#This Row],[VALOR RACION PREPARADA]]/7</f>
        <v>6182064</v>
      </c>
      <c r="AZ165" s="35">
        <f>VLOOKUP(Tabla43[[#This Row],[SERVICIO 2025]],$J$2:$V$16,3,0)*Tabla43[[#This Row],[TOTAL COBERTURA]]+Tabla43[[#This Row],[VALOR RACION PREPARADA]]/7+Tabla43[[#This Row],[VALOR FASE PREPARATORIA DE CIERRE]]</f>
        <v>7166760</v>
      </c>
      <c r="BA165" s="35"/>
      <c r="BB165" s="35">
        <f>SUM(Tabla43[[#This Row],[DESEMBOLSO 1]:[DESEMBOLSO 8]])</f>
        <v>46142568</v>
      </c>
      <c r="BC165" s="55">
        <f>VLOOKUP(Tabla43[[#This Row],[SERVICIO 2025]],$J$2:$V$16,10,0)*Tabla43[[#This Row],[TOTAL COBERTURA]]*$W$3</f>
        <v>34633536</v>
      </c>
      <c r="BD165" s="47" t="s">
        <v>211</v>
      </c>
      <c r="BE165" s="12" t="b">
        <f>EXACT(Tabla43[[#This Row],[TOTAL APORTES ICBF]],Tabla43[[#This Row],[VALOR TOTAL]])</f>
        <v>1</v>
      </c>
      <c r="BF165" s="23">
        <f>SUM(Tabla43[[#This Row],[VALOR FASE PREPARATORIA DE ALISTAMIENTO]:[VALOR RACION PREPARADA]])-Tabla43[[#This Row],[VALOR TOTAL]]</f>
        <v>0</v>
      </c>
      <c r="BG165" s="12" t="b">
        <f>EXACT(Tabla43[[#This Row],[VALOR TOTAL]],Tabla43[[#This Row],[TOTAL DESEMBOLSOS]])</f>
        <v>1</v>
      </c>
      <c r="BH165" s="29">
        <f>Tabla43[[#This Row],[TOTAL DESEMBOLSOS]]-Tabla43[[#This Row],[VALOR TOTAL]]</f>
        <v>0</v>
      </c>
      <c r="BJ165" t="s">
        <v>3924</v>
      </c>
    </row>
    <row r="166" spans="1:62" hidden="1">
      <c r="A166" s="13">
        <v>1973</v>
      </c>
      <c r="B166" s="13"/>
      <c r="C166" s="12" t="s">
        <v>87</v>
      </c>
      <c r="D166" s="12" t="s">
        <v>462</v>
      </c>
      <c r="E166" s="12" t="s">
        <v>4151</v>
      </c>
      <c r="F166" s="12" t="s">
        <v>18</v>
      </c>
      <c r="G166" s="12" t="s">
        <v>90</v>
      </c>
      <c r="H166" s="12" t="s">
        <v>4171</v>
      </c>
      <c r="I166" s="12">
        <v>549000100032</v>
      </c>
      <c r="J166" s="12" t="s">
        <v>4172</v>
      </c>
      <c r="K166" s="12">
        <v>1</v>
      </c>
      <c r="L166" s="12">
        <v>25</v>
      </c>
      <c r="M166" s="12"/>
      <c r="N166" s="13">
        <v>1973</v>
      </c>
      <c r="O166" s="12" t="s">
        <v>93</v>
      </c>
      <c r="P166" s="12"/>
      <c r="Q166" s="12"/>
      <c r="R166" s="12" t="s">
        <v>94</v>
      </c>
      <c r="S166" s="12">
        <v>10</v>
      </c>
      <c r="T166" s="12" t="s">
        <v>2502</v>
      </c>
      <c r="U166" s="12" t="s">
        <v>2503</v>
      </c>
      <c r="V166" s="12">
        <f>VLOOKUP(Tabla43[[#This Row],[ZONA DEFINITIVO]],Hoja1!$A$1:$D$129,3,0)</f>
        <v>229958</v>
      </c>
      <c r="W166" s="12">
        <f>VLOOKUP(Tabla43[[#This Row],[ZONA DEFINITIVO]],Hoja1!$A$1:$D$129,2,0)</f>
        <v>18597</v>
      </c>
      <c r="X166" s="12">
        <f>VLOOKUP(Tabla43[[#This Row],[ZONA DEFINITIVO]],Hoja1!$A$1:$D$129,4,0)</f>
        <v>117825</v>
      </c>
      <c r="Y166" s="12" t="str">
        <f>+IF(Tabla43[[#This Row],[AGRUPACIONES]]=1,SUMIFS(Tabla43[UDS],Tabla43[ZONA DEFINITIVO],Tabla43[[#This Row],[ZONA DEFINITIVO]])," ")</f>
        <v xml:space="preserve"> </v>
      </c>
      <c r="Z166" s="12" t="str">
        <f>+IF(Tabla43[[#This Row],[AGRUPACIONES]]=1,SUMIFS(Tabla43[TOTAL COBERTURA],Tabla43[ZONA DEFINITIVO],Tabla43[[#This Row],[ZONA DEFINITIVO]])," ")</f>
        <v xml:space="preserve"> </v>
      </c>
      <c r="AA166" s="12"/>
      <c r="AB166" s="51">
        <v>48065175</v>
      </c>
      <c r="AC166" s="37">
        <v>0.02</v>
      </c>
      <c r="AD166" s="38">
        <f>Tabla43[[#This Row],[VALOR ATENCIÓN (7 MESES)]]*Tabla43[[#This Row],[% CONTRAPARTIDA]]</f>
        <v>961303.5</v>
      </c>
      <c r="AE166" s="12"/>
      <c r="AF166" s="12">
        <f>COUNTIF($A$22:A166,A166)</f>
        <v>12</v>
      </c>
      <c r="AG166" s="51">
        <v>48065175</v>
      </c>
      <c r="AH166" s="38">
        <f>Tabla43[[#This Row],[VALOR CONTRAPARTIDA]]+Tabla43[[#This Row],[TOTAL APORTES ICBF]]</f>
        <v>49026478.5</v>
      </c>
      <c r="AI166" s="35" t="str">
        <f>+IF(Tabla43[[#This Row],[AGRUPACIONES]]=1,SUMIFS(Tabla43[TOTAL APORTES ICBF],Tabla43[ZONA DEFINITIVO],Tabla43[[#This Row],[ZONA DEFINITIVO]])," ")</f>
        <v xml:space="preserve"> </v>
      </c>
      <c r="AJ166" s="38"/>
      <c r="AK166" s="38"/>
      <c r="AL166" s="23"/>
      <c r="AM166" s="35">
        <f>VLOOKUP(Tabla43[[#This Row],[SERVICIO 2025]],$J$2:$V$16,5,0)*Tabla43[[#This Row],[TOTAL COBERTURA]]</f>
        <v>1234400</v>
      </c>
      <c r="AN166" s="35">
        <f>VLOOKUP(Tabla43[[#This Row],[SERVICIO 2025]],$J$2:$V$16,6,0)*Tabla43[[#This Row],[TOTAL COBERTURA]]</f>
        <v>1025725</v>
      </c>
      <c r="AO166" s="35">
        <f>VLOOKUP(Tabla43[[#This Row],[SERVICIO 2025]],$J$2:$V$16,8,0)*Tabla43[[#This Row],[TOTAL COBERTURA]]</f>
        <v>727500</v>
      </c>
      <c r="AP166" s="35">
        <f>VLOOKUP(Tabla43[[#This Row],[SERVICIO 2025]],$J$2:$V$16,3,0)*Tabla43[[#This Row],[TOTAL COBERTURA]]*7</f>
        <v>45077550</v>
      </c>
      <c r="AQ166" s="35"/>
      <c r="AR16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48065175</v>
      </c>
      <c r="AS166" s="35" t="str">
        <f>+IF(Tabla43[[#This Row],[AGRUPACIONES]]=1,SUMIFS(Tabla43[VALOR TOTAL],Tabla43[ZONA DEFINITIVO],Tabla43[[#This Row],[ZONA DEFINITIVO]])," ")</f>
        <v xml:space="preserve"> </v>
      </c>
      <c r="AT16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8401550</v>
      </c>
      <c r="AU166" s="35">
        <f>VLOOKUP(Tabla43[[#This Row],[SERVICIO 2025]],$J$2:$V$16,3,0)*Tabla43[[#This Row],[TOTAL COBERTURA]]+Tabla43[[#This Row],[VALOR RACION PREPARADA]]/7</f>
        <v>6439650</v>
      </c>
      <c r="AV166" s="35">
        <f>VLOOKUP(Tabla43[[#This Row],[SERVICIO 2025]],$J$2:$V$16,3,0)*Tabla43[[#This Row],[TOTAL COBERTURA]]+Tabla43[[#This Row],[VALOR RACION PREPARADA]]/7</f>
        <v>6439650</v>
      </c>
      <c r="AW166" s="35">
        <f>VLOOKUP(Tabla43[[#This Row],[SERVICIO 2025]],$J$2:$V$16,3,0)*Tabla43[[#This Row],[TOTAL COBERTURA]]+Tabla43[[#This Row],[VALOR RACION PREPARADA]]/7</f>
        <v>6439650</v>
      </c>
      <c r="AX166" s="35">
        <f>VLOOKUP(Tabla43[[#This Row],[SERVICIO 2025]],$J$2:$V$16,3,0)*Tabla43[[#This Row],[TOTAL COBERTURA]]+Tabla43[[#This Row],[VALOR RACION PREPARADA]]/7</f>
        <v>6439650</v>
      </c>
      <c r="AY166" s="35">
        <f>VLOOKUP(Tabla43[[#This Row],[SERVICIO 2025]],$J$2:$V$16,3,0)*Tabla43[[#This Row],[TOTAL COBERTURA]]+Tabla43[[#This Row],[VALOR RACION PREPARADA]]/7</f>
        <v>6439650</v>
      </c>
      <c r="AZ166" s="35">
        <f>VLOOKUP(Tabla43[[#This Row],[SERVICIO 2025]],$J$2:$V$16,3,0)*Tabla43[[#This Row],[TOTAL COBERTURA]]+Tabla43[[#This Row],[VALOR RACION PREPARADA]]/7+Tabla43[[#This Row],[VALOR FASE PREPARATORIA DE CIERRE]]</f>
        <v>7465375</v>
      </c>
      <c r="BA166" s="35"/>
      <c r="BB166" s="35">
        <f>SUM(Tabla43[[#This Row],[DESEMBOLSO 1]:[DESEMBOLSO 8]])</f>
        <v>48065175</v>
      </c>
      <c r="BC166" s="55">
        <f>VLOOKUP(Tabla43[[#This Row],[SERVICIO 2025]],$J$2:$V$16,10,0)*Tabla43[[#This Row],[TOTAL COBERTURA]]*$W$3</f>
        <v>36076600</v>
      </c>
      <c r="BD166" s="47" t="s">
        <v>211</v>
      </c>
      <c r="BE166" s="12" t="b">
        <f>EXACT(Tabla43[[#This Row],[TOTAL APORTES ICBF]],Tabla43[[#This Row],[VALOR TOTAL]])</f>
        <v>1</v>
      </c>
      <c r="BF166" s="23">
        <f>SUM(Tabla43[[#This Row],[VALOR FASE PREPARATORIA DE ALISTAMIENTO]:[VALOR RACION PREPARADA]])-Tabla43[[#This Row],[VALOR TOTAL]]</f>
        <v>0</v>
      </c>
      <c r="BG166" s="12" t="b">
        <f>EXACT(Tabla43[[#This Row],[VALOR TOTAL]],Tabla43[[#This Row],[TOTAL DESEMBOLSOS]])</f>
        <v>1</v>
      </c>
      <c r="BH166" s="29">
        <f>Tabla43[[#This Row],[TOTAL DESEMBOLSOS]]-Tabla43[[#This Row],[VALOR TOTAL]]</f>
        <v>0</v>
      </c>
      <c r="BJ166" t="s">
        <v>3924</v>
      </c>
    </row>
    <row r="167" spans="1:62" hidden="1">
      <c r="A167" s="13">
        <v>1973</v>
      </c>
      <c r="B167" s="13"/>
      <c r="C167" s="12" t="s">
        <v>87</v>
      </c>
      <c r="D167" s="12" t="s">
        <v>462</v>
      </c>
      <c r="E167" s="12" t="s">
        <v>4151</v>
      </c>
      <c r="F167" s="12" t="s">
        <v>13</v>
      </c>
      <c r="G167" s="12" t="s">
        <v>90</v>
      </c>
      <c r="H167" s="12" t="s">
        <v>4173</v>
      </c>
      <c r="I167" s="12">
        <v>549000102912</v>
      </c>
      <c r="J167" s="12" t="s">
        <v>4174</v>
      </c>
      <c r="K167" s="12">
        <v>1</v>
      </c>
      <c r="L167" s="12">
        <v>213</v>
      </c>
      <c r="M167" s="12"/>
      <c r="N167" s="13">
        <v>1973</v>
      </c>
      <c r="O167" s="12" t="s">
        <v>93</v>
      </c>
      <c r="P167" s="12"/>
      <c r="Q167" s="12"/>
      <c r="R167" s="12" t="s">
        <v>94</v>
      </c>
      <c r="S167" s="12">
        <v>10</v>
      </c>
      <c r="T167" s="12" t="s">
        <v>2502</v>
      </c>
      <c r="U167" s="12" t="s">
        <v>2503</v>
      </c>
      <c r="V167" s="12">
        <f>VLOOKUP(Tabla43[[#This Row],[ZONA DEFINITIVO]],Hoja1!$A$1:$D$129,3,0)</f>
        <v>229958</v>
      </c>
      <c r="W167" s="12">
        <f>VLOOKUP(Tabla43[[#This Row],[ZONA DEFINITIVO]],Hoja1!$A$1:$D$129,2,0)</f>
        <v>18597</v>
      </c>
      <c r="X167" s="12">
        <f>VLOOKUP(Tabla43[[#This Row],[ZONA DEFINITIVO]],Hoja1!$A$1:$D$129,4,0)</f>
        <v>117825</v>
      </c>
      <c r="Y167" s="12" t="str">
        <f>+IF(Tabla43[[#This Row],[AGRUPACIONES]]=1,SUMIFS(Tabla43[UDS],Tabla43[ZONA DEFINITIVO],Tabla43[[#This Row],[ZONA DEFINITIVO]])," ")</f>
        <v xml:space="preserve"> </v>
      </c>
      <c r="Z167" s="12" t="str">
        <f>+IF(Tabla43[[#This Row],[AGRUPACIONES]]=1,SUMIFS(Tabla43[TOTAL COBERTURA],Tabla43[ZONA DEFINITIVO],Tabla43[[#This Row],[ZONA DEFINITIVO]])," ")</f>
        <v xml:space="preserve"> </v>
      </c>
      <c r="AA167" s="12"/>
      <c r="AB167" s="51">
        <v>555400908</v>
      </c>
      <c r="AC167" s="37">
        <v>0.02</v>
      </c>
      <c r="AD167" s="38">
        <f>Tabla43[[#This Row],[VALOR ATENCIÓN (7 MESES)]]*Tabla43[[#This Row],[% CONTRAPARTIDA]]</f>
        <v>11108018.16</v>
      </c>
      <c r="AE167" s="12"/>
      <c r="AF167" s="12">
        <f>COUNTIF($A$22:A167,A167)</f>
        <v>13</v>
      </c>
      <c r="AG167" s="51">
        <v>555400908</v>
      </c>
      <c r="AH167" s="38">
        <f>Tabla43[[#This Row],[VALOR CONTRAPARTIDA]]+Tabla43[[#This Row],[TOTAL APORTES ICBF]]</f>
        <v>566508926.15999997</v>
      </c>
      <c r="AI167" s="35" t="str">
        <f>+IF(Tabla43[[#This Row],[AGRUPACIONES]]=1,SUMIFS(Tabla43[TOTAL APORTES ICBF],Tabla43[ZONA DEFINITIVO],Tabla43[[#This Row],[ZONA DEFINITIVO]])," ")</f>
        <v xml:space="preserve"> </v>
      </c>
      <c r="AJ167" s="38"/>
      <c r="AK167" s="38"/>
      <c r="AL167" s="23"/>
      <c r="AM167" s="35">
        <f>VLOOKUP(Tabla43[[#This Row],[SERVICIO 2025]],$J$2:$V$16,5,0)*Tabla43[[#This Row],[TOTAL COBERTURA]]</f>
        <v>18774459</v>
      </c>
      <c r="AN167" s="35">
        <f>VLOOKUP(Tabla43[[#This Row],[SERVICIO 2025]],$J$2:$V$16,6,0)*Tabla43[[#This Row],[TOTAL COBERTURA]]</f>
        <v>15984159</v>
      </c>
      <c r="AO167" s="35">
        <f>VLOOKUP(Tabla43[[#This Row],[SERVICIO 2025]],$J$2:$V$16,8,0)*Tabla43[[#This Row],[TOTAL COBERTURA]]</f>
        <v>0</v>
      </c>
      <c r="AP167" s="35">
        <f>VLOOKUP(Tabla43[[#This Row],[SERVICIO 2025]],$J$2:$V$16,3,0)*Tabla43[[#This Row],[TOTAL COBERTURA]]*7</f>
        <v>520642290</v>
      </c>
      <c r="AQ167" s="35"/>
      <c r="AR16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555400908</v>
      </c>
      <c r="AS167" s="35" t="str">
        <f>+IF(Tabla43[[#This Row],[AGRUPACIONES]]=1,SUMIFS(Tabla43[VALOR TOTAL],Tabla43[ZONA DEFINITIVO],Tabla43[[#This Row],[ZONA DEFINITIVO]])," ")</f>
        <v xml:space="preserve"> </v>
      </c>
      <c r="AT16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93151929</v>
      </c>
      <c r="AU167" s="35">
        <f>VLOOKUP(Tabla43[[#This Row],[SERVICIO 2025]],$J$2:$V$16,3,0)*Tabla43[[#This Row],[TOTAL COBERTURA]]+Tabla43[[#This Row],[VALOR RACION PREPARADA]]/7</f>
        <v>74377470</v>
      </c>
      <c r="AV167" s="35">
        <f>VLOOKUP(Tabla43[[#This Row],[SERVICIO 2025]],$J$2:$V$16,3,0)*Tabla43[[#This Row],[TOTAL COBERTURA]]+Tabla43[[#This Row],[VALOR RACION PREPARADA]]/7</f>
        <v>74377470</v>
      </c>
      <c r="AW167" s="35">
        <f>VLOOKUP(Tabla43[[#This Row],[SERVICIO 2025]],$J$2:$V$16,3,0)*Tabla43[[#This Row],[TOTAL COBERTURA]]+Tabla43[[#This Row],[VALOR RACION PREPARADA]]/7</f>
        <v>74377470</v>
      </c>
      <c r="AX167" s="35">
        <f>VLOOKUP(Tabla43[[#This Row],[SERVICIO 2025]],$J$2:$V$16,3,0)*Tabla43[[#This Row],[TOTAL COBERTURA]]+Tabla43[[#This Row],[VALOR RACION PREPARADA]]/7</f>
        <v>74377470</v>
      </c>
      <c r="AY167" s="35">
        <f>VLOOKUP(Tabla43[[#This Row],[SERVICIO 2025]],$J$2:$V$16,3,0)*Tabla43[[#This Row],[TOTAL COBERTURA]]+Tabla43[[#This Row],[VALOR RACION PREPARADA]]/7</f>
        <v>74377470</v>
      </c>
      <c r="AZ167" s="35">
        <f>VLOOKUP(Tabla43[[#This Row],[SERVICIO 2025]],$J$2:$V$16,3,0)*Tabla43[[#This Row],[TOTAL COBERTURA]]+Tabla43[[#This Row],[VALOR RACION PREPARADA]]/7+Tabla43[[#This Row],[VALOR FASE PREPARATORIA DE CIERRE]]</f>
        <v>90361629</v>
      </c>
      <c r="BA167" s="35"/>
      <c r="BB167" s="35">
        <f>SUM(Tabla43[[#This Row],[DESEMBOLSO 1]:[DESEMBOLSO 8]])</f>
        <v>555400908</v>
      </c>
      <c r="BC167" s="55">
        <f>VLOOKUP(Tabla43[[#This Row],[SERVICIO 2025]],$J$2:$V$16,10,0)*Tabla43[[#This Row],[TOTAL COBERTURA]]*$W$3</f>
        <v>262446672</v>
      </c>
      <c r="BD167" s="47" t="s">
        <v>211</v>
      </c>
      <c r="BE167" s="12" t="b">
        <f>EXACT(Tabla43[[#This Row],[TOTAL APORTES ICBF]],Tabla43[[#This Row],[VALOR TOTAL]])</f>
        <v>1</v>
      </c>
      <c r="BF167" s="23">
        <f>SUM(Tabla43[[#This Row],[VALOR FASE PREPARATORIA DE ALISTAMIENTO]:[VALOR RACION PREPARADA]])-Tabla43[[#This Row],[VALOR TOTAL]]</f>
        <v>0</v>
      </c>
      <c r="BG167" s="12" t="b">
        <f>EXACT(Tabla43[[#This Row],[VALOR TOTAL]],Tabla43[[#This Row],[TOTAL DESEMBOLSOS]])</f>
        <v>1</v>
      </c>
      <c r="BH167" s="29">
        <f>Tabla43[[#This Row],[TOTAL DESEMBOLSOS]]-Tabla43[[#This Row],[VALOR TOTAL]]</f>
        <v>0</v>
      </c>
      <c r="BJ167" t="s">
        <v>3924</v>
      </c>
    </row>
    <row r="168" spans="1:62" hidden="1">
      <c r="A168" s="13">
        <v>1974</v>
      </c>
      <c r="B168" s="13"/>
      <c r="C168" s="12" t="s">
        <v>87</v>
      </c>
      <c r="D168" s="12" t="s">
        <v>462</v>
      </c>
      <c r="E168" s="12" t="s">
        <v>4151</v>
      </c>
      <c r="F168" s="12" t="s">
        <v>18</v>
      </c>
      <c r="G168" s="12" t="s">
        <v>90</v>
      </c>
      <c r="H168" s="12" t="s">
        <v>4175</v>
      </c>
      <c r="I168" s="12">
        <v>54901118849</v>
      </c>
      <c r="J168" s="12" t="s">
        <v>4175</v>
      </c>
      <c r="K168" s="12">
        <v>1</v>
      </c>
      <c r="L168" s="12">
        <v>21</v>
      </c>
      <c r="M168" s="12"/>
      <c r="N168" s="13">
        <v>1974</v>
      </c>
      <c r="O168" s="12" t="s">
        <v>93</v>
      </c>
      <c r="P168" s="12"/>
      <c r="Q168" s="12"/>
      <c r="R168" s="12" t="s">
        <v>94</v>
      </c>
      <c r="S168" s="12">
        <v>10</v>
      </c>
      <c r="T168" s="12" t="s">
        <v>4176</v>
      </c>
      <c r="U168" s="12" t="s">
        <v>4177</v>
      </c>
      <c r="V168" s="12">
        <f>VLOOKUP(Tabla43[[#This Row],[ZONA DEFINITIVO]],Hoja1!$A$1:$D$129,3,0)</f>
        <v>229959</v>
      </c>
      <c r="W168" s="12">
        <f>VLOOKUP(Tabla43[[#This Row],[ZONA DEFINITIVO]],Hoja1!$A$1:$D$129,2,0)</f>
        <v>18591</v>
      </c>
      <c r="X168" s="12">
        <f>VLOOKUP(Tabla43[[#This Row],[ZONA DEFINITIVO]],Hoja1!$A$1:$D$129,4,0)</f>
        <v>117425</v>
      </c>
      <c r="Y168" s="12">
        <f>+IF(Tabla43[[#This Row],[AGRUPACIONES]]=1,SUMIFS(Tabla43[UDS],Tabla43[ZONA DEFINITIVO],Tabla43[[#This Row],[ZONA DEFINITIVO]])," ")</f>
        <v>36</v>
      </c>
      <c r="Z168" s="12">
        <f>+IF(Tabla43[[#This Row],[AGRUPACIONES]]=1,SUMIFS(Tabla43[TOTAL COBERTURA],Tabla43[ZONA DEFINITIVO],Tabla43[[#This Row],[ZONA DEFINITIVO]])," ")</f>
        <v>724</v>
      </c>
      <c r="AA168" s="12"/>
      <c r="AB168" s="51">
        <v>40374747</v>
      </c>
      <c r="AC168" s="37">
        <v>0.02</v>
      </c>
      <c r="AD168" s="38">
        <f>Tabla43[[#This Row],[VALOR ATENCIÓN (7 MESES)]]*Tabla43[[#This Row],[% CONTRAPARTIDA]]</f>
        <v>807494.94000000006</v>
      </c>
      <c r="AE168" s="12"/>
      <c r="AF168" s="12">
        <f>COUNTIF($A$22:A168,A168)</f>
        <v>1</v>
      </c>
      <c r="AG168" s="51">
        <v>40374747</v>
      </c>
      <c r="AH168" s="38">
        <f>Tabla43[[#This Row],[VALOR CONTRAPARTIDA]]+Tabla43[[#This Row],[TOTAL APORTES ICBF]]</f>
        <v>41182241.939999998</v>
      </c>
      <c r="AI168" s="35">
        <f>+IF(Tabla43[[#This Row],[AGRUPACIONES]]=1,SUMIFS(Tabla43[TOTAL APORTES ICBF],Tabla43[ZONA DEFINITIVO],Tabla43[[#This Row],[ZONA DEFINITIVO]])," ")</f>
        <v>1693044648</v>
      </c>
      <c r="AJ168" s="38">
        <f>ROUND(+IF(Tabla43[[#This Row],[AGRUPACIONES]]=1,SUMIFS(Tabla43[VALOR CONTRAPARTIDA],Tabla43[ZONA DEFINITIVO],Tabla43[[#This Row],[ZONA DEFINITIVO]])," "),0)</f>
        <v>33860893</v>
      </c>
      <c r="AK168" s="38">
        <f>Tabla43[[#This Row],[TOTAL APORTES ICBF AGRUPADO]]+Tabla43[[#This Row],[TOTAL CONTRAPARTIDA AGRUPADO]]</f>
        <v>1726905541</v>
      </c>
      <c r="AL168" s="23">
        <f>Tabla43[[#This Row],[TOTAL APORTES ICBF AGRUPADO]]/$AL$20</f>
        <v>1189.3534583772391</v>
      </c>
      <c r="AM168" s="35">
        <f>VLOOKUP(Tabla43[[#This Row],[SERVICIO 2025]],$J$2:$V$16,5,0)*Tabla43[[#This Row],[TOTAL COBERTURA]]</f>
        <v>1036896</v>
      </c>
      <c r="AN168" s="35">
        <f>VLOOKUP(Tabla43[[#This Row],[SERVICIO 2025]],$J$2:$V$16,6,0)*Tabla43[[#This Row],[TOTAL COBERTURA]]</f>
        <v>861609</v>
      </c>
      <c r="AO168" s="35">
        <f>VLOOKUP(Tabla43[[#This Row],[SERVICIO 2025]],$J$2:$V$16,8,0)*Tabla43[[#This Row],[TOTAL COBERTURA]]</f>
        <v>611100</v>
      </c>
      <c r="AP168" s="35">
        <f>VLOOKUP(Tabla43[[#This Row],[SERVICIO 2025]],$J$2:$V$16,3,0)*Tabla43[[#This Row],[TOTAL COBERTURA]]*7</f>
        <v>37865142</v>
      </c>
      <c r="AQ168" s="35"/>
      <c r="AR16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40374747</v>
      </c>
      <c r="AS168" s="35">
        <f>+IF(Tabla43[[#This Row],[AGRUPACIONES]]=1,SUMIFS(Tabla43[VALOR TOTAL],Tabla43[ZONA DEFINITIVO],Tabla43[[#This Row],[ZONA DEFINITIVO]])," ")</f>
        <v>1693044648</v>
      </c>
      <c r="AT16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7057302</v>
      </c>
      <c r="AU168" s="35">
        <f>VLOOKUP(Tabla43[[#This Row],[SERVICIO 2025]],$J$2:$V$16,3,0)*Tabla43[[#This Row],[TOTAL COBERTURA]]+Tabla43[[#This Row],[VALOR RACION PREPARADA]]/7</f>
        <v>5409306</v>
      </c>
      <c r="AV168" s="35">
        <f>VLOOKUP(Tabla43[[#This Row],[SERVICIO 2025]],$J$2:$V$16,3,0)*Tabla43[[#This Row],[TOTAL COBERTURA]]+Tabla43[[#This Row],[VALOR RACION PREPARADA]]/7</f>
        <v>5409306</v>
      </c>
      <c r="AW168" s="35">
        <f>VLOOKUP(Tabla43[[#This Row],[SERVICIO 2025]],$J$2:$V$16,3,0)*Tabla43[[#This Row],[TOTAL COBERTURA]]+Tabla43[[#This Row],[VALOR RACION PREPARADA]]/7</f>
        <v>5409306</v>
      </c>
      <c r="AX168" s="35">
        <f>VLOOKUP(Tabla43[[#This Row],[SERVICIO 2025]],$J$2:$V$16,3,0)*Tabla43[[#This Row],[TOTAL COBERTURA]]+Tabla43[[#This Row],[VALOR RACION PREPARADA]]/7</f>
        <v>5409306</v>
      </c>
      <c r="AY168" s="35">
        <f>VLOOKUP(Tabla43[[#This Row],[SERVICIO 2025]],$J$2:$V$16,3,0)*Tabla43[[#This Row],[TOTAL COBERTURA]]+Tabla43[[#This Row],[VALOR RACION PREPARADA]]/7</f>
        <v>5409306</v>
      </c>
      <c r="AZ168" s="35">
        <f>VLOOKUP(Tabla43[[#This Row],[SERVICIO 2025]],$J$2:$V$16,3,0)*Tabla43[[#This Row],[TOTAL COBERTURA]]+Tabla43[[#This Row],[VALOR RACION PREPARADA]]/7+Tabla43[[#This Row],[VALOR FASE PREPARATORIA DE CIERRE]]</f>
        <v>6270915</v>
      </c>
      <c r="BA168" s="35"/>
      <c r="BB168" s="35">
        <f>SUM(Tabla43[[#This Row],[DESEMBOLSO 1]:[DESEMBOLSO 8]])</f>
        <v>40374747</v>
      </c>
      <c r="BC168" s="55">
        <f>VLOOKUP(Tabla43[[#This Row],[SERVICIO 2025]],$J$2:$V$16,10,0)*Tabla43[[#This Row],[TOTAL COBERTURA]]*$W$3</f>
        <v>30304344</v>
      </c>
      <c r="BD168" s="47" t="s">
        <v>211</v>
      </c>
      <c r="BE168" s="12" t="b">
        <f>EXACT(Tabla43[[#This Row],[TOTAL APORTES ICBF]],Tabla43[[#This Row],[VALOR TOTAL]])</f>
        <v>1</v>
      </c>
      <c r="BF168" s="23">
        <f>SUM(Tabla43[[#This Row],[VALOR FASE PREPARATORIA DE ALISTAMIENTO]:[VALOR RACION PREPARADA]])-Tabla43[[#This Row],[VALOR TOTAL]]</f>
        <v>0</v>
      </c>
      <c r="BG168" s="12" t="b">
        <f>EXACT(Tabla43[[#This Row],[VALOR TOTAL]],Tabla43[[#This Row],[TOTAL DESEMBOLSOS]])</f>
        <v>1</v>
      </c>
      <c r="BH168" s="29">
        <f>Tabla43[[#This Row],[TOTAL DESEMBOLSOS]]-Tabla43[[#This Row],[VALOR TOTAL]]</f>
        <v>0</v>
      </c>
      <c r="BJ168" t="s">
        <v>3924</v>
      </c>
    </row>
    <row r="169" spans="1:62" hidden="1">
      <c r="A169" s="13">
        <v>1974</v>
      </c>
      <c r="B169" s="13"/>
      <c r="C169" s="12" t="s">
        <v>87</v>
      </c>
      <c r="D169" s="12" t="s">
        <v>462</v>
      </c>
      <c r="E169" s="12" t="s">
        <v>4151</v>
      </c>
      <c r="F169" s="12" t="s">
        <v>18</v>
      </c>
      <c r="G169" s="12" t="s">
        <v>90</v>
      </c>
      <c r="H169" s="12" t="s">
        <v>4178</v>
      </c>
      <c r="I169" s="12">
        <v>54901118851</v>
      </c>
      <c r="J169" s="12" t="s">
        <v>4179</v>
      </c>
      <c r="K169" s="12">
        <v>1</v>
      </c>
      <c r="L169" s="12">
        <v>16</v>
      </c>
      <c r="M169" s="12"/>
      <c r="N169" s="13">
        <v>1974</v>
      </c>
      <c r="O169" s="12" t="s">
        <v>93</v>
      </c>
      <c r="P169" s="12"/>
      <c r="Q169" s="12"/>
      <c r="R169" s="12" t="s">
        <v>94</v>
      </c>
      <c r="S169" s="12">
        <v>10</v>
      </c>
      <c r="T169" s="12" t="s">
        <v>4176</v>
      </c>
      <c r="U169" s="12" t="s">
        <v>4177</v>
      </c>
      <c r="V169" s="12">
        <f>VLOOKUP(Tabla43[[#This Row],[ZONA DEFINITIVO]],Hoja1!$A$1:$D$129,3,0)</f>
        <v>229959</v>
      </c>
      <c r="W169" s="12">
        <f>VLOOKUP(Tabla43[[#This Row],[ZONA DEFINITIVO]],Hoja1!$A$1:$D$129,2,0)</f>
        <v>18591</v>
      </c>
      <c r="X169" s="12">
        <f>VLOOKUP(Tabla43[[#This Row],[ZONA DEFINITIVO]],Hoja1!$A$1:$D$129,4,0)</f>
        <v>117425</v>
      </c>
      <c r="Y169" s="12" t="str">
        <f>+IF(Tabla43[[#This Row],[AGRUPACIONES]]=1,SUMIFS(Tabla43[UDS],Tabla43[ZONA DEFINITIVO],Tabla43[[#This Row],[ZONA DEFINITIVO]])," ")</f>
        <v xml:space="preserve"> </v>
      </c>
      <c r="Z169" s="12" t="str">
        <f>+IF(Tabla43[[#This Row],[AGRUPACIONES]]=1,SUMIFS(Tabla43[TOTAL COBERTURA],Tabla43[ZONA DEFINITIVO],Tabla43[[#This Row],[ZONA DEFINITIVO]])," ")</f>
        <v xml:space="preserve"> </v>
      </c>
      <c r="AA169" s="12"/>
      <c r="AB169" s="51">
        <v>30761712</v>
      </c>
      <c r="AC169" s="37">
        <v>0.02</v>
      </c>
      <c r="AD169" s="38">
        <f>Tabla43[[#This Row],[VALOR ATENCIÓN (7 MESES)]]*Tabla43[[#This Row],[% CONTRAPARTIDA]]</f>
        <v>615234.24</v>
      </c>
      <c r="AE169" s="12"/>
      <c r="AF169" s="12">
        <f>COUNTIF($A$22:A169,A169)</f>
        <v>2</v>
      </c>
      <c r="AG169" s="51">
        <v>30761712</v>
      </c>
      <c r="AH169" s="38">
        <f>Tabla43[[#This Row],[VALOR CONTRAPARTIDA]]+Tabla43[[#This Row],[TOTAL APORTES ICBF]]</f>
        <v>31376946.239999998</v>
      </c>
      <c r="AI169" s="35" t="str">
        <f>+IF(Tabla43[[#This Row],[AGRUPACIONES]]=1,SUMIFS(Tabla43[TOTAL APORTES ICBF],Tabla43[ZONA DEFINITIVO],Tabla43[[#This Row],[ZONA DEFINITIVO]])," ")</f>
        <v xml:space="preserve"> </v>
      </c>
      <c r="AJ169" s="38"/>
      <c r="AK169" s="38"/>
      <c r="AL169" s="23"/>
      <c r="AM169" s="35">
        <f>VLOOKUP(Tabla43[[#This Row],[SERVICIO 2025]],$J$2:$V$16,5,0)*Tabla43[[#This Row],[TOTAL COBERTURA]]</f>
        <v>790016</v>
      </c>
      <c r="AN169" s="35">
        <f>VLOOKUP(Tabla43[[#This Row],[SERVICIO 2025]],$J$2:$V$16,6,0)*Tabla43[[#This Row],[TOTAL COBERTURA]]</f>
        <v>656464</v>
      </c>
      <c r="AO169" s="35">
        <f>VLOOKUP(Tabla43[[#This Row],[SERVICIO 2025]],$J$2:$V$16,8,0)*Tabla43[[#This Row],[TOTAL COBERTURA]]</f>
        <v>465600</v>
      </c>
      <c r="AP169" s="35">
        <f>VLOOKUP(Tabla43[[#This Row],[SERVICIO 2025]],$J$2:$V$16,3,0)*Tabla43[[#This Row],[TOTAL COBERTURA]]*7</f>
        <v>28849632</v>
      </c>
      <c r="AQ169" s="35"/>
      <c r="AR16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169" s="35" t="str">
        <f>+IF(Tabla43[[#This Row],[AGRUPACIONES]]=1,SUMIFS(Tabla43[VALOR TOTAL],Tabla43[ZONA DEFINITIVO],Tabla43[[#This Row],[ZONA DEFINITIVO]])," ")</f>
        <v xml:space="preserve"> </v>
      </c>
      <c r="AT16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169" s="35">
        <f>VLOOKUP(Tabla43[[#This Row],[SERVICIO 2025]],$J$2:$V$16,3,0)*Tabla43[[#This Row],[TOTAL COBERTURA]]+Tabla43[[#This Row],[VALOR RACION PREPARADA]]/7</f>
        <v>4121376</v>
      </c>
      <c r="AV169" s="35">
        <f>VLOOKUP(Tabla43[[#This Row],[SERVICIO 2025]],$J$2:$V$16,3,0)*Tabla43[[#This Row],[TOTAL COBERTURA]]+Tabla43[[#This Row],[VALOR RACION PREPARADA]]/7</f>
        <v>4121376</v>
      </c>
      <c r="AW169" s="35">
        <f>VLOOKUP(Tabla43[[#This Row],[SERVICIO 2025]],$J$2:$V$16,3,0)*Tabla43[[#This Row],[TOTAL COBERTURA]]+Tabla43[[#This Row],[VALOR RACION PREPARADA]]/7</f>
        <v>4121376</v>
      </c>
      <c r="AX169" s="35">
        <f>VLOOKUP(Tabla43[[#This Row],[SERVICIO 2025]],$J$2:$V$16,3,0)*Tabla43[[#This Row],[TOTAL COBERTURA]]+Tabla43[[#This Row],[VALOR RACION PREPARADA]]/7</f>
        <v>4121376</v>
      </c>
      <c r="AY169" s="35">
        <f>VLOOKUP(Tabla43[[#This Row],[SERVICIO 2025]],$J$2:$V$16,3,0)*Tabla43[[#This Row],[TOTAL COBERTURA]]+Tabla43[[#This Row],[VALOR RACION PREPARADA]]/7</f>
        <v>4121376</v>
      </c>
      <c r="AZ169" s="35">
        <f>VLOOKUP(Tabla43[[#This Row],[SERVICIO 2025]],$J$2:$V$16,3,0)*Tabla43[[#This Row],[TOTAL COBERTURA]]+Tabla43[[#This Row],[VALOR RACION PREPARADA]]/7+Tabla43[[#This Row],[VALOR FASE PREPARATORIA DE CIERRE]]</f>
        <v>4777840</v>
      </c>
      <c r="BA169" s="35"/>
      <c r="BB169" s="35">
        <f>SUM(Tabla43[[#This Row],[DESEMBOLSO 1]:[DESEMBOLSO 8]])</f>
        <v>30761712</v>
      </c>
      <c r="BC169" s="55">
        <f>VLOOKUP(Tabla43[[#This Row],[SERVICIO 2025]],$J$2:$V$16,10,0)*Tabla43[[#This Row],[TOTAL COBERTURA]]*$W$3</f>
        <v>23089024</v>
      </c>
      <c r="BD169" s="47" t="s">
        <v>211</v>
      </c>
      <c r="BE169" s="12" t="b">
        <f>EXACT(Tabla43[[#This Row],[TOTAL APORTES ICBF]],Tabla43[[#This Row],[VALOR TOTAL]])</f>
        <v>1</v>
      </c>
      <c r="BF169" s="23">
        <f>SUM(Tabla43[[#This Row],[VALOR FASE PREPARATORIA DE ALISTAMIENTO]:[VALOR RACION PREPARADA]])-Tabla43[[#This Row],[VALOR TOTAL]]</f>
        <v>0</v>
      </c>
      <c r="BG169" s="12" t="b">
        <f>EXACT(Tabla43[[#This Row],[VALOR TOTAL]],Tabla43[[#This Row],[TOTAL DESEMBOLSOS]])</f>
        <v>1</v>
      </c>
      <c r="BH169" s="29">
        <f>Tabla43[[#This Row],[TOTAL DESEMBOLSOS]]-Tabla43[[#This Row],[VALOR TOTAL]]</f>
        <v>0</v>
      </c>
      <c r="BJ169" t="s">
        <v>3924</v>
      </c>
    </row>
    <row r="170" spans="1:62" hidden="1">
      <c r="A170" s="13">
        <v>1974</v>
      </c>
      <c r="B170" s="13"/>
      <c r="C170" s="12" t="s">
        <v>87</v>
      </c>
      <c r="D170" s="12" t="s">
        <v>462</v>
      </c>
      <c r="E170" s="12" t="s">
        <v>4151</v>
      </c>
      <c r="F170" s="12" t="s">
        <v>18</v>
      </c>
      <c r="G170" s="12" t="s">
        <v>90</v>
      </c>
      <c r="H170" s="12" t="s">
        <v>4180</v>
      </c>
      <c r="I170" s="12">
        <v>54901118852</v>
      </c>
      <c r="J170" s="12" t="s">
        <v>4181</v>
      </c>
      <c r="K170" s="12">
        <v>1</v>
      </c>
      <c r="L170" s="12">
        <v>15</v>
      </c>
      <c r="M170" s="12"/>
      <c r="N170" s="13">
        <v>1974</v>
      </c>
      <c r="O170" s="12" t="s">
        <v>93</v>
      </c>
      <c r="P170" s="12"/>
      <c r="Q170" s="12"/>
      <c r="R170" s="12" t="s">
        <v>94</v>
      </c>
      <c r="S170" s="12">
        <v>10</v>
      </c>
      <c r="T170" s="12" t="s">
        <v>4176</v>
      </c>
      <c r="U170" s="12" t="s">
        <v>4177</v>
      </c>
      <c r="V170" s="12">
        <f>VLOOKUP(Tabla43[[#This Row],[ZONA DEFINITIVO]],Hoja1!$A$1:$D$129,3,0)</f>
        <v>229959</v>
      </c>
      <c r="W170" s="12">
        <f>VLOOKUP(Tabla43[[#This Row],[ZONA DEFINITIVO]],Hoja1!$A$1:$D$129,2,0)</f>
        <v>18591</v>
      </c>
      <c r="X170" s="12">
        <f>VLOOKUP(Tabla43[[#This Row],[ZONA DEFINITIVO]],Hoja1!$A$1:$D$129,4,0)</f>
        <v>117425</v>
      </c>
      <c r="Y170" s="12" t="str">
        <f>+IF(Tabla43[[#This Row],[AGRUPACIONES]]=1,SUMIFS(Tabla43[UDS],Tabla43[ZONA DEFINITIVO],Tabla43[[#This Row],[ZONA DEFINITIVO]])," ")</f>
        <v xml:space="preserve"> </v>
      </c>
      <c r="Z170" s="12" t="str">
        <f>+IF(Tabla43[[#This Row],[AGRUPACIONES]]=1,SUMIFS(Tabla43[TOTAL COBERTURA],Tabla43[ZONA DEFINITIVO],Tabla43[[#This Row],[ZONA DEFINITIVO]])," ")</f>
        <v xml:space="preserve"> </v>
      </c>
      <c r="AA170" s="12"/>
      <c r="AB170" s="51">
        <v>28839105</v>
      </c>
      <c r="AC170" s="37">
        <v>0.02</v>
      </c>
      <c r="AD170" s="38">
        <f>Tabla43[[#This Row],[VALOR ATENCIÓN (7 MESES)]]*Tabla43[[#This Row],[% CONTRAPARTIDA]]</f>
        <v>576782.1</v>
      </c>
      <c r="AE170" s="12"/>
      <c r="AF170" s="12">
        <f>COUNTIF($A$22:A170,A170)</f>
        <v>3</v>
      </c>
      <c r="AG170" s="51">
        <v>28839105</v>
      </c>
      <c r="AH170" s="38">
        <f>Tabla43[[#This Row],[VALOR CONTRAPARTIDA]]+Tabla43[[#This Row],[TOTAL APORTES ICBF]]</f>
        <v>29415887.100000001</v>
      </c>
      <c r="AI170" s="35" t="str">
        <f>+IF(Tabla43[[#This Row],[AGRUPACIONES]]=1,SUMIFS(Tabla43[TOTAL APORTES ICBF],Tabla43[ZONA DEFINITIVO],Tabla43[[#This Row],[ZONA DEFINITIVO]])," ")</f>
        <v xml:space="preserve"> </v>
      </c>
      <c r="AJ170" s="38"/>
      <c r="AK170" s="38"/>
      <c r="AL170" s="23"/>
      <c r="AM170" s="35">
        <f>VLOOKUP(Tabla43[[#This Row],[SERVICIO 2025]],$J$2:$V$16,5,0)*Tabla43[[#This Row],[TOTAL COBERTURA]]</f>
        <v>740640</v>
      </c>
      <c r="AN170" s="35">
        <f>VLOOKUP(Tabla43[[#This Row],[SERVICIO 2025]],$J$2:$V$16,6,0)*Tabla43[[#This Row],[TOTAL COBERTURA]]</f>
        <v>615435</v>
      </c>
      <c r="AO170" s="35">
        <f>VLOOKUP(Tabla43[[#This Row],[SERVICIO 2025]],$J$2:$V$16,8,0)*Tabla43[[#This Row],[TOTAL COBERTURA]]</f>
        <v>436500</v>
      </c>
      <c r="AP170" s="35">
        <f>VLOOKUP(Tabla43[[#This Row],[SERVICIO 2025]],$J$2:$V$16,3,0)*Tabla43[[#This Row],[TOTAL COBERTURA]]*7</f>
        <v>27046530</v>
      </c>
      <c r="AQ170" s="35"/>
      <c r="AR17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28839105</v>
      </c>
      <c r="AS170" s="35" t="str">
        <f>+IF(Tabla43[[#This Row],[AGRUPACIONES]]=1,SUMIFS(Tabla43[VALOR TOTAL],Tabla43[ZONA DEFINITIVO],Tabla43[[#This Row],[ZONA DEFINITIVO]])," ")</f>
        <v xml:space="preserve"> </v>
      </c>
      <c r="AT17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5040930</v>
      </c>
      <c r="AU170" s="35">
        <f>VLOOKUP(Tabla43[[#This Row],[SERVICIO 2025]],$J$2:$V$16,3,0)*Tabla43[[#This Row],[TOTAL COBERTURA]]+Tabla43[[#This Row],[VALOR RACION PREPARADA]]/7</f>
        <v>3863790</v>
      </c>
      <c r="AV170" s="35">
        <f>VLOOKUP(Tabla43[[#This Row],[SERVICIO 2025]],$J$2:$V$16,3,0)*Tabla43[[#This Row],[TOTAL COBERTURA]]+Tabla43[[#This Row],[VALOR RACION PREPARADA]]/7</f>
        <v>3863790</v>
      </c>
      <c r="AW170" s="35">
        <f>VLOOKUP(Tabla43[[#This Row],[SERVICIO 2025]],$J$2:$V$16,3,0)*Tabla43[[#This Row],[TOTAL COBERTURA]]+Tabla43[[#This Row],[VALOR RACION PREPARADA]]/7</f>
        <v>3863790</v>
      </c>
      <c r="AX170" s="35">
        <f>VLOOKUP(Tabla43[[#This Row],[SERVICIO 2025]],$J$2:$V$16,3,0)*Tabla43[[#This Row],[TOTAL COBERTURA]]+Tabla43[[#This Row],[VALOR RACION PREPARADA]]/7</f>
        <v>3863790</v>
      </c>
      <c r="AY170" s="35">
        <f>VLOOKUP(Tabla43[[#This Row],[SERVICIO 2025]],$J$2:$V$16,3,0)*Tabla43[[#This Row],[TOTAL COBERTURA]]+Tabla43[[#This Row],[VALOR RACION PREPARADA]]/7</f>
        <v>3863790</v>
      </c>
      <c r="AZ170" s="35">
        <f>VLOOKUP(Tabla43[[#This Row],[SERVICIO 2025]],$J$2:$V$16,3,0)*Tabla43[[#This Row],[TOTAL COBERTURA]]+Tabla43[[#This Row],[VALOR RACION PREPARADA]]/7+Tabla43[[#This Row],[VALOR FASE PREPARATORIA DE CIERRE]]</f>
        <v>4479225</v>
      </c>
      <c r="BA170" s="35"/>
      <c r="BB170" s="35">
        <f>SUM(Tabla43[[#This Row],[DESEMBOLSO 1]:[DESEMBOLSO 8]])</f>
        <v>28839105</v>
      </c>
      <c r="BC170" s="55">
        <f>VLOOKUP(Tabla43[[#This Row],[SERVICIO 2025]],$J$2:$V$16,10,0)*Tabla43[[#This Row],[TOTAL COBERTURA]]*$W$3</f>
        <v>21645960</v>
      </c>
      <c r="BD170" s="47" t="s">
        <v>211</v>
      </c>
      <c r="BE170" s="12" t="b">
        <f>EXACT(Tabla43[[#This Row],[TOTAL APORTES ICBF]],Tabla43[[#This Row],[VALOR TOTAL]])</f>
        <v>1</v>
      </c>
      <c r="BF170" s="23">
        <f>SUM(Tabla43[[#This Row],[VALOR FASE PREPARATORIA DE ALISTAMIENTO]:[VALOR RACION PREPARADA]])-Tabla43[[#This Row],[VALOR TOTAL]]</f>
        <v>0</v>
      </c>
      <c r="BG170" s="12" t="b">
        <f>EXACT(Tabla43[[#This Row],[VALOR TOTAL]],Tabla43[[#This Row],[TOTAL DESEMBOLSOS]])</f>
        <v>1</v>
      </c>
      <c r="BH170" s="29">
        <f>Tabla43[[#This Row],[TOTAL DESEMBOLSOS]]-Tabla43[[#This Row],[VALOR TOTAL]]</f>
        <v>0</v>
      </c>
      <c r="BJ170" t="s">
        <v>3924</v>
      </c>
    </row>
    <row r="171" spans="1:62" hidden="1">
      <c r="A171" s="13">
        <v>1974</v>
      </c>
      <c r="B171" s="13"/>
      <c r="C171" s="12" t="s">
        <v>87</v>
      </c>
      <c r="D171" s="12" t="s">
        <v>462</v>
      </c>
      <c r="E171" s="12" t="s">
        <v>4151</v>
      </c>
      <c r="F171" s="12" t="s">
        <v>18</v>
      </c>
      <c r="G171" s="12" t="s">
        <v>90</v>
      </c>
      <c r="H171" s="12" t="s">
        <v>4182</v>
      </c>
      <c r="I171" s="12">
        <v>54901118854</v>
      </c>
      <c r="J171" s="12" t="s">
        <v>4182</v>
      </c>
      <c r="K171" s="12">
        <v>1</v>
      </c>
      <c r="L171" s="12">
        <v>18</v>
      </c>
      <c r="M171" s="12"/>
      <c r="N171" s="13">
        <v>1974</v>
      </c>
      <c r="O171" s="12" t="s">
        <v>93</v>
      </c>
      <c r="P171" s="12"/>
      <c r="Q171" s="12"/>
      <c r="R171" s="12" t="s">
        <v>94</v>
      </c>
      <c r="S171" s="12">
        <v>10</v>
      </c>
      <c r="T171" s="12" t="s">
        <v>4176</v>
      </c>
      <c r="U171" s="12" t="s">
        <v>4177</v>
      </c>
      <c r="V171" s="12">
        <f>VLOOKUP(Tabla43[[#This Row],[ZONA DEFINITIVO]],Hoja1!$A$1:$D$129,3,0)</f>
        <v>229959</v>
      </c>
      <c r="W171" s="12">
        <f>VLOOKUP(Tabla43[[#This Row],[ZONA DEFINITIVO]],Hoja1!$A$1:$D$129,2,0)</f>
        <v>18591</v>
      </c>
      <c r="X171" s="12">
        <f>VLOOKUP(Tabla43[[#This Row],[ZONA DEFINITIVO]],Hoja1!$A$1:$D$129,4,0)</f>
        <v>117425</v>
      </c>
      <c r="Y171" s="12" t="str">
        <f>+IF(Tabla43[[#This Row],[AGRUPACIONES]]=1,SUMIFS(Tabla43[UDS],Tabla43[ZONA DEFINITIVO],Tabla43[[#This Row],[ZONA DEFINITIVO]])," ")</f>
        <v xml:space="preserve"> </v>
      </c>
      <c r="Z171" s="12" t="str">
        <f>+IF(Tabla43[[#This Row],[AGRUPACIONES]]=1,SUMIFS(Tabla43[TOTAL COBERTURA],Tabla43[ZONA DEFINITIVO],Tabla43[[#This Row],[ZONA DEFINITIVO]])," ")</f>
        <v xml:space="preserve"> </v>
      </c>
      <c r="AA171" s="12"/>
      <c r="AB171" s="51">
        <v>34606926</v>
      </c>
      <c r="AC171" s="37">
        <v>0.02</v>
      </c>
      <c r="AD171" s="38">
        <f>Tabla43[[#This Row],[VALOR ATENCIÓN (7 MESES)]]*Tabla43[[#This Row],[% CONTRAPARTIDA]]</f>
        <v>692138.52</v>
      </c>
      <c r="AE171" s="12"/>
      <c r="AF171" s="12">
        <f>COUNTIF($A$22:A171,A171)</f>
        <v>4</v>
      </c>
      <c r="AG171" s="51">
        <v>34606926</v>
      </c>
      <c r="AH171" s="38">
        <f>Tabla43[[#This Row],[VALOR CONTRAPARTIDA]]+Tabla43[[#This Row],[TOTAL APORTES ICBF]]</f>
        <v>35299064.520000003</v>
      </c>
      <c r="AI171" s="35" t="str">
        <f>+IF(Tabla43[[#This Row],[AGRUPACIONES]]=1,SUMIFS(Tabla43[TOTAL APORTES ICBF],Tabla43[ZONA DEFINITIVO],Tabla43[[#This Row],[ZONA DEFINITIVO]])," ")</f>
        <v xml:space="preserve"> </v>
      </c>
      <c r="AJ171" s="38"/>
      <c r="AK171" s="38"/>
      <c r="AL171" s="23"/>
      <c r="AM171" s="35">
        <f>VLOOKUP(Tabla43[[#This Row],[SERVICIO 2025]],$J$2:$V$16,5,0)*Tabla43[[#This Row],[TOTAL COBERTURA]]</f>
        <v>888768</v>
      </c>
      <c r="AN171" s="35">
        <f>VLOOKUP(Tabla43[[#This Row],[SERVICIO 2025]],$J$2:$V$16,6,0)*Tabla43[[#This Row],[TOTAL COBERTURA]]</f>
        <v>738522</v>
      </c>
      <c r="AO171" s="35">
        <f>VLOOKUP(Tabla43[[#This Row],[SERVICIO 2025]],$J$2:$V$16,8,0)*Tabla43[[#This Row],[TOTAL COBERTURA]]</f>
        <v>523800</v>
      </c>
      <c r="AP171" s="35">
        <f>VLOOKUP(Tabla43[[#This Row],[SERVICIO 2025]],$J$2:$V$16,3,0)*Tabla43[[#This Row],[TOTAL COBERTURA]]*7</f>
        <v>32455836</v>
      </c>
      <c r="AQ171" s="35"/>
      <c r="AR17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34606926</v>
      </c>
      <c r="AS171" s="35" t="str">
        <f>+IF(Tabla43[[#This Row],[AGRUPACIONES]]=1,SUMIFS(Tabla43[VALOR TOTAL],Tabla43[ZONA DEFINITIVO],Tabla43[[#This Row],[ZONA DEFINITIVO]])," ")</f>
        <v xml:space="preserve"> </v>
      </c>
      <c r="AT17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6049116</v>
      </c>
      <c r="AU171" s="35">
        <f>VLOOKUP(Tabla43[[#This Row],[SERVICIO 2025]],$J$2:$V$16,3,0)*Tabla43[[#This Row],[TOTAL COBERTURA]]+Tabla43[[#This Row],[VALOR RACION PREPARADA]]/7</f>
        <v>4636548</v>
      </c>
      <c r="AV171" s="35">
        <f>VLOOKUP(Tabla43[[#This Row],[SERVICIO 2025]],$J$2:$V$16,3,0)*Tabla43[[#This Row],[TOTAL COBERTURA]]+Tabla43[[#This Row],[VALOR RACION PREPARADA]]/7</f>
        <v>4636548</v>
      </c>
      <c r="AW171" s="35">
        <f>VLOOKUP(Tabla43[[#This Row],[SERVICIO 2025]],$J$2:$V$16,3,0)*Tabla43[[#This Row],[TOTAL COBERTURA]]+Tabla43[[#This Row],[VALOR RACION PREPARADA]]/7</f>
        <v>4636548</v>
      </c>
      <c r="AX171" s="35">
        <f>VLOOKUP(Tabla43[[#This Row],[SERVICIO 2025]],$J$2:$V$16,3,0)*Tabla43[[#This Row],[TOTAL COBERTURA]]+Tabla43[[#This Row],[VALOR RACION PREPARADA]]/7</f>
        <v>4636548</v>
      </c>
      <c r="AY171" s="35">
        <f>VLOOKUP(Tabla43[[#This Row],[SERVICIO 2025]],$J$2:$V$16,3,0)*Tabla43[[#This Row],[TOTAL COBERTURA]]+Tabla43[[#This Row],[VALOR RACION PREPARADA]]/7</f>
        <v>4636548</v>
      </c>
      <c r="AZ171" s="35">
        <f>VLOOKUP(Tabla43[[#This Row],[SERVICIO 2025]],$J$2:$V$16,3,0)*Tabla43[[#This Row],[TOTAL COBERTURA]]+Tabla43[[#This Row],[VALOR RACION PREPARADA]]/7+Tabla43[[#This Row],[VALOR FASE PREPARATORIA DE CIERRE]]</f>
        <v>5375070</v>
      </c>
      <c r="BA171" s="35"/>
      <c r="BB171" s="35">
        <f>SUM(Tabla43[[#This Row],[DESEMBOLSO 1]:[DESEMBOLSO 8]])</f>
        <v>34606926</v>
      </c>
      <c r="BC171" s="55">
        <f>VLOOKUP(Tabla43[[#This Row],[SERVICIO 2025]],$J$2:$V$16,10,0)*Tabla43[[#This Row],[TOTAL COBERTURA]]*$W$3</f>
        <v>25975152</v>
      </c>
      <c r="BD171" s="47" t="s">
        <v>211</v>
      </c>
      <c r="BE171" s="12" t="b">
        <f>EXACT(Tabla43[[#This Row],[TOTAL APORTES ICBF]],Tabla43[[#This Row],[VALOR TOTAL]])</f>
        <v>1</v>
      </c>
      <c r="BF171" s="23">
        <f>SUM(Tabla43[[#This Row],[VALOR FASE PREPARATORIA DE ALISTAMIENTO]:[VALOR RACION PREPARADA]])-Tabla43[[#This Row],[VALOR TOTAL]]</f>
        <v>0</v>
      </c>
      <c r="BG171" s="12" t="b">
        <f>EXACT(Tabla43[[#This Row],[VALOR TOTAL]],Tabla43[[#This Row],[TOTAL DESEMBOLSOS]])</f>
        <v>1</v>
      </c>
      <c r="BH171" s="29">
        <f>Tabla43[[#This Row],[TOTAL DESEMBOLSOS]]-Tabla43[[#This Row],[VALOR TOTAL]]</f>
        <v>0</v>
      </c>
      <c r="BJ171" t="s">
        <v>3924</v>
      </c>
    </row>
    <row r="172" spans="1:62" hidden="1">
      <c r="A172" s="13">
        <v>1974</v>
      </c>
      <c r="B172" s="13"/>
      <c r="C172" s="12" t="s">
        <v>87</v>
      </c>
      <c r="D172" s="12" t="s">
        <v>462</v>
      </c>
      <c r="E172" s="12" t="s">
        <v>4151</v>
      </c>
      <c r="F172" s="12" t="s">
        <v>18</v>
      </c>
      <c r="G172" s="12" t="s">
        <v>90</v>
      </c>
      <c r="H172" s="12" t="s">
        <v>4183</v>
      </c>
      <c r="I172" s="12">
        <v>54901118855</v>
      </c>
      <c r="J172" s="12" t="s">
        <v>4184</v>
      </c>
      <c r="K172" s="12">
        <v>1</v>
      </c>
      <c r="L172" s="12">
        <v>15</v>
      </c>
      <c r="M172" s="12"/>
      <c r="N172" s="13">
        <v>1974</v>
      </c>
      <c r="O172" s="12" t="s">
        <v>93</v>
      </c>
      <c r="P172" s="12"/>
      <c r="Q172" s="12"/>
      <c r="R172" s="12" t="s">
        <v>94</v>
      </c>
      <c r="S172" s="12">
        <v>10</v>
      </c>
      <c r="T172" s="12" t="s">
        <v>4176</v>
      </c>
      <c r="U172" s="12" t="s">
        <v>4177</v>
      </c>
      <c r="V172" s="12">
        <f>VLOOKUP(Tabla43[[#This Row],[ZONA DEFINITIVO]],Hoja1!$A$1:$D$129,3,0)</f>
        <v>229959</v>
      </c>
      <c r="W172" s="12">
        <f>VLOOKUP(Tabla43[[#This Row],[ZONA DEFINITIVO]],Hoja1!$A$1:$D$129,2,0)</f>
        <v>18591</v>
      </c>
      <c r="X172" s="12">
        <f>VLOOKUP(Tabla43[[#This Row],[ZONA DEFINITIVO]],Hoja1!$A$1:$D$129,4,0)</f>
        <v>117425</v>
      </c>
      <c r="Y172" s="12" t="str">
        <f>+IF(Tabla43[[#This Row],[AGRUPACIONES]]=1,SUMIFS(Tabla43[UDS],Tabla43[ZONA DEFINITIVO],Tabla43[[#This Row],[ZONA DEFINITIVO]])," ")</f>
        <v xml:space="preserve"> </v>
      </c>
      <c r="Z172" s="12" t="str">
        <f>+IF(Tabla43[[#This Row],[AGRUPACIONES]]=1,SUMIFS(Tabla43[TOTAL COBERTURA],Tabla43[ZONA DEFINITIVO],Tabla43[[#This Row],[ZONA DEFINITIVO]])," ")</f>
        <v xml:space="preserve"> </v>
      </c>
      <c r="AA172" s="12"/>
      <c r="AB172" s="51">
        <v>28839105</v>
      </c>
      <c r="AC172" s="37">
        <v>0.02</v>
      </c>
      <c r="AD172" s="38">
        <f>Tabla43[[#This Row],[VALOR ATENCIÓN (7 MESES)]]*Tabla43[[#This Row],[% CONTRAPARTIDA]]</f>
        <v>576782.1</v>
      </c>
      <c r="AE172" s="12"/>
      <c r="AF172" s="12">
        <f>COUNTIF($A$22:A172,A172)</f>
        <v>5</v>
      </c>
      <c r="AG172" s="51">
        <v>28839105</v>
      </c>
      <c r="AH172" s="38">
        <f>Tabla43[[#This Row],[VALOR CONTRAPARTIDA]]+Tabla43[[#This Row],[TOTAL APORTES ICBF]]</f>
        <v>29415887.100000001</v>
      </c>
      <c r="AI172" s="35" t="str">
        <f>+IF(Tabla43[[#This Row],[AGRUPACIONES]]=1,SUMIFS(Tabla43[TOTAL APORTES ICBF],Tabla43[ZONA DEFINITIVO],Tabla43[[#This Row],[ZONA DEFINITIVO]])," ")</f>
        <v xml:space="preserve"> </v>
      </c>
      <c r="AJ172" s="38"/>
      <c r="AK172" s="38"/>
      <c r="AL172" s="23"/>
      <c r="AM172" s="35">
        <f>VLOOKUP(Tabla43[[#This Row],[SERVICIO 2025]],$J$2:$V$16,5,0)*Tabla43[[#This Row],[TOTAL COBERTURA]]</f>
        <v>740640</v>
      </c>
      <c r="AN172" s="35">
        <f>VLOOKUP(Tabla43[[#This Row],[SERVICIO 2025]],$J$2:$V$16,6,0)*Tabla43[[#This Row],[TOTAL COBERTURA]]</f>
        <v>615435</v>
      </c>
      <c r="AO172" s="35">
        <f>VLOOKUP(Tabla43[[#This Row],[SERVICIO 2025]],$J$2:$V$16,8,0)*Tabla43[[#This Row],[TOTAL COBERTURA]]</f>
        <v>436500</v>
      </c>
      <c r="AP172" s="35">
        <f>VLOOKUP(Tabla43[[#This Row],[SERVICIO 2025]],$J$2:$V$16,3,0)*Tabla43[[#This Row],[TOTAL COBERTURA]]*7</f>
        <v>27046530</v>
      </c>
      <c r="AQ172" s="35"/>
      <c r="AR17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28839105</v>
      </c>
      <c r="AS172" s="35" t="str">
        <f>+IF(Tabla43[[#This Row],[AGRUPACIONES]]=1,SUMIFS(Tabla43[VALOR TOTAL],Tabla43[ZONA DEFINITIVO],Tabla43[[#This Row],[ZONA DEFINITIVO]])," ")</f>
        <v xml:space="preserve"> </v>
      </c>
      <c r="AT17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5040930</v>
      </c>
      <c r="AU172" s="35">
        <f>VLOOKUP(Tabla43[[#This Row],[SERVICIO 2025]],$J$2:$V$16,3,0)*Tabla43[[#This Row],[TOTAL COBERTURA]]+Tabla43[[#This Row],[VALOR RACION PREPARADA]]/7</f>
        <v>3863790</v>
      </c>
      <c r="AV172" s="35">
        <f>VLOOKUP(Tabla43[[#This Row],[SERVICIO 2025]],$J$2:$V$16,3,0)*Tabla43[[#This Row],[TOTAL COBERTURA]]+Tabla43[[#This Row],[VALOR RACION PREPARADA]]/7</f>
        <v>3863790</v>
      </c>
      <c r="AW172" s="35">
        <f>VLOOKUP(Tabla43[[#This Row],[SERVICIO 2025]],$J$2:$V$16,3,0)*Tabla43[[#This Row],[TOTAL COBERTURA]]+Tabla43[[#This Row],[VALOR RACION PREPARADA]]/7</f>
        <v>3863790</v>
      </c>
      <c r="AX172" s="35">
        <f>VLOOKUP(Tabla43[[#This Row],[SERVICIO 2025]],$J$2:$V$16,3,0)*Tabla43[[#This Row],[TOTAL COBERTURA]]+Tabla43[[#This Row],[VALOR RACION PREPARADA]]/7</f>
        <v>3863790</v>
      </c>
      <c r="AY172" s="35">
        <f>VLOOKUP(Tabla43[[#This Row],[SERVICIO 2025]],$J$2:$V$16,3,0)*Tabla43[[#This Row],[TOTAL COBERTURA]]+Tabla43[[#This Row],[VALOR RACION PREPARADA]]/7</f>
        <v>3863790</v>
      </c>
      <c r="AZ172" s="35">
        <f>VLOOKUP(Tabla43[[#This Row],[SERVICIO 2025]],$J$2:$V$16,3,0)*Tabla43[[#This Row],[TOTAL COBERTURA]]+Tabla43[[#This Row],[VALOR RACION PREPARADA]]/7+Tabla43[[#This Row],[VALOR FASE PREPARATORIA DE CIERRE]]</f>
        <v>4479225</v>
      </c>
      <c r="BA172" s="35"/>
      <c r="BB172" s="35">
        <f>SUM(Tabla43[[#This Row],[DESEMBOLSO 1]:[DESEMBOLSO 8]])</f>
        <v>28839105</v>
      </c>
      <c r="BC172" s="55">
        <f>VLOOKUP(Tabla43[[#This Row],[SERVICIO 2025]],$J$2:$V$16,10,0)*Tabla43[[#This Row],[TOTAL COBERTURA]]*$W$3</f>
        <v>21645960</v>
      </c>
      <c r="BD172" s="47" t="s">
        <v>211</v>
      </c>
      <c r="BE172" s="12" t="b">
        <f>EXACT(Tabla43[[#This Row],[TOTAL APORTES ICBF]],Tabla43[[#This Row],[VALOR TOTAL]])</f>
        <v>1</v>
      </c>
      <c r="BF172" s="23">
        <f>SUM(Tabla43[[#This Row],[VALOR FASE PREPARATORIA DE ALISTAMIENTO]:[VALOR RACION PREPARADA]])-Tabla43[[#This Row],[VALOR TOTAL]]</f>
        <v>0</v>
      </c>
      <c r="BG172" s="12" t="b">
        <f>EXACT(Tabla43[[#This Row],[VALOR TOTAL]],Tabla43[[#This Row],[TOTAL DESEMBOLSOS]])</f>
        <v>1</v>
      </c>
      <c r="BH172" s="29">
        <f>Tabla43[[#This Row],[TOTAL DESEMBOLSOS]]-Tabla43[[#This Row],[VALOR TOTAL]]</f>
        <v>0</v>
      </c>
      <c r="BJ172" t="s">
        <v>3924</v>
      </c>
    </row>
    <row r="173" spans="1:62" hidden="1">
      <c r="A173" s="13">
        <v>1974</v>
      </c>
      <c r="B173" s="13"/>
      <c r="C173" s="12" t="s">
        <v>87</v>
      </c>
      <c r="D173" s="12" t="s">
        <v>462</v>
      </c>
      <c r="E173" s="12" t="s">
        <v>4151</v>
      </c>
      <c r="F173" s="12" t="s">
        <v>18</v>
      </c>
      <c r="G173" s="12" t="s">
        <v>90</v>
      </c>
      <c r="H173" s="12" t="s">
        <v>4185</v>
      </c>
      <c r="I173" s="12">
        <v>54901118856</v>
      </c>
      <c r="J173" s="12" t="s">
        <v>4185</v>
      </c>
      <c r="K173" s="12">
        <v>1</v>
      </c>
      <c r="L173" s="12">
        <v>14</v>
      </c>
      <c r="M173" s="12"/>
      <c r="N173" s="13">
        <v>1974</v>
      </c>
      <c r="O173" s="12" t="s">
        <v>93</v>
      </c>
      <c r="P173" s="12"/>
      <c r="Q173" s="12"/>
      <c r="R173" s="12" t="s">
        <v>94</v>
      </c>
      <c r="S173" s="12">
        <v>10</v>
      </c>
      <c r="T173" s="12" t="s">
        <v>4176</v>
      </c>
      <c r="U173" s="12" t="s">
        <v>4177</v>
      </c>
      <c r="V173" s="12">
        <f>VLOOKUP(Tabla43[[#This Row],[ZONA DEFINITIVO]],Hoja1!$A$1:$D$129,3,0)</f>
        <v>229959</v>
      </c>
      <c r="W173" s="12">
        <f>VLOOKUP(Tabla43[[#This Row],[ZONA DEFINITIVO]],Hoja1!$A$1:$D$129,2,0)</f>
        <v>18591</v>
      </c>
      <c r="X173" s="12">
        <f>VLOOKUP(Tabla43[[#This Row],[ZONA DEFINITIVO]],Hoja1!$A$1:$D$129,4,0)</f>
        <v>117425</v>
      </c>
      <c r="Y173" s="12" t="str">
        <f>+IF(Tabla43[[#This Row],[AGRUPACIONES]]=1,SUMIFS(Tabla43[UDS],Tabla43[ZONA DEFINITIVO],Tabla43[[#This Row],[ZONA DEFINITIVO]])," ")</f>
        <v xml:space="preserve"> </v>
      </c>
      <c r="Z173" s="12" t="str">
        <f>+IF(Tabla43[[#This Row],[AGRUPACIONES]]=1,SUMIFS(Tabla43[TOTAL COBERTURA],Tabla43[ZONA DEFINITIVO],Tabla43[[#This Row],[ZONA DEFINITIVO]])," ")</f>
        <v xml:space="preserve"> </v>
      </c>
      <c r="AA173" s="12"/>
      <c r="AB173" s="51">
        <v>26916498</v>
      </c>
      <c r="AC173" s="37">
        <v>0.02</v>
      </c>
      <c r="AD173" s="38">
        <f>Tabla43[[#This Row],[VALOR ATENCIÓN (7 MESES)]]*Tabla43[[#This Row],[% CONTRAPARTIDA]]</f>
        <v>538329.96</v>
      </c>
      <c r="AE173" s="12"/>
      <c r="AF173" s="12">
        <f>COUNTIF($A$22:A173,A173)</f>
        <v>6</v>
      </c>
      <c r="AG173" s="51">
        <v>26916498</v>
      </c>
      <c r="AH173" s="38">
        <f>Tabla43[[#This Row],[VALOR CONTRAPARTIDA]]+Tabla43[[#This Row],[TOTAL APORTES ICBF]]</f>
        <v>27454827.960000001</v>
      </c>
      <c r="AI173" s="35" t="str">
        <f>+IF(Tabla43[[#This Row],[AGRUPACIONES]]=1,SUMIFS(Tabla43[TOTAL APORTES ICBF],Tabla43[ZONA DEFINITIVO],Tabla43[[#This Row],[ZONA DEFINITIVO]])," ")</f>
        <v xml:space="preserve"> </v>
      </c>
      <c r="AJ173" s="38"/>
      <c r="AK173" s="38"/>
      <c r="AL173" s="23"/>
      <c r="AM173" s="35">
        <f>VLOOKUP(Tabla43[[#This Row],[SERVICIO 2025]],$J$2:$V$16,5,0)*Tabla43[[#This Row],[TOTAL COBERTURA]]</f>
        <v>691264</v>
      </c>
      <c r="AN173" s="35">
        <f>VLOOKUP(Tabla43[[#This Row],[SERVICIO 2025]],$J$2:$V$16,6,0)*Tabla43[[#This Row],[TOTAL COBERTURA]]</f>
        <v>574406</v>
      </c>
      <c r="AO173" s="35">
        <f>VLOOKUP(Tabla43[[#This Row],[SERVICIO 2025]],$J$2:$V$16,8,0)*Tabla43[[#This Row],[TOTAL COBERTURA]]</f>
        <v>407400</v>
      </c>
      <c r="AP173" s="35">
        <f>VLOOKUP(Tabla43[[#This Row],[SERVICIO 2025]],$J$2:$V$16,3,0)*Tabla43[[#This Row],[TOTAL COBERTURA]]*7</f>
        <v>25243428</v>
      </c>
      <c r="AQ173" s="35"/>
      <c r="AR17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26916498</v>
      </c>
      <c r="AS173" s="35" t="str">
        <f>+IF(Tabla43[[#This Row],[AGRUPACIONES]]=1,SUMIFS(Tabla43[VALOR TOTAL],Tabla43[ZONA DEFINITIVO],Tabla43[[#This Row],[ZONA DEFINITIVO]])," ")</f>
        <v xml:space="preserve"> </v>
      </c>
      <c r="AT17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4704868</v>
      </c>
      <c r="AU173" s="35">
        <f>VLOOKUP(Tabla43[[#This Row],[SERVICIO 2025]],$J$2:$V$16,3,0)*Tabla43[[#This Row],[TOTAL COBERTURA]]+Tabla43[[#This Row],[VALOR RACION PREPARADA]]/7</f>
        <v>3606204</v>
      </c>
      <c r="AV173" s="35">
        <f>VLOOKUP(Tabla43[[#This Row],[SERVICIO 2025]],$J$2:$V$16,3,0)*Tabla43[[#This Row],[TOTAL COBERTURA]]+Tabla43[[#This Row],[VALOR RACION PREPARADA]]/7</f>
        <v>3606204</v>
      </c>
      <c r="AW173" s="35">
        <f>VLOOKUP(Tabla43[[#This Row],[SERVICIO 2025]],$J$2:$V$16,3,0)*Tabla43[[#This Row],[TOTAL COBERTURA]]+Tabla43[[#This Row],[VALOR RACION PREPARADA]]/7</f>
        <v>3606204</v>
      </c>
      <c r="AX173" s="35">
        <f>VLOOKUP(Tabla43[[#This Row],[SERVICIO 2025]],$J$2:$V$16,3,0)*Tabla43[[#This Row],[TOTAL COBERTURA]]+Tabla43[[#This Row],[VALOR RACION PREPARADA]]/7</f>
        <v>3606204</v>
      </c>
      <c r="AY173" s="35">
        <f>VLOOKUP(Tabla43[[#This Row],[SERVICIO 2025]],$J$2:$V$16,3,0)*Tabla43[[#This Row],[TOTAL COBERTURA]]+Tabla43[[#This Row],[VALOR RACION PREPARADA]]/7</f>
        <v>3606204</v>
      </c>
      <c r="AZ173" s="35">
        <f>VLOOKUP(Tabla43[[#This Row],[SERVICIO 2025]],$J$2:$V$16,3,0)*Tabla43[[#This Row],[TOTAL COBERTURA]]+Tabla43[[#This Row],[VALOR RACION PREPARADA]]/7+Tabla43[[#This Row],[VALOR FASE PREPARATORIA DE CIERRE]]</f>
        <v>4180610</v>
      </c>
      <c r="BA173" s="35"/>
      <c r="BB173" s="35">
        <f>SUM(Tabla43[[#This Row],[DESEMBOLSO 1]:[DESEMBOLSO 8]])</f>
        <v>26916498</v>
      </c>
      <c r="BC173" s="55">
        <f>VLOOKUP(Tabla43[[#This Row],[SERVICIO 2025]],$J$2:$V$16,10,0)*Tabla43[[#This Row],[TOTAL COBERTURA]]*$W$3</f>
        <v>20202896</v>
      </c>
      <c r="BD173" s="47" t="s">
        <v>211</v>
      </c>
      <c r="BE173" s="12" t="b">
        <f>EXACT(Tabla43[[#This Row],[TOTAL APORTES ICBF]],Tabla43[[#This Row],[VALOR TOTAL]])</f>
        <v>1</v>
      </c>
      <c r="BF173" s="23">
        <f>SUM(Tabla43[[#This Row],[VALOR FASE PREPARATORIA DE ALISTAMIENTO]:[VALOR RACION PREPARADA]])-Tabla43[[#This Row],[VALOR TOTAL]]</f>
        <v>0</v>
      </c>
      <c r="BG173" s="12" t="b">
        <f>EXACT(Tabla43[[#This Row],[VALOR TOTAL]],Tabla43[[#This Row],[TOTAL DESEMBOLSOS]])</f>
        <v>1</v>
      </c>
      <c r="BH173" s="29">
        <f>Tabla43[[#This Row],[TOTAL DESEMBOLSOS]]-Tabla43[[#This Row],[VALOR TOTAL]]</f>
        <v>0</v>
      </c>
      <c r="BJ173" t="s">
        <v>3924</v>
      </c>
    </row>
    <row r="174" spans="1:62" hidden="1">
      <c r="A174" s="13">
        <v>1974</v>
      </c>
      <c r="B174" s="13"/>
      <c r="C174" s="12" t="s">
        <v>87</v>
      </c>
      <c r="D174" s="12" t="s">
        <v>462</v>
      </c>
      <c r="E174" s="12" t="s">
        <v>4151</v>
      </c>
      <c r="F174" s="12" t="s">
        <v>18</v>
      </c>
      <c r="G174" s="12" t="s">
        <v>90</v>
      </c>
      <c r="H174" s="12" t="s">
        <v>4186</v>
      </c>
      <c r="I174" s="12">
        <v>54901118857</v>
      </c>
      <c r="J174" s="12" t="s">
        <v>4187</v>
      </c>
      <c r="K174" s="12">
        <v>1</v>
      </c>
      <c r="L174" s="12">
        <v>16</v>
      </c>
      <c r="M174" s="12"/>
      <c r="N174" s="13">
        <v>1974</v>
      </c>
      <c r="O174" s="12" t="s">
        <v>93</v>
      </c>
      <c r="P174" s="12"/>
      <c r="Q174" s="12"/>
      <c r="R174" s="12" t="s">
        <v>94</v>
      </c>
      <c r="S174" s="12">
        <v>10</v>
      </c>
      <c r="T174" s="12" t="s">
        <v>4176</v>
      </c>
      <c r="U174" s="12" t="s">
        <v>4177</v>
      </c>
      <c r="V174" s="12">
        <f>VLOOKUP(Tabla43[[#This Row],[ZONA DEFINITIVO]],Hoja1!$A$1:$D$129,3,0)</f>
        <v>229959</v>
      </c>
      <c r="W174" s="12">
        <f>VLOOKUP(Tabla43[[#This Row],[ZONA DEFINITIVO]],Hoja1!$A$1:$D$129,2,0)</f>
        <v>18591</v>
      </c>
      <c r="X174" s="12">
        <f>VLOOKUP(Tabla43[[#This Row],[ZONA DEFINITIVO]],Hoja1!$A$1:$D$129,4,0)</f>
        <v>117425</v>
      </c>
      <c r="Y174" s="12" t="str">
        <f>+IF(Tabla43[[#This Row],[AGRUPACIONES]]=1,SUMIFS(Tabla43[UDS],Tabla43[ZONA DEFINITIVO],Tabla43[[#This Row],[ZONA DEFINITIVO]])," ")</f>
        <v xml:space="preserve"> </v>
      </c>
      <c r="Z174" s="12" t="str">
        <f>+IF(Tabla43[[#This Row],[AGRUPACIONES]]=1,SUMIFS(Tabla43[TOTAL COBERTURA],Tabla43[ZONA DEFINITIVO],Tabla43[[#This Row],[ZONA DEFINITIVO]])," ")</f>
        <v xml:space="preserve"> </v>
      </c>
      <c r="AA174" s="12"/>
      <c r="AB174" s="51">
        <v>30761712</v>
      </c>
      <c r="AC174" s="37">
        <v>0.02</v>
      </c>
      <c r="AD174" s="38">
        <f>Tabla43[[#This Row],[VALOR ATENCIÓN (7 MESES)]]*Tabla43[[#This Row],[% CONTRAPARTIDA]]</f>
        <v>615234.24</v>
      </c>
      <c r="AE174" s="12"/>
      <c r="AF174" s="12">
        <f>COUNTIF($A$22:A174,A174)</f>
        <v>7</v>
      </c>
      <c r="AG174" s="51">
        <v>30761712</v>
      </c>
      <c r="AH174" s="38">
        <f>Tabla43[[#This Row],[VALOR CONTRAPARTIDA]]+Tabla43[[#This Row],[TOTAL APORTES ICBF]]</f>
        <v>31376946.239999998</v>
      </c>
      <c r="AI174" s="35" t="str">
        <f>+IF(Tabla43[[#This Row],[AGRUPACIONES]]=1,SUMIFS(Tabla43[TOTAL APORTES ICBF],Tabla43[ZONA DEFINITIVO],Tabla43[[#This Row],[ZONA DEFINITIVO]])," ")</f>
        <v xml:space="preserve"> </v>
      </c>
      <c r="AJ174" s="38"/>
      <c r="AK174" s="38"/>
      <c r="AL174" s="23"/>
      <c r="AM174" s="35">
        <f>VLOOKUP(Tabla43[[#This Row],[SERVICIO 2025]],$J$2:$V$16,5,0)*Tabla43[[#This Row],[TOTAL COBERTURA]]</f>
        <v>790016</v>
      </c>
      <c r="AN174" s="35">
        <f>VLOOKUP(Tabla43[[#This Row],[SERVICIO 2025]],$J$2:$V$16,6,0)*Tabla43[[#This Row],[TOTAL COBERTURA]]</f>
        <v>656464</v>
      </c>
      <c r="AO174" s="35">
        <f>VLOOKUP(Tabla43[[#This Row],[SERVICIO 2025]],$J$2:$V$16,8,0)*Tabla43[[#This Row],[TOTAL COBERTURA]]</f>
        <v>465600</v>
      </c>
      <c r="AP174" s="35">
        <f>VLOOKUP(Tabla43[[#This Row],[SERVICIO 2025]],$J$2:$V$16,3,0)*Tabla43[[#This Row],[TOTAL COBERTURA]]*7</f>
        <v>28849632</v>
      </c>
      <c r="AQ174" s="35"/>
      <c r="AR17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174" s="35" t="str">
        <f>+IF(Tabla43[[#This Row],[AGRUPACIONES]]=1,SUMIFS(Tabla43[VALOR TOTAL],Tabla43[ZONA DEFINITIVO],Tabla43[[#This Row],[ZONA DEFINITIVO]])," ")</f>
        <v xml:space="preserve"> </v>
      </c>
      <c r="AT17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174" s="35">
        <f>VLOOKUP(Tabla43[[#This Row],[SERVICIO 2025]],$J$2:$V$16,3,0)*Tabla43[[#This Row],[TOTAL COBERTURA]]+Tabla43[[#This Row],[VALOR RACION PREPARADA]]/7</f>
        <v>4121376</v>
      </c>
      <c r="AV174" s="35">
        <f>VLOOKUP(Tabla43[[#This Row],[SERVICIO 2025]],$J$2:$V$16,3,0)*Tabla43[[#This Row],[TOTAL COBERTURA]]+Tabla43[[#This Row],[VALOR RACION PREPARADA]]/7</f>
        <v>4121376</v>
      </c>
      <c r="AW174" s="35">
        <f>VLOOKUP(Tabla43[[#This Row],[SERVICIO 2025]],$J$2:$V$16,3,0)*Tabla43[[#This Row],[TOTAL COBERTURA]]+Tabla43[[#This Row],[VALOR RACION PREPARADA]]/7</f>
        <v>4121376</v>
      </c>
      <c r="AX174" s="35">
        <f>VLOOKUP(Tabla43[[#This Row],[SERVICIO 2025]],$J$2:$V$16,3,0)*Tabla43[[#This Row],[TOTAL COBERTURA]]+Tabla43[[#This Row],[VALOR RACION PREPARADA]]/7</f>
        <v>4121376</v>
      </c>
      <c r="AY174" s="35">
        <f>VLOOKUP(Tabla43[[#This Row],[SERVICIO 2025]],$J$2:$V$16,3,0)*Tabla43[[#This Row],[TOTAL COBERTURA]]+Tabla43[[#This Row],[VALOR RACION PREPARADA]]/7</f>
        <v>4121376</v>
      </c>
      <c r="AZ174" s="35">
        <f>VLOOKUP(Tabla43[[#This Row],[SERVICIO 2025]],$J$2:$V$16,3,0)*Tabla43[[#This Row],[TOTAL COBERTURA]]+Tabla43[[#This Row],[VALOR RACION PREPARADA]]/7+Tabla43[[#This Row],[VALOR FASE PREPARATORIA DE CIERRE]]</f>
        <v>4777840</v>
      </c>
      <c r="BA174" s="35"/>
      <c r="BB174" s="35">
        <f>SUM(Tabla43[[#This Row],[DESEMBOLSO 1]:[DESEMBOLSO 8]])</f>
        <v>30761712</v>
      </c>
      <c r="BC174" s="55">
        <f>VLOOKUP(Tabla43[[#This Row],[SERVICIO 2025]],$J$2:$V$16,10,0)*Tabla43[[#This Row],[TOTAL COBERTURA]]*$W$3</f>
        <v>23089024</v>
      </c>
      <c r="BD174" s="47" t="s">
        <v>211</v>
      </c>
      <c r="BE174" s="12" t="b">
        <f>EXACT(Tabla43[[#This Row],[TOTAL APORTES ICBF]],Tabla43[[#This Row],[VALOR TOTAL]])</f>
        <v>1</v>
      </c>
      <c r="BF174" s="23">
        <f>SUM(Tabla43[[#This Row],[VALOR FASE PREPARATORIA DE ALISTAMIENTO]:[VALOR RACION PREPARADA]])-Tabla43[[#This Row],[VALOR TOTAL]]</f>
        <v>0</v>
      </c>
      <c r="BG174" s="12" t="b">
        <f>EXACT(Tabla43[[#This Row],[VALOR TOTAL]],Tabla43[[#This Row],[TOTAL DESEMBOLSOS]])</f>
        <v>1</v>
      </c>
      <c r="BH174" s="29">
        <f>Tabla43[[#This Row],[TOTAL DESEMBOLSOS]]-Tabla43[[#This Row],[VALOR TOTAL]]</f>
        <v>0</v>
      </c>
      <c r="BJ174" t="s">
        <v>3924</v>
      </c>
    </row>
    <row r="175" spans="1:62" hidden="1">
      <c r="A175" s="13">
        <v>1974</v>
      </c>
      <c r="B175" s="13"/>
      <c r="C175" s="12" t="s">
        <v>87</v>
      </c>
      <c r="D175" s="12" t="s">
        <v>462</v>
      </c>
      <c r="E175" s="12" t="s">
        <v>4151</v>
      </c>
      <c r="F175" s="12" t="s">
        <v>19</v>
      </c>
      <c r="G175" s="12" t="s">
        <v>90</v>
      </c>
      <c r="H175" s="12" t="s">
        <v>4188</v>
      </c>
      <c r="I175" s="12">
        <v>54901118862</v>
      </c>
      <c r="J175" s="12" t="s">
        <v>4189</v>
      </c>
      <c r="K175" s="12">
        <v>1</v>
      </c>
      <c r="L175" s="12">
        <v>24</v>
      </c>
      <c r="M175" s="12"/>
      <c r="N175" s="13">
        <v>1974</v>
      </c>
      <c r="O175" s="12" t="s">
        <v>93</v>
      </c>
      <c r="P175" s="12"/>
      <c r="Q175" s="12"/>
      <c r="R175" s="12" t="s">
        <v>94</v>
      </c>
      <c r="S175" s="12">
        <v>10</v>
      </c>
      <c r="T175" s="12" t="s">
        <v>4176</v>
      </c>
      <c r="U175" s="12" t="s">
        <v>4177</v>
      </c>
      <c r="V175" s="12">
        <f>VLOOKUP(Tabla43[[#This Row],[ZONA DEFINITIVO]],Hoja1!$A$1:$D$129,3,0)</f>
        <v>229959</v>
      </c>
      <c r="W175" s="12">
        <f>VLOOKUP(Tabla43[[#This Row],[ZONA DEFINITIVO]],Hoja1!$A$1:$D$129,2,0)</f>
        <v>18591</v>
      </c>
      <c r="X175" s="12">
        <f>VLOOKUP(Tabla43[[#This Row],[ZONA DEFINITIVO]],Hoja1!$A$1:$D$129,4,0)</f>
        <v>117425</v>
      </c>
      <c r="Y175" s="12" t="str">
        <f>+IF(Tabla43[[#This Row],[AGRUPACIONES]]=1,SUMIFS(Tabla43[UDS],Tabla43[ZONA DEFINITIVO],Tabla43[[#This Row],[ZONA DEFINITIVO]])," ")</f>
        <v xml:space="preserve"> </v>
      </c>
      <c r="Z175" s="12" t="str">
        <f>+IF(Tabla43[[#This Row],[AGRUPACIONES]]=1,SUMIFS(Tabla43[TOTAL COBERTURA],Tabla43[ZONA DEFINITIVO],Tabla43[[#This Row],[ZONA DEFINITIVO]])," ")</f>
        <v xml:space="preserve"> </v>
      </c>
      <c r="AA175" s="12"/>
      <c r="AB175" s="51">
        <v>47645208</v>
      </c>
      <c r="AC175" s="37">
        <v>0.02</v>
      </c>
      <c r="AD175" s="38">
        <f>Tabla43[[#This Row],[VALOR ATENCIÓN (7 MESES)]]*Tabla43[[#This Row],[% CONTRAPARTIDA]]</f>
        <v>952904.16</v>
      </c>
      <c r="AE175" s="12"/>
      <c r="AF175" s="12">
        <f>COUNTIF($A$22:A175,A175)</f>
        <v>8</v>
      </c>
      <c r="AG175" s="51">
        <v>47645208</v>
      </c>
      <c r="AH175" s="38">
        <f>Tabla43[[#This Row],[VALOR CONTRAPARTIDA]]+Tabla43[[#This Row],[TOTAL APORTES ICBF]]</f>
        <v>48598112.159999996</v>
      </c>
      <c r="AI175" s="35" t="str">
        <f>+IF(Tabla43[[#This Row],[AGRUPACIONES]]=1,SUMIFS(Tabla43[TOTAL APORTES ICBF],Tabla43[ZONA DEFINITIVO],Tabla43[[#This Row],[ZONA DEFINITIVO]])," ")</f>
        <v xml:space="preserve"> </v>
      </c>
      <c r="AJ175" s="38"/>
      <c r="AK175" s="38"/>
      <c r="AL175" s="23"/>
      <c r="AM175" s="35">
        <f>VLOOKUP(Tabla43[[#This Row],[SERVICIO 2025]],$J$2:$V$16,5,0)*Tabla43[[#This Row],[TOTAL COBERTURA]]</f>
        <v>1235112</v>
      </c>
      <c r="AN175" s="35">
        <f>VLOOKUP(Tabla43[[#This Row],[SERVICIO 2025]],$J$2:$V$16,6,0)*Tabla43[[#This Row],[TOTAL COBERTURA]]</f>
        <v>1034784</v>
      </c>
      <c r="AO175" s="35">
        <f>VLOOKUP(Tabla43[[#This Row],[SERVICIO 2025]],$J$2:$V$16,8,0)*Tabla43[[#This Row],[TOTAL COBERTURA]]</f>
        <v>698400</v>
      </c>
      <c r="AP175" s="35">
        <f>VLOOKUP(Tabla43[[#This Row],[SERVICIO 2025]],$J$2:$V$16,3,0)*Tabla43[[#This Row],[TOTAL COBERTURA]]*7</f>
        <v>44676912</v>
      </c>
      <c r="AQ175" s="35"/>
      <c r="AR17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47645208</v>
      </c>
      <c r="AS175" s="35" t="str">
        <f>+IF(Tabla43[[#This Row],[AGRUPACIONES]]=1,SUMIFS(Tabla43[VALOR TOTAL],Tabla43[ZONA DEFINITIVO],Tabla43[[#This Row],[ZONA DEFINITIVO]])," ")</f>
        <v xml:space="preserve"> </v>
      </c>
      <c r="AT17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8315928</v>
      </c>
      <c r="AU175" s="35">
        <f>VLOOKUP(Tabla43[[#This Row],[SERVICIO 2025]],$J$2:$V$16,3,0)*Tabla43[[#This Row],[TOTAL COBERTURA]]+Tabla43[[#This Row],[VALOR RACION PREPARADA]]/7</f>
        <v>6382416</v>
      </c>
      <c r="AV175" s="35">
        <f>VLOOKUP(Tabla43[[#This Row],[SERVICIO 2025]],$J$2:$V$16,3,0)*Tabla43[[#This Row],[TOTAL COBERTURA]]+Tabla43[[#This Row],[VALOR RACION PREPARADA]]/7</f>
        <v>6382416</v>
      </c>
      <c r="AW175" s="35">
        <f>VLOOKUP(Tabla43[[#This Row],[SERVICIO 2025]],$J$2:$V$16,3,0)*Tabla43[[#This Row],[TOTAL COBERTURA]]+Tabla43[[#This Row],[VALOR RACION PREPARADA]]/7</f>
        <v>6382416</v>
      </c>
      <c r="AX175" s="35">
        <f>VLOOKUP(Tabla43[[#This Row],[SERVICIO 2025]],$J$2:$V$16,3,0)*Tabla43[[#This Row],[TOTAL COBERTURA]]+Tabla43[[#This Row],[VALOR RACION PREPARADA]]/7</f>
        <v>6382416</v>
      </c>
      <c r="AY175" s="35">
        <f>VLOOKUP(Tabla43[[#This Row],[SERVICIO 2025]],$J$2:$V$16,3,0)*Tabla43[[#This Row],[TOTAL COBERTURA]]+Tabla43[[#This Row],[VALOR RACION PREPARADA]]/7</f>
        <v>6382416</v>
      </c>
      <c r="AZ175" s="35">
        <f>VLOOKUP(Tabla43[[#This Row],[SERVICIO 2025]],$J$2:$V$16,3,0)*Tabla43[[#This Row],[TOTAL COBERTURA]]+Tabla43[[#This Row],[VALOR RACION PREPARADA]]/7+Tabla43[[#This Row],[VALOR FASE PREPARATORIA DE CIERRE]]</f>
        <v>7417200</v>
      </c>
      <c r="BA175" s="35"/>
      <c r="BB175" s="35">
        <f>SUM(Tabla43[[#This Row],[DESEMBOLSO 1]:[DESEMBOLSO 8]])</f>
        <v>47645208</v>
      </c>
      <c r="BC175" s="55">
        <f>VLOOKUP(Tabla43[[#This Row],[SERVICIO 2025]],$J$2:$V$16,10,0)*Tabla43[[#This Row],[TOTAL COBERTURA]]*$W$3</f>
        <v>34633536</v>
      </c>
      <c r="BD175" s="47" t="s">
        <v>211</v>
      </c>
      <c r="BE175" s="12" t="b">
        <f>EXACT(Tabla43[[#This Row],[TOTAL APORTES ICBF]],Tabla43[[#This Row],[VALOR TOTAL]])</f>
        <v>1</v>
      </c>
      <c r="BF175" s="23">
        <f>SUM(Tabla43[[#This Row],[VALOR FASE PREPARATORIA DE ALISTAMIENTO]:[VALOR RACION PREPARADA]])-Tabla43[[#This Row],[VALOR TOTAL]]</f>
        <v>0</v>
      </c>
      <c r="BG175" s="12" t="b">
        <f>EXACT(Tabla43[[#This Row],[VALOR TOTAL]],Tabla43[[#This Row],[TOTAL DESEMBOLSOS]])</f>
        <v>1</v>
      </c>
      <c r="BH175" s="29">
        <f>Tabla43[[#This Row],[TOTAL DESEMBOLSOS]]-Tabla43[[#This Row],[VALOR TOTAL]]</f>
        <v>0</v>
      </c>
      <c r="BJ175" t="s">
        <v>3924</v>
      </c>
    </row>
    <row r="176" spans="1:62" hidden="1">
      <c r="A176" s="13">
        <v>1974</v>
      </c>
      <c r="B176" s="13"/>
      <c r="C176" s="12" t="s">
        <v>87</v>
      </c>
      <c r="D176" s="12" t="s">
        <v>462</v>
      </c>
      <c r="E176" s="12" t="s">
        <v>4151</v>
      </c>
      <c r="F176" s="12" t="s">
        <v>18</v>
      </c>
      <c r="G176" s="12" t="s">
        <v>90</v>
      </c>
      <c r="H176" s="12" t="s">
        <v>4190</v>
      </c>
      <c r="I176" s="12">
        <v>54901118864</v>
      </c>
      <c r="J176" s="12" t="s">
        <v>4190</v>
      </c>
      <c r="K176" s="12">
        <v>1</v>
      </c>
      <c r="L176" s="12">
        <v>25</v>
      </c>
      <c r="M176" s="12"/>
      <c r="N176" s="13">
        <v>1974</v>
      </c>
      <c r="O176" s="12" t="s">
        <v>93</v>
      </c>
      <c r="P176" s="12"/>
      <c r="Q176" s="12"/>
      <c r="R176" s="12" t="s">
        <v>94</v>
      </c>
      <c r="S176" s="12">
        <v>10</v>
      </c>
      <c r="T176" s="12" t="s">
        <v>4176</v>
      </c>
      <c r="U176" s="12" t="s">
        <v>4177</v>
      </c>
      <c r="V176" s="12">
        <f>VLOOKUP(Tabla43[[#This Row],[ZONA DEFINITIVO]],Hoja1!$A$1:$D$129,3,0)</f>
        <v>229959</v>
      </c>
      <c r="W176" s="12">
        <f>VLOOKUP(Tabla43[[#This Row],[ZONA DEFINITIVO]],Hoja1!$A$1:$D$129,2,0)</f>
        <v>18591</v>
      </c>
      <c r="X176" s="12">
        <f>VLOOKUP(Tabla43[[#This Row],[ZONA DEFINITIVO]],Hoja1!$A$1:$D$129,4,0)</f>
        <v>117425</v>
      </c>
      <c r="Y176" s="12" t="str">
        <f>+IF(Tabla43[[#This Row],[AGRUPACIONES]]=1,SUMIFS(Tabla43[UDS],Tabla43[ZONA DEFINITIVO],Tabla43[[#This Row],[ZONA DEFINITIVO]])," ")</f>
        <v xml:space="preserve"> </v>
      </c>
      <c r="Z176" s="12" t="str">
        <f>+IF(Tabla43[[#This Row],[AGRUPACIONES]]=1,SUMIFS(Tabla43[TOTAL COBERTURA],Tabla43[ZONA DEFINITIVO],Tabla43[[#This Row],[ZONA DEFINITIVO]])," ")</f>
        <v xml:space="preserve"> </v>
      </c>
      <c r="AA176" s="12"/>
      <c r="AB176" s="51">
        <v>48065175</v>
      </c>
      <c r="AC176" s="37">
        <v>0.02</v>
      </c>
      <c r="AD176" s="38">
        <f>Tabla43[[#This Row],[VALOR ATENCIÓN (7 MESES)]]*Tabla43[[#This Row],[% CONTRAPARTIDA]]</f>
        <v>961303.5</v>
      </c>
      <c r="AE176" s="12"/>
      <c r="AF176" s="12">
        <f>COUNTIF($A$22:A176,A176)</f>
        <v>9</v>
      </c>
      <c r="AG176" s="51">
        <v>48065175</v>
      </c>
      <c r="AH176" s="38">
        <f>Tabla43[[#This Row],[VALOR CONTRAPARTIDA]]+Tabla43[[#This Row],[TOTAL APORTES ICBF]]</f>
        <v>49026478.5</v>
      </c>
      <c r="AI176" s="35" t="str">
        <f>+IF(Tabla43[[#This Row],[AGRUPACIONES]]=1,SUMIFS(Tabla43[TOTAL APORTES ICBF],Tabla43[ZONA DEFINITIVO],Tabla43[[#This Row],[ZONA DEFINITIVO]])," ")</f>
        <v xml:space="preserve"> </v>
      </c>
      <c r="AJ176" s="38"/>
      <c r="AK176" s="38"/>
      <c r="AL176" s="23"/>
      <c r="AM176" s="35">
        <f>VLOOKUP(Tabla43[[#This Row],[SERVICIO 2025]],$J$2:$V$16,5,0)*Tabla43[[#This Row],[TOTAL COBERTURA]]</f>
        <v>1234400</v>
      </c>
      <c r="AN176" s="35">
        <f>VLOOKUP(Tabla43[[#This Row],[SERVICIO 2025]],$J$2:$V$16,6,0)*Tabla43[[#This Row],[TOTAL COBERTURA]]</f>
        <v>1025725</v>
      </c>
      <c r="AO176" s="35">
        <f>VLOOKUP(Tabla43[[#This Row],[SERVICIO 2025]],$J$2:$V$16,8,0)*Tabla43[[#This Row],[TOTAL COBERTURA]]</f>
        <v>727500</v>
      </c>
      <c r="AP176" s="35">
        <f>VLOOKUP(Tabla43[[#This Row],[SERVICIO 2025]],$J$2:$V$16,3,0)*Tabla43[[#This Row],[TOTAL COBERTURA]]*7</f>
        <v>45077550</v>
      </c>
      <c r="AQ176" s="35"/>
      <c r="AR17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48065175</v>
      </c>
      <c r="AS176" s="35" t="str">
        <f>+IF(Tabla43[[#This Row],[AGRUPACIONES]]=1,SUMIFS(Tabla43[VALOR TOTAL],Tabla43[ZONA DEFINITIVO],Tabla43[[#This Row],[ZONA DEFINITIVO]])," ")</f>
        <v xml:space="preserve"> </v>
      </c>
      <c r="AT17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8401550</v>
      </c>
      <c r="AU176" s="35">
        <f>VLOOKUP(Tabla43[[#This Row],[SERVICIO 2025]],$J$2:$V$16,3,0)*Tabla43[[#This Row],[TOTAL COBERTURA]]+Tabla43[[#This Row],[VALOR RACION PREPARADA]]/7</f>
        <v>6439650</v>
      </c>
      <c r="AV176" s="35">
        <f>VLOOKUP(Tabla43[[#This Row],[SERVICIO 2025]],$J$2:$V$16,3,0)*Tabla43[[#This Row],[TOTAL COBERTURA]]+Tabla43[[#This Row],[VALOR RACION PREPARADA]]/7</f>
        <v>6439650</v>
      </c>
      <c r="AW176" s="35">
        <f>VLOOKUP(Tabla43[[#This Row],[SERVICIO 2025]],$J$2:$V$16,3,0)*Tabla43[[#This Row],[TOTAL COBERTURA]]+Tabla43[[#This Row],[VALOR RACION PREPARADA]]/7</f>
        <v>6439650</v>
      </c>
      <c r="AX176" s="35">
        <f>VLOOKUP(Tabla43[[#This Row],[SERVICIO 2025]],$J$2:$V$16,3,0)*Tabla43[[#This Row],[TOTAL COBERTURA]]+Tabla43[[#This Row],[VALOR RACION PREPARADA]]/7</f>
        <v>6439650</v>
      </c>
      <c r="AY176" s="35">
        <f>VLOOKUP(Tabla43[[#This Row],[SERVICIO 2025]],$J$2:$V$16,3,0)*Tabla43[[#This Row],[TOTAL COBERTURA]]+Tabla43[[#This Row],[VALOR RACION PREPARADA]]/7</f>
        <v>6439650</v>
      </c>
      <c r="AZ176" s="35">
        <f>VLOOKUP(Tabla43[[#This Row],[SERVICIO 2025]],$J$2:$V$16,3,0)*Tabla43[[#This Row],[TOTAL COBERTURA]]+Tabla43[[#This Row],[VALOR RACION PREPARADA]]/7+Tabla43[[#This Row],[VALOR FASE PREPARATORIA DE CIERRE]]</f>
        <v>7465375</v>
      </c>
      <c r="BA176" s="35"/>
      <c r="BB176" s="35">
        <f>SUM(Tabla43[[#This Row],[DESEMBOLSO 1]:[DESEMBOLSO 8]])</f>
        <v>48065175</v>
      </c>
      <c r="BC176" s="55">
        <f>VLOOKUP(Tabla43[[#This Row],[SERVICIO 2025]],$J$2:$V$16,10,0)*Tabla43[[#This Row],[TOTAL COBERTURA]]*$W$3</f>
        <v>36076600</v>
      </c>
      <c r="BD176" s="47" t="s">
        <v>211</v>
      </c>
      <c r="BE176" s="12" t="b">
        <f>EXACT(Tabla43[[#This Row],[TOTAL APORTES ICBF]],Tabla43[[#This Row],[VALOR TOTAL]])</f>
        <v>1</v>
      </c>
      <c r="BF176" s="23">
        <f>SUM(Tabla43[[#This Row],[VALOR FASE PREPARATORIA DE ALISTAMIENTO]:[VALOR RACION PREPARADA]])-Tabla43[[#This Row],[VALOR TOTAL]]</f>
        <v>0</v>
      </c>
      <c r="BG176" s="12" t="b">
        <f>EXACT(Tabla43[[#This Row],[VALOR TOTAL]],Tabla43[[#This Row],[TOTAL DESEMBOLSOS]])</f>
        <v>1</v>
      </c>
      <c r="BH176" s="29">
        <f>Tabla43[[#This Row],[TOTAL DESEMBOLSOS]]-Tabla43[[#This Row],[VALOR TOTAL]]</f>
        <v>0</v>
      </c>
      <c r="BJ176" t="s">
        <v>3924</v>
      </c>
    </row>
    <row r="177" spans="1:62" hidden="1">
      <c r="A177" s="13">
        <v>1974</v>
      </c>
      <c r="B177" s="13"/>
      <c r="C177" s="12" t="s">
        <v>87</v>
      </c>
      <c r="D177" s="12" t="s">
        <v>462</v>
      </c>
      <c r="E177" s="12" t="s">
        <v>4151</v>
      </c>
      <c r="F177" s="12" t="s">
        <v>18</v>
      </c>
      <c r="G177" s="12" t="s">
        <v>90</v>
      </c>
      <c r="H177" s="12" t="s">
        <v>4191</v>
      </c>
      <c r="I177" s="12">
        <v>54901118869</v>
      </c>
      <c r="J177" s="12" t="s">
        <v>4192</v>
      </c>
      <c r="K177" s="12">
        <v>1</v>
      </c>
      <c r="L177" s="12">
        <v>24</v>
      </c>
      <c r="M177" s="12"/>
      <c r="N177" s="13">
        <v>1974</v>
      </c>
      <c r="O177" s="12" t="s">
        <v>93</v>
      </c>
      <c r="P177" s="12"/>
      <c r="Q177" s="12"/>
      <c r="R177" s="12" t="s">
        <v>94</v>
      </c>
      <c r="S177" s="12">
        <v>10</v>
      </c>
      <c r="T177" s="12" t="s">
        <v>4176</v>
      </c>
      <c r="U177" s="12" t="s">
        <v>4177</v>
      </c>
      <c r="V177" s="12">
        <f>VLOOKUP(Tabla43[[#This Row],[ZONA DEFINITIVO]],Hoja1!$A$1:$D$129,3,0)</f>
        <v>229959</v>
      </c>
      <c r="W177" s="12">
        <f>VLOOKUP(Tabla43[[#This Row],[ZONA DEFINITIVO]],Hoja1!$A$1:$D$129,2,0)</f>
        <v>18591</v>
      </c>
      <c r="X177" s="12">
        <f>VLOOKUP(Tabla43[[#This Row],[ZONA DEFINITIVO]],Hoja1!$A$1:$D$129,4,0)</f>
        <v>117425</v>
      </c>
      <c r="Y177" s="12" t="str">
        <f>+IF(Tabla43[[#This Row],[AGRUPACIONES]]=1,SUMIFS(Tabla43[UDS],Tabla43[ZONA DEFINITIVO],Tabla43[[#This Row],[ZONA DEFINITIVO]])," ")</f>
        <v xml:space="preserve"> </v>
      </c>
      <c r="Z177" s="12" t="str">
        <f>+IF(Tabla43[[#This Row],[AGRUPACIONES]]=1,SUMIFS(Tabla43[TOTAL COBERTURA],Tabla43[ZONA DEFINITIVO],Tabla43[[#This Row],[ZONA DEFINITIVO]])," ")</f>
        <v xml:space="preserve"> </v>
      </c>
      <c r="AA177" s="12"/>
      <c r="AB177" s="51">
        <v>46142568</v>
      </c>
      <c r="AC177" s="37">
        <v>0.02</v>
      </c>
      <c r="AD177" s="38">
        <f>Tabla43[[#This Row],[VALOR ATENCIÓN (7 MESES)]]*Tabla43[[#This Row],[% CONTRAPARTIDA]]</f>
        <v>922851.36</v>
      </c>
      <c r="AE177" s="12"/>
      <c r="AF177" s="12">
        <f>COUNTIF($A$22:A177,A177)</f>
        <v>10</v>
      </c>
      <c r="AG177" s="51">
        <v>46142568</v>
      </c>
      <c r="AH177" s="38">
        <f>Tabla43[[#This Row],[VALOR CONTRAPARTIDA]]+Tabla43[[#This Row],[TOTAL APORTES ICBF]]</f>
        <v>47065419.359999999</v>
      </c>
      <c r="AI177" s="35" t="str">
        <f>+IF(Tabla43[[#This Row],[AGRUPACIONES]]=1,SUMIFS(Tabla43[TOTAL APORTES ICBF],Tabla43[ZONA DEFINITIVO],Tabla43[[#This Row],[ZONA DEFINITIVO]])," ")</f>
        <v xml:space="preserve"> </v>
      </c>
      <c r="AJ177" s="38"/>
      <c r="AK177" s="38"/>
      <c r="AL177" s="23"/>
      <c r="AM177" s="35">
        <f>VLOOKUP(Tabla43[[#This Row],[SERVICIO 2025]],$J$2:$V$16,5,0)*Tabla43[[#This Row],[TOTAL COBERTURA]]</f>
        <v>1185024</v>
      </c>
      <c r="AN177" s="35">
        <f>VLOOKUP(Tabla43[[#This Row],[SERVICIO 2025]],$J$2:$V$16,6,0)*Tabla43[[#This Row],[TOTAL COBERTURA]]</f>
        <v>984696</v>
      </c>
      <c r="AO177" s="35">
        <f>VLOOKUP(Tabla43[[#This Row],[SERVICIO 2025]],$J$2:$V$16,8,0)*Tabla43[[#This Row],[TOTAL COBERTURA]]</f>
        <v>698400</v>
      </c>
      <c r="AP177" s="35">
        <f>VLOOKUP(Tabla43[[#This Row],[SERVICIO 2025]],$J$2:$V$16,3,0)*Tabla43[[#This Row],[TOTAL COBERTURA]]*7</f>
        <v>43274448</v>
      </c>
      <c r="AQ177" s="35"/>
      <c r="AR17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46142568</v>
      </c>
      <c r="AS177" s="35" t="str">
        <f>+IF(Tabla43[[#This Row],[AGRUPACIONES]]=1,SUMIFS(Tabla43[VALOR TOTAL],Tabla43[ZONA DEFINITIVO],Tabla43[[#This Row],[ZONA DEFINITIVO]])," ")</f>
        <v xml:space="preserve"> </v>
      </c>
      <c r="AT17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8065488</v>
      </c>
      <c r="AU177" s="35">
        <f>VLOOKUP(Tabla43[[#This Row],[SERVICIO 2025]],$J$2:$V$16,3,0)*Tabla43[[#This Row],[TOTAL COBERTURA]]+Tabla43[[#This Row],[VALOR RACION PREPARADA]]/7</f>
        <v>6182064</v>
      </c>
      <c r="AV177" s="35">
        <f>VLOOKUP(Tabla43[[#This Row],[SERVICIO 2025]],$J$2:$V$16,3,0)*Tabla43[[#This Row],[TOTAL COBERTURA]]+Tabla43[[#This Row],[VALOR RACION PREPARADA]]/7</f>
        <v>6182064</v>
      </c>
      <c r="AW177" s="35">
        <f>VLOOKUP(Tabla43[[#This Row],[SERVICIO 2025]],$J$2:$V$16,3,0)*Tabla43[[#This Row],[TOTAL COBERTURA]]+Tabla43[[#This Row],[VALOR RACION PREPARADA]]/7</f>
        <v>6182064</v>
      </c>
      <c r="AX177" s="35">
        <f>VLOOKUP(Tabla43[[#This Row],[SERVICIO 2025]],$J$2:$V$16,3,0)*Tabla43[[#This Row],[TOTAL COBERTURA]]+Tabla43[[#This Row],[VALOR RACION PREPARADA]]/7</f>
        <v>6182064</v>
      </c>
      <c r="AY177" s="35">
        <f>VLOOKUP(Tabla43[[#This Row],[SERVICIO 2025]],$J$2:$V$16,3,0)*Tabla43[[#This Row],[TOTAL COBERTURA]]+Tabla43[[#This Row],[VALOR RACION PREPARADA]]/7</f>
        <v>6182064</v>
      </c>
      <c r="AZ177" s="35">
        <f>VLOOKUP(Tabla43[[#This Row],[SERVICIO 2025]],$J$2:$V$16,3,0)*Tabla43[[#This Row],[TOTAL COBERTURA]]+Tabla43[[#This Row],[VALOR RACION PREPARADA]]/7+Tabla43[[#This Row],[VALOR FASE PREPARATORIA DE CIERRE]]</f>
        <v>7166760</v>
      </c>
      <c r="BA177" s="35"/>
      <c r="BB177" s="35">
        <f>SUM(Tabla43[[#This Row],[DESEMBOLSO 1]:[DESEMBOLSO 8]])</f>
        <v>46142568</v>
      </c>
      <c r="BC177" s="55">
        <f>VLOOKUP(Tabla43[[#This Row],[SERVICIO 2025]],$J$2:$V$16,10,0)*Tabla43[[#This Row],[TOTAL COBERTURA]]*$W$3</f>
        <v>34633536</v>
      </c>
      <c r="BD177" s="47" t="s">
        <v>211</v>
      </c>
      <c r="BE177" s="12" t="b">
        <f>EXACT(Tabla43[[#This Row],[TOTAL APORTES ICBF]],Tabla43[[#This Row],[VALOR TOTAL]])</f>
        <v>1</v>
      </c>
      <c r="BF177" s="23">
        <f>SUM(Tabla43[[#This Row],[VALOR FASE PREPARATORIA DE ALISTAMIENTO]:[VALOR RACION PREPARADA]])-Tabla43[[#This Row],[VALOR TOTAL]]</f>
        <v>0</v>
      </c>
      <c r="BG177" s="12" t="b">
        <f>EXACT(Tabla43[[#This Row],[VALOR TOTAL]],Tabla43[[#This Row],[TOTAL DESEMBOLSOS]])</f>
        <v>1</v>
      </c>
      <c r="BH177" s="29">
        <f>Tabla43[[#This Row],[TOTAL DESEMBOLSOS]]-Tabla43[[#This Row],[VALOR TOTAL]]</f>
        <v>0</v>
      </c>
      <c r="BJ177" t="s">
        <v>3924</v>
      </c>
    </row>
    <row r="178" spans="1:62" hidden="1">
      <c r="A178" s="13">
        <v>1974</v>
      </c>
      <c r="B178" s="13"/>
      <c r="C178" s="12" t="s">
        <v>87</v>
      </c>
      <c r="D178" s="12" t="s">
        <v>462</v>
      </c>
      <c r="E178" s="12" t="s">
        <v>4151</v>
      </c>
      <c r="F178" s="12" t="s">
        <v>18</v>
      </c>
      <c r="G178" s="12" t="s">
        <v>90</v>
      </c>
      <c r="H178" s="12" t="s">
        <v>4193</v>
      </c>
      <c r="I178" s="12">
        <v>54901118872</v>
      </c>
      <c r="J178" s="12" t="s">
        <v>4194</v>
      </c>
      <c r="K178" s="12">
        <v>1</v>
      </c>
      <c r="L178" s="12">
        <v>14</v>
      </c>
      <c r="M178" s="12"/>
      <c r="N178" s="13">
        <v>1974</v>
      </c>
      <c r="O178" s="12" t="s">
        <v>93</v>
      </c>
      <c r="P178" s="12"/>
      <c r="Q178" s="12"/>
      <c r="R178" s="12" t="s">
        <v>94</v>
      </c>
      <c r="S178" s="12">
        <v>10</v>
      </c>
      <c r="T178" s="12" t="s">
        <v>4176</v>
      </c>
      <c r="U178" s="12" t="s">
        <v>4177</v>
      </c>
      <c r="V178" s="12">
        <f>VLOOKUP(Tabla43[[#This Row],[ZONA DEFINITIVO]],Hoja1!$A$1:$D$129,3,0)</f>
        <v>229959</v>
      </c>
      <c r="W178" s="12">
        <f>VLOOKUP(Tabla43[[#This Row],[ZONA DEFINITIVO]],Hoja1!$A$1:$D$129,2,0)</f>
        <v>18591</v>
      </c>
      <c r="X178" s="12">
        <f>VLOOKUP(Tabla43[[#This Row],[ZONA DEFINITIVO]],Hoja1!$A$1:$D$129,4,0)</f>
        <v>117425</v>
      </c>
      <c r="Y178" s="12" t="str">
        <f>+IF(Tabla43[[#This Row],[AGRUPACIONES]]=1,SUMIFS(Tabla43[UDS],Tabla43[ZONA DEFINITIVO],Tabla43[[#This Row],[ZONA DEFINITIVO]])," ")</f>
        <v xml:space="preserve"> </v>
      </c>
      <c r="Z178" s="12" t="str">
        <f>+IF(Tabla43[[#This Row],[AGRUPACIONES]]=1,SUMIFS(Tabla43[TOTAL COBERTURA],Tabla43[ZONA DEFINITIVO],Tabla43[[#This Row],[ZONA DEFINITIVO]])," ")</f>
        <v xml:space="preserve"> </v>
      </c>
      <c r="AA178" s="12"/>
      <c r="AB178" s="51">
        <v>26916498</v>
      </c>
      <c r="AC178" s="37">
        <v>0.02</v>
      </c>
      <c r="AD178" s="38">
        <f>Tabla43[[#This Row],[VALOR ATENCIÓN (7 MESES)]]*Tabla43[[#This Row],[% CONTRAPARTIDA]]</f>
        <v>538329.96</v>
      </c>
      <c r="AE178" s="12"/>
      <c r="AF178" s="12">
        <f>COUNTIF($A$22:A178,A178)</f>
        <v>11</v>
      </c>
      <c r="AG178" s="51">
        <v>26916498</v>
      </c>
      <c r="AH178" s="38">
        <f>Tabla43[[#This Row],[VALOR CONTRAPARTIDA]]+Tabla43[[#This Row],[TOTAL APORTES ICBF]]</f>
        <v>27454827.960000001</v>
      </c>
      <c r="AI178" s="35" t="str">
        <f>+IF(Tabla43[[#This Row],[AGRUPACIONES]]=1,SUMIFS(Tabla43[TOTAL APORTES ICBF],Tabla43[ZONA DEFINITIVO],Tabla43[[#This Row],[ZONA DEFINITIVO]])," ")</f>
        <v xml:space="preserve"> </v>
      </c>
      <c r="AJ178" s="38"/>
      <c r="AK178" s="38"/>
      <c r="AL178" s="23"/>
      <c r="AM178" s="35">
        <f>VLOOKUP(Tabla43[[#This Row],[SERVICIO 2025]],$J$2:$V$16,5,0)*Tabla43[[#This Row],[TOTAL COBERTURA]]</f>
        <v>691264</v>
      </c>
      <c r="AN178" s="35">
        <f>VLOOKUP(Tabla43[[#This Row],[SERVICIO 2025]],$J$2:$V$16,6,0)*Tabla43[[#This Row],[TOTAL COBERTURA]]</f>
        <v>574406</v>
      </c>
      <c r="AO178" s="35">
        <f>VLOOKUP(Tabla43[[#This Row],[SERVICIO 2025]],$J$2:$V$16,8,0)*Tabla43[[#This Row],[TOTAL COBERTURA]]</f>
        <v>407400</v>
      </c>
      <c r="AP178" s="35">
        <f>VLOOKUP(Tabla43[[#This Row],[SERVICIO 2025]],$J$2:$V$16,3,0)*Tabla43[[#This Row],[TOTAL COBERTURA]]*7</f>
        <v>25243428</v>
      </c>
      <c r="AQ178" s="35"/>
      <c r="AR17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26916498</v>
      </c>
      <c r="AS178" s="35" t="str">
        <f>+IF(Tabla43[[#This Row],[AGRUPACIONES]]=1,SUMIFS(Tabla43[VALOR TOTAL],Tabla43[ZONA DEFINITIVO],Tabla43[[#This Row],[ZONA DEFINITIVO]])," ")</f>
        <v xml:space="preserve"> </v>
      </c>
      <c r="AT17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4704868</v>
      </c>
      <c r="AU178" s="35">
        <f>VLOOKUP(Tabla43[[#This Row],[SERVICIO 2025]],$J$2:$V$16,3,0)*Tabla43[[#This Row],[TOTAL COBERTURA]]+Tabla43[[#This Row],[VALOR RACION PREPARADA]]/7</f>
        <v>3606204</v>
      </c>
      <c r="AV178" s="35">
        <f>VLOOKUP(Tabla43[[#This Row],[SERVICIO 2025]],$J$2:$V$16,3,0)*Tabla43[[#This Row],[TOTAL COBERTURA]]+Tabla43[[#This Row],[VALOR RACION PREPARADA]]/7</f>
        <v>3606204</v>
      </c>
      <c r="AW178" s="35">
        <f>VLOOKUP(Tabla43[[#This Row],[SERVICIO 2025]],$J$2:$V$16,3,0)*Tabla43[[#This Row],[TOTAL COBERTURA]]+Tabla43[[#This Row],[VALOR RACION PREPARADA]]/7</f>
        <v>3606204</v>
      </c>
      <c r="AX178" s="35">
        <f>VLOOKUP(Tabla43[[#This Row],[SERVICIO 2025]],$J$2:$V$16,3,0)*Tabla43[[#This Row],[TOTAL COBERTURA]]+Tabla43[[#This Row],[VALOR RACION PREPARADA]]/7</f>
        <v>3606204</v>
      </c>
      <c r="AY178" s="35">
        <f>VLOOKUP(Tabla43[[#This Row],[SERVICIO 2025]],$J$2:$V$16,3,0)*Tabla43[[#This Row],[TOTAL COBERTURA]]+Tabla43[[#This Row],[VALOR RACION PREPARADA]]/7</f>
        <v>3606204</v>
      </c>
      <c r="AZ178" s="35">
        <f>VLOOKUP(Tabla43[[#This Row],[SERVICIO 2025]],$J$2:$V$16,3,0)*Tabla43[[#This Row],[TOTAL COBERTURA]]+Tabla43[[#This Row],[VALOR RACION PREPARADA]]/7+Tabla43[[#This Row],[VALOR FASE PREPARATORIA DE CIERRE]]</f>
        <v>4180610</v>
      </c>
      <c r="BA178" s="35"/>
      <c r="BB178" s="35">
        <f>SUM(Tabla43[[#This Row],[DESEMBOLSO 1]:[DESEMBOLSO 8]])</f>
        <v>26916498</v>
      </c>
      <c r="BC178" s="55">
        <f>VLOOKUP(Tabla43[[#This Row],[SERVICIO 2025]],$J$2:$V$16,10,0)*Tabla43[[#This Row],[TOTAL COBERTURA]]*$W$3</f>
        <v>20202896</v>
      </c>
      <c r="BD178" s="47" t="s">
        <v>211</v>
      </c>
      <c r="BE178" s="12" t="b">
        <f>EXACT(Tabla43[[#This Row],[TOTAL APORTES ICBF]],Tabla43[[#This Row],[VALOR TOTAL]])</f>
        <v>1</v>
      </c>
      <c r="BF178" s="23">
        <f>SUM(Tabla43[[#This Row],[VALOR FASE PREPARATORIA DE ALISTAMIENTO]:[VALOR RACION PREPARADA]])-Tabla43[[#This Row],[VALOR TOTAL]]</f>
        <v>0</v>
      </c>
      <c r="BG178" s="12" t="b">
        <f>EXACT(Tabla43[[#This Row],[VALOR TOTAL]],Tabla43[[#This Row],[TOTAL DESEMBOLSOS]])</f>
        <v>1</v>
      </c>
      <c r="BH178" s="29">
        <f>Tabla43[[#This Row],[TOTAL DESEMBOLSOS]]-Tabla43[[#This Row],[VALOR TOTAL]]</f>
        <v>0</v>
      </c>
      <c r="BJ178" t="s">
        <v>3924</v>
      </c>
    </row>
    <row r="179" spans="1:62" hidden="1">
      <c r="A179" s="13">
        <v>1974</v>
      </c>
      <c r="B179" s="13"/>
      <c r="C179" s="12" t="s">
        <v>87</v>
      </c>
      <c r="D179" s="12" t="s">
        <v>462</v>
      </c>
      <c r="E179" s="12" t="s">
        <v>4151</v>
      </c>
      <c r="F179" s="12" t="s">
        <v>16</v>
      </c>
      <c r="G179" s="12" t="s">
        <v>90</v>
      </c>
      <c r="H179" s="12" t="s">
        <v>1116</v>
      </c>
      <c r="I179" s="12">
        <v>54901126880</v>
      </c>
      <c r="J179" s="12" t="s">
        <v>4195</v>
      </c>
      <c r="K179" s="12">
        <v>1</v>
      </c>
      <c r="L179" s="12">
        <v>46</v>
      </c>
      <c r="M179" s="12"/>
      <c r="N179" s="13">
        <v>1974</v>
      </c>
      <c r="O179" s="12" t="s">
        <v>93</v>
      </c>
      <c r="P179" s="12"/>
      <c r="Q179" s="12"/>
      <c r="R179" s="12" t="s">
        <v>94</v>
      </c>
      <c r="S179" s="12">
        <v>10</v>
      </c>
      <c r="T179" s="12" t="s">
        <v>4176</v>
      </c>
      <c r="U179" s="12" t="s">
        <v>4177</v>
      </c>
      <c r="V179" s="12">
        <f>VLOOKUP(Tabla43[[#This Row],[ZONA DEFINITIVO]],Hoja1!$A$1:$D$129,3,0)</f>
        <v>229959</v>
      </c>
      <c r="W179" s="12">
        <f>VLOOKUP(Tabla43[[#This Row],[ZONA DEFINITIVO]],Hoja1!$A$1:$D$129,2,0)</f>
        <v>18591</v>
      </c>
      <c r="X179" s="12">
        <f>VLOOKUP(Tabla43[[#This Row],[ZONA DEFINITIVO]],Hoja1!$A$1:$D$129,4,0)</f>
        <v>117425</v>
      </c>
      <c r="Y179" s="12" t="str">
        <f>+IF(Tabla43[[#This Row],[AGRUPACIONES]]=1,SUMIFS(Tabla43[UDS],Tabla43[ZONA DEFINITIVO],Tabla43[[#This Row],[ZONA DEFINITIVO]])," ")</f>
        <v xml:space="preserve"> </v>
      </c>
      <c r="Z179" s="12" t="str">
        <f>+IF(Tabla43[[#This Row],[AGRUPACIONES]]=1,SUMIFS(Tabla43[TOTAL COBERTURA],Tabla43[ZONA DEFINITIVO],Tabla43[[#This Row],[ZONA DEFINITIVO]])," ")</f>
        <v xml:space="preserve"> </v>
      </c>
      <c r="AA179" s="12"/>
      <c r="AB179" s="51">
        <v>155012042</v>
      </c>
      <c r="AC179" s="37">
        <v>0.02</v>
      </c>
      <c r="AD179" s="38">
        <f>Tabla43[[#This Row],[VALOR ATENCIÓN (7 MESES)]]*Tabla43[[#This Row],[% CONTRAPARTIDA]]</f>
        <v>3100240.84</v>
      </c>
      <c r="AE179" s="12"/>
      <c r="AF179" s="12">
        <f>COUNTIF($A$22:A179,A179)</f>
        <v>12</v>
      </c>
      <c r="AG179" s="51">
        <v>155012042</v>
      </c>
      <c r="AH179" s="38">
        <f>Tabla43[[#This Row],[VALOR CONTRAPARTIDA]]+Tabla43[[#This Row],[TOTAL APORTES ICBF]]</f>
        <v>158112282.84</v>
      </c>
      <c r="AI179" s="35" t="str">
        <f>+IF(Tabla43[[#This Row],[AGRUPACIONES]]=1,SUMIFS(Tabla43[TOTAL APORTES ICBF],Tabla43[ZONA DEFINITIVO],Tabla43[[#This Row],[ZONA DEFINITIVO]])," ")</f>
        <v xml:space="preserve"> </v>
      </c>
      <c r="AJ179" s="38"/>
      <c r="AK179" s="38"/>
      <c r="AL179" s="23"/>
      <c r="AM179" s="35">
        <f>VLOOKUP(Tabla43[[#This Row],[SERVICIO 2025]],$J$2:$V$16,5,0)*Tabla43[[#This Row],[TOTAL COBERTURA]]</f>
        <v>3402390</v>
      </c>
      <c r="AN179" s="35">
        <f>VLOOKUP(Tabla43[[#This Row],[SERVICIO 2025]],$J$2:$V$16,6,0)*Tabla43[[#This Row],[TOTAL COBERTURA]]</f>
        <v>1501946</v>
      </c>
      <c r="AO179" s="35">
        <f>VLOOKUP(Tabla43[[#This Row],[SERVICIO 2025]],$J$2:$V$16,8,0)*Tabla43[[#This Row],[TOTAL COBERTURA]]</f>
        <v>1338554</v>
      </c>
      <c r="AP179" s="35">
        <f>VLOOKUP(Tabla43[[#This Row],[SERVICIO 2025]],$J$2:$V$16,3,0)*Tabla43[[#This Row],[TOTAL COBERTURA]]*7</f>
        <v>148769152</v>
      </c>
      <c r="AQ179" s="35">
        <f>VLOOKUP(Tabla43[[#This Row],[SERVICIO 2025]],$J$2:$V$16,10,0)*Tabla43[[#This Row],[TOTAL COBERTURA]]*7</f>
        <v>0</v>
      </c>
      <c r="AR17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155012042</v>
      </c>
      <c r="AS179" s="35" t="str">
        <f>+IF(Tabla43[[#This Row],[AGRUPACIONES]]=1,SUMIFS(Tabla43[VALOR TOTAL],Tabla43[ZONA DEFINITIVO],Tabla43[[#This Row],[ZONA DEFINITIVO]])," ")</f>
        <v xml:space="preserve"> </v>
      </c>
      <c r="AT17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25993680</v>
      </c>
      <c r="AU179" s="35">
        <f>VLOOKUP(Tabla43[[#This Row],[SERVICIO 2025]],$J$2:$V$16,3,0)*Tabla43[[#This Row],[TOTAL COBERTURA]]+Tabla43[[#This Row],[VALOR RACION PREPARADA]]/7</f>
        <v>21252736</v>
      </c>
      <c r="AV179" s="35">
        <f>VLOOKUP(Tabla43[[#This Row],[SERVICIO 2025]],$J$2:$V$16,3,0)*Tabla43[[#This Row],[TOTAL COBERTURA]]+Tabla43[[#This Row],[VALOR RACION PREPARADA]]/7</f>
        <v>21252736</v>
      </c>
      <c r="AW179" s="35">
        <f>VLOOKUP(Tabla43[[#This Row],[SERVICIO 2025]],$J$2:$V$16,3,0)*Tabla43[[#This Row],[TOTAL COBERTURA]]+Tabla43[[#This Row],[VALOR RACION PREPARADA]]/7</f>
        <v>21252736</v>
      </c>
      <c r="AX179" s="35">
        <f>VLOOKUP(Tabla43[[#This Row],[SERVICIO 2025]],$J$2:$V$16,3,0)*Tabla43[[#This Row],[TOTAL COBERTURA]]+Tabla43[[#This Row],[VALOR RACION PREPARADA]]/7</f>
        <v>21252736</v>
      </c>
      <c r="AY179" s="35">
        <f>VLOOKUP(Tabla43[[#This Row],[SERVICIO 2025]],$J$2:$V$16,3,0)*Tabla43[[#This Row],[TOTAL COBERTURA]]+Tabla43[[#This Row],[VALOR RACION PREPARADA]]/7</f>
        <v>21252736</v>
      </c>
      <c r="AZ179" s="35">
        <f>VLOOKUP(Tabla43[[#This Row],[SERVICIO 2025]],$J$2:$V$16,3,0)*Tabla43[[#This Row],[TOTAL COBERTURA]]+Tabla43[[#This Row],[VALOR RACION PREPARADA]]/7+Tabla43[[#This Row],[VALOR FASE PREPARATORIA DE CIERRE]]</f>
        <v>22754682</v>
      </c>
      <c r="BA179" s="35"/>
      <c r="BB179" s="35">
        <f>SUM(Tabla43[[#This Row],[DESEMBOLSO 1]:[DESEMBOLSO 8]])</f>
        <v>155012042</v>
      </c>
      <c r="BC179" s="55">
        <f>VLOOKUP(Tabla43[[#This Row],[SERVICIO 2025]],$J$2:$V$16,10,0)*Tabla43[[#This Row],[TOTAL COBERTURA]]*$W$3</f>
        <v>0</v>
      </c>
      <c r="BD179" s="47" t="s">
        <v>145</v>
      </c>
      <c r="BE179" s="12" t="b">
        <f>EXACT(Tabla43[[#This Row],[TOTAL APORTES ICBF]],Tabla43[[#This Row],[VALOR TOTAL]])</f>
        <v>1</v>
      </c>
      <c r="BF179" s="23">
        <f>SUM(Tabla43[[#This Row],[VALOR FASE PREPARATORIA DE ALISTAMIENTO]:[VALOR RACION PREPARADA]])-Tabla43[[#This Row],[VALOR TOTAL]]</f>
        <v>0</v>
      </c>
      <c r="BG179" s="12" t="b">
        <f>EXACT(Tabla43[[#This Row],[VALOR TOTAL]],Tabla43[[#This Row],[TOTAL DESEMBOLSOS]])</f>
        <v>1</v>
      </c>
      <c r="BH179" s="29">
        <f>Tabla43[[#This Row],[TOTAL DESEMBOLSOS]]-Tabla43[[#This Row],[VALOR TOTAL]]</f>
        <v>0</v>
      </c>
      <c r="BJ179" t="s">
        <v>3924</v>
      </c>
    </row>
    <row r="180" spans="1:62" hidden="1">
      <c r="A180" s="13">
        <v>1974</v>
      </c>
      <c r="B180" s="13"/>
      <c r="C180" s="12" t="s">
        <v>87</v>
      </c>
      <c r="D180" s="12" t="s">
        <v>462</v>
      </c>
      <c r="E180" s="12" t="s">
        <v>4151</v>
      </c>
      <c r="F180" s="12" t="s">
        <v>18</v>
      </c>
      <c r="G180" s="12" t="s">
        <v>90</v>
      </c>
      <c r="H180" s="12" t="s">
        <v>4196</v>
      </c>
      <c r="I180" s="12">
        <v>54901136499</v>
      </c>
      <c r="J180" s="12" t="s">
        <v>4197</v>
      </c>
      <c r="K180" s="12">
        <v>1</v>
      </c>
      <c r="L180" s="12">
        <v>21</v>
      </c>
      <c r="M180" s="12"/>
      <c r="N180" s="13">
        <v>1974</v>
      </c>
      <c r="O180" s="12" t="s">
        <v>93</v>
      </c>
      <c r="P180" s="12"/>
      <c r="Q180" s="12"/>
      <c r="R180" s="12" t="s">
        <v>94</v>
      </c>
      <c r="S180" s="12">
        <v>10</v>
      </c>
      <c r="T180" s="12" t="s">
        <v>4176</v>
      </c>
      <c r="U180" s="12" t="s">
        <v>4177</v>
      </c>
      <c r="V180" s="12">
        <f>VLOOKUP(Tabla43[[#This Row],[ZONA DEFINITIVO]],Hoja1!$A$1:$D$129,3,0)</f>
        <v>229959</v>
      </c>
      <c r="W180" s="12">
        <f>VLOOKUP(Tabla43[[#This Row],[ZONA DEFINITIVO]],Hoja1!$A$1:$D$129,2,0)</f>
        <v>18591</v>
      </c>
      <c r="X180" s="12">
        <f>VLOOKUP(Tabla43[[#This Row],[ZONA DEFINITIVO]],Hoja1!$A$1:$D$129,4,0)</f>
        <v>117425</v>
      </c>
      <c r="Y180" s="12" t="str">
        <f>+IF(Tabla43[[#This Row],[AGRUPACIONES]]=1,SUMIFS(Tabla43[UDS],Tabla43[ZONA DEFINITIVO],Tabla43[[#This Row],[ZONA DEFINITIVO]])," ")</f>
        <v xml:space="preserve"> </v>
      </c>
      <c r="Z180" s="12" t="str">
        <f>+IF(Tabla43[[#This Row],[AGRUPACIONES]]=1,SUMIFS(Tabla43[TOTAL COBERTURA],Tabla43[ZONA DEFINITIVO],Tabla43[[#This Row],[ZONA DEFINITIVO]])," ")</f>
        <v xml:space="preserve"> </v>
      </c>
      <c r="AA180" s="12"/>
      <c r="AB180" s="51">
        <v>40374747</v>
      </c>
      <c r="AC180" s="37">
        <v>0.02</v>
      </c>
      <c r="AD180" s="38">
        <f>Tabla43[[#This Row],[VALOR ATENCIÓN (7 MESES)]]*Tabla43[[#This Row],[% CONTRAPARTIDA]]</f>
        <v>807494.94000000006</v>
      </c>
      <c r="AE180" s="12"/>
      <c r="AF180" s="12">
        <f>COUNTIF($A$22:A180,A180)</f>
        <v>13</v>
      </c>
      <c r="AG180" s="51">
        <v>40374747</v>
      </c>
      <c r="AH180" s="38">
        <f>Tabla43[[#This Row],[VALOR CONTRAPARTIDA]]+Tabla43[[#This Row],[TOTAL APORTES ICBF]]</f>
        <v>41182241.939999998</v>
      </c>
      <c r="AI180" s="35" t="str">
        <f>+IF(Tabla43[[#This Row],[AGRUPACIONES]]=1,SUMIFS(Tabla43[TOTAL APORTES ICBF],Tabla43[ZONA DEFINITIVO],Tabla43[[#This Row],[ZONA DEFINITIVO]])," ")</f>
        <v xml:space="preserve"> </v>
      </c>
      <c r="AJ180" s="38"/>
      <c r="AK180" s="38"/>
      <c r="AL180" s="23"/>
      <c r="AM180" s="35">
        <f>VLOOKUP(Tabla43[[#This Row],[SERVICIO 2025]],$J$2:$V$16,5,0)*Tabla43[[#This Row],[TOTAL COBERTURA]]</f>
        <v>1036896</v>
      </c>
      <c r="AN180" s="35">
        <f>VLOOKUP(Tabla43[[#This Row],[SERVICIO 2025]],$J$2:$V$16,6,0)*Tabla43[[#This Row],[TOTAL COBERTURA]]</f>
        <v>861609</v>
      </c>
      <c r="AO180" s="35">
        <f>VLOOKUP(Tabla43[[#This Row],[SERVICIO 2025]],$J$2:$V$16,8,0)*Tabla43[[#This Row],[TOTAL COBERTURA]]</f>
        <v>611100</v>
      </c>
      <c r="AP180" s="35">
        <f>VLOOKUP(Tabla43[[#This Row],[SERVICIO 2025]],$J$2:$V$16,3,0)*Tabla43[[#This Row],[TOTAL COBERTURA]]*7</f>
        <v>37865142</v>
      </c>
      <c r="AQ180" s="35"/>
      <c r="AR18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40374747</v>
      </c>
      <c r="AS180" s="35" t="str">
        <f>+IF(Tabla43[[#This Row],[AGRUPACIONES]]=1,SUMIFS(Tabla43[VALOR TOTAL],Tabla43[ZONA DEFINITIVO],Tabla43[[#This Row],[ZONA DEFINITIVO]])," ")</f>
        <v xml:space="preserve"> </v>
      </c>
      <c r="AT18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7057302</v>
      </c>
      <c r="AU180" s="35">
        <f>VLOOKUP(Tabla43[[#This Row],[SERVICIO 2025]],$J$2:$V$16,3,0)*Tabla43[[#This Row],[TOTAL COBERTURA]]+Tabla43[[#This Row],[VALOR RACION PREPARADA]]/7</f>
        <v>5409306</v>
      </c>
      <c r="AV180" s="35">
        <f>VLOOKUP(Tabla43[[#This Row],[SERVICIO 2025]],$J$2:$V$16,3,0)*Tabla43[[#This Row],[TOTAL COBERTURA]]+Tabla43[[#This Row],[VALOR RACION PREPARADA]]/7</f>
        <v>5409306</v>
      </c>
      <c r="AW180" s="35">
        <f>VLOOKUP(Tabla43[[#This Row],[SERVICIO 2025]],$J$2:$V$16,3,0)*Tabla43[[#This Row],[TOTAL COBERTURA]]+Tabla43[[#This Row],[VALOR RACION PREPARADA]]/7</f>
        <v>5409306</v>
      </c>
      <c r="AX180" s="35">
        <f>VLOOKUP(Tabla43[[#This Row],[SERVICIO 2025]],$J$2:$V$16,3,0)*Tabla43[[#This Row],[TOTAL COBERTURA]]+Tabla43[[#This Row],[VALOR RACION PREPARADA]]/7</f>
        <v>5409306</v>
      </c>
      <c r="AY180" s="35">
        <f>VLOOKUP(Tabla43[[#This Row],[SERVICIO 2025]],$J$2:$V$16,3,0)*Tabla43[[#This Row],[TOTAL COBERTURA]]+Tabla43[[#This Row],[VALOR RACION PREPARADA]]/7</f>
        <v>5409306</v>
      </c>
      <c r="AZ180" s="35">
        <f>VLOOKUP(Tabla43[[#This Row],[SERVICIO 2025]],$J$2:$V$16,3,0)*Tabla43[[#This Row],[TOTAL COBERTURA]]+Tabla43[[#This Row],[VALOR RACION PREPARADA]]/7+Tabla43[[#This Row],[VALOR FASE PREPARATORIA DE CIERRE]]</f>
        <v>6270915</v>
      </c>
      <c r="BA180" s="35"/>
      <c r="BB180" s="35">
        <f>SUM(Tabla43[[#This Row],[DESEMBOLSO 1]:[DESEMBOLSO 8]])</f>
        <v>40374747</v>
      </c>
      <c r="BC180" s="55">
        <f>VLOOKUP(Tabla43[[#This Row],[SERVICIO 2025]],$J$2:$V$16,10,0)*Tabla43[[#This Row],[TOTAL COBERTURA]]*$W$3</f>
        <v>30304344</v>
      </c>
      <c r="BD180" s="47" t="s">
        <v>211</v>
      </c>
      <c r="BE180" s="12" t="b">
        <f>EXACT(Tabla43[[#This Row],[TOTAL APORTES ICBF]],Tabla43[[#This Row],[VALOR TOTAL]])</f>
        <v>1</v>
      </c>
      <c r="BF180" s="23">
        <f>SUM(Tabla43[[#This Row],[VALOR FASE PREPARATORIA DE ALISTAMIENTO]:[VALOR RACION PREPARADA]])-Tabla43[[#This Row],[VALOR TOTAL]]</f>
        <v>0</v>
      </c>
      <c r="BG180" s="12" t="b">
        <f>EXACT(Tabla43[[#This Row],[VALOR TOTAL]],Tabla43[[#This Row],[TOTAL DESEMBOLSOS]])</f>
        <v>1</v>
      </c>
      <c r="BH180" s="29">
        <f>Tabla43[[#This Row],[TOTAL DESEMBOLSOS]]-Tabla43[[#This Row],[VALOR TOTAL]]</f>
        <v>0</v>
      </c>
      <c r="BJ180" t="s">
        <v>3924</v>
      </c>
    </row>
    <row r="181" spans="1:62" hidden="1">
      <c r="A181" s="13">
        <v>1974</v>
      </c>
      <c r="B181" s="13"/>
      <c r="C181" s="12" t="s">
        <v>87</v>
      </c>
      <c r="D181" s="12" t="s">
        <v>462</v>
      </c>
      <c r="E181" s="12" t="s">
        <v>4151</v>
      </c>
      <c r="F181" s="12" t="s">
        <v>18</v>
      </c>
      <c r="G181" s="12" t="s">
        <v>90</v>
      </c>
      <c r="H181" s="12" t="s">
        <v>4198</v>
      </c>
      <c r="I181" s="12">
        <v>54901136502</v>
      </c>
      <c r="J181" s="12" t="s">
        <v>4198</v>
      </c>
      <c r="K181" s="12">
        <v>1</v>
      </c>
      <c r="L181" s="12">
        <v>16</v>
      </c>
      <c r="M181" s="12"/>
      <c r="N181" s="13">
        <v>1974</v>
      </c>
      <c r="O181" s="12" t="s">
        <v>93</v>
      </c>
      <c r="P181" s="12"/>
      <c r="Q181" s="12"/>
      <c r="R181" s="12" t="s">
        <v>94</v>
      </c>
      <c r="S181" s="12">
        <v>10</v>
      </c>
      <c r="T181" s="12" t="s">
        <v>4176</v>
      </c>
      <c r="U181" s="12" t="s">
        <v>4177</v>
      </c>
      <c r="V181" s="12">
        <f>VLOOKUP(Tabla43[[#This Row],[ZONA DEFINITIVO]],Hoja1!$A$1:$D$129,3,0)</f>
        <v>229959</v>
      </c>
      <c r="W181" s="12">
        <f>VLOOKUP(Tabla43[[#This Row],[ZONA DEFINITIVO]],Hoja1!$A$1:$D$129,2,0)</f>
        <v>18591</v>
      </c>
      <c r="X181" s="12">
        <f>VLOOKUP(Tabla43[[#This Row],[ZONA DEFINITIVO]],Hoja1!$A$1:$D$129,4,0)</f>
        <v>117425</v>
      </c>
      <c r="Y181" s="12" t="str">
        <f>+IF(Tabla43[[#This Row],[AGRUPACIONES]]=1,SUMIFS(Tabla43[UDS],Tabla43[ZONA DEFINITIVO],Tabla43[[#This Row],[ZONA DEFINITIVO]])," ")</f>
        <v xml:space="preserve"> </v>
      </c>
      <c r="Z181" s="12" t="str">
        <f>+IF(Tabla43[[#This Row],[AGRUPACIONES]]=1,SUMIFS(Tabla43[TOTAL COBERTURA],Tabla43[ZONA DEFINITIVO],Tabla43[[#This Row],[ZONA DEFINITIVO]])," ")</f>
        <v xml:space="preserve"> </v>
      </c>
      <c r="AA181" s="12"/>
      <c r="AB181" s="51">
        <v>30761712</v>
      </c>
      <c r="AC181" s="37">
        <v>0.02</v>
      </c>
      <c r="AD181" s="38">
        <f>Tabla43[[#This Row],[VALOR ATENCIÓN (7 MESES)]]*Tabla43[[#This Row],[% CONTRAPARTIDA]]</f>
        <v>615234.24</v>
      </c>
      <c r="AE181" s="12"/>
      <c r="AF181" s="12">
        <f>COUNTIF($A$22:A181,A181)</f>
        <v>14</v>
      </c>
      <c r="AG181" s="51">
        <v>30761712</v>
      </c>
      <c r="AH181" s="38">
        <f>Tabla43[[#This Row],[VALOR CONTRAPARTIDA]]+Tabla43[[#This Row],[TOTAL APORTES ICBF]]</f>
        <v>31376946.239999998</v>
      </c>
      <c r="AI181" s="35" t="str">
        <f>+IF(Tabla43[[#This Row],[AGRUPACIONES]]=1,SUMIFS(Tabla43[TOTAL APORTES ICBF],Tabla43[ZONA DEFINITIVO],Tabla43[[#This Row],[ZONA DEFINITIVO]])," ")</f>
        <v xml:space="preserve"> </v>
      </c>
      <c r="AJ181" s="38"/>
      <c r="AK181" s="38"/>
      <c r="AL181" s="23"/>
      <c r="AM181" s="35">
        <f>VLOOKUP(Tabla43[[#This Row],[SERVICIO 2025]],$J$2:$V$16,5,0)*Tabla43[[#This Row],[TOTAL COBERTURA]]</f>
        <v>790016</v>
      </c>
      <c r="AN181" s="35">
        <f>VLOOKUP(Tabla43[[#This Row],[SERVICIO 2025]],$J$2:$V$16,6,0)*Tabla43[[#This Row],[TOTAL COBERTURA]]</f>
        <v>656464</v>
      </c>
      <c r="AO181" s="35">
        <f>VLOOKUP(Tabla43[[#This Row],[SERVICIO 2025]],$J$2:$V$16,8,0)*Tabla43[[#This Row],[TOTAL COBERTURA]]</f>
        <v>465600</v>
      </c>
      <c r="AP181" s="35">
        <f>VLOOKUP(Tabla43[[#This Row],[SERVICIO 2025]],$J$2:$V$16,3,0)*Tabla43[[#This Row],[TOTAL COBERTURA]]*7</f>
        <v>28849632</v>
      </c>
      <c r="AQ181" s="35"/>
      <c r="AR18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181" s="35" t="str">
        <f>+IF(Tabla43[[#This Row],[AGRUPACIONES]]=1,SUMIFS(Tabla43[VALOR TOTAL],Tabla43[ZONA DEFINITIVO],Tabla43[[#This Row],[ZONA DEFINITIVO]])," ")</f>
        <v xml:space="preserve"> </v>
      </c>
      <c r="AT18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181" s="35">
        <f>VLOOKUP(Tabla43[[#This Row],[SERVICIO 2025]],$J$2:$V$16,3,0)*Tabla43[[#This Row],[TOTAL COBERTURA]]+Tabla43[[#This Row],[VALOR RACION PREPARADA]]/7</f>
        <v>4121376</v>
      </c>
      <c r="AV181" s="35">
        <f>VLOOKUP(Tabla43[[#This Row],[SERVICIO 2025]],$J$2:$V$16,3,0)*Tabla43[[#This Row],[TOTAL COBERTURA]]+Tabla43[[#This Row],[VALOR RACION PREPARADA]]/7</f>
        <v>4121376</v>
      </c>
      <c r="AW181" s="35">
        <f>VLOOKUP(Tabla43[[#This Row],[SERVICIO 2025]],$J$2:$V$16,3,0)*Tabla43[[#This Row],[TOTAL COBERTURA]]+Tabla43[[#This Row],[VALOR RACION PREPARADA]]/7</f>
        <v>4121376</v>
      </c>
      <c r="AX181" s="35">
        <f>VLOOKUP(Tabla43[[#This Row],[SERVICIO 2025]],$J$2:$V$16,3,0)*Tabla43[[#This Row],[TOTAL COBERTURA]]+Tabla43[[#This Row],[VALOR RACION PREPARADA]]/7</f>
        <v>4121376</v>
      </c>
      <c r="AY181" s="35">
        <f>VLOOKUP(Tabla43[[#This Row],[SERVICIO 2025]],$J$2:$V$16,3,0)*Tabla43[[#This Row],[TOTAL COBERTURA]]+Tabla43[[#This Row],[VALOR RACION PREPARADA]]/7</f>
        <v>4121376</v>
      </c>
      <c r="AZ181" s="35">
        <f>VLOOKUP(Tabla43[[#This Row],[SERVICIO 2025]],$J$2:$V$16,3,0)*Tabla43[[#This Row],[TOTAL COBERTURA]]+Tabla43[[#This Row],[VALOR RACION PREPARADA]]/7+Tabla43[[#This Row],[VALOR FASE PREPARATORIA DE CIERRE]]</f>
        <v>4777840</v>
      </c>
      <c r="BA181" s="35"/>
      <c r="BB181" s="35">
        <f>SUM(Tabla43[[#This Row],[DESEMBOLSO 1]:[DESEMBOLSO 8]])</f>
        <v>30761712</v>
      </c>
      <c r="BC181" s="55">
        <f>VLOOKUP(Tabla43[[#This Row],[SERVICIO 2025]],$J$2:$V$16,10,0)*Tabla43[[#This Row],[TOTAL COBERTURA]]*$W$3</f>
        <v>23089024</v>
      </c>
      <c r="BD181" s="47" t="s">
        <v>211</v>
      </c>
      <c r="BE181" s="12" t="b">
        <f>EXACT(Tabla43[[#This Row],[TOTAL APORTES ICBF]],Tabla43[[#This Row],[VALOR TOTAL]])</f>
        <v>1</v>
      </c>
      <c r="BF181" s="23">
        <f>SUM(Tabla43[[#This Row],[VALOR FASE PREPARATORIA DE ALISTAMIENTO]:[VALOR RACION PREPARADA]])-Tabla43[[#This Row],[VALOR TOTAL]]</f>
        <v>0</v>
      </c>
      <c r="BG181" s="12" t="b">
        <f>EXACT(Tabla43[[#This Row],[VALOR TOTAL]],Tabla43[[#This Row],[TOTAL DESEMBOLSOS]])</f>
        <v>1</v>
      </c>
      <c r="BH181" s="29">
        <f>Tabla43[[#This Row],[TOTAL DESEMBOLSOS]]-Tabla43[[#This Row],[VALOR TOTAL]]</f>
        <v>0</v>
      </c>
      <c r="BJ181" t="s">
        <v>3924</v>
      </c>
    </row>
    <row r="182" spans="1:62" hidden="1">
      <c r="A182" s="13">
        <v>1974</v>
      </c>
      <c r="B182" s="13"/>
      <c r="C182" s="12" t="s">
        <v>87</v>
      </c>
      <c r="D182" s="12" t="s">
        <v>462</v>
      </c>
      <c r="E182" s="12" t="s">
        <v>4151</v>
      </c>
      <c r="F182" s="12" t="s">
        <v>18</v>
      </c>
      <c r="G182" s="12" t="s">
        <v>90</v>
      </c>
      <c r="H182" s="12" t="s">
        <v>2262</v>
      </c>
      <c r="I182" s="12">
        <v>54901136506</v>
      </c>
      <c r="J182" s="12" t="s">
        <v>2262</v>
      </c>
      <c r="K182" s="12">
        <v>1</v>
      </c>
      <c r="L182" s="12">
        <v>16</v>
      </c>
      <c r="M182" s="12"/>
      <c r="N182" s="13">
        <v>1974</v>
      </c>
      <c r="O182" s="12" t="s">
        <v>93</v>
      </c>
      <c r="P182" s="12"/>
      <c r="Q182" s="12"/>
      <c r="R182" s="12" t="s">
        <v>94</v>
      </c>
      <c r="S182" s="12">
        <v>10</v>
      </c>
      <c r="T182" s="12" t="s">
        <v>4176</v>
      </c>
      <c r="U182" s="12" t="s">
        <v>4177</v>
      </c>
      <c r="V182" s="12">
        <f>VLOOKUP(Tabla43[[#This Row],[ZONA DEFINITIVO]],Hoja1!$A$1:$D$129,3,0)</f>
        <v>229959</v>
      </c>
      <c r="W182" s="12">
        <f>VLOOKUP(Tabla43[[#This Row],[ZONA DEFINITIVO]],Hoja1!$A$1:$D$129,2,0)</f>
        <v>18591</v>
      </c>
      <c r="X182" s="12">
        <f>VLOOKUP(Tabla43[[#This Row],[ZONA DEFINITIVO]],Hoja1!$A$1:$D$129,4,0)</f>
        <v>117425</v>
      </c>
      <c r="Y182" s="12" t="str">
        <f>+IF(Tabla43[[#This Row],[AGRUPACIONES]]=1,SUMIFS(Tabla43[UDS],Tabla43[ZONA DEFINITIVO],Tabla43[[#This Row],[ZONA DEFINITIVO]])," ")</f>
        <v xml:space="preserve"> </v>
      </c>
      <c r="Z182" s="12" t="str">
        <f>+IF(Tabla43[[#This Row],[AGRUPACIONES]]=1,SUMIFS(Tabla43[TOTAL COBERTURA],Tabla43[ZONA DEFINITIVO],Tabla43[[#This Row],[ZONA DEFINITIVO]])," ")</f>
        <v xml:space="preserve"> </v>
      </c>
      <c r="AA182" s="12"/>
      <c r="AB182" s="51">
        <v>30761712</v>
      </c>
      <c r="AC182" s="37">
        <v>0.02</v>
      </c>
      <c r="AD182" s="38">
        <f>Tabla43[[#This Row],[VALOR ATENCIÓN (7 MESES)]]*Tabla43[[#This Row],[% CONTRAPARTIDA]]</f>
        <v>615234.24</v>
      </c>
      <c r="AE182" s="12"/>
      <c r="AF182" s="12">
        <f>COUNTIF($A$22:A182,A182)</f>
        <v>15</v>
      </c>
      <c r="AG182" s="51">
        <v>30761712</v>
      </c>
      <c r="AH182" s="38">
        <f>Tabla43[[#This Row],[VALOR CONTRAPARTIDA]]+Tabla43[[#This Row],[TOTAL APORTES ICBF]]</f>
        <v>31376946.239999998</v>
      </c>
      <c r="AI182" s="35" t="str">
        <f>+IF(Tabla43[[#This Row],[AGRUPACIONES]]=1,SUMIFS(Tabla43[TOTAL APORTES ICBF],Tabla43[ZONA DEFINITIVO],Tabla43[[#This Row],[ZONA DEFINITIVO]])," ")</f>
        <v xml:space="preserve"> </v>
      </c>
      <c r="AJ182" s="38"/>
      <c r="AK182" s="38"/>
      <c r="AL182" s="23"/>
      <c r="AM182" s="35">
        <f>VLOOKUP(Tabla43[[#This Row],[SERVICIO 2025]],$J$2:$V$16,5,0)*Tabla43[[#This Row],[TOTAL COBERTURA]]</f>
        <v>790016</v>
      </c>
      <c r="AN182" s="35">
        <f>VLOOKUP(Tabla43[[#This Row],[SERVICIO 2025]],$J$2:$V$16,6,0)*Tabla43[[#This Row],[TOTAL COBERTURA]]</f>
        <v>656464</v>
      </c>
      <c r="AO182" s="35">
        <f>VLOOKUP(Tabla43[[#This Row],[SERVICIO 2025]],$J$2:$V$16,8,0)*Tabla43[[#This Row],[TOTAL COBERTURA]]</f>
        <v>465600</v>
      </c>
      <c r="AP182" s="35">
        <f>VLOOKUP(Tabla43[[#This Row],[SERVICIO 2025]],$J$2:$V$16,3,0)*Tabla43[[#This Row],[TOTAL COBERTURA]]*7</f>
        <v>28849632</v>
      </c>
      <c r="AQ182" s="35"/>
      <c r="AR18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182" s="35" t="str">
        <f>+IF(Tabla43[[#This Row],[AGRUPACIONES]]=1,SUMIFS(Tabla43[VALOR TOTAL],Tabla43[ZONA DEFINITIVO],Tabla43[[#This Row],[ZONA DEFINITIVO]])," ")</f>
        <v xml:space="preserve"> </v>
      </c>
      <c r="AT18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182" s="35">
        <f>VLOOKUP(Tabla43[[#This Row],[SERVICIO 2025]],$J$2:$V$16,3,0)*Tabla43[[#This Row],[TOTAL COBERTURA]]+Tabla43[[#This Row],[VALOR RACION PREPARADA]]/7</f>
        <v>4121376</v>
      </c>
      <c r="AV182" s="35">
        <f>VLOOKUP(Tabla43[[#This Row],[SERVICIO 2025]],$J$2:$V$16,3,0)*Tabla43[[#This Row],[TOTAL COBERTURA]]+Tabla43[[#This Row],[VALOR RACION PREPARADA]]/7</f>
        <v>4121376</v>
      </c>
      <c r="AW182" s="35">
        <f>VLOOKUP(Tabla43[[#This Row],[SERVICIO 2025]],$J$2:$V$16,3,0)*Tabla43[[#This Row],[TOTAL COBERTURA]]+Tabla43[[#This Row],[VALOR RACION PREPARADA]]/7</f>
        <v>4121376</v>
      </c>
      <c r="AX182" s="35">
        <f>VLOOKUP(Tabla43[[#This Row],[SERVICIO 2025]],$J$2:$V$16,3,0)*Tabla43[[#This Row],[TOTAL COBERTURA]]+Tabla43[[#This Row],[VALOR RACION PREPARADA]]/7</f>
        <v>4121376</v>
      </c>
      <c r="AY182" s="35">
        <f>VLOOKUP(Tabla43[[#This Row],[SERVICIO 2025]],$J$2:$V$16,3,0)*Tabla43[[#This Row],[TOTAL COBERTURA]]+Tabla43[[#This Row],[VALOR RACION PREPARADA]]/7</f>
        <v>4121376</v>
      </c>
      <c r="AZ182" s="35">
        <f>VLOOKUP(Tabla43[[#This Row],[SERVICIO 2025]],$J$2:$V$16,3,0)*Tabla43[[#This Row],[TOTAL COBERTURA]]+Tabla43[[#This Row],[VALOR RACION PREPARADA]]/7+Tabla43[[#This Row],[VALOR FASE PREPARATORIA DE CIERRE]]</f>
        <v>4777840</v>
      </c>
      <c r="BA182" s="35"/>
      <c r="BB182" s="35">
        <f>SUM(Tabla43[[#This Row],[DESEMBOLSO 1]:[DESEMBOLSO 8]])</f>
        <v>30761712</v>
      </c>
      <c r="BC182" s="55">
        <f>VLOOKUP(Tabla43[[#This Row],[SERVICIO 2025]],$J$2:$V$16,10,0)*Tabla43[[#This Row],[TOTAL COBERTURA]]*$W$3</f>
        <v>23089024</v>
      </c>
      <c r="BD182" s="47" t="s">
        <v>211</v>
      </c>
      <c r="BE182" s="12" t="b">
        <f>EXACT(Tabla43[[#This Row],[TOTAL APORTES ICBF]],Tabla43[[#This Row],[VALOR TOTAL]])</f>
        <v>1</v>
      </c>
      <c r="BF182" s="23">
        <f>SUM(Tabla43[[#This Row],[VALOR FASE PREPARATORIA DE ALISTAMIENTO]:[VALOR RACION PREPARADA]])-Tabla43[[#This Row],[VALOR TOTAL]]</f>
        <v>0</v>
      </c>
      <c r="BG182" s="12" t="b">
        <f>EXACT(Tabla43[[#This Row],[VALOR TOTAL]],Tabla43[[#This Row],[TOTAL DESEMBOLSOS]])</f>
        <v>1</v>
      </c>
      <c r="BH182" s="29">
        <f>Tabla43[[#This Row],[TOTAL DESEMBOLSOS]]-Tabla43[[#This Row],[VALOR TOTAL]]</f>
        <v>0</v>
      </c>
      <c r="BJ182" t="s">
        <v>3924</v>
      </c>
    </row>
    <row r="183" spans="1:62" hidden="1">
      <c r="A183" s="13">
        <v>1974</v>
      </c>
      <c r="B183" s="13"/>
      <c r="C183" s="12" t="s">
        <v>87</v>
      </c>
      <c r="D183" s="12" t="s">
        <v>462</v>
      </c>
      <c r="E183" s="12" t="s">
        <v>4151</v>
      </c>
      <c r="F183" s="12" t="s">
        <v>18</v>
      </c>
      <c r="G183" s="12" t="s">
        <v>90</v>
      </c>
      <c r="H183" s="12" t="s">
        <v>4199</v>
      </c>
      <c r="I183" s="12">
        <v>54901136510</v>
      </c>
      <c r="J183" s="12" t="s">
        <v>4200</v>
      </c>
      <c r="K183" s="12">
        <v>1</v>
      </c>
      <c r="L183" s="12">
        <v>17</v>
      </c>
      <c r="M183" s="12"/>
      <c r="N183" s="13">
        <v>1974</v>
      </c>
      <c r="O183" s="12" t="s">
        <v>93</v>
      </c>
      <c r="P183" s="12"/>
      <c r="Q183" s="12"/>
      <c r="R183" s="12" t="s">
        <v>94</v>
      </c>
      <c r="S183" s="12">
        <v>10</v>
      </c>
      <c r="T183" s="12" t="s">
        <v>4176</v>
      </c>
      <c r="U183" s="12" t="s">
        <v>4177</v>
      </c>
      <c r="V183" s="12">
        <f>VLOOKUP(Tabla43[[#This Row],[ZONA DEFINITIVO]],Hoja1!$A$1:$D$129,3,0)</f>
        <v>229959</v>
      </c>
      <c r="W183" s="12">
        <f>VLOOKUP(Tabla43[[#This Row],[ZONA DEFINITIVO]],Hoja1!$A$1:$D$129,2,0)</f>
        <v>18591</v>
      </c>
      <c r="X183" s="12">
        <f>VLOOKUP(Tabla43[[#This Row],[ZONA DEFINITIVO]],Hoja1!$A$1:$D$129,4,0)</f>
        <v>117425</v>
      </c>
      <c r="Y183" s="12" t="str">
        <f>+IF(Tabla43[[#This Row],[AGRUPACIONES]]=1,SUMIFS(Tabla43[UDS],Tabla43[ZONA DEFINITIVO],Tabla43[[#This Row],[ZONA DEFINITIVO]])," ")</f>
        <v xml:space="preserve"> </v>
      </c>
      <c r="Z183" s="12" t="str">
        <f>+IF(Tabla43[[#This Row],[AGRUPACIONES]]=1,SUMIFS(Tabla43[TOTAL COBERTURA],Tabla43[ZONA DEFINITIVO],Tabla43[[#This Row],[ZONA DEFINITIVO]])," ")</f>
        <v xml:space="preserve"> </v>
      </c>
      <c r="AA183" s="12"/>
      <c r="AB183" s="51">
        <v>32684319</v>
      </c>
      <c r="AC183" s="37">
        <v>0.02</v>
      </c>
      <c r="AD183" s="38">
        <f>Tabla43[[#This Row],[VALOR ATENCIÓN (7 MESES)]]*Tabla43[[#This Row],[% CONTRAPARTIDA]]</f>
        <v>653686.38</v>
      </c>
      <c r="AE183" s="12"/>
      <c r="AF183" s="12">
        <f>COUNTIF($A$22:A183,A183)</f>
        <v>16</v>
      </c>
      <c r="AG183" s="51">
        <v>32684319</v>
      </c>
      <c r="AH183" s="38">
        <f>Tabla43[[#This Row],[VALOR CONTRAPARTIDA]]+Tabla43[[#This Row],[TOTAL APORTES ICBF]]</f>
        <v>33338005.379999999</v>
      </c>
      <c r="AI183" s="35" t="str">
        <f>+IF(Tabla43[[#This Row],[AGRUPACIONES]]=1,SUMIFS(Tabla43[TOTAL APORTES ICBF],Tabla43[ZONA DEFINITIVO],Tabla43[[#This Row],[ZONA DEFINITIVO]])," ")</f>
        <v xml:space="preserve"> </v>
      </c>
      <c r="AJ183" s="38"/>
      <c r="AK183" s="38"/>
      <c r="AL183" s="23"/>
      <c r="AM183" s="35">
        <f>VLOOKUP(Tabla43[[#This Row],[SERVICIO 2025]],$J$2:$V$16,5,0)*Tabla43[[#This Row],[TOTAL COBERTURA]]</f>
        <v>839392</v>
      </c>
      <c r="AN183" s="35">
        <f>VLOOKUP(Tabla43[[#This Row],[SERVICIO 2025]],$J$2:$V$16,6,0)*Tabla43[[#This Row],[TOTAL COBERTURA]]</f>
        <v>697493</v>
      </c>
      <c r="AO183" s="35">
        <f>VLOOKUP(Tabla43[[#This Row],[SERVICIO 2025]],$J$2:$V$16,8,0)*Tabla43[[#This Row],[TOTAL COBERTURA]]</f>
        <v>494700</v>
      </c>
      <c r="AP183" s="35">
        <f>VLOOKUP(Tabla43[[#This Row],[SERVICIO 2025]],$J$2:$V$16,3,0)*Tabla43[[#This Row],[TOTAL COBERTURA]]*7</f>
        <v>30652734</v>
      </c>
      <c r="AQ183" s="35"/>
      <c r="AR18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32684319</v>
      </c>
      <c r="AS183" s="35" t="str">
        <f>+IF(Tabla43[[#This Row],[AGRUPACIONES]]=1,SUMIFS(Tabla43[VALOR TOTAL],Tabla43[ZONA DEFINITIVO],Tabla43[[#This Row],[ZONA DEFINITIVO]])," ")</f>
        <v xml:space="preserve"> </v>
      </c>
      <c r="AT18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5713054</v>
      </c>
      <c r="AU183" s="35">
        <f>VLOOKUP(Tabla43[[#This Row],[SERVICIO 2025]],$J$2:$V$16,3,0)*Tabla43[[#This Row],[TOTAL COBERTURA]]+Tabla43[[#This Row],[VALOR RACION PREPARADA]]/7</f>
        <v>4378962</v>
      </c>
      <c r="AV183" s="35">
        <f>VLOOKUP(Tabla43[[#This Row],[SERVICIO 2025]],$J$2:$V$16,3,0)*Tabla43[[#This Row],[TOTAL COBERTURA]]+Tabla43[[#This Row],[VALOR RACION PREPARADA]]/7</f>
        <v>4378962</v>
      </c>
      <c r="AW183" s="35">
        <f>VLOOKUP(Tabla43[[#This Row],[SERVICIO 2025]],$J$2:$V$16,3,0)*Tabla43[[#This Row],[TOTAL COBERTURA]]+Tabla43[[#This Row],[VALOR RACION PREPARADA]]/7</f>
        <v>4378962</v>
      </c>
      <c r="AX183" s="35">
        <f>VLOOKUP(Tabla43[[#This Row],[SERVICIO 2025]],$J$2:$V$16,3,0)*Tabla43[[#This Row],[TOTAL COBERTURA]]+Tabla43[[#This Row],[VALOR RACION PREPARADA]]/7</f>
        <v>4378962</v>
      </c>
      <c r="AY183" s="35">
        <f>VLOOKUP(Tabla43[[#This Row],[SERVICIO 2025]],$J$2:$V$16,3,0)*Tabla43[[#This Row],[TOTAL COBERTURA]]+Tabla43[[#This Row],[VALOR RACION PREPARADA]]/7</f>
        <v>4378962</v>
      </c>
      <c r="AZ183" s="35">
        <f>VLOOKUP(Tabla43[[#This Row],[SERVICIO 2025]],$J$2:$V$16,3,0)*Tabla43[[#This Row],[TOTAL COBERTURA]]+Tabla43[[#This Row],[VALOR RACION PREPARADA]]/7+Tabla43[[#This Row],[VALOR FASE PREPARATORIA DE CIERRE]]</f>
        <v>5076455</v>
      </c>
      <c r="BA183" s="35"/>
      <c r="BB183" s="35">
        <f>SUM(Tabla43[[#This Row],[DESEMBOLSO 1]:[DESEMBOLSO 8]])</f>
        <v>32684319</v>
      </c>
      <c r="BC183" s="55">
        <f>VLOOKUP(Tabla43[[#This Row],[SERVICIO 2025]],$J$2:$V$16,10,0)*Tabla43[[#This Row],[TOTAL COBERTURA]]*$W$3</f>
        <v>24532088</v>
      </c>
      <c r="BD183" s="47" t="s">
        <v>211</v>
      </c>
      <c r="BE183" s="12" t="b">
        <f>EXACT(Tabla43[[#This Row],[TOTAL APORTES ICBF]],Tabla43[[#This Row],[VALOR TOTAL]])</f>
        <v>1</v>
      </c>
      <c r="BF183" s="23">
        <f>SUM(Tabla43[[#This Row],[VALOR FASE PREPARATORIA DE ALISTAMIENTO]:[VALOR RACION PREPARADA]])-Tabla43[[#This Row],[VALOR TOTAL]]</f>
        <v>0</v>
      </c>
      <c r="BG183" s="12" t="b">
        <f>EXACT(Tabla43[[#This Row],[VALOR TOTAL]],Tabla43[[#This Row],[TOTAL DESEMBOLSOS]])</f>
        <v>1</v>
      </c>
      <c r="BH183" s="29">
        <f>Tabla43[[#This Row],[TOTAL DESEMBOLSOS]]-Tabla43[[#This Row],[VALOR TOTAL]]</f>
        <v>0</v>
      </c>
      <c r="BJ183" t="s">
        <v>3924</v>
      </c>
    </row>
    <row r="184" spans="1:62" hidden="1">
      <c r="A184" s="13">
        <v>1974</v>
      </c>
      <c r="B184" s="13"/>
      <c r="C184" s="12" t="s">
        <v>87</v>
      </c>
      <c r="D184" s="12" t="s">
        <v>462</v>
      </c>
      <c r="E184" s="12" t="s">
        <v>4151</v>
      </c>
      <c r="F184" s="12" t="s">
        <v>18</v>
      </c>
      <c r="G184" s="12" t="s">
        <v>90</v>
      </c>
      <c r="H184" s="12" t="s">
        <v>4201</v>
      </c>
      <c r="I184" s="12">
        <v>54901136642</v>
      </c>
      <c r="J184" s="12" t="s">
        <v>4202</v>
      </c>
      <c r="K184" s="12">
        <v>1</v>
      </c>
      <c r="L184" s="12">
        <v>18</v>
      </c>
      <c r="M184" s="12"/>
      <c r="N184" s="13">
        <v>1974</v>
      </c>
      <c r="O184" s="12" t="s">
        <v>93</v>
      </c>
      <c r="P184" s="12"/>
      <c r="Q184" s="12"/>
      <c r="R184" s="12" t="s">
        <v>94</v>
      </c>
      <c r="S184" s="12">
        <v>10</v>
      </c>
      <c r="T184" s="12" t="s">
        <v>4176</v>
      </c>
      <c r="U184" s="12" t="s">
        <v>4177</v>
      </c>
      <c r="V184" s="12">
        <f>VLOOKUP(Tabla43[[#This Row],[ZONA DEFINITIVO]],Hoja1!$A$1:$D$129,3,0)</f>
        <v>229959</v>
      </c>
      <c r="W184" s="12">
        <f>VLOOKUP(Tabla43[[#This Row],[ZONA DEFINITIVO]],Hoja1!$A$1:$D$129,2,0)</f>
        <v>18591</v>
      </c>
      <c r="X184" s="12">
        <f>VLOOKUP(Tabla43[[#This Row],[ZONA DEFINITIVO]],Hoja1!$A$1:$D$129,4,0)</f>
        <v>117425</v>
      </c>
      <c r="Y184" s="12" t="str">
        <f>+IF(Tabla43[[#This Row],[AGRUPACIONES]]=1,SUMIFS(Tabla43[UDS],Tabla43[ZONA DEFINITIVO],Tabla43[[#This Row],[ZONA DEFINITIVO]])," ")</f>
        <v xml:space="preserve"> </v>
      </c>
      <c r="Z184" s="12" t="str">
        <f>+IF(Tabla43[[#This Row],[AGRUPACIONES]]=1,SUMIFS(Tabla43[TOTAL COBERTURA],Tabla43[ZONA DEFINITIVO],Tabla43[[#This Row],[ZONA DEFINITIVO]])," ")</f>
        <v xml:space="preserve"> </v>
      </c>
      <c r="AA184" s="12"/>
      <c r="AB184" s="51">
        <v>34606926</v>
      </c>
      <c r="AC184" s="37">
        <v>0.02</v>
      </c>
      <c r="AD184" s="38">
        <f>Tabla43[[#This Row],[VALOR ATENCIÓN (7 MESES)]]*Tabla43[[#This Row],[% CONTRAPARTIDA]]</f>
        <v>692138.52</v>
      </c>
      <c r="AE184" s="12"/>
      <c r="AF184" s="12">
        <f>COUNTIF($A$22:A184,A184)</f>
        <v>17</v>
      </c>
      <c r="AG184" s="51">
        <v>34606926</v>
      </c>
      <c r="AH184" s="38">
        <f>Tabla43[[#This Row],[VALOR CONTRAPARTIDA]]+Tabla43[[#This Row],[TOTAL APORTES ICBF]]</f>
        <v>35299064.520000003</v>
      </c>
      <c r="AI184" s="35" t="str">
        <f>+IF(Tabla43[[#This Row],[AGRUPACIONES]]=1,SUMIFS(Tabla43[TOTAL APORTES ICBF],Tabla43[ZONA DEFINITIVO],Tabla43[[#This Row],[ZONA DEFINITIVO]])," ")</f>
        <v xml:space="preserve"> </v>
      </c>
      <c r="AJ184" s="38"/>
      <c r="AK184" s="38"/>
      <c r="AL184" s="23"/>
      <c r="AM184" s="35">
        <f>VLOOKUP(Tabla43[[#This Row],[SERVICIO 2025]],$J$2:$V$16,5,0)*Tabla43[[#This Row],[TOTAL COBERTURA]]</f>
        <v>888768</v>
      </c>
      <c r="AN184" s="35">
        <f>VLOOKUP(Tabla43[[#This Row],[SERVICIO 2025]],$J$2:$V$16,6,0)*Tabla43[[#This Row],[TOTAL COBERTURA]]</f>
        <v>738522</v>
      </c>
      <c r="AO184" s="35">
        <f>VLOOKUP(Tabla43[[#This Row],[SERVICIO 2025]],$J$2:$V$16,8,0)*Tabla43[[#This Row],[TOTAL COBERTURA]]</f>
        <v>523800</v>
      </c>
      <c r="AP184" s="35">
        <f>VLOOKUP(Tabla43[[#This Row],[SERVICIO 2025]],$J$2:$V$16,3,0)*Tabla43[[#This Row],[TOTAL COBERTURA]]*7</f>
        <v>32455836</v>
      </c>
      <c r="AQ184" s="35"/>
      <c r="AR18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34606926</v>
      </c>
      <c r="AS184" s="35" t="str">
        <f>+IF(Tabla43[[#This Row],[AGRUPACIONES]]=1,SUMIFS(Tabla43[VALOR TOTAL],Tabla43[ZONA DEFINITIVO],Tabla43[[#This Row],[ZONA DEFINITIVO]])," ")</f>
        <v xml:space="preserve"> </v>
      </c>
      <c r="AT18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6049116</v>
      </c>
      <c r="AU184" s="35">
        <f>VLOOKUP(Tabla43[[#This Row],[SERVICIO 2025]],$J$2:$V$16,3,0)*Tabla43[[#This Row],[TOTAL COBERTURA]]+Tabla43[[#This Row],[VALOR RACION PREPARADA]]/7</f>
        <v>4636548</v>
      </c>
      <c r="AV184" s="35">
        <f>VLOOKUP(Tabla43[[#This Row],[SERVICIO 2025]],$J$2:$V$16,3,0)*Tabla43[[#This Row],[TOTAL COBERTURA]]+Tabla43[[#This Row],[VALOR RACION PREPARADA]]/7</f>
        <v>4636548</v>
      </c>
      <c r="AW184" s="35">
        <f>VLOOKUP(Tabla43[[#This Row],[SERVICIO 2025]],$J$2:$V$16,3,0)*Tabla43[[#This Row],[TOTAL COBERTURA]]+Tabla43[[#This Row],[VALOR RACION PREPARADA]]/7</f>
        <v>4636548</v>
      </c>
      <c r="AX184" s="35">
        <f>VLOOKUP(Tabla43[[#This Row],[SERVICIO 2025]],$J$2:$V$16,3,0)*Tabla43[[#This Row],[TOTAL COBERTURA]]+Tabla43[[#This Row],[VALOR RACION PREPARADA]]/7</f>
        <v>4636548</v>
      </c>
      <c r="AY184" s="35">
        <f>VLOOKUP(Tabla43[[#This Row],[SERVICIO 2025]],$J$2:$V$16,3,0)*Tabla43[[#This Row],[TOTAL COBERTURA]]+Tabla43[[#This Row],[VALOR RACION PREPARADA]]/7</f>
        <v>4636548</v>
      </c>
      <c r="AZ184" s="35">
        <f>VLOOKUP(Tabla43[[#This Row],[SERVICIO 2025]],$J$2:$V$16,3,0)*Tabla43[[#This Row],[TOTAL COBERTURA]]+Tabla43[[#This Row],[VALOR RACION PREPARADA]]/7+Tabla43[[#This Row],[VALOR FASE PREPARATORIA DE CIERRE]]</f>
        <v>5375070</v>
      </c>
      <c r="BA184" s="35"/>
      <c r="BB184" s="35">
        <f>SUM(Tabla43[[#This Row],[DESEMBOLSO 1]:[DESEMBOLSO 8]])</f>
        <v>34606926</v>
      </c>
      <c r="BC184" s="55">
        <f>VLOOKUP(Tabla43[[#This Row],[SERVICIO 2025]],$J$2:$V$16,10,0)*Tabla43[[#This Row],[TOTAL COBERTURA]]*$W$3</f>
        <v>25975152</v>
      </c>
      <c r="BD184" s="47" t="s">
        <v>211</v>
      </c>
      <c r="BE184" s="12" t="b">
        <f>EXACT(Tabla43[[#This Row],[TOTAL APORTES ICBF]],Tabla43[[#This Row],[VALOR TOTAL]])</f>
        <v>1</v>
      </c>
      <c r="BF184" s="23">
        <f>SUM(Tabla43[[#This Row],[VALOR FASE PREPARATORIA DE ALISTAMIENTO]:[VALOR RACION PREPARADA]])-Tabla43[[#This Row],[VALOR TOTAL]]</f>
        <v>0</v>
      </c>
      <c r="BG184" s="12" t="b">
        <f>EXACT(Tabla43[[#This Row],[VALOR TOTAL]],Tabla43[[#This Row],[TOTAL DESEMBOLSOS]])</f>
        <v>1</v>
      </c>
      <c r="BH184" s="29">
        <f>Tabla43[[#This Row],[TOTAL DESEMBOLSOS]]-Tabla43[[#This Row],[VALOR TOTAL]]</f>
        <v>0</v>
      </c>
      <c r="BJ184" t="s">
        <v>3924</v>
      </c>
    </row>
    <row r="185" spans="1:62" hidden="1">
      <c r="A185" s="13">
        <v>1974</v>
      </c>
      <c r="B185" s="13"/>
      <c r="C185" s="12" t="s">
        <v>87</v>
      </c>
      <c r="D185" s="12" t="s">
        <v>462</v>
      </c>
      <c r="E185" s="12" t="s">
        <v>4151</v>
      </c>
      <c r="F185" s="12" t="s">
        <v>18</v>
      </c>
      <c r="G185" s="12" t="s">
        <v>90</v>
      </c>
      <c r="H185" s="12" t="s">
        <v>600</v>
      </c>
      <c r="I185" s="12">
        <v>54901136645</v>
      </c>
      <c r="J185" s="12" t="s">
        <v>4203</v>
      </c>
      <c r="K185" s="12">
        <v>1</v>
      </c>
      <c r="L185" s="12">
        <v>18</v>
      </c>
      <c r="M185" s="12"/>
      <c r="N185" s="13">
        <v>1974</v>
      </c>
      <c r="O185" s="12" t="s">
        <v>93</v>
      </c>
      <c r="P185" s="12"/>
      <c r="Q185" s="12"/>
      <c r="R185" s="12" t="s">
        <v>94</v>
      </c>
      <c r="S185" s="12">
        <v>10</v>
      </c>
      <c r="T185" s="12" t="s">
        <v>4176</v>
      </c>
      <c r="U185" s="12" t="s">
        <v>4177</v>
      </c>
      <c r="V185" s="12">
        <f>VLOOKUP(Tabla43[[#This Row],[ZONA DEFINITIVO]],Hoja1!$A$1:$D$129,3,0)</f>
        <v>229959</v>
      </c>
      <c r="W185" s="12">
        <f>VLOOKUP(Tabla43[[#This Row],[ZONA DEFINITIVO]],Hoja1!$A$1:$D$129,2,0)</f>
        <v>18591</v>
      </c>
      <c r="X185" s="12">
        <f>VLOOKUP(Tabla43[[#This Row],[ZONA DEFINITIVO]],Hoja1!$A$1:$D$129,4,0)</f>
        <v>117425</v>
      </c>
      <c r="Y185" s="12" t="str">
        <f>+IF(Tabla43[[#This Row],[AGRUPACIONES]]=1,SUMIFS(Tabla43[UDS],Tabla43[ZONA DEFINITIVO],Tabla43[[#This Row],[ZONA DEFINITIVO]])," ")</f>
        <v xml:space="preserve"> </v>
      </c>
      <c r="Z185" s="12" t="str">
        <f>+IF(Tabla43[[#This Row],[AGRUPACIONES]]=1,SUMIFS(Tabla43[TOTAL COBERTURA],Tabla43[ZONA DEFINITIVO],Tabla43[[#This Row],[ZONA DEFINITIVO]])," ")</f>
        <v xml:space="preserve"> </v>
      </c>
      <c r="AA185" s="12"/>
      <c r="AB185" s="51">
        <v>34606926</v>
      </c>
      <c r="AC185" s="37">
        <v>0.02</v>
      </c>
      <c r="AD185" s="38">
        <f>Tabla43[[#This Row],[VALOR ATENCIÓN (7 MESES)]]*Tabla43[[#This Row],[% CONTRAPARTIDA]]</f>
        <v>692138.52</v>
      </c>
      <c r="AE185" s="12"/>
      <c r="AF185" s="12">
        <f>COUNTIF($A$22:A185,A185)</f>
        <v>18</v>
      </c>
      <c r="AG185" s="51">
        <v>34606926</v>
      </c>
      <c r="AH185" s="38">
        <f>Tabla43[[#This Row],[VALOR CONTRAPARTIDA]]+Tabla43[[#This Row],[TOTAL APORTES ICBF]]</f>
        <v>35299064.520000003</v>
      </c>
      <c r="AI185" s="35" t="str">
        <f>+IF(Tabla43[[#This Row],[AGRUPACIONES]]=1,SUMIFS(Tabla43[TOTAL APORTES ICBF],Tabla43[ZONA DEFINITIVO],Tabla43[[#This Row],[ZONA DEFINITIVO]])," ")</f>
        <v xml:space="preserve"> </v>
      </c>
      <c r="AJ185" s="38"/>
      <c r="AK185" s="38"/>
      <c r="AL185" s="23"/>
      <c r="AM185" s="35">
        <f>VLOOKUP(Tabla43[[#This Row],[SERVICIO 2025]],$J$2:$V$16,5,0)*Tabla43[[#This Row],[TOTAL COBERTURA]]</f>
        <v>888768</v>
      </c>
      <c r="AN185" s="35">
        <f>VLOOKUP(Tabla43[[#This Row],[SERVICIO 2025]],$J$2:$V$16,6,0)*Tabla43[[#This Row],[TOTAL COBERTURA]]</f>
        <v>738522</v>
      </c>
      <c r="AO185" s="35">
        <f>VLOOKUP(Tabla43[[#This Row],[SERVICIO 2025]],$J$2:$V$16,8,0)*Tabla43[[#This Row],[TOTAL COBERTURA]]</f>
        <v>523800</v>
      </c>
      <c r="AP185" s="35">
        <f>VLOOKUP(Tabla43[[#This Row],[SERVICIO 2025]],$J$2:$V$16,3,0)*Tabla43[[#This Row],[TOTAL COBERTURA]]*7</f>
        <v>32455836</v>
      </c>
      <c r="AQ185" s="35"/>
      <c r="AR18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34606926</v>
      </c>
      <c r="AS185" s="35" t="str">
        <f>+IF(Tabla43[[#This Row],[AGRUPACIONES]]=1,SUMIFS(Tabla43[VALOR TOTAL],Tabla43[ZONA DEFINITIVO],Tabla43[[#This Row],[ZONA DEFINITIVO]])," ")</f>
        <v xml:space="preserve"> </v>
      </c>
      <c r="AT18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6049116</v>
      </c>
      <c r="AU185" s="35">
        <f>VLOOKUP(Tabla43[[#This Row],[SERVICIO 2025]],$J$2:$V$16,3,0)*Tabla43[[#This Row],[TOTAL COBERTURA]]+Tabla43[[#This Row],[VALOR RACION PREPARADA]]/7</f>
        <v>4636548</v>
      </c>
      <c r="AV185" s="35">
        <f>VLOOKUP(Tabla43[[#This Row],[SERVICIO 2025]],$J$2:$V$16,3,0)*Tabla43[[#This Row],[TOTAL COBERTURA]]+Tabla43[[#This Row],[VALOR RACION PREPARADA]]/7</f>
        <v>4636548</v>
      </c>
      <c r="AW185" s="35">
        <f>VLOOKUP(Tabla43[[#This Row],[SERVICIO 2025]],$J$2:$V$16,3,0)*Tabla43[[#This Row],[TOTAL COBERTURA]]+Tabla43[[#This Row],[VALOR RACION PREPARADA]]/7</f>
        <v>4636548</v>
      </c>
      <c r="AX185" s="35">
        <f>VLOOKUP(Tabla43[[#This Row],[SERVICIO 2025]],$J$2:$V$16,3,0)*Tabla43[[#This Row],[TOTAL COBERTURA]]+Tabla43[[#This Row],[VALOR RACION PREPARADA]]/7</f>
        <v>4636548</v>
      </c>
      <c r="AY185" s="35">
        <f>VLOOKUP(Tabla43[[#This Row],[SERVICIO 2025]],$J$2:$V$16,3,0)*Tabla43[[#This Row],[TOTAL COBERTURA]]+Tabla43[[#This Row],[VALOR RACION PREPARADA]]/7</f>
        <v>4636548</v>
      </c>
      <c r="AZ185" s="35">
        <f>VLOOKUP(Tabla43[[#This Row],[SERVICIO 2025]],$J$2:$V$16,3,0)*Tabla43[[#This Row],[TOTAL COBERTURA]]+Tabla43[[#This Row],[VALOR RACION PREPARADA]]/7+Tabla43[[#This Row],[VALOR FASE PREPARATORIA DE CIERRE]]</f>
        <v>5375070</v>
      </c>
      <c r="BA185" s="35"/>
      <c r="BB185" s="35">
        <f>SUM(Tabla43[[#This Row],[DESEMBOLSO 1]:[DESEMBOLSO 8]])</f>
        <v>34606926</v>
      </c>
      <c r="BC185" s="55">
        <f>VLOOKUP(Tabla43[[#This Row],[SERVICIO 2025]],$J$2:$V$16,10,0)*Tabla43[[#This Row],[TOTAL COBERTURA]]*$W$3</f>
        <v>25975152</v>
      </c>
      <c r="BD185" s="47" t="s">
        <v>211</v>
      </c>
      <c r="BE185" s="12" t="b">
        <f>EXACT(Tabla43[[#This Row],[TOTAL APORTES ICBF]],Tabla43[[#This Row],[VALOR TOTAL]])</f>
        <v>1</v>
      </c>
      <c r="BF185" s="23">
        <f>SUM(Tabla43[[#This Row],[VALOR FASE PREPARATORIA DE ALISTAMIENTO]:[VALOR RACION PREPARADA]])-Tabla43[[#This Row],[VALOR TOTAL]]</f>
        <v>0</v>
      </c>
      <c r="BG185" s="12" t="b">
        <f>EXACT(Tabla43[[#This Row],[VALOR TOTAL]],Tabla43[[#This Row],[TOTAL DESEMBOLSOS]])</f>
        <v>1</v>
      </c>
      <c r="BH185" s="29">
        <f>Tabla43[[#This Row],[TOTAL DESEMBOLSOS]]-Tabla43[[#This Row],[VALOR TOTAL]]</f>
        <v>0</v>
      </c>
      <c r="BJ185" t="s">
        <v>3924</v>
      </c>
    </row>
    <row r="186" spans="1:62" hidden="1">
      <c r="A186" s="13">
        <v>1974</v>
      </c>
      <c r="B186" s="13"/>
      <c r="C186" s="12" t="s">
        <v>87</v>
      </c>
      <c r="D186" s="12" t="s">
        <v>462</v>
      </c>
      <c r="E186" s="12" t="s">
        <v>4151</v>
      </c>
      <c r="F186" s="12" t="s">
        <v>18</v>
      </c>
      <c r="G186" s="12" t="s">
        <v>90</v>
      </c>
      <c r="H186" s="12" t="s">
        <v>4204</v>
      </c>
      <c r="I186" s="12">
        <v>54901136652</v>
      </c>
      <c r="J186" s="12" t="s">
        <v>4204</v>
      </c>
      <c r="K186" s="12">
        <v>1</v>
      </c>
      <c r="L186" s="12">
        <v>16</v>
      </c>
      <c r="M186" s="12"/>
      <c r="N186" s="13">
        <v>1974</v>
      </c>
      <c r="O186" s="12" t="s">
        <v>93</v>
      </c>
      <c r="P186" s="12"/>
      <c r="Q186" s="12"/>
      <c r="R186" s="12" t="s">
        <v>94</v>
      </c>
      <c r="S186" s="12">
        <v>10</v>
      </c>
      <c r="T186" s="12" t="s">
        <v>4176</v>
      </c>
      <c r="U186" s="12" t="s">
        <v>4177</v>
      </c>
      <c r="V186" s="12">
        <f>VLOOKUP(Tabla43[[#This Row],[ZONA DEFINITIVO]],Hoja1!$A$1:$D$129,3,0)</f>
        <v>229959</v>
      </c>
      <c r="W186" s="12">
        <f>VLOOKUP(Tabla43[[#This Row],[ZONA DEFINITIVO]],Hoja1!$A$1:$D$129,2,0)</f>
        <v>18591</v>
      </c>
      <c r="X186" s="12">
        <f>VLOOKUP(Tabla43[[#This Row],[ZONA DEFINITIVO]],Hoja1!$A$1:$D$129,4,0)</f>
        <v>117425</v>
      </c>
      <c r="Y186" s="12" t="str">
        <f>+IF(Tabla43[[#This Row],[AGRUPACIONES]]=1,SUMIFS(Tabla43[UDS],Tabla43[ZONA DEFINITIVO],Tabla43[[#This Row],[ZONA DEFINITIVO]])," ")</f>
        <v xml:space="preserve"> </v>
      </c>
      <c r="Z186" s="12" t="str">
        <f>+IF(Tabla43[[#This Row],[AGRUPACIONES]]=1,SUMIFS(Tabla43[TOTAL COBERTURA],Tabla43[ZONA DEFINITIVO],Tabla43[[#This Row],[ZONA DEFINITIVO]])," ")</f>
        <v xml:space="preserve"> </v>
      </c>
      <c r="AA186" s="12"/>
      <c r="AB186" s="51">
        <v>30761712</v>
      </c>
      <c r="AC186" s="37">
        <v>0.02</v>
      </c>
      <c r="AD186" s="38">
        <f>Tabla43[[#This Row],[VALOR ATENCIÓN (7 MESES)]]*Tabla43[[#This Row],[% CONTRAPARTIDA]]</f>
        <v>615234.24</v>
      </c>
      <c r="AE186" s="12"/>
      <c r="AF186" s="12">
        <f>COUNTIF($A$22:A186,A186)</f>
        <v>19</v>
      </c>
      <c r="AG186" s="51">
        <v>30761712</v>
      </c>
      <c r="AH186" s="38">
        <f>Tabla43[[#This Row],[VALOR CONTRAPARTIDA]]+Tabla43[[#This Row],[TOTAL APORTES ICBF]]</f>
        <v>31376946.239999998</v>
      </c>
      <c r="AI186" s="35" t="str">
        <f>+IF(Tabla43[[#This Row],[AGRUPACIONES]]=1,SUMIFS(Tabla43[TOTAL APORTES ICBF],Tabla43[ZONA DEFINITIVO],Tabla43[[#This Row],[ZONA DEFINITIVO]])," ")</f>
        <v xml:space="preserve"> </v>
      </c>
      <c r="AJ186" s="38"/>
      <c r="AK186" s="38"/>
      <c r="AL186" s="23"/>
      <c r="AM186" s="35">
        <f>VLOOKUP(Tabla43[[#This Row],[SERVICIO 2025]],$J$2:$V$16,5,0)*Tabla43[[#This Row],[TOTAL COBERTURA]]</f>
        <v>790016</v>
      </c>
      <c r="AN186" s="35">
        <f>VLOOKUP(Tabla43[[#This Row],[SERVICIO 2025]],$J$2:$V$16,6,0)*Tabla43[[#This Row],[TOTAL COBERTURA]]</f>
        <v>656464</v>
      </c>
      <c r="AO186" s="35">
        <f>VLOOKUP(Tabla43[[#This Row],[SERVICIO 2025]],$J$2:$V$16,8,0)*Tabla43[[#This Row],[TOTAL COBERTURA]]</f>
        <v>465600</v>
      </c>
      <c r="AP186" s="35">
        <f>VLOOKUP(Tabla43[[#This Row],[SERVICIO 2025]],$J$2:$V$16,3,0)*Tabla43[[#This Row],[TOTAL COBERTURA]]*7</f>
        <v>28849632</v>
      </c>
      <c r="AQ186" s="35"/>
      <c r="AR18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186" s="35" t="str">
        <f>+IF(Tabla43[[#This Row],[AGRUPACIONES]]=1,SUMIFS(Tabla43[VALOR TOTAL],Tabla43[ZONA DEFINITIVO],Tabla43[[#This Row],[ZONA DEFINITIVO]])," ")</f>
        <v xml:space="preserve"> </v>
      </c>
      <c r="AT18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186" s="35">
        <f>VLOOKUP(Tabla43[[#This Row],[SERVICIO 2025]],$J$2:$V$16,3,0)*Tabla43[[#This Row],[TOTAL COBERTURA]]+Tabla43[[#This Row],[VALOR RACION PREPARADA]]/7</f>
        <v>4121376</v>
      </c>
      <c r="AV186" s="35">
        <f>VLOOKUP(Tabla43[[#This Row],[SERVICIO 2025]],$J$2:$V$16,3,0)*Tabla43[[#This Row],[TOTAL COBERTURA]]+Tabla43[[#This Row],[VALOR RACION PREPARADA]]/7</f>
        <v>4121376</v>
      </c>
      <c r="AW186" s="35">
        <f>VLOOKUP(Tabla43[[#This Row],[SERVICIO 2025]],$J$2:$V$16,3,0)*Tabla43[[#This Row],[TOTAL COBERTURA]]+Tabla43[[#This Row],[VALOR RACION PREPARADA]]/7</f>
        <v>4121376</v>
      </c>
      <c r="AX186" s="35">
        <f>VLOOKUP(Tabla43[[#This Row],[SERVICIO 2025]],$J$2:$V$16,3,0)*Tabla43[[#This Row],[TOTAL COBERTURA]]+Tabla43[[#This Row],[VALOR RACION PREPARADA]]/7</f>
        <v>4121376</v>
      </c>
      <c r="AY186" s="35">
        <f>VLOOKUP(Tabla43[[#This Row],[SERVICIO 2025]],$J$2:$V$16,3,0)*Tabla43[[#This Row],[TOTAL COBERTURA]]+Tabla43[[#This Row],[VALOR RACION PREPARADA]]/7</f>
        <v>4121376</v>
      </c>
      <c r="AZ186" s="35">
        <f>VLOOKUP(Tabla43[[#This Row],[SERVICIO 2025]],$J$2:$V$16,3,0)*Tabla43[[#This Row],[TOTAL COBERTURA]]+Tabla43[[#This Row],[VALOR RACION PREPARADA]]/7+Tabla43[[#This Row],[VALOR FASE PREPARATORIA DE CIERRE]]</f>
        <v>4777840</v>
      </c>
      <c r="BA186" s="35"/>
      <c r="BB186" s="35">
        <f>SUM(Tabla43[[#This Row],[DESEMBOLSO 1]:[DESEMBOLSO 8]])</f>
        <v>30761712</v>
      </c>
      <c r="BC186" s="55">
        <f>VLOOKUP(Tabla43[[#This Row],[SERVICIO 2025]],$J$2:$V$16,10,0)*Tabla43[[#This Row],[TOTAL COBERTURA]]*$W$3</f>
        <v>23089024</v>
      </c>
      <c r="BD186" s="47" t="s">
        <v>211</v>
      </c>
      <c r="BE186" s="12" t="b">
        <f>EXACT(Tabla43[[#This Row],[TOTAL APORTES ICBF]],Tabla43[[#This Row],[VALOR TOTAL]])</f>
        <v>1</v>
      </c>
      <c r="BF186" s="23">
        <f>SUM(Tabla43[[#This Row],[VALOR FASE PREPARATORIA DE ALISTAMIENTO]:[VALOR RACION PREPARADA]])-Tabla43[[#This Row],[VALOR TOTAL]]</f>
        <v>0</v>
      </c>
      <c r="BG186" s="12" t="b">
        <f>EXACT(Tabla43[[#This Row],[VALOR TOTAL]],Tabla43[[#This Row],[TOTAL DESEMBOLSOS]])</f>
        <v>1</v>
      </c>
      <c r="BH186" s="29">
        <f>Tabla43[[#This Row],[TOTAL DESEMBOLSOS]]-Tabla43[[#This Row],[VALOR TOTAL]]</f>
        <v>0</v>
      </c>
      <c r="BJ186" t="s">
        <v>3924</v>
      </c>
    </row>
    <row r="187" spans="1:62" hidden="1">
      <c r="A187" s="13">
        <v>1974</v>
      </c>
      <c r="B187" s="13"/>
      <c r="C187" s="12" t="s">
        <v>87</v>
      </c>
      <c r="D187" s="12" t="s">
        <v>462</v>
      </c>
      <c r="E187" s="12" t="s">
        <v>4151</v>
      </c>
      <c r="F187" s="12" t="s">
        <v>18</v>
      </c>
      <c r="G187" s="12" t="s">
        <v>90</v>
      </c>
      <c r="H187" s="12" t="s">
        <v>4205</v>
      </c>
      <c r="I187" s="12">
        <v>54901136654</v>
      </c>
      <c r="J187" s="12" t="s">
        <v>4205</v>
      </c>
      <c r="K187" s="12">
        <v>1</v>
      </c>
      <c r="L187" s="12">
        <v>14</v>
      </c>
      <c r="M187" s="12"/>
      <c r="N187" s="13">
        <v>1974</v>
      </c>
      <c r="O187" s="12" t="s">
        <v>93</v>
      </c>
      <c r="P187" s="12"/>
      <c r="Q187" s="12"/>
      <c r="R187" s="12" t="s">
        <v>94</v>
      </c>
      <c r="S187" s="12">
        <v>10</v>
      </c>
      <c r="T187" s="12" t="s">
        <v>4176</v>
      </c>
      <c r="U187" s="12" t="s">
        <v>4177</v>
      </c>
      <c r="V187" s="12">
        <f>VLOOKUP(Tabla43[[#This Row],[ZONA DEFINITIVO]],Hoja1!$A$1:$D$129,3,0)</f>
        <v>229959</v>
      </c>
      <c r="W187" s="12">
        <f>VLOOKUP(Tabla43[[#This Row],[ZONA DEFINITIVO]],Hoja1!$A$1:$D$129,2,0)</f>
        <v>18591</v>
      </c>
      <c r="X187" s="12">
        <f>VLOOKUP(Tabla43[[#This Row],[ZONA DEFINITIVO]],Hoja1!$A$1:$D$129,4,0)</f>
        <v>117425</v>
      </c>
      <c r="Y187" s="12" t="str">
        <f>+IF(Tabla43[[#This Row],[AGRUPACIONES]]=1,SUMIFS(Tabla43[UDS],Tabla43[ZONA DEFINITIVO],Tabla43[[#This Row],[ZONA DEFINITIVO]])," ")</f>
        <v xml:space="preserve"> </v>
      </c>
      <c r="Z187" s="12" t="str">
        <f>+IF(Tabla43[[#This Row],[AGRUPACIONES]]=1,SUMIFS(Tabla43[TOTAL COBERTURA],Tabla43[ZONA DEFINITIVO],Tabla43[[#This Row],[ZONA DEFINITIVO]])," ")</f>
        <v xml:space="preserve"> </v>
      </c>
      <c r="AA187" s="12"/>
      <c r="AB187" s="51">
        <v>26916498</v>
      </c>
      <c r="AC187" s="37">
        <v>0.02</v>
      </c>
      <c r="AD187" s="38">
        <f>Tabla43[[#This Row],[VALOR ATENCIÓN (7 MESES)]]*Tabla43[[#This Row],[% CONTRAPARTIDA]]</f>
        <v>538329.96</v>
      </c>
      <c r="AE187" s="12"/>
      <c r="AF187" s="12">
        <f>COUNTIF($A$22:A187,A187)</f>
        <v>20</v>
      </c>
      <c r="AG187" s="51">
        <v>26916498</v>
      </c>
      <c r="AH187" s="38">
        <f>Tabla43[[#This Row],[VALOR CONTRAPARTIDA]]+Tabla43[[#This Row],[TOTAL APORTES ICBF]]</f>
        <v>27454827.960000001</v>
      </c>
      <c r="AI187" s="35" t="str">
        <f>+IF(Tabla43[[#This Row],[AGRUPACIONES]]=1,SUMIFS(Tabla43[TOTAL APORTES ICBF],Tabla43[ZONA DEFINITIVO],Tabla43[[#This Row],[ZONA DEFINITIVO]])," ")</f>
        <v xml:space="preserve"> </v>
      </c>
      <c r="AJ187" s="38"/>
      <c r="AK187" s="38"/>
      <c r="AL187" s="23"/>
      <c r="AM187" s="35">
        <f>VLOOKUP(Tabla43[[#This Row],[SERVICIO 2025]],$J$2:$V$16,5,0)*Tabla43[[#This Row],[TOTAL COBERTURA]]</f>
        <v>691264</v>
      </c>
      <c r="AN187" s="35">
        <f>VLOOKUP(Tabla43[[#This Row],[SERVICIO 2025]],$J$2:$V$16,6,0)*Tabla43[[#This Row],[TOTAL COBERTURA]]</f>
        <v>574406</v>
      </c>
      <c r="AO187" s="35">
        <f>VLOOKUP(Tabla43[[#This Row],[SERVICIO 2025]],$J$2:$V$16,8,0)*Tabla43[[#This Row],[TOTAL COBERTURA]]</f>
        <v>407400</v>
      </c>
      <c r="AP187" s="35">
        <f>VLOOKUP(Tabla43[[#This Row],[SERVICIO 2025]],$J$2:$V$16,3,0)*Tabla43[[#This Row],[TOTAL COBERTURA]]*7</f>
        <v>25243428</v>
      </c>
      <c r="AQ187" s="35"/>
      <c r="AR18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26916498</v>
      </c>
      <c r="AS187" s="35" t="str">
        <f>+IF(Tabla43[[#This Row],[AGRUPACIONES]]=1,SUMIFS(Tabla43[VALOR TOTAL],Tabla43[ZONA DEFINITIVO],Tabla43[[#This Row],[ZONA DEFINITIVO]])," ")</f>
        <v xml:space="preserve"> </v>
      </c>
      <c r="AT18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4704868</v>
      </c>
      <c r="AU187" s="35">
        <f>VLOOKUP(Tabla43[[#This Row],[SERVICIO 2025]],$J$2:$V$16,3,0)*Tabla43[[#This Row],[TOTAL COBERTURA]]+Tabla43[[#This Row],[VALOR RACION PREPARADA]]/7</f>
        <v>3606204</v>
      </c>
      <c r="AV187" s="35">
        <f>VLOOKUP(Tabla43[[#This Row],[SERVICIO 2025]],$J$2:$V$16,3,0)*Tabla43[[#This Row],[TOTAL COBERTURA]]+Tabla43[[#This Row],[VALOR RACION PREPARADA]]/7</f>
        <v>3606204</v>
      </c>
      <c r="AW187" s="35">
        <f>VLOOKUP(Tabla43[[#This Row],[SERVICIO 2025]],$J$2:$V$16,3,0)*Tabla43[[#This Row],[TOTAL COBERTURA]]+Tabla43[[#This Row],[VALOR RACION PREPARADA]]/7</f>
        <v>3606204</v>
      </c>
      <c r="AX187" s="35">
        <f>VLOOKUP(Tabla43[[#This Row],[SERVICIO 2025]],$J$2:$V$16,3,0)*Tabla43[[#This Row],[TOTAL COBERTURA]]+Tabla43[[#This Row],[VALOR RACION PREPARADA]]/7</f>
        <v>3606204</v>
      </c>
      <c r="AY187" s="35">
        <f>VLOOKUP(Tabla43[[#This Row],[SERVICIO 2025]],$J$2:$V$16,3,0)*Tabla43[[#This Row],[TOTAL COBERTURA]]+Tabla43[[#This Row],[VALOR RACION PREPARADA]]/7</f>
        <v>3606204</v>
      </c>
      <c r="AZ187" s="35">
        <f>VLOOKUP(Tabla43[[#This Row],[SERVICIO 2025]],$J$2:$V$16,3,0)*Tabla43[[#This Row],[TOTAL COBERTURA]]+Tabla43[[#This Row],[VALOR RACION PREPARADA]]/7+Tabla43[[#This Row],[VALOR FASE PREPARATORIA DE CIERRE]]</f>
        <v>4180610</v>
      </c>
      <c r="BA187" s="35"/>
      <c r="BB187" s="35">
        <f>SUM(Tabla43[[#This Row],[DESEMBOLSO 1]:[DESEMBOLSO 8]])</f>
        <v>26916498</v>
      </c>
      <c r="BC187" s="55">
        <f>VLOOKUP(Tabla43[[#This Row],[SERVICIO 2025]],$J$2:$V$16,10,0)*Tabla43[[#This Row],[TOTAL COBERTURA]]*$W$3</f>
        <v>20202896</v>
      </c>
      <c r="BD187" s="47" t="s">
        <v>211</v>
      </c>
      <c r="BE187" s="12" t="b">
        <f>EXACT(Tabla43[[#This Row],[TOTAL APORTES ICBF]],Tabla43[[#This Row],[VALOR TOTAL]])</f>
        <v>1</v>
      </c>
      <c r="BF187" s="23">
        <f>SUM(Tabla43[[#This Row],[VALOR FASE PREPARATORIA DE ALISTAMIENTO]:[VALOR RACION PREPARADA]])-Tabla43[[#This Row],[VALOR TOTAL]]</f>
        <v>0</v>
      </c>
      <c r="BG187" s="12" t="b">
        <f>EXACT(Tabla43[[#This Row],[VALOR TOTAL]],Tabla43[[#This Row],[TOTAL DESEMBOLSOS]])</f>
        <v>1</v>
      </c>
      <c r="BH187" s="29">
        <f>Tabla43[[#This Row],[TOTAL DESEMBOLSOS]]-Tabla43[[#This Row],[VALOR TOTAL]]</f>
        <v>0</v>
      </c>
      <c r="BJ187" t="s">
        <v>3924</v>
      </c>
    </row>
    <row r="188" spans="1:62" hidden="1">
      <c r="A188" s="13">
        <v>1974</v>
      </c>
      <c r="B188" s="13"/>
      <c r="C188" s="12" t="s">
        <v>87</v>
      </c>
      <c r="D188" s="12" t="s">
        <v>462</v>
      </c>
      <c r="E188" s="12" t="s">
        <v>4151</v>
      </c>
      <c r="F188" s="12" t="s">
        <v>18</v>
      </c>
      <c r="G188" s="12" t="s">
        <v>90</v>
      </c>
      <c r="H188" s="12" t="s">
        <v>585</v>
      </c>
      <c r="I188" s="12">
        <v>54901136657</v>
      </c>
      <c r="J188" s="12" t="s">
        <v>585</v>
      </c>
      <c r="K188" s="12">
        <v>1</v>
      </c>
      <c r="L188" s="12">
        <v>19</v>
      </c>
      <c r="M188" s="12"/>
      <c r="N188" s="13">
        <v>1974</v>
      </c>
      <c r="O188" s="12" t="s">
        <v>93</v>
      </c>
      <c r="P188" s="12"/>
      <c r="Q188" s="12"/>
      <c r="R188" s="12" t="s">
        <v>94</v>
      </c>
      <c r="S188" s="12">
        <v>10</v>
      </c>
      <c r="T188" s="12" t="s">
        <v>4176</v>
      </c>
      <c r="U188" s="12" t="s">
        <v>4177</v>
      </c>
      <c r="V188" s="12">
        <f>VLOOKUP(Tabla43[[#This Row],[ZONA DEFINITIVO]],Hoja1!$A$1:$D$129,3,0)</f>
        <v>229959</v>
      </c>
      <c r="W188" s="12">
        <f>VLOOKUP(Tabla43[[#This Row],[ZONA DEFINITIVO]],Hoja1!$A$1:$D$129,2,0)</f>
        <v>18591</v>
      </c>
      <c r="X188" s="12">
        <f>VLOOKUP(Tabla43[[#This Row],[ZONA DEFINITIVO]],Hoja1!$A$1:$D$129,4,0)</f>
        <v>117425</v>
      </c>
      <c r="Y188" s="12" t="str">
        <f>+IF(Tabla43[[#This Row],[AGRUPACIONES]]=1,SUMIFS(Tabla43[UDS],Tabla43[ZONA DEFINITIVO],Tabla43[[#This Row],[ZONA DEFINITIVO]])," ")</f>
        <v xml:space="preserve"> </v>
      </c>
      <c r="Z188" s="12" t="str">
        <f>+IF(Tabla43[[#This Row],[AGRUPACIONES]]=1,SUMIFS(Tabla43[TOTAL COBERTURA],Tabla43[ZONA DEFINITIVO],Tabla43[[#This Row],[ZONA DEFINITIVO]])," ")</f>
        <v xml:space="preserve"> </v>
      </c>
      <c r="AA188" s="12"/>
      <c r="AB188" s="51">
        <v>36529533</v>
      </c>
      <c r="AC188" s="37">
        <v>0.02</v>
      </c>
      <c r="AD188" s="38">
        <f>Tabla43[[#This Row],[VALOR ATENCIÓN (7 MESES)]]*Tabla43[[#This Row],[% CONTRAPARTIDA]]</f>
        <v>730590.66</v>
      </c>
      <c r="AE188" s="12"/>
      <c r="AF188" s="12">
        <f>COUNTIF($A$22:A188,A188)</f>
        <v>21</v>
      </c>
      <c r="AG188" s="51">
        <v>36529533</v>
      </c>
      <c r="AH188" s="38">
        <f>Tabla43[[#This Row],[VALOR CONTRAPARTIDA]]+Tabla43[[#This Row],[TOTAL APORTES ICBF]]</f>
        <v>37260123.659999996</v>
      </c>
      <c r="AI188" s="35" t="str">
        <f>+IF(Tabla43[[#This Row],[AGRUPACIONES]]=1,SUMIFS(Tabla43[TOTAL APORTES ICBF],Tabla43[ZONA DEFINITIVO],Tabla43[[#This Row],[ZONA DEFINITIVO]])," ")</f>
        <v xml:space="preserve"> </v>
      </c>
      <c r="AJ188" s="38"/>
      <c r="AK188" s="38"/>
      <c r="AL188" s="23"/>
      <c r="AM188" s="35">
        <f>VLOOKUP(Tabla43[[#This Row],[SERVICIO 2025]],$J$2:$V$16,5,0)*Tabla43[[#This Row],[TOTAL COBERTURA]]</f>
        <v>938144</v>
      </c>
      <c r="AN188" s="35">
        <f>VLOOKUP(Tabla43[[#This Row],[SERVICIO 2025]],$J$2:$V$16,6,0)*Tabla43[[#This Row],[TOTAL COBERTURA]]</f>
        <v>779551</v>
      </c>
      <c r="AO188" s="35">
        <f>VLOOKUP(Tabla43[[#This Row],[SERVICIO 2025]],$J$2:$V$16,8,0)*Tabla43[[#This Row],[TOTAL COBERTURA]]</f>
        <v>552900</v>
      </c>
      <c r="AP188" s="35">
        <f>VLOOKUP(Tabla43[[#This Row],[SERVICIO 2025]],$J$2:$V$16,3,0)*Tabla43[[#This Row],[TOTAL COBERTURA]]*7</f>
        <v>34258938</v>
      </c>
      <c r="AQ188" s="35"/>
      <c r="AR18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36529533</v>
      </c>
      <c r="AS188" s="35" t="str">
        <f>+IF(Tabla43[[#This Row],[AGRUPACIONES]]=1,SUMIFS(Tabla43[VALOR TOTAL],Tabla43[ZONA DEFINITIVO],Tabla43[[#This Row],[ZONA DEFINITIVO]])," ")</f>
        <v xml:space="preserve"> </v>
      </c>
      <c r="AT18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6385178</v>
      </c>
      <c r="AU188" s="35">
        <f>VLOOKUP(Tabla43[[#This Row],[SERVICIO 2025]],$J$2:$V$16,3,0)*Tabla43[[#This Row],[TOTAL COBERTURA]]+Tabla43[[#This Row],[VALOR RACION PREPARADA]]/7</f>
        <v>4894134</v>
      </c>
      <c r="AV188" s="35">
        <f>VLOOKUP(Tabla43[[#This Row],[SERVICIO 2025]],$J$2:$V$16,3,0)*Tabla43[[#This Row],[TOTAL COBERTURA]]+Tabla43[[#This Row],[VALOR RACION PREPARADA]]/7</f>
        <v>4894134</v>
      </c>
      <c r="AW188" s="35">
        <f>VLOOKUP(Tabla43[[#This Row],[SERVICIO 2025]],$J$2:$V$16,3,0)*Tabla43[[#This Row],[TOTAL COBERTURA]]+Tabla43[[#This Row],[VALOR RACION PREPARADA]]/7</f>
        <v>4894134</v>
      </c>
      <c r="AX188" s="35">
        <f>VLOOKUP(Tabla43[[#This Row],[SERVICIO 2025]],$J$2:$V$16,3,0)*Tabla43[[#This Row],[TOTAL COBERTURA]]+Tabla43[[#This Row],[VALOR RACION PREPARADA]]/7</f>
        <v>4894134</v>
      </c>
      <c r="AY188" s="35">
        <f>VLOOKUP(Tabla43[[#This Row],[SERVICIO 2025]],$J$2:$V$16,3,0)*Tabla43[[#This Row],[TOTAL COBERTURA]]+Tabla43[[#This Row],[VALOR RACION PREPARADA]]/7</f>
        <v>4894134</v>
      </c>
      <c r="AZ188" s="35">
        <f>VLOOKUP(Tabla43[[#This Row],[SERVICIO 2025]],$J$2:$V$16,3,0)*Tabla43[[#This Row],[TOTAL COBERTURA]]+Tabla43[[#This Row],[VALOR RACION PREPARADA]]/7+Tabla43[[#This Row],[VALOR FASE PREPARATORIA DE CIERRE]]</f>
        <v>5673685</v>
      </c>
      <c r="BA188" s="35"/>
      <c r="BB188" s="35">
        <f>SUM(Tabla43[[#This Row],[DESEMBOLSO 1]:[DESEMBOLSO 8]])</f>
        <v>36529533</v>
      </c>
      <c r="BC188" s="55">
        <f>VLOOKUP(Tabla43[[#This Row],[SERVICIO 2025]],$J$2:$V$16,10,0)*Tabla43[[#This Row],[TOTAL COBERTURA]]*$W$3</f>
        <v>27418216</v>
      </c>
      <c r="BD188" s="47" t="s">
        <v>211</v>
      </c>
      <c r="BE188" s="12" t="b">
        <f>EXACT(Tabla43[[#This Row],[TOTAL APORTES ICBF]],Tabla43[[#This Row],[VALOR TOTAL]])</f>
        <v>1</v>
      </c>
      <c r="BF188" s="23">
        <f>SUM(Tabla43[[#This Row],[VALOR FASE PREPARATORIA DE ALISTAMIENTO]:[VALOR RACION PREPARADA]])-Tabla43[[#This Row],[VALOR TOTAL]]</f>
        <v>0</v>
      </c>
      <c r="BG188" s="12" t="b">
        <f>EXACT(Tabla43[[#This Row],[VALOR TOTAL]],Tabla43[[#This Row],[TOTAL DESEMBOLSOS]])</f>
        <v>1</v>
      </c>
      <c r="BH188" s="29">
        <f>Tabla43[[#This Row],[TOTAL DESEMBOLSOS]]-Tabla43[[#This Row],[VALOR TOTAL]]</f>
        <v>0</v>
      </c>
      <c r="BJ188" t="s">
        <v>3924</v>
      </c>
    </row>
    <row r="189" spans="1:62" hidden="1">
      <c r="A189" s="13">
        <v>1974</v>
      </c>
      <c r="B189" s="13"/>
      <c r="C189" s="12" t="s">
        <v>87</v>
      </c>
      <c r="D189" s="12" t="s">
        <v>462</v>
      </c>
      <c r="E189" s="12" t="s">
        <v>4151</v>
      </c>
      <c r="F189" s="12" t="s">
        <v>18</v>
      </c>
      <c r="G189" s="12" t="s">
        <v>90</v>
      </c>
      <c r="H189" s="12" t="s">
        <v>4206</v>
      </c>
      <c r="I189" s="12">
        <v>54901136738</v>
      </c>
      <c r="J189" s="12" t="s">
        <v>4207</v>
      </c>
      <c r="K189" s="12">
        <v>1</v>
      </c>
      <c r="L189" s="12">
        <v>11</v>
      </c>
      <c r="M189" s="12"/>
      <c r="N189" s="13">
        <v>1974</v>
      </c>
      <c r="O189" s="12" t="s">
        <v>93</v>
      </c>
      <c r="P189" s="12"/>
      <c r="Q189" s="12"/>
      <c r="R189" s="12" t="s">
        <v>94</v>
      </c>
      <c r="S189" s="12">
        <v>10</v>
      </c>
      <c r="T189" s="12" t="s">
        <v>4176</v>
      </c>
      <c r="U189" s="12" t="s">
        <v>4177</v>
      </c>
      <c r="V189" s="12">
        <f>VLOOKUP(Tabla43[[#This Row],[ZONA DEFINITIVO]],Hoja1!$A$1:$D$129,3,0)</f>
        <v>229959</v>
      </c>
      <c r="W189" s="12">
        <f>VLOOKUP(Tabla43[[#This Row],[ZONA DEFINITIVO]],Hoja1!$A$1:$D$129,2,0)</f>
        <v>18591</v>
      </c>
      <c r="X189" s="12">
        <f>VLOOKUP(Tabla43[[#This Row],[ZONA DEFINITIVO]],Hoja1!$A$1:$D$129,4,0)</f>
        <v>117425</v>
      </c>
      <c r="Y189" s="12" t="str">
        <f>+IF(Tabla43[[#This Row],[AGRUPACIONES]]=1,SUMIFS(Tabla43[UDS],Tabla43[ZONA DEFINITIVO],Tabla43[[#This Row],[ZONA DEFINITIVO]])," ")</f>
        <v xml:space="preserve"> </v>
      </c>
      <c r="Z189" s="12" t="str">
        <f>+IF(Tabla43[[#This Row],[AGRUPACIONES]]=1,SUMIFS(Tabla43[TOTAL COBERTURA],Tabla43[ZONA DEFINITIVO],Tabla43[[#This Row],[ZONA DEFINITIVO]])," ")</f>
        <v xml:space="preserve"> </v>
      </c>
      <c r="AA189" s="12"/>
      <c r="AB189" s="51">
        <v>21148677</v>
      </c>
      <c r="AC189" s="37">
        <v>0.02</v>
      </c>
      <c r="AD189" s="38">
        <f>Tabla43[[#This Row],[VALOR ATENCIÓN (7 MESES)]]*Tabla43[[#This Row],[% CONTRAPARTIDA]]</f>
        <v>422973.54000000004</v>
      </c>
      <c r="AE189" s="12"/>
      <c r="AF189" s="12">
        <f>COUNTIF($A$22:A189,A189)</f>
        <v>22</v>
      </c>
      <c r="AG189" s="51">
        <v>21148677</v>
      </c>
      <c r="AH189" s="38">
        <f>Tabla43[[#This Row],[VALOR CONTRAPARTIDA]]+Tabla43[[#This Row],[TOTAL APORTES ICBF]]</f>
        <v>21571650.539999999</v>
      </c>
      <c r="AI189" s="35" t="str">
        <f>+IF(Tabla43[[#This Row],[AGRUPACIONES]]=1,SUMIFS(Tabla43[TOTAL APORTES ICBF],Tabla43[ZONA DEFINITIVO],Tabla43[[#This Row],[ZONA DEFINITIVO]])," ")</f>
        <v xml:space="preserve"> </v>
      </c>
      <c r="AJ189" s="38"/>
      <c r="AK189" s="38"/>
      <c r="AL189" s="23"/>
      <c r="AM189" s="35">
        <f>VLOOKUP(Tabla43[[#This Row],[SERVICIO 2025]],$J$2:$V$16,5,0)*Tabla43[[#This Row],[TOTAL COBERTURA]]</f>
        <v>543136</v>
      </c>
      <c r="AN189" s="35">
        <f>VLOOKUP(Tabla43[[#This Row],[SERVICIO 2025]],$J$2:$V$16,6,0)*Tabla43[[#This Row],[TOTAL COBERTURA]]</f>
        <v>451319</v>
      </c>
      <c r="AO189" s="35">
        <f>VLOOKUP(Tabla43[[#This Row],[SERVICIO 2025]],$J$2:$V$16,8,0)*Tabla43[[#This Row],[TOTAL COBERTURA]]</f>
        <v>320100</v>
      </c>
      <c r="AP189" s="35">
        <f>VLOOKUP(Tabla43[[#This Row],[SERVICIO 2025]],$J$2:$V$16,3,0)*Tabla43[[#This Row],[TOTAL COBERTURA]]*7</f>
        <v>19834122</v>
      </c>
      <c r="AQ189" s="35"/>
      <c r="AR18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21148677</v>
      </c>
      <c r="AS189" s="35" t="str">
        <f>+IF(Tabla43[[#This Row],[AGRUPACIONES]]=1,SUMIFS(Tabla43[VALOR TOTAL],Tabla43[ZONA DEFINITIVO],Tabla43[[#This Row],[ZONA DEFINITIVO]])," ")</f>
        <v xml:space="preserve"> </v>
      </c>
      <c r="AT18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3696682</v>
      </c>
      <c r="AU189" s="35">
        <f>VLOOKUP(Tabla43[[#This Row],[SERVICIO 2025]],$J$2:$V$16,3,0)*Tabla43[[#This Row],[TOTAL COBERTURA]]+Tabla43[[#This Row],[VALOR RACION PREPARADA]]/7</f>
        <v>2833446</v>
      </c>
      <c r="AV189" s="35">
        <f>VLOOKUP(Tabla43[[#This Row],[SERVICIO 2025]],$J$2:$V$16,3,0)*Tabla43[[#This Row],[TOTAL COBERTURA]]+Tabla43[[#This Row],[VALOR RACION PREPARADA]]/7</f>
        <v>2833446</v>
      </c>
      <c r="AW189" s="35">
        <f>VLOOKUP(Tabla43[[#This Row],[SERVICIO 2025]],$J$2:$V$16,3,0)*Tabla43[[#This Row],[TOTAL COBERTURA]]+Tabla43[[#This Row],[VALOR RACION PREPARADA]]/7</f>
        <v>2833446</v>
      </c>
      <c r="AX189" s="35">
        <f>VLOOKUP(Tabla43[[#This Row],[SERVICIO 2025]],$J$2:$V$16,3,0)*Tabla43[[#This Row],[TOTAL COBERTURA]]+Tabla43[[#This Row],[VALOR RACION PREPARADA]]/7</f>
        <v>2833446</v>
      </c>
      <c r="AY189" s="35">
        <f>VLOOKUP(Tabla43[[#This Row],[SERVICIO 2025]],$J$2:$V$16,3,0)*Tabla43[[#This Row],[TOTAL COBERTURA]]+Tabla43[[#This Row],[VALOR RACION PREPARADA]]/7</f>
        <v>2833446</v>
      </c>
      <c r="AZ189" s="35">
        <f>VLOOKUP(Tabla43[[#This Row],[SERVICIO 2025]],$J$2:$V$16,3,0)*Tabla43[[#This Row],[TOTAL COBERTURA]]+Tabla43[[#This Row],[VALOR RACION PREPARADA]]/7+Tabla43[[#This Row],[VALOR FASE PREPARATORIA DE CIERRE]]</f>
        <v>3284765</v>
      </c>
      <c r="BA189" s="35"/>
      <c r="BB189" s="35">
        <f>SUM(Tabla43[[#This Row],[DESEMBOLSO 1]:[DESEMBOLSO 8]])</f>
        <v>21148677</v>
      </c>
      <c r="BC189" s="55">
        <f>VLOOKUP(Tabla43[[#This Row],[SERVICIO 2025]],$J$2:$V$16,10,0)*Tabla43[[#This Row],[TOTAL COBERTURA]]*$W$3</f>
        <v>15873704</v>
      </c>
      <c r="BD189" s="47" t="s">
        <v>211</v>
      </c>
      <c r="BE189" s="12" t="b">
        <f>EXACT(Tabla43[[#This Row],[TOTAL APORTES ICBF]],Tabla43[[#This Row],[VALOR TOTAL]])</f>
        <v>1</v>
      </c>
      <c r="BF189" s="23">
        <f>SUM(Tabla43[[#This Row],[VALOR FASE PREPARATORIA DE ALISTAMIENTO]:[VALOR RACION PREPARADA]])-Tabla43[[#This Row],[VALOR TOTAL]]</f>
        <v>0</v>
      </c>
      <c r="BG189" s="12" t="b">
        <f>EXACT(Tabla43[[#This Row],[VALOR TOTAL]],Tabla43[[#This Row],[TOTAL DESEMBOLSOS]])</f>
        <v>1</v>
      </c>
      <c r="BH189" s="29">
        <f>Tabla43[[#This Row],[TOTAL DESEMBOLSOS]]-Tabla43[[#This Row],[VALOR TOTAL]]</f>
        <v>0</v>
      </c>
      <c r="BJ189" t="s">
        <v>3924</v>
      </c>
    </row>
    <row r="190" spans="1:62" hidden="1">
      <c r="A190" s="13">
        <v>1974</v>
      </c>
      <c r="B190" s="13"/>
      <c r="C190" s="12" t="s">
        <v>87</v>
      </c>
      <c r="D190" s="12" t="s">
        <v>462</v>
      </c>
      <c r="E190" s="12" t="s">
        <v>4151</v>
      </c>
      <c r="F190" s="12" t="s">
        <v>16</v>
      </c>
      <c r="G190" s="12" t="s">
        <v>90</v>
      </c>
      <c r="H190" s="12" t="s">
        <v>4208</v>
      </c>
      <c r="I190" s="12">
        <v>54901136769</v>
      </c>
      <c r="J190" s="12" t="s">
        <v>4209</v>
      </c>
      <c r="K190" s="12">
        <v>1</v>
      </c>
      <c r="L190" s="12">
        <v>16</v>
      </c>
      <c r="M190" s="12"/>
      <c r="N190" s="13">
        <v>1974</v>
      </c>
      <c r="O190" s="12" t="s">
        <v>93</v>
      </c>
      <c r="P190" s="12"/>
      <c r="Q190" s="12"/>
      <c r="R190" s="12" t="s">
        <v>94</v>
      </c>
      <c r="S190" s="12">
        <v>10</v>
      </c>
      <c r="T190" s="12" t="s">
        <v>4176</v>
      </c>
      <c r="U190" s="12" t="s">
        <v>4177</v>
      </c>
      <c r="V190" s="12">
        <f>VLOOKUP(Tabla43[[#This Row],[ZONA DEFINITIVO]],Hoja1!$A$1:$D$129,3,0)</f>
        <v>229959</v>
      </c>
      <c r="W190" s="12">
        <f>VLOOKUP(Tabla43[[#This Row],[ZONA DEFINITIVO]],Hoja1!$A$1:$D$129,2,0)</f>
        <v>18591</v>
      </c>
      <c r="X190" s="12">
        <f>VLOOKUP(Tabla43[[#This Row],[ZONA DEFINITIVO]],Hoja1!$A$1:$D$129,4,0)</f>
        <v>117425</v>
      </c>
      <c r="Y190" s="12" t="str">
        <f>+IF(Tabla43[[#This Row],[AGRUPACIONES]]=1,SUMIFS(Tabla43[UDS],Tabla43[ZONA DEFINITIVO],Tabla43[[#This Row],[ZONA DEFINITIVO]])," ")</f>
        <v xml:space="preserve"> </v>
      </c>
      <c r="Z190" s="12" t="str">
        <f>+IF(Tabla43[[#This Row],[AGRUPACIONES]]=1,SUMIFS(Tabla43[TOTAL COBERTURA],Tabla43[ZONA DEFINITIVO],Tabla43[[#This Row],[ZONA DEFINITIVO]])," ")</f>
        <v xml:space="preserve"> </v>
      </c>
      <c r="AA190" s="12"/>
      <c r="AB190" s="51">
        <v>53917232</v>
      </c>
      <c r="AC190" s="37">
        <v>0.02</v>
      </c>
      <c r="AD190" s="38">
        <f>Tabla43[[#This Row],[VALOR ATENCIÓN (7 MESES)]]*Tabla43[[#This Row],[% CONTRAPARTIDA]]</f>
        <v>1078344.6400000001</v>
      </c>
      <c r="AE190" s="12"/>
      <c r="AF190" s="12">
        <f>COUNTIF($A$22:A190,A190)</f>
        <v>23</v>
      </c>
      <c r="AG190" s="51">
        <v>53917232</v>
      </c>
      <c r="AH190" s="38">
        <f>Tabla43[[#This Row],[VALOR CONTRAPARTIDA]]+Tabla43[[#This Row],[TOTAL APORTES ICBF]]</f>
        <v>54995576.640000001</v>
      </c>
      <c r="AI190" s="35" t="str">
        <f>+IF(Tabla43[[#This Row],[AGRUPACIONES]]=1,SUMIFS(Tabla43[TOTAL APORTES ICBF],Tabla43[ZONA DEFINITIVO],Tabla43[[#This Row],[ZONA DEFINITIVO]])," ")</f>
        <v xml:space="preserve"> </v>
      </c>
      <c r="AJ190" s="38"/>
      <c r="AK190" s="38"/>
      <c r="AL190" s="23"/>
      <c r="AM190" s="35">
        <f>VLOOKUP(Tabla43[[#This Row],[SERVICIO 2025]],$J$2:$V$16,5,0)*Tabla43[[#This Row],[TOTAL COBERTURA]]</f>
        <v>1183440</v>
      </c>
      <c r="AN190" s="35">
        <f>VLOOKUP(Tabla43[[#This Row],[SERVICIO 2025]],$J$2:$V$16,6,0)*Tabla43[[#This Row],[TOTAL COBERTURA]]</f>
        <v>522416</v>
      </c>
      <c r="AO190" s="35">
        <f>VLOOKUP(Tabla43[[#This Row],[SERVICIO 2025]],$J$2:$V$16,8,0)*Tabla43[[#This Row],[TOTAL COBERTURA]]</f>
        <v>465584</v>
      </c>
      <c r="AP190" s="35">
        <f>VLOOKUP(Tabla43[[#This Row],[SERVICIO 2025]],$J$2:$V$16,3,0)*Tabla43[[#This Row],[TOTAL COBERTURA]]*7</f>
        <v>51745792</v>
      </c>
      <c r="AQ190" s="35">
        <f>VLOOKUP(Tabla43[[#This Row],[SERVICIO 2025]],$J$2:$V$16,10,0)*Tabla43[[#This Row],[TOTAL COBERTURA]]*7</f>
        <v>0</v>
      </c>
      <c r="AR19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53917232</v>
      </c>
      <c r="AS190" s="35" t="str">
        <f>+IF(Tabla43[[#This Row],[AGRUPACIONES]]=1,SUMIFS(Tabla43[VALOR TOTAL],Tabla43[ZONA DEFINITIVO],Tabla43[[#This Row],[ZONA DEFINITIVO]])," ")</f>
        <v xml:space="preserve"> </v>
      </c>
      <c r="AT19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9041280</v>
      </c>
      <c r="AU190" s="35">
        <f>VLOOKUP(Tabla43[[#This Row],[SERVICIO 2025]],$J$2:$V$16,3,0)*Tabla43[[#This Row],[TOTAL COBERTURA]]+Tabla43[[#This Row],[VALOR RACION PREPARADA]]/7</f>
        <v>7392256</v>
      </c>
      <c r="AV190" s="35">
        <f>VLOOKUP(Tabla43[[#This Row],[SERVICIO 2025]],$J$2:$V$16,3,0)*Tabla43[[#This Row],[TOTAL COBERTURA]]+Tabla43[[#This Row],[VALOR RACION PREPARADA]]/7</f>
        <v>7392256</v>
      </c>
      <c r="AW190" s="35">
        <f>VLOOKUP(Tabla43[[#This Row],[SERVICIO 2025]],$J$2:$V$16,3,0)*Tabla43[[#This Row],[TOTAL COBERTURA]]+Tabla43[[#This Row],[VALOR RACION PREPARADA]]/7</f>
        <v>7392256</v>
      </c>
      <c r="AX190" s="35">
        <f>VLOOKUP(Tabla43[[#This Row],[SERVICIO 2025]],$J$2:$V$16,3,0)*Tabla43[[#This Row],[TOTAL COBERTURA]]+Tabla43[[#This Row],[VALOR RACION PREPARADA]]/7</f>
        <v>7392256</v>
      </c>
      <c r="AY190" s="35">
        <f>VLOOKUP(Tabla43[[#This Row],[SERVICIO 2025]],$J$2:$V$16,3,0)*Tabla43[[#This Row],[TOTAL COBERTURA]]+Tabla43[[#This Row],[VALOR RACION PREPARADA]]/7</f>
        <v>7392256</v>
      </c>
      <c r="AZ190" s="35">
        <f>VLOOKUP(Tabla43[[#This Row],[SERVICIO 2025]],$J$2:$V$16,3,0)*Tabla43[[#This Row],[TOTAL COBERTURA]]+Tabla43[[#This Row],[VALOR RACION PREPARADA]]/7+Tabla43[[#This Row],[VALOR FASE PREPARATORIA DE CIERRE]]</f>
        <v>7914672</v>
      </c>
      <c r="BA190" s="35"/>
      <c r="BB190" s="35">
        <f>SUM(Tabla43[[#This Row],[DESEMBOLSO 1]:[DESEMBOLSO 8]])</f>
        <v>53917232</v>
      </c>
      <c r="BC190" s="55">
        <f>VLOOKUP(Tabla43[[#This Row],[SERVICIO 2025]],$J$2:$V$16,10,0)*Tabla43[[#This Row],[TOTAL COBERTURA]]*$W$3</f>
        <v>0</v>
      </c>
      <c r="BD190" s="47" t="s">
        <v>145</v>
      </c>
      <c r="BE190" s="12" t="b">
        <f>EXACT(Tabla43[[#This Row],[TOTAL APORTES ICBF]],Tabla43[[#This Row],[VALOR TOTAL]])</f>
        <v>1</v>
      </c>
      <c r="BF190" s="23">
        <f>SUM(Tabla43[[#This Row],[VALOR FASE PREPARATORIA DE ALISTAMIENTO]:[VALOR RACION PREPARADA]])-Tabla43[[#This Row],[VALOR TOTAL]]</f>
        <v>0</v>
      </c>
      <c r="BG190" s="12" t="b">
        <f>EXACT(Tabla43[[#This Row],[VALOR TOTAL]],Tabla43[[#This Row],[TOTAL DESEMBOLSOS]])</f>
        <v>1</v>
      </c>
      <c r="BH190" s="29">
        <f>Tabla43[[#This Row],[TOTAL DESEMBOLSOS]]-Tabla43[[#This Row],[VALOR TOTAL]]</f>
        <v>0</v>
      </c>
      <c r="BJ190" t="s">
        <v>3924</v>
      </c>
    </row>
    <row r="191" spans="1:62" hidden="1">
      <c r="A191" s="13">
        <v>1974</v>
      </c>
      <c r="B191" s="13"/>
      <c r="C191" s="12" t="s">
        <v>87</v>
      </c>
      <c r="D191" s="12" t="s">
        <v>462</v>
      </c>
      <c r="E191" s="12" t="s">
        <v>4151</v>
      </c>
      <c r="F191" s="12" t="s">
        <v>18</v>
      </c>
      <c r="G191" s="12" t="s">
        <v>90</v>
      </c>
      <c r="H191" s="12" t="s">
        <v>4210</v>
      </c>
      <c r="I191" s="12">
        <v>54901136945</v>
      </c>
      <c r="J191" s="12" t="s">
        <v>4211</v>
      </c>
      <c r="K191" s="12">
        <v>1</v>
      </c>
      <c r="L191" s="12">
        <v>14</v>
      </c>
      <c r="M191" s="12"/>
      <c r="N191" s="13">
        <v>1974</v>
      </c>
      <c r="O191" s="12" t="s">
        <v>93</v>
      </c>
      <c r="P191" s="12"/>
      <c r="Q191" s="12"/>
      <c r="R191" s="12" t="s">
        <v>94</v>
      </c>
      <c r="S191" s="12">
        <v>10</v>
      </c>
      <c r="T191" s="12" t="s">
        <v>4176</v>
      </c>
      <c r="U191" s="12" t="s">
        <v>4177</v>
      </c>
      <c r="V191" s="12">
        <f>VLOOKUP(Tabla43[[#This Row],[ZONA DEFINITIVO]],Hoja1!$A$1:$D$129,3,0)</f>
        <v>229959</v>
      </c>
      <c r="W191" s="12">
        <f>VLOOKUP(Tabla43[[#This Row],[ZONA DEFINITIVO]],Hoja1!$A$1:$D$129,2,0)</f>
        <v>18591</v>
      </c>
      <c r="X191" s="12">
        <f>VLOOKUP(Tabla43[[#This Row],[ZONA DEFINITIVO]],Hoja1!$A$1:$D$129,4,0)</f>
        <v>117425</v>
      </c>
      <c r="Y191" s="12" t="str">
        <f>+IF(Tabla43[[#This Row],[AGRUPACIONES]]=1,SUMIFS(Tabla43[UDS],Tabla43[ZONA DEFINITIVO],Tabla43[[#This Row],[ZONA DEFINITIVO]])," ")</f>
        <v xml:space="preserve"> </v>
      </c>
      <c r="Z191" s="12" t="str">
        <f>+IF(Tabla43[[#This Row],[AGRUPACIONES]]=1,SUMIFS(Tabla43[TOTAL COBERTURA],Tabla43[ZONA DEFINITIVO],Tabla43[[#This Row],[ZONA DEFINITIVO]])," ")</f>
        <v xml:space="preserve"> </v>
      </c>
      <c r="AA191" s="12"/>
      <c r="AB191" s="51">
        <v>26916498</v>
      </c>
      <c r="AC191" s="37">
        <v>0.02</v>
      </c>
      <c r="AD191" s="38">
        <f>Tabla43[[#This Row],[VALOR ATENCIÓN (7 MESES)]]*Tabla43[[#This Row],[% CONTRAPARTIDA]]</f>
        <v>538329.96</v>
      </c>
      <c r="AE191" s="12"/>
      <c r="AF191" s="12">
        <f>COUNTIF($A$22:A191,A191)</f>
        <v>24</v>
      </c>
      <c r="AG191" s="51">
        <v>26916498</v>
      </c>
      <c r="AH191" s="38">
        <f>Tabla43[[#This Row],[VALOR CONTRAPARTIDA]]+Tabla43[[#This Row],[TOTAL APORTES ICBF]]</f>
        <v>27454827.960000001</v>
      </c>
      <c r="AI191" s="35" t="str">
        <f>+IF(Tabla43[[#This Row],[AGRUPACIONES]]=1,SUMIFS(Tabla43[TOTAL APORTES ICBF],Tabla43[ZONA DEFINITIVO],Tabla43[[#This Row],[ZONA DEFINITIVO]])," ")</f>
        <v xml:space="preserve"> </v>
      </c>
      <c r="AJ191" s="38"/>
      <c r="AK191" s="38"/>
      <c r="AL191" s="23"/>
      <c r="AM191" s="35">
        <f>VLOOKUP(Tabla43[[#This Row],[SERVICIO 2025]],$J$2:$V$16,5,0)*Tabla43[[#This Row],[TOTAL COBERTURA]]</f>
        <v>691264</v>
      </c>
      <c r="AN191" s="35">
        <f>VLOOKUP(Tabla43[[#This Row],[SERVICIO 2025]],$J$2:$V$16,6,0)*Tabla43[[#This Row],[TOTAL COBERTURA]]</f>
        <v>574406</v>
      </c>
      <c r="AO191" s="35">
        <f>VLOOKUP(Tabla43[[#This Row],[SERVICIO 2025]],$J$2:$V$16,8,0)*Tabla43[[#This Row],[TOTAL COBERTURA]]</f>
        <v>407400</v>
      </c>
      <c r="AP191" s="35">
        <f>VLOOKUP(Tabla43[[#This Row],[SERVICIO 2025]],$J$2:$V$16,3,0)*Tabla43[[#This Row],[TOTAL COBERTURA]]*7</f>
        <v>25243428</v>
      </c>
      <c r="AQ191" s="35"/>
      <c r="AR19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26916498</v>
      </c>
      <c r="AS191" s="35" t="str">
        <f>+IF(Tabla43[[#This Row],[AGRUPACIONES]]=1,SUMIFS(Tabla43[VALOR TOTAL],Tabla43[ZONA DEFINITIVO],Tabla43[[#This Row],[ZONA DEFINITIVO]])," ")</f>
        <v xml:space="preserve"> </v>
      </c>
      <c r="AT19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4704868</v>
      </c>
      <c r="AU191" s="35">
        <f>VLOOKUP(Tabla43[[#This Row],[SERVICIO 2025]],$J$2:$V$16,3,0)*Tabla43[[#This Row],[TOTAL COBERTURA]]+Tabla43[[#This Row],[VALOR RACION PREPARADA]]/7</f>
        <v>3606204</v>
      </c>
      <c r="AV191" s="35">
        <f>VLOOKUP(Tabla43[[#This Row],[SERVICIO 2025]],$J$2:$V$16,3,0)*Tabla43[[#This Row],[TOTAL COBERTURA]]+Tabla43[[#This Row],[VALOR RACION PREPARADA]]/7</f>
        <v>3606204</v>
      </c>
      <c r="AW191" s="35">
        <f>VLOOKUP(Tabla43[[#This Row],[SERVICIO 2025]],$J$2:$V$16,3,0)*Tabla43[[#This Row],[TOTAL COBERTURA]]+Tabla43[[#This Row],[VALOR RACION PREPARADA]]/7</f>
        <v>3606204</v>
      </c>
      <c r="AX191" s="35">
        <f>VLOOKUP(Tabla43[[#This Row],[SERVICIO 2025]],$J$2:$V$16,3,0)*Tabla43[[#This Row],[TOTAL COBERTURA]]+Tabla43[[#This Row],[VALOR RACION PREPARADA]]/7</f>
        <v>3606204</v>
      </c>
      <c r="AY191" s="35">
        <f>VLOOKUP(Tabla43[[#This Row],[SERVICIO 2025]],$J$2:$V$16,3,0)*Tabla43[[#This Row],[TOTAL COBERTURA]]+Tabla43[[#This Row],[VALOR RACION PREPARADA]]/7</f>
        <v>3606204</v>
      </c>
      <c r="AZ191" s="35">
        <f>VLOOKUP(Tabla43[[#This Row],[SERVICIO 2025]],$J$2:$V$16,3,0)*Tabla43[[#This Row],[TOTAL COBERTURA]]+Tabla43[[#This Row],[VALOR RACION PREPARADA]]/7+Tabla43[[#This Row],[VALOR FASE PREPARATORIA DE CIERRE]]</f>
        <v>4180610</v>
      </c>
      <c r="BA191" s="35"/>
      <c r="BB191" s="35">
        <f>SUM(Tabla43[[#This Row],[DESEMBOLSO 1]:[DESEMBOLSO 8]])</f>
        <v>26916498</v>
      </c>
      <c r="BC191" s="55">
        <f>VLOOKUP(Tabla43[[#This Row],[SERVICIO 2025]],$J$2:$V$16,10,0)*Tabla43[[#This Row],[TOTAL COBERTURA]]*$W$3</f>
        <v>20202896</v>
      </c>
      <c r="BD191" s="47" t="s">
        <v>211</v>
      </c>
      <c r="BE191" s="12" t="b">
        <f>EXACT(Tabla43[[#This Row],[TOTAL APORTES ICBF]],Tabla43[[#This Row],[VALOR TOTAL]])</f>
        <v>1</v>
      </c>
      <c r="BF191" s="23">
        <f>SUM(Tabla43[[#This Row],[VALOR FASE PREPARATORIA DE ALISTAMIENTO]:[VALOR RACION PREPARADA]])-Tabla43[[#This Row],[VALOR TOTAL]]</f>
        <v>0</v>
      </c>
      <c r="BG191" s="12" t="b">
        <f>EXACT(Tabla43[[#This Row],[VALOR TOTAL]],Tabla43[[#This Row],[TOTAL DESEMBOLSOS]])</f>
        <v>1</v>
      </c>
      <c r="BH191" s="29">
        <f>Tabla43[[#This Row],[TOTAL DESEMBOLSOS]]-Tabla43[[#This Row],[VALOR TOTAL]]</f>
        <v>0</v>
      </c>
      <c r="BJ191" t="s">
        <v>3924</v>
      </c>
    </row>
    <row r="192" spans="1:62" hidden="1">
      <c r="A192" s="13">
        <v>1974</v>
      </c>
      <c r="B192" s="13"/>
      <c r="C192" s="12" t="s">
        <v>87</v>
      </c>
      <c r="D192" s="12" t="s">
        <v>462</v>
      </c>
      <c r="E192" s="12" t="s">
        <v>4151</v>
      </c>
      <c r="F192" s="12" t="s">
        <v>18</v>
      </c>
      <c r="G192" s="12" t="s">
        <v>90</v>
      </c>
      <c r="H192" s="12" t="s">
        <v>4212</v>
      </c>
      <c r="I192" s="12">
        <v>54901136978</v>
      </c>
      <c r="J192" s="12" t="s">
        <v>4213</v>
      </c>
      <c r="K192" s="12">
        <v>1</v>
      </c>
      <c r="L192" s="12">
        <v>17</v>
      </c>
      <c r="M192" s="12"/>
      <c r="N192" s="13">
        <v>1974</v>
      </c>
      <c r="O192" s="12" t="s">
        <v>93</v>
      </c>
      <c r="P192" s="12"/>
      <c r="Q192" s="12"/>
      <c r="R192" s="12" t="s">
        <v>94</v>
      </c>
      <c r="S192" s="12">
        <v>10</v>
      </c>
      <c r="T192" s="12" t="s">
        <v>4176</v>
      </c>
      <c r="U192" s="12" t="s">
        <v>4177</v>
      </c>
      <c r="V192" s="12">
        <f>VLOOKUP(Tabla43[[#This Row],[ZONA DEFINITIVO]],Hoja1!$A$1:$D$129,3,0)</f>
        <v>229959</v>
      </c>
      <c r="W192" s="12">
        <f>VLOOKUP(Tabla43[[#This Row],[ZONA DEFINITIVO]],Hoja1!$A$1:$D$129,2,0)</f>
        <v>18591</v>
      </c>
      <c r="X192" s="12">
        <f>VLOOKUP(Tabla43[[#This Row],[ZONA DEFINITIVO]],Hoja1!$A$1:$D$129,4,0)</f>
        <v>117425</v>
      </c>
      <c r="Y192" s="12" t="str">
        <f>+IF(Tabla43[[#This Row],[AGRUPACIONES]]=1,SUMIFS(Tabla43[UDS],Tabla43[ZONA DEFINITIVO],Tabla43[[#This Row],[ZONA DEFINITIVO]])," ")</f>
        <v xml:space="preserve"> </v>
      </c>
      <c r="Z192" s="12" t="str">
        <f>+IF(Tabla43[[#This Row],[AGRUPACIONES]]=1,SUMIFS(Tabla43[TOTAL COBERTURA],Tabla43[ZONA DEFINITIVO],Tabla43[[#This Row],[ZONA DEFINITIVO]])," ")</f>
        <v xml:space="preserve"> </v>
      </c>
      <c r="AA192" s="12"/>
      <c r="AB192" s="51">
        <v>32684319</v>
      </c>
      <c r="AC192" s="37">
        <v>0.02</v>
      </c>
      <c r="AD192" s="38">
        <f>Tabla43[[#This Row],[VALOR ATENCIÓN (7 MESES)]]*Tabla43[[#This Row],[% CONTRAPARTIDA]]</f>
        <v>653686.38</v>
      </c>
      <c r="AE192" s="12"/>
      <c r="AF192" s="12">
        <f>COUNTIF($A$22:A192,A192)</f>
        <v>25</v>
      </c>
      <c r="AG192" s="51">
        <v>32684319</v>
      </c>
      <c r="AH192" s="38">
        <f>Tabla43[[#This Row],[VALOR CONTRAPARTIDA]]+Tabla43[[#This Row],[TOTAL APORTES ICBF]]</f>
        <v>33338005.379999999</v>
      </c>
      <c r="AI192" s="35" t="str">
        <f>+IF(Tabla43[[#This Row],[AGRUPACIONES]]=1,SUMIFS(Tabla43[TOTAL APORTES ICBF],Tabla43[ZONA DEFINITIVO],Tabla43[[#This Row],[ZONA DEFINITIVO]])," ")</f>
        <v xml:space="preserve"> </v>
      </c>
      <c r="AJ192" s="38"/>
      <c r="AK192" s="38"/>
      <c r="AL192" s="23"/>
      <c r="AM192" s="35">
        <f>VLOOKUP(Tabla43[[#This Row],[SERVICIO 2025]],$J$2:$V$16,5,0)*Tabla43[[#This Row],[TOTAL COBERTURA]]</f>
        <v>839392</v>
      </c>
      <c r="AN192" s="35">
        <f>VLOOKUP(Tabla43[[#This Row],[SERVICIO 2025]],$J$2:$V$16,6,0)*Tabla43[[#This Row],[TOTAL COBERTURA]]</f>
        <v>697493</v>
      </c>
      <c r="AO192" s="35">
        <f>VLOOKUP(Tabla43[[#This Row],[SERVICIO 2025]],$J$2:$V$16,8,0)*Tabla43[[#This Row],[TOTAL COBERTURA]]</f>
        <v>494700</v>
      </c>
      <c r="AP192" s="35">
        <f>VLOOKUP(Tabla43[[#This Row],[SERVICIO 2025]],$J$2:$V$16,3,0)*Tabla43[[#This Row],[TOTAL COBERTURA]]*7</f>
        <v>30652734</v>
      </c>
      <c r="AQ192" s="35"/>
      <c r="AR19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32684319</v>
      </c>
      <c r="AS192" s="35" t="str">
        <f>+IF(Tabla43[[#This Row],[AGRUPACIONES]]=1,SUMIFS(Tabla43[VALOR TOTAL],Tabla43[ZONA DEFINITIVO],Tabla43[[#This Row],[ZONA DEFINITIVO]])," ")</f>
        <v xml:space="preserve"> </v>
      </c>
      <c r="AT19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5713054</v>
      </c>
      <c r="AU192" s="35">
        <f>VLOOKUP(Tabla43[[#This Row],[SERVICIO 2025]],$J$2:$V$16,3,0)*Tabla43[[#This Row],[TOTAL COBERTURA]]+Tabla43[[#This Row],[VALOR RACION PREPARADA]]/7</f>
        <v>4378962</v>
      </c>
      <c r="AV192" s="35">
        <f>VLOOKUP(Tabla43[[#This Row],[SERVICIO 2025]],$J$2:$V$16,3,0)*Tabla43[[#This Row],[TOTAL COBERTURA]]+Tabla43[[#This Row],[VALOR RACION PREPARADA]]/7</f>
        <v>4378962</v>
      </c>
      <c r="AW192" s="35">
        <f>VLOOKUP(Tabla43[[#This Row],[SERVICIO 2025]],$J$2:$V$16,3,0)*Tabla43[[#This Row],[TOTAL COBERTURA]]+Tabla43[[#This Row],[VALOR RACION PREPARADA]]/7</f>
        <v>4378962</v>
      </c>
      <c r="AX192" s="35">
        <f>VLOOKUP(Tabla43[[#This Row],[SERVICIO 2025]],$J$2:$V$16,3,0)*Tabla43[[#This Row],[TOTAL COBERTURA]]+Tabla43[[#This Row],[VALOR RACION PREPARADA]]/7</f>
        <v>4378962</v>
      </c>
      <c r="AY192" s="35">
        <f>VLOOKUP(Tabla43[[#This Row],[SERVICIO 2025]],$J$2:$V$16,3,0)*Tabla43[[#This Row],[TOTAL COBERTURA]]+Tabla43[[#This Row],[VALOR RACION PREPARADA]]/7</f>
        <v>4378962</v>
      </c>
      <c r="AZ192" s="35">
        <f>VLOOKUP(Tabla43[[#This Row],[SERVICIO 2025]],$J$2:$V$16,3,0)*Tabla43[[#This Row],[TOTAL COBERTURA]]+Tabla43[[#This Row],[VALOR RACION PREPARADA]]/7+Tabla43[[#This Row],[VALOR FASE PREPARATORIA DE CIERRE]]</f>
        <v>5076455</v>
      </c>
      <c r="BA192" s="35"/>
      <c r="BB192" s="35">
        <f>SUM(Tabla43[[#This Row],[DESEMBOLSO 1]:[DESEMBOLSO 8]])</f>
        <v>32684319</v>
      </c>
      <c r="BC192" s="55">
        <f>VLOOKUP(Tabla43[[#This Row],[SERVICIO 2025]],$J$2:$V$16,10,0)*Tabla43[[#This Row],[TOTAL COBERTURA]]*$W$3</f>
        <v>24532088</v>
      </c>
      <c r="BD192" s="47" t="s">
        <v>211</v>
      </c>
      <c r="BE192" s="12" t="b">
        <f>EXACT(Tabla43[[#This Row],[TOTAL APORTES ICBF]],Tabla43[[#This Row],[VALOR TOTAL]])</f>
        <v>1</v>
      </c>
      <c r="BF192" s="23">
        <f>SUM(Tabla43[[#This Row],[VALOR FASE PREPARATORIA DE ALISTAMIENTO]:[VALOR RACION PREPARADA]])-Tabla43[[#This Row],[VALOR TOTAL]]</f>
        <v>0</v>
      </c>
      <c r="BG192" s="12" t="b">
        <f>EXACT(Tabla43[[#This Row],[VALOR TOTAL]],Tabla43[[#This Row],[TOTAL DESEMBOLSOS]])</f>
        <v>1</v>
      </c>
      <c r="BH192" s="29">
        <f>Tabla43[[#This Row],[TOTAL DESEMBOLSOS]]-Tabla43[[#This Row],[VALOR TOTAL]]</f>
        <v>0</v>
      </c>
      <c r="BJ192" t="s">
        <v>3924</v>
      </c>
    </row>
    <row r="193" spans="1:62" hidden="1">
      <c r="A193" s="13">
        <v>1974</v>
      </c>
      <c r="B193" s="13"/>
      <c r="C193" s="12" t="s">
        <v>87</v>
      </c>
      <c r="D193" s="12" t="s">
        <v>462</v>
      </c>
      <c r="E193" s="12" t="s">
        <v>4151</v>
      </c>
      <c r="F193" s="12" t="s">
        <v>18</v>
      </c>
      <c r="G193" s="12" t="s">
        <v>90</v>
      </c>
      <c r="H193" s="12" t="s">
        <v>4214</v>
      </c>
      <c r="I193" s="12">
        <v>54901137301</v>
      </c>
      <c r="J193" s="12" t="s">
        <v>4215</v>
      </c>
      <c r="K193" s="12">
        <v>1</v>
      </c>
      <c r="L193" s="12">
        <v>20</v>
      </c>
      <c r="M193" s="12"/>
      <c r="N193" s="13">
        <v>1974</v>
      </c>
      <c r="O193" s="12" t="s">
        <v>93</v>
      </c>
      <c r="P193" s="12"/>
      <c r="Q193" s="12"/>
      <c r="R193" s="12" t="s">
        <v>94</v>
      </c>
      <c r="S193" s="12">
        <v>10</v>
      </c>
      <c r="T193" s="12" t="s">
        <v>4176</v>
      </c>
      <c r="U193" s="12" t="s">
        <v>4177</v>
      </c>
      <c r="V193" s="12">
        <f>VLOOKUP(Tabla43[[#This Row],[ZONA DEFINITIVO]],Hoja1!$A$1:$D$129,3,0)</f>
        <v>229959</v>
      </c>
      <c r="W193" s="12">
        <f>VLOOKUP(Tabla43[[#This Row],[ZONA DEFINITIVO]],Hoja1!$A$1:$D$129,2,0)</f>
        <v>18591</v>
      </c>
      <c r="X193" s="12">
        <f>VLOOKUP(Tabla43[[#This Row],[ZONA DEFINITIVO]],Hoja1!$A$1:$D$129,4,0)</f>
        <v>117425</v>
      </c>
      <c r="Y193" s="12" t="str">
        <f>+IF(Tabla43[[#This Row],[AGRUPACIONES]]=1,SUMIFS(Tabla43[UDS],Tabla43[ZONA DEFINITIVO],Tabla43[[#This Row],[ZONA DEFINITIVO]])," ")</f>
        <v xml:space="preserve"> </v>
      </c>
      <c r="Z193" s="12" t="str">
        <f>+IF(Tabla43[[#This Row],[AGRUPACIONES]]=1,SUMIFS(Tabla43[TOTAL COBERTURA],Tabla43[ZONA DEFINITIVO],Tabla43[[#This Row],[ZONA DEFINITIVO]])," ")</f>
        <v xml:space="preserve"> </v>
      </c>
      <c r="AA193" s="12"/>
      <c r="AB193" s="51">
        <v>38452140</v>
      </c>
      <c r="AC193" s="37">
        <v>0.02</v>
      </c>
      <c r="AD193" s="38">
        <f>Tabla43[[#This Row],[VALOR ATENCIÓN (7 MESES)]]*Tabla43[[#This Row],[% CONTRAPARTIDA]]</f>
        <v>769042.8</v>
      </c>
      <c r="AE193" s="12"/>
      <c r="AF193" s="12">
        <f>COUNTIF($A$22:A193,A193)</f>
        <v>26</v>
      </c>
      <c r="AG193" s="51">
        <v>38452140</v>
      </c>
      <c r="AH193" s="38">
        <f>Tabla43[[#This Row],[VALOR CONTRAPARTIDA]]+Tabla43[[#This Row],[TOTAL APORTES ICBF]]</f>
        <v>39221182.799999997</v>
      </c>
      <c r="AI193" s="35" t="str">
        <f>+IF(Tabla43[[#This Row],[AGRUPACIONES]]=1,SUMIFS(Tabla43[TOTAL APORTES ICBF],Tabla43[ZONA DEFINITIVO],Tabla43[[#This Row],[ZONA DEFINITIVO]])," ")</f>
        <v xml:space="preserve"> </v>
      </c>
      <c r="AJ193" s="38"/>
      <c r="AK193" s="38"/>
      <c r="AL193" s="23"/>
      <c r="AM193" s="35">
        <f>VLOOKUP(Tabla43[[#This Row],[SERVICIO 2025]],$J$2:$V$16,5,0)*Tabla43[[#This Row],[TOTAL COBERTURA]]</f>
        <v>987520</v>
      </c>
      <c r="AN193" s="35">
        <f>VLOOKUP(Tabla43[[#This Row],[SERVICIO 2025]],$J$2:$V$16,6,0)*Tabla43[[#This Row],[TOTAL COBERTURA]]</f>
        <v>820580</v>
      </c>
      <c r="AO193" s="35">
        <f>VLOOKUP(Tabla43[[#This Row],[SERVICIO 2025]],$J$2:$V$16,8,0)*Tabla43[[#This Row],[TOTAL COBERTURA]]</f>
        <v>582000</v>
      </c>
      <c r="AP193" s="35">
        <f>VLOOKUP(Tabla43[[#This Row],[SERVICIO 2025]],$J$2:$V$16,3,0)*Tabla43[[#This Row],[TOTAL COBERTURA]]*7</f>
        <v>36062040</v>
      </c>
      <c r="AQ193" s="35"/>
      <c r="AR19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38452140</v>
      </c>
      <c r="AS193" s="35" t="str">
        <f>+IF(Tabla43[[#This Row],[AGRUPACIONES]]=1,SUMIFS(Tabla43[VALOR TOTAL],Tabla43[ZONA DEFINITIVO],Tabla43[[#This Row],[ZONA DEFINITIVO]])," ")</f>
        <v xml:space="preserve"> </v>
      </c>
      <c r="AT19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6721240</v>
      </c>
      <c r="AU193" s="35">
        <f>VLOOKUP(Tabla43[[#This Row],[SERVICIO 2025]],$J$2:$V$16,3,0)*Tabla43[[#This Row],[TOTAL COBERTURA]]+Tabla43[[#This Row],[VALOR RACION PREPARADA]]/7</f>
        <v>5151720</v>
      </c>
      <c r="AV193" s="35">
        <f>VLOOKUP(Tabla43[[#This Row],[SERVICIO 2025]],$J$2:$V$16,3,0)*Tabla43[[#This Row],[TOTAL COBERTURA]]+Tabla43[[#This Row],[VALOR RACION PREPARADA]]/7</f>
        <v>5151720</v>
      </c>
      <c r="AW193" s="35">
        <f>VLOOKUP(Tabla43[[#This Row],[SERVICIO 2025]],$J$2:$V$16,3,0)*Tabla43[[#This Row],[TOTAL COBERTURA]]+Tabla43[[#This Row],[VALOR RACION PREPARADA]]/7</f>
        <v>5151720</v>
      </c>
      <c r="AX193" s="35">
        <f>VLOOKUP(Tabla43[[#This Row],[SERVICIO 2025]],$J$2:$V$16,3,0)*Tabla43[[#This Row],[TOTAL COBERTURA]]+Tabla43[[#This Row],[VALOR RACION PREPARADA]]/7</f>
        <v>5151720</v>
      </c>
      <c r="AY193" s="35">
        <f>VLOOKUP(Tabla43[[#This Row],[SERVICIO 2025]],$J$2:$V$16,3,0)*Tabla43[[#This Row],[TOTAL COBERTURA]]+Tabla43[[#This Row],[VALOR RACION PREPARADA]]/7</f>
        <v>5151720</v>
      </c>
      <c r="AZ193" s="35">
        <f>VLOOKUP(Tabla43[[#This Row],[SERVICIO 2025]],$J$2:$V$16,3,0)*Tabla43[[#This Row],[TOTAL COBERTURA]]+Tabla43[[#This Row],[VALOR RACION PREPARADA]]/7+Tabla43[[#This Row],[VALOR FASE PREPARATORIA DE CIERRE]]</f>
        <v>5972300</v>
      </c>
      <c r="BA193" s="35"/>
      <c r="BB193" s="35">
        <f>SUM(Tabla43[[#This Row],[DESEMBOLSO 1]:[DESEMBOLSO 8]])</f>
        <v>38452140</v>
      </c>
      <c r="BC193" s="55">
        <f>VLOOKUP(Tabla43[[#This Row],[SERVICIO 2025]],$J$2:$V$16,10,0)*Tabla43[[#This Row],[TOTAL COBERTURA]]*$W$3</f>
        <v>28861280</v>
      </c>
      <c r="BD193" s="47" t="s">
        <v>211</v>
      </c>
      <c r="BE193" s="12" t="b">
        <f>EXACT(Tabla43[[#This Row],[TOTAL APORTES ICBF]],Tabla43[[#This Row],[VALOR TOTAL]])</f>
        <v>1</v>
      </c>
      <c r="BF193" s="23">
        <f>SUM(Tabla43[[#This Row],[VALOR FASE PREPARATORIA DE ALISTAMIENTO]:[VALOR RACION PREPARADA]])-Tabla43[[#This Row],[VALOR TOTAL]]</f>
        <v>0</v>
      </c>
      <c r="BG193" s="12" t="b">
        <f>EXACT(Tabla43[[#This Row],[VALOR TOTAL]],Tabla43[[#This Row],[TOTAL DESEMBOLSOS]])</f>
        <v>1</v>
      </c>
      <c r="BH193" s="29">
        <f>Tabla43[[#This Row],[TOTAL DESEMBOLSOS]]-Tabla43[[#This Row],[VALOR TOTAL]]</f>
        <v>0</v>
      </c>
      <c r="BJ193" t="s">
        <v>3924</v>
      </c>
    </row>
    <row r="194" spans="1:62" hidden="1">
      <c r="A194" s="13">
        <v>1974</v>
      </c>
      <c r="B194" s="13"/>
      <c r="C194" s="12" t="s">
        <v>87</v>
      </c>
      <c r="D194" s="12" t="s">
        <v>462</v>
      </c>
      <c r="E194" s="12" t="s">
        <v>4151</v>
      </c>
      <c r="F194" s="12" t="s">
        <v>16</v>
      </c>
      <c r="G194" s="12" t="s">
        <v>90</v>
      </c>
      <c r="H194" s="12" t="s">
        <v>4216</v>
      </c>
      <c r="I194" s="12">
        <v>54901148808</v>
      </c>
      <c r="J194" s="12" t="s">
        <v>4217</v>
      </c>
      <c r="K194" s="12">
        <v>1</v>
      </c>
      <c r="L194" s="12">
        <v>25</v>
      </c>
      <c r="M194" s="12"/>
      <c r="N194" s="13">
        <v>1974</v>
      </c>
      <c r="O194" s="12" t="s">
        <v>93</v>
      </c>
      <c r="P194" s="12"/>
      <c r="Q194" s="12"/>
      <c r="R194" s="12" t="s">
        <v>94</v>
      </c>
      <c r="S194" s="12">
        <v>10</v>
      </c>
      <c r="T194" s="12" t="s">
        <v>4176</v>
      </c>
      <c r="U194" s="12" t="s">
        <v>4177</v>
      </c>
      <c r="V194" s="12">
        <f>VLOOKUP(Tabla43[[#This Row],[ZONA DEFINITIVO]],Hoja1!$A$1:$D$129,3,0)</f>
        <v>229959</v>
      </c>
      <c r="W194" s="12">
        <f>VLOOKUP(Tabla43[[#This Row],[ZONA DEFINITIVO]],Hoja1!$A$1:$D$129,2,0)</f>
        <v>18591</v>
      </c>
      <c r="X194" s="12">
        <f>VLOOKUP(Tabla43[[#This Row],[ZONA DEFINITIVO]],Hoja1!$A$1:$D$129,4,0)</f>
        <v>117425</v>
      </c>
      <c r="Y194" s="12" t="str">
        <f>+IF(Tabla43[[#This Row],[AGRUPACIONES]]=1,SUMIFS(Tabla43[UDS],Tabla43[ZONA DEFINITIVO],Tabla43[[#This Row],[ZONA DEFINITIVO]])," ")</f>
        <v xml:space="preserve"> </v>
      </c>
      <c r="Z194" s="12" t="str">
        <f>+IF(Tabla43[[#This Row],[AGRUPACIONES]]=1,SUMIFS(Tabla43[TOTAL COBERTURA],Tabla43[ZONA DEFINITIVO],Tabla43[[#This Row],[ZONA DEFINITIVO]])," ")</f>
        <v xml:space="preserve"> </v>
      </c>
      <c r="AA194" s="12"/>
      <c r="AB194" s="51">
        <v>84245675</v>
      </c>
      <c r="AC194" s="37">
        <v>0.02</v>
      </c>
      <c r="AD194" s="38">
        <f>Tabla43[[#This Row],[VALOR ATENCIÓN (7 MESES)]]*Tabla43[[#This Row],[% CONTRAPARTIDA]]</f>
        <v>1684913.5</v>
      </c>
      <c r="AE194" s="12"/>
      <c r="AF194" s="12">
        <f>COUNTIF($A$22:A194,A194)</f>
        <v>27</v>
      </c>
      <c r="AG194" s="51">
        <v>84245675</v>
      </c>
      <c r="AH194" s="38">
        <f>Tabla43[[#This Row],[VALOR CONTRAPARTIDA]]+Tabla43[[#This Row],[TOTAL APORTES ICBF]]</f>
        <v>85930588.5</v>
      </c>
      <c r="AI194" s="35" t="str">
        <f>+IF(Tabla43[[#This Row],[AGRUPACIONES]]=1,SUMIFS(Tabla43[TOTAL APORTES ICBF],Tabla43[ZONA DEFINITIVO],Tabla43[[#This Row],[ZONA DEFINITIVO]])," ")</f>
        <v xml:space="preserve"> </v>
      </c>
      <c r="AJ194" s="38"/>
      <c r="AK194" s="38"/>
      <c r="AL194" s="23"/>
      <c r="AM194" s="35">
        <f>VLOOKUP(Tabla43[[#This Row],[SERVICIO 2025]],$J$2:$V$16,5,0)*Tabla43[[#This Row],[TOTAL COBERTURA]]</f>
        <v>1849125</v>
      </c>
      <c r="AN194" s="35">
        <f>VLOOKUP(Tabla43[[#This Row],[SERVICIO 2025]],$J$2:$V$16,6,0)*Tabla43[[#This Row],[TOTAL COBERTURA]]</f>
        <v>816275</v>
      </c>
      <c r="AO194" s="35">
        <f>VLOOKUP(Tabla43[[#This Row],[SERVICIO 2025]],$J$2:$V$16,8,0)*Tabla43[[#This Row],[TOTAL COBERTURA]]</f>
        <v>727475</v>
      </c>
      <c r="AP194" s="35">
        <f>VLOOKUP(Tabla43[[#This Row],[SERVICIO 2025]],$J$2:$V$16,3,0)*Tabla43[[#This Row],[TOTAL COBERTURA]]*7</f>
        <v>80852800</v>
      </c>
      <c r="AQ194" s="35">
        <f>VLOOKUP(Tabla43[[#This Row],[SERVICIO 2025]],$J$2:$V$16,10,0)*Tabla43[[#This Row],[TOTAL COBERTURA]]*7</f>
        <v>0</v>
      </c>
      <c r="AR19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84245675</v>
      </c>
      <c r="AS194" s="35" t="str">
        <f>+IF(Tabla43[[#This Row],[AGRUPACIONES]]=1,SUMIFS(Tabla43[VALOR TOTAL],Tabla43[ZONA DEFINITIVO],Tabla43[[#This Row],[ZONA DEFINITIVO]])," ")</f>
        <v xml:space="preserve"> </v>
      </c>
      <c r="AT19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14127000</v>
      </c>
      <c r="AU194" s="35">
        <f>VLOOKUP(Tabla43[[#This Row],[SERVICIO 2025]],$J$2:$V$16,3,0)*Tabla43[[#This Row],[TOTAL COBERTURA]]+Tabla43[[#This Row],[VALOR RACION PREPARADA]]/7</f>
        <v>11550400</v>
      </c>
      <c r="AV194" s="35">
        <f>VLOOKUP(Tabla43[[#This Row],[SERVICIO 2025]],$J$2:$V$16,3,0)*Tabla43[[#This Row],[TOTAL COBERTURA]]+Tabla43[[#This Row],[VALOR RACION PREPARADA]]/7</f>
        <v>11550400</v>
      </c>
      <c r="AW194" s="35">
        <f>VLOOKUP(Tabla43[[#This Row],[SERVICIO 2025]],$J$2:$V$16,3,0)*Tabla43[[#This Row],[TOTAL COBERTURA]]+Tabla43[[#This Row],[VALOR RACION PREPARADA]]/7</f>
        <v>11550400</v>
      </c>
      <c r="AX194" s="35">
        <f>VLOOKUP(Tabla43[[#This Row],[SERVICIO 2025]],$J$2:$V$16,3,0)*Tabla43[[#This Row],[TOTAL COBERTURA]]+Tabla43[[#This Row],[VALOR RACION PREPARADA]]/7</f>
        <v>11550400</v>
      </c>
      <c r="AY194" s="35">
        <f>VLOOKUP(Tabla43[[#This Row],[SERVICIO 2025]],$J$2:$V$16,3,0)*Tabla43[[#This Row],[TOTAL COBERTURA]]+Tabla43[[#This Row],[VALOR RACION PREPARADA]]/7</f>
        <v>11550400</v>
      </c>
      <c r="AZ194" s="35">
        <f>VLOOKUP(Tabla43[[#This Row],[SERVICIO 2025]],$J$2:$V$16,3,0)*Tabla43[[#This Row],[TOTAL COBERTURA]]+Tabla43[[#This Row],[VALOR RACION PREPARADA]]/7+Tabla43[[#This Row],[VALOR FASE PREPARATORIA DE CIERRE]]</f>
        <v>12366675</v>
      </c>
      <c r="BA194" s="35"/>
      <c r="BB194" s="35">
        <f>SUM(Tabla43[[#This Row],[DESEMBOLSO 1]:[DESEMBOLSO 8]])</f>
        <v>84245675</v>
      </c>
      <c r="BC194" s="55">
        <f>VLOOKUP(Tabla43[[#This Row],[SERVICIO 2025]],$J$2:$V$16,10,0)*Tabla43[[#This Row],[TOTAL COBERTURA]]*$W$3</f>
        <v>0</v>
      </c>
      <c r="BD194" s="47" t="s">
        <v>145</v>
      </c>
      <c r="BE194" s="12" t="b">
        <f>EXACT(Tabla43[[#This Row],[TOTAL APORTES ICBF]],Tabla43[[#This Row],[VALOR TOTAL]])</f>
        <v>1</v>
      </c>
      <c r="BF194" s="23">
        <f>SUM(Tabla43[[#This Row],[VALOR FASE PREPARATORIA DE ALISTAMIENTO]:[VALOR RACION PREPARADA]])-Tabla43[[#This Row],[VALOR TOTAL]]</f>
        <v>0</v>
      </c>
      <c r="BG194" s="12" t="b">
        <f>EXACT(Tabla43[[#This Row],[VALOR TOTAL]],Tabla43[[#This Row],[TOTAL DESEMBOLSOS]])</f>
        <v>1</v>
      </c>
      <c r="BH194" s="29">
        <f>Tabla43[[#This Row],[TOTAL DESEMBOLSOS]]-Tabla43[[#This Row],[VALOR TOTAL]]</f>
        <v>0</v>
      </c>
      <c r="BJ194" t="s">
        <v>3924</v>
      </c>
    </row>
    <row r="195" spans="1:62" hidden="1">
      <c r="A195" s="13">
        <v>1974</v>
      </c>
      <c r="B195" s="13"/>
      <c r="C195" s="12" t="s">
        <v>87</v>
      </c>
      <c r="D195" s="12" t="s">
        <v>462</v>
      </c>
      <c r="E195" s="12" t="s">
        <v>4151</v>
      </c>
      <c r="F195" s="12" t="s">
        <v>16</v>
      </c>
      <c r="G195" s="12" t="s">
        <v>90</v>
      </c>
      <c r="H195" s="12" t="s">
        <v>4218</v>
      </c>
      <c r="I195" s="12">
        <v>54901150096</v>
      </c>
      <c r="J195" s="12" t="s">
        <v>4219</v>
      </c>
      <c r="K195" s="12">
        <v>1</v>
      </c>
      <c r="L195" s="12">
        <v>60</v>
      </c>
      <c r="M195" s="12"/>
      <c r="N195" s="13">
        <v>1974</v>
      </c>
      <c r="O195" s="12" t="s">
        <v>93</v>
      </c>
      <c r="P195" s="12"/>
      <c r="Q195" s="12"/>
      <c r="R195" s="12" t="s">
        <v>94</v>
      </c>
      <c r="S195" s="12">
        <v>10</v>
      </c>
      <c r="T195" s="12" t="s">
        <v>4176</v>
      </c>
      <c r="U195" s="12" t="s">
        <v>4177</v>
      </c>
      <c r="V195" s="12">
        <f>VLOOKUP(Tabla43[[#This Row],[ZONA DEFINITIVO]],Hoja1!$A$1:$D$129,3,0)</f>
        <v>229959</v>
      </c>
      <c r="W195" s="12">
        <f>VLOOKUP(Tabla43[[#This Row],[ZONA DEFINITIVO]],Hoja1!$A$1:$D$129,2,0)</f>
        <v>18591</v>
      </c>
      <c r="X195" s="12">
        <f>VLOOKUP(Tabla43[[#This Row],[ZONA DEFINITIVO]],Hoja1!$A$1:$D$129,4,0)</f>
        <v>117425</v>
      </c>
      <c r="Y195" s="12" t="str">
        <f>+IF(Tabla43[[#This Row],[AGRUPACIONES]]=1,SUMIFS(Tabla43[UDS],Tabla43[ZONA DEFINITIVO],Tabla43[[#This Row],[ZONA DEFINITIVO]])," ")</f>
        <v xml:space="preserve"> </v>
      </c>
      <c r="Z195" s="12" t="str">
        <f>+IF(Tabla43[[#This Row],[AGRUPACIONES]]=1,SUMIFS(Tabla43[TOTAL COBERTURA],Tabla43[ZONA DEFINITIVO],Tabla43[[#This Row],[ZONA DEFINITIVO]])," ")</f>
        <v xml:space="preserve"> </v>
      </c>
      <c r="AA195" s="12"/>
      <c r="AB195" s="51">
        <v>202189620</v>
      </c>
      <c r="AC195" s="37">
        <v>0.02</v>
      </c>
      <c r="AD195" s="38">
        <f>Tabla43[[#This Row],[VALOR ATENCIÓN (7 MESES)]]*Tabla43[[#This Row],[% CONTRAPARTIDA]]</f>
        <v>4043792.4</v>
      </c>
      <c r="AE195" s="12"/>
      <c r="AF195" s="12">
        <f>COUNTIF($A$22:A195,A195)</f>
        <v>28</v>
      </c>
      <c r="AG195" s="51">
        <v>202189620</v>
      </c>
      <c r="AH195" s="38">
        <f>Tabla43[[#This Row],[VALOR CONTRAPARTIDA]]+Tabla43[[#This Row],[TOTAL APORTES ICBF]]</f>
        <v>206233412.40000001</v>
      </c>
      <c r="AI195" s="35" t="str">
        <f>+IF(Tabla43[[#This Row],[AGRUPACIONES]]=1,SUMIFS(Tabla43[TOTAL APORTES ICBF],Tabla43[ZONA DEFINITIVO],Tabla43[[#This Row],[ZONA DEFINITIVO]])," ")</f>
        <v xml:space="preserve"> </v>
      </c>
      <c r="AJ195" s="38"/>
      <c r="AK195" s="38"/>
      <c r="AL195" s="23"/>
      <c r="AM195" s="35">
        <f>VLOOKUP(Tabla43[[#This Row],[SERVICIO 2025]],$J$2:$V$16,5,0)*Tabla43[[#This Row],[TOTAL COBERTURA]]</f>
        <v>4437900</v>
      </c>
      <c r="AN195" s="35">
        <f>VLOOKUP(Tabla43[[#This Row],[SERVICIO 2025]],$J$2:$V$16,6,0)*Tabla43[[#This Row],[TOTAL COBERTURA]]</f>
        <v>1959060</v>
      </c>
      <c r="AO195" s="35">
        <f>VLOOKUP(Tabla43[[#This Row],[SERVICIO 2025]],$J$2:$V$16,8,0)*Tabla43[[#This Row],[TOTAL COBERTURA]]</f>
        <v>1745940</v>
      </c>
      <c r="AP195" s="35">
        <f>VLOOKUP(Tabla43[[#This Row],[SERVICIO 2025]],$J$2:$V$16,3,0)*Tabla43[[#This Row],[TOTAL COBERTURA]]*7</f>
        <v>194046720</v>
      </c>
      <c r="AQ195" s="35">
        <f>VLOOKUP(Tabla43[[#This Row],[SERVICIO 2025]],$J$2:$V$16,10,0)*Tabla43[[#This Row],[TOTAL COBERTURA]]*7</f>
        <v>0</v>
      </c>
      <c r="AR19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202189620</v>
      </c>
      <c r="AS195" s="35" t="str">
        <f>+IF(Tabla43[[#This Row],[AGRUPACIONES]]=1,SUMIFS(Tabla43[VALOR TOTAL],Tabla43[ZONA DEFINITIVO],Tabla43[[#This Row],[ZONA DEFINITIVO]])," ")</f>
        <v xml:space="preserve"> </v>
      </c>
      <c r="AT19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33904800</v>
      </c>
      <c r="AU195" s="35">
        <f>VLOOKUP(Tabla43[[#This Row],[SERVICIO 2025]],$J$2:$V$16,3,0)*Tabla43[[#This Row],[TOTAL COBERTURA]]+Tabla43[[#This Row],[VALOR RACION PREPARADA]]/7</f>
        <v>27720960</v>
      </c>
      <c r="AV195" s="35">
        <f>VLOOKUP(Tabla43[[#This Row],[SERVICIO 2025]],$J$2:$V$16,3,0)*Tabla43[[#This Row],[TOTAL COBERTURA]]+Tabla43[[#This Row],[VALOR RACION PREPARADA]]/7</f>
        <v>27720960</v>
      </c>
      <c r="AW195" s="35">
        <f>VLOOKUP(Tabla43[[#This Row],[SERVICIO 2025]],$J$2:$V$16,3,0)*Tabla43[[#This Row],[TOTAL COBERTURA]]+Tabla43[[#This Row],[VALOR RACION PREPARADA]]/7</f>
        <v>27720960</v>
      </c>
      <c r="AX195" s="35">
        <f>VLOOKUP(Tabla43[[#This Row],[SERVICIO 2025]],$J$2:$V$16,3,0)*Tabla43[[#This Row],[TOTAL COBERTURA]]+Tabla43[[#This Row],[VALOR RACION PREPARADA]]/7</f>
        <v>27720960</v>
      </c>
      <c r="AY195" s="35">
        <f>VLOOKUP(Tabla43[[#This Row],[SERVICIO 2025]],$J$2:$V$16,3,0)*Tabla43[[#This Row],[TOTAL COBERTURA]]+Tabla43[[#This Row],[VALOR RACION PREPARADA]]/7</f>
        <v>27720960</v>
      </c>
      <c r="AZ195" s="35">
        <f>VLOOKUP(Tabla43[[#This Row],[SERVICIO 2025]],$J$2:$V$16,3,0)*Tabla43[[#This Row],[TOTAL COBERTURA]]+Tabla43[[#This Row],[VALOR RACION PREPARADA]]/7+Tabla43[[#This Row],[VALOR FASE PREPARATORIA DE CIERRE]]</f>
        <v>29680020</v>
      </c>
      <c r="BA195" s="35"/>
      <c r="BB195" s="35">
        <f>SUM(Tabla43[[#This Row],[DESEMBOLSO 1]:[DESEMBOLSO 8]])</f>
        <v>202189620</v>
      </c>
      <c r="BC195" s="55">
        <f>VLOOKUP(Tabla43[[#This Row],[SERVICIO 2025]],$J$2:$V$16,10,0)*Tabla43[[#This Row],[TOTAL COBERTURA]]*$W$3</f>
        <v>0</v>
      </c>
      <c r="BD195" s="47" t="s">
        <v>145</v>
      </c>
      <c r="BE195" s="12" t="b">
        <f>EXACT(Tabla43[[#This Row],[TOTAL APORTES ICBF]],Tabla43[[#This Row],[VALOR TOTAL]])</f>
        <v>1</v>
      </c>
      <c r="BF195" s="23">
        <f>SUM(Tabla43[[#This Row],[VALOR FASE PREPARATORIA DE ALISTAMIENTO]:[VALOR RACION PREPARADA]])-Tabla43[[#This Row],[VALOR TOTAL]]</f>
        <v>0</v>
      </c>
      <c r="BG195" s="12" t="b">
        <f>EXACT(Tabla43[[#This Row],[VALOR TOTAL]],Tabla43[[#This Row],[TOTAL DESEMBOLSOS]])</f>
        <v>1</v>
      </c>
      <c r="BH195" s="29">
        <f>Tabla43[[#This Row],[TOTAL DESEMBOLSOS]]-Tabla43[[#This Row],[VALOR TOTAL]]</f>
        <v>0</v>
      </c>
      <c r="BJ195" t="s">
        <v>3924</v>
      </c>
    </row>
    <row r="196" spans="1:62" hidden="1">
      <c r="A196" s="13">
        <v>1974</v>
      </c>
      <c r="B196" s="13"/>
      <c r="C196" s="12" t="s">
        <v>87</v>
      </c>
      <c r="D196" s="12" t="s">
        <v>462</v>
      </c>
      <c r="E196" s="12" t="s">
        <v>4151</v>
      </c>
      <c r="F196" s="12" t="s">
        <v>16</v>
      </c>
      <c r="G196" s="12" t="s">
        <v>90</v>
      </c>
      <c r="H196" s="12" t="s">
        <v>4220</v>
      </c>
      <c r="I196" s="12">
        <v>54901150097</v>
      </c>
      <c r="J196" s="12" t="s">
        <v>4221</v>
      </c>
      <c r="K196" s="12">
        <v>1</v>
      </c>
      <c r="L196" s="12">
        <v>30</v>
      </c>
      <c r="M196" s="12"/>
      <c r="N196" s="13">
        <v>1974</v>
      </c>
      <c r="O196" s="12" t="s">
        <v>93</v>
      </c>
      <c r="P196" s="12"/>
      <c r="Q196" s="12"/>
      <c r="R196" s="12" t="s">
        <v>94</v>
      </c>
      <c r="S196" s="12">
        <v>10</v>
      </c>
      <c r="T196" s="12" t="s">
        <v>4176</v>
      </c>
      <c r="U196" s="12" t="s">
        <v>4177</v>
      </c>
      <c r="V196" s="12">
        <f>VLOOKUP(Tabla43[[#This Row],[ZONA DEFINITIVO]],Hoja1!$A$1:$D$129,3,0)</f>
        <v>229959</v>
      </c>
      <c r="W196" s="12">
        <f>VLOOKUP(Tabla43[[#This Row],[ZONA DEFINITIVO]],Hoja1!$A$1:$D$129,2,0)</f>
        <v>18591</v>
      </c>
      <c r="X196" s="12">
        <f>VLOOKUP(Tabla43[[#This Row],[ZONA DEFINITIVO]],Hoja1!$A$1:$D$129,4,0)</f>
        <v>117425</v>
      </c>
      <c r="Y196" s="12" t="str">
        <f>+IF(Tabla43[[#This Row],[AGRUPACIONES]]=1,SUMIFS(Tabla43[UDS],Tabla43[ZONA DEFINITIVO],Tabla43[[#This Row],[ZONA DEFINITIVO]])," ")</f>
        <v xml:space="preserve"> </v>
      </c>
      <c r="Z196" s="12" t="str">
        <f>+IF(Tabla43[[#This Row],[AGRUPACIONES]]=1,SUMIFS(Tabla43[TOTAL COBERTURA],Tabla43[ZONA DEFINITIVO],Tabla43[[#This Row],[ZONA DEFINITIVO]])," ")</f>
        <v xml:space="preserve"> </v>
      </c>
      <c r="AA196" s="12"/>
      <c r="AB196" s="51">
        <v>101094810</v>
      </c>
      <c r="AC196" s="37">
        <v>0.02</v>
      </c>
      <c r="AD196" s="38">
        <f>Tabla43[[#This Row],[VALOR ATENCIÓN (7 MESES)]]*Tabla43[[#This Row],[% CONTRAPARTIDA]]</f>
        <v>2021896.2</v>
      </c>
      <c r="AE196" s="12"/>
      <c r="AF196" s="12">
        <f>COUNTIF($A$22:A196,A196)</f>
        <v>29</v>
      </c>
      <c r="AG196" s="51">
        <v>101094810</v>
      </c>
      <c r="AH196" s="38">
        <f>Tabla43[[#This Row],[VALOR CONTRAPARTIDA]]+Tabla43[[#This Row],[TOTAL APORTES ICBF]]</f>
        <v>103116706.2</v>
      </c>
      <c r="AI196" s="35" t="str">
        <f>+IF(Tabla43[[#This Row],[AGRUPACIONES]]=1,SUMIFS(Tabla43[TOTAL APORTES ICBF],Tabla43[ZONA DEFINITIVO],Tabla43[[#This Row],[ZONA DEFINITIVO]])," ")</f>
        <v xml:space="preserve"> </v>
      </c>
      <c r="AJ196" s="38"/>
      <c r="AK196" s="38"/>
      <c r="AL196" s="23"/>
      <c r="AM196" s="35">
        <f>VLOOKUP(Tabla43[[#This Row],[SERVICIO 2025]],$J$2:$V$16,5,0)*Tabla43[[#This Row],[TOTAL COBERTURA]]</f>
        <v>2218950</v>
      </c>
      <c r="AN196" s="35">
        <f>VLOOKUP(Tabla43[[#This Row],[SERVICIO 2025]],$J$2:$V$16,6,0)*Tabla43[[#This Row],[TOTAL COBERTURA]]</f>
        <v>979530</v>
      </c>
      <c r="AO196" s="35">
        <f>VLOOKUP(Tabla43[[#This Row],[SERVICIO 2025]],$J$2:$V$16,8,0)*Tabla43[[#This Row],[TOTAL COBERTURA]]</f>
        <v>872970</v>
      </c>
      <c r="AP196" s="35">
        <f>VLOOKUP(Tabla43[[#This Row],[SERVICIO 2025]],$J$2:$V$16,3,0)*Tabla43[[#This Row],[TOTAL COBERTURA]]*7</f>
        <v>97023360</v>
      </c>
      <c r="AQ196" s="35">
        <f>VLOOKUP(Tabla43[[#This Row],[SERVICIO 2025]],$J$2:$V$16,10,0)*Tabla43[[#This Row],[TOTAL COBERTURA]]*7</f>
        <v>0</v>
      </c>
      <c r="AR19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101094810</v>
      </c>
      <c r="AS196" s="35" t="str">
        <f>+IF(Tabla43[[#This Row],[AGRUPACIONES]]=1,SUMIFS(Tabla43[VALOR TOTAL],Tabla43[ZONA DEFINITIVO],Tabla43[[#This Row],[ZONA DEFINITIVO]])," ")</f>
        <v xml:space="preserve"> </v>
      </c>
      <c r="AT19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16952400</v>
      </c>
      <c r="AU196" s="35">
        <f>VLOOKUP(Tabla43[[#This Row],[SERVICIO 2025]],$J$2:$V$16,3,0)*Tabla43[[#This Row],[TOTAL COBERTURA]]+Tabla43[[#This Row],[VALOR RACION PREPARADA]]/7</f>
        <v>13860480</v>
      </c>
      <c r="AV196" s="35">
        <f>VLOOKUP(Tabla43[[#This Row],[SERVICIO 2025]],$J$2:$V$16,3,0)*Tabla43[[#This Row],[TOTAL COBERTURA]]+Tabla43[[#This Row],[VALOR RACION PREPARADA]]/7</f>
        <v>13860480</v>
      </c>
      <c r="AW196" s="35">
        <f>VLOOKUP(Tabla43[[#This Row],[SERVICIO 2025]],$J$2:$V$16,3,0)*Tabla43[[#This Row],[TOTAL COBERTURA]]+Tabla43[[#This Row],[VALOR RACION PREPARADA]]/7</f>
        <v>13860480</v>
      </c>
      <c r="AX196" s="35">
        <f>VLOOKUP(Tabla43[[#This Row],[SERVICIO 2025]],$J$2:$V$16,3,0)*Tabla43[[#This Row],[TOTAL COBERTURA]]+Tabla43[[#This Row],[VALOR RACION PREPARADA]]/7</f>
        <v>13860480</v>
      </c>
      <c r="AY196" s="35">
        <f>VLOOKUP(Tabla43[[#This Row],[SERVICIO 2025]],$J$2:$V$16,3,0)*Tabla43[[#This Row],[TOTAL COBERTURA]]+Tabla43[[#This Row],[VALOR RACION PREPARADA]]/7</f>
        <v>13860480</v>
      </c>
      <c r="AZ196" s="35">
        <f>VLOOKUP(Tabla43[[#This Row],[SERVICIO 2025]],$J$2:$V$16,3,0)*Tabla43[[#This Row],[TOTAL COBERTURA]]+Tabla43[[#This Row],[VALOR RACION PREPARADA]]/7+Tabla43[[#This Row],[VALOR FASE PREPARATORIA DE CIERRE]]</f>
        <v>14840010</v>
      </c>
      <c r="BA196" s="35"/>
      <c r="BB196" s="35">
        <f>SUM(Tabla43[[#This Row],[DESEMBOLSO 1]:[DESEMBOLSO 8]])</f>
        <v>101094810</v>
      </c>
      <c r="BC196" s="55">
        <f>VLOOKUP(Tabla43[[#This Row],[SERVICIO 2025]],$J$2:$V$16,10,0)*Tabla43[[#This Row],[TOTAL COBERTURA]]*$W$3</f>
        <v>0</v>
      </c>
      <c r="BD196" s="47" t="s">
        <v>145</v>
      </c>
      <c r="BE196" s="12" t="b">
        <f>EXACT(Tabla43[[#This Row],[TOTAL APORTES ICBF]],Tabla43[[#This Row],[VALOR TOTAL]])</f>
        <v>1</v>
      </c>
      <c r="BF196" s="23">
        <f>SUM(Tabla43[[#This Row],[VALOR FASE PREPARATORIA DE ALISTAMIENTO]:[VALOR RACION PREPARADA]])-Tabla43[[#This Row],[VALOR TOTAL]]</f>
        <v>0</v>
      </c>
      <c r="BG196" s="12" t="b">
        <f>EXACT(Tabla43[[#This Row],[VALOR TOTAL]],Tabla43[[#This Row],[TOTAL DESEMBOLSOS]])</f>
        <v>1</v>
      </c>
      <c r="BH196" s="29">
        <f>Tabla43[[#This Row],[TOTAL DESEMBOLSOS]]-Tabla43[[#This Row],[VALOR TOTAL]]</f>
        <v>0</v>
      </c>
      <c r="BJ196" t="s">
        <v>3924</v>
      </c>
    </row>
    <row r="197" spans="1:62" hidden="1">
      <c r="A197" s="13">
        <v>1974</v>
      </c>
      <c r="B197" s="13"/>
      <c r="C197" s="12" t="s">
        <v>87</v>
      </c>
      <c r="D197" s="12" t="s">
        <v>462</v>
      </c>
      <c r="E197" s="12" t="s">
        <v>4151</v>
      </c>
      <c r="F197" s="12" t="s">
        <v>16</v>
      </c>
      <c r="G197" s="12" t="s">
        <v>90</v>
      </c>
      <c r="H197" s="12" t="s">
        <v>4222</v>
      </c>
      <c r="I197" s="12">
        <v>54901150098</v>
      </c>
      <c r="J197" s="12" t="s">
        <v>4223</v>
      </c>
      <c r="K197" s="12">
        <v>1</v>
      </c>
      <c r="L197" s="12">
        <v>30</v>
      </c>
      <c r="M197" s="12"/>
      <c r="N197" s="13">
        <v>1974</v>
      </c>
      <c r="O197" s="12" t="s">
        <v>93</v>
      </c>
      <c r="P197" s="12"/>
      <c r="Q197" s="12"/>
      <c r="R197" s="12" t="s">
        <v>94</v>
      </c>
      <c r="S197" s="12">
        <v>10</v>
      </c>
      <c r="T197" s="12" t="s">
        <v>4176</v>
      </c>
      <c r="U197" s="12" t="s">
        <v>4177</v>
      </c>
      <c r="V197" s="12">
        <f>VLOOKUP(Tabla43[[#This Row],[ZONA DEFINITIVO]],Hoja1!$A$1:$D$129,3,0)</f>
        <v>229959</v>
      </c>
      <c r="W197" s="12">
        <f>VLOOKUP(Tabla43[[#This Row],[ZONA DEFINITIVO]],Hoja1!$A$1:$D$129,2,0)</f>
        <v>18591</v>
      </c>
      <c r="X197" s="12">
        <f>VLOOKUP(Tabla43[[#This Row],[ZONA DEFINITIVO]],Hoja1!$A$1:$D$129,4,0)</f>
        <v>117425</v>
      </c>
      <c r="Y197" s="12" t="str">
        <f>+IF(Tabla43[[#This Row],[AGRUPACIONES]]=1,SUMIFS(Tabla43[UDS],Tabla43[ZONA DEFINITIVO],Tabla43[[#This Row],[ZONA DEFINITIVO]])," ")</f>
        <v xml:space="preserve"> </v>
      </c>
      <c r="Z197" s="12" t="str">
        <f>+IF(Tabla43[[#This Row],[AGRUPACIONES]]=1,SUMIFS(Tabla43[TOTAL COBERTURA],Tabla43[ZONA DEFINITIVO],Tabla43[[#This Row],[ZONA DEFINITIVO]])," ")</f>
        <v xml:space="preserve"> </v>
      </c>
      <c r="AA197" s="12"/>
      <c r="AB197" s="51">
        <v>101094810</v>
      </c>
      <c r="AC197" s="37">
        <v>0.02</v>
      </c>
      <c r="AD197" s="38">
        <f>Tabla43[[#This Row],[VALOR ATENCIÓN (7 MESES)]]*Tabla43[[#This Row],[% CONTRAPARTIDA]]</f>
        <v>2021896.2</v>
      </c>
      <c r="AE197" s="12"/>
      <c r="AF197" s="12">
        <f>COUNTIF($A$22:A197,A197)</f>
        <v>30</v>
      </c>
      <c r="AG197" s="51">
        <v>101094810</v>
      </c>
      <c r="AH197" s="38">
        <f>Tabla43[[#This Row],[VALOR CONTRAPARTIDA]]+Tabla43[[#This Row],[TOTAL APORTES ICBF]]</f>
        <v>103116706.2</v>
      </c>
      <c r="AI197" s="35" t="str">
        <f>+IF(Tabla43[[#This Row],[AGRUPACIONES]]=1,SUMIFS(Tabla43[TOTAL APORTES ICBF],Tabla43[ZONA DEFINITIVO],Tabla43[[#This Row],[ZONA DEFINITIVO]])," ")</f>
        <v xml:space="preserve"> </v>
      </c>
      <c r="AJ197" s="38"/>
      <c r="AK197" s="38"/>
      <c r="AL197" s="23"/>
      <c r="AM197" s="35">
        <f>VLOOKUP(Tabla43[[#This Row],[SERVICIO 2025]],$J$2:$V$16,5,0)*Tabla43[[#This Row],[TOTAL COBERTURA]]</f>
        <v>2218950</v>
      </c>
      <c r="AN197" s="35">
        <f>VLOOKUP(Tabla43[[#This Row],[SERVICIO 2025]],$J$2:$V$16,6,0)*Tabla43[[#This Row],[TOTAL COBERTURA]]</f>
        <v>979530</v>
      </c>
      <c r="AO197" s="35">
        <f>VLOOKUP(Tabla43[[#This Row],[SERVICIO 2025]],$J$2:$V$16,8,0)*Tabla43[[#This Row],[TOTAL COBERTURA]]</f>
        <v>872970</v>
      </c>
      <c r="AP197" s="35">
        <f>VLOOKUP(Tabla43[[#This Row],[SERVICIO 2025]],$J$2:$V$16,3,0)*Tabla43[[#This Row],[TOTAL COBERTURA]]*7</f>
        <v>97023360</v>
      </c>
      <c r="AQ197" s="35">
        <f>VLOOKUP(Tabla43[[#This Row],[SERVICIO 2025]],$J$2:$V$16,10,0)*Tabla43[[#This Row],[TOTAL COBERTURA]]*7</f>
        <v>0</v>
      </c>
      <c r="AR19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101094810</v>
      </c>
      <c r="AS197" s="35" t="str">
        <f>+IF(Tabla43[[#This Row],[AGRUPACIONES]]=1,SUMIFS(Tabla43[VALOR TOTAL],Tabla43[ZONA DEFINITIVO],Tabla43[[#This Row],[ZONA DEFINITIVO]])," ")</f>
        <v xml:space="preserve"> </v>
      </c>
      <c r="AT19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16952400</v>
      </c>
      <c r="AU197" s="35">
        <f>VLOOKUP(Tabla43[[#This Row],[SERVICIO 2025]],$J$2:$V$16,3,0)*Tabla43[[#This Row],[TOTAL COBERTURA]]+Tabla43[[#This Row],[VALOR RACION PREPARADA]]/7</f>
        <v>13860480</v>
      </c>
      <c r="AV197" s="35">
        <f>VLOOKUP(Tabla43[[#This Row],[SERVICIO 2025]],$J$2:$V$16,3,0)*Tabla43[[#This Row],[TOTAL COBERTURA]]+Tabla43[[#This Row],[VALOR RACION PREPARADA]]/7</f>
        <v>13860480</v>
      </c>
      <c r="AW197" s="35">
        <f>VLOOKUP(Tabla43[[#This Row],[SERVICIO 2025]],$J$2:$V$16,3,0)*Tabla43[[#This Row],[TOTAL COBERTURA]]+Tabla43[[#This Row],[VALOR RACION PREPARADA]]/7</f>
        <v>13860480</v>
      </c>
      <c r="AX197" s="35">
        <f>VLOOKUP(Tabla43[[#This Row],[SERVICIO 2025]],$J$2:$V$16,3,0)*Tabla43[[#This Row],[TOTAL COBERTURA]]+Tabla43[[#This Row],[VALOR RACION PREPARADA]]/7</f>
        <v>13860480</v>
      </c>
      <c r="AY197" s="35">
        <f>VLOOKUP(Tabla43[[#This Row],[SERVICIO 2025]],$J$2:$V$16,3,0)*Tabla43[[#This Row],[TOTAL COBERTURA]]+Tabla43[[#This Row],[VALOR RACION PREPARADA]]/7</f>
        <v>13860480</v>
      </c>
      <c r="AZ197" s="35">
        <f>VLOOKUP(Tabla43[[#This Row],[SERVICIO 2025]],$J$2:$V$16,3,0)*Tabla43[[#This Row],[TOTAL COBERTURA]]+Tabla43[[#This Row],[VALOR RACION PREPARADA]]/7+Tabla43[[#This Row],[VALOR FASE PREPARATORIA DE CIERRE]]</f>
        <v>14840010</v>
      </c>
      <c r="BA197" s="35"/>
      <c r="BB197" s="35">
        <f>SUM(Tabla43[[#This Row],[DESEMBOLSO 1]:[DESEMBOLSO 8]])</f>
        <v>101094810</v>
      </c>
      <c r="BC197" s="55">
        <f>VLOOKUP(Tabla43[[#This Row],[SERVICIO 2025]],$J$2:$V$16,10,0)*Tabla43[[#This Row],[TOTAL COBERTURA]]*$W$3</f>
        <v>0</v>
      </c>
      <c r="BD197" s="47" t="s">
        <v>145</v>
      </c>
      <c r="BE197" s="12" t="b">
        <f>EXACT(Tabla43[[#This Row],[TOTAL APORTES ICBF]],Tabla43[[#This Row],[VALOR TOTAL]])</f>
        <v>1</v>
      </c>
      <c r="BF197" s="23">
        <f>SUM(Tabla43[[#This Row],[VALOR FASE PREPARATORIA DE ALISTAMIENTO]:[VALOR RACION PREPARADA]])-Tabla43[[#This Row],[VALOR TOTAL]]</f>
        <v>0</v>
      </c>
      <c r="BG197" s="12" t="b">
        <f>EXACT(Tabla43[[#This Row],[VALOR TOTAL]],Tabla43[[#This Row],[TOTAL DESEMBOLSOS]])</f>
        <v>1</v>
      </c>
      <c r="BH197" s="29">
        <f>Tabla43[[#This Row],[TOTAL DESEMBOLSOS]]-Tabla43[[#This Row],[VALOR TOTAL]]</f>
        <v>0</v>
      </c>
      <c r="BJ197" t="s">
        <v>3924</v>
      </c>
    </row>
    <row r="198" spans="1:62" hidden="1">
      <c r="A198" s="13">
        <v>1974</v>
      </c>
      <c r="B198" s="13"/>
      <c r="C198" s="12" t="s">
        <v>87</v>
      </c>
      <c r="D198" s="12" t="s">
        <v>462</v>
      </c>
      <c r="E198" s="12" t="s">
        <v>4151</v>
      </c>
      <c r="F198" s="12" t="s">
        <v>18</v>
      </c>
      <c r="G198" s="12" t="s">
        <v>90</v>
      </c>
      <c r="H198" s="12" t="s">
        <v>4224</v>
      </c>
      <c r="I198" s="12">
        <v>54901152319</v>
      </c>
      <c r="J198" s="12" t="s">
        <v>4225</v>
      </c>
      <c r="K198" s="12">
        <v>1</v>
      </c>
      <c r="L198" s="12">
        <v>16</v>
      </c>
      <c r="M198" s="12"/>
      <c r="N198" s="13">
        <v>1974</v>
      </c>
      <c r="O198" s="12" t="s">
        <v>93</v>
      </c>
      <c r="P198" s="12"/>
      <c r="Q198" s="12"/>
      <c r="R198" s="12" t="s">
        <v>94</v>
      </c>
      <c r="S198" s="12">
        <v>10</v>
      </c>
      <c r="T198" s="12" t="s">
        <v>4176</v>
      </c>
      <c r="U198" s="12" t="s">
        <v>4177</v>
      </c>
      <c r="V198" s="12">
        <f>VLOOKUP(Tabla43[[#This Row],[ZONA DEFINITIVO]],Hoja1!$A$1:$D$129,3,0)</f>
        <v>229959</v>
      </c>
      <c r="W198" s="12">
        <f>VLOOKUP(Tabla43[[#This Row],[ZONA DEFINITIVO]],Hoja1!$A$1:$D$129,2,0)</f>
        <v>18591</v>
      </c>
      <c r="X198" s="12">
        <f>VLOOKUP(Tabla43[[#This Row],[ZONA DEFINITIVO]],Hoja1!$A$1:$D$129,4,0)</f>
        <v>117425</v>
      </c>
      <c r="Y198" s="12" t="str">
        <f>+IF(Tabla43[[#This Row],[AGRUPACIONES]]=1,SUMIFS(Tabla43[UDS],Tabla43[ZONA DEFINITIVO],Tabla43[[#This Row],[ZONA DEFINITIVO]])," ")</f>
        <v xml:space="preserve"> </v>
      </c>
      <c r="Z198" s="12" t="str">
        <f>+IF(Tabla43[[#This Row],[AGRUPACIONES]]=1,SUMIFS(Tabla43[TOTAL COBERTURA],Tabla43[ZONA DEFINITIVO],Tabla43[[#This Row],[ZONA DEFINITIVO]])," ")</f>
        <v xml:space="preserve"> </v>
      </c>
      <c r="AA198" s="12"/>
      <c r="AB198" s="51">
        <v>30761712</v>
      </c>
      <c r="AC198" s="37">
        <v>0.02</v>
      </c>
      <c r="AD198" s="38">
        <f>Tabla43[[#This Row],[VALOR ATENCIÓN (7 MESES)]]*Tabla43[[#This Row],[% CONTRAPARTIDA]]</f>
        <v>615234.24</v>
      </c>
      <c r="AE198" s="12"/>
      <c r="AF198" s="12">
        <f>COUNTIF($A$22:A198,A198)</f>
        <v>31</v>
      </c>
      <c r="AG198" s="51">
        <v>30761712</v>
      </c>
      <c r="AH198" s="38">
        <f>Tabla43[[#This Row],[VALOR CONTRAPARTIDA]]+Tabla43[[#This Row],[TOTAL APORTES ICBF]]</f>
        <v>31376946.239999998</v>
      </c>
      <c r="AI198" s="35" t="str">
        <f>+IF(Tabla43[[#This Row],[AGRUPACIONES]]=1,SUMIFS(Tabla43[TOTAL APORTES ICBF],Tabla43[ZONA DEFINITIVO],Tabla43[[#This Row],[ZONA DEFINITIVO]])," ")</f>
        <v xml:space="preserve"> </v>
      </c>
      <c r="AJ198" s="38"/>
      <c r="AK198" s="38"/>
      <c r="AL198" s="23"/>
      <c r="AM198" s="35">
        <f>VLOOKUP(Tabla43[[#This Row],[SERVICIO 2025]],$J$2:$V$16,5,0)*Tabla43[[#This Row],[TOTAL COBERTURA]]</f>
        <v>790016</v>
      </c>
      <c r="AN198" s="35">
        <f>VLOOKUP(Tabla43[[#This Row],[SERVICIO 2025]],$J$2:$V$16,6,0)*Tabla43[[#This Row],[TOTAL COBERTURA]]</f>
        <v>656464</v>
      </c>
      <c r="AO198" s="35">
        <f>VLOOKUP(Tabla43[[#This Row],[SERVICIO 2025]],$J$2:$V$16,8,0)*Tabla43[[#This Row],[TOTAL COBERTURA]]</f>
        <v>465600</v>
      </c>
      <c r="AP198" s="35">
        <f>VLOOKUP(Tabla43[[#This Row],[SERVICIO 2025]],$J$2:$V$16,3,0)*Tabla43[[#This Row],[TOTAL COBERTURA]]*7</f>
        <v>28849632</v>
      </c>
      <c r="AQ198" s="35"/>
      <c r="AR19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198" s="35" t="str">
        <f>+IF(Tabla43[[#This Row],[AGRUPACIONES]]=1,SUMIFS(Tabla43[VALOR TOTAL],Tabla43[ZONA DEFINITIVO],Tabla43[[#This Row],[ZONA DEFINITIVO]])," ")</f>
        <v xml:space="preserve"> </v>
      </c>
      <c r="AT19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198" s="35">
        <f>VLOOKUP(Tabla43[[#This Row],[SERVICIO 2025]],$J$2:$V$16,3,0)*Tabla43[[#This Row],[TOTAL COBERTURA]]+Tabla43[[#This Row],[VALOR RACION PREPARADA]]/7</f>
        <v>4121376</v>
      </c>
      <c r="AV198" s="35">
        <f>VLOOKUP(Tabla43[[#This Row],[SERVICIO 2025]],$J$2:$V$16,3,0)*Tabla43[[#This Row],[TOTAL COBERTURA]]+Tabla43[[#This Row],[VALOR RACION PREPARADA]]/7</f>
        <v>4121376</v>
      </c>
      <c r="AW198" s="35">
        <f>VLOOKUP(Tabla43[[#This Row],[SERVICIO 2025]],$J$2:$V$16,3,0)*Tabla43[[#This Row],[TOTAL COBERTURA]]+Tabla43[[#This Row],[VALOR RACION PREPARADA]]/7</f>
        <v>4121376</v>
      </c>
      <c r="AX198" s="35">
        <f>VLOOKUP(Tabla43[[#This Row],[SERVICIO 2025]],$J$2:$V$16,3,0)*Tabla43[[#This Row],[TOTAL COBERTURA]]+Tabla43[[#This Row],[VALOR RACION PREPARADA]]/7</f>
        <v>4121376</v>
      </c>
      <c r="AY198" s="35">
        <f>VLOOKUP(Tabla43[[#This Row],[SERVICIO 2025]],$J$2:$V$16,3,0)*Tabla43[[#This Row],[TOTAL COBERTURA]]+Tabla43[[#This Row],[VALOR RACION PREPARADA]]/7</f>
        <v>4121376</v>
      </c>
      <c r="AZ198" s="35">
        <f>VLOOKUP(Tabla43[[#This Row],[SERVICIO 2025]],$J$2:$V$16,3,0)*Tabla43[[#This Row],[TOTAL COBERTURA]]+Tabla43[[#This Row],[VALOR RACION PREPARADA]]/7+Tabla43[[#This Row],[VALOR FASE PREPARATORIA DE CIERRE]]</f>
        <v>4777840</v>
      </c>
      <c r="BA198" s="35"/>
      <c r="BB198" s="35">
        <f>SUM(Tabla43[[#This Row],[DESEMBOLSO 1]:[DESEMBOLSO 8]])</f>
        <v>30761712</v>
      </c>
      <c r="BC198" s="55">
        <f>VLOOKUP(Tabla43[[#This Row],[SERVICIO 2025]],$J$2:$V$16,10,0)*Tabla43[[#This Row],[TOTAL COBERTURA]]*$W$3</f>
        <v>23089024</v>
      </c>
      <c r="BD198" s="47" t="s">
        <v>211</v>
      </c>
      <c r="BE198" s="12" t="b">
        <f>EXACT(Tabla43[[#This Row],[TOTAL APORTES ICBF]],Tabla43[[#This Row],[VALOR TOTAL]])</f>
        <v>1</v>
      </c>
      <c r="BF198" s="23">
        <f>SUM(Tabla43[[#This Row],[VALOR FASE PREPARATORIA DE ALISTAMIENTO]:[VALOR RACION PREPARADA]])-Tabla43[[#This Row],[VALOR TOTAL]]</f>
        <v>0</v>
      </c>
      <c r="BG198" s="12" t="b">
        <f>EXACT(Tabla43[[#This Row],[VALOR TOTAL]],Tabla43[[#This Row],[TOTAL DESEMBOLSOS]])</f>
        <v>1</v>
      </c>
      <c r="BH198" s="29">
        <f>Tabla43[[#This Row],[TOTAL DESEMBOLSOS]]-Tabla43[[#This Row],[VALOR TOTAL]]</f>
        <v>0</v>
      </c>
      <c r="BJ198" t="s">
        <v>3924</v>
      </c>
    </row>
    <row r="199" spans="1:62" hidden="1">
      <c r="A199" s="13">
        <v>1974</v>
      </c>
      <c r="B199" s="13"/>
      <c r="C199" s="12" t="s">
        <v>87</v>
      </c>
      <c r="D199" s="12" t="s">
        <v>462</v>
      </c>
      <c r="E199" s="12" t="s">
        <v>4151</v>
      </c>
      <c r="F199" s="12" t="s">
        <v>18</v>
      </c>
      <c r="G199" s="12" t="s">
        <v>90</v>
      </c>
      <c r="H199" s="12" t="s">
        <v>4226</v>
      </c>
      <c r="I199" s="12">
        <v>54901152321</v>
      </c>
      <c r="J199" s="12" t="s">
        <v>2601</v>
      </c>
      <c r="K199" s="12">
        <v>1</v>
      </c>
      <c r="L199" s="12">
        <v>16</v>
      </c>
      <c r="M199" s="12"/>
      <c r="N199" s="13">
        <v>1974</v>
      </c>
      <c r="O199" s="12" t="s">
        <v>93</v>
      </c>
      <c r="P199" s="12"/>
      <c r="Q199" s="12"/>
      <c r="R199" s="12" t="s">
        <v>94</v>
      </c>
      <c r="S199" s="12">
        <v>10</v>
      </c>
      <c r="T199" s="12" t="s">
        <v>4176</v>
      </c>
      <c r="U199" s="12" t="s">
        <v>4177</v>
      </c>
      <c r="V199" s="12">
        <f>VLOOKUP(Tabla43[[#This Row],[ZONA DEFINITIVO]],Hoja1!$A$1:$D$129,3,0)</f>
        <v>229959</v>
      </c>
      <c r="W199" s="12">
        <f>VLOOKUP(Tabla43[[#This Row],[ZONA DEFINITIVO]],Hoja1!$A$1:$D$129,2,0)</f>
        <v>18591</v>
      </c>
      <c r="X199" s="12">
        <f>VLOOKUP(Tabla43[[#This Row],[ZONA DEFINITIVO]],Hoja1!$A$1:$D$129,4,0)</f>
        <v>117425</v>
      </c>
      <c r="Y199" s="12" t="str">
        <f>+IF(Tabla43[[#This Row],[AGRUPACIONES]]=1,SUMIFS(Tabla43[UDS],Tabla43[ZONA DEFINITIVO],Tabla43[[#This Row],[ZONA DEFINITIVO]])," ")</f>
        <v xml:space="preserve"> </v>
      </c>
      <c r="Z199" s="12" t="str">
        <f>+IF(Tabla43[[#This Row],[AGRUPACIONES]]=1,SUMIFS(Tabla43[TOTAL COBERTURA],Tabla43[ZONA DEFINITIVO],Tabla43[[#This Row],[ZONA DEFINITIVO]])," ")</f>
        <v xml:space="preserve"> </v>
      </c>
      <c r="AA199" s="12"/>
      <c r="AB199" s="51">
        <v>30761712</v>
      </c>
      <c r="AC199" s="37">
        <v>0.02</v>
      </c>
      <c r="AD199" s="38">
        <f>Tabla43[[#This Row],[VALOR ATENCIÓN (7 MESES)]]*Tabla43[[#This Row],[% CONTRAPARTIDA]]</f>
        <v>615234.24</v>
      </c>
      <c r="AE199" s="12"/>
      <c r="AF199" s="12">
        <f>COUNTIF($A$22:A199,A199)</f>
        <v>32</v>
      </c>
      <c r="AG199" s="51">
        <v>30761712</v>
      </c>
      <c r="AH199" s="38">
        <f>Tabla43[[#This Row],[VALOR CONTRAPARTIDA]]+Tabla43[[#This Row],[TOTAL APORTES ICBF]]</f>
        <v>31376946.239999998</v>
      </c>
      <c r="AI199" s="35" t="str">
        <f>+IF(Tabla43[[#This Row],[AGRUPACIONES]]=1,SUMIFS(Tabla43[TOTAL APORTES ICBF],Tabla43[ZONA DEFINITIVO],Tabla43[[#This Row],[ZONA DEFINITIVO]])," ")</f>
        <v xml:space="preserve"> </v>
      </c>
      <c r="AJ199" s="38"/>
      <c r="AK199" s="38"/>
      <c r="AL199" s="23"/>
      <c r="AM199" s="35">
        <f>VLOOKUP(Tabla43[[#This Row],[SERVICIO 2025]],$J$2:$V$16,5,0)*Tabla43[[#This Row],[TOTAL COBERTURA]]</f>
        <v>790016</v>
      </c>
      <c r="AN199" s="35">
        <f>VLOOKUP(Tabla43[[#This Row],[SERVICIO 2025]],$J$2:$V$16,6,0)*Tabla43[[#This Row],[TOTAL COBERTURA]]</f>
        <v>656464</v>
      </c>
      <c r="AO199" s="35">
        <f>VLOOKUP(Tabla43[[#This Row],[SERVICIO 2025]],$J$2:$V$16,8,0)*Tabla43[[#This Row],[TOTAL COBERTURA]]</f>
        <v>465600</v>
      </c>
      <c r="AP199" s="35">
        <f>VLOOKUP(Tabla43[[#This Row],[SERVICIO 2025]],$J$2:$V$16,3,0)*Tabla43[[#This Row],[TOTAL COBERTURA]]*7</f>
        <v>28849632</v>
      </c>
      <c r="AQ199" s="35"/>
      <c r="AR19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199" s="35" t="str">
        <f>+IF(Tabla43[[#This Row],[AGRUPACIONES]]=1,SUMIFS(Tabla43[VALOR TOTAL],Tabla43[ZONA DEFINITIVO],Tabla43[[#This Row],[ZONA DEFINITIVO]])," ")</f>
        <v xml:space="preserve"> </v>
      </c>
      <c r="AT19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199" s="35">
        <f>VLOOKUP(Tabla43[[#This Row],[SERVICIO 2025]],$J$2:$V$16,3,0)*Tabla43[[#This Row],[TOTAL COBERTURA]]+Tabla43[[#This Row],[VALOR RACION PREPARADA]]/7</f>
        <v>4121376</v>
      </c>
      <c r="AV199" s="35">
        <f>VLOOKUP(Tabla43[[#This Row],[SERVICIO 2025]],$J$2:$V$16,3,0)*Tabla43[[#This Row],[TOTAL COBERTURA]]+Tabla43[[#This Row],[VALOR RACION PREPARADA]]/7</f>
        <v>4121376</v>
      </c>
      <c r="AW199" s="35">
        <f>VLOOKUP(Tabla43[[#This Row],[SERVICIO 2025]],$J$2:$V$16,3,0)*Tabla43[[#This Row],[TOTAL COBERTURA]]+Tabla43[[#This Row],[VALOR RACION PREPARADA]]/7</f>
        <v>4121376</v>
      </c>
      <c r="AX199" s="35">
        <f>VLOOKUP(Tabla43[[#This Row],[SERVICIO 2025]],$J$2:$V$16,3,0)*Tabla43[[#This Row],[TOTAL COBERTURA]]+Tabla43[[#This Row],[VALOR RACION PREPARADA]]/7</f>
        <v>4121376</v>
      </c>
      <c r="AY199" s="35">
        <f>VLOOKUP(Tabla43[[#This Row],[SERVICIO 2025]],$J$2:$V$16,3,0)*Tabla43[[#This Row],[TOTAL COBERTURA]]+Tabla43[[#This Row],[VALOR RACION PREPARADA]]/7</f>
        <v>4121376</v>
      </c>
      <c r="AZ199" s="35">
        <f>VLOOKUP(Tabla43[[#This Row],[SERVICIO 2025]],$J$2:$V$16,3,0)*Tabla43[[#This Row],[TOTAL COBERTURA]]+Tabla43[[#This Row],[VALOR RACION PREPARADA]]/7+Tabla43[[#This Row],[VALOR FASE PREPARATORIA DE CIERRE]]</f>
        <v>4777840</v>
      </c>
      <c r="BA199" s="35"/>
      <c r="BB199" s="35">
        <f>SUM(Tabla43[[#This Row],[DESEMBOLSO 1]:[DESEMBOLSO 8]])</f>
        <v>30761712</v>
      </c>
      <c r="BC199" s="55">
        <f>VLOOKUP(Tabla43[[#This Row],[SERVICIO 2025]],$J$2:$V$16,10,0)*Tabla43[[#This Row],[TOTAL COBERTURA]]*$W$3</f>
        <v>23089024</v>
      </c>
      <c r="BD199" s="47" t="s">
        <v>211</v>
      </c>
      <c r="BE199" s="12" t="b">
        <f>EXACT(Tabla43[[#This Row],[TOTAL APORTES ICBF]],Tabla43[[#This Row],[VALOR TOTAL]])</f>
        <v>1</v>
      </c>
      <c r="BF199" s="23">
        <f>SUM(Tabla43[[#This Row],[VALOR FASE PREPARATORIA DE ALISTAMIENTO]:[VALOR RACION PREPARADA]])-Tabla43[[#This Row],[VALOR TOTAL]]</f>
        <v>0</v>
      </c>
      <c r="BG199" s="12" t="b">
        <f>EXACT(Tabla43[[#This Row],[VALOR TOTAL]],Tabla43[[#This Row],[TOTAL DESEMBOLSOS]])</f>
        <v>1</v>
      </c>
      <c r="BH199" s="29">
        <f>Tabla43[[#This Row],[TOTAL DESEMBOLSOS]]-Tabla43[[#This Row],[VALOR TOTAL]]</f>
        <v>0</v>
      </c>
      <c r="BJ199" t="s">
        <v>3924</v>
      </c>
    </row>
    <row r="200" spans="1:62" hidden="1">
      <c r="A200" s="13">
        <v>1974</v>
      </c>
      <c r="B200" s="13"/>
      <c r="C200" s="12" t="s">
        <v>87</v>
      </c>
      <c r="D200" s="12" t="s">
        <v>462</v>
      </c>
      <c r="E200" s="12" t="s">
        <v>4151</v>
      </c>
      <c r="F200" s="12" t="s">
        <v>18</v>
      </c>
      <c r="G200" s="12" t="s">
        <v>90</v>
      </c>
      <c r="H200" s="12" t="s">
        <v>4227</v>
      </c>
      <c r="I200" s="12">
        <v>54901152322</v>
      </c>
      <c r="J200" s="12" t="s">
        <v>4228</v>
      </c>
      <c r="K200" s="12">
        <v>1</v>
      </c>
      <c r="L200" s="12">
        <v>16</v>
      </c>
      <c r="M200" s="12"/>
      <c r="N200" s="13">
        <v>1974</v>
      </c>
      <c r="O200" s="12" t="s">
        <v>93</v>
      </c>
      <c r="P200" s="12"/>
      <c r="Q200" s="12"/>
      <c r="R200" s="12" t="s">
        <v>94</v>
      </c>
      <c r="S200" s="12">
        <v>10</v>
      </c>
      <c r="T200" s="12" t="s">
        <v>4176</v>
      </c>
      <c r="U200" s="12" t="s">
        <v>4177</v>
      </c>
      <c r="V200" s="12">
        <f>VLOOKUP(Tabla43[[#This Row],[ZONA DEFINITIVO]],Hoja1!$A$1:$D$129,3,0)</f>
        <v>229959</v>
      </c>
      <c r="W200" s="12">
        <f>VLOOKUP(Tabla43[[#This Row],[ZONA DEFINITIVO]],Hoja1!$A$1:$D$129,2,0)</f>
        <v>18591</v>
      </c>
      <c r="X200" s="12">
        <f>VLOOKUP(Tabla43[[#This Row],[ZONA DEFINITIVO]],Hoja1!$A$1:$D$129,4,0)</f>
        <v>117425</v>
      </c>
      <c r="Y200" s="12" t="str">
        <f>+IF(Tabla43[[#This Row],[AGRUPACIONES]]=1,SUMIFS(Tabla43[UDS],Tabla43[ZONA DEFINITIVO],Tabla43[[#This Row],[ZONA DEFINITIVO]])," ")</f>
        <v xml:space="preserve"> </v>
      </c>
      <c r="Z200" s="12" t="str">
        <f>+IF(Tabla43[[#This Row],[AGRUPACIONES]]=1,SUMIFS(Tabla43[TOTAL COBERTURA],Tabla43[ZONA DEFINITIVO],Tabla43[[#This Row],[ZONA DEFINITIVO]])," ")</f>
        <v xml:space="preserve"> </v>
      </c>
      <c r="AA200" s="12"/>
      <c r="AB200" s="51">
        <v>30761712</v>
      </c>
      <c r="AC200" s="37">
        <v>0.02</v>
      </c>
      <c r="AD200" s="38">
        <f>Tabla43[[#This Row],[VALOR ATENCIÓN (7 MESES)]]*Tabla43[[#This Row],[% CONTRAPARTIDA]]</f>
        <v>615234.24</v>
      </c>
      <c r="AE200" s="12"/>
      <c r="AF200" s="12">
        <f>COUNTIF($A$22:A200,A200)</f>
        <v>33</v>
      </c>
      <c r="AG200" s="51">
        <v>30761712</v>
      </c>
      <c r="AH200" s="38">
        <f>Tabla43[[#This Row],[VALOR CONTRAPARTIDA]]+Tabla43[[#This Row],[TOTAL APORTES ICBF]]</f>
        <v>31376946.239999998</v>
      </c>
      <c r="AI200" s="35" t="str">
        <f>+IF(Tabla43[[#This Row],[AGRUPACIONES]]=1,SUMIFS(Tabla43[TOTAL APORTES ICBF],Tabla43[ZONA DEFINITIVO],Tabla43[[#This Row],[ZONA DEFINITIVO]])," ")</f>
        <v xml:space="preserve"> </v>
      </c>
      <c r="AJ200" s="38"/>
      <c r="AK200" s="38"/>
      <c r="AL200" s="23"/>
      <c r="AM200" s="35">
        <f>VLOOKUP(Tabla43[[#This Row],[SERVICIO 2025]],$J$2:$V$16,5,0)*Tabla43[[#This Row],[TOTAL COBERTURA]]</f>
        <v>790016</v>
      </c>
      <c r="AN200" s="35">
        <f>VLOOKUP(Tabla43[[#This Row],[SERVICIO 2025]],$J$2:$V$16,6,0)*Tabla43[[#This Row],[TOTAL COBERTURA]]</f>
        <v>656464</v>
      </c>
      <c r="AO200" s="35">
        <f>VLOOKUP(Tabla43[[#This Row],[SERVICIO 2025]],$J$2:$V$16,8,0)*Tabla43[[#This Row],[TOTAL COBERTURA]]</f>
        <v>465600</v>
      </c>
      <c r="AP200" s="35">
        <f>VLOOKUP(Tabla43[[#This Row],[SERVICIO 2025]],$J$2:$V$16,3,0)*Tabla43[[#This Row],[TOTAL COBERTURA]]*7</f>
        <v>28849632</v>
      </c>
      <c r="AQ200" s="35"/>
      <c r="AR20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200" s="35" t="str">
        <f>+IF(Tabla43[[#This Row],[AGRUPACIONES]]=1,SUMIFS(Tabla43[VALOR TOTAL],Tabla43[ZONA DEFINITIVO],Tabla43[[#This Row],[ZONA DEFINITIVO]])," ")</f>
        <v xml:space="preserve"> </v>
      </c>
      <c r="AT20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200" s="35">
        <f>VLOOKUP(Tabla43[[#This Row],[SERVICIO 2025]],$J$2:$V$16,3,0)*Tabla43[[#This Row],[TOTAL COBERTURA]]+Tabla43[[#This Row],[VALOR RACION PREPARADA]]/7</f>
        <v>4121376</v>
      </c>
      <c r="AV200" s="35">
        <f>VLOOKUP(Tabla43[[#This Row],[SERVICIO 2025]],$J$2:$V$16,3,0)*Tabla43[[#This Row],[TOTAL COBERTURA]]+Tabla43[[#This Row],[VALOR RACION PREPARADA]]/7</f>
        <v>4121376</v>
      </c>
      <c r="AW200" s="35">
        <f>VLOOKUP(Tabla43[[#This Row],[SERVICIO 2025]],$J$2:$V$16,3,0)*Tabla43[[#This Row],[TOTAL COBERTURA]]+Tabla43[[#This Row],[VALOR RACION PREPARADA]]/7</f>
        <v>4121376</v>
      </c>
      <c r="AX200" s="35">
        <f>VLOOKUP(Tabla43[[#This Row],[SERVICIO 2025]],$J$2:$V$16,3,0)*Tabla43[[#This Row],[TOTAL COBERTURA]]+Tabla43[[#This Row],[VALOR RACION PREPARADA]]/7</f>
        <v>4121376</v>
      </c>
      <c r="AY200" s="35">
        <f>VLOOKUP(Tabla43[[#This Row],[SERVICIO 2025]],$J$2:$V$16,3,0)*Tabla43[[#This Row],[TOTAL COBERTURA]]+Tabla43[[#This Row],[VALOR RACION PREPARADA]]/7</f>
        <v>4121376</v>
      </c>
      <c r="AZ200" s="35">
        <f>VLOOKUP(Tabla43[[#This Row],[SERVICIO 2025]],$J$2:$V$16,3,0)*Tabla43[[#This Row],[TOTAL COBERTURA]]+Tabla43[[#This Row],[VALOR RACION PREPARADA]]/7+Tabla43[[#This Row],[VALOR FASE PREPARATORIA DE CIERRE]]</f>
        <v>4777840</v>
      </c>
      <c r="BA200" s="35"/>
      <c r="BB200" s="35">
        <f>SUM(Tabla43[[#This Row],[DESEMBOLSO 1]:[DESEMBOLSO 8]])</f>
        <v>30761712</v>
      </c>
      <c r="BC200" s="55">
        <f>VLOOKUP(Tabla43[[#This Row],[SERVICIO 2025]],$J$2:$V$16,10,0)*Tabla43[[#This Row],[TOTAL COBERTURA]]*$W$3</f>
        <v>23089024</v>
      </c>
      <c r="BD200" s="47" t="s">
        <v>211</v>
      </c>
      <c r="BE200" s="12" t="b">
        <f>EXACT(Tabla43[[#This Row],[TOTAL APORTES ICBF]],Tabla43[[#This Row],[VALOR TOTAL]])</f>
        <v>1</v>
      </c>
      <c r="BF200" s="23">
        <f>SUM(Tabla43[[#This Row],[VALOR FASE PREPARATORIA DE ALISTAMIENTO]:[VALOR RACION PREPARADA]])-Tabla43[[#This Row],[VALOR TOTAL]]</f>
        <v>0</v>
      </c>
      <c r="BG200" s="12" t="b">
        <f>EXACT(Tabla43[[#This Row],[VALOR TOTAL]],Tabla43[[#This Row],[TOTAL DESEMBOLSOS]])</f>
        <v>1</v>
      </c>
      <c r="BH200" s="29">
        <f>Tabla43[[#This Row],[TOTAL DESEMBOLSOS]]-Tabla43[[#This Row],[VALOR TOTAL]]</f>
        <v>0</v>
      </c>
      <c r="BJ200" t="s">
        <v>3924</v>
      </c>
    </row>
    <row r="201" spans="1:62" hidden="1">
      <c r="A201" s="13">
        <v>1974</v>
      </c>
      <c r="B201" s="13"/>
      <c r="C201" s="12" t="s">
        <v>87</v>
      </c>
      <c r="D201" s="12" t="s">
        <v>462</v>
      </c>
      <c r="E201" s="12" t="s">
        <v>4151</v>
      </c>
      <c r="F201" s="12" t="s">
        <v>18</v>
      </c>
      <c r="G201" s="12" t="s">
        <v>90</v>
      </c>
      <c r="H201" s="12" t="s">
        <v>4229</v>
      </c>
      <c r="I201" s="12">
        <v>54901152323</v>
      </c>
      <c r="J201" s="12" t="s">
        <v>262</v>
      </c>
      <c r="K201" s="12">
        <v>1</v>
      </c>
      <c r="L201" s="12">
        <v>16</v>
      </c>
      <c r="M201" s="12"/>
      <c r="N201" s="13">
        <v>1974</v>
      </c>
      <c r="O201" s="12" t="s">
        <v>93</v>
      </c>
      <c r="P201" s="12"/>
      <c r="Q201" s="12"/>
      <c r="R201" s="12" t="s">
        <v>94</v>
      </c>
      <c r="S201" s="12">
        <v>10</v>
      </c>
      <c r="T201" s="12" t="s">
        <v>4176</v>
      </c>
      <c r="U201" s="12" t="s">
        <v>4177</v>
      </c>
      <c r="V201" s="12">
        <f>VLOOKUP(Tabla43[[#This Row],[ZONA DEFINITIVO]],Hoja1!$A$1:$D$129,3,0)</f>
        <v>229959</v>
      </c>
      <c r="W201" s="12">
        <f>VLOOKUP(Tabla43[[#This Row],[ZONA DEFINITIVO]],Hoja1!$A$1:$D$129,2,0)</f>
        <v>18591</v>
      </c>
      <c r="X201" s="12">
        <f>VLOOKUP(Tabla43[[#This Row],[ZONA DEFINITIVO]],Hoja1!$A$1:$D$129,4,0)</f>
        <v>117425</v>
      </c>
      <c r="Y201" s="12" t="str">
        <f>+IF(Tabla43[[#This Row],[AGRUPACIONES]]=1,SUMIFS(Tabla43[UDS],Tabla43[ZONA DEFINITIVO],Tabla43[[#This Row],[ZONA DEFINITIVO]])," ")</f>
        <v xml:space="preserve"> </v>
      </c>
      <c r="Z201" s="12" t="str">
        <f>+IF(Tabla43[[#This Row],[AGRUPACIONES]]=1,SUMIFS(Tabla43[TOTAL COBERTURA],Tabla43[ZONA DEFINITIVO],Tabla43[[#This Row],[ZONA DEFINITIVO]])," ")</f>
        <v xml:space="preserve"> </v>
      </c>
      <c r="AA201" s="12"/>
      <c r="AB201" s="51">
        <v>30761712</v>
      </c>
      <c r="AC201" s="37">
        <v>0.02</v>
      </c>
      <c r="AD201" s="38">
        <f>Tabla43[[#This Row],[VALOR ATENCIÓN (7 MESES)]]*Tabla43[[#This Row],[% CONTRAPARTIDA]]</f>
        <v>615234.24</v>
      </c>
      <c r="AE201" s="12"/>
      <c r="AF201" s="12">
        <f>COUNTIF($A$22:A201,A201)</f>
        <v>34</v>
      </c>
      <c r="AG201" s="51">
        <v>30761712</v>
      </c>
      <c r="AH201" s="38">
        <f>Tabla43[[#This Row],[VALOR CONTRAPARTIDA]]+Tabla43[[#This Row],[TOTAL APORTES ICBF]]</f>
        <v>31376946.239999998</v>
      </c>
      <c r="AI201" s="35" t="str">
        <f>+IF(Tabla43[[#This Row],[AGRUPACIONES]]=1,SUMIFS(Tabla43[TOTAL APORTES ICBF],Tabla43[ZONA DEFINITIVO],Tabla43[[#This Row],[ZONA DEFINITIVO]])," ")</f>
        <v xml:space="preserve"> </v>
      </c>
      <c r="AJ201" s="38"/>
      <c r="AK201" s="38"/>
      <c r="AL201" s="23"/>
      <c r="AM201" s="35">
        <f>VLOOKUP(Tabla43[[#This Row],[SERVICIO 2025]],$J$2:$V$16,5,0)*Tabla43[[#This Row],[TOTAL COBERTURA]]</f>
        <v>790016</v>
      </c>
      <c r="AN201" s="35">
        <f>VLOOKUP(Tabla43[[#This Row],[SERVICIO 2025]],$J$2:$V$16,6,0)*Tabla43[[#This Row],[TOTAL COBERTURA]]</f>
        <v>656464</v>
      </c>
      <c r="AO201" s="35">
        <f>VLOOKUP(Tabla43[[#This Row],[SERVICIO 2025]],$J$2:$V$16,8,0)*Tabla43[[#This Row],[TOTAL COBERTURA]]</f>
        <v>465600</v>
      </c>
      <c r="AP201" s="35">
        <f>VLOOKUP(Tabla43[[#This Row],[SERVICIO 2025]],$J$2:$V$16,3,0)*Tabla43[[#This Row],[TOTAL COBERTURA]]*7</f>
        <v>28849632</v>
      </c>
      <c r="AQ201" s="35"/>
      <c r="AR20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201" s="35" t="str">
        <f>+IF(Tabla43[[#This Row],[AGRUPACIONES]]=1,SUMIFS(Tabla43[VALOR TOTAL],Tabla43[ZONA DEFINITIVO],Tabla43[[#This Row],[ZONA DEFINITIVO]])," ")</f>
        <v xml:space="preserve"> </v>
      </c>
      <c r="AT20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201" s="35">
        <f>VLOOKUP(Tabla43[[#This Row],[SERVICIO 2025]],$J$2:$V$16,3,0)*Tabla43[[#This Row],[TOTAL COBERTURA]]+Tabla43[[#This Row],[VALOR RACION PREPARADA]]/7</f>
        <v>4121376</v>
      </c>
      <c r="AV201" s="35">
        <f>VLOOKUP(Tabla43[[#This Row],[SERVICIO 2025]],$J$2:$V$16,3,0)*Tabla43[[#This Row],[TOTAL COBERTURA]]+Tabla43[[#This Row],[VALOR RACION PREPARADA]]/7</f>
        <v>4121376</v>
      </c>
      <c r="AW201" s="35">
        <f>VLOOKUP(Tabla43[[#This Row],[SERVICIO 2025]],$J$2:$V$16,3,0)*Tabla43[[#This Row],[TOTAL COBERTURA]]+Tabla43[[#This Row],[VALOR RACION PREPARADA]]/7</f>
        <v>4121376</v>
      </c>
      <c r="AX201" s="35">
        <f>VLOOKUP(Tabla43[[#This Row],[SERVICIO 2025]],$J$2:$V$16,3,0)*Tabla43[[#This Row],[TOTAL COBERTURA]]+Tabla43[[#This Row],[VALOR RACION PREPARADA]]/7</f>
        <v>4121376</v>
      </c>
      <c r="AY201" s="35">
        <f>VLOOKUP(Tabla43[[#This Row],[SERVICIO 2025]],$J$2:$V$16,3,0)*Tabla43[[#This Row],[TOTAL COBERTURA]]+Tabla43[[#This Row],[VALOR RACION PREPARADA]]/7</f>
        <v>4121376</v>
      </c>
      <c r="AZ201" s="35">
        <f>VLOOKUP(Tabla43[[#This Row],[SERVICIO 2025]],$J$2:$V$16,3,0)*Tabla43[[#This Row],[TOTAL COBERTURA]]+Tabla43[[#This Row],[VALOR RACION PREPARADA]]/7+Tabla43[[#This Row],[VALOR FASE PREPARATORIA DE CIERRE]]</f>
        <v>4777840</v>
      </c>
      <c r="BA201" s="35"/>
      <c r="BB201" s="35">
        <f>SUM(Tabla43[[#This Row],[DESEMBOLSO 1]:[DESEMBOLSO 8]])</f>
        <v>30761712</v>
      </c>
      <c r="BC201" s="55">
        <f>VLOOKUP(Tabla43[[#This Row],[SERVICIO 2025]],$J$2:$V$16,10,0)*Tabla43[[#This Row],[TOTAL COBERTURA]]*$W$3</f>
        <v>23089024</v>
      </c>
      <c r="BD201" s="47" t="s">
        <v>211</v>
      </c>
      <c r="BE201" s="12" t="b">
        <f>EXACT(Tabla43[[#This Row],[TOTAL APORTES ICBF]],Tabla43[[#This Row],[VALOR TOTAL]])</f>
        <v>1</v>
      </c>
      <c r="BF201" s="23">
        <f>SUM(Tabla43[[#This Row],[VALOR FASE PREPARATORIA DE ALISTAMIENTO]:[VALOR RACION PREPARADA]])-Tabla43[[#This Row],[VALOR TOTAL]]</f>
        <v>0</v>
      </c>
      <c r="BG201" s="12" t="b">
        <f>EXACT(Tabla43[[#This Row],[VALOR TOTAL]],Tabla43[[#This Row],[TOTAL DESEMBOLSOS]])</f>
        <v>1</v>
      </c>
      <c r="BH201" s="29">
        <f>Tabla43[[#This Row],[TOTAL DESEMBOLSOS]]-Tabla43[[#This Row],[VALOR TOTAL]]</f>
        <v>0</v>
      </c>
      <c r="BJ201" t="s">
        <v>3924</v>
      </c>
    </row>
    <row r="202" spans="1:62" hidden="1">
      <c r="A202" s="13">
        <v>1974</v>
      </c>
      <c r="B202" s="13"/>
      <c r="C202" s="12" t="s">
        <v>87</v>
      </c>
      <c r="D202" s="12" t="s">
        <v>462</v>
      </c>
      <c r="E202" s="12" t="s">
        <v>4151</v>
      </c>
      <c r="F202" s="12" t="s">
        <v>18</v>
      </c>
      <c r="G202" s="12" t="s">
        <v>90</v>
      </c>
      <c r="H202" s="12" t="s">
        <v>4230</v>
      </c>
      <c r="I202" s="12">
        <v>54901152325</v>
      </c>
      <c r="J202" s="12" t="s">
        <v>1855</v>
      </c>
      <c r="K202" s="12">
        <v>1</v>
      </c>
      <c r="L202" s="12">
        <v>16</v>
      </c>
      <c r="M202" s="12"/>
      <c r="N202" s="13">
        <v>1974</v>
      </c>
      <c r="O202" s="12" t="s">
        <v>93</v>
      </c>
      <c r="P202" s="12"/>
      <c r="Q202" s="12"/>
      <c r="R202" s="12" t="s">
        <v>94</v>
      </c>
      <c r="S202" s="12">
        <v>10</v>
      </c>
      <c r="T202" s="12" t="s">
        <v>4176</v>
      </c>
      <c r="U202" s="12" t="s">
        <v>4177</v>
      </c>
      <c r="V202" s="12">
        <f>VLOOKUP(Tabla43[[#This Row],[ZONA DEFINITIVO]],Hoja1!$A$1:$D$129,3,0)</f>
        <v>229959</v>
      </c>
      <c r="W202" s="12">
        <f>VLOOKUP(Tabla43[[#This Row],[ZONA DEFINITIVO]],Hoja1!$A$1:$D$129,2,0)</f>
        <v>18591</v>
      </c>
      <c r="X202" s="12">
        <f>VLOOKUP(Tabla43[[#This Row],[ZONA DEFINITIVO]],Hoja1!$A$1:$D$129,4,0)</f>
        <v>117425</v>
      </c>
      <c r="Y202" s="12" t="str">
        <f>+IF(Tabla43[[#This Row],[AGRUPACIONES]]=1,SUMIFS(Tabla43[UDS],Tabla43[ZONA DEFINITIVO],Tabla43[[#This Row],[ZONA DEFINITIVO]])," ")</f>
        <v xml:space="preserve"> </v>
      </c>
      <c r="Z202" s="12" t="str">
        <f>+IF(Tabla43[[#This Row],[AGRUPACIONES]]=1,SUMIFS(Tabla43[TOTAL COBERTURA],Tabla43[ZONA DEFINITIVO],Tabla43[[#This Row],[ZONA DEFINITIVO]])," ")</f>
        <v xml:space="preserve"> </v>
      </c>
      <c r="AA202" s="12"/>
      <c r="AB202" s="51">
        <v>30761712</v>
      </c>
      <c r="AC202" s="37">
        <v>0.02</v>
      </c>
      <c r="AD202" s="38">
        <f>Tabla43[[#This Row],[VALOR ATENCIÓN (7 MESES)]]*Tabla43[[#This Row],[% CONTRAPARTIDA]]</f>
        <v>615234.24</v>
      </c>
      <c r="AE202" s="12"/>
      <c r="AF202" s="12">
        <f>COUNTIF($A$22:A202,A202)</f>
        <v>35</v>
      </c>
      <c r="AG202" s="51">
        <v>30761712</v>
      </c>
      <c r="AH202" s="38">
        <f>Tabla43[[#This Row],[VALOR CONTRAPARTIDA]]+Tabla43[[#This Row],[TOTAL APORTES ICBF]]</f>
        <v>31376946.239999998</v>
      </c>
      <c r="AI202" s="35" t="str">
        <f>+IF(Tabla43[[#This Row],[AGRUPACIONES]]=1,SUMIFS(Tabla43[TOTAL APORTES ICBF],Tabla43[ZONA DEFINITIVO],Tabla43[[#This Row],[ZONA DEFINITIVO]])," ")</f>
        <v xml:space="preserve"> </v>
      </c>
      <c r="AJ202" s="38"/>
      <c r="AK202" s="38"/>
      <c r="AL202" s="23"/>
      <c r="AM202" s="35">
        <f>VLOOKUP(Tabla43[[#This Row],[SERVICIO 2025]],$J$2:$V$16,5,0)*Tabla43[[#This Row],[TOTAL COBERTURA]]</f>
        <v>790016</v>
      </c>
      <c r="AN202" s="35">
        <f>VLOOKUP(Tabla43[[#This Row],[SERVICIO 2025]],$J$2:$V$16,6,0)*Tabla43[[#This Row],[TOTAL COBERTURA]]</f>
        <v>656464</v>
      </c>
      <c r="AO202" s="35">
        <f>VLOOKUP(Tabla43[[#This Row],[SERVICIO 2025]],$J$2:$V$16,8,0)*Tabla43[[#This Row],[TOTAL COBERTURA]]</f>
        <v>465600</v>
      </c>
      <c r="AP202" s="35">
        <f>VLOOKUP(Tabla43[[#This Row],[SERVICIO 2025]],$J$2:$V$16,3,0)*Tabla43[[#This Row],[TOTAL COBERTURA]]*7</f>
        <v>28849632</v>
      </c>
      <c r="AQ202" s="35"/>
      <c r="AR20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30761712</v>
      </c>
      <c r="AS202" s="35" t="str">
        <f>+IF(Tabla43[[#This Row],[AGRUPACIONES]]=1,SUMIFS(Tabla43[VALOR TOTAL],Tabla43[ZONA DEFINITIVO],Tabla43[[#This Row],[ZONA DEFINITIVO]])," ")</f>
        <v xml:space="preserve"> </v>
      </c>
      <c r="AT20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5376992</v>
      </c>
      <c r="AU202" s="35">
        <f>VLOOKUP(Tabla43[[#This Row],[SERVICIO 2025]],$J$2:$V$16,3,0)*Tabla43[[#This Row],[TOTAL COBERTURA]]+Tabla43[[#This Row],[VALOR RACION PREPARADA]]/7</f>
        <v>4121376</v>
      </c>
      <c r="AV202" s="35">
        <f>VLOOKUP(Tabla43[[#This Row],[SERVICIO 2025]],$J$2:$V$16,3,0)*Tabla43[[#This Row],[TOTAL COBERTURA]]+Tabla43[[#This Row],[VALOR RACION PREPARADA]]/7</f>
        <v>4121376</v>
      </c>
      <c r="AW202" s="35">
        <f>VLOOKUP(Tabla43[[#This Row],[SERVICIO 2025]],$J$2:$V$16,3,0)*Tabla43[[#This Row],[TOTAL COBERTURA]]+Tabla43[[#This Row],[VALOR RACION PREPARADA]]/7</f>
        <v>4121376</v>
      </c>
      <c r="AX202" s="35">
        <f>VLOOKUP(Tabla43[[#This Row],[SERVICIO 2025]],$J$2:$V$16,3,0)*Tabla43[[#This Row],[TOTAL COBERTURA]]+Tabla43[[#This Row],[VALOR RACION PREPARADA]]/7</f>
        <v>4121376</v>
      </c>
      <c r="AY202" s="35">
        <f>VLOOKUP(Tabla43[[#This Row],[SERVICIO 2025]],$J$2:$V$16,3,0)*Tabla43[[#This Row],[TOTAL COBERTURA]]+Tabla43[[#This Row],[VALOR RACION PREPARADA]]/7</f>
        <v>4121376</v>
      </c>
      <c r="AZ202" s="35">
        <f>VLOOKUP(Tabla43[[#This Row],[SERVICIO 2025]],$J$2:$V$16,3,0)*Tabla43[[#This Row],[TOTAL COBERTURA]]+Tabla43[[#This Row],[VALOR RACION PREPARADA]]/7+Tabla43[[#This Row],[VALOR FASE PREPARATORIA DE CIERRE]]</f>
        <v>4777840</v>
      </c>
      <c r="BA202" s="35"/>
      <c r="BB202" s="35">
        <f>SUM(Tabla43[[#This Row],[DESEMBOLSO 1]:[DESEMBOLSO 8]])</f>
        <v>30761712</v>
      </c>
      <c r="BC202" s="55">
        <f>VLOOKUP(Tabla43[[#This Row],[SERVICIO 2025]],$J$2:$V$16,10,0)*Tabla43[[#This Row],[TOTAL COBERTURA]]*$W$3</f>
        <v>23089024</v>
      </c>
      <c r="BD202" s="47" t="s">
        <v>211</v>
      </c>
      <c r="BE202" s="12" t="b">
        <f>EXACT(Tabla43[[#This Row],[TOTAL APORTES ICBF]],Tabla43[[#This Row],[VALOR TOTAL]])</f>
        <v>1</v>
      </c>
      <c r="BF202" s="23">
        <f>SUM(Tabla43[[#This Row],[VALOR FASE PREPARATORIA DE ALISTAMIENTO]:[VALOR RACION PREPARADA]])-Tabla43[[#This Row],[VALOR TOTAL]]</f>
        <v>0</v>
      </c>
      <c r="BG202" s="12" t="b">
        <f>EXACT(Tabla43[[#This Row],[VALOR TOTAL]],Tabla43[[#This Row],[TOTAL DESEMBOLSOS]])</f>
        <v>1</v>
      </c>
      <c r="BH202" s="29">
        <f>Tabla43[[#This Row],[TOTAL DESEMBOLSOS]]-Tabla43[[#This Row],[VALOR TOTAL]]</f>
        <v>0</v>
      </c>
      <c r="BJ202" t="s">
        <v>3924</v>
      </c>
    </row>
    <row r="203" spans="1:62" hidden="1">
      <c r="A203" s="13">
        <v>1974</v>
      </c>
      <c r="B203" s="13"/>
      <c r="C203" s="12" t="s">
        <v>87</v>
      </c>
      <c r="D203" s="12" t="s">
        <v>462</v>
      </c>
      <c r="E203" s="12" t="s">
        <v>4151</v>
      </c>
      <c r="F203" s="12" t="s">
        <v>18</v>
      </c>
      <c r="G203" s="12" t="s">
        <v>90</v>
      </c>
      <c r="H203" s="12" t="s">
        <v>4231</v>
      </c>
      <c r="I203" s="12">
        <v>54901153205</v>
      </c>
      <c r="J203" s="12" t="s">
        <v>4232</v>
      </c>
      <c r="K203" s="12">
        <v>1</v>
      </c>
      <c r="L203" s="12">
        <v>18</v>
      </c>
      <c r="M203" s="12"/>
      <c r="N203" s="13">
        <v>1974</v>
      </c>
      <c r="O203" s="12" t="s">
        <v>93</v>
      </c>
      <c r="P203" s="12"/>
      <c r="Q203" s="12"/>
      <c r="R203" s="12" t="s">
        <v>94</v>
      </c>
      <c r="S203" s="12">
        <v>10</v>
      </c>
      <c r="T203" s="12" t="s">
        <v>4176</v>
      </c>
      <c r="U203" s="12" t="s">
        <v>4177</v>
      </c>
      <c r="V203" s="12">
        <f>VLOOKUP(Tabla43[[#This Row],[ZONA DEFINITIVO]],Hoja1!$A$1:$D$129,3,0)</f>
        <v>229959</v>
      </c>
      <c r="W203" s="12">
        <f>VLOOKUP(Tabla43[[#This Row],[ZONA DEFINITIVO]],Hoja1!$A$1:$D$129,2,0)</f>
        <v>18591</v>
      </c>
      <c r="X203" s="12">
        <f>VLOOKUP(Tabla43[[#This Row],[ZONA DEFINITIVO]],Hoja1!$A$1:$D$129,4,0)</f>
        <v>117425</v>
      </c>
      <c r="Y203" s="12" t="str">
        <f>+IF(Tabla43[[#This Row],[AGRUPACIONES]]=1,SUMIFS(Tabla43[UDS],Tabla43[ZONA DEFINITIVO],Tabla43[[#This Row],[ZONA DEFINITIVO]])," ")</f>
        <v xml:space="preserve"> </v>
      </c>
      <c r="Z203" s="12" t="str">
        <f>+IF(Tabla43[[#This Row],[AGRUPACIONES]]=1,SUMIFS(Tabla43[TOTAL COBERTURA],Tabla43[ZONA DEFINITIVO],Tabla43[[#This Row],[ZONA DEFINITIVO]])," ")</f>
        <v xml:space="preserve"> </v>
      </c>
      <c r="AA203" s="12"/>
      <c r="AB203" s="51">
        <v>34606926</v>
      </c>
      <c r="AC203" s="37">
        <v>0.02</v>
      </c>
      <c r="AD203" s="38">
        <f>Tabla43[[#This Row],[VALOR ATENCIÓN (7 MESES)]]*Tabla43[[#This Row],[% CONTRAPARTIDA]]</f>
        <v>692138.52</v>
      </c>
      <c r="AE203" s="12"/>
      <c r="AF203" s="12">
        <f>COUNTIF($A$22:A203,A203)</f>
        <v>36</v>
      </c>
      <c r="AG203" s="51">
        <v>34606926</v>
      </c>
      <c r="AH203" s="38">
        <f>Tabla43[[#This Row],[VALOR CONTRAPARTIDA]]+Tabla43[[#This Row],[TOTAL APORTES ICBF]]</f>
        <v>35299064.520000003</v>
      </c>
      <c r="AI203" s="35" t="str">
        <f>+IF(Tabla43[[#This Row],[AGRUPACIONES]]=1,SUMIFS(Tabla43[TOTAL APORTES ICBF],Tabla43[ZONA DEFINITIVO],Tabla43[[#This Row],[ZONA DEFINITIVO]])," ")</f>
        <v xml:space="preserve"> </v>
      </c>
      <c r="AJ203" s="38"/>
      <c r="AK203" s="38"/>
      <c r="AL203" s="23"/>
      <c r="AM203" s="35">
        <f>VLOOKUP(Tabla43[[#This Row],[SERVICIO 2025]],$J$2:$V$16,5,0)*Tabla43[[#This Row],[TOTAL COBERTURA]]</f>
        <v>888768</v>
      </c>
      <c r="AN203" s="35">
        <f>VLOOKUP(Tabla43[[#This Row],[SERVICIO 2025]],$J$2:$V$16,6,0)*Tabla43[[#This Row],[TOTAL COBERTURA]]</f>
        <v>738522</v>
      </c>
      <c r="AO203" s="35">
        <f>VLOOKUP(Tabla43[[#This Row],[SERVICIO 2025]],$J$2:$V$16,8,0)*Tabla43[[#This Row],[TOTAL COBERTURA]]</f>
        <v>523800</v>
      </c>
      <c r="AP203" s="35">
        <f>VLOOKUP(Tabla43[[#This Row],[SERVICIO 2025]],$J$2:$V$16,3,0)*Tabla43[[#This Row],[TOTAL COBERTURA]]*7</f>
        <v>32455836</v>
      </c>
      <c r="AQ203" s="35"/>
      <c r="AR20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34606926</v>
      </c>
      <c r="AS203" s="35" t="str">
        <f>+IF(Tabla43[[#This Row],[AGRUPACIONES]]=1,SUMIFS(Tabla43[VALOR TOTAL],Tabla43[ZONA DEFINITIVO],Tabla43[[#This Row],[ZONA DEFINITIVO]])," ")</f>
        <v xml:space="preserve"> </v>
      </c>
      <c r="AT20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6049116</v>
      </c>
      <c r="AU203" s="35">
        <f>VLOOKUP(Tabla43[[#This Row],[SERVICIO 2025]],$J$2:$V$16,3,0)*Tabla43[[#This Row],[TOTAL COBERTURA]]+Tabla43[[#This Row],[VALOR RACION PREPARADA]]/7</f>
        <v>4636548</v>
      </c>
      <c r="AV203" s="35">
        <f>VLOOKUP(Tabla43[[#This Row],[SERVICIO 2025]],$J$2:$V$16,3,0)*Tabla43[[#This Row],[TOTAL COBERTURA]]+Tabla43[[#This Row],[VALOR RACION PREPARADA]]/7</f>
        <v>4636548</v>
      </c>
      <c r="AW203" s="35">
        <f>VLOOKUP(Tabla43[[#This Row],[SERVICIO 2025]],$J$2:$V$16,3,0)*Tabla43[[#This Row],[TOTAL COBERTURA]]+Tabla43[[#This Row],[VALOR RACION PREPARADA]]/7</f>
        <v>4636548</v>
      </c>
      <c r="AX203" s="35">
        <f>VLOOKUP(Tabla43[[#This Row],[SERVICIO 2025]],$J$2:$V$16,3,0)*Tabla43[[#This Row],[TOTAL COBERTURA]]+Tabla43[[#This Row],[VALOR RACION PREPARADA]]/7</f>
        <v>4636548</v>
      </c>
      <c r="AY203" s="35">
        <f>VLOOKUP(Tabla43[[#This Row],[SERVICIO 2025]],$J$2:$V$16,3,0)*Tabla43[[#This Row],[TOTAL COBERTURA]]+Tabla43[[#This Row],[VALOR RACION PREPARADA]]/7</f>
        <v>4636548</v>
      </c>
      <c r="AZ203" s="35">
        <f>VLOOKUP(Tabla43[[#This Row],[SERVICIO 2025]],$J$2:$V$16,3,0)*Tabla43[[#This Row],[TOTAL COBERTURA]]+Tabla43[[#This Row],[VALOR RACION PREPARADA]]/7+Tabla43[[#This Row],[VALOR FASE PREPARATORIA DE CIERRE]]</f>
        <v>5375070</v>
      </c>
      <c r="BA203" s="35"/>
      <c r="BB203" s="35">
        <f>SUM(Tabla43[[#This Row],[DESEMBOLSO 1]:[DESEMBOLSO 8]])</f>
        <v>34606926</v>
      </c>
      <c r="BC203" s="55">
        <f>VLOOKUP(Tabla43[[#This Row],[SERVICIO 2025]],$J$2:$V$16,10,0)*Tabla43[[#This Row],[TOTAL COBERTURA]]*$W$3</f>
        <v>25975152</v>
      </c>
      <c r="BD203" s="47" t="s">
        <v>211</v>
      </c>
      <c r="BE203" s="12" t="b">
        <f>EXACT(Tabla43[[#This Row],[TOTAL APORTES ICBF]],Tabla43[[#This Row],[VALOR TOTAL]])</f>
        <v>1</v>
      </c>
      <c r="BF203" s="23">
        <f>SUM(Tabla43[[#This Row],[VALOR FASE PREPARATORIA DE ALISTAMIENTO]:[VALOR RACION PREPARADA]])-Tabla43[[#This Row],[VALOR TOTAL]]</f>
        <v>0</v>
      </c>
      <c r="BG203" s="12" t="b">
        <f>EXACT(Tabla43[[#This Row],[VALOR TOTAL]],Tabla43[[#This Row],[TOTAL DESEMBOLSOS]])</f>
        <v>1</v>
      </c>
      <c r="BH203" s="29">
        <f>Tabla43[[#This Row],[TOTAL DESEMBOLSOS]]-Tabla43[[#This Row],[VALOR TOTAL]]</f>
        <v>0</v>
      </c>
      <c r="BJ203" t="s">
        <v>3924</v>
      </c>
    </row>
    <row r="204" spans="1:62" hidden="1">
      <c r="A204" s="71">
        <v>2021</v>
      </c>
      <c r="B204" s="13"/>
      <c r="C204" s="12" t="s">
        <v>87</v>
      </c>
      <c r="D204" s="12" t="s">
        <v>462</v>
      </c>
      <c r="E204" s="12" t="s">
        <v>3908</v>
      </c>
      <c r="F204" s="12" t="s">
        <v>24</v>
      </c>
      <c r="G204" s="12" t="s">
        <v>90</v>
      </c>
      <c r="H204" s="12" t="s">
        <v>4233</v>
      </c>
      <c r="I204" s="12">
        <v>54751118885</v>
      </c>
      <c r="J204" s="12" t="s">
        <v>4234</v>
      </c>
      <c r="K204" s="12">
        <v>1</v>
      </c>
      <c r="L204" s="12">
        <v>89</v>
      </c>
      <c r="M204" s="12"/>
      <c r="N204" s="71">
        <v>2021</v>
      </c>
      <c r="O204" s="12" t="s">
        <v>93</v>
      </c>
      <c r="P204" s="12"/>
      <c r="Q204" s="12"/>
      <c r="R204" s="12" t="s">
        <v>94</v>
      </c>
      <c r="S204" s="12">
        <v>10</v>
      </c>
      <c r="T204" s="12" t="s">
        <v>2841</v>
      </c>
      <c r="U204" s="12" t="s">
        <v>4235</v>
      </c>
      <c r="V204" s="12">
        <f>VLOOKUP(Tabla43[[#This Row],[ZONA DEFINITIVO]],Hoja1!$A$1:$D$129,3,0)</f>
        <v>232287</v>
      </c>
      <c r="W204" s="12">
        <f>VLOOKUP(Tabla43[[#This Row],[ZONA DEFINITIVO]],Hoja1!$A$1:$D$129,2,0)</f>
        <v>18585</v>
      </c>
      <c r="X204" s="12">
        <f>VLOOKUP(Tabla43[[#This Row],[ZONA DEFINITIVO]],Hoja1!$A$1:$D$129,4,0)</f>
        <v>116925</v>
      </c>
      <c r="Y204" s="12">
        <f>+IF(Tabla43[[#This Row],[AGRUPACIONES]]=1,SUMIFS(Tabla43[UDS],Tabla43[ZONA DEFINITIVO],Tabla43[[#This Row],[ZONA DEFINITIVO]])," ")</f>
        <v>6</v>
      </c>
      <c r="Z204" s="12">
        <f>+IF(Tabla43[[#This Row],[AGRUPACIONES]]=1,SUMIFS(Tabla43[TOTAL COBERTURA],Tabla43[ZONA DEFINITIVO],Tabla43[[#This Row],[ZONA DEFINITIVO]])," ")</f>
        <v>382</v>
      </c>
      <c r="AA204" s="12"/>
      <c r="AB204" s="51">
        <v>204162084</v>
      </c>
      <c r="AC204" s="37">
        <v>0.02</v>
      </c>
      <c r="AD204" s="38">
        <f>Tabla43[[#This Row],[VALOR ATENCIÓN (7 MESES)]]*Tabla43[[#This Row],[% CONTRAPARTIDA]]</f>
        <v>4083241.68</v>
      </c>
      <c r="AE204" s="12"/>
      <c r="AF204" s="12">
        <f>COUNTIF($A$22:A204,A204)</f>
        <v>1</v>
      </c>
      <c r="AG204" s="51">
        <v>204162084</v>
      </c>
      <c r="AH204" s="38">
        <f>Tabla43[[#This Row],[VALOR CONTRAPARTIDA]]+Tabla43[[#This Row],[TOTAL APORTES ICBF]]</f>
        <v>208245325.68000001</v>
      </c>
      <c r="AI204" s="35">
        <f>+IF(Tabla43[[#This Row],[AGRUPACIONES]]=1,SUMIFS(Tabla43[TOTAL APORTES ICBF],Tabla43[ZONA DEFINITIVO],Tabla43[[#This Row],[ZONA DEFINITIVO]])," ")</f>
        <v>908641743</v>
      </c>
      <c r="AJ204" s="38">
        <f>ROUND(+IF(Tabla43[[#This Row],[AGRUPACIONES]]=1,SUMIFS(Tabla43[VALOR CONTRAPARTIDA],Tabla43[ZONA DEFINITIVO],Tabla43[[#This Row],[ZONA DEFINITIVO]])," "),0)</f>
        <v>18172835</v>
      </c>
      <c r="AK204" s="38">
        <f>Tabla43[[#This Row],[TOTAL APORTES ICBF AGRUPADO]]+Tabla43[[#This Row],[TOTAL CONTRAPARTIDA AGRUPADO]]</f>
        <v>926814578</v>
      </c>
      <c r="AL204" s="23">
        <f>Tabla43[[#This Row],[TOTAL APORTES ICBF AGRUPADO]]/$AL$20</f>
        <v>638.31523919915696</v>
      </c>
      <c r="AM204" s="35">
        <f>VLOOKUP(Tabla43[[#This Row],[SERVICIO 2025]],$J$2:$V$16,5,0)*Tabla43[[#This Row],[TOTAL COBERTURA]]</f>
        <v>5895716</v>
      </c>
      <c r="AN204" s="35">
        <f>VLOOKUP(Tabla43[[#This Row],[SERVICIO 2025]],$J$2:$V$16,6,0)*Tabla43[[#This Row],[TOTAL COBERTURA]]</f>
        <v>2511669</v>
      </c>
      <c r="AO204" s="35">
        <f>VLOOKUP(Tabla43[[#This Row],[SERVICIO 2025]],$J$2:$V$16,8,0)*Tabla43[[#This Row],[TOTAL COBERTURA]]</f>
        <v>2589811</v>
      </c>
      <c r="AP204" s="35">
        <f>VLOOKUP(Tabla43[[#This Row],[SERVICIO 2025]],$J$2:$V$16,3,0)*Tabla43[[#This Row],[TOTAL COBERTURA]]*7</f>
        <v>193164888</v>
      </c>
      <c r="AQ204" s="35"/>
      <c r="AR20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204162084</v>
      </c>
      <c r="AS204" s="35">
        <f>+IF(Tabla43[[#This Row],[AGRUPACIONES]]=1,SUMIFS(Tabla43[VALOR TOTAL],Tabla43[ZONA DEFINITIVO],Tabla43[[#This Row],[ZONA DEFINITIVO]])," ")</f>
        <v>908641743</v>
      </c>
      <c r="AT20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36080511</v>
      </c>
      <c r="AU204" s="35">
        <f>VLOOKUP(Tabla43[[#This Row],[SERVICIO 2025]],$J$2:$V$16,3,0)*Tabla43[[#This Row],[TOTAL COBERTURA]]+Tabla43[[#This Row],[VALOR RACION PREPARADA]]/7</f>
        <v>27594984</v>
      </c>
      <c r="AV204" s="35">
        <f>VLOOKUP(Tabla43[[#This Row],[SERVICIO 2025]],$J$2:$V$16,3,0)*Tabla43[[#This Row],[TOTAL COBERTURA]]+Tabla43[[#This Row],[VALOR RACION PREPARADA]]/7</f>
        <v>27594984</v>
      </c>
      <c r="AW204" s="35">
        <f>VLOOKUP(Tabla43[[#This Row],[SERVICIO 2025]],$J$2:$V$16,3,0)*Tabla43[[#This Row],[TOTAL COBERTURA]]+Tabla43[[#This Row],[VALOR RACION PREPARADA]]/7</f>
        <v>27594984</v>
      </c>
      <c r="AX204" s="35">
        <f>VLOOKUP(Tabla43[[#This Row],[SERVICIO 2025]],$J$2:$V$16,3,0)*Tabla43[[#This Row],[TOTAL COBERTURA]]+Tabla43[[#This Row],[VALOR RACION PREPARADA]]/7</f>
        <v>27594984</v>
      </c>
      <c r="AY204" s="35">
        <f>VLOOKUP(Tabla43[[#This Row],[SERVICIO 2025]],$J$2:$V$16,3,0)*Tabla43[[#This Row],[TOTAL COBERTURA]]+Tabla43[[#This Row],[VALOR RACION PREPARADA]]/7</f>
        <v>27594984</v>
      </c>
      <c r="AZ204" s="35">
        <f>VLOOKUP(Tabla43[[#This Row],[SERVICIO 2025]],$J$2:$V$16,3,0)*Tabla43[[#This Row],[TOTAL COBERTURA]]+Tabla43[[#This Row],[VALOR RACION PREPARADA]]/7+Tabla43[[#This Row],[VALOR FASE PREPARATORIA DE CIERRE]]</f>
        <v>30106653</v>
      </c>
      <c r="BA204" s="35"/>
      <c r="BB204" s="35">
        <f>SUM(Tabla43[[#This Row],[DESEMBOLSO 1]:[DESEMBOLSO 8]])</f>
        <v>204162084</v>
      </c>
      <c r="BC204" s="55">
        <f>VLOOKUP(Tabla43[[#This Row],[SERVICIO 2025]],$J$2:$V$16,10,0)*Tabla43[[#This Row],[TOTAL COBERTURA]]*$W$3</f>
        <v>112737368</v>
      </c>
      <c r="BD204" s="47" t="s">
        <v>211</v>
      </c>
      <c r="BE204" s="12" t="b">
        <f>EXACT(Tabla43[[#This Row],[TOTAL APORTES ICBF]],Tabla43[[#This Row],[VALOR TOTAL]])</f>
        <v>1</v>
      </c>
      <c r="BF204" s="23">
        <f>SUM(Tabla43[[#This Row],[VALOR FASE PREPARATORIA DE ALISTAMIENTO]:[VALOR RACION PREPARADA]])-Tabla43[[#This Row],[VALOR TOTAL]]</f>
        <v>0</v>
      </c>
      <c r="BG204" s="12" t="b">
        <f>EXACT(Tabla43[[#This Row],[VALOR TOTAL]],Tabla43[[#This Row],[TOTAL DESEMBOLSOS]])</f>
        <v>1</v>
      </c>
      <c r="BH204" s="29">
        <f>Tabla43[[#This Row],[TOTAL DESEMBOLSOS]]-Tabla43[[#This Row],[VALOR TOTAL]]</f>
        <v>0</v>
      </c>
      <c r="BJ204" t="s">
        <v>3924</v>
      </c>
    </row>
    <row r="205" spans="1:62" hidden="1">
      <c r="A205" s="71">
        <v>2021</v>
      </c>
      <c r="B205" s="13"/>
      <c r="C205" s="12" t="s">
        <v>87</v>
      </c>
      <c r="D205" s="12" t="s">
        <v>462</v>
      </c>
      <c r="E205" s="12" t="s">
        <v>3908</v>
      </c>
      <c r="F205" s="12" t="s">
        <v>17</v>
      </c>
      <c r="G205" s="12" t="s">
        <v>90</v>
      </c>
      <c r="H205" s="12" t="s">
        <v>2407</v>
      </c>
      <c r="I205" s="12">
        <v>54751118886</v>
      </c>
      <c r="J205" s="12" t="s">
        <v>4236</v>
      </c>
      <c r="K205" s="12">
        <v>1</v>
      </c>
      <c r="L205" s="12">
        <v>43</v>
      </c>
      <c r="M205" s="12"/>
      <c r="N205" s="71">
        <v>2021</v>
      </c>
      <c r="O205" s="12" t="s">
        <v>93</v>
      </c>
      <c r="P205" s="12"/>
      <c r="Q205" s="12"/>
      <c r="R205" s="12" t="s">
        <v>94</v>
      </c>
      <c r="S205" s="12">
        <v>10</v>
      </c>
      <c r="T205" s="12" t="s">
        <v>2841</v>
      </c>
      <c r="U205" s="12" t="s">
        <v>4235</v>
      </c>
      <c r="V205" s="12">
        <f>VLOOKUP(Tabla43[[#This Row],[ZONA DEFINITIVO]],Hoja1!$A$1:$D$129,3,0)</f>
        <v>232287</v>
      </c>
      <c r="W205" s="12">
        <f>VLOOKUP(Tabla43[[#This Row],[ZONA DEFINITIVO]],Hoja1!$A$1:$D$129,2,0)</f>
        <v>18585</v>
      </c>
      <c r="X205" s="12">
        <f>VLOOKUP(Tabla43[[#This Row],[ZONA DEFINITIVO]],Hoja1!$A$1:$D$129,4,0)</f>
        <v>116925</v>
      </c>
      <c r="Y205" s="12" t="str">
        <f>+IF(Tabla43[[#This Row],[AGRUPACIONES]]=1,SUMIFS(Tabla43[UDS],Tabla43[ZONA DEFINITIVO],Tabla43[[#This Row],[ZONA DEFINITIVO]])," ")</f>
        <v xml:space="preserve"> </v>
      </c>
      <c r="Z205" s="12" t="str">
        <f>+IF(Tabla43[[#This Row],[AGRUPACIONES]]=1,SUMIFS(Tabla43[TOTAL COBERTURA],Tabla43[ZONA DEFINITIVO],Tabla43[[#This Row],[ZONA DEFINITIVO]])," ")</f>
        <v xml:space="preserve"> </v>
      </c>
      <c r="AA205" s="12"/>
      <c r="AB205" s="51">
        <v>95808859</v>
      </c>
      <c r="AC205" s="37">
        <v>0.02</v>
      </c>
      <c r="AD205" s="38">
        <f>Tabla43[[#This Row],[VALOR ATENCIÓN (7 MESES)]]*Tabla43[[#This Row],[% CONTRAPARTIDA]]</f>
        <v>1916177.18</v>
      </c>
      <c r="AE205" s="12"/>
      <c r="AF205" s="12">
        <f>COUNTIF($A$22:A205,A205)</f>
        <v>2</v>
      </c>
      <c r="AG205" s="51">
        <v>95808859</v>
      </c>
      <c r="AH205" s="38">
        <f>Tabla43[[#This Row],[VALOR CONTRAPARTIDA]]+Tabla43[[#This Row],[TOTAL APORTES ICBF]]</f>
        <v>97725036.180000007</v>
      </c>
      <c r="AI205" s="35" t="str">
        <f>+IF(Tabla43[[#This Row],[AGRUPACIONES]]=1,SUMIFS(Tabla43[TOTAL APORTES ICBF],Tabla43[ZONA DEFINITIVO],Tabla43[[#This Row],[ZONA DEFINITIVO]])," ")</f>
        <v xml:space="preserve"> </v>
      </c>
      <c r="AJ205" s="38"/>
      <c r="AK205" s="38"/>
      <c r="AL205" s="23"/>
      <c r="AM205" s="35">
        <f>VLOOKUP(Tabla43[[#This Row],[SERVICIO 2025]],$J$2:$V$16,5,0)*Tabla43[[#This Row],[TOTAL COBERTURA]]</f>
        <v>3180495</v>
      </c>
      <c r="AN205" s="35">
        <f>VLOOKUP(Tabla43[[#This Row],[SERVICIO 2025]],$J$2:$V$16,6,0)*Tabla43[[#This Row],[TOTAL COBERTURA]]</f>
        <v>1403993</v>
      </c>
      <c r="AO205" s="35">
        <f>VLOOKUP(Tabla43[[#This Row],[SERVICIO 2025]],$J$2:$V$16,8,0)*Tabla43[[#This Row],[TOTAL COBERTURA]]</f>
        <v>1251257</v>
      </c>
      <c r="AP205" s="35">
        <f>VLOOKUP(Tabla43[[#This Row],[SERVICIO 2025]],$J$2:$V$16,3,0)*Tabla43[[#This Row],[TOTAL COBERTURA]]*7</f>
        <v>89973114</v>
      </c>
      <c r="AQ205" s="35"/>
      <c r="AR20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95808859</v>
      </c>
      <c r="AS205" s="35" t="str">
        <f>+IF(Tabla43[[#This Row],[AGRUPACIONES]]=1,SUMIFS(Tabla43[VALOR TOTAL],Tabla43[ZONA DEFINITIVO],Tabla43[[#This Row],[ZONA DEFINITIVO]])," ")</f>
        <v xml:space="preserve"> </v>
      </c>
      <c r="AT20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17285054</v>
      </c>
      <c r="AU205" s="35">
        <f>VLOOKUP(Tabla43[[#This Row],[SERVICIO 2025]],$J$2:$V$16,3,0)*Tabla43[[#This Row],[TOTAL COBERTURA]]+Tabla43[[#This Row],[VALOR RACION PREPARADA]]/7</f>
        <v>12853302</v>
      </c>
      <c r="AV205" s="35">
        <f>VLOOKUP(Tabla43[[#This Row],[SERVICIO 2025]],$J$2:$V$16,3,0)*Tabla43[[#This Row],[TOTAL COBERTURA]]+Tabla43[[#This Row],[VALOR RACION PREPARADA]]/7</f>
        <v>12853302</v>
      </c>
      <c r="AW205" s="35">
        <f>VLOOKUP(Tabla43[[#This Row],[SERVICIO 2025]],$J$2:$V$16,3,0)*Tabla43[[#This Row],[TOTAL COBERTURA]]+Tabla43[[#This Row],[VALOR RACION PREPARADA]]/7</f>
        <v>12853302</v>
      </c>
      <c r="AX205" s="35">
        <f>VLOOKUP(Tabla43[[#This Row],[SERVICIO 2025]],$J$2:$V$16,3,0)*Tabla43[[#This Row],[TOTAL COBERTURA]]+Tabla43[[#This Row],[VALOR RACION PREPARADA]]/7</f>
        <v>12853302</v>
      </c>
      <c r="AY205" s="35">
        <f>VLOOKUP(Tabla43[[#This Row],[SERVICIO 2025]],$J$2:$V$16,3,0)*Tabla43[[#This Row],[TOTAL COBERTURA]]+Tabla43[[#This Row],[VALOR RACION PREPARADA]]/7</f>
        <v>12853302</v>
      </c>
      <c r="AZ205" s="35">
        <f>VLOOKUP(Tabla43[[#This Row],[SERVICIO 2025]],$J$2:$V$16,3,0)*Tabla43[[#This Row],[TOTAL COBERTURA]]+Tabla43[[#This Row],[VALOR RACION PREPARADA]]/7+Tabla43[[#This Row],[VALOR FASE PREPARATORIA DE CIERRE]]</f>
        <v>14257295</v>
      </c>
      <c r="BA205" s="35"/>
      <c r="BB205" s="35">
        <f>SUM(Tabla43[[#This Row],[DESEMBOLSO 1]:[DESEMBOLSO 8]])</f>
        <v>95808859</v>
      </c>
      <c r="BC205" s="55">
        <f>VLOOKUP(Tabla43[[#This Row],[SERVICIO 2025]],$J$2:$V$16,10,0)*Tabla43[[#This Row],[TOTAL COBERTURA]]*$W$3</f>
        <v>56107088</v>
      </c>
      <c r="BD205" s="47" t="s">
        <v>211</v>
      </c>
      <c r="BE205" s="12" t="b">
        <f>EXACT(Tabla43[[#This Row],[TOTAL APORTES ICBF]],Tabla43[[#This Row],[VALOR TOTAL]])</f>
        <v>1</v>
      </c>
      <c r="BF205" s="23">
        <f>SUM(Tabla43[[#This Row],[VALOR FASE PREPARATORIA DE ALISTAMIENTO]:[VALOR RACION PREPARADA]])-Tabla43[[#This Row],[VALOR TOTAL]]</f>
        <v>0</v>
      </c>
      <c r="BG205" s="12" t="b">
        <f>EXACT(Tabla43[[#This Row],[VALOR TOTAL]],Tabla43[[#This Row],[TOTAL DESEMBOLSOS]])</f>
        <v>1</v>
      </c>
      <c r="BH205" s="29">
        <f>Tabla43[[#This Row],[TOTAL DESEMBOLSOS]]-Tabla43[[#This Row],[VALOR TOTAL]]</f>
        <v>0</v>
      </c>
      <c r="BJ205" t="s">
        <v>3924</v>
      </c>
    </row>
    <row r="206" spans="1:62" hidden="1">
      <c r="A206" s="71">
        <v>2021</v>
      </c>
      <c r="B206" s="13"/>
      <c r="C206" s="12" t="s">
        <v>87</v>
      </c>
      <c r="D206" s="12" t="s">
        <v>462</v>
      </c>
      <c r="E206" s="12" t="s">
        <v>3908</v>
      </c>
      <c r="F206" s="12" t="s">
        <v>17</v>
      </c>
      <c r="G206" s="12" t="s">
        <v>90</v>
      </c>
      <c r="H206" s="12" t="s">
        <v>4237</v>
      </c>
      <c r="I206" s="12">
        <v>54751118888</v>
      </c>
      <c r="J206" s="12" t="s">
        <v>4238</v>
      </c>
      <c r="K206" s="12">
        <v>1</v>
      </c>
      <c r="L206" s="12">
        <v>80</v>
      </c>
      <c r="M206" s="12"/>
      <c r="N206" s="71">
        <v>2021</v>
      </c>
      <c r="O206" s="12" t="s">
        <v>93</v>
      </c>
      <c r="P206" s="12"/>
      <c r="Q206" s="12"/>
      <c r="R206" s="12" t="s">
        <v>94</v>
      </c>
      <c r="S206" s="12">
        <v>10</v>
      </c>
      <c r="T206" s="12" t="s">
        <v>2841</v>
      </c>
      <c r="U206" s="12" t="s">
        <v>4235</v>
      </c>
      <c r="V206" s="12">
        <f>VLOOKUP(Tabla43[[#This Row],[ZONA DEFINITIVO]],Hoja1!$A$1:$D$129,3,0)</f>
        <v>232287</v>
      </c>
      <c r="W206" s="12">
        <f>VLOOKUP(Tabla43[[#This Row],[ZONA DEFINITIVO]],Hoja1!$A$1:$D$129,2,0)</f>
        <v>18585</v>
      </c>
      <c r="X206" s="12">
        <f>VLOOKUP(Tabla43[[#This Row],[ZONA DEFINITIVO]],Hoja1!$A$1:$D$129,4,0)</f>
        <v>116925</v>
      </c>
      <c r="Y206" s="12" t="str">
        <f>+IF(Tabla43[[#This Row],[AGRUPACIONES]]=1,SUMIFS(Tabla43[UDS],Tabla43[ZONA DEFINITIVO],Tabla43[[#This Row],[ZONA DEFINITIVO]])," ")</f>
        <v xml:space="preserve"> </v>
      </c>
      <c r="Z206" s="12" t="str">
        <f>+IF(Tabla43[[#This Row],[AGRUPACIONES]]=1,SUMIFS(Tabla43[TOTAL COBERTURA],Tabla43[ZONA DEFINITIVO],Tabla43[[#This Row],[ZONA DEFINITIVO]])," ")</f>
        <v xml:space="preserve"> </v>
      </c>
      <c r="AA206" s="12"/>
      <c r="AB206" s="51">
        <v>178249040</v>
      </c>
      <c r="AC206" s="37">
        <v>0.02</v>
      </c>
      <c r="AD206" s="38">
        <f>Tabla43[[#This Row],[VALOR ATENCIÓN (7 MESES)]]*Tabla43[[#This Row],[% CONTRAPARTIDA]]</f>
        <v>3564980.8000000003</v>
      </c>
      <c r="AE206" s="12"/>
      <c r="AF206" s="12">
        <f>COUNTIF($A$22:A206,A206)</f>
        <v>3</v>
      </c>
      <c r="AG206" s="51">
        <v>178249040</v>
      </c>
      <c r="AH206" s="38">
        <f>Tabla43[[#This Row],[VALOR CONTRAPARTIDA]]+Tabla43[[#This Row],[TOTAL APORTES ICBF]]</f>
        <v>181814020.80000001</v>
      </c>
      <c r="AI206" s="35" t="str">
        <f>+IF(Tabla43[[#This Row],[AGRUPACIONES]]=1,SUMIFS(Tabla43[TOTAL APORTES ICBF],Tabla43[ZONA DEFINITIVO],Tabla43[[#This Row],[ZONA DEFINITIVO]])," ")</f>
        <v xml:space="preserve"> </v>
      </c>
      <c r="AJ206" s="38"/>
      <c r="AK206" s="38"/>
      <c r="AL206" s="23"/>
      <c r="AM206" s="35">
        <f>VLOOKUP(Tabla43[[#This Row],[SERVICIO 2025]],$J$2:$V$16,5,0)*Tabla43[[#This Row],[TOTAL COBERTURA]]</f>
        <v>5917200</v>
      </c>
      <c r="AN206" s="35">
        <f>VLOOKUP(Tabla43[[#This Row],[SERVICIO 2025]],$J$2:$V$16,6,0)*Tabla43[[#This Row],[TOTAL COBERTURA]]</f>
        <v>2612080</v>
      </c>
      <c r="AO206" s="35">
        <f>VLOOKUP(Tabla43[[#This Row],[SERVICIO 2025]],$J$2:$V$16,8,0)*Tabla43[[#This Row],[TOTAL COBERTURA]]</f>
        <v>2327920</v>
      </c>
      <c r="AP206" s="35">
        <f>VLOOKUP(Tabla43[[#This Row],[SERVICIO 2025]],$J$2:$V$16,3,0)*Tabla43[[#This Row],[TOTAL COBERTURA]]*7</f>
        <v>167391840</v>
      </c>
      <c r="AQ206" s="35"/>
      <c r="AR20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178249040</v>
      </c>
      <c r="AS206" s="35" t="str">
        <f>+IF(Tabla43[[#This Row],[AGRUPACIONES]]=1,SUMIFS(Tabla43[VALOR TOTAL],Tabla43[ZONA DEFINITIVO],Tabla43[[#This Row],[ZONA DEFINITIVO]])," ")</f>
        <v xml:space="preserve"> </v>
      </c>
      <c r="AT20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32158240</v>
      </c>
      <c r="AU206" s="35">
        <f>VLOOKUP(Tabla43[[#This Row],[SERVICIO 2025]],$J$2:$V$16,3,0)*Tabla43[[#This Row],[TOTAL COBERTURA]]+Tabla43[[#This Row],[VALOR RACION PREPARADA]]/7</f>
        <v>23913120</v>
      </c>
      <c r="AV206" s="35">
        <f>VLOOKUP(Tabla43[[#This Row],[SERVICIO 2025]],$J$2:$V$16,3,0)*Tabla43[[#This Row],[TOTAL COBERTURA]]+Tabla43[[#This Row],[VALOR RACION PREPARADA]]/7</f>
        <v>23913120</v>
      </c>
      <c r="AW206" s="35">
        <f>VLOOKUP(Tabla43[[#This Row],[SERVICIO 2025]],$J$2:$V$16,3,0)*Tabla43[[#This Row],[TOTAL COBERTURA]]+Tabla43[[#This Row],[VALOR RACION PREPARADA]]/7</f>
        <v>23913120</v>
      </c>
      <c r="AX206" s="35">
        <f>VLOOKUP(Tabla43[[#This Row],[SERVICIO 2025]],$J$2:$V$16,3,0)*Tabla43[[#This Row],[TOTAL COBERTURA]]+Tabla43[[#This Row],[VALOR RACION PREPARADA]]/7</f>
        <v>23913120</v>
      </c>
      <c r="AY206" s="35">
        <f>VLOOKUP(Tabla43[[#This Row],[SERVICIO 2025]],$J$2:$V$16,3,0)*Tabla43[[#This Row],[TOTAL COBERTURA]]+Tabla43[[#This Row],[VALOR RACION PREPARADA]]/7</f>
        <v>23913120</v>
      </c>
      <c r="AZ206" s="35">
        <f>VLOOKUP(Tabla43[[#This Row],[SERVICIO 2025]],$J$2:$V$16,3,0)*Tabla43[[#This Row],[TOTAL COBERTURA]]+Tabla43[[#This Row],[VALOR RACION PREPARADA]]/7+Tabla43[[#This Row],[VALOR FASE PREPARATORIA DE CIERRE]]</f>
        <v>26525200</v>
      </c>
      <c r="BA206" s="35"/>
      <c r="BB206" s="35">
        <f>SUM(Tabla43[[#This Row],[DESEMBOLSO 1]:[DESEMBOLSO 8]])</f>
        <v>178249040</v>
      </c>
      <c r="BC206" s="55">
        <f>VLOOKUP(Tabla43[[#This Row],[SERVICIO 2025]],$J$2:$V$16,10,0)*Tabla43[[#This Row],[TOTAL COBERTURA]]*$W$3</f>
        <v>104385280</v>
      </c>
      <c r="BD206" s="47" t="s">
        <v>211</v>
      </c>
      <c r="BE206" s="12" t="b">
        <f>EXACT(Tabla43[[#This Row],[TOTAL APORTES ICBF]],Tabla43[[#This Row],[VALOR TOTAL]])</f>
        <v>1</v>
      </c>
      <c r="BF206" s="23">
        <f>SUM(Tabla43[[#This Row],[VALOR FASE PREPARATORIA DE ALISTAMIENTO]:[VALOR RACION PREPARADA]])-Tabla43[[#This Row],[VALOR TOTAL]]</f>
        <v>0</v>
      </c>
      <c r="BG206" s="12" t="b">
        <f>EXACT(Tabla43[[#This Row],[VALOR TOTAL]],Tabla43[[#This Row],[TOTAL DESEMBOLSOS]])</f>
        <v>1</v>
      </c>
      <c r="BH206" s="29">
        <f>Tabla43[[#This Row],[TOTAL DESEMBOLSOS]]-Tabla43[[#This Row],[VALOR TOTAL]]</f>
        <v>0</v>
      </c>
      <c r="BJ206" t="s">
        <v>3924</v>
      </c>
    </row>
    <row r="207" spans="1:62" hidden="1">
      <c r="A207" s="71">
        <v>2021</v>
      </c>
      <c r="B207" s="13"/>
      <c r="C207" s="12" t="s">
        <v>87</v>
      </c>
      <c r="D207" s="12" t="s">
        <v>462</v>
      </c>
      <c r="E207" s="12" t="s">
        <v>3891</v>
      </c>
      <c r="F207" s="12" t="s">
        <v>13</v>
      </c>
      <c r="G207" s="12" t="s">
        <v>90</v>
      </c>
      <c r="H207" s="12" t="s">
        <v>4239</v>
      </c>
      <c r="I207" s="12">
        <v>58731121802</v>
      </c>
      <c r="J207" s="12" t="s">
        <v>4240</v>
      </c>
      <c r="K207" s="12">
        <v>1</v>
      </c>
      <c r="L207" s="12">
        <v>11</v>
      </c>
      <c r="M207" s="12"/>
      <c r="N207" s="71">
        <v>2021</v>
      </c>
      <c r="O207" s="12" t="s">
        <v>93</v>
      </c>
      <c r="P207" s="12"/>
      <c r="Q207" s="12"/>
      <c r="R207" s="12" t="s">
        <v>94</v>
      </c>
      <c r="S207" s="12">
        <v>10</v>
      </c>
      <c r="T207" s="12" t="s">
        <v>2841</v>
      </c>
      <c r="U207" s="12" t="s">
        <v>4235</v>
      </c>
      <c r="V207" s="12">
        <f>VLOOKUP(Tabla43[[#This Row],[ZONA DEFINITIVO]],Hoja1!$A$1:$D$129,3,0)</f>
        <v>232287</v>
      </c>
      <c r="W207" s="12">
        <f>VLOOKUP(Tabla43[[#This Row],[ZONA DEFINITIVO]],Hoja1!$A$1:$D$129,2,0)</f>
        <v>18585</v>
      </c>
      <c r="X207" s="12">
        <f>VLOOKUP(Tabla43[[#This Row],[ZONA DEFINITIVO]],Hoja1!$A$1:$D$129,4,0)</f>
        <v>116925</v>
      </c>
      <c r="Y207" s="12" t="str">
        <f>+IF(Tabla43[[#This Row],[AGRUPACIONES]]=1,SUMIFS(Tabla43[UDS],Tabla43[ZONA DEFINITIVO],Tabla43[[#This Row],[ZONA DEFINITIVO]])," ")</f>
        <v xml:space="preserve"> </v>
      </c>
      <c r="Z207" s="12" t="str">
        <f>+IF(Tabla43[[#This Row],[AGRUPACIONES]]=1,SUMIFS(Tabla43[TOTAL COBERTURA],Tabla43[ZONA DEFINITIVO],Tabla43[[#This Row],[ZONA DEFINITIVO]])," ")</f>
        <v xml:space="preserve"> </v>
      </c>
      <c r="AA207" s="12"/>
      <c r="AB207" s="51">
        <v>28682676</v>
      </c>
      <c r="AC207" s="37">
        <v>0.02</v>
      </c>
      <c r="AD207" s="38">
        <f>Tabla43[[#This Row],[VALOR ATENCIÓN (7 MESES)]]*Tabla43[[#This Row],[% CONTRAPARTIDA]]</f>
        <v>573653.52</v>
      </c>
      <c r="AE207" s="12"/>
      <c r="AF207" s="12">
        <f>COUNTIF($A$22:A207,A207)</f>
        <v>4</v>
      </c>
      <c r="AG207" s="51">
        <v>28682676</v>
      </c>
      <c r="AH207" s="38">
        <f>Tabla43[[#This Row],[VALOR CONTRAPARTIDA]]+Tabla43[[#This Row],[TOTAL APORTES ICBF]]</f>
        <v>29256329.52</v>
      </c>
      <c r="AI207" s="35" t="str">
        <f>+IF(Tabla43[[#This Row],[AGRUPACIONES]]=1,SUMIFS(Tabla43[TOTAL APORTES ICBF],Tabla43[ZONA DEFINITIVO],Tabla43[[#This Row],[ZONA DEFINITIVO]])," ")</f>
        <v xml:space="preserve"> </v>
      </c>
      <c r="AJ207" s="38"/>
      <c r="AK207" s="38"/>
      <c r="AL207" s="23"/>
      <c r="AM207" s="35">
        <f>VLOOKUP(Tabla43[[#This Row],[SERVICIO 2025]],$J$2:$V$16,5,0)*Tabla43[[#This Row],[TOTAL COBERTURA]]</f>
        <v>969573</v>
      </c>
      <c r="AN207" s="35">
        <f>VLOOKUP(Tabla43[[#This Row],[SERVICIO 2025]],$J$2:$V$16,6,0)*Tabla43[[#This Row],[TOTAL COBERTURA]]</f>
        <v>825473</v>
      </c>
      <c r="AO207" s="35">
        <f>VLOOKUP(Tabla43[[#This Row],[SERVICIO 2025]],$J$2:$V$16,8,0)*Tabla43[[#This Row],[TOTAL COBERTURA]]</f>
        <v>0</v>
      </c>
      <c r="AP207" s="35">
        <f>VLOOKUP(Tabla43[[#This Row],[SERVICIO 2025]],$J$2:$V$16,3,0)*Tabla43[[#This Row],[TOTAL COBERTURA]]*7</f>
        <v>26887630</v>
      </c>
      <c r="AQ207" s="35"/>
      <c r="AR20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28682676</v>
      </c>
      <c r="AS207" s="35" t="str">
        <f>+IF(Tabla43[[#This Row],[AGRUPACIONES]]=1,SUMIFS(Tabla43[VALOR TOTAL],Tabla43[ZONA DEFINITIVO],Tabla43[[#This Row],[ZONA DEFINITIVO]])," ")</f>
        <v xml:space="preserve"> </v>
      </c>
      <c r="AT20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4810663</v>
      </c>
      <c r="AU207" s="35">
        <f>VLOOKUP(Tabla43[[#This Row],[SERVICIO 2025]],$J$2:$V$16,3,0)*Tabla43[[#This Row],[TOTAL COBERTURA]]+Tabla43[[#This Row],[VALOR RACION PREPARADA]]/7</f>
        <v>3841090</v>
      </c>
      <c r="AV207" s="35">
        <f>VLOOKUP(Tabla43[[#This Row],[SERVICIO 2025]],$J$2:$V$16,3,0)*Tabla43[[#This Row],[TOTAL COBERTURA]]+Tabla43[[#This Row],[VALOR RACION PREPARADA]]/7</f>
        <v>3841090</v>
      </c>
      <c r="AW207" s="35">
        <f>VLOOKUP(Tabla43[[#This Row],[SERVICIO 2025]],$J$2:$V$16,3,0)*Tabla43[[#This Row],[TOTAL COBERTURA]]+Tabla43[[#This Row],[VALOR RACION PREPARADA]]/7</f>
        <v>3841090</v>
      </c>
      <c r="AX207" s="35">
        <f>VLOOKUP(Tabla43[[#This Row],[SERVICIO 2025]],$J$2:$V$16,3,0)*Tabla43[[#This Row],[TOTAL COBERTURA]]+Tabla43[[#This Row],[VALOR RACION PREPARADA]]/7</f>
        <v>3841090</v>
      </c>
      <c r="AY207" s="35">
        <f>VLOOKUP(Tabla43[[#This Row],[SERVICIO 2025]],$J$2:$V$16,3,0)*Tabla43[[#This Row],[TOTAL COBERTURA]]+Tabla43[[#This Row],[VALOR RACION PREPARADA]]/7</f>
        <v>3841090</v>
      </c>
      <c r="AZ207" s="35">
        <f>VLOOKUP(Tabla43[[#This Row],[SERVICIO 2025]],$J$2:$V$16,3,0)*Tabla43[[#This Row],[TOTAL COBERTURA]]+Tabla43[[#This Row],[VALOR RACION PREPARADA]]/7+Tabla43[[#This Row],[VALOR FASE PREPARATORIA DE CIERRE]]</f>
        <v>4666563</v>
      </c>
      <c r="BA207" s="35"/>
      <c r="BB207" s="35">
        <f>SUM(Tabla43[[#This Row],[DESEMBOLSO 1]:[DESEMBOLSO 8]])</f>
        <v>28682676</v>
      </c>
      <c r="BC207" s="55">
        <f>VLOOKUP(Tabla43[[#This Row],[SERVICIO 2025]],$J$2:$V$16,10,0)*Tabla43[[#This Row],[TOTAL COBERTURA]]*$W$3</f>
        <v>13553584</v>
      </c>
      <c r="BD207" s="47" t="s">
        <v>211</v>
      </c>
      <c r="BE207" s="12" t="b">
        <f>EXACT(Tabla43[[#This Row],[TOTAL APORTES ICBF]],Tabla43[[#This Row],[VALOR TOTAL]])</f>
        <v>1</v>
      </c>
      <c r="BF207" s="23">
        <f>SUM(Tabla43[[#This Row],[VALOR FASE PREPARATORIA DE ALISTAMIENTO]:[VALOR RACION PREPARADA]])-Tabla43[[#This Row],[VALOR TOTAL]]</f>
        <v>0</v>
      </c>
      <c r="BG207" s="12" t="b">
        <f>EXACT(Tabla43[[#This Row],[VALOR TOTAL]],Tabla43[[#This Row],[TOTAL DESEMBOLSOS]])</f>
        <v>1</v>
      </c>
      <c r="BH207" s="29">
        <f>Tabla43[[#This Row],[TOTAL DESEMBOLSOS]]-Tabla43[[#This Row],[VALOR TOTAL]]</f>
        <v>0</v>
      </c>
      <c r="BJ207" t="s">
        <v>3924</v>
      </c>
    </row>
    <row r="208" spans="1:62" hidden="1">
      <c r="A208" s="71">
        <v>2021</v>
      </c>
      <c r="B208" s="13"/>
      <c r="C208" s="12" t="s">
        <v>87</v>
      </c>
      <c r="D208" s="12" t="s">
        <v>462</v>
      </c>
      <c r="E208" s="12" t="s">
        <v>3891</v>
      </c>
      <c r="F208" s="12" t="s">
        <v>24</v>
      </c>
      <c r="G208" s="12" t="s">
        <v>90</v>
      </c>
      <c r="H208" s="12" t="s">
        <v>4241</v>
      </c>
      <c r="I208" s="12">
        <v>58731138934</v>
      </c>
      <c r="J208" s="12" t="s">
        <v>4242</v>
      </c>
      <c r="K208" s="12">
        <v>1</v>
      </c>
      <c r="L208" s="12">
        <v>41</v>
      </c>
      <c r="M208" s="12"/>
      <c r="N208" s="71">
        <v>2021</v>
      </c>
      <c r="O208" s="12" t="s">
        <v>93</v>
      </c>
      <c r="P208" s="12"/>
      <c r="Q208" s="12"/>
      <c r="R208" s="12" t="s">
        <v>94</v>
      </c>
      <c r="S208" s="12">
        <v>10</v>
      </c>
      <c r="T208" s="12" t="s">
        <v>2841</v>
      </c>
      <c r="U208" s="12" t="s">
        <v>4235</v>
      </c>
      <c r="V208" s="12">
        <f>VLOOKUP(Tabla43[[#This Row],[ZONA DEFINITIVO]],Hoja1!$A$1:$D$129,3,0)</f>
        <v>232287</v>
      </c>
      <c r="W208" s="12">
        <f>VLOOKUP(Tabla43[[#This Row],[ZONA DEFINITIVO]],Hoja1!$A$1:$D$129,2,0)</f>
        <v>18585</v>
      </c>
      <c r="X208" s="12">
        <f>VLOOKUP(Tabla43[[#This Row],[ZONA DEFINITIVO]],Hoja1!$A$1:$D$129,4,0)</f>
        <v>116925</v>
      </c>
      <c r="Y208" s="12" t="str">
        <f>+IF(Tabla43[[#This Row],[AGRUPACIONES]]=1,SUMIFS(Tabla43[UDS],Tabla43[ZONA DEFINITIVO],Tabla43[[#This Row],[ZONA DEFINITIVO]])," ")</f>
        <v xml:space="preserve"> </v>
      </c>
      <c r="Z208" s="12" t="str">
        <f>+IF(Tabla43[[#This Row],[AGRUPACIONES]]=1,SUMIFS(Tabla43[TOTAL COBERTURA],Tabla43[ZONA DEFINITIVO],Tabla43[[#This Row],[ZONA DEFINITIVO]])," ")</f>
        <v xml:space="preserve"> </v>
      </c>
      <c r="AA208" s="12"/>
      <c r="AB208" s="51">
        <v>94052196</v>
      </c>
      <c r="AC208" s="37">
        <v>0.02</v>
      </c>
      <c r="AD208" s="38">
        <f>Tabla43[[#This Row],[VALOR ATENCIÓN (7 MESES)]]*Tabla43[[#This Row],[% CONTRAPARTIDA]]</f>
        <v>1881043.92</v>
      </c>
      <c r="AE208" s="12"/>
      <c r="AF208" s="12">
        <f>COUNTIF($A$22:A208,A208)</f>
        <v>5</v>
      </c>
      <c r="AG208" s="51">
        <v>94052196</v>
      </c>
      <c r="AH208" s="38">
        <f>Tabla43[[#This Row],[VALOR CONTRAPARTIDA]]+Tabla43[[#This Row],[TOTAL APORTES ICBF]]</f>
        <v>95933239.920000002</v>
      </c>
      <c r="AI208" s="35" t="str">
        <f>+IF(Tabla43[[#This Row],[AGRUPACIONES]]=1,SUMIFS(Tabla43[TOTAL APORTES ICBF],Tabla43[ZONA DEFINITIVO],Tabla43[[#This Row],[ZONA DEFINITIVO]])," ")</f>
        <v xml:space="preserve"> </v>
      </c>
      <c r="AJ208" s="38"/>
      <c r="AK208" s="38"/>
      <c r="AL208" s="23"/>
      <c r="AM208" s="35">
        <f>VLOOKUP(Tabla43[[#This Row],[SERVICIO 2025]],$J$2:$V$16,5,0)*Tabla43[[#This Row],[TOTAL COBERTURA]]</f>
        <v>2716004</v>
      </c>
      <c r="AN208" s="35">
        <f>VLOOKUP(Tabla43[[#This Row],[SERVICIO 2025]],$J$2:$V$16,6,0)*Tabla43[[#This Row],[TOTAL COBERTURA]]</f>
        <v>1157061</v>
      </c>
      <c r="AO208" s="35">
        <f>VLOOKUP(Tabla43[[#This Row],[SERVICIO 2025]],$J$2:$V$16,8,0)*Tabla43[[#This Row],[TOTAL COBERTURA]]</f>
        <v>1193059</v>
      </c>
      <c r="AP208" s="35">
        <f>VLOOKUP(Tabla43[[#This Row],[SERVICIO 2025]],$J$2:$V$16,3,0)*Tabla43[[#This Row],[TOTAL COBERTURA]]*7</f>
        <v>88986072</v>
      </c>
      <c r="AQ208" s="35"/>
      <c r="AR20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94052196</v>
      </c>
      <c r="AS208" s="35" t="str">
        <f>+IF(Tabla43[[#This Row],[AGRUPACIONES]]=1,SUMIFS(Tabla43[VALOR TOTAL],Tabla43[ZONA DEFINITIVO],Tabla43[[#This Row],[ZONA DEFINITIVO]])," ")</f>
        <v xml:space="preserve"> </v>
      </c>
      <c r="AT20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16621359</v>
      </c>
      <c r="AU208" s="35">
        <f>VLOOKUP(Tabla43[[#This Row],[SERVICIO 2025]],$J$2:$V$16,3,0)*Tabla43[[#This Row],[TOTAL COBERTURA]]+Tabla43[[#This Row],[VALOR RACION PREPARADA]]/7</f>
        <v>12712296</v>
      </c>
      <c r="AV208" s="35">
        <f>VLOOKUP(Tabla43[[#This Row],[SERVICIO 2025]],$J$2:$V$16,3,0)*Tabla43[[#This Row],[TOTAL COBERTURA]]+Tabla43[[#This Row],[VALOR RACION PREPARADA]]/7</f>
        <v>12712296</v>
      </c>
      <c r="AW208" s="35">
        <f>VLOOKUP(Tabla43[[#This Row],[SERVICIO 2025]],$J$2:$V$16,3,0)*Tabla43[[#This Row],[TOTAL COBERTURA]]+Tabla43[[#This Row],[VALOR RACION PREPARADA]]/7</f>
        <v>12712296</v>
      </c>
      <c r="AX208" s="35">
        <f>VLOOKUP(Tabla43[[#This Row],[SERVICIO 2025]],$J$2:$V$16,3,0)*Tabla43[[#This Row],[TOTAL COBERTURA]]+Tabla43[[#This Row],[VALOR RACION PREPARADA]]/7</f>
        <v>12712296</v>
      </c>
      <c r="AY208" s="35">
        <f>VLOOKUP(Tabla43[[#This Row],[SERVICIO 2025]],$J$2:$V$16,3,0)*Tabla43[[#This Row],[TOTAL COBERTURA]]+Tabla43[[#This Row],[VALOR RACION PREPARADA]]/7</f>
        <v>12712296</v>
      </c>
      <c r="AZ208" s="35">
        <f>VLOOKUP(Tabla43[[#This Row],[SERVICIO 2025]],$J$2:$V$16,3,0)*Tabla43[[#This Row],[TOTAL COBERTURA]]+Tabla43[[#This Row],[VALOR RACION PREPARADA]]/7+Tabla43[[#This Row],[VALOR FASE PREPARATORIA DE CIERRE]]</f>
        <v>13869357</v>
      </c>
      <c r="BA208" s="35"/>
      <c r="BB208" s="35">
        <f>SUM(Tabla43[[#This Row],[DESEMBOLSO 1]:[DESEMBOLSO 8]])</f>
        <v>94052196</v>
      </c>
      <c r="BC208" s="55">
        <f>VLOOKUP(Tabla43[[#This Row],[SERVICIO 2025]],$J$2:$V$16,10,0)*Tabla43[[#This Row],[TOTAL COBERTURA]]*$W$3</f>
        <v>51935192</v>
      </c>
      <c r="BD208" s="47" t="s">
        <v>211</v>
      </c>
      <c r="BE208" s="12" t="b">
        <f>EXACT(Tabla43[[#This Row],[TOTAL APORTES ICBF]],Tabla43[[#This Row],[VALOR TOTAL]])</f>
        <v>1</v>
      </c>
      <c r="BF208" s="23">
        <f>SUM(Tabla43[[#This Row],[VALOR FASE PREPARATORIA DE ALISTAMIENTO]:[VALOR RACION PREPARADA]])-Tabla43[[#This Row],[VALOR TOTAL]]</f>
        <v>0</v>
      </c>
      <c r="BG208" s="12" t="b">
        <f>EXACT(Tabla43[[#This Row],[VALOR TOTAL]],Tabla43[[#This Row],[TOTAL DESEMBOLSOS]])</f>
        <v>1</v>
      </c>
      <c r="BH208" s="29">
        <f>Tabla43[[#This Row],[TOTAL DESEMBOLSOS]]-Tabla43[[#This Row],[VALOR TOTAL]]</f>
        <v>0</v>
      </c>
      <c r="BJ208" t="s">
        <v>3924</v>
      </c>
    </row>
    <row r="209" spans="1:62" hidden="1">
      <c r="A209" s="71">
        <v>2021</v>
      </c>
      <c r="B209" s="13"/>
      <c r="C209" s="12" t="s">
        <v>87</v>
      </c>
      <c r="D209" s="12" t="s">
        <v>462</v>
      </c>
      <c r="E209" s="12" t="s">
        <v>3891</v>
      </c>
      <c r="F209" s="12" t="s">
        <v>13</v>
      </c>
      <c r="G209" s="12" t="s">
        <v>90</v>
      </c>
      <c r="H209" s="12" t="s">
        <v>4243</v>
      </c>
      <c r="I209" s="12">
        <v>587300032132</v>
      </c>
      <c r="J209" s="12" t="s">
        <v>4244</v>
      </c>
      <c r="K209" s="12">
        <v>1</v>
      </c>
      <c r="L209" s="12">
        <v>118</v>
      </c>
      <c r="M209" s="12"/>
      <c r="N209" s="71">
        <v>2021</v>
      </c>
      <c r="O209" s="12" t="s">
        <v>93</v>
      </c>
      <c r="P209" s="12"/>
      <c r="Q209" s="12"/>
      <c r="R209" s="12" t="s">
        <v>94</v>
      </c>
      <c r="S209" s="12">
        <v>10</v>
      </c>
      <c r="T209" s="12" t="s">
        <v>2841</v>
      </c>
      <c r="U209" s="12" t="s">
        <v>4235</v>
      </c>
      <c r="V209" s="12">
        <f>VLOOKUP(Tabla43[[#This Row],[ZONA DEFINITIVO]],Hoja1!$A$1:$D$129,3,0)</f>
        <v>232287</v>
      </c>
      <c r="W209" s="12">
        <f>VLOOKUP(Tabla43[[#This Row],[ZONA DEFINITIVO]],Hoja1!$A$1:$D$129,2,0)</f>
        <v>18585</v>
      </c>
      <c r="X209" s="12">
        <f>VLOOKUP(Tabla43[[#This Row],[ZONA DEFINITIVO]],Hoja1!$A$1:$D$129,4,0)</f>
        <v>116925</v>
      </c>
      <c r="Y209" s="12" t="str">
        <f>+IF(Tabla43[[#This Row],[AGRUPACIONES]]=1,SUMIFS(Tabla43[UDS],Tabla43[ZONA DEFINITIVO],Tabla43[[#This Row],[ZONA DEFINITIVO]])," ")</f>
        <v xml:space="preserve"> </v>
      </c>
      <c r="Z209" s="12" t="str">
        <f>+IF(Tabla43[[#This Row],[AGRUPACIONES]]=1,SUMIFS(Tabla43[TOTAL COBERTURA],Tabla43[ZONA DEFINITIVO],Tabla43[[#This Row],[ZONA DEFINITIVO]])," ")</f>
        <v xml:space="preserve"> </v>
      </c>
      <c r="AA209" s="12"/>
      <c r="AB209" s="51">
        <v>307686888</v>
      </c>
      <c r="AC209" s="37">
        <v>0.02</v>
      </c>
      <c r="AD209" s="38">
        <f>Tabla43[[#This Row],[VALOR ATENCIÓN (7 MESES)]]*Tabla43[[#This Row],[% CONTRAPARTIDA]]</f>
        <v>6153737.7599999998</v>
      </c>
      <c r="AE209" s="12"/>
      <c r="AF209" s="12">
        <f>COUNTIF($A$22:A209,A209)</f>
        <v>6</v>
      </c>
      <c r="AG209" s="51">
        <v>307686888</v>
      </c>
      <c r="AH209" s="38">
        <f>Tabla43[[#This Row],[VALOR CONTRAPARTIDA]]+Tabla43[[#This Row],[TOTAL APORTES ICBF]]</f>
        <v>313840625.75999999</v>
      </c>
      <c r="AI209" s="35" t="str">
        <f>+IF(Tabla43[[#This Row],[AGRUPACIONES]]=1,SUMIFS(Tabla43[TOTAL APORTES ICBF],Tabla43[ZONA DEFINITIVO],Tabla43[[#This Row],[ZONA DEFINITIVO]])," ")</f>
        <v xml:space="preserve"> </v>
      </c>
      <c r="AJ209" s="38"/>
      <c r="AK209" s="38"/>
      <c r="AL209" s="23"/>
      <c r="AM209" s="35">
        <f>VLOOKUP(Tabla43[[#This Row],[SERVICIO 2025]],$J$2:$V$16,5,0)*Tabla43[[#This Row],[TOTAL COBERTURA]]</f>
        <v>10400874</v>
      </c>
      <c r="AN209" s="35">
        <f>VLOOKUP(Tabla43[[#This Row],[SERVICIO 2025]],$J$2:$V$16,6,0)*Tabla43[[#This Row],[TOTAL COBERTURA]]</f>
        <v>8855074</v>
      </c>
      <c r="AO209" s="35">
        <f>VLOOKUP(Tabla43[[#This Row],[SERVICIO 2025]],$J$2:$V$16,8,0)*Tabla43[[#This Row],[TOTAL COBERTURA]]</f>
        <v>0</v>
      </c>
      <c r="AP209" s="35">
        <f>VLOOKUP(Tabla43[[#This Row],[SERVICIO 2025]],$J$2:$V$16,3,0)*Tabla43[[#This Row],[TOTAL COBERTURA]]*7</f>
        <v>288430940</v>
      </c>
      <c r="AQ209" s="35"/>
      <c r="AR20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307686888</v>
      </c>
      <c r="AS209" s="35" t="str">
        <f>+IF(Tabla43[[#This Row],[AGRUPACIONES]]=1,SUMIFS(Tabla43[VALOR TOTAL],Tabla43[ZONA DEFINITIVO],Tabla43[[#This Row],[ZONA DEFINITIVO]])," ")</f>
        <v xml:space="preserve"> </v>
      </c>
      <c r="AT20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51605294</v>
      </c>
      <c r="AU209" s="35">
        <f>VLOOKUP(Tabla43[[#This Row],[SERVICIO 2025]],$J$2:$V$16,3,0)*Tabla43[[#This Row],[TOTAL COBERTURA]]+Tabla43[[#This Row],[VALOR RACION PREPARADA]]/7</f>
        <v>41204420</v>
      </c>
      <c r="AV209" s="35">
        <f>VLOOKUP(Tabla43[[#This Row],[SERVICIO 2025]],$J$2:$V$16,3,0)*Tabla43[[#This Row],[TOTAL COBERTURA]]+Tabla43[[#This Row],[VALOR RACION PREPARADA]]/7</f>
        <v>41204420</v>
      </c>
      <c r="AW209" s="35">
        <f>VLOOKUP(Tabla43[[#This Row],[SERVICIO 2025]],$J$2:$V$16,3,0)*Tabla43[[#This Row],[TOTAL COBERTURA]]+Tabla43[[#This Row],[VALOR RACION PREPARADA]]/7</f>
        <v>41204420</v>
      </c>
      <c r="AX209" s="35">
        <f>VLOOKUP(Tabla43[[#This Row],[SERVICIO 2025]],$J$2:$V$16,3,0)*Tabla43[[#This Row],[TOTAL COBERTURA]]+Tabla43[[#This Row],[VALOR RACION PREPARADA]]/7</f>
        <v>41204420</v>
      </c>
      <c r="AY209" s="35">
        <f>VLOOKUP(Tabla43[[#This Row],[SERVICIO 2025]],$J$2:$V$16,3,0)*Tabla43[[#This Row],[TOTAL COBERTURA]]+Tabla43[[#This Row],[VALOR RACION PREPARADA]]/7</f>
        <v>41204420</v>
      </c>
      <c r="AZ209" s="35">
        <f>VLOOKUP(Tabla43[[#This Row],[SERVICIO 2025]],$J$2:$V$16,3,0)*Tabla43[[#This Row],[TOTAL COBERTURA]]+Tabla43[[#This Row],[VALOR RACION PREPARADA]]/7+Tabla43[[#This Row],[VALOR FASE PREPARATORIA DE CIERRE]]</f>
        <v>50059494</v>
      </c>
      <c r="BA209" s="35"/>
      <c r="BB209" s="35">
        <f>SUM(Tabla43[[#This Row],[DESEMBOLSO 1]:[DESEMBOLSO 8]])</f>
        <v>307686888</v>
      </c>
      <c r="BC209" s="55">
        <f>VLOOKUP(Tabla43[[#This Row],[SERVICIO 2025]],$J$2:$V$16,10,0)*Tabla43[[#This Row],[TOTAL COBERTURA]]*$W$3</f>
        <v>145392992</v>
      </c>
      <c r="BD209" s="47" t="s">
        <v>211</v>
      </c>
      <c r="BE209" s="12" t="b">
        <f>EXACT(Tabla43[[#This Row],[TOTAL APORTES ICBF]],Tabla43[[#This Row],[VALOR TOTAL]])</f>
        <v>1</v>
      </c>
      <c r="BF209" s="23">
        <f>SUM(Tabla43[[#This Row],[VALOR FASE PREPARATORIA DE ALISTAMIENTO]:[VALOR RACION PREPARADA]])-Tabla43[[#This Row],[VALOR TOTAL]]</f>
        <v>0</v>
      </c>
      <c r="BG209" s="12" t="b">
        <f>EXACT(Tabla43[[#This Row],[VALOR TOTAL]],Tabla43[[#This Row],[TOTAL DESEMBOLSOS]])</f>
        <v>1</v>
      </c>
      <c r="BH209" s="29">
        <f>Tabla43[[#This Row],[TOTAL DESEMBOLSOS]]-Tabla43[[#This Row],[VALOR TOTAL]]</f>
        <v>0</v>
      </c>
      <c r="BJ209" t="s">
        <v>3924</v>
      </c>
    </row>
    <row r="210" spans="1:62" hidden="1">
      <c r="A210" s="71">
        <v>2586</v>
      </c>
      <c r="B210" s="13"/>
      <c r="C210" s="12" t="s">
        <v>87</v>
      </c>
      <c r="D210" s="12" t="s">
        <v>462</v>
      </c>
      <c r="E210" s="12" t="s">
        <v>3908</v>
      </c>
      <c r="F210" s="12" t="s">
        <v>16</v>
      </c>
      <c r="G210" s="12" t="s">
        <v>90</v>
      </c>
      <c r="H210" s="12" t="s">
        <v>1229</v>
      </c>
      <c r="I210" s="12">
        <v>54751118881</v>
      </c>
      <c r="J210" s="12" t="s">
        <v>4245</v>
      </c>
      <c r="K210" s="12">
        <v>1</v>
      </c>
      <c r="L210" s="12">
        <v>125</v>
      </c>
      <c r="M210" s="12"/>
      <c r="N210" s="71">
        <v>2586</v>
      </c>
      <c r="O210" s="12" t="s">
        <v>3894</v>
      </c>
      <c r="P210" s="12"/>
      <c r="Q210" s="12"/>
      <c r="R210" s="12" t="s">
        <v>94</v>
      </c>
      <c r="S210" s="12">
        <v>10</v>
      </c>
      <c r="T210" s="12">
        <v>811019041</v>
      </c>
      <c r="U210" s="74" t="s">
        <v>4246</v>
      </c>
      <c r="V210" s="12">
        <f>VLOOKUP(Tabla43[[#This Row],[ZONA DEFINITIVO]],Hoja1!$A$1:$D$129,3,0)</f>
        <v>232290</v>
      </c>
      <c r="W210" s="12">
        <f>VLOOKUP(Tabla43[[#This Row],[ZONA DEFINITIVO]],Hoja1!$A$1:$D$129,2,0)</f>
        <v>18598</v>
      </c>
      <c r="X210" s="12">
        <f>VLOOKUP(Tabla43[[#This Row],[ZONA DEFINITIVO]],Hoja1!$A$1:$D$129,4,0)</f>
        <v>117925</v>
      </c>
      <c r="Y210" s="12">
        <f>+IF(Tabla43[[#This Row],[AGRUPACIONES]]=1,SUMIFS(Tabla43[UDS],Tabla43[ZONA DEFINITIVO],Tabla43[[#This Row],[ZONA DEFINITIVO]])," ")</f>
        <v>15</v>
      </c>
      <c r="Z210" s="12">
        <f>+IF(Tabla43[[#This Row],[AGRUPACIONES]]=1,SUMIFS(Tabla43[TOTAL COBERTURA],Tabla43[ZONA DEFINITIVO],Tabla43[[#This Row],[ZONA DEFINITIVO]])," ")</f>
        <v>506</v>
      </c>
      <c r="AA210" s="12"/>
      <c r="AB210" s="51">
        <v>421228375</v>
      </c>
      <c r="AC210" s="51"/>
      <c r="AD210" s="38">
        <f>Tabla43[[#This Row],[VALOR ATENCIÓN (7 MESES)]]*Tabla43[[#This Row],[% CONTRAPARTIDA]]</f>
        <v>0</v>
      </c>
      <c r="AE210" s="12"/>
      <c r="AF210" s="12">
        <f>COUNTIF($A$22:A210,A210)</f>
        <v>1</v>
      </c>
      <c r="AG210" s="51">
        <v>421228375</v>
      </c>
      <c r="AH210" s="38">
        <f>Tabla43[[#This Row],[VALOR CONTRAPARTIDA]]+Tabla43[[#This Row],[TOTAL APORTES ICBF]]</f>
        <v>421228375</v>
      </c>
      <c r="AI210" s="35">
        <f>+IF(Tabla43[[#This Row],[AGRUPACIONES]]=1,SUMIFS(Tabla43[TOTAL APORTES ICBF],Tabla43[ZONA DEFINITIVO],Tabla43[[#This Row],[ZONA DEFINITIVO]])," ")</f>
        <v>1705132462</v>
      </c>
      <c r="AJ210" s="38">
        <f>ROUND(+IF(Tabla43[[#This Row],[AGRUPACIONES]]=1,SUMIFS(Tabla43[VALOR CONTRAPARTIDA],Tabla43[ZONA DEFINITIVO],Tabla43[[#This Row],[ZONA DEFINITIVO]])," "),0)</f>
        <v>0</v>
      </c>
      <c r="AK210" s="38">
        <f>Tabla43[[#This Row],[TOTAL APORTES ICBF AGRUPADO]]+Tabla43[[#This Row],[TOTAL CONTRAPARTIDA AGRUPADO]]</f>
        <v>1705132462</v>
      </c>
      <c r="AL210" s="23">
        <f>Tabla43[[#This Row],[TOTAL APORTES ICBF AGRUPADO]]/$AL$20</f>
        <v>1197.8450734106077</v>
      </c>
      <c r="AM210" s="35">
        <f>VLOOKUP(Tabla43[[#This Row],[SERVICIO 2025]],$J$2:$V$16,5,0)*Tabla43[[#This Row],[TOTAL COBERTURA]]</f>
        <v>9245625</v>
      </c>
      <c r="AN210" s="35">
        <f>VLOOKUP(Tabla43[[#This Row],[SERVICIO 2025]],$J$2:$V$16,6,0)*Tabla43[[#This Row],[TOTAL COBERTURA]]</f>
        <v>4081375</v>
      </c>
      <c r="AO210" s="35">
        <f>VLOOKUP(Tabla43[[#This Row],[SERVICIO 2025]],$J$2:$V$16,8,0)*Tabla43[[#This Row],[TOTAL COBERTURA]]</f>
        <v>3637375</v>
      </c>
      <c r="AP210" s="35">
        <f>VLOOKUP(Tabla43[[#This Row],[SERVICIO 2025]],$J$2:$V$16,3,0)*Tabla43[[#This Row],[TOTAL COBERTURA]]*7</f>
        <v>404264000</v>
      </c>
      <c r="AQ210" s="35">
        <f>VLOOKUP(Tabla43[[#This Row],[SERVICIO 2025]],$J$2:$V$16,10,0)*Tabla43[[#This Row],[TOTAL COBERTURA]]*7</f>
        <v>0</v>
      </c>
      <c r="AR21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421228375</v>
      </c>
      <c r="AS210" s="35">
        <f>+IF(Tabla43[[#This Row],[AGRUPACIONES]]=1,SUMIFS(Tabla43[VALOR TOTAL],Tabla43[ZONA DEFINITIVO],Tabla43[[#This Row],[ZONA DEFINITIVO]])," ")</f>
        <v>1705132462</v>
      </c>
      <c r="AT21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70635000</v>
      </c>
      <c r="AU210" s="35">
        <f>VLOOKUP(Tabla43[[#This Row],[SERVICIO 2025]],$J$2:$V$16,3,0)*Tabla43[[#This Row],[TOTAL COBERTURA]]+Tabla43[[#This Row],[VALOR RACION PREPARADA]]/7</f>
        <v>57752000</v>
      </c>
      <c r="AV210" s="35">
        <f>VLOOKUP(Tabla43[[#This Row],[SERVICIO 2025]],$J$2:$V$16,3,0)*Tabla43[[#This Row],[TOTAL COBERTURA]]+Tabla43[[#This Row],[VALOR RACION PREPARADA]]/7</f>
        <v>57752000</v>
      </c>
      <c r="AW210" s="35">
        <f>VLOOKUP(Tabla43[[#This Row],[SERVICIO 2025]],$J$2:$V$16,3,0)*Tabla43[[#This Row],[TOTAL COBERTURA]]+Tabla43[[#This Row],[VALOR RACION PREPARADA]]/7</f>
        <v>57752000</v>
      </c>
      <c r="AX210" s="35">
        <f>VLOOKUP(Tabla43[[#This Row],[SERVICIO 2025]],$J$2:$V$16,3,0)*Tabla43[[#This Row],[TOTAL COBERTURA]]+Tabla43[[#This Row],[VALOR RACION PREPARADA]]/7</f>
        <v>57752000</v>
      </c>
      <c r="AY210" s="35">
        <f>VLOOKUP(Tabla43[[#This Row],[SERVICIO 2025]],$J$2:$V$16,3,0)*Tabla43[[#This Row],[TOTAL COBERTURA]]+Tabla43[[#This Row],[VALOR RACION PREPARADA]]/7</f>
        <v>57752000</v>
      </c>
      <c r="AZ210" s="35">
        <f>VLOOKUP(Tabla43[[#This Row],[SERVICIO 2025]],$J$2:$V$16,3,0)*Tabla43[[#This Row],[TOTAL COBERTURA]]+Tabla43[[#This Row],[VALOR RACION PREPARADA]]/7+Tabla43[[#This Row],[VALOR FASE PREPARATORIA DE CIERRE]]</f>
        <v>61833375</v>
      </c>
      <c r="BA210" s="35"/>
      <c r="BB210" s="35">
        <f>SUM(Tabla43[[#This Row],[DESEMBOLSO 1]:[DESEMBOLSO 8]])</f>
        <v>421228375</v>
      </c>
      <c r="BC210" s="55">
        <f>VLOOKUP(Tabla43[[#This Row],[SERVICIO 2025]],$J$2:$V$16,10,0)*Tabla43[[#This Row],[TOTAL COBERTURA]]*$W$3</f>
        <v>0</v>
      </c>
      <c r="BD210" s="66" t="s">
        <v>145</v>
      </c>
      <c r="BE210" s="12" t="b">
        <f>EXACT(Tabla43[[#This Row],[TOTAL APORTES ICBF]],Tabla43[[#This Row],[VALOR TOTAL]])</f>
        <v>1</v>
      </c>
      <c r="BF210" s="23">
        <f>SUM(Tabla43[[#This Row],[VALOR FASE PREPARATORIA DE ALISTAMIENTO]:[VALOR RACION PREPARADA]])-Tabla43[[#This Row],[VALOR TOTAL]]</f>
        <v>0</v>
      </c>
      <c r="BG210" s="12" t="b">
        <f>EXACT(Tabla43[[#This Row],[VALOR TOTAL]],Tabla43[[#This Row],[TOTAL DESEMBOLSOS]])</f>
        <v>1</v>
      </c>
      <c r="BH210" s="29">
        <f>Tabla43[[#This Row],[TOTAL DESEMBOLSOS]]-Tabla43[[#This Row],[VALOR TOTAL]]</f>
        <v>0</v>
      </c>
      <c r="BJ210" t="s">
        <v>3896</v>
      </c>
    </row>
    <row r="211" spans="1:62" hidden="1">
      <c r="A211" s="71">
        <v>2586</v>
      </c>
      <c r="B211" s="13"/>
      <c r="C211" s="12" t="s">
        <v>87</v>
      </c>
      <c r="D211" s="12" t="s">
        <v>462</v>
      </c>
      <c r="E211" s="12" t="s">
        <v>3908</v>
      </c>
      <c r="F211" s="12" t="s">
        <v>16</v>
      </c>
      <c r="G211" s="12" t="s">
        <v>90</v>
      </c>
      <c r="H211" s="12" t="s">
        <v>4247</v>
      </c>
      <c r="I211" s="12">
        <v>54751119946</v>
      </c>
      <c r="J211" s="12" t="s">
        <v>4248</v>
      </c>
      <c r="K211" s="12">
        <v>1</v>
      </c>
      <c r="L211" s="12">
        <v>24</v>
      </c>
      <c r="M211" s="12"/>
      <c r="N211" s="71">
        <v>2586</v>
      </c>
      <c r="O211" s="12" t="s">
        <v>3894</v>
      </c>
      <c r="P211" s="12"/>
      <c r="Q211" s="12"/>
      <c r="R211" s="12" t="s">
        <v>94</v>
      </c>
      <c r="S211" s="12">
        <v>10</v>
      </c>
      <c r="T211" s="12">
        <v>811019041</v>
      </c>
      <c r="U211" s="74" t="s">
        <v>4246</v>
      </c>
      <c r="V211" s="12">
        <f>VLOOKUP(Tabla43[[#This Row],[ZONA DEFINITIVO]],Hoja1!$A$1:$D$129,3,0)</f>
        <v>232290</v>
      </c>
      <c r="W211" s="12">
        <f>VLOOKUP(Tabla43[[#This Row],[ZONA DEFINITIVO]],Hoja1!$A$1:$D$129,2,0)</f>
        <v>18598</v>
      </c>
      <c r="X211" s="12">
        <f>VLOOKUP(Tabla43[[#This Row],[ZONA DEFINITIVO]],Hoja1!$A$1:$D$129,4,0)</f>
        <v>117925</v>
      </c>
      <c r="Y211" s="12" t="str">
        <f>+IF(Tabla43[[#This Row],[AGRUPACIONES]]=1,SUMIFS(Tabla43[UDS],Tabla43[ZONA DEFINITIVO],Tabla43[[#This Row],[ZONA DEFINITIVO]])," ")</f>
        <v xml:space="preserve"> </v>
      </c>
      <c r="Z211" s="12" t="str">
        <f>+IF(Tabla43[[#This Row],[AGRUPACIONES]]=1,SUMIFS(Tabla43[TOTAL COBERTURA],Tabla43[ZONA DEFINITIVO],Tabla43[[#This Row],[ZONA DEFINITIVO]])," ")</f>
        <v xml:space="preserve"> </v>
      </c>
      <c r="AA211" s="12"/>
      <c r="AB211" s="51">
        <v>80875848</v>
      </c>
      <c r="AC211" s="51"/>
      <c r="AD211" s="38">
        <f>Tabla43[[#This Row],[VALOR ATENCIÓN (7 MESES)]]*Tabla43[[#This Row],[% CONTRAPARTIDA]]</f>
        <v>0</v>
      </c>
      <c r="AE211" s="12"/>
      <c r="AF211" s="12">
        <f>COUNTIF($A$22:A211,A211)</f>
        <v>2</v>
      </c>
      <c r="AG211" s="51">
        <v>80875848</v>
      </c>
      <c r="AH211" s="38">
        <f>Tabla43[[#This Row],[VALOR CONTRAPARTIDA]]+Tabla43[[#This Row],[TOTAL APORTES ICBF]]</f>
        <v>80875848</v>
      </c>
      <c r="AI211" s="35" t="str">
        <f>+IF(Tabla43[[#This Row],[AGRUPACIONES]]=1,SUMIFS(Tabla43[TOTAL APORTES ICBF],Tabla43[ZONA DEFINITIVO],Tabla43[[#This Row],[ZONA DEFINITIVO]])," ")</f>
        <v xml:space="preserve"> </v>
      </c>
      <c r="AJ211" s="38"/>
      <c r="AK211" s="38"/>
      <c r="AL211" s="23"/>
      <c r="AM211" s="35">
        <f>VLOOKUP(Tabla43[[#This Row],[SERVICIO 2025]],$J$2:$V$16,5,0)*Tabla43[[#This Row],[TOTAL COBERTURA]]</f>
        <v>1775160</v>
      </c>
      <c r="AN211" s="35">
        <f>VLOOKUP(Tabla43[[#This Row],[SERVICIO 2025]],$J$2:$V$16,6,0)*Tabla43[[#This Row],[TOTAL COBERTURA]]</f>
        <v>783624</v>
      </c>
      <c r="AO211" s="35">
        <f>VLOOKUP(Tabla43[[#This Row],[SERVICIO 2025]],$J$2:$V$16,8,0)*Tabla43[[#This Row],[TOTAL COBERTURA]]</f>
        <v>698376</v>
      </c>
      <c r="AP211" s="35">
        <f>VLOOKUP(Tabla43[[#This Row],[SERVICIO 2025]],$J$2:$V$16,3,0)*Tabla43[[#This Row],[TOTAL COBERTURA]]*7</f>
        <v>77618688</v>
      </c>
      <c r="AQ211" s="35">
        <f>VLOOKUP(Tabla43[[#This Row],[SERVICIO 2025]],$J$2:$V$16,10,0)*Tabla43[[#This Row],[TOTAL COBERTURA]]*7</f>
        <v>0</v>
      </c>
      <c r="AR21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80875848</v>
      </c>
      <c r="AS211" s="35" t="str">
        <f>+IF(Tabla43[[#This Row],[AGRUPACIONES]]=1,SUMIFS(Tabla43[VALOR TOTAL],Tabla43[ZONA DEFINITIVO],Tabla43[[#This Row],[ZONA DEFINITIVO]])," ")</f>
        <v xml:space="preserve"> </v>
      </c>
      <c r="AT21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13561920</v>
      </c>
      <c r="AU211" s="35">
        <f>VLOOKUP(Tabla43[[#This Row],[SERVICIO 2025]],$J$2:$V$16,3,0)*Tabla43[[#This Row],[TOTAL COBERTURA]]+Tabla43[[#This Row],[VALOR RACION PREPARADA]]/7</f>
        <v>11088384</v>
      </c>
      <c r="AV211" s="35">
        <f>VLOOKUP(Tabla43[[#This Row],[SERVICIO 2025]],$J$2:$V$16,3,0)*Tabla43[[#This Row],[TOTAL COBERTURA]]+Tabla43[[#This Row],[VALOR RACION PREPARADA]]/7</f>
        <v>11088384</v>
      </c>
      <c r="AW211" s="35">
        <f>VLOOKUP(Tabla43[[#This Row],[SERVICIO 2025]],$J$2:$V$16,3,0)*Tabla43[[#This Row],[TOTAL COBERTURA]]+Tabla43[[#This Row],[VALOR RACION PREPARADA]]/7</f>
        <v>11088384</v>
      </c>
      <c r="AX211" s="35">
        <f>VLOOKUP(Tabla43[[#This Row],[SERVICIO 2025]],$J$2:$V$16,3,0)*Tabla43[[#This Row],[TOTAL COBERTURA]]+Tabla43[[#This Row],[VALOR RACION PREPARADA]]/7</f>
        <v>11088384</v>
      </c>
      <c r="AY211" s="35">
        <f>VLOOKUP(Tabla43[[#This Row],[SERVICIO 2025]],$J$2:$V$16,3,0)*Tabla43[[#This Row],[TOTAL COBERTURA]]+Tabla43[[#This Row],[VALOR RACION PREPARADA]]/7</f>
        <v>11088384</v>
      </c>
      <c r="AZ211" s="35">
        <f>VLOOKUP(Tabla43[[#This Row],[SERVICIO 2025]],$J$2:$V$16,3,0)*Tabla43[[#This Row],[TOTAL COBERTURA]]+Tabla43[[#This Row],[VALOR RACION PREPARADA]]/7+Tabla43[[#This Row],[VALOR FASE PREPARATORIA DE CIERRE]]</f>
        <v>11872008</v>
      </c>
      <c r="BA211" s="35"/>
      <c r="BB211" s="35">
        <f>SUM(Tabla43[[#This Row],[DESEMBOLSO 1]:[DESEMBOLSO 8]])</f>
        <v>80875848</v>
      </c>
      <c r="BC211" s="55">
        <f>VLOOKUP(Tabla43[[#This Row],[SERVICIO 2025]],$J$2:$V$16,10,0)*Tabla43[[#This Row],[TOTAL COBERTURA]]*$W$3</f>
        <v>0</v>
      </c>
      <c r="BD211" s="66" t="s">
        <v>145</v>
      </c>
      <c r="BE211" s="12" t="b">
        <f>EXACT(Tabla43[[#This Row],[TOTAL APORTES ICBF]],Tabla43[[#This Row],[VALOR TOTAL]])</f>
        <v>1</v>
      </c>
      <c r="BF211" s="23">
        <f>SUM(Tabla43[[#This Row],[VALOR FASE PREPARATORIA DE ALISTAMIENTO]:[VALOR RACION PREPARADA]])-Tabla43[[#This Row],[VALOR TOTAL]]</f>
        <v>0</v>
      </c>
      <c r="BG211" s="12" t="b">
        <f>EXACT(Tabla43[[#This Row],[VALOR TOTAL]],Tabla43[[#This Row],[TOTAL DESEMBOLSOS]])</f>
        <v>1</v>
      </c>
      <c r="BH211" s="29">
        <f>Tabla43[[#This Row],[TOTAL DESEMBOLSOS]]-Tabla43[[#This Row],[VALOR TOTAL]]</f>
        <v>0</v>
      </c>
      <c r="BJ211" t="s">
        <v>3896</v>
      </c>
    </row>
    <row r="212" spans="1:62" hidden="1">
      <c r="A212" s="71">
        <v>2586</v>
      </c>
      <c r="B212" s="13"/>
      <c r="C212" s="12" t="s">
        <v>87</v>
      </c>
      <c r="D212" s="12" t="s">
        <v>462</v>
      </c>
      <c r="E212" s="12" t="s">
        <v>3908</v>
      </c>
      <c r="F212" s="12" t="s">
        <v>16</v>
      </c>
      <c r="G212" s="12" t="s">
        <v>90</v>
      </c>
      <c r="H212" s="12" t="s">
        <v>4249</v>
      </c>
      <c r="I212" s="12">
        <v>54751139519</v>
      </c>
      <c r="J212" s="12" t="s">
        <v>4250</v>
      </c>
      <c r="K212" s="12">
        <v>1</v>
      </c>
      <c r="L212" s="12">
        <v>33</v>
      </c>
      <c r="M212" s="12"/>
      <c r="N212" s="71">
        <v>2586</v>
      </c>
      <c r="O212" s="12" t="s">
        <v>3894</v>
      </c>
      <c r="P212" s="12"/>
      <c r="Q212" s="12"/>
      <c r="R212" s="12" t="s">
        <v>94</v>
      </c>
      <c r="S212" s="12">
        <v>10</v>
      </c>
      <c r="T212" s="12">
        <v>811019041</v>
      </c>
      <c r="U212" s="74" t="s">
        <v>4246</v>
      </c>
      <c r="V212" s="12">
        <f>VLOOKUP(Tabla43[[#This Row],[ZONA DEFINITIVO]],Hoja1!$A$1:$D$129,3,0)</f>
        <v>232290</v>
      </c>
      <c r="W212" s="12">
        <f>VLOOKUP(Tabla43[[#This Row],[ZONA DEFINITIVO]],Hoja1!$A$1:$D$129,2,0)</f>
        <v>18598</v>
      </c>
      <c r="X212" s="12">
        <f>VLOOKUP(Tabla43[[#This Row],[ZONA DEFINITIVO]],Hoja1!$A$1:$D$129,4,0)</f>
        <v>117925</v>
      </c>
      <c r="Y212" s="12" t="str">
        <f>+IF(Tabla43[[#This Row],[AGRUPACIONES]]=1,SUMIFS(Tabla43[UDS],Tabla43[ZONA DEFINITIVO],Tabla43[[#This Row],[ZONA DEFINITIVO]])," ")</f>
        <v xml:space="preserve"> </v>
      </c>
      <c r="Z212" s="12" t="str">
        <f>+IF(Tabla43[[#This Row],[AGRUPACIONES]]=1,SUMIFS(Tabla43[TOTAL COBERTURA],Tabla43[ZONA DEFINITIVO],Tabla43[[#This Row],[ZONA DEFINITIVO]])," ")</f>
        <v xml:space="preserve"> </v>
      </c>
      <c r="AA212" s="12"/>
      <c r="AB212" s="51">
        <v>111204291</v>
      </c>
      <c r="AC212" s="51"/>
      <c r="AD212" s="38">
        <f>Tabla43[[#This Row],[VALOR ATENCIÓN (7 MESES)]]*Tabla43[[#This Row],[% CONTRAPARTIDA]]</f>
        <v>0</v>
      </c>
      <c r="AE212" s="12"/>
      <c r="AF212" s="12">
        <f>COUNTIF($A$22:A212,A212)</f>
        <v>3</v>
      </c>
      <c r="AG212" s="51">
        <v>111204291</v>
      </c>
      <c r="AH212" s="38">
        <f>Tabla43[[#This Row],[VALOR CONTRAPARTIDA]]+Tabla43[[#This Row],[TOTAL APORTES ICBF]]</f>
        <v>111204291</v>
      </c>
      <c r="AI212" s="35" t="str">
        <f>+IF(Tabla43[[#This Row],[AGRUPACIONES]]=1,SUMIFS(Tabla43[TOTAL APORTES ICBF],Tabla43[ZONA DEFINITIVO],Tabla43[[#This Row],[ZONA DEFINITIVO]])," ")</f>
        <v xml:space="preserve"> </v>
      </c>
      <c r="AJ212" s="38"/>
      <c r="AK212" s="38"/>
      <c r="AL212" s="23"/>
      <c r="AM212" s="35">
        <f>VLOOKUP(Tabla43[[#This Row],[SERVICIO 2025]],$J$2:$V$16,5,0)*Tabla43[[#This Row],[TOTAL COBERTURA]]</f>
        <v>2440845</v>
      </c>
      <c r="AN212" s="35">
        <f>VLOOKUP(Tabla43[[#This Row],[SERVICIO 2025]],$J$2:$V$16,6,0)*Tabla43[[#This Row],[TOTAL COBERTURA]]</f>
        <v>1077483</v>
      </c>
      <c r="AO212" s="35">
        <f>VLOOKUP(Tabla43[[#This Row],[SERVICIO 2025]],$J$2:$V$16,8,0)*Tabla43[[#This Row],[TOTAL COBERTURA]]</f>
        <v>960267</v>
      </c>
      <c r="AP212" s="35">
        <f>VLOOKUP(Tabla43[[#This Row],[SERVICIO 2025]],$J$2:$V$16,3,0)*Tabla43[[#This Row],[TOTAL COBERTURA]]*7</f>
        <v>106725696</v>
      </c>
      <c r="AQ212" s="35">
        <f>VLOOKUP(Tabla43[[#This Row],[SERVICIO 2025]],$J$2:$V$16,10,0)*Tabla43[[#This Row],[TOTAL COBERTURA]]*7</f>
        <v>0</v>
      </c>
      <c r="AR21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111204291</v>
      </c>
      <c r="AS212" s="35" t="str">
        <f>+IF(Tabla43[[#This Row],[AGRUPACIONES]]=1,SUMIFS(Tabla43[VALOR TOTAL],Tabla43[ZONA DEFINITIVO],Tabla43[[#This Row],[ZONA DEFINITIVO]])," ")</f>
        <v xml:space="preserve"> </v>
      </c>
      <c r="AT21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18647640</v>
      </c>
      <c r="AU212" s="35">
        <f>VLOOKUP(Tabla43[[#This Row],[SERVICIO 2025]],$J$2:$V$16,3,0)*Tabla43[[#This Row],[TOTAL COBERTURA]]+Tabla43[[#This Row],[VALOR RACION PREPARADA]]/7</f>
        <v>15246528</v>
      </c>
      <c r="AV212" s="35">
        <f>VLOOKUP(Tabla43[[#This Row],[SERVICIO 2025]],$J$2:$V$16,3,0)*Tabla43[[#This Row],[TOTAL COBERTURA]]+Tabla43[[#This Row],[VALOR RACION PREPARADA]]/7</f>
        <v>15246528</v>
      </c>
      <c r="AW212" s="35">
        <f>VLOOKUP(Tabla43[[#This Row],[SERVICIO 2025]],$J$2:$V$16,3,0)*Tabla43[[#This Row],[TOTAL COBERTURA]]+Tabla43[[#This Row],[VALOR RACION PREPARADA]]/7</f>
        <v>15246528</v>
      </c>
      <c r="AX212" s="35">
        <f>VLOOKUP(Tabla43[[#This Row],[SERVICIO 2025]],$J$2:$V$16,3,0)*Tabla43[[#This Row],[TOTAL COBERTURA]]+Tabla43[[#This Row],[VALOR RACION PREPARADA]]/7</f>
        <v>15246528</v>
      </c>
      <c r="AY212" s="35">
        <f>VLOOKUP(Tabla43[[#This Row],[SERVICIO 2025]],$J$2:$V$16,3,0)*Tabla43[[#This Row],[TOTAL COBERTURA]]+Tabla43[[#This Row],[VALOR RACION PREPARADA]]/7</f>
        <v>15246528</v>
      </c>
      <c r="AZ212" s="35">
        <f>VLOOKUP(Tabla43[[#This Row],[SERVICIO 2025]],$J$2:$V$16,3,0)*Tabla43[[#This Row],[TOTAL COBERTURA]]+Tabla43[[#This Row],[VALOR RACION PREPARADA]]/7+Tabla43[[#This Row],[VALOR FASE PREPARATORIA DE CIERRE]]</f>
        <v>16324011</v>
      </c>
      <c r="BA212" s="35"/>
      <c r="BB212" s="35">
        <f>SUM(Tabla43[[#This Row],[DESEMBOLSO 1]:[DESEMBOLSO 8]])</f>
        <v>111204291</v>
      </c>
      <c r="BC212" s="55">
        <f>VLOOKUP(Tabla43[[#This Row],[SERVICIO 2025]],$J$2:$V$16,10,0)*Tabla43[[#This Row],[TOTAL COBERTURA]]*$W$3</f>
        <v>0</v>
      </c>
      <c r="BD212" s="66" t="s">
        <v>145</v>
      </c>
      <c r="BE212" s="12" t="b">
        <f>EXACT(Tabla43[[#This Row],[TOTAL APORTES ICBF]],Tabla43[[#This Row],[VALOR TOTAL]])</f>
        <v>1</v>
      </c>
      <c r="BF212" s="23">
        <f>SUM(Tabla43[[#This Row],[VALOR FASE PREPARATORIA DE ALISTAMIENTO]:[VALOR RACION PREPARADA]])-Tabla43[[#This Row],[VALOR TOTAL]]</f>
        <v>0</v>
      </c>
      <c r="BG212" s="12" t="b">
        <f>EXACT(Tabla43[[#This Row],[VALOR TOTAL]],Tabla43[[#This Row],[TOTAL DESEMBOLSOS]])</f>
        <v>1</v>
      </c>
      <c r="BH212" s="29">
        <f>Tabla43[[#This Row],[TOTAL DESEMBOLSOS]]-Tabla43[[#This Row],[VALOR TOTAL]]</f>
        <v>0</v>
      </c>
      <c r="BJ212" t="s">
        <v>3896</v>
      </c>
    </row>
    <row r="213" spans="1:62" hidden="1">
      <c r="A213" s="75">
        <v>2586</v>
      </c>
      <c r="B213" s="13"/>
      <c r="C213" s="12" t="s">
        <v>3915</v>
      </c>
      <c r="D213" s="49" t="s">
        <v>462</v>
      </c>
      <c r="E213" s="12" t="s">
        <v>1819</v>
      </c>
      <c r="F213" s="74" t="s">
        <v>16</v>
      </c>
      <c r="G213" s="12" t="s">
        <v>90</v>
      </c>
      <c r="H213" s="12"/>
      <c r="I213" s="76">
        <v>54801126876</v>
      </c>
      <c r="J213" s="77" t="s">
        <v>4251</v>
      </c>
      <c r="K213" s="12">
        <v>1</v>
      </c>
      <c r="L213" s="78">
        <v>46</v>
      </c>
      <c r="M213" s="12"/>
      <c r="N213" s="75">
        <v>2586</v>
      </c>
      <c r="O213" s="12" t="s">
        <v>3894</v>
      </c>
      <c r="P213" s="12"/>
      <c r="Q213" s="12"/>
      <c r="R213" s="12" t="s">
        <v>94</v>
      </c>
      <c r="S213" s="12">
        <v>10</v>
      </c>
      <c r="T213" s="12">
        <v>811019041</v>
      </c>
      <c r="U213" s="74" t="s">
        <v>4246</v>
      </c>
      <c r="V213" s="12">
        <f>VLOOKUP(Tabla43[[#This Row],[ZONA DEFINITIVO]],Hoja1!$A$1:$D$129,3,0)</f>
        <v>232290</v>
      </c>
      <c r="W213" s="12">
        <f>VLOOKUP(Tabla43[[#This Row],[ZONA DEFINITIVO]],Hoja1!$A$1:$D$129,2,0)</f>
        <v>18598</v>
      </c>
      <c r="X213" s="12">
        <f>VLOOKUP(Tabla43[[#This Row],[ZONA DEFINITIVO]],Hoja1!$A$1:$D$129,4,0)</f>
        <v>117925</v>
      </c>
      <c r="Y213" s="12" t="str">
        <f>+IF(Tabla43[[#This Row],[AGRUPACIONES]]=1,SUMIFS(Tabla43[UDS],Tabla43[ZONA DEFINITIVO],Tabla43[[#This Row],[ZONA DEFINITIVO]])," ")</f>
        <v xml:space="preserve"> </v>
      </c>
      <c r="Z213" s="12" t="str">
        <f>+IF(Tabla43[[#This Row],[AGRUPACIONES]]=1,SUMIFS(Tabla43[TOTAL COBERTURA],Tabla43[ZONA DEFINITIVO],Tabla43[[#This Row],[ZONA DEFINITIVO]])," ")</f>
        <v xml:space="preserve"> </v>
      </c>
      <c r="AA213" s="12"/>
      <c r="AB213" s="51">
        <v>155012042</v>
      </c>
      <c r="AC213" s="51"/>
      <c r="AD213" s="38">
        <f>Tabla43[[#This Row],[VALOR ATENCIÓN (7 MESES)]]*Tabla43[[#This Row],[% CONTRAPARTIDA]]</f>
        <v>0</v>
      </c>
      <c r="AE213" s="12"/>
      <c r="AF213" s="12">
        <f>COUNTIF($A$22:A213,A213)</f>
        <v>4</v>
      </c>
      <c r="AG213" s="51">
        <v>155012042</v>
      </c>
      <c r="AH213" s="38">
        <f>Tabla43[[#This Row],[VALOR CONTRAPARTIDA]]+Tabla43[[#This Row],[TOTAL APORTES ICBF]]</f>
        <v>155012042</v>
      </c>
      <c r="AI213" s="35" t="str">
        <f>+IF(Tabla43[[#This Row],[AGRUPACIONES]]=1,SUMIFS(Tabla43[TOTAL APORTES ICBF],Tabla43[ZONA DEFINITIVO],Tabla43[[#This Row],[ZONA DEFINITIVO]])," ")</f>
        <v xml:space="preserve"> </v>
      </c>
      <c r="AJ213" s="38"/>
      <c r="AK213" s="38"/>
      <c r="AL213" s="23"/>
      <c r="AM213" s="35">
        <f>VLOOKUP(Tabla43[[#This Row],[SERVICIO 2025]],$J$2:$V$16,5,0)*Tabla43[[#This Row],[TOTAL COBERTURA]]</f>
        <v>3402390</v>
      </c>
      <c r="AN213" s="35">
        <f>VLOOKUP(Tabla43[[#This Row],[SERVICIO 2025]],$J$2:$V$16,6,0)*Tabla43[[#This Row],[TOTAL COBERTURA]]</f>
        <v>1501946</v>
      </c>
      <c r="AO213" s="35">
        <f>VLOOKUP(Tabla43[[#This Row],[SERVICIO 2025]],$J$2:$V$16,8,0)*Tabla43[[#This Row],[TOTAL COBERTURA]]</f>
        <v>1338554</v>
      </c>
      <c r="AP213" s="35">
        <f>VLOOKUP(Tabla43[[#This Row],[SERVICIO 2025]],$J$2:$V$16,3,0)*Tabla43[[#This Row],[TOTAL COBERTURA]]*7</f>
        <v>148769152</v>
      </c>
      <c r="AQ213" s="35">
        <f>VLOOKUP(Tabla43[[#This Row],[SERVICIO 2025]],$J$2:$V$16,10,0)*Tabla43[[#This Row],[TOTAL COBERTURA]]*7</f>
        <v>0</v>
      </c>
      <c r="AR21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155012042</v>
      </c>
      <c r="AS213" s="35" t="str">
        <f>+IF(Tabla43[[#This Row],[AGRUPACIONES]]=1,SUMIFS(Tabla43[VALOR TOTAL],Tabla43[ZONA DEFINITIVO],Tabla43[[#This Row],[ZONA DEFINITIVO]])," ")</f>
        <v xml:space="preserve"> </v>
      </c>
      <c r="AT21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25993680</v>
      </c>
      <c r="AU213" s="35">
        <f>VLOOKUP(Tabla43[[#This Row],[SERVICIO 2025]],$J$2:$V$16,3,0)*Tabla43[[#This Row],[TOTAL COBERTURA]]+Tabla43[[#This Row],[VALOR RACION PREPARADA]]/7</f>
        <v>21252736</v>
      </c>
      <c r="AV213" s="35">
        <f>VLOOKUP(Tabla43[[#This Row],[SERVICIO 2025]],$J$2:$V$16,3,0)*Tabla43[[#This Row],[TOTAL COBERTURA]]+Tabla43[[#This Row],[VALOR RACION PREPARADA]]/7</f>
        <v>21252736</v>
      </c>
      <c r="AW213" s="35">
        <f>VLOOKUP(Tabla43[[#This Row],[SERVICIO 2025]],$J$2:$V$16,3,0)*Tabla43[[#This Row],[TOTAL COBERTURA]]+Tabla43[[#This Row],[VALOR RACION PREPARADA]]/7</f>
        <v>21252736</v>
      </c>
      <c r="AX213" s="35">
        <f>VLOOKUP(Tabla43[[#This Row],[SERVICIO 2025]],$J$2:$V$16,3,0)*Tabla43[[#This Row],[TOTAL COBERTURA]]+Tabla43[[#This Row],[VALOR RACION PREPARADA]]/7</f>
        <v>21252736</v>
      </c>
      <c r="AY213" s="35">
        <f>VLOOKUP(Tabla43[[#This Row],[SERVICIO 2025]],$J$2:$V$16,3,0)*Tabla43[[#This Row],[TOTAL COBERTURA]]+Tabla43[[#This Row],[VALOR RACION PREPARADA]]/7</f>
        <v>21252736</v>
      </c>
      <c r="AZ213" s="35">
        <f>VLOOKUP(Tabla43[[#This Row],[SERVICIO 2025]],$J$2:$V$16,3,0)*Tabla43[[#This Row],[TOTAL COBERTURA]]+Tabla43[[#This Row],[VALOR RACION PREPARADA]]/7+Tabla43[[#This Row],[VALOR FASE PREPARATORIA DE CIERRE]]</f>
        <v>22754682</v>
      </c>
      <c r="BA213" s="35"/>
      <c r="BB213" s="35">
        <f>SUM(Tabla43[[#This Row],[DESEMBOLSO 1]:[DESEMBOLSO 8]])</f>
        <v>155012042</v>
      </c>
      <c r="BC213" s="55">
        <f>VLOOKUP(Tabla43[[#This Row],[SERVICIO 2025]],$J$2:$V$16,10,0)*Tabla43[[#This Row],[TOTAL COBERTURA]]*$W$3</f>
        <v>0</v>
      </c>
      <c r="BD213" s="66" t="s">
        <v>145</v>
      </c>
      <c r="BE213" s="12" t="b">
        <f>EXACT(Tabla43[[#This Row],[TOTAL APORTES ICBF]],Tabla43[[#This Row],[VALOR TOTAL]])</f>
        <v>1</v>
      </c>
      <c r="BF213" s="23">
        <f>SUM(Tabla43[[#This Row],[VALOR FASE PREPARATORIA DE ALISTAMIENTO]:[VALOR RACION PREPARADA]])-Tabla43[[#This Row],[VALOR TOTAL]]</f>
        <v>0</v>
      </c>
      <c r="BG213" s="12" t="b">
        <f>EXACT(Tabla43[[#This Row],[VALOR TOTAL]],Tabla43[[#This Row],[TOTAL DESEMBOLSOS]])</f>
        <v>1</v>
      </c>
      <c r="BH213" s="29">
        <f>Tabla43[[#This Row],[TOTAL DESEMBOLSOS]]-Tabla43[[#This Row],[VALOR TOTAL]]</f>
        <v>0</v>
      </c>
      <c r="BJ213" t="s">
        <v>3896</v>
      </c>
    </row>
    <row r="214" spans="1:62" hidden="1">
      <c r="A214" s="75">
        <v>2586</v>
      </c>
      <c r="B214" s="13"/>
      <c r="C214" s="12" t="s">
        <v>3915</v>
      </c>
      <c r="D214" s="49" t="s">
        <v>462</v>
      </c>
      <c r="E214" s="12" t="s">
        <v>1819</v>
      </c>
      <c r="F214" s="74" t="s">
        <v>16</v>
      </c>
      <c r="G214" s="12" t="s">
        <v>90</v>
      </c>
      <c r="H214" s="12"/>
      <c r="I214" s="76">
        <v>54801126877</v>
      </c>
      <c r="J214" s="77" t="s">
        <v>4252</v>
      </c>
      <c r="K214" s="12">
        <v>1</v>
      </c>
      <c r="L214" s="78">
        <v>40</v>
      </c>
      <c r="M214" s="12"/>
      <c r="N214" s="75">
        <v>2586</v>
      </c>
      <c r="O214" s="12" t="s">
        <v>3894</v>
      </c>
      <c r="P214" s="12"/>
      <c r="Q214" s="12"/>
      <c r="R214" s="12" t="s">
        <v>94</v>
      </c>
      <c r="S214" s="12">
        <v>10</v>
      </c>
      <c r="T214" s="12">
        <v>811019041</v>
      </c>
      <c r="U214" s="74" t="s">
        <v>4246</v>
      </c>
      <c r="V214" s="12">
        <f>VLOOKUP(Tabla43[[#This Row],[ZONA DEFINITIVO]],Hoja1!$A$1:$D$129,3,0)</f>
        <v>232290</v>
      </c>
      <c r="W214" s="12">
        <f>VLOOKUP(Tabla43[[#This Row],[ZONA DEFINITIVO]],Hoja1!$A$1:$D$129,2,0)</f>
        <v>18598</v>
      </c>
      <c r="X214" s="12">
        <f>VLOOKUP(Tabla43[[#This Row],[ZONA DEFINITIVO]],Hoja1!$A$1:$D$129,4,0)</f>
        <v>117925</v>
      </c>
      <c r="Y214" s="12" t="str">
        <f>+IF(Tabla43[[#This Row],[AGRUPACIONES]]=1,SUMIFS(Tabla43[UDS],Tabla43[ZONA DEFINITIVO],Tabla43[[#This Row],[ZONA DEFINITIVO]])," ")</f>
        <v xml:space="preserve"> </v>
      </c>
      <c r="Z214" s="12" t="str">
        <f>+IF(Tabla43[[#This Row],[AGRUPACIONES]]=1,SUMIFS(Tabla43[TOTAL COBERTURA],Tabla43[ZONA DEFINITIVO],Tabla43[[#This Row],[ZONA DEFINITIVO]])," ")</f>
        <v xml:space="preserve"> </v>
      </c>
      <c r="AA214" s="12"/>
      <c r="AB214" s="51">
        <v>134793080</v>
      </c>
      <c r="AC214" s="51"/>
      <c r="AD214" s="38">
        <f>Tabla43[[#This Row],[VALOR ATENCIÓN (7 MESES)]]*Tabla43[[#This Row],[% CONTRAPARTIDA]]</f>
        <v>0</v>
      </c>
      <c r="AE214" s="12"/>
      <c r="AF214" s="12">
        <f>COUNTIF($A$22:A214,A214)</f>
        <v>5</v>
      </c>
      <c r="AG214" s="51">
        <v>134793080</v>
      </c>
      <c r="AH214" s="38">
        <f>Tabla43[[#This Row],[VALOR CONTRAPARTIDA]]+Tabla43[[#This Row],[TOTAL APORTES ICBF]]</f>
        <v>134793080</v>
      </c>
      <c r="AI214" s="35" t="str">
        <f>+IF(Tabla43[[#This Row],[AGRUPACIONES]]=1,SUMIFS(Tabla43[TOTAL APORTES ICBF],Tabla43[ZONA DEFINITIVO],Tabla43[[#This Row],[ZONA DEFINITIVO]])," ")</f>
        <v xml:space="preserve"> </v>
      </c>
      <c r="AJ214" s="38"/>
      <c r="AK214" s="38"/>
      <c r="AL214" s="23"/>
      <c r="AM214" s="35">
        <f>VLOOKUP(Tabla43[[#This Row],[SERVICIO 2025]],$J$2:$V$16,5,0)*Tabla43[[#This Row],[TOTAL COBERTURA]]</f>
        <v>2958600</v>
      </c>
      <c r="AN214" s="35">
        <f>VLOOKUP(Tabla43[[#This Row],[SERVICIO 2025]],$J$2:$V$16,6,0)*Tabla43[[#This Row],[TOTAL COBERTURA]]</f>
        <v>1306040</v>
      </c>
      <c r="AO214" s="35">
        <f>VLOOKUP(Tabla43[[#This Row],[SERVICIO 2025]],$J$2:$V$16,8,0)*Tabla43[[#This Row],[TOTAL COBERTURA]]</f>
        <v>1163960</v>
      </c>
      <c r="AP214" s="35">
        <f>VLOOKUP(Tabla43[[#This Row],[SERVICIO 2025]],$J$2:$V$16,3,0)*Tabla43[[#This Row],[TOTAL COBERTURA]]*7</f>
        <v>129364480</v>
      </c>
      <c r="AQ214" s="35">
        <f>VLOOKUP(Tabla43[[#This Row],[SERVICIO 2025]],$J$2:$V$16,10,0)*Tabla43[[#This Row],[TOTAL COBERTURA]]*7</f>
        <v>0</v>
      </c>
      <c r="AR21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134793080</v>
      </c>
      <c r="AS214" s="35" t="str">
        <f>+IF(Tabla43[[#This Row],[AGRUPACIONES]]=1,SUMIFS(Tabla43[VALOR TOTAL],Tabla43[ZONA DEFINITIVO],Tabla43[[#This Row],[ZONA DEFINITIVO]])," ")</f>
        <v xml:space="preserve"> </v>
      </c>
      <c r="AT21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22603200</v>
      </c>
      <c r="AU214" s="35">
        <f>VLOOKUP(Tabla43[[#This Row],[SERVICIO 2025]],$J$2:$V$16,3,0)*Tabla43[[#This Row],[TOTAL COBERTURA]]+Tabla43[[#This Row],[VALOR RACION PREPARADA]]/7</f>
        <v>18480640</v>
      </c>
      <c r="AV214" s="35">
        <f>VLOOKUP(Tabla43[[#This Row],[SERVICIO 2025]],$J$2:$V$16,3,0)*Tabla43[[#This Row],[TOTAL COBERTURA]]+Tabla43[[#This Row],[VALOR RACION PREPARADA]]/7</f>
        <v>18480640</v>
      </c>
      <c r="AW214" s="35">
        <f>VLOOKUP(Tabla43[[#This Row],[SERVICIO 2025]],$J$2:$V$16,3,0)*Tabla43[[#This Row],[TOTAL COBERTURA]]+Tabla43[[#This Row],[VALOR RACION PREPARADA]]/7</f>
        <v>18480640</v>
      </c>
      <c r="AX214" s="35">
        <f>VLOOKUP(Tabla43[[#This Row],[SERVICIO 2025]],$J$2:$V$16,3,0)*Tabla43[[#This Row],[TOTAL COBERTURA]]+Tabla43[[#This Row],[VALOR RACION PREPARADA]]/7</f>
        <v>18480640</v>
      </c>
      <c r="AY214" s="35">
        <f>VLOOKUP(Tabla43[[#This Row],[SERVICIO 2025]],$J$2:$V$16,3,0)*Tabla43[[#This Row],[TOTAL COBERTURA]]+Tabla43[[#This Row],[VALOR RACION PREPARADA]]/7</f>
        <v>18480640</v>
      </c>
      <c r="AZ214" s="35">
        <f>VLOOKUP(Tabla43[[#This Row],[SERVICIO 2025]],$J$2:$V$16,3,0)*Tabla43[[#This Row],[TOTAL COBERTURA]]+Tabla43[[#This Row],[VALOR RACION PREPARADA]]/7+Tabla43[[#This Row],[VALOR FASE PREPARATORIA DE CIERRE]]</f>
        <v>19786680</v>
      </c>
      <c r="BA214" s="35"/>
      <c r="BB214" s="35">
        <f>SUM(Tabla43[[#This Row],[DESEMBOLSO 1]:[DESEMBOLSO 8]])</f>
        <v>134793080</v>
      </c>
      <c r="BC214" s="55">
        <f>VLOOKUP(Tabla43[[#This Row],[SERVICIO 2025]],$J$2:$V$16,10,0)*Tabla43[[#This Row],[TOTAL COBERTURA]]*$W$3</f>
        <v>0</v>
      </c>
      <c r="BD214" s="66" t="s">
        <v>145</v>
      </c>
      <c r="BE214" s="12" t="b">
        <f>EXACT(Tabla43[[#This Row],[TOTAL APORTES ICBF]],Tabla43[[#This Row],[VALOR TOTAL]])</f>
        <v>1</v>
      </c>
      <c r="BF214" s="23">
        <f>SUM(Tabla43[[#This Row],[VALOR FASE PREPARATORIA DE ALISTAMIENTO]:[VALOR RACION PREPARADA]])-Tabla43[[#This Row],[VALOR TOTAL]]</f>
        <v>0</v>
      </c>
      <c r="BG214" s="12" t="b">
        <f>EXACT(Tabla43[[#This Row],[VALOR TOTAL]],Tabla43[[#This Row],[TOTAL DESEMBOLSOS]])</f>
        <v>1</v>
      </c>
      <c r="BH214" s="29">
        <f>Tabla43[[#This Row],[TOTAL DESEMBOLSOS]]-Tabla43[[#This Row],[VALOR TOTAL]]</f>
        <v>0</v>
      </c>
      <c r="BJ214" t="s">
        <v>3896</v>
      </c>
    </row>
    <row r="215" spans="1:62" hidden="1">
      <c r="A215" s="75">
        <v>2586</v>
      </c>
      <c r="B215" s="13"/>
      <c r="C215" s="12" t="s">
        <v>3915</v>
      </c>
      <c r="D215" s="49" t="s">
        <v>462</v>
      </c>
      <c r="E215" s="12" t="s">
        <v>1819</v>
      </c>
      <c r="F215" s="74" t="s">
        <v>16</v>
      </c>
      <c r="G215" s="12" t="s">
        <v>90</v>
      </c>
      <c r="H215" s="12"/>
      <c r="I215" s="76">
        <v>54801143658</v>
      </c>
      <c r="J215" s="77" t="s">
        <v>4253</v>
      </c>
      <c r="K215" s="12">
        <v>1</v>
      </c>
      <c r="L215" s="78">
        <v>9</v>
      </c>
      <c r="M215" s="12"/>
      <c r="N215" s="75">
        <v>2586</v>
      </c>
      <c r="O215" s="12" t="s">
        <v>3894</v>
      </c>
      <c r="P215" s="12"/>
      <c r="Q215" s="12"/>
      <c r="R215" s="12" t="s">
        <v>94</v>
      </c>
      <c r="S215" s="12">
        <v>10</v>
      </c>
      <c r="T215" s="12">
        <v>811019041</v>
      </c>
      <c r="U215" s="74" t="s">
        <v>4246</v>
      </c>
      <c r="V215" s="12">
        <f>VLOOKUP(Tabla43[[#This Row],[ZONA DEFINITIVO]],Hoja1!$A$1:$D$129,3,0)</f>
        <v>232290</v>
      </c>
      <c r="W215" s="12">
        <f>VLOOKUP(Tabla43[[#This Row],[ZONA DEFINITIVO]],Hoja1!$A$1:$D$129,2,0)</f>
        <v>18598</v>
      </c>
      <c r="X215" s="12">
        <f>VLOOKUP(Tabla43[[#This Row],[ZONA DEFINITIVO]],Hoja1!$A$1:$D$129,4,0)</f>
        <v>117925</v>
      </c>
      <c r="Y215" s="12" t="str">
        <f>+IF(Tabla43[[#This Row],[AGRUPACIONES]]=1,SUMIFS(Tabla43[UDS],Tabla43[ZONA DEFINITIVO],Tabla43[[#This Row],[ZONA DEFINITIVO]])," ")</f>
        <v xml:space="preserve"> </v>
      </c>
      <c r="Z215" s="12" t="str">
        <f>+IF(Tabla43[[#This Row],[AGRUPACIONES]]=1,SUMIFS(Tabla43[TOTAL COBERTURA],Tabla43[ZONA DEFINITIVO],Tabla43[[#This Row],[ZONA DEFINITIVO]])," ")</f>
        <v xml:space="preserve"> </v>
      </c>
      <c r="AA215" s="12"/>
      <c r="AB215" s="51">
        <v>30328443</v>
      </c>
      <c r="AC215" s="51"/>
      <c r="AD215" s="38">
        <f>Tabla43[[#This Row],[VALOR ATENCIÓN (7 MESES)]]*Tabla43[[#This Row],[% CONTRAPARTIDA]]</f>
        <v>0</v>
      </c>
      <c r="AE215" s="12"/>
      <c r="AF215" s="12">
        <f>COUNTIF($A$22:A215,A215)</f>
        <v>6</v>
      </c>
      <c r="AG215" s="51">
        <v>30328443</v>
      </c>
      <c r="AH215" s="38">
        <f>Tabla43[[#This Row],[VALOR CONTRAPARTIDA]]+Tabla43[[#This Row],[TOTAL APORTES ICBF]]</f>
        <v>30328443</v>
      </c>
      <c r="AI215" s="35" t="str">
        <f>+IF(Tabla43[[#This Row],[AGRUPACIONES]]=1,SUMIFS(Tabla43[TOTAL APORTES ICBF],Tabla43[ZONA DEFINITIVO],Tabla43[[#This Row],[ZONA DEFINITIVO]])," ")</f>
        <v xml:space="preserve"> </v>
      </c>
      <c r="AJ215" s="38"/>
      <c r="AK215" s="38"/>
      <c r="AL215" s="23"/>
      <c r="AM215" s="35">
        <f>VLOOKUP(Tabla43[[#This Row],[SERVICIO 2025]],$J$2:$V$16,5,0)*Tabla43[[#This Row],[TOTAL COBERTURA]]</f>
        <v>665685</v>
      </c>
      <c r="AN215" s="35">
        <f>VLOOKUP(Tabla43[[#This Row],[SERVICIO 2025]],$J$2:$V$16,6,0)*Tabla43[[#This Row],[TOTAL COBERTURA]]</f>
        <v>293859</v>
      </c>
      <c r="AO215" s="35">
        <f>VLOOKUP(Tabla43[[#This Row],[SERVICIO 2025]],$J$2:$V$16,8,0)*Tabla43[[#This Row],[TOTAL COBERTURA]]</f>
        <v>261891</v>
      </c>
      <c r="AP215" s="35">
        <f>VLOOKUP(Tabla43[[#This Row],[SERVICIO 2025]],$J$2:$V$16,3,0)*Tabla43[[#This Row],[TOTAL COBERTURA]]*7</f>
        <v>29107008</v>
      </c>
      <c r="AQ215" s="35">
        <f>VLOOKUP(Tabla43[[#This Row],[SERVICIO 2025]],$J$2:$V$16,10,0)*Tabla43[[#This Row],[TOTAL COBERTURA]]*7</f>
        <v>0</v>
      </c>
      <c r="AR21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30328443</v>
      </c>
      <c r="AS215" s="35" t="str">
        <f>+IF(Tabla43[[#This Row],[AGRUPACIONES]]=1,SUMIFS(Tabla43[VALOR TOTAL],Tabla43[ZONA DEFINITIVO],Tabla43[[#This Row],[ZONA DEFINITIVO]])," ")</f>
        <v xml:space="preserve"> </v>
      </c>
      <c r="AT21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5085720</v>
      </c>
      <c r="AU215" s="35">
        <f>VLOOKUP(Tabla43[[#This Row],[SERVICIO 2025]],$J$2:$V$16,3,0)*Tabla43[[#This Row],[TOTAL COBERTURA]]+Tabla43[[#This Row],[VALOR RACION PREPARADA]]/7</f>
        <v>4158144</v>
      </c>
      <c r="AV215" s="35">
        <f>VLOOKUP(Tabla43[[#This Row],[SERVICIO 2025]],$J$2:$V$16,3,0)*Tabla43[[#This Row],[TOTAL COBERTURA]]+Tabla43[[#This Row],[VALOR RACION PREPARADA]]/7</f>
        <v>4158144</v>
      </c>
      <c r="AW215" s="35">
        <f>VLOOKUP(Tabla43[[#This Row],[SERVICIO 2025]],$J$2:$V$16,3,0)*Tabla43[[#This Row],[TOTAL COBERTURA]]+Tabla43[[#This Row],[VALOR RACION PREPARADA]]/7</f>
        <v>4158144</v>
      </c>
      <c r="AX215" s="35">
        <f>VLOOKUP(Tabla43[[#This Row],[SERVICIO 2025]],$J$2:$V$16,3,0)*Tabla43[[#This Row],[TOTAL COBERTURA]]+Tabla43[[#This Row],[VALOR RACION PREPARADA]]/7</f>
        <v>4158144</v>
      </c>
      <c r="AY215" s="35">
        <f>VLOOKUP(Tabla43[[#This Row],[SERVICIO 2025]],$J$2:$V$16,3,0)*Tabla43[[#This Row],[TOTAL COBERTURA]]+Tabla43[[#This Row],[VALOR RACION PREPARADA]]/7</f>
        <v>4158144</v>
      </c>
      <c r="AZ215" s="35">
        <f>VLOOKUP(Tabla43[[#This Row],[SERVICIO 2025]],$J$2:$V$16,3,0)*Tabla43[[#This Row],[TOTAL COBERTURA]]+Tabla43[[#This Row],[VALOR RACION PREPARADA]]/7+Tabla43[[#This Row],[VALOR FASE PREPARATORIA DE CIERRE]]</f>
        <v>4452003</v>
      </c>
      <c r="BA215" s="35"/>
      <c r="BB215" s="35">
        <f>SUM(Tabla43[[#This Row],[DESEMBOLSO 1]:[DESEMBOLSO 8]])</f>
        <v>30328443</v>
      </c>
      <c r="BC215" s="55">
        <f>VLOOKUP(Tabla43[[#This Row],[SERVICIO 2025]],$J$2:$V$16,10,0)*Tabla43[[#This Row],[TOTAL COBERTURA]]*$W$3</f>
        <v>0</v>
      </c>
      <c r="BD215" s="66" t="s">
        <v>145</v>
      </c>
      <c r="BE215" s="12" t="b">
        <f>EXACT(Tabla43[[#This Row],[TOTAL APORTES ICBF]],Tabla43[[#This Row],[VALOR TOTAL]])</f>
        <v>1</v>
      </c>
      <c r="BF215" s="23">
        <f>SUM(Tabla43[[#This Row],[VALOR FASE PREPARATORIA DE ALISTAMIENTO]:[VALOR RACION PREPARADA]])-Tabla43[[#This Row],[VALOR TOTAL]]</f>
        <v>0</v>
      </c>
      <c r="BG215" s="12" t="b">
        <f>EXACT(Tabla43[[#This Row],[VALOR TOTAL]],Tabla43[[#This Row],[TOTAL DESEMBOLSOS]])</f>
        <v>1</v>
      </c>
      <c r="BH215" s="29">
        <f>Tabla43[[#This Row],[TOTAL DESEMBOLSOS]]-Tabla43[[#This Row],[VALOR TOTAL]]</f>
        <v>0</v>
      </c>
      <c r="BJ215" t="s">
        <v>3896</v>
      </c>
    </row>
    <row r="216" spans="1:62" hidden="1">
      <c r="A216" s="75">
        <v>2586</v>
      </c>
      <c r="B216" s="13"/>
      <c r="C216" s="12" t="s">
        <v>3915</v>
      </c>
      <c r="D216" s="49" t="s">
        <v>462</v>
      </c>
      <c r="E216" s="12" t="s">
        <v>1819</v>
      </c>
      <c r="F216" s="74" t="s">
        <v>16</v>
      </c>
      <c r="G216" s="12" t="s">
        <v>90</v>
      </c>
      <c r="H216" s="12"/>
      <c r="I216" s="76">
        <v>54801150091</v>
      </c>
      <c r="J216" s="77" t="s">
        <v>4254</v>
      </c>
      <c r="K216" s="12">
        <v>1</v>
      </c>
      <c r="L216" s="78">
        <v>17</v>
      </c>
      <c r="M216" s="12"/>
      <c r="N216" s="75">
        <v>2586</v>
      </c>
      <c r="O216" s="12" t="s">
        <v>3894</v>
      </c>
      <c r="P216" s="12"/>
      <c r="Q216" s="12"/>
      <c r="R216" s="12" t="s">
        <v>94</v>
      </c>
      <c r="S216" s="12">
        <v>10</v>
      </c>
      <c r="T216" s="12">
        <v>811019041</v>
      </c>
      <c r="U216" s="74" t="s">
        <v>4246</v>
      </c>
      <c r="V216" s="12">
        <f>VLOOKUP(Tabla43[[#This Row],[ZONA DEFINITIVO]],Hoja1!$A$1:$D$129,3,0)</f>
        <v>232290</v>
      </c>
      <c r="W216" s="12">
        <f>VLOOKUP(Tabla43[[#This Row],[ZONA DEFINITIVO]],Hoja1!$A$1:$D$129,2,0)</f>
        <v>18598</v>
      </c>
      <c r="X216" s="12">
        <f>VLOOKUP(Tabla43[[#This Row],[ZONA DEFINITIVO]],Hoja1!$A$1:$D$129,4,0)</f>
        <v>117925</v>
      </c>
      <c r="Y216" s="12" t="str">
        <f>+IF(Tabla43[[#This Row],[AGRUPACIONES]]=1,SUMIFS(Tabla43[UDS],Tabla43[ZONA DEFINITIVO],Tabla43[[#This Row],[ZONA DEFINITIVO]])," ")</f>
        <v xml:space="preserve"> </v>
      </c>
      <c r="Z216" s="12" t="str">
        <f>+IF(Tabla43[[#This Row],[AGRUPACIONES]]=1,SUMIFS(Tabla43[TOTAL COBERTURA],Tabla43[ZONA DEFINITIVO],Tabla43[[#This Row],[ZONA DEFINITIVO]])," ")</f>
        <v xml:space="preserve"> </v>
      </c>
      <c r="AA216" s="12"/>
      <c r="AB216" s="51">
        <v>57287059</v>
      </c>
      <c r="AC216" s="51"/>
      <c r="AD216" s="38">
        <f>Tabla43[[#This Row],[VALOR ATENCIÓN (7 MESES)]]*Tabla43[[#This Row],[% CONTRAPARTIDA]]</f>
        <v>0</v>
      </c>
      <c r="AE216" s="12"/>
      <c r="AF216" s="12">
        <f>COUNTIF($A$22:A216,A216)</f>
        <v>7</v>
      </c>
      <c r="AG216" s="51">
        <v>57287059</v>
      </c>
      <c r="AH216" s="38">
        <f>Tabla43[[#This Row],[VALOR CONTRAPARTIDA]]+Tabla43[[#This Row],[TOTAL APORTES ICBF]]</f>
        <v>57287059</v>
      </c>
      <c r="AI216" s="35" t="str">
        <f>+IF(Tabla43[[#This Row],[AGRUPACIONES]]=1,SUMIFS(Tabla43[TOTAL APORTES ICBF],Tabla43[ZONA DEFINITIVO],Tabla43[[#This Row],[ZONA DEFINITIVO]])," ")</f>
        <v xml:space="preserve"> </v>
      </c>
      <c r="AJ216" s="38"/>
      <c r="AK216" s="38"/>
      <c r="AL216" s="23"/>
      <c r="AM216" s="35">
        <f>VLOOKUP(Tabla43[[#This Row],[SERVICIO 2025]],$J$2:$V$16,5,0)*Tabla43[[#This Row],[TOTAL COBERTURA]]</f>
        <v>1257405</v>
      </c>
      <c r="AN216" s="35">
        <f>VLOOKUP(Tabla43[[#This Row],[SERVICIO 2025]],$J$2:$V$16,6,0)*Tabla43[[#This Row],[TOTAL COBERTURA]]</f>
        <v>555067</v>
      </c>
      <c r="AO216" s="35">
        <f>VLOOKUP(Tabla43[[#This Row],[SERVICIO 2025]],$J$2:$V$16,8,0)*Tabla43[[#This Row],[TOTAL COBERTURA]]</f>
        <v>494683</v>
      </c>
      <c r="AP216" s="35">
        <f>VLOOKUP(Tabla43[[#This Row],[SERVICIO 2025]],$J$2:$V$16,3,0)*Tabla43[[#This Row],[TOTAL COBERTURA]]*7</f>
        <v>54979904</v>
      </c>
      <c r="AQ216" s="35">
        <f>VLOOKUP(Tabla43[[#This Row],[SERVICIO 2025]],$J$2:$V$16,10,0)*Tabla43[[#This Row],[TOTAL COBERTURA]]*7</f>
        <v>0</v>
      </c>
      <c r="AR21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57287059</v>
      </c>
      <c r="AS216" s="35" t="str">
        <f>+IF(Tabla43[[#This Row],[AGRUPACIONES]]=1,SUMIFS(Tabla43[VALOR TOTAL],Tabla43[ZONA DEFINITIVO],Tabla43[[#This Row],[ZONA DEFINITIVO]])," ")</f>
        <v xml:space="preserve"> </v>
      </c>
      <c r="AT21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9606360</v>
      </c>
      <c r="AU216" s="35">
        <f>VLOOKUP(Tabla43[[#This Row],[SERVICIO 2025]],$J$2:$V$16,3,0)*Tabla43[[#This Row],[TOTAL COBERTURA]]+Tabla43[[#This Row],[VALOR RACION PREPARADA]]/7</f>
        <v>7854272</v>
      </c>
      <c r="AV216" s="35">
        <f>VLOOKUP(Tabla43[[#This Row],[SERVICIO 2025]],$J$2:$V$16,3,0)*Tabla43[[#This Row],[TOTAL COBERTURA]]+Tabla43[[#This Row],[VALOR RACION PREPARADA]]/7</f>
        <v>7854272</v>
      </c>
      <c r="AW216" s="35">
        <f>VLOOKUP(Tabla43[[#This Row],[SERVICIO 2025]],$J$2:$V$16,3,0)*Tabla43[[#This Row],[TOTAL COBERTURA]]+Tabla43[[#This Row],[VALOR RACION PREPARADA]]/7</f>
        <v>7854272</v>
      </c>
      <c r="AX216" s="35">
        <f>VLOOKUP(Tabla43[[#This Row],[SERVICIO 2025]],$J$2:$V$16,3,0)*Tabla43[[#This Row],[TOTAL COBERTURA]]+Tabla43[[#This Row],[VALOR RACION PREPARADA]]/7</f>
        <v>7854272</v>
      </c>
      <c r="AY216" s="35">
        <f>VLOOKUP(Tabla43[[#This Row],[SERVICIO 2025]],$J$2:$V$16,3,0)*Tabla43[[#This Row],[TOTAL COBERTURA]]+Tabla43[[#This Row],[VALOR RACION PREPARADA]]/7</f>
        <v>7854272</v>
      </c>
      <c r="AZ216" s="35">
        <f>VLOOKUP(Tabla43[[#This Row],[SERVICIO 2025]],$J$2:$V$16,3,0)*Tabla43[[#This Row],[TOTAL COBERTURA]]+Tabla43[[#This Row],[VALOR RACION PREPARADA]]/7+Tabla43[[#This Row],[VALOR FASE PREPARATORIA DE CIERRE]]</f>
        <v>8409339</v>
      </c>
      <c r="BA216" s="35"/>
      <c r="BB216" s="35">
        <f>SUM(Tabla43[[#This Row],[DESEMBOLSO 1]:[DESEMBOLSO 8]])</f>
        <v>57287059</v>
      </c>
      <c r="BC216" s="55">
        <f>VLOOKUP(Tabla43[[#This Row],[SERVICIO 2025]],$J$2:$V$16,10,0)*Tabla43[[#This Row],[TOTAL COBERTURA]]*$W$3</f>
        <v>0</v>
      </c>
      <c r="BD216" s="66" t="s">
        <v>145</v>
      </c>
      <c r="BE216" s="12" t="b">
        <f>EXACT(Tabla43[[#This Row],[TOTAL APORTES ICBF]],Tabla43[[#This Row],[VALOR TOTAL]])</f>
        <v>1</v>
      </c>
      <c r="BF216" s="23">
        <f>SUM(Tabla43[[#This Row],[VALOR FASE PREPARATORIA DE ALISTAMIENTO]:[VALOR RACION PREPARADA]])-Tabla43[[#This Row],[VALOR TOTAL]]</f>
        <v>0</v>
      </c>
      <c r="BG216" s="12" t="b">
        <f>EXACT(Tabla43[[#This Row],[VALOR TOTAL]],Tabla43[[#This Row],[TOTAL DESEMBOLSOS]])</f>
        <v>1</v>
      </c>
      <c r="BH216" s="29">
        <f>Tabla43[[#This Row],[TOTAL DESEMBOLSOS]]-Tabla43[[#This Row],[VALOR TOTAL]]</f>
        <v>0</v>
      </c>
      <c r="BJ216" t="s">
        <v>3896</v>
      </c>
    </row>
    <row r="217" spans="1:62" hidden="1">
      <c r="A217" s="75">
        <v>2586</v>
      </c>
      <c r="B217" s="13"/>
      <c r="C217" s="12" t="s">
        <v>3915</v>
      </c>
      <c r="D217" s="49" t="s">
        <v>462</v>
      </c>
      <c r="E217" s="12" t="s">
        <v>1819</v>
      </c>
      <c r="F217" s="74" t="s">
        <v>16</v>
      </c>
      <c r="G217" s="12" t="s">
        <v>90</v>
      </c>
      <c r="H217" s="12"/>
      <c r="I217" s="76">
        <v>54801150092</v>
      </c>
      <c r="J217" s="77" t="s">
        <v>4255</v>
      </c>
      <c r="K217" s="12">
        <v>1</v>
      </c>
      <c r="L217" s="78">
        <v>17</v>
      </c>
      <c r="M217" s="12"/>
      <c r="N217" s="75">
        <v>2586</v>
      </c>
      <c r="O217" s="12" t="s">
        <v>3894</v>
      </c>
      <c r="P217" s="12"/>
      <c r="Q217" s="12"/>
      <c r="R217" s="12" t="s">
        <v>94</v>
      </c>
      <c r="S217" s="12">
        <v>10</v>
      </c>
      <c r="T217" s="12">
        <v>811019041</v>
      </c>
      <c r="U217" s="74" t="s">
        <v>4246</v>
      </c>
      <c r="V217" s="12">
        <f>VLOOKUP(Tabla43[[#This Row],[ZONA DEFINITIVO]],Hoja1!$A$1:$D$129,3,0)</f>
        <v>232290</v>
      </c>
      <c r="W217" s="12">
        <f>VLOOKUP(Tabla43[[#This Row],[ZONA DEFINITIVO]],Hoja1!$A$1:$D$129,2,0)</f>
        <v>18598</v>
      </c>
      <c r="X217" s="12">
        <f>VLOOKUP(Tabla43[[#This Row],[ZONA DEFINITIVO]],Hoja1!$A$1:$D$129,4,0)</f>
        <v>117925</v>
      </c>
      <c r="Y217" s="12" t="str">
        <f>+IF(Tabla43[[#This Row],[AGRUPACIONES]]=1,SUMIFS(Tabla43[UDS],Tabla43[ZONA DEFINITIVO],Tabla43[[#This Row],[ZONA DEFINITIVO]])," ")</f>
        <v xml:space="preserve"> </v>
      </c>
      <c r="Z217" s="12" t="str">
        <f>+IF(Tabla43[[#This Row],[AGRUPACIONES]]=1,SUMIFS(Tabla43[TOTAL COBERTURA],Tabla43[ZONA DEFINITIVO],Tabla43[[#This Row],[ZONA DEFINITIVO]])," ")</f>
        <v xml:space="preserve"> </v>
      </c>
      <c r="AA217" s="12"/>
      <c r="AB217" s="51">
        <v>57287059</v>
      </c>
      <c r="AC217" s="51"/>
      <c r="AD217" s="38">
        <f>Tabla43[[#This Row],[VALOR ATENCIÓN (7 MESES)]]*Tabla43[[#This Row],[% CONTRAPARTIDA]]</f>
        <v>0</v>
      </c>
      <c r="AE217" s="12"/>
      <c r="AF217" s="12">
        <f>COUNTIF($A$22:A217,A217)</f>
        <v>8</v>
      </c>
      <c r="AG217" s="51">
        <v>57287059</v>
      </c>
      <c r="AH217" s="38">
        <f>Tabla43[[#This Row],[VALOR CONTRAPARTIDA]]+Tabla43[[#This Row],[TOTAL APORTES ICBF]]</f>
        <v>57287059</v>
      </c>
      <c r="AI217" s="35" t="str">
        <f>+IF(Tabla43[[#This Row],[AGRUPACIONES]]=1,SUMIFS(Tabla43[TOTAL APORTES ICBF],Tabla43[ZONA DEFINITIVO],Tabla43[[#This Row],[ZONA DEFINITIVO]])," ")</f>
        <v xml:space="preserve"> </v>
      </c>
      <c r="AJ217" s="38"/>
      <c r="AK217" s="38"/>
      <c r="AL217" s="23"/>
      <c r="AM217" s="35">
        <f>VLOOKUP(Tabla43[[#This Row],[SERVICIO 2025]],$J$2:$V$16,5,0)*Tabla43[[#This Row],[TOTAL COBERTURA]]</f>
        <v>1257405</v>
      </c>
      <c r="AN217" s="35">
        <f>VLOOKUP(Tabla43[[#This Row],[SERVICIO 2025]],$J$2:$V$16,6,0)*Tabla43[[#This Row],[TOTAL COBERTURA]]</f>
        <v>555067</v>
      </c>
      <c r="AO217" s="35">
        <f>VLOOKUP(Tabla43[[#This Row],[SERVICIO 2025]],$J$2:$V$16,8,0)*Tabla43[[#This Row],[TOTAL COBERTURA]]</f>
        <v>494683</v>
      </c>
      <c r="AP217" s="35">
        <f>VLOOKUP(Tabla43[[#This Row],[SERVICIO 2025]],$J$2:$V$16,3,0)*Tabla43[[#This Row],[TOTAL COBERTURA]]*7</f>
        <v>54979904</v>
      </c>
      <c r="AQ217" s="35">
        <f>VLOOKUP(Tabla43[[#This Row],[SERVICIO 2025]],$J$2:$V$16,10,0)*Tabla43[[#This Row],[TOTAL COBERTURA]]*7</f>
        <v>0</v>
      </c>
      <c r="AR21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57287059</v>
      </c>
      <c r="AS217" s="35" t="str">
        <f>+IF(Tabla43[[#This Row],[AGRUPACIONES]]=1,SUMIFS(Tabla43[VALOR TOTAL],Tabla43[ZONA DEFINITIVO],Tabla43[[#This Row],[ZONA DEFINITIVO]])," ")</f>
        <v xml:space="preserve"> </v>
      </c>
      <c r="AT21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9606360</v>
      </c>
      <c r="AU217" s="35">
        <f>VLOOKUP(Tabla43[[#This Row],[SERVICIO 2025]],$J$2:$V$16,3,0)*Tabla43[[#This Row],[TOTAL COBERTURA]]+Tabla43[[#This Row],[VALOR RACION PREPARADA]]/7</f>
        <v>7854272</v>
      </c>
      <c r="AV217" s="35">
        <f>VLOOKUP(Tabla43[[#This Row],[SERVICIO 2025]],$J$2:$V$16,3,0)*Tabla43[[#This Row],[TOTAL COBERTURA]]+Tabla43[[#This Row],[VALOR RACION PREPARADA]]/7</f>
        <v>7854272</v>
      </c>
      <c r="AW217" s="35">
        <f>VLOOKUP(Tabla43[[#This Row],[SERVICIO 2025]],$J$2:$V$16,3,0)*Tabla43[[#This Row],[TOTAL COBERTURA]]+Tabla43[[#This Row],[VALOR RACION PREPARADA]]/7</f>
        <v>7854272</v>
      </c>
      <c r="AX217" s="35">
        <f>VLOOKUP(Tabla43[[#This Row],[SERVICIO 2025]],$J$2:$V$16,3,0)*Tabla43[[#This Row],[TOTAL COBERTURA]]+Tabla43[[#This Row],[VALOR RACION PREPARADA]]/7</f>
        <v>7854272</v>
      </c>
      <c r="AY217" s="35">
        <f>VLOOKUP(Tabla43[[#This Row],[SERVICIO 2025]],$J$2:$V$16,3,0)*Tabla43[[#This Row],[TOTAL COBERTURA]]+Tabla43[[#This Row],[VALOR RACION PREPARADA]]/7</f>
        <v>7854272</v>
      </c>
      <c r="AZ217" s="35">
        <f>VLOOKUP(Tabla43[[#This Row],[SERVICIO 2025]],$J$2:$V$16,3,0)*Tabla43[[#This Row],[TOTAL COBERTURA]]+Tabla43[[#This Row],[VALOR RACION PREPARADA]]/7+Tabla43[[#This Row],[VALOR FASE PREPARATORIA DE CIERRE]]</f>
        <v>8409339</v>
      </c>
      <c r="BA217" s="35"/>
      <c r="BB217" s="35">
        <f>SUM(Tabla43[[#This Row],[DESEMBOLSO 1]:[DESEMBOLSO 8]])</f>
        <v>57287059</v>
      </c>
      <c r="BC217" s="55">
        <f>VLOOKUP(Tabla43[[#This Row],[SERVICIO 2025]],$J$2:$V$16,10,0)*Tabla43[[#This Row],[TOTAL COBERTURA]]*$W$3</f>
        <v>0</v>
      </c>
      <c r="BD217" s="66" t="s">
        <v>145</v>
      </c>
      <c r="BE217" s="12" t="b">
        <f>EXACT(Tabla43[[#This Row],[TOTAL APORTES ICBF]],Tabla43[[#This Row],[VALOR TOTAL]])</f>
        <v>1</v>
      </c>
      <c r="BF217" s="23">
        <f>SUM(Tabla43[[#This Row],[VALOR FASE PREPARATORIA DE ALISTAMIENTO]:[VALOR RACION PREPARADA]])-Tabla43[[#This Row],[VALOR TOTAL]]</f>
        <v>0</v>
      </c>
      <c r="BG217" s="12" t="b">
        <f>EXACT(Tabla43[[#This Row],[VALOR TOTAL]],Tabla43[[#This Row],[TOTAL DESEMBOLSOS]])</f>
        <v>1</v>
      </c>
      <c r="BH217" s="29">
        <f>Tabla43[[#This Row],[TOTAL DESEMBOLSOS]]-Tabla43[[#This Row],[VALOR TOTAL]]</f>
        <v>0</v>
      </c>
      <c r="BJ217" t="s">
        <v>3896</v>
      </c>
    </row>
    <row r="218" spans="1:62" hidden="1">
      <c r="A218" s="75">
        <v>2586</v>
      </c>
      <c r="B218" s="13"/>
      <c r="C218" s="12" t="s">
        <v>3915</v>
      </c>
      <c r="D218" s="49" t="s">
        <v>462</v>
      </c>
      <c r="E218" s="12" t="s">
        <v>1819</v>
      </c>
      <c r="F218" s="74" t="s">
        <v>16</v>
      </c>
      <c r="G218" s="12" t="s">
        <v>90</v>
      </c>
      <c r="H218" s="12"/>
      <c r="I218" s="76">
        <v>54801150093</v>
      </c>
      <c r="J218" s="77" t="s">
        <v>4256</v>
      </c>
      <c r="K218" s="12">
        <v>1</v>
      </c>
      <c r="L218" s="78">
        <v>38</v>
      </c>
      <c r="M218" s="12"/>
      <c r="N218" s="75">
        <v>2586</v>
      </c>
      <c r="O218" s="12" t="s">
        <v>3894</v>
      </c>
      <c r="P218" s="12"/>
      <c r="Q218" s="12"/>
      <c r="R218" s="12" t="s">
        <v>94</v>
      </c>
      <c r="S218" s="12">
        <v>10</v>
      </c>
      <c r="T218" s="12">
        <v>811019041</v>
      </c>
      <c r="U218" s="74" t="s">
        <v>4246</v>
      </c>
      <c r="V218" s="12">
        <f>VLOOKUP(Tabla43[[#This Row],[ZONA DEFINITIVO]],Hoja1!$A$1:$D$129,3,0)</f>
        <v>232290</v>
      </c>
      <c r="W218" s="12">
        <f>VLOOKUP(Tabla43[[#This Row],[ZONA DEFINITIVO]],Hoja1!$A$1:$D$129,2,0)</f>
        <v>18598</v>
      </c>
      <c r="X218" s="12">
        <f>VLOOKUP(Tabla43[[#This Row],[ZONA DEFINITIVO]],Hoja1!$A$1:$D$129,4,0)</f>
        <v>117925</v>
      </c>
      <c r="Y218" s="12" t="str">
        <f>+IF(Tabla43[[#This Row],[AGRUPACIONES]]=1,SUMIFS(Tabla43[UDS],Tabla43[ZONA DEFINITIVO],Tabla43[[#This Row],[ZONA DEFINITIVO]])," ")</f>
        <v xml:space="preserve"> </v>
      </c>
      <c r="Z218" s="12" t="str">
        <f>+IF(Tabla43[[#This Row],[AGRUPACIONES]]=1,SUMIFS(Tabla43[TOTAL COBERTURA],Tabla43[ZONA DEFINITIVO],Tabla43[[#This Row],[ZONA DEFINITIVO]])," ")</f>
        <v xml:space="preserve"> </v>
      </c>
      <c r="AA218" s="12"/>
      <c r="AB218" s="51">
        <v>128053426</v>
      </c>
      <c r="AC218" s="51"/>
      <c r="AD218" s="38">
        <f>Tabla43[[#This Row],[VALOR ATENCIÓN (7 MESES)]]*Tabla43[[#This Row],[% CONTRAPARTIDA]]</f>
        <v>0</v>
      </c>
      <c r="AE218" s="12"/>
      <c r="AF218" s="12">
        <f>COUNTIF($A$22:A218,A218)</f>
        <v>9</v>
      </c>
      <c r="AG218" s="51">
        <v>128053426</v>
      </c>
      <c r="AH218" s="38">
        <f>Tabla43[[#This Row],[VALOR CONTRAPARTIDA]]+Tabla43[[#This Row],[TOTAL APORTES ICBF]]</f>
        <v>128053426</v>
      </c>
      <c r="AI218" s="35" t="str">
        <f>+IF(Tabla43[[#This Row],[AGRUPACIONES]]=1,SUMIFS(Tabla43[TOTAL APORTES ICBF],Tabla43[ZONA DEFINITIVO],Tabla43[[#This Row],[ZONA DEFINITIVO]])," ")</f>
        <v xml:space="preserve"> </v>
      </c>
      <c r="AJ218" s="38"/>
      <c r="AK218" s="38"/>
      <c r="AL218" s="23"/>
      <c r="AM218" s="35">
        <f>VLOOKUP(Tabla43[[#This Row],[SERVICIO 2025]],$J$2:$V$16,5,0)*Tabla43[[#This Row],[TOTAL COBERTURA]]</f>
        <v>2810670</v>
      </c>
      <c r="AN218" s="35">
        <f>VLOOKUP(Tabla43[[#This Row],[SERVICIO 2025]],$J$2:$V$16,6,0)*Tabla43[[#This Row],[TOTAL COBERTURA]]</f>
        <v>1240738</v>
      </c>
      <c r="AO218" s="35">
        <f>VLOOKUP(Tabla43[[#This Row],[SERVICIO 2025]],$J$2:$V$16,8,0)*Tabla43[[#This Row],[TOTAL COBERTURA]]</f>
        <v>1105762</v>
      </c>
      <c r="AP218" s="35">
        <f>VLOOKUP(Tabla43[[#This Row],[SERVICIO 2025]],$J$2:$V$16,3,0)*Tabla43[[#This Row],[TOTAL COBERTURA]]*7</f>
        <v>122896256</v>
      </c>
      <c r="AQ218" s="35">
        <f>VLOOKUP(Tabla43[[#This Row],[SERVICIO 2025]],$J$2:$V$16,10,0)*Tabla43[[#This Row],[TOTAL COBERTURA]]*7</f>
        <v>0</v>
      </c>
      <c r="AR21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128053426</v>
      </c>
      <c r="AS218" s="35" t="str">
        <f>+IF(Tabla43[[#This Row],[AGRUPACIONES]]=1,SUMIFS(Tabla43[VALOR TOTAL],Tabla43[ZONA DEFINITIVO],Tabla43[[#This Row],[ZONA DEFINITIVO]])," ")</f>
        <v xml:space="preserve"> </v>
      </c>
      <c r="AT21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21473040</v>
      </c>
      <c r="AU218" s="35">
        <f>VLOOKUP(Tabla43[[#This Row],[SERVICIO 2025]],$J$2:$V$16,3,0)*Tabla43[[#This Row],[TOTAL COBERTURA]]+Tabla43[[#This Row],[VALOR RACION PREPARADA]]/7</f>
        <v>17556608</v>
      </c>
      <c r="AV218" s="35">
        <f>VLOOKUP(Tabla43[[#This Row],[SERVICIO 2025]],$J$2:$V$16,3,0)*Tabla43[[#This Row],[TOTAL COBERTURA]]+Tabla43[[#This Row],[VALOR RACION PREPARADA]]/7</f>
        <v>17556608</v>
      </c>
      <c r="AW218" s="35">
        <f>VLOOKUP(Tabla43[[#This Row],[SERVICIO 2025]],$J$2:$V$16,3,0)*Tabla43[[#This Row],[TOTAL COBERTURA]]+Tabla43[[#This Row],[VALOR RACION PREPARADA]]/7</f>
        <v>17556608</v>
      </c>
      <c r="AX218" s="35">
        <f>VLOOKUP(Tabla43[[#This Row],[SERVICIO 2025]],$J$2:$V$16,3,0)*Tabla43[[#This Row],[TOTAL COBERTURA]]+Tabla43[[#This Row],[VALOR RACION PREPARADA]]/7</f>
        <v>17556608</v>
      </c>
      <c r="AY218" s="35">
        <f>VLOOKUP(Tabla43[[#This Row],[SERVICIO 2025]],$J$2:$V$16,3,0)*Tabla43[[#This Row],[TOTAL COBERTURA]]+Tabla43[[#This Row],[VALOR RACION PREPARADA]]/7</f>
        <v>17556608</v>
      </c>
      <c r="AZ218" s="35">
        <f>VLOOKUP(Tabla43[[#This Row],[SERVICIO 2025]],$J$2:$V$16,3,0)*Tabla43[[#This Row],[TOTAL COBERTURA]]+Tabla43[[#This Row],[VALOR RACION PREPARADA]]/7+Tabla43[[#This Row],[VALOR FASE PREPARATORIA DE CIERRE]]</f>
        <v>18797346</v>
      </c>
      <c r="BA218" s="35"/>
      <c r="BB218" s="35">
        <f>SUM(Tabla43[[#This Row],[DESEMBOLSO 1]:[DESEMBOLSO 8]])</f>
        <v>128053426</v>
      </c>
      <c r="BC218" s="55">
        <f>VLOOKUP(Tabla43[[#This Row],[SERVICIO 2025]],$J$2:$V$16,10,0)*Tabla43[[#This Row],[TOTAL COBERTURA]]*$W$3</f>
        <v>0</v>
      </c>
      <c r="BD218" s="66" t="s">
        <v>145</v>
      </c>
      <c r="BE218" s="12" t="b">
        <f>EXACT(Tabla43[[#This Row],[TOTAL APORTES ICBF]],Tabla43[[#This Row],[VALOR TOTAL]])</f>
        <v>1</v>
      </c>
      <c r="BF218" s="23">
        <f>SUM(Tabla43[[#This Row],[VALOR FASE PREPARATORIA DE ALISTAMIENTO]:[VALOR RACION PREPARADA]])-Tabla43[[#This Row],[VALOR TOTAL]]</f>
        <v>0</v>
      </c>
      <c r="BG218" s="12" t="b">
        <f>EXACT(Tabla43[[#This Row],[VALOR TOTAL]],Tabla43[[#This Row],[TOTAL DESEMBOLSOS]])</f>
        <v>1</v>
      </c>
      <c r="BH218" s="29">
        <f>Tabla43[[#This Row],[TOTAL DESEMBOLSOS]]-Tabla43[[#This Row],[VALOR TOTAL]]</f>
        <v>0</v>
      </c>
      <c r="BJ218" t="s">
        <v>3896</v>
      </c>
    </row>
    <row r="219" spans="1:62" hidden="1">
      <c r="A219" s="75">
        <v>2586</v>
      </c>
      <c r="B219" s="13"/>
      <c r="C219" s="12" t="s">
        <v>3915</v>
      </c>
      <c r="D219" s="49" t="s">
        <v>462</v>
      </c>
      <c r="E219" s="12" t="s">
        <v>1819</v>
      </c>
      <c r="F219" s="74" t="s">
        <v>16</v>
      </c>
      <c r="G219" s="12" t="s">
        <v>90</v>
      </c>
      <c r="H219" s="12"/>
      <c r="I219" s="76">
        <v>54801150094</v>
      </c>
      <c r="J219" s="77" t="s">
        <v>4257</v>
      </c>
      <c r="K219" s="12">
        <v>1</v>
      </c>
      <c r="L219" s="78">
        <v>45</v>
      </c>
      <c r="M219" s="12"/>
      <c r="N219" s="75">
        <v>2586</v>
      </c>
      <c r="O219" s="12" t="s">
        <v>3894</v>
      </c>
      <c r="P219" s="12"/>
      <c r="Q219" s="12"/>
      <c r="R219" s="12" t="s">
        <v>94</v>
      </c>
      <c r="S219" s="12">
        <v>10</v>
      </c>
      <c r="T219" s="12">
        <v>811019041</v>
      </c>
      <c r="U219" s="74" t="s">
        <v>4246</v>
      </c>
      <c r="V219" s="12">
        <f>VLOOKUP(Tabla43[[#This Row],[ZONA DEFINITIVO]],Hoja1!$A$1:$D$129,3,0)</f>
        <v>232290</v>
      </c>
      <c r="W219" s="12">
        <f>VLOOKUP(Tabla43[[#This Row],[ZONA DEFINITIVO]],Hoja1!$A$1:$D$129,2,0)</f>
        <v>18598</v>
      </c>
      <c r="X219" s="12">
        <f>VLOOKUP(Tabla43[[#This Row],[ZONA DEFINITIVO]],Hoja1!$A$1:$D$129,4,0)</f>
        <v>117925</v>
      </c>
      <c r="Y219" s="12" t="str">
        <f>+IF(Tabla43[[#This Row],[AGRUPACIONES]]=1,SUMIFS(Tabla43[UDS],Tabla43[ZONA DEFINITIVO],Tabla43[[#This Row],[ZONA DEFINITIVO]])," ")</f>
        <v xml:space="preserve"> </v>
      </c>
      <c r="Z219" s="12" t="str">
        <f>+IF(Tabla43[[#This Row],[AGRUPACIONES]]=1,SUMIFS(Tabla43[TOTAL COBERTURA],Tabla43[ZONA DEFINITIVO],Tabla43[[#This Row],[ZONA DEFINITIVO]])," ")</f>
        <v xml:space="preserve"> </v>
      </c>
      <c r="AA219" s="12"/>
      <c r="AB219" s="51">
        <v>151642215</v>
      </c>
      <c r="AC219" s="51"/>
      <c r="AD219" s="38">
        <f>Tabla43[[#This Row],[VALOR ATENCIÓN (7 MESES)]]*Tabla43[[#This Row],[% CONTRAPARTIDA]]</f>
        <v>0</v>
      </c>
      <c r="AE219" s="12"/>
      <c r="AF219" s="12">
        <f>COUNTIF($A$22:A219,A219)</f>
        <v>10</v>
      </c>
      <c r="AG219" s="51">
        <v>151642215</v>
      </c>
      <c r="AH219" s="38">
        <f>Tabla43[[#This Row],[VALOR CONTRAPARTIDA]]+Tabla43[[#This Row],[TOTAL APORTES ICBF]]</f>
        <v>151642215</v>
      </c>
      <c r="AI219" s="35" t="str">
        <f>+IF(Tabla43[[#This Row],[AGRUPACIONES]]=1,SUMIFS(Tabla43[TOTAL APORTES ICBF],Tabla43[ZONA DEFINITIVO],Tabla43[[#This Row],[ZONA DEFINITIVO]])," ")</f>
        <v xml:space="preserve"> </v>
      </c>
      <c r="AJ219" s="38"/>
      <c r="AK219" s="38"/>
      <c r="AL219" s="23"/>
      <c r="AM219" s="35">
        <f>VLOOKUP(Tabla43[[#This Row],[SERVICIO 2025]],$J$2:$V$16,5,0)*Tabla43[[#This Row],[TOTAL COBERTURA]]</f>
        <v>3328425</v>
      </c>
      <c r="AN219" s="35">
        <f>VLOOKUP(Tabla43[[#This Row],[SERVICIO 2025]],$J$2:$V$16,6,0)*Tabla43[[#This Row],[TOTAL COBERTURA]]</f>
        <v>1469295</v>
      </c>
      <c r="AO219" s="35">
        <f>VLOOKUP(Tabla43[[#This Row],[SERVICIO 2025]],$J$2:$V$16,8,0)*Tabla43[[#This Row],[TOTAL COBERTURA]]</f>
        <v>1309455</v>
      </c>
      <c r="AP219" s="35">
        <f>VLOOKUP(Tabla43[[#This Row],[SERVICIO 2025]],$J$2:$V$16,3,0)*Tabla43[[#This Row],[TOTAL COBERTURA]]*7</f>
        <v>145535040</v>
      </c>
      <c r="AQ219" s="35">
        <f>VLOOKUP(Tabla43[[#This Row],[SERVICIO 2025]],$J$2:$V$16,10,0)*Tabla43[[#This Row],[TOTAL COBERTURA]]*7</f>
        <v>0</v>
      </c>
      <c r="AR21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151642215</v>
      </c>
      <c r="AS219" s="35" t="str">
        <f>+IF(Tabla43[[#This Row],[AGRUPACIONES]]=1,SUMIFS(Tabla43[VALOR TOTAL],Tabla43[ZONA DEFINITIVO],Tabla43[[#This Row],[ZONA DEFINITIVO]])," ")</f>
        <v xml:space="preserve"> </v>
      </c>
      <c r="AT21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25428600</v>
      </c>
      <c r="AU219" s="35">
        <f>VLOOKUP(Tabla43[[#This Row],[SERVICIO 2025]],$J$2:$V$16,3,0)*Tabla43[[#This Row],[TOTAL COBERTURA]]+Tabla43[[#This Row],[VALOR RACION PREPARADA]]/7</f>
        <v>20790720</v>
      </c>
      <c r="AV219" s="35">
        <f>VLOOKUP(Tabla43[[#This Row],[SERVICIO 2025]],$J$2:$V$16,3,0)*Tabla43[[#This Row],[TOTAL COBERTURA]]+Tabla43[[#This Row],[VALOR RACION PREPARADA]]/7</f>
        <v>20790720</v>
      </c>
      <c r="AW219" s="35">
        <f>VLOOKUP(Tabla43[[#This Row],[SERVICIO 2025]],$J$2:$V$16,3,0)*Tabla43[[#This Row],[TOTAL COBERTURA]]+Tabla43[[#This Row],[VALOR RACION PREPARADA]]/7</f>
        <v>20790720</v>
      </c>
      <c r="AX219" s="35">
        <f>VLOOKUP(Tabla43[[#This Row],[SERVICIO 2025]],$J$2:$V$16,3,0)*Tabla43[[#This Row],[TOTAL COBERTURA]]+Tabla43[[#This Row],[VALOR RACION PREPARADA]]/7</f>
        <v>20790720</v>
      </c>
      <c r="AY219" s="35">
        <f>VLOOKUP(Tabla43[[#This Row],[SERVICIO 2025]],$J$2:$V$16,3,0)*Tabla43[[#This Row],[TOTAL COBERTURA]]+Tabla43[[#This Row],[VALOR RACION PREPARADA]]/7</f>
        <v>20790720</v>
      </c>
      <c r="AZ219" s="35">
        <f>VLOOKUP(Tabla43[[#This Row],[SERVICIO 2025]],$J$2:$V$16,3,0)*Tabla43[[#This Row],[TOTAL COBERTURA]]+Tabla43[[#This Row],[VALOR RACION PREPARADA]]/7+Tabla43[[#This Row],[VALOR FASE PREPARATORIA DE CIERRE]]</f>
        <v>22260015</v>
      </c>
      <c r="BA219" s="35"/>
      <c r="BB219" s="35">
        <f>SUM(Tabla43[[#This Row],[DESEMBOLSO 1]:[DESEMBOLSO 8]])</f>
        <v>151642215</v>
      </c>
      <c r="BC219" s="55">
        <f>VLOOKUP(Tabla43[[#This Row],[SERVICIO 2025]],$J$2:$V$16,10,0)*Tabla43[[#This Row],[TOTAL COBERTURA]]*$W$3</f>
        <v>0</v>
      </c>
      <c r="BD219" s="66" t="s">
        <v>145</v>
      </c>
      <c r="BE219" s="12" t="b">
        <f>EXACT(Tabla43[[#This Row],[TOTAL APORTES ICBF]],Tabla43[[#This Row],[VALOR TOTAL]])</f>
        <v>1</v>
      </c>
      <c r="BF219" s="23">
        <f>SUM(Tabla43[[#This Row],[VALOR FASE PREPARATORIA DE ALISTAMIENTO]:[VALOR RACION PREPARADA]])-Tabla43[[#This Row],[VALOR TOTAL]]</f>
        <v>0</v>
      </c>
      <c r="BG219" s="12" t="b">
        <f>EXACT(Tabla43[[#This Row],[VALOR TOTAL]],Tabla43[[#This Row],[TOTAL DESEMBOLSOS]])</f>
        <v>1</v>
      </c>
      <c r="BH219" s="29">
        <f>Tabla43[[#This Row],[TOTAL DESEMBOLSOS]]-Tabla43[[#This Row],[VALOR TOTAL]]</f>
        <v>0</v>
      </c>
      <c r="BJ219" t="s">
        <v>3896</v>
      </c>
    </row>
    <row r="220" spans="1:62" hidden="1">
      <c r="A220" s="75">
        <v>2586</v>
      </c>
      <c r="B220" s="13"/>
      <c r="C220" s="12" t="s">
        <v>3915</v>
      </c>
      <c r="D220" s="49" t="s">
        <v>462</v>
      </c>
      <c r="E220" s="12" t="s">
        <v>1819</v>
      </c>
      <c r="F220" s="74" t="s">
        <v>16</v>
      </c>
      <c r="G220" s="12" t="s">
        <v>90</v>
      </c>
      <c r="H220" s="12"/>
      <c r="I220" s="76">
        <v>54801150095</v>
      </c>
      <c r="J220" s="77" t="s">
        <v>4258</v>
      </c>
      <c r="K220" s="12">
        <v>1</v>
      </c>
      <c r="L220" s="78">
        <v>26</v>
      </c>
      <c r="M220" s="12"/>
      <c r="N220" s="75">
        <v>2586</v>
      </c>
      <c r="O220" s="12" t="s">
        <v>3894</v>
      </c>
      <c r="P220" s="12"/>
      <c r="Q220" s="12"/>
      <c r="R220" s="12" t="s">
        <v>94</v>
      </c>
      <c r="S220" s="12">
        <v>10</v>
      </c>
      <c r="T220" s="12">
        <v>811019041</v>
      </c>
      <c r="U220" s="74" t="s">
        <v>4246</v>
      </c>
      <c r="V220" s="12">
        <f>VLOOKUP(Tabla43[[#This Row],[ZONA DEFINITIVO]],Hoja1!$A$1:$D$129,3,0)</f>
        <v>232290</v>
      </c>
      <c r="W220" s="12">
        <f>VLOOKUP(Tabla43[[#This Row],[ZONA DEFINITIVO]],Hoja1!$A$1:$D$129,2,0)</f>
        <v>18598</v>
      </c>
      <c r="X220" s="12">
        <f>VLOOKUP(Tabla43[[#This Row],[ZONA DEFINITIVO]],Hoja1!$A$1:$D$129,4,0)</f>
        <v>117925</v>
      </c>
      <c r="Y220" s="12" t="str">
        <f>+IF(Tabla43[[#This Row],[AGRUPACIONES]]=1,SUMIFS(Tabla43[UDS],Tabla43[ZONA DEFINITIVO],Tabla43[[#This Row],[ZONA DEFINITIVO]])," ")</f>
        <v xml:space="preserve"> </v>
      </c>
      <c r="Z220" s="12" t="str">
        <f>+IF(Tabla43[[#This Row],[AGRUPACIONES]]=1,SUMIFS(Tabla43[TOTAL COBERTURA],Tabla43[ZONA DEFINITIVO],Tabla43[[#This Row],[ZONA DEFINITIVO]])," ")</f>
        <v xml:space="preserve"> </v>
      </c>
      <c r="AA220" s="12"/>
      <c r="AB220" s="51">
        <v>87615502</v>
      </c>
      <c r="AC220" s="51"/>
      <c r="AD220" s="38">
        <f>Tabla43[[#This Row],[VALOR ATENCIÓN (7 MESES)]]*Tabla43[[#This Row],[% CONTRAPARTIDA]]</f>
        <v>0</v>
      </c>
      <c r="AE220" s="12"/>
      <c r="AF220" s="12">
        <f>COUNTIF($A$22:A220,A220)</f>
        <v>11</v>
      </c>
      <c r="AG220" s="51">
        <v>87615502</v>
      </c>
      <c r="AH220" s="38">
        <f>Tabla43[[#This Row],[VALOR CONTRAPARTIDA]]+Tabla43[[#This Row],[TOTAL APORTES ICBF]]</f>
        <v>87615502</v>
      </c>
      <c r="AI220" s="35" t="str">
        <f>+IF(Tabla43[[#This Row],[AGRUPACIONES]]=1,SUMIFS(Tabla43[TOTAL APORTES ICBF],Tabla43[ZONA DEFINITIVO],Tabla43[[#This Row],[ZONA DEFINITIVO]])," ")</f>
        <v xml:space="preserve"> </v>
      </c>
      <c r="AJ220" s="38"/>
      <c r="AK220" s="38"/>
      <c r="AL220" s="23"/>
      <c r="AM220" s="35">
        <f>VLOOKUP(Tabla43[[#This Row],[SERVICIO 2025]],$J$2:$V$16,5,0)*Tabla43[[#This Row],[TOTAL COBERTURA]]</f>
        <v>1923090</v>
      </c>
      <c r="AN220" s="35">
        <f>VLOOKUP(Tabla43[[#This Row],[SERVICIO 2025]],$J$2:$V$16,6,0)*Tabla43[[#This Row],[TOTAL COBERTURA]]</f>
        <v>848926</v>
      </c>
      <c r="AO220" s="35">
        <f>VLOOKUP(Tabla43[[#This Row],[SERVICIO 2025]],$J$2:$V$16,8,0)*Tabla43[[#This Row],[TOTAL COBERTURA]]</f>
        <v>756574</v>
      </c>
      <c r="AP220" s="35">
        <f>VLOOKUP(Tabla43[[#This Row],[SERVICIO 2025]],$J$2:$V$16,3,0)*Tabla43[[#This Row],[TOTAL COBERTURA]]*7</f>
        <v>84086912</v>
      </c>
      <c r="AQ220" s="35">
        <f>VLOOKUP(Tabla43[[#This Row],[SERVICIO 2025]],$J$2:$V$16,10,0)*Tabla43[[#This Row],[TOTAL COBERTURA]]*7</f>
        <v>0</v>
      </c>
      <c r="AR22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87615502</v>
      </c>
      <c r="AS220" s="35" t="str">
        <f>+IF(Tabla43[[#This Row],[AGRUPACIONES]]=1,SUMIFS(Tabla43[VALOR TOTAL],Tabla43[ZONA DEFINITIVO],Tabla43[[#This Row],[ZONA DEFINITIVO]])," ")</f>
        <v xml:space="preserve"> </v>
      </c>
      <c r="AT22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14692080</v>
      </c>
      <c r="AU220" s="35">
        <f>VLOOKUP(Tabla43[[#This Row],[SERVICIO 2025]],$J$2:$V$16,3,0)*Tabla43[[#This Row],[TOTAL COBERTURA]]+Tabla43[[#This Row],[VALOR RACION PREPARADA]]/7</f>
        <v>12012416</v>
      </c>
      <c r="AV220" s="35">
        <f>VLOOKUP(Tabla43[[#This Row],[SERVICIO 2025]],$J$2:$V$16,3,0)*Tabla43[[#This Row],[TOTAL COBERTURA]]+Tabla43[[#This Row],[VALOR RACION PREPARADA]]/7</f>
        <v>12012416</v>
      </c>
      <c r="AW220" s="35">
        <f>VLOOKUP(Tabla43[[#This Row],[SERVICIO 2025]],$J$2:$V$16,3,0)*Tabla43[[#This Row],[TOTAL COBERTURA]]+Tabla43[[#This Row],[VALOR RACION PREPARADA]]/7</f>
        <v>12012416</v>
      </c>
      <c r="AX220" s="35">
        <f>VLOOKUP(Tabla43[[#This Row],[SERVICIO 2025]],$J$2:$V$16,3,0)*Tabla43[[#This Row],[TOTAL COBERTURA]]+Tabla43[[#This Row],[VALOR RACION PREPARADA]]/7</f>
        <v>12012416</v>
      </c>
      <c r="AY220" s="35">
        <f>VLOOKUP(Tabla43[[#This Row],[SERVICIO 2025]],$J$2:$V$16,3,0)*Tabla43[[#This Row],[TOTAL COBERTURA]]+Tabla43[[#This Row],[VALOR RACION PREPARADA]]/7</f>
        <v>12012416</v>
      </c>
      <c r="AZ220" s="35">
        <f>VLOOKUP(Tabla43[[#This Row],[SERVICIO 2025]],$J$2:$V$16,3,0)*Tabla43[[#This Row],[TOTAL COBERTURA]]+Tabla43[[#This Row],[VALOR RACION PREPARADA]]/7+Tabla43[[#This Row],[VALOR FASE PREPARATORIA DE CIERRE]]</f>
        <v>12861342</v>
      </c>
      <c r="BA220" s="35"/>
      <c r="BB220" s="35">
        <f>SUM(Tabla43[[#This Row],[DESEMBOLSO 1]:[DESEMBOLSO 8]])</f>
        <v>87615502</v>
      </c>
      <c r="BC220" s="55">
        <f>VLOOKUP(Tabla43[[#This Row],[SERVICIO 2025]],$J$2:$V$16,10,0)*Tabla43[[#This Row],[TOTAL COBERTURA]]*$W$3</f>
        <v>0</v>
      </c>
      <c r="BD220" s="66" t="s">
        <v>145</v>
      </c>
      <c r="BE220" s="12" t="b">
        <f>EXACT(Tabla43[[#This Row],[TOTAL APORTES ICBF]],Tabla43[[#This Row],[VALOR TOTAL]])</f>
        <v>1</v>
      </c>
      <c r="BF220" s="23">
        <f>SUM(Tabla43[[#This Row],[VALOR FASE PREPARATORIA DE ALISTAMIENTO]:[VALOR RACION PREPARADA]])-Tabla43[[#This Row],[VALOR TOTAL]]</f>
        <v>0</v>
      </c>
      <c r="BG220" s="12" t="b">
        <f>EXACT(Tabla43[[#This Row],[VALOR TOTAL]],Tabla43[[#This Row],[TOTAL DESEMBOLSOS]])</f>
        <v>1</v>
      </c>
      <c r="BH220" s="29">
        <f>Tabla43[[#This Row],[TOTAL DESEMBOLSOS]]-Tabla43[[#This Row],[VALOR TOTAL]]</f>
        <v>0</v>
      </c>
      <c r="BJ220" t="s">
        <v>3896</v>
      </c>
    </row>
    <row r="221" spans="1:62" hidden="1">
      <c r="A221" s="75">
        <v>2586</v>
      </c>
      <c r="B221" s="13"/>
      <c r="C221" s="12" t="s">
        <v>3915</v>
      </c>
      <c r="D221" s="49" t="s">
        <v>462</v>
      </c>
      <c r="E221" s="12" t="s">
        <v>1819</v>
      </c>
      <c r="F221" s="74" t="s">
        <v>16</v>
      </c>
      <c r="G221" s="12" t="s">
        <v>90</v>
      </c>
      <c r="H221" s="12"/>
      <c r="I221" s="76">
        <v>54801150141</v>
      </c>
      <c r="J221" s="77" t="s">
        <v>4259</v>
      </c>
      <c r="K221" s="12">
        <v>1</v>
      </c>
      <c r="L221" s="78">
        <v>42</v>
      </c>
      <c r="M221" s="12"/>
      <c r="N221" s="75">
        <v>2586</v>
      </c>
      <c r="O221" s="12" t="s">
        <v>3894</v>
      </c>
      <c r="P221" s="12"/>
      <c r="Q221" s="12"/>
      <c r="R221" s="12" t="s">
        <v>94</v>
      </c>
      <c r="S221" s="12">
        <v>10</v>
      </c>
      <c r="T221" s="12">
        <v>811019041</v>
      </c>
      <c r="U221" s="74" t="s">
        <v>4246</v>
      </c>
      <c r="V221" s="12">
        <f>VLOOKUP(Tabla43[[#This Row],[ZONA DEFINITIVO]],Hoja1!$A$1:$D$129,3,0)</f>
        <v>232290</v>
      </c>
      <c r="W221" s="12">
        <f>VLOOKUP(Tabla43[[#This Row],[ZONA DEFINITIVO]],Hoja1!$A$1:$D$129,2,0)</f>
        <v>18598</v>
      </c>
      <c r="X221" s="12">
        <f>VLOOKUP(Tabla43[[#This Row],[ZONA DEFINITIVO]],Hoja1!$A$1:$D$129,4,0)</f>
        <v>117925</v>
      </c>
      <c r="Y221" s="12" t="str">
        <f>+IF(Tabla43[[#This Row],[AGRUPACIONES]]=1,SUMIFS(Tabla43[UDS],Tabla43[ZONA DEFINITIVO],Tabla43[[#This Row],[ZONA DEFINITIVO]])," ")</f>
        <v xml:space="preserve"> </v>
      </c>
      <c r="Z221" s="12" t="str">
        <f>+IF(Tabla43[[#This Row],[AGRUPACIONES]]=1,SUMIFS(Tabla43[TOTAL COBERTURA],Tabla43[ZONA DEFINITIVO],Tabla43[[#This Row],[ZONA DEFINITIVO]])," ")</f>
        <v xml:space="preserve"> </v>
      </c>
      <c r="AA221" s="12"/>
      <c r="AB221" s="51">
        <v>141532734</v>
      </c>
      <c r="AC221" s="51"/>
      <c r="AD221" s="38">
        <f>Tabla43[[#This Row],[VALOR ATENCIÓN (7 MESES)]]*Tabla43[[#This Row],[% CONTRAPARTIDA]]</f>
        <v>0</v>
      </c>
      <c r="AE221" s="12"/>
      <c r="AF221" s="12">
        <f>COUNTIF($A$22:A221,A221)</f>
        <v>12</v>
      </c>
      <c r="AG221" s="51">
        <v>141532734</v>
      </c>
      <c r="AH221" s="38">
        <f>Tabla43[[#This Row],[VALOR CONTRAPARTIDA]]+Tabla43[[#This Row],[TOTAL APORTES ICBF]]</f>
        <v>141532734</v>
      </c>
      <c r="AI221" s="35" t="str">
        <f>+IF(Tabla43[[#This Row],[AGRUPACIONES]]=1,SUMIFS(Tabla43[TOTAL APORTES ICBF],Tabla43[ZONA DEFINITIVO],Tabla43[[#This Row],[ZONA DEFINITIVO]])," ")</f>
        <v xml:space="preserve"> </v>
      </c>
      <c r="AJ221" s="38"/>
      <c r="AK221" s="38"/>
      <c r="AL221" s="23"/>
      <c r="AM221" s="35">
        <f>VLOOKUP(Tabla43[[#This Row],[SERVICIO 2025]],$J$2:$V$16,5,0)*Tabla43[[#This Row],[TOTAL COBERTURA]]</f>
        <v>3106530</v>
      </c>
      <c r="AN221" s="35">
        <f>VLOOKUP(Tabla43[[#This Row],[SERVICIO 2025]],$J$2:$V$16,6,0)*Tabla43[[#This Row],[TOTAL COBERTURA]]</f>
        <v>1371342</v>
      </c>
      <c r="AO221" s="35">
        <f>VLOOKUP(Tabla43[[#This Row],[SERVICIO 2025]],$J$2:$V$16,8,0)*Tabla43[[#This Row],[TOTAL COBERTURA]]</f>
        <v>1222158</v>
      </c>
      <c r="AP221" s="35">
        <f>VLOOKUP(Tabla43[[#This Row],[SERVICIO 2025]],$J$2:$V$16,3,0)*Tabla43[[#This Row],[TOTAL COBERTURA]]*7</f>
        <v>135832704</v>
      </c>
      <c r="AQ221" s="35">
        <f>VLOOKUP(Tabla43[[#This Row],[SERVICIO 2025]],$J$2:$V$16,10,0)*Tabla43[[#This Row],[TOTAL COBERTURA]]*7</f>
        <v>0</v>
      </c>
      <c r="AR22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141532734</v>
      </c>
      <c r="AS221" s="35" t="str">
        <f>+IF(Tabla43[[#This Row],[AGRUPACIONES]]=1,SUMIFS(Tabla43[VALOR TOTAL],Tabla43[ZONA DEFINITIVO],Tabla43[[#This Row],[ZONA DEFINITIVO]])," ")</f>
        <v xml:space="preserve"> </v>
      </c>
      <c r="AT22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23733360</v>
      </c>
      <c r="AU221" s="35">
        <f>VLOOKUP(Tabla43[[#This Row],[SERVICIO 2025]],$J$2:$V$16,3,0)*Tabla43[[#This Row],[TOTAL COBERTURA]]+Tabla43[[#This Row],[VALOR RACION PREPARADA]]/7</f>
        <v>19404672</v>
      </c>
      <c r="AV221" s="35">
        <f>VLOOKUP(Tabla43[[#This Row],[SERVICIO 2025]],$J$2:$V$16,3,0)*Tabla43[[#This Row],[TOTAL COBERTURA]]+Tabla43[[#This Row],[VALOR RACION PREPARADA]]/7</f>
        <v>19404672</v>
      </c>
      <c r="AW221" s="35">
        <f>VLOOKUP(Tabla43[[#This Row],[SERVICIO 2025]],$J$2:$V$16,3,0)*Tabla43[[#This Row],[TOTAL COBERTURA]]+Tabla43[[#This Row],[VALOR RACION PREPARADA]]/7</f>
        <v>19404672</v>
      </c>
      <c r="AX221" s="35">
        <f>VLOOKUP(Tabla43[[#This Row],[SERVICIO 2025]],$J$2:$V$16,3,0)*Tabla43[[#This Row],[TOTAL COBERTURA]]+Tabla43[[#This Row],[VALOR RACION PREPARADA]]/7</f>
        <v>19404672</v>
      </c>
      <c r="AY221" s="35">
        <f>VLOOKUP(Tabla43[[#This Row],[SERVICIO 2025]],$J$2:$V$16,3,0)*Tabla43[[#This Row],[TOTAL COBERTURA]]+Tabla43[[#This Row],[VALOR RACION PREPARADA]]/7</f>
        <v>19404672</v>
      </c>
      <c r="AZ221" s="35">
        <f>VLOOKUP(Tabla43[[#This Row],[SERVICIO 2025]],$J$2:$V$16,3,0)*Tabla43[[#This Row],[TOTAL COBERTURA]]+Tabla43[[#This Row],[VALOR RACION PREPARADA]]/7+Tabla43[[#This Row],[VALOR FASE PREPARATORIA DE CIERRE]]</f>
        <v>20776014</v>
      </c>
      <c r="BA221" s="35"/>
      <c r="BB221" s="35">
        <f>SUM(Tabla43[[#This Row],[DESEMBOLSO 1]:[DESEMBOLSO 8]])</f>
        <v>141532734</v>
      </c>
      <c r="BC221" s="55">
        <f>VLOOKUP(Tabla43[[#This Row],[SERVICIO 2025]],$J$2:$V$16,10,0)*Tabla43[[#This Row],[TOTAL COBERTURA]]*$W$3</f>
        <v>0</v>
      </c>
      <c r="BD221" s="66" t="s">
        <v>145</v>
      </c>
      <c r="BE221" s="12" t="b">
        <f>EXACT(Tabla43[[#This Row],[TOTAL APORTES ICBF]],Tabla43[[#This Row],[VALOR TOTAL]])</f>
        <v>1</v>
      </c>
      <c r="BF221" s="23">
        <f>SUM(Tabla43[[#This Row],[VALOR FASE PREPARATORIA DE ALISTAMIENTO]:[VALOR RACION PREPARADA]])-Tabla43[[#This Row],[VALOR TOTAL]]</f>
        <v>0</v>
      </c>
      <c r="BG221" s="12" t="b">
        <f>EXACT(Tabla43[[#This Row],[VALOR TOTAL]],Tabla43[[#This Row],[TOTAL DESEMBOLSOS]])</f>
        <v>1</v>
      </c>
      <c r="BH221" s="29">
        <f>Tabla43[[#This Row],[TOTAL DESEMBOLSOS]]-Tabla43[[#This Row],[VALOR TOTAL]]</f>
        <v>0</v>
      </c>
      <c r="BJ221" t="s">
        <v>3896</v>
      </c>
    </row>
    <row r="222" spans="1:62" hidden="1">
      <c r="A222" s="75">
        <v>2586</v>
      </c>
      <c r="B222" s="13"/>
      <c r="C222" s="12" t="s">
        <v>3915</v>
      </c>
      <c r="D222" s="49" t="s">
        <v>462</v>
      </c>
      <c r="E222" s="12" t="s">
        <v>1819</v>
      </c>
      <c r="F222" s="74" t="s">
        <v>16</v>
      </c>
      <c r="G222" s="12" t="s">
        <v>90</v>
      </c>
      <c r="H222" s="12"/>
      <c r="I222" s="76">
        <v>54801153407</v>
      </c>
      <c r="J222" s="77" t="s">
        <v>4260</v>
      </c>
      <c r="K222" s="12">
        <v>1</v>
      </c>
      <c r="L222" s="78">
        <v>9</v>
      </c>
      <c r="M222" s="12"/>
      <c r="N222" s="75">
        <v>2586</v>
      </c>
      <c r="O222" s="12" t="s">
        <v>3894</v>
      </c>
      <c r="P222" s="12"/>
      <c r="Q222" s="12"/>
      <c r="R222" s="12" t="s">
        <v>94</v>
      </c>
      <c r="S222" s="12">
        <v>10</v>
      </c>
      <c r="T222" s="12">
        <v>811019041</v>
      </c>
      <c r="U222" s="74" t="s">
        <v>4246</v>
      </c>
      <c r="V222" s="12">
        <f>VLOOKUP(Tabla43[[#This Row],[ZONA DEFINITIVO]],Hoja1!$A$1:$D$129,3,0)</f>
        <v>232290</v>
      </c>
      <c r="W222" s="12">
        <f>VLOOKUP(Tabla43[[#This Row],[ZONA DEFINITIVO]],Hoja1!$A$1:$D$129,2,0)</f>
        <v>18598</v>
      </c>
      <c r="X222" s="12">
        <f>VLOOKUP(Tabla43[[#This Row],[ZONA DEFINITIVO]],Hoja1!$A$1:$D$129,4,0)</f>
        <v>117925</v>
      </c>
      <c r="Y222" s="12" t="str">
        <f>+IF(Tabla43[[#This Row],[AGRUPACIONES]]=1,SUMIFS(Tabla43[UDS],Tabla43[ZONA DEFINITIVO],Tabla43[[#This Row],[ZONA DEFINITIVO]])," ")</f>
        <v xml:space="preserve"> </v>
      </c>
      <c r="Z222" s="12" t="str">
        <f>+IF(Tabla43[[#This Row],[AGRUPACIONES]]=1,SUMIFS(Tabla43[TOTAL COBERTURA],Tabla43[ZONA DEFINITIVO],Tabla43[[#This Row],[ZONA DEFINITIVO]])," ")</f>
        <v xml:space="preserve"> </v>
      </c>
      <c r="AA222" s="12"/>
      <c r="AB222" s="51">
        <v>30328443</v>
      </c>
      <c r="AC222" s="51"/>
      <c r="AD222" s="38">
        <f>Tabla43[[#This Row],[VALOR ATENCIÓN (7 MESES)]]*Tabla43[[#This Row],[% CONTRAPARTIDA]]</f>
        <v>0</v>
      </c>
      <c r="AE222" s="12"/>
      <c r="AF222" s="12">
        <f>COUNTIF($A$22:A222,A222)</f>
        <v>13</v>
      </c>
      <c r="AG222" s="51">
        <v>30328443</v>
      </c>
      <c r="AH222" s="38">
        <f>Tabla43[[#This Row],[VALOR CONTRAPARTIDA]]+Tabla43[[#This Row],[TOTAL APORTES ICBF]]</f>
        <v>30328443</v>
      </c>
      <c r="AI222" s="35" t="str">
        <f>+IF(Tabla43[[#This Row],[AGRUPACIONES]]=1,SUMIFS(Tabla43[TOTAL APORTES ICBF],Tabla43[ZONA DEFINITIVO],Tabla43[[#This Row],[ZONA DEFINITIVO]])," ")</f>
        <v xml:space="preserve"> </v>
      </c>
      <c r="AJ222" s="38"/>
      <c r="AK222" s="38"/>
      <c r="AL222" s="23"/>
      <c r="AM222" s="35">
        <f>VLOOKUP(Tabla43[[#This Row],[SERVICIO 2025]],$J$2:$V$16,5,0)*Tabla43[[#This Row],[TOTAL COBERTURA]]</f>
        <v>665685</v>
      </c>
      <c r="AN222" s="35">
        <f>VLOOKUP(Tabla43[[#This Row],[SERVICIO 2025]],$J$2:$V$16,6,0)*Tabla43[[#This Row],[TOTAL COBERTURA]]</f>
        <v>293859</v>
      </c>
      <c r="AO222" s="35">
        <f>VLOOKUP(Tabla43[[#This Row],[SERVICIO 2025]],$J$2:$V$16,8,0)*Tabla43[[#This Row],[TOTAL COBERTURA]]</f>
        <v>261891</v>
      </c>
      <c r="AP222" s="35">
        <f>VLOOKUP(Tabla43[[#This Row],[SERVICIO 2025]],$J$2:$V$16,3,0)*Tabla43[[#This Row],[TOTAL COBERTURA]]*7</f>
        <v>29107008</v>
      </c>
      <c r="AQ222" s="35">
        <f>VLOOKUP(Tabla43[[#This Row],[SERVICIO 2025]],$J$2:$V$16,10,0)*Tabla43[[#This Row],[TOTAL COBERTURA]]*7</f>
        <v>0</v>
      </c>
      <c r="AR22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30328443</v>
      </c>
      <c r="AS222" s="35" t="str">
        <f>+IF(Tabla43[[#This Row],[AGRUPACIONES]]=1,SUMIFS(Tabla43[VALOR TOTAL],Tabla43[ZONA DEFINITIVO],Tabla43[[#This Row],[ZONA DEFINITIVO]])," ")</f>
        <v xml:space="preserve"> </v>
      </c>
      <c r="AT22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5085720</v>
      </c>
      <c r="AU222" s="35">
        <f>VLOOKUP(Tabla43[[#This Row],[SERVICIO 2025]],$J$2:$V$16,3,0)*Tabla43[[#This Row],[TOTAL COBERTURA]]+Tabla43[[#This Row],[VALOR RACION PREPARADA]]/7</f>
        <v>4158144</v>
      </c>
      <c r="AV222" s="35">
        <f>VLOOKUP(Tabla43[[#This Row],[SERVICIO 2025]],$J$2:$V$16,3,0)*Tabla43[[#This Row],[TOTAL COBERTURA]]+Tabla43[[#This Row],[VALOR RACION PREPARADA]]/7</f>
        <v>4158144</v>
      </c>
      <c r="AW222" s="35">
        <f>VLOOKUP(Tabla43[[#This Row],[SERVICIO 2025]],$J$2:$V$16,3,0)*Tabla43[[#This Row],[TOTAL COBERTURA]]+Tabla43[[#This Row],[VALOR RACION PREPARADA]]/7</f>
        <v>4158144</v>
      </c>
      <c r="AX222" s="35">
        <f>VLOOKUP(Tabla43[[#This Row],[SERVICIO 2025]],$J$2:$V$16,3,0)*Tabla43[[#This Row],[TOTAL COBERTURA]]+Tabla43[[#This Row],[VALOR RACION PREPARADA]]/7</f>
        <v>4158144</v>
      </c>
      <c r="AY222" s="35">
        <f>VLOOKUP(Tabla43[[#This Row],[SERVICIO 2025]],$J$2:$V$16,3,0)*Tabla43[[#This Row],[TOTAL COBERTURA]]+Tabla43[[#This Row],[VALOR RACION PREPARADA]]/7</f>
        <v>4158144</v>
      </c>
      <c r="AZ222" s="35">
        <f>VLOOKUP(Tabla43[[#This Row],[SERVICIO 2025]],$J$2:$V$16,3,0)*Tabla43[[#This Row],[TOTAL COBERTURA]]+Tabla43[[#This Row],[VALOR RACION PREPARADA]]/7+Tabla43[[#This Row],[VALOR FASE PREPARATORIA DE CIERRE]]</f>
        <v>4452003</v>
      </c>
      <c r="BA222" s="35"/>
      <c r="BB222" s="35">
        <f>SUM(Tabla43[[#This Row],[DESEMBOLSO 1]:[DESEMBOLSO 8]])</f>
        <v>30328443</v>
      </c>
      <c r="BC222" s="55">
        <f>VLOOKUP(Tabla43[[#This Row],[SERVICIO 2025]],$J$2:$V$16,10,0)*Tabla43[[#This Row],[TOTAL COBERTURA]]*$W$3</f>
        <v>0</v>
      </c>
      <c r="BD222" s="66" t="s">
        <v>145</v>
      </c>
      <c r="BE222" s="12" t="b">
        <f>EXACT(Tabla43[[#This Row],[TOTAL APORTES ICBF]],Tabla43[[#This Row],[VALOR TOTAL]])</f>
        <v>1</v>
      </c>
      <c r="BF222" s="23">
        <f>SUM(Tabla43[[#This Row],[VALOR FASE PREPARATORIA DE ALISTAMIENTO]:[VALOR RACION PREPARADA]])-Tabla43[[#This Row],[VALOR TOTAL]]</f>
        <v>0</v>
      </c>
      <c r="BG222" s="12" t="b">
        <f>EXACT(Tabla43[[#This Row],[VALOR TOTAL]],Tabla43[[#This Row],[TOTAL DESEMBOLSOS]])</f>
        <v>1</v>
      </c>
      <c r="BH222" s="29">
        <f>Tabla43[[#This Row],[TOTAL DESEMBOLSOS]]-Tabla43[[#This Row],[VALOR TOTAL]]</f>
        <v>0</v>
      </c>
      <c r="BJ222" t="s">
        <v>3896</v>
      </c>
    </row>
    <row r="223" spans="1:62" hidden="1">
      <c r="A223" s="75">
        <v>2586</v>
      </c>
      <c r="B223" s="13"/>
      <c r="C223" s="12" t="s">
        <v>3915</v>
      </c>
      <c r="D223" s="49" t="s">
        <v>462</v>
      </c>
      <c r="E223" s="12" t="s">
        <v>1819</v>
      </c>
      <c r="F223" s="74" t="s">
        <v>16</v>
      </c>
      <c r="G223" s="12" t="s">
        <v>90</v>
      </c>
      <c r="H223" s="12"/>
      <c r="I223" s="76">
        <v>54801155781</v>
      </c>
      <c r="J223" s="77" t="s">
        <v>4261</v>
      </c>
      <c r="K223" s="12">
        <v>1</v>
      </c>
      <c r="L223" s="78">
        <v>15</v>
      </c>
      <c r="M223" s="12"/>
      <c r="N223" s="75">
        <v>2586</v>
      </c>
      <c r="O223" s="12" t="s">
        <v>3894</v>
      </c>
      <c r="P223" s="12"/>
      <c r="Q223" s="12"/>
      <c r="R223" s="12" t="s">
        <v>94</v>
      </c>
      <c r="S223" s="12">
        <v>10</v>
      </c>
      <c r="T223" s="12">
        <v>811019041</v>
      </c>
      <c r="U223" s="74" t="s">
        <v>4246</v>
      </c>
      <c r="V223" s="12">
        <f>VLOOKUP(Tabla43[[#This Row],[ZONA DEFINITIVO]],Hoja1!$A$1:$D$129,3,0)</f>
        <v>232290</v>
      </c>
      <c r="W223" s="12">
        <f>VLOOKUP(Tabla43[[#This Row],[ZONA DEFINITIVO]],Hoja1!$A$1:$D$129,2,0)</f>
        <v>18598</v>
      </c>
      <c r="X223" s="12">
        <f>VLOOKUP(Tabla43[[#This Row],[ZONA DEFINITIVO]],Hoja1!$A$1:$D$129,4,0)</f>
        <v>117925</v>
      </c>
      <c r="Y223" s="12" t="str">
        <f>+IF(Tabla43[[#This Row],[AGRUPACIONES]]=1,SUMIFS(Tabla43[UDS],Tabla43[ZONA DEFINITIVO],Tabla43[[#This Row],[ZONA DEFINITIVO]])," ")</f>
        <v xml:space="preserve"> </v>
      </c>
      <c r="Z223" s="12" t="str">
        <f>+IF(Tabla43[[#This Row],[AGRUPACIONES]]=1,SUMIFS(Tabla43[TOTAL COBERTURA],Tabla43[ZONA DEFINITIVO],Tabla43[[#This Row],[ZONA DEFINITIVO]])," ")</f>
        <v xml:space="preserve"> </v>
      </c>
      <c r="AA223" s="12"/>
      <c r="AB223" s="51">
        <v>50547405</v>
      </c>
      <c r="AC223" s="51"/>
      <c r="AD223" s="38">
        <f>Tabla43[[#This Row],[VALOR ATENCIÓN (7 MESES)]]*Tabla43[[#This Row],[% CONTRAPARTIDA]]</f>
        <v>0</v>
      </c>
      <c r="AE223" s="12"/>
      <c r="AF223" s="12">
        <f>COUNTIF($A$22:A223,A223)</f>
        <v>14</v>
      </c>
      <c r="AG223" s="51">
        <v>50547405</v>
      </c>
      <c r="AH223" s="38">
        <f>Tabla43[[#This Row],[VALOR CONTRAPARTIDA]]+Tabla43[[#This Row],[TOTAL APORTES ICBF]]</f>
        <v>50547405</v>
      </c>
      <c r="AI223" s="35" t="str">
        <f>+IF(Tabla43[[#This Row],[AGRUPACIONES]]=1,SUMIFS(Tabla43[TOTAL APORTES ICBF],Tabla43[ZONA DEFINITIVO],Tabla43[[#This Row],[ZONA DEFINITIVO]])," ")</f>
        <v xml:space="preserve"> </v>
      </c>
      <c r="AJ223" s="38"/>
      <c r="AK223" s="38"/>
      <c r="AL223" s="23"/>
      <c r="AM223" s="35">
        <f>VLOOKUP(Tabla43[[#This Row],[SERVICIO 2025]],$J$2:$V$16,5,0)*Tabla43[[#This Row],[TOTAL COBERTURA]]</f>
        <v>1109475</v>
      </c>
      <c r="AN223" s="35">
        <f>VLOOKUP(Tabla43[[#This Row],[SERVICIO 2025]],$J$2:$V$16,6,0)*Tabla43[[#This Row],[TOTAL COBERTURA]]</f>
        <v>489765</v>
      </c>
      <c r="AO223" s="35">
        <f>VLOOKUP(Tabla43[[#This Row],[SERVICIO 2025]],$J$2:$V$16,8,0)*Tabla43[[#This Row],[TOTAL COBERTURA]]</f>
        <v>436485</v>
      </c>
      <c r="AP223" s="35">
        <f>VLOOKUP(Tabla43[[#This Row],[SERVICIO 2025]],$J$2:$V$16,3,0)*Tabla43[[#This Row],[TOTAL COBERTURA]]*7</f>
        <v>48511680</v>
      </c>
      <c r="AQ223" s="35">
        <f>VLOOKUP(Tabla43[[#This Row],[SERVICIO 2025]],$J$2:$V$16,10,0)*Tabla43[[#This Row],[TOTAL COBERTURA]]*7</f>
        <v>0</v>
      </c>
      <c r="AR22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50547405</v>
      </c>
      <c r="AS223" s="35" t="str">
        <f>+IF(Tabla43[[#This Row],[AGRUPACIONES]]=1,SUMIFS(Tabla43[VALOR TOTAL],Tabla43[ZONA DEFINITIVO],Tabla43[[#This Row],[ZONA DEFINITIVO]])," ")</f>
        <v xml:space="preserve"> </v>
      </c>
      <c r="AT22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8476200</v>
      </c>
      <c r="AU223" s="35">
        <f>VLOOKUP(Tabla43[[#This Row],[SERVICIO 2025]],$J$2:$V$16,3,0)*Tabla43[[#This Row],[TOTAL COBERTURA]]+Tabla43[[#This Row],[VALOR RACION PREPARADA]]/7</f>
        <v>6930240</v>
      </c>
      <c r="AV223" s="35">
        <f>VLOOKUP(Tabla43[[#This Row],[SERVICIO 2025]],$J$2:$V$16,3,0)*Tabla43[[#This Row],[TOTAL COBERTURA]]+Tabla43[[#This Row],[VALOR RACION PREPARADA]]/7</f>
        <v>6930240</v>
      </c>
      <c r="AW223" s="35">
        <f>VLOOKUP(Tabla43[[#This Row],[SERVICIO 2025]],$J$2:$V$16,3,0)*Tabla43[[#This Row],[TOTAL COBERTURA]]+Tabla43[[#This Row],[VALOR RACION PREPARADA]]/7</f>
        <v>6930240</v>
      </c>
      <c r="AX223" s="35">
        <f>VLOOKUP(Tabla43[[#This Row],[SERVICIO 2025]],$J$2:$V$16,3,0)*Tabla43[[#This Row],[TOTAL COBERTURA]]+Tabla43[[#This Row],[VALOR RACION PREPARADA]]/7</f>
        <v>6930240</v>
      </c>
      <c r="AY223" s="35">
        <f>VLOOKUP(Tabla43[[#This Row],[SERVICIO 2025]],$J$2:$V$16,3,0)*Tabla43[[#This Row],[TOTAL COBERTURA]]+Tabla43[[#This Row],[VALOR RACION PREPARADA]]/7</f>
        <v>6930240</v>
      </c>
      <c r="AZ223" s="35">
        <f>VLOOKUP(Tabla43[[#This Row],[SERVICIO 2025]],$J$2:$V$16,3,0)*Tabla43[[#This Row],[TOTAL COBERTURA]]+Tabla43[[#This Row],[VALOR RACION PREPARADA]]/7+Tabla43[[#This Row],[VALOR FASE PREPARATORIA DE CIERRE]]</f>
        <v>7420005</v>
      </c>
      <c r="BA223" s="35"/>
      <c r="BB223" s="35">
        <f>SUM(Tabla43[[#This Row],[DESEMBOLSO 1]:[DESEMBOLSO 8]])</f>
        <v>50547405</v>
      </c>
      <c r="BC223" s="55">
        <f>VLOOKUP(Tabla43[[#This Row],[SERVICIO 2025]],$J$2:$V$16,10,0)*Tabla43[[#This Row],[TOTAL COBERTURA]]*$W$3</f>
        <v>0</v>
      </c>
      <c r="BD223" s="66" t="s">
        <v>145</v>
      </c>
      <c r="BE223" s="12" t="b">
        <f>EXACT(Tabla43[[#This Row],[TOTAL APORTES ICBF]],Tabla43[[#This Row],[VALOR TOTAL]])</f>
        <v>1</v>
      </c>
      <c r="BF223" s="23">
        <f>SUM(Tabla43[[#This Row],[VALOR FASE PREPARATORIA DE ALISTAMIENTO]:[VALOR RACION PREPARADA]])-Tabla43[[#This Row],[VALOR TOTAL]]</f>
        <v>0</v>
      </c>
      <c r="BG223" s="12" t="b">
        <f>EXACT(Tabla43[[#This Row],[VALOR TOTAL]],Tabla43[[#This Row],[TOTAL DESEMBOLSOS]])</f>
        <v>1</v>
      </c>
      <c r="BH223" s="29">
        <f>Tabla43[[#This Row],[TOTAL DESEMBOLSOS]]-Tabla43[[#This Row],[VALOR TOTAL]]</f>
        <v>0</v>
      </c>
      <c r="BJ223" t="s">
        <v>3896</v>
      </c>
    </row>
    <row r="224" spans="1:62" hidden="1">
      <c r="A224" s="75">
        <v>2586</v>
      </c>
      <c r="B224" s="13"/>
      <c r="C224" s="12" t="s">
        <v>3915</v>
      </c>
      <c r="D224" s="49" t="s">
        <v>462</v>
      </c>
      <c r="E224" s="12" t="s">
        <v>1819</v>
      </c>
      <c r="F224" s="74" t="s">
        <v>16</v>
      </c>
      <c r="G224" s="12" t="s">
        <v>90</v>
      </c>
      <c r="H224" s="12"/>
      <c r="I224" s="76">
        <v>54801155782</v>
      </c>
      <c r="J224" s="77" t="s">
        <v>4262</v>
      </c>
      <c r="K224" s="12">
        <v>1</v>
      </c>
      <c r="L224" s="78">
        <v>20</v>
      </c>
      <c r="M224" s="12"/>
      <c r="N224" s="75">
        <v>2586</v>
      </c>
      <c r="O224" s="12" t="s">
        <v>3894</v>
      </c>
      <c r="P224" s="12"/>
      <c r="Q224" s="12"/>
      <c r="R224" s="12" t="s">
        <v>94</v>
      </c>
      <c r="S224" s="12">
        <v>10</v>
      </c>
      <c r="T224" s="12">
        <v>811019041</v>
      </c>
      <c r="U224" s="74" t="s">
        <v>4246</v>
      </c>
      <c r="V224" s="12">
        <f>VLOOKUP(Tabla43[[#This Row],[ZONA DEFINITIVO]],Hoja1!$A$1:$D$129,3,0)</f>
        <v>232290</v>
      </c>
      <c r="W224" s="12">
        <f>VLOOKUP(Tabla43[[#This Row],[ZONA DEFINITIVO]],Hoja1!$A$1:$D$129,2,0)</f>
        <v>18598</v>
      </c>
      <c r="X224" s="12">
        <f>VLOOKUP(Tabla43[[#This Row],[ZONA DEFINITIVO]],Hoja1!$A$1:$D$129,4,0)</f>
        <v>117925</v>
      </c>
      <c r="Y224" s="12" t="str">
        <f>+IF(Tabla43[[#This Row],[AGRUPACIONES]]=1,SUMIFS(Tabla43[UDS],Tabla43[ZONA DEFINITIVO],Tabla43[[#This Row],[ZONA DEFINITIVO]])," ")</f>
        <v xml:space="preserve"> </v>
      </c>
      <c r="Z224" s="12" t="str">
        <f>+IF(Tabla43[[#This Row],[AGRUPACIONES]]=1,SUMIFS(Tabla43[TOTAL COBERTURA],Tabla43[ZONA DEFINITIVO],Tabla43[[#This Row],[ZONA DEFINITIVO]])," ")</f>
        <v xml:space="preserve"> </v>
      </c>
      <c r="AA224" s="12"/>
      <c r="AB224" s="51">
        <v>67396540</v>
      </c>
      <c r="AC224" s="51"/>
      <c r="AD224" s="38">
        <f>Tabla43[[#This Row],[VALOR ATENCIÓN (7 MESES)]]*Tabla43[[#This Row],[% CONTRAPARTIDA]]</f>
        <v>0</v>
      </c>
      <c r="AE224" s="12"/>
      <c r="AF224" s="12">
        <f>COUNTIF($A$22:A224,A224)</f>
        <v>15</v>
      </c>
      <c r="AG224" s="51">
        <v>67396540</v>
      </c>
      <c r="AH224" s="38">
        <f>Tabla43[[#This Row],[VALOR CONTRAPARTIDA]]+Tabla43[[#This Row],[TOTAL APORTES ICBF]]</f>
        <v>67396540</v>
      </c>
      <c r="AI224" s="35" t="str">
        <f>+IF(Tabla43[[#This Row],[AGRUPACIONES]]=1,SUMIFS(Tabla43[TOTAL APORTES ICBF],Tabla43[ZONA DEFINITIVO],Tabla43[[#This Row],[ZONA DEFINITIVO]])," ")</f>
        <v xml:space="preserve"> </v>
      </c>
      <c r="AJ224" s="38"/>
      <c r="AK224" s="38"/>
      <c r="AL224" s="23"/>
      <c r="AM224" s="35">
        <f>VLOOKUP(Tabla43[[#This Row],[SERVICIO 2025]],$J$2:$V$16,5,0)*Tabla43[[#This Row],[TOTAL COBERTURA]]</f>
        <v>1479300</v>
      </c>
      <c r="AN224" s="35">
        <f>VLOOKUP(Tabla43[[#This Row],[SERVICIO 2025]],$J$2:$V$16,6,0)*Tabla43[[#This Row],[TOTAL COBERTURA]]</f>
        <v>653020</v>
      </c>
      <c r="AO224" s="35">
        <f>VLOOKUP(Tabla43[[#This Row],[SERVICIO 2025]],$J$2:$V$16,8,0)*Tabla43[[#This Row],[TOTAL COBERTURA]]</f>
        <v>581980</v>
      </c>
      <c r="AP224" s="35">
        <f>VLOOKUP(Tabla43[[#This Row],[SERVICIO 2025]],$J$2:$V$16,3,0)*Tabla43[[#This Row],[TOTAL COBERTURA]]*7</f>
        <v>64682240</v>
      </c>
      <c r="AQ224" s="35">
        <f>VLOOKUP(Tabla43[[#This Row],[SERVICIO 2025]],$J$2:$V$16,10,0)*Tabla43[[#This Row],[TOTAL COBERTURA]]*7</f>
        <v>0</v>
      </c>
      <c r="AR22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67396540</v>
      </c>
      <c r="AS224" s="35" t="str">
        <f>+IF(Tabla43[[#This Row],[AGRUPACIONES]]=1,SUMIFS(Tabla43[VALOR TOTAL],Tabla43[ZONA DEFINITIVO],Tabla43[[#This Row],[ZONA DEFINITIVO]])," ")</f>
        <v xml:space="preserve"> </v>
      </c>
      <c r="AT22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11301600</v>
      </c>
      <c r="AU224" s="35">
        <f>VLOOKUP(Tabla43[[#This Row],[SERVICIO 2025]],$J$2:$V$16,3,0)*Tabla43[[#This Row],[TOTAL COBERTURA]]+Tabla43[[#This Row],[VALOR RACION PREPARADA]]/7</f>
        <v>9240320</v>
      </c>
      <c r="AV224" s="35">
        <f>VLOOKUP(Tabla43[[#This Row],[SERVICIO 2025]],$J$2:$V$16,3,0)*Tabla43[[#This Row],[TOTAL COBERTURA]]+Tabla43[[#This Row],[VALOR RACION PREPARADA]]/7</f>
        <v>9240320</v>
      </c>
      <c r="AW224" s="35">
        <f>VLOOKUP(Tabla43[[#This Row],[SERVICIO 2025]],$J$2:$V$16,3,0)*Tabla43[[#This Row],[TOTAL COBERTURA]]+Tabla43[[#This Row],[VALOR RACION PREPARADA]]/7</f>
        <v>9240320</v>
      </c>
      <c r="AX224" s="35">
        <f>VLOOKUP(Tabla43[[#This Row],[SERVICIO 2025]],$J$2:$V$16,3,0)*Tabla43[[#This Row],[TOTAL COBERTURA]]+Tabla43[[#This Row],[VALOR RACION PREPARADA]]/7</f>
        <v>9240320</v>
      </c>
      <c r="AY224" s="35">
        <f>VLOOKUP(Tabla43[[#This Row],[SERVICIO 2025]],$J$2:$V$16,3,0)*Tabla43[[#This Row],[TOTAL COBERTURA]]+Tabla43[[#This Row],[VALOR RACION PREPARADA]]/7</f>
        <v>9240320</v>
      </c>
      <c r="AZ224" s="35">
        <f>VLOOKUP(Tabla43[[#This Row],[SERVICIO 2025]],$J$2:$V$16,3,0)*Tabla43[[#This Row],[TOTAL COBERTURA]]+Tabla43[[#This Row],[VALOR RACION PREPARADA]]/7+Tabla43[[#This Row],[VALOR FASE PREPARATORIA DE CIERRE]]</f>
        <v>9893340</v>
      </c>
      <c r="BA224" s="35"/>
      <c r="BB224" s="35">
        <f>SUM(Tabla43[[#This Row],[DESEMBOLSO 1]:[DESEMBOLSO 8]])</f>
        <v>67396540</v>
      </c>
      <c r="BC224" s="55">
        <f>VLOOKUP(Tabla43[[#This Row],[SERVICIO 2025]],$J$2:$V$16,10,0)*Tabla43[[#This Row],[TOTAL COBERTURA]]*$W$3</f>
        <v>0</v>
      </c>
      <c r="BD224" s="66" t="s">
        <v>145</v>
      </c>
      <c r="BE224" s="12" t="b">
        <f>EXACT(Tabla43[[#This Row],[TOTAL APORTES ICBF]],Tabla43[[#This Row],[VALOR TOTAL]])</f>
        <v>1</v>
      </c>
      <c r="BF224" s="23">
        <f>SUM(Tabla43[[#This Row],[VALOR FASE PREPARATORIA DE ALISTAMIENTO]:[VALOR RACION PREPARADA]])-Tabla43[[#This Row],[VALOR TOTAL]]</f>
        <v>0</v>
      </c>
      <c r="BG224" s="12" t="b">
        <f>EXACT(Tabla43[[#This Row],[VALOR TOTAL]],Tabla43[[#This Row],[TOTAL DESEMBOLSOS]])</f>
        <v>1</v>
      </c>
      <c r="BH224" s="29">
        <f>Tabla43[[#This Row],[TOTAL DESEMBOLSOS]]-Tabla43[[#This Row],[VALOR TOTAL]]</f>
        <v>0</v>
      </c>
      <c r="BJ224" t="s">
        <v>3896</v>
      </c>
    </row>
    <row r="225" spans="1:62" s="68" customFormat="1" hidden="1">
      <c r="A225" s="69" t="s">
        <v>4263</v>
      </c>
      <c r="B225" s="57"/>
      <c r="C225" s="58" t="s">
        <v>87</v>
      </c>
      <c r="D225" s="58" t="s">
        <v>462</v>
      </c>
      <c r="E225" s="58" t="s">
        <v>3891</v>
      </c>
      <c r="F225" s="58" t="s">
        <v>16</v>
      </c>
      <c r="G225" s="58" t="s">
        <v>90</v>
      </c>
      <c r="H225" s="58" t="s">
        <v>4264</v>
      </c>
      <c r="I225" s="58">
        <v>58731118918</v>
      </c>
      <c r="J225" s="58" t="s">
        <v>4265</v>
      </c>
      <c r="K225" s="58">
        <v>1</v>
      </c>
      <c r="L225" s="58">
        <v>31</v>
      </c>
      <c r="M225" s="58"/>
      <c r="N225" s="69" t="s">
        <v>4263</v>
      </c>
      <c r="O225" s="58" t="s">
        <v>93</v>
      </c>
      <c r="P225" s="58"/>
      <c r="Q225" s="58"/>
      <c r="R225" s="58" t="s">
        <v>94</v>
      </c>
      <c r="S225" s="58">
        <v>10</v>
      </c>
      <c r="T225" s="58" t="s">
        <v>2502</v>
      </c>
      <c r="U225" s="58" t="s">
        <v>2503</v>
      </c>
      <c r="V225" s="58">
        <f>VLOOKUP(Tabla43[[#This Row],[ZONA DEFINITIVO]],Hoja1!$A$1:$D$129,3,0)</f>
        <v>232288</v>
      </c>
      <c r="W225" s="58">
        <f>VLOOKUP(Tabla43[[#This Row],[ZONA DEFINITIVO]],Hoja1!$A$1:$D$129,2,0)</f>
        <v>18593</v>
      </c>
      <c r="X225" s="58">
        <f>VLOOKUP(Tabla43[[#This Row],[ZONA DEFINITIVO]],Hoja1!$A$1:$D$129,4,0)</f>
        <v>117525</v>
      </c>
      <c r="Y225" s="58">
        <f>+IF(Tabla43[[#This Row],[AGRUPACIONES]]=1,SUMIFS(Tabla43[UDS],Tabla43[ZONA DEFINITIVO],Tabla43[[#This Row],[ZONA DEFINITIVO]])," ")</f>
        <v>8</v>
      </c>
      <c r="Z225" s="58">
        <f>+IF(Tabla43[[#This Row],[AGRUPACIONES]]=1,SUMIFS(Tabla43[TOTAL COBERTURA],Tabla43[ZONA DEFINITIVO],Tabla43[[#This Row],[ZONA DEFINITIVO]])," ")</f>
        <v>195</v>
      </c>
      <c r="AA225" s="58"/>
      <c r="AB225" s="53">
        <v>104464637</v>
      </c>
      <c r="AC225" s="79">
        <v>0.02</v>
      </c>
      <c r="AD225" s="54">
        <f>Tabla43[[#This Row],[VALOR ATENCIÓN (7 MESES)]]*Tabla43[[#This Row],[% CONTRAPARTIDA]]</f>
        <v>2089292.74</v>
      </c>
      <c r="AE225" s="58"/>
      <c r="AF225" s="58">
        <f>COUNTIF($A$22:A225,A225)</f>
        <v>1</v>
      </c>
      <c r="AG225" s="53">
        <v>104464637</v>
      </c>
      <c r="AH225" s="54">
        <f>Tabla43[[#This Row],[VALOR CONTRAPARTIDA]]+Tabla43[[#This Row],[TOTAL APORTES ICBF]]</f>
        <v>106553929.73999999</v>
      </c>
      <c r="AI225" s="55">
        <f>+IF(Tabla43[[#This Row],[AGRUPACIONES]]=1,SUMIFS(Tabla43[TOTAL APORTES ICBF],Tabla43[ZONA DEFINITIVO],Tabla43[[#This Row],[ZONA DEFINITIVO]])," ")</f>
        <v>657116265</v>
      </c>
      <c r="AJ225" s="54">
        <f>ROUND(+IF(Tabla43[[#This Row],[AGRUPACIONES]]=1,SUMIFS(Tabla43[VALOR CONTRAPARTIDA],Tabla43[ZONA DEFINITIVO],Tabla43[[#This Row],[ZONA DEFINITIVO]])," "),0)</f>
        <v>13142325</v>
      </c>
      <c r="AK225" s="54">
        <f>Tabla43[[#This Row],[TOTAL APORTES ICBF AGRUPADO]]+Tabla43[[#This Row],[TOTAL CONTRAPARTIDA AGRUPADO]]</f>
        <v>670258590</v>
      </c>
      <c r="AL225" s="64">
        <f>Tabla43[[#This Row],[TOTAL APORTES ICBF AGRUPADO]]/$AL$20</f>
        <v>461.62013698630136</v>
      </c>
      <c r="AM225" s="55">
        <f>VLOOKUP(Tabla43[[#This Row],[SERVICIO 2025]],$J$2:$V$16,5,0)*Tabla43[[#This Row],[TOTAL COBERTURA]]</f>
        <v>2292915</v>
      </c>
      <c r="AN225" s="55">
        <f>VLOOKUP(Tabla43[[#This Row],[SERVICIO 2025]],$J$2:$V$16,6,0)*Tabla43[[#This Row],[TOTAL COBERTURA]]</f>
        <v>1012181</v>
      </c>
      <c r="AO225" s="55">
        <f>VLOOKUP(Tabla43[[#This Row],[SERVICIO 2025]],$J$2:$V$16,8,0)*Tabla43[[#This Row],[TOTAL COBERTURA]]</f>
        <v>902069</v>
      </c>
      <c r="AP225" s="55">
        <f>VLOOKUP(Tabla43[[#This Row],[SERVICIO 2025]],$J$2:$V$16,3,0)*Tabla43[[#This Row],[TOTAL COBERTURA]]*7</f>
        <v>100257472</v>
      </c>
      <c r="AQ225" s="55">
        <f>VLOOKUP(Tabla43[[#This Row],[SERVICIO 2025]],$J$2:$V$16,10,0)*Tabla43[[#This Row],[TOTAL COBERTURA]]*7</f>
        <v>0</v>
      </c>
      <c r="AR225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104464637</v>
      </c>
      <c r="AS225" s="55">
        <f>+IF(Tabla43[[#This Row],[AGRUPACIONES]]=1,SUMIFS(Tabla43[VALOR TOTAL],Tabla43[ZONA DEFINITIVO],Tabla43[[#This Row],[ZONA DEFINITIVO]])," ")</f>
        <v>657116265</v>
      </c>
      <c r="AT225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17517480</v>
      </c>
      <c r="AU225" s="55">
        <f>VLOOKUP(Tabla43[[#This Row],[SERVICIO 2025]],$J$2:$V$16,3,0)*Tabla43[[#This Row],[TOTAL COBERTURA]]+Tabla43[[#This Row],[VALOR RACION PREPARADA]]/7</f>
        <v>14322496</v>
      </c>
      <c r="AV225" s="55">
        <f>VLOOKUP(Tabla43[[#This Row],[SERVICIO 2025]],$J$2:$V$16,3,0)*Tabla43[[#This Row],[TOTAL COBERTURA]]+Tabla43[[#This Row],[VALOR RACION PREPARADA]]/7</f>
        <v>14322496</v>
      </c>
      <c r="AW225" s="55">
        <f>VLOOKUP(Tabla43[[#This Row],[SERVICIO 2025]],$J$2:$V$16,3,0)*Tabla43[[#This Row],[TOTAL COBERTURA]]+Tabla43[[#This Row],[VALOR RACION PREPARADA]]/7</f>
        <v>14322496</v>
      </c>
      <c r="AX225" s="55">
        <f>VLOOKUP(Tabla43[[#This Row],[SERVICIO 2025]],$J$2:$V$16,3,0)*Tabla43[[#This Row],[TOTAL COBERTURA]]+Tabla43[[#This Row],[VALOR RACION PREPARADA]]/7</f>
        <v>14322496</v>
      </c>
      <c r="AY225" s="55">
        <f>VLOOKUP(Tabla43[[#This Row],[SERVICIO 2025]],$J$2:$V$16,3,0)*Tabla43[[#This Row],[TOTAL COBERTURA]]+Tabla43[[#This Row],[VALOR RACION PREPARADA]]/7</f>
        <v>14322496</v>
      </c>
      <c r="AZ225" s="55">
        <f>VLOOKUP(Tabla43[[#This Row],[SERVICIO 2025]],$J$2:$V$16,3,0)*Tabla43[[#This Row],[TOTAL COBERTURA]]+Tabla43[[#This Row],[VALOR RACION PREPARADA]]/7+Tabla43[[#This Row],[VALOR FASE PREPARATORIA DE CIERRE]]</f>
        <v>15334677</v>
      </c>
      <c r="BA225" s="55"/>
      <c r="BB225" s="55">
        <f>SUM(Tabla43[[#This Row],[DESEMBOLSO 1]:[DESEMBOLSO 8]])</f>
        <v>104464637</v>
      </c>
      <c r="BC225" s="55">
        <f>VLOOKUP(Tabla43[[#This Row],[SERVICIO 2025]],$J$2:$V$16,10,0)*Tabla43[[#This Row],[TOTAL COBERTURA]]*$W$3</f>
        <v>0</v>
      </c>
      <c r="BD225" s="66" t="s">
        <v>145</v>
      </c>
      <c r="BE225" s="58" t="b">
        <f>EXACT(Tabla43[[#This Row],[TOTAL APORTES ICBF]],Tabla43[[#This Row],[VALOR TOTAL]])</f>
        <v>1</v>
      </c>
      <c r="BF225" s="64">
        <f>SUM(Tabla43[[#This Row],[VALOR FASE PREPARATORIA DE ALISTAMIENTO]:[VALOR RACION PREPARADA]])-Tabla43[[#This Row],[VALOR TOTAL]]</f>
        <v>0</v>
      </c>
      <c r="BG225" s="58" t="b">
        <f>EXACT(Tabla43[[#This Row],[VALOR TOTAL]],Tabla43[[#This Row],[TOTAL DESEMBOLSOS]])</f>
        <v>1</v>
      </c>
      <c r="BH225" s="67">
        <f>Tabla43[[#This Row],[TOTAL DESEMBOLSOS]]-Tabla43[[#This Row],[VALOR TOTAL]]</f>
        <v>0</v>
      </c>
      <c r="BJ225" s="68" t="s">
        <v>3924</v>
      </c>
    </row>
    <row r="226" spans="1:62" s="68" customFormat="1" hidden="1">
      <c r="A226" s="69" t="s">
        <v>4263</v>
      </c>
      <c r="B226" s="57"/>
      <c r="C226" s="58" t="s">
        <v>87</v>
      </c>
      <c r="D226" s="58" t="s">
        <v>462</v>
      </c>
      <c r="E226" s="58" t="s">
        <v>3891</v>
      </c>
      <c r="F226" s="58" t="s">
        <v>16</v>
      </c>
      <c r="G226" s="58" t="s">
        <v>90</v>
      </c>
      <c r="H226" s="58" t="s">
        <v>4266</v>
      </c>
      <c r="I226" s="58">
        <v>58731118920</v>
      </c>
      <c r="J226" s="58" t="s">
        <v>4267</v>
      </c>
      <c r="K226" s="58">
        <v>1</v>
      </c>
      <c r="L226" s="58">
        <v>28</v>
      </c>
      <c r="M226" s="58"/>
      <c r="N226" s="69" t="s">
        <v>4263</v>
      </c>
      <c r="O226" s="58" t="s">
        <v>93</v>
      </c>
      <c r="P226" s="58"/>
      <c r="Q226" s="58"/>
      <c r="R226" s="58" t="s">
        <v>94</v>
      </c>
      <c r="S226" s="58">
        <v>10</v>
      </c>
      <c r="T226" s="58" t="s">
        <v>2502</v>
      </c>
      <c r="U226" s="58" t="s">
        <v>2503</v>
      </c>
      <c r="V226" s="58">
        <f>VLOOKUP(Tabla43[[#This Row],[ZONA DEFINITIVO]],Hoja1!$A$1:$D$129,3,0)</f>
        <v>232288</v>
      </c>
      <c r="W226" s="58">
        <f>VLOOKUP(Tabla43[[#This Row],[ZONA DEFINITIVO]],Hoja1!$A$1:$D$129,2,0)</f>
        <v>18593</v>
      </c>
      <c r="X226" s="58">
        <f>VLOOKUP(Tabla43[[#This Row],[ZONA DEFINITIVO]],Hoja1!$A$1:$D$129,4,0)</f>
        <v>117525</v>
      </c>
      <c r="Y226" s="58" t="str">
        <f>+IF(Tabla43[[#This Row],[AGRUPACIONES]]=1,SUMIFS(Tabla43[UDS],Tabla43[ZONA DEFINITIVO],Tabla43[[#This Row],[ZONA DEFINITIVO]])," ")</f>
        <v xml:space="preserve"> </v>
      </c>
      <c r="Z226" s="58" t="str">
        <f>+IF(Tabla43[[#This Row],[AGRUPACIONES]]=1,SUMIFS(Tabla43[TOTAL COBERTURA],Tabla43[ZONA DEFINITIVO],Tabla43[[#This Row],[ZONA DEFINITIVO]])," ")</f>
        <v xml:space="preserve"> </v>
      </c>
      <c r="AA226" s="58"/>
      <c r="AB226" s="53">
        <v>94355156</v>
      </c>
      <c r="AC226" s="79">
        <v>0.02</v>
      </c>
      <c r="AD226" s="54">
        <f>Tabla43[[#This Row],[VALOR ATENCIÓN (7 MESES)]]*Tabla43[[#This Row],[% CONTRAPARTIDA]]</f>
        <v>1887103.12</v>
      </c>
      <c r="AE226" s="58"/>
      <c r="AF226" s="58">
        <f>COUNTIF($A$22:A226,A226)</f>
        <v>2</v>
      </c>
      <c r="AG226" s="53">
        <v>94355156</v>
      </c>
      <c r="AH226" s="54">
        <f>Tabla43[[#This Row],[VALOR CONTRAPARTIDA]]+Tabla43[[#This Row],[TOTAL APORTES ICBF]]</f>
        <v>96242259.120000005</v>
      </c>
      <c r="AI226" s="55" t="str">
        <f>+IF(Tabla43[[#This Row],[AGRUPACIONES]]=1,SUMIFS(Tabla43[TOTAL APORTES ICBF],Tabla43[ZONA DEFINITIVO],Tabla43[[#This Row],[ZONA DEFINITIVO]])," ")</f>
        <v xml:space="preserve"> </v>
      </c>
      <c r="AJ226" s="54"/>
      <c r="AK226" s="54"/>
      <c r="AL226" s="64"/>
      <c r="AM226" s="55">
        <f>VLOOKUP(Tabla43[[#This Row],[SERVICIO 2025]],$J$2:$V$16,5,0)*Tabla43[[#This Row],[TOTAL COBERTURA]]</f>
        <v>2071020</v>
      </c>
      <c r="AN226" s="55">
        <f>VLOOKUP(Tabla43[[#This Row],[SERVICIO 2025]],$J$2:$V$16,6,0)*Tabla43[[#This Row],[TOTAL COBERTURA]]</f>
        <v>914228</v>
      </c>
      <c r="AO226" s="55">
        <f>VLOOKUP(Tabla43[[#This Row],[SERVICIO 2025]],$J$2:$V$16,8,0)*Tabla43[[#This Row],[TOTAL COBERTURA]]</f>
        <v>814772</v>
      </c>
      <c r="AP226" s="55">
        <f>VLOOKUP(Tabla43[[#This Row],[SERVICIO 2025]],$J$2:$V$16,3,0)*Tabla43[[#This Row],[TOTAL COBERTURA]]*7</f>
        <v>90555136</v>
      </c>
      <c r="AQ226" s="55">
        <f>VLOOKUP(Tabla43[[#This Row],[SERVICIO 2025]],$J$2:$V$16,10,0)*Tabla43[[#This Row],[TOTAL COBERTURA]]*7</f>
        <v>0</v>
      </c>
      <c r="AR226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94355156</v>
      </c>
      <c r="AS226" s="55" t="str">
        <f>+IF(Tabla43[[#This Row],[AGRUPACIONES]]=1,SUMIFS(Tabla43[VALOR TOTAL],Tabla43[ZONA DEFINITIVO],Tabla43[[#This Row],[ZONA DEFINITIVO]])," ")</f>
        <v xml:space="preserve"> </v>
      </c>
      <c r="AT226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15822240</v>
      </c>
      <c r="AU226" s="55">
        <f>VLOOKUP(Tabla43[[#This Row],[SERVICIO 2025]],$J$2:$V$16,3,0)*Tabla43[[#This Row],[TOTAL COBERTURA]]+Tabla43[[#This Row],[VALOR RACION PREPARADA]]/7</f>
        <v>12936448</v>
      </c>
      <c r="AV226" s="55">
        <f>VLOOKUP(Tabla43[[#This Row],[SERVICIO 2025]],$J$2:$V$16,3,0)*Tabla43[[#This Row],[TOTAL COBERTURA]]+Tabla43[[#This Row],[VALOR RACION PREPARADA]]/7</f>
        <v>12936448</v>
      </c>
      <c r="AW226" s="55">
        <f>VLOOKUP(Tabla43[[#This Row],[SERVICIO 2025]],$J$2:$V$16,3,0)*Tabla43[[#This Row],[TOTAL COBERTURA]]+Tabla43[[#This Row],[VALOR RACION PREPARADA]]/7</f>
        <v>12936448</v>
      </c>
      <c r="AX226" s="55">
        <f>VLOOKUP(Tabla43[[#This Row],[SERVICIO 2025]],$J$2:$V$16,3,0)*Tabla43[[#This Row],[TOTAL COBERTURA]]+Tabla43[[#This Row],[VALOR RACION PREPARADA]]/7</f>
        <v>12936448</v>
      </c>
      <c r="AY226" s="55">
        <f>VLOOKUP(Tabla43[[#This Row],[SERVICIO 2025]],$J$2:$V$16,3,0)*Tabla43[[#This Row],[TOTAL COBERTURA]]+Tabla43[[#This Row],[VALOR RACION PREPARADA]]/7</f>
        <v>12936448</v>
      </c>
      <c r="AZ226" s="55">
        <f>VLOOKUP(Tabla43[[#This Row],[SERVICIO 2025]],$J$2:$V$16,3,0)*Tabla43[[#This Row],[TOTAL COBERTURA]]+Tabla43[[#This Row],[VALOR RACION PREPARADA]]/7+Tabla43[[#This Row],[VALOR FASE PREPARATORIA DE CIERRE]]</f>
        <v>13850676</v>
      </c>
      <c r="BA226" s="55"/>
      <c r="BB226" s="55">
        <f>SUM(Tabla43[[#This Row],[DESEMBOLSO 1]:[DESEMBOLSO 8]])</f>
        <v>94355156</v>
      </c>
      <c r="BC226" s="55">
        <f>VLOOKUP(Tabla43[[#This Row],[SERVICIO 2025]],$J$2:$V$16,10,0)*Tabla43[[#This Row],[TOTAL COBERTURA]]*$W$3</f>
        <v>0</v>
      </c>
      <c r="BD226" s="66" t="s">
        <v>145</v>
      </c>
      <c r="BE226" s="58" t="b">
        <f>EXACT(Tabla43[[#This Row],[TOTAL APORTES ICBF]],Tabla43[[#This Row],[VALOR TOTAL]])</f>
        <v>1</v>
      </c>
      <c r="BF226" s="64">
        <f>SUM(Tabla43[[#This Row],[VALOR FASE PREPARATORIA DE ALISTAMIENTO]:[VALOR RACION PREPARADA]])-Tabla43[[#This Row],[VALOR TOTAL]]</f>
        <v>0</v>
      </c>
      <c r="BG226" s="58" t="b">
        <f>EXACT(Tabla43[[#This Row],[VALOR TOTAL]],Tabla43[[#This Row],[TOTAL DESEMBOLSOS]])</f>
        <v>1</v>
      </c>
      <c r="BH226" s="67">
        <f>Tabla43[[#This Row],[TOTAL DESEMBOLSOS]]-Tabla43[[#This Row],[VALOR TOTAL]]</f>
        <v>0</v>
      </c>
      <c r="BJ226" s="68" t="s">
        <v>3924</v>
      </c>
    </row>
    <row r="227" spans="1:62" s="68" customFormat="1" hidden="1">
      <c r="A227" s="69" t="s">
        <v>4263</v>
      </c>
      <c r="B227" s="57"/>
      <c r="C227" s="58" t="s">
        <v>87</v>
      </c>
      <c r="D227" s="58" t="s">
        <v>462</v>
      </c>
      <c r="E227" s="58" t="s">
        <v>3891</v>
      </c>
      <c r="F227" s="58" t="s">
        <v>16</v>
      </c>
      <c r="G227" s="58" t="s">
        <v>90</v>
      </c>
      <c r="H227" s="58" t="s">
        <v>4268</v>
      </c>
      <c r="I227" s="58">
        <v>58731118921</v>
      </c>
      <c r="J227" s="58" t="s">
        <v>4269</v>
      </c>
      <c r="K227" s="58">
        <v>1</v>
      </c>
      <c r="L227" s="58">
        <v>24</v>
      </c>
      <c r="M227" s="58"/>
      <c r="N227" s="69" t="s">
        <v>4263</v>
      </c>
      <c r="O227" s="58" t="s">
        <v>93</v>
      </c>
      <c r="P227" s="58"/>
      <c r="Q227" s="58"/>
      <c r="R227" s="58" t="s">
        <v>94</v>
      </c>
      <c r="S227" s="58">
        <v>10</v>
      </c>
      <c r="T227" s="58" t="s">
        <v>2502</v>
      </c>
      <c r="U227" s="58" t="s">
        <v>2503</v>
      </c>
      <c r="V227" s="58">
        <f>VLOOKUP(Tabla43[[#This Row],[ZONA DEFINITIVO]],Hoja1!$A$1:$D$129,3,0)</f>
        <v>232288</v>
      </c>
      <c r="W227" s="58">
        <f>VLOOKUP(Tabla43[[#This Row],[ZONA DEFINITIVO]],Hoja1!$A$1:$D$129,2,0)</f>
        <v>18593</v>
      </c>
      <c r="X227" s="58">
        <f>VLOOKUP(Tabla43[[#This Row],[ZONA DEFINITIVO]],Hoja1!$A$1:$D$129,4,0)</f>
        <v>117525</v>
      </c>
      <c r="Y227" s="58" t="str">
        <f>+IF(Tabla43[[#This Row],[AGRUPACIONES]]=1,SUMIFS(Tabla43[UDS],Tabla43[ZONA DEFINITIVO],Tabla43[[#This Row],[ZONA DEFINITIVO]])," ")</f>
        <v xml:space="preserve"> </v>
      </c>
      <c r="Z227" s="58" t="str">
        <f>+IF(Tabla43[[#This Row],[AGRUPACIONES]]=1,SUMIFS(Tabla43[TOTAL COBERTURA],Tabla43[ZONA DEFINITIVO],Tabla43[[#This Row],[ZONA DEFINITIVO]])," ")</f>
        <v xml:space="preserve"> </v>
      </c>
      <c r="AA227" s="58"/>
      <c r="AB227" s="53">
        <v>80875848</v>
      </c>
      <c r="AC227" s="79">
        <v>0.02</v>
      </c>
      <c r="AD227" s="54">
        <f>Tabla43[[#This Row],[VALOR ATENCIÓN (7 MESES)]]*Tabla43[[#This Row],[% CONTRAPARTIDA]]</f>
        <v>1617516.96</v>
      </c>
      <c r="AE227" s="58"/>
      <c r="AF227" s="58">
        <f>COUNTIF($A$22:A227,A227)</f>
        <v>3</v>
      </c>
      <c r="AG227" s="53">
        <v>80875848</v>
      </c>
      <c r="AH227" s="54">
        <f>Tabla43[[#This Row],[VALOR CONTRAPARTIDA]]+Tabla43[[#This Row],[TOTAL APORTES ICBF]]</f>
        <v>82493364.959999993</v>
      </c>
      <c r="AI227" s="55" t="str">
        <f>+IF(Tabla43[[#This Row],[AGRUPACIONES]]=1,SUMIFS(Tabla43[TOTAL APORTES ICBF],Tabla43[ZONA DEFINITIVO],Tabla43[[#This Row],[ZONA DEFINITIVO]])," ")</f>
        <v xml:space="preserve"> </v>
      </c>
      <c r="AJ227" s="54"/>
      <c r="AK227" s="54"/>
      <c r="AL227" s="64"/>
      <c r="AM227" s="55">
        <f>VLOOKUP(Tabla43[[#This Row],[SERVICIO 2025]],$J$2:$V$16,5,0)*Tabla43[[#This Row],[TOTAL COBERTURA]]</f>
        <v>1775160</v>
      </c>
      <c r="AN227" s="55">
        <f>VLOOKUP(Tabla43[[#This Row],[SERVICIO 2025]],$J$2:$V$16,6,0)*Tabla43[[#This Row],[TOTAL COBERTURA]]</f>
        <v>783624</v>
      </c>
      <c r="AO227" s="55">
        <f>VLOOKUP(Tabla43[[#This Row],[SERVICIO 2025]],$J$2:$V$16,8,0)*Tabla43[[#This Row],[TOTAL COBERTURA]]</f>
        <v>698376</v>
      </c>
      <c r="AP227" s="55">
        <f>VLOOKUP(Tabla43[[#This Row],[SERVICIO 2025]],$J$2:$V$16,3,0)*Tabla43[[#This Row],[TOTAL COBERTURA]]*7</f>
        <v>77618688</v>
      </c>
      <c r="AQ227" s="55">
        <f>VLOOKUP(Tabla43[[#This Row],[SERVICIO 2025]],$J$2:$V$16,10,0)*Tabla43[[#This Row],[TOTAL COBERTURA]]*7</f>
        <v>0</v>
      </c>
      <c r="AR227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80875848</v>
      </c>
      <c r="AS227" s="55" t="str">
        <f>+IF(Tabla43[[#This Row],[AGRUPACIONES]]=1,SUMIFS(Tabla43[VALOR TOTAL],Tabla43[ZONA DEFINITIVO],Tabla43[[#This Row],[ZONA DEFINITIVO]])," ")</f>
        <v xml:space="preserve"> </v>
      </c>
      <c r="AT227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13561920</v>
      </c>
      <c r="AU227" s="55">
        <f>VLOOKUP(Tabla43[[#This Row],[SERVICIO 2025]],$J$2:$V$16,3,0)*Tabla43[[#This Row],[TOTAL COBERTURA]]+Tabla43[[#This Row],[VALOR RACION PREPARADA]]/7</f>
        <v>11088384</v>
      </c>
      <c r="AV227" s="55">
        <f>VLOOKUP(Tabla43[[#This Row],[SERVICIO 2025]],$J$2:$V$16,3,0)*Tabla43[[#This Row],[TOTAL COBERTURA]]+Tabla43[[#This Row],[VALOR RACION PREPARADA]]/7</f>
        <v>11088384</v>
      </c>
      <c r="AW227" s="55">
        <f>VLOOKUP(Tabla43[[#This Row],[SERVICIO 2025]],$J$2:$V$16,3,0)*Tabla43[[#This Row],[TOTAL COBERTURA]]+Tabla43[[#This Row],[VALOR RACION PREPARADA]]/7</f>
        <v>11088384</v>
      </c>
      <c r="AX227" s="55">
        <f>VLOOKUP(Tabla43[[#This Row],[SERVICIO 2025]],$J$2:$V$16,3,0)*Tabla43[[#This Row],[TOTAL COBERTURA]]+Tabla43[[#This Row],[VALOR RACION PREPARADA]]/7</f>
        <v>11088384</v>
      </c>
      <c r="AY227" s="55">
        <f>VLOOKUP(Tabla43[[#This Row],[SERVICIO 2025]],$J$2:$V$16,3,0)*Tabla43[[#This Row],[TOTAL COBERTURA]]+Tabla43[[#This Row],[VALOR RACION PREPARADA]]/7</f>
        <v>11088384</v>
      </c>
      <c r="AZ227" s="55">
        <f>VLOOKUP(Tabla43[[#This Row],[SERVICIO 2025]],$J$2:$V$16,3,0)*Tabla43[[#This Row],[TOTAL COBERTURA]]+Tabla43[[#This Row],[VALOR RACION PREPARADA]]/7+Tabla43[[#This Row],[VALOR FASE PREPARATORIA DE CIERRE]]</f>
        <v>11872008</v>
      </c>
      <c r="BA227" s="55"/>
      <c r="BB227" s="55">
        <f>SUM(Tabla43[[#This Row],[DESEMBOLSO 1]:[DESEMBOLSO 8]])</f>
        <v>80875848</v>
      </c>
      <c r="BC227" s="55">
        <f>VLOOKUP(Tabla43[[#This Row],[SERVICIO 2025]],$J$2:$V$16,10,0)*Tabla43[[#This Row],[TOTAL COBERTURA]]*$W$3</f>
        <v>0</v>
      </c>
      <c r="BD227" s="66" t="s">
        <v>145</v>
      </c>
      <c r="BE227" s="58" t="b">
        <f>EXACT(Tabla43[[#This Row],[TOTAL APORTES ICBF]],Tabla43[[#This Row],[VALOR TOTAL]])</f>
        <v>1</v>
      </c>
      <c r="BF227" s="64">
        <f>SUM(Tabla43[[#This Row],[VALOR FASE PREPARATORIA DE ALISTAMIENTO]:[VALOR RACION PREPARADA]])-Tabla43[[#This Row],[VALOR TOTAL]]</f>
        <v>0</v>
      </c>
      <c r="BG227" s="58" t="b">
        <f>EXACT(Tabla43[[#This Row],[VALOR TOTAL]],Tabla43[[#This Row],[TOTAL DESEMBOLSOS]])</f>
        <v>1</v>
      </c>
      <c r="BH227" s="67">
        <f>Tabla43[[#This Row],[TOTAL DESEMBOLSOS]]-Tabla43[[#This Row],[VALOR TOTAL]]</f>
        <v>0</v>
      </c>
      <c r="BJ227" s="68" t="s">
        <v>3924</v>
      </c>
    </row>
    <row r="228" spans="1:62" s="68" customFormat="1" hidden="1">
      <c r="A228" s="69" t="s">
        <v>4263</v>
      </c>
      <c r="B228" s="57"/>
      <c r="C228" s="58" t="s">
        <v>87</v>
      </c>
      <c r="D228" s="58" t="s">
        <v>462</v>
      </c>
      <c r="E228" s="58" t="s">
        <v>3891</v>
      </c>
      <c r="F228" s="58" t="s">
        <v>16</v>
      </c>
      <c r="G228" s="58" t="s">
        <v>90</v>
      </c>
      <c r="H228" s="58" t="s">
        <v>3203</v>
      </c>
      <c r="I228" s="58">
        <v>58731138929</v>
      </c>
      <c r="J228" s="58" t="s">
        <v>4270</v>
      </c>
      <c r="K228" s="58">
        <v>1</v>
      </c>
      <c r="L228" s="58">
        <v>21</v>
      </c>
      <c r="M228" s="58"/>
      <c r="N228" s="69" t="s">
        <v>4263</v>
      </c>
      <c r="O228" s="58" t="s">
        <v>93</v>
      </c>
      <c r="P228" s="58"/>
      <c r="Q228" s="58"/>
      <c r="R228" s="58" t="s">
        <v>94</v>
      </c>
      <c r="S228" s="58">
        <v>10</v>
      </c>
      <c r="T228" s="58" t="s">
        <v>2502</v>
      </c>
      <c r="U228" s="58" t="s">
        <v>2503</v>
      </c>
      <c r="V228" s="58">
        <f>VLOOKUP(Tabla43[[#This Row],[ZONA DEFINITIVO]],Hoja1!$A$1:$D$129,3,0)</f>
        <v>232288</v>
      </c>
      <c r="W228" s="58">
        <f>VLOOKUP(Tabla43[[#This Row],[ZONA DEFINITIVO]],Hoja1!$A$1:$D$129,2,0)</f>
        <v>18593</v>
      </c>
      <c r="X228" s="58">
        <f>VLOOKUP(Tabla43[[#This Row],[ZONA DEFINITIVO]],Hoja1!$A$1:$D$129,4,0)</f>
        <v>117525</v>
      </c>
      <c r="Y228" s="58" t="str">
        <f>+IF(Tabla43[[#This Row],[AGRUPACIONES]]=1,SUMIFS(Tabla43[UDS],Tabla43[ZONA DEFINITIVO],Tabla43[[#This Row],[ZONA DEFINITIVO]])," ")</f>
        <v xml:space="preserve"> </v>
      </c>
      <c r="Z228" s="58" t="str">
        <f>+IF(Tabla43[[#This Row],[AGRUPACIONES]]=1,SUMIFS(Tabla43[TOTAL COBERTURA],Tabla43[ZONA DEFINITIVO],Tabla43[[#This Row],[ZONA DEFINITIVO]])," ")</f>
        <v xml:space="preserve"> </v>
      </c>
      <c r="AA228" s="58"/>
      <c r="AB228" s="53">
        <v>70766367</v>
      </c>
      <c r="AC228" s="79">
        <v>0.02</v>
      </c>
      <c r="AD228" s="54">
        <f>Tabla43[[#This Row],[VALOR ATENCIÓN (7 MESES)]]*Tabla43[[#This Row],[% CONTRAPARTIDA]]</f>
        <v>1415327.34</v>
      </c>
      <c r="AE228" s="58"/>
      <c r="AF228" s="58">
        <f>COUNTIF($A$22:A228,A228)</f>
        <v>4</v>
      </c>
      <c r="AG228" s="53">
        <v>70766367</v>
      </c>
      <c r="AH228" s="54">
        <f>Tabla43[[#This Row],[VALOR CONTRAPARTIDA]]+Tabla43[[#This Row],[TOTAL APORTES ICBF]]</f>
        <v>72181694.340000004</v>
      </c>
      <c r="AI228" s="55" t="str">
        <f>+IF(Tabla43[[#This Row],[AGRUPACIONES]]=1,SUMIFS(Tabla43[TOTAL APORTES ICBF],Tabla43[ZONA DEFINITIVO],Tabla43[[#This Row],[ZONA DEFINITIVO]])," ")</f>
        <v xml:space="preserve"> </v>
      </c>
      <c r="AJ228" s="54"/>
      <c r="AK228" s="54"/>
      <c r="AL228" s="64"/>
      <c r="AM228" s="55">
        <f>VLOOKUP(Tabla43[[#This Row],[SERVICIO 2025]],$J$2:$V$16,5,0)*Tabla43[[#This Row],[TOTAL COBERTURA]]</f>
        <v>1553265</v>
      </c>
      <c r="AN228" s="55">
        <f>VLOOKUP(Tabla43[[#This Row],[SERVICIO 2025]],$J$2:$V$16,6,0)*Tabla43[[#This Row],[TOTAL COBERTURA]]</f>
        <v>685671</v>
      </c>
      <c r="AO228" s="55">
        <f>VLOOKUP(Tabla43[[#This Row],[SERVICIO 2025]],$J$2:$V$16,8,0)*Tabla43[[#This Row],[TOTAL COBERTURA]]</f>
        <v>611079</v>
      </c>
      <c r="AP228" s="55">
        <f>VLOOKUP(Tabla43[[#This Row],[SERVICIO 2025]],$J$2:$V$16,3,0)*Tabla43[[#This Row],[TOTAL COBERTURA]]*7</f>
        <v>67916352</v>
      </c>
      <c r="AQ228" s="55">
        <f>VLOOKUP(Tabla43[[#This Row],[SERVICIO 2025]],$J$2:$V$16,10,0)*Tabla43[[#This Row],[TOTAL COBERTURA]]*7</f>
        <v>0</v>
      </c>
      <c r="AR228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70766367</v>
      </c>
      <c r="AS228" s="55" t="str">
        <f>+IF(Tabla43[[#This Row],[AGRUPACIONES]]=1,SUMIFS(Tabla43[VALOR TOTAL],Tabla43[ZONA DEFINITIVO],Tabla43[[#This Row],[ZONA DEFINITIVO]])," ")</f>
        <v xml:space="preserve"> </v>
      </c>
      <c r="AT228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11866680</v>
      </c>
      <c r="AU228" s="55">
        <f>VLOOKUP(Tabla43[[#This Row],[SERVICIO 2025]],$J$2:$V$16,3,0)*Tabla43[[#This Row],[TOTAL COBERTURA]]+Tabla43[[#This Row],[VALOR RACION PREPARADA]]/7</f>
        <v>9702336</v>
      </c>
      <c r="AV228" s="55">
        <f>VLOOKUP(Tabla43[[#This Row],[SERVICIO 2025]],$J$2:$V$16,3,0)*Tabla43[[#This Row],[TOTAL COBERTURA]]+Tabla43[[#This Row],[VALOR RACION PREPARADA]]/7</f>
        <v>9702336</v>
      </c>
      <c r="AW228" s="55">
        <f>VLOOKUP(Tabla43[[#This Row],[SERVICIO 2025]],$J$2:$V$16,3,0)*Tabla43[[#This Row],[TOTAL COBERTURA]]+Tabla43[[#This Row],[VALOR RACION PREPARADA]]/7</f>
        <v>9702336</v>
      </c>
      <c r="AX228" s="55">
        <f>VLOOKUP(Tabla43[[#This Row],[SERVICIO 2025]],$J$2:$V$16,3,0)*Tabla43[[#This Row],[TOTAL COBERTURA]]+Tabla43[[#This Row],[VALOR RACION PREPARADA]]/7</f>
        <v>9702336</v>
      </c>
      <c r="AY228" s="55">
        <f>VLOOKUP(Tabla43[[#This Row],[SERVICIO 2025]],$J$2:$V$16,3,0)*Tabla43[[#This Row],[TOTAL COBERTURA]]+Tabla43[[#This Row],[VALOR RACION PREPARADA]]/7</f>
        <v>9702336</v>
      </c>
      <c r="AZ228" s="55">
        <f>VLOOKUP(Tabla43[[#This Row],[SERVICIO 2025]],$J$2:$V$16,3,0)*Tabla43[[#This Row],[TOTAL COBERTURA]]+Tabla43[[#This Row],[VALOR RACION PREPARADA]]/7+Tabla43[[#This Row],[VALOR FASE PREPARATORIA DE CIERRE]]</f>
        <v>10388007</v>
      </c>
      <c r="BA228" s="55"/>
      <c r="BB228" s="55">
        <f>SUM(Tabla43[[#This Row],[DESEMBOLSO 1]:[DESEMBOLSO 8]])</f>
        <v>70766367</v>
      </c>
      <c r="BC228" s="55">
        <f>VLOOKUP(Tabla43[[#This Row],[SERVICIO 2025]],$J$2:$V$16,10,0)*Tabla43[[#This Row],[TOTAL COBERTURA]]*$W$3</f>
        <v>0</v>
      </c>
      <c r="BD228" s="66" t="s">
        <v>145</v>
      </c>
      <c r="BE228" s="58" t="b">
        <f>EXACT(Tabla43[[#This Row],[TOTAL APORTES ICBF]],Tabla43[[#This Row],[VALOR TOTAL]])</f>
        <v>1</v>
      </c>
      <c r="BF228" s="64">
        <f>SUM(Tabla43[[#This Row],[VALOR FASE PREPARATORIA DE ALISTAMIENTO]:[VALOR RACION PREPARADA]])-Tabla43[[#This Row],[VALOR TOTAL]]</f>
        <v>0</v>
      </c>
      <c r="BG228" s="58" t="b">
        <f>EXACT(Tabla43[[#This Row],[VALOR TOTAL]],Tabla43[[#This Row],[TOTAL DESEMBOLSOS]])</f>
        <v>1</v>
      </c>
      <c r="BH228" s="67">
        <f>Tabla43[[#This Row],[TOTAL DESEMBOLSOS]]-Tabla43[[#This Row],[VALOR TOTAL]]</f>
        <v>0</v>
      </c>
      <c r="BJ228" s="68" t="s">
        <v>3924</v>
      </c>
    </row>
    <row r="229" spans="1:62" s="68" customFormat="1" hidden="1">
      <c r="A229" s="69" t="s">
        <v>4263</v>
      </c>
      <c r="B229" s="57"/>
      <c r="C229" s="58" t="s">
        <v>87</v>
      </c>
      <c r="D229" s="58" t="s">
        <v>462</v>
      </c>
      <c r="E229" s="58" t="s">
        <v>3891</v>
      </c>
      <c r="F229" s="58" t="s">
        <v>16</v>
      </c>
      <c r="G229" s="58" t="s">
        <v>90</v>
      </c>
      <c r="H229" s="58" t="s">
        <v>4271</v>
      </c>
      <c r="I229" s="58">
        <v>58731138932</v>
      </c>
      <c r="J229" s="58" t="s">
        <v>4272</v>
      </c>
      <c r="K229" s="58">
        <v>1</v>
      </c>
      <c r="L229" s="58">
        <v>22</v>
      </c>
      <c r="M229" s="58"/>
      <c r="N229" s="69" t="s">
        <v>4263</v>
      </c>
      <c r="O229" s="58" t="s">
        <v>93</v>
      </c>
      <c r="P229" s="58"/>
      <c r="Q229" s="58"/>
      <c r="R229" s="58" t="s">
        <v>94</v>
      </c>
      <c r="S229" s="58">
        <v>10</v>
      </c>
      <c r="T229" s="58" t="s">
        <v>2502</v>
      </c>
      <c r="U229" s="58" t="s">
        <v>2503</v>
      </c>
      <c r="V229" s="58">
        <f>VLOOKUP(Tabla43[[#This Row],[ZONA DEFINITIVO]],Hoja1!$A$1:$D$129,3,0)</f>
        <v>232288</v>
      </c>
      <c r="W229" s="58">
        <f>VLOOKUP(Tabla43[[#This Row],[ZONA DEFINITIVO]],Hoja1!$A$1:$D$129,2,0)</f>
        <v>18593</v>
      </c>
      <c r="X229" s="58">
        <f>VLOOKUP(Tabla43[[#This Row],[ZONA DEFINITIVO]],Hoja1!$A$1:$D$129,4,0)</f>
        <v>117525</v>
      </c>
      <c r="Y229" s="58" t="str">
        <f>+IF(Tabla43[[#This Row],[AGRUPACIONES]]=1,SUMIFS(Tabla43[UDS],Tabla43[ZONA DEFINITIVO],Tabla43[[#This Row],[ZONA DEFINITIVO]])," ")</f>
        <v xml:space="preserve"> </v>
      </c>
      <c r="Z229" s="58" t="str">
        <f>+IF(Tabla43[[#This Row],[AGRUPACIONES]]=1,SUMIFS(Tabla43[TOTAL COBERTURA],Tabla43[ZONA DEFINITIVO],Tabla43[[#This Row],[ZONA DEFINITIVO]])," ")</f>
        <v xml:space="preserve"> </v>
      </c>
      <c r="AA229" s="58"/>
      <c r="AB229" s="53">
        <v>74136194</v>
      </c>
      <c r="AC229" s="79">
        <v>0.02</v>
      </c>
      <c r="AD229" s="54">
        <f>Tabla43[[#This Row],[VALOR ATENCIÓN (7 MESES)]]*Tabla43[[#This Row],[% CONTRAPARTIDA]]</f>
        <v>1482723.8800000001</v>
      </c>
      <c r="AE229" s="58"/>
      <c r="AF229" s="58">
        <f>COUNTIF($A$22:A229,A229)</f>
        <v>5</v>
      </c>
      <c r="AG229" s="53">
        <v>74136194</v>
      </c>
      <c r="AH229" s="54">
        <f>Tabla43[[#This Row],[VALOR CONTRAPARTIDA]]+Tabla43[[#This Row],[TOTAL APORTES ICBF]]</f>
        <v>75618917.879999995</v>
      </c>
      <c r="AI229" s="55" t="str">
        <f>+IF(Tabla43[[#This Row],[AGRUPACIONES]]=1,SUMIFS(Tabla43[TOTAL APORTES ICBF],Tabla43[ZONA DEFINITIVO],Tabla43[[#This Row],[ZONA DEFINITIVO]])," ")</f>
        <v xml:space="preserve"> </v>
      </c>
      <c r="AJ229" s="54"/>
      <c r="AK229" s="54"/>
      <c r="AL229" s="64"/>
      <c r="AM229" s="55">
        <f>VLOOKUP(Tabla43[[#This Row],[SERVICIO 2025]],$J$2:$V$16,5,0)*Tabla43[[#This Row],[TOTAL COBERTURA]]</f>
        <v>1627230</v>
      </c>
      <c r="AN229" s="55">
        <f>VLOOKUP(Tabla43[[#This Row],[SERVICIO 2025]],$J$2:$V$16,6,0)*Tabla43[[#This Row],[TOTAL COBERTURA]]</f>
        <v>718322</v>
      </c>
      <c r="AO229" s="55">
        <f>VLOOKUP(Tabla43[[#This Row],[SERVICIO 2025]],$J$2:$V$16,8,0)*Tabla43[[#This Row],[TOTAL COBERTURA]]</f>
        <v>640178</v>
      </c>
      <c r="AP229" s="55">
        <f>VLOOKUP(Tabla43[[#This Row],[SERVICIO 2025]],$J$2:$V$16,3,0)*Tabla43[[#This Row],[TOTAL COBERTURA]]*7</f>
        <v>71150464</v>
      </c>
      <c r="AQ229" s="55">
        <f>VLOOKUP(Tabla43[[#This Row],[SERVICIO 2025]],$J$2:$V$16,10,0)*Tabla43[[#This Row],[TOTAL COBERTURA]]*7</f>
        <v>0</v>
      </c>
      <c r="AR229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74136194</v>
      </c>
      <c r="AS229" s="55" t="str">
        <f>+IF(Tabla43[[#This Row],[AGRUPACIONES]]=1,SUMIFS(Tabla43[VALOR TOTAL],Tabla43[ZONA DEFINITIVO],Tabla43[[#This Row],[ZONA DEFINITIVO]])," ")</f>
        <v xml:space="preserve"> </v>
      </c>
      <c r="AT229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12431760</v>
      </c>
      <c r="AU229" s="55">
        <f>VLOOKUP(Tabla43[[#This Row],[SERVICIO 2025]],$J$2:$V$16,3,0)*Tabla43[[#This Row],[TOTAL COBERTURA]]+Tabla43[[#This Row],[VALOR RACION PREPARADA]]/7</f>
        <v>10164352</v>
      </c>
      <c r="AV229" s="55">
        <f>VLOOKUP(Tabla43[[#This Row],[SERVICIO 2025]],$J$2:$V$16,3,0)*Tabla43[[#This Row],[TOTAL COBERTURA]]+Tabla43[[#This Row],[VALOR RACION PREPARADA]]/7</f>
        <v>10164352</v>
      </c>
      <c r="AW229" s="55">
        <f>VLOOKUP(Tabla43[[#This Row],[SERVICIO 2025]],$J$2:$V$16,3,0)*Tabla43[[#This Row],[TOTAL COBERTURA]]+Tabla43[[#This Row],[VALOR RACION PREPARADA]]/7</f>
        <v>10164352</v>
      </c>
      <c r="AX229" s="55">
        <f>VLOOKUP(Tabla43[[#This Row],[SERVICIO 2025]],$J$2:$V$16,3,0)*Tabla43[[#This Row],[TOTAL COBERTURA]]+Tabla43[[#This Row],[VALOR RACION PREPARADA]]/7</f>
        <v>10164352</v>
      </c>
      <c r="AY229" s="55">
        <f>VLOOKUP(Tabla43[[#This Row],[SERVICIO 2025]],$J$2:$V$16,3,0)*Tabla43[[#This Row],[TOTAL COBERTURA]]+Tabla43[[#This Row],[VALOR RACION PREPARADA]]/7</f>
        <v>10164352</v>
      </c>
      <c r="AZ229" s="55">
        <f>VLOOKUP(Tabla43[[#This Row],[SERVICIO 2025]],$J$2:$V$16,3,0)*Tabla43[[#This Row],[TOTAL COBERTURA]]+Tabla43[[#This Row],[VALOR RACION PREPARADA]]/7+Tabla43[[#This Row],[VALOR FASE PREPARATORIA DE CIERRE]]</f>
        <v>10882674</v>
      </c>
      <c r="BA229" s="55"/>
      <c r="BB229" s="55">
        <f>SUM(Tabla43[[#This Row],[DESEMBOLSO 1]:[DESEMBOLSO 8]])</f>
        <v>74136194</v>
      </c>
      <c r="BC229" s="55">
        <f>VLOOKUP(Tabla43[[#This Row],[SERVICIO 2025]],$J$2:$V$16,10,0)*Tabla43[[#This Row],[TOTAL COBERTURA]]*$W$3</f>
        <v>0</v>
      </c>
      <c r="BD229" s="66" t="s">
        <v>145</v>
      </c>
      <c r="BE229" s="58" t="b">
        <f>EXACT(Tabla43[[#This Row],[TOTAL APORTES ICBF]],Tabla43[[#This Row],[VALOR TOTAL]])</f>
        <v>1</v>
      </c>
      <c r="BF229" s="64">
        <f>SUM(Tabla43[[#This Row],[VALOR FASE PREPARATORIA DE ALISTAMIENTO]:[VALOR RACION PREPARADA]])-Tabla43[[#This Row],[VALOR TOTAL]]</f>
        <v>0</v>
      </c>
      <c r="BG229" s="58" t="b">
        <f>EXACT(Tabla43[[#This Row],[VALOR TOTAL]],Tabla43[[#This Row],[TOTAL DESEMBOLSOS]])</f>
        <v>1</v>
      </c>
      <c r="BH229" s="67">
        <f>Tabla43[[#This Row],[TOTAL DESEMBOLSOS]]-Tabla43[[#This Row],[VALOR TOTAL]]</f>
        <v>0</v>
      </c>
      <c r="BJ229" s="68" t="s">
        <v>3924</v>
      </c>
    </row>
    <row r="230" spans="1:62" s="68" customFormat="1" hidden="1">
      <c r="A230" s="69" t="s">
        <v>4263</v>
      </c>
      <c r="B230" s="57"/>
      <c r="C230" s="58" t="s">
        <v>87</v>
      </c>
      <c r="D230" s="58" t="s">
        <v>462</v>
      </c>
      <c r="E230" s="58" t="s">
        <v>3891</v>
      </c>
      <c r="F230" s="58" t="s">
        <v>16</v>
      </c>
      <c r="G230" s="58" t="s">
        <v>90</v>
      </c>
      <c r="H230" s="58" t="s">
        <v>4273</v>
      </c>
      <c r="I230" s="58">
        <v>58731138935</v>
      </c>
      <c r="J230" s="58" t="s">
        <v>4274</v>
      </c>
      <c r="K230" s="58">
        <v>1</v>
      </c>
      <c r="L230" s="58">
        <v>20</v>
      </c>
      <c r="M230" s="58"/>
      <c r="N230" s="69" t="s">
        <v>4263</v>
      </c>
      <c r="O230" s="58" t="s">
        <v>93</v>
      </c>
      <c r="P230" s="58"/>
      <c r="Q230" s="58"/>
      <c r="R230" s="58" t="s">
        <v>94</v>
      </c>
      <c r="S230" s="58">
        <v>10</v>
      </c>
      <c r="T230" s="58" t="s">
        <v>2502</v>
      </c>
      <c r="U230" s="58" t="s">
        <v>2503</v>
      </c>
      <c r="V230" s="58">
        <f>VLOOKUP(Tabla43[[#This Row],[ZONA DEFINITIVO]],Hoja1!$A$1:$D$129,3,0)</f>
        <v>232288</v>
      </c>
      <c r="W230" s="58">
        <f>VLOOKUP(Tabla43[[#This Row],[ZONA DEFINITIVO]],Hoja1!$A$1:$D$129,2,0)</f>
        <v>18593</v>
      </c>
      <c r="X230" s="58">
        <f>VLOOKUP(Tabla43[[#This Row],[ZONA DEFINITIVO]],Hoja1!$A$1:$D$129,4,0)</f>
        <v>117525</v>
      </c>
      <c r="Y230" s="58" t="str">
        <f>+IF(Tabla43[[#This Row],[AGRUPACIONES]]=1,SUMIFS(Tabla43[UDS],Tabla43[ZONA DEFINITIVO],Tabla43[[#This Row],[ZONA DEFINITIVO]])," ")</f>
        <v xml:space="preserve"> </v>
      </c>
      <c r="Z230" s="58" t="str">
        <f>+IF(Tabla43[[#This Row],[AGRUPACIONES]]=1,SUMIFS(Tabla43[TOTAL COBERTURA],Tabla43[ZONA DEFINITIVO],Tabla43[[#This Row],[ZONA DEFINITIVO]])," ")</f>
        <v xml:space="preserve"> </v>
      </c>
      <c r="AA230" s="58"/>
      <c r="AB230" s="53">
        <v>67396540</v>
      </c>
      <c r="AC230" s="79">
        <v>0.02</v>
      </c>
      <c r="AD230" s="54">
        <f>Tabla43[[#This Row],[VALOR ATENCIÓN (7 MESES)]]*Tabla43[[#This Row],[% CONTRAPARTIDA]]</f>
        <v>1347930.8</v>
      </c>
      <c r="AE230" s="58"/>
      <c r="AF230" s="58">
        <f>COUNTIF($A$22:A230,A230)</f>
        <v>6</v>
      </c>
      <c r="AG230" s="53">
        <v>67396540</v>
      </c>
      <c r="AH230" s="54">
        <f>Tabla43[[#This Row],[VALOR CONTRAPARTIDA]]+Tabla43[[#This Row],[TOTAL APORTES ICBF]]</f>
        <v>68744470.799999997</v>
      </c>
      <c r="AI230" s="55" t="str">
        <f>+IF(Tabla43[[#This Row],[AGRUPACIONES]]=1,SUMIFS(Tabla43[TOTAL APORTES ICBF],Tabla43[ZONA DEFINITIVO],Tabla43[[#This Row],[ZONA DEFINITIVO]])," ")</f>
        <v xml:space="preserve"> </v>
      </c>
      <c r="AJ230" s="54"/>
      <c r="AK230" s="54"/>
      <c r="AL230" s="64"/>
      <c r="AM230" s="55">
        <f>VLOOKUP(Tabla43[[#This Row],[SERVICIO 2025]],$J$2:$V$16,5,0)*Tabla43[[#This Row],[TOTAL COBERTURA]]</f>
        <v>1479300</v>
      </c>
      <c r="AN230" s="55">
        <f>VLOOKUP(Tabla43[[#This Row],[SERVICIO 2025]],$J$2:$V$16,6,0)*Tabla43[[#This Row],[TOTAL COBERTURA]]</f>
        <v>653020</v>
      </c>
      <c r="AO230" s="55">
        <f>VLOOKUP(Tabla43[[#This Row],[SERVICIO 2025]],$J$2:$V$16,8,0)*Tabla43[[#This Row],[TOTAL COBERTURA]]</f>
        <v>581980</v>
      </c>
      <c r="AP230" s="55">
        <f>VLOOKUP(Tabla43[[#This Row],[SERVICIO 2025]],$J$2:$V$16,3,0)*Tabla43[[#This Row],[TOTAL COBERTURA]]*7</f>
        <v>64682240</v>
      </c>
      <c r="AQ230" s="55">
        <f>VLOOKUP(Tabla43[[#This Row],[SERVICIO 2025]],$J$2:$V$16,10,0)*Tabla43[[#This Row],[TOTAL COBERTURA]]*7</f>
        <v>0</v>
      </c>
      <c r="AR230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67396540</v>
      </c>
      <c r="AS230" s="55" t="str">
        <f>+IF(Tabla43[[#This Row],[AGRUPACIONES]]=1,SUMIFS(Tabla43[VALOR TOTAL],Tabla43[ZONA DEFINITIVO],Tabla43[[#This Row],[ZONA DEFINITIVO]])," ")</f>
        <v xml:space="preserve"> </v>
      </c>
      <c r="AT230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11301600</v>
      </c>
      <c r="AU230" s="55">
        <f>VLOOKUP(Tabla43[[#This Row],[SERVICIO 2025]],$J$2:$V$16,3,0)*Tabla43[[#This Row],[TOTAL COBERTURA]]+Tabla43[[#This Row],[VALOR RACION PREPARADA]]/7</f>
        <v>9240320</v>
      </c>
      <c r="AV230" s="55">
        <f>VLOOKUP(Tabla43[[#This Row],[SERVICIO 2025]],$J$2:$V$16,3,0)*Tabla43[[#This Row],[TOTAL COBERTURA]]+Tabla43[[#This Row],[VALOR RACION PREPARADA]]/7</f>
        <v>9240320</v>
      </c>
      <c r="AW230" s="55">
        <f>VLOOKUP(Tabla43[[#This Row],[SERVICIO 2025]],$J$2:$V$16,3,0)*Tabla43[[#This Row],[TOTAL COBERTURA]]+Tabla43[[#This Row],[VALOR RACION PREPARADA]]/7</f>
        <v>9240320</v>
      </c>
      <c r="AX230" s="55">
        <f>VLOOKUP(Tabla43[[#This Row],[SERVICIO 2025]],$J$2:$V$16,3,0)*Tabla43[[#This Row],[TOTAL COBERTURA]]+Tabla43[[#This Row],[VALOR RACION PREPARADA]]/7</f>
        <v>9240320</v>
      </c>
      <c r="AY230" s="55">
        <f>VLOOKUP(Tabla43[[#This Row],[SERVICIO 2025]],$J$2:$V$16,3,0)*Tabla43[[#This Row],[TOTAL COBERTURA]]+Tabla43[[#This Row],[VALOR RACION PREPARADA]]/7</f>
        <v>9240320</v>
      </c>
      <c r="AZ230" s="55">
        <f>VLOOKUP(Tabla43[[#This Row],[SERVICIO 2025]],$J$2:$V$16,3,0)*Tabla43[[#This Row],[TOTAL COBERTURA]]+Tabla43[[#This Row],[VALOR RACION PREPARADA]]/7+Tabla43[[#This Row],[VALOR FASE PREPARATORIA DE CIERRE]]</f>
        <v>9893340</v>
      </c>
      <c r="BA230" s="55"/>
      <c r="BB230" s="55">
        <f>SUM(Tabla43[[#This Row],[DESEMBOLSO 1]:[DESEMBOLSO 8]])</f>
        <v>67396540</v>
      </c>
      <c r="BC230" s="55">
        <f>VLOOKUP(Tabla43[[#This Row],[SERVICIO 2025]],$J$2:$V$16,10,0)*Tabla43[[#This Row],[TOTAL COBERTURA]]*$W$3</f>
        <v>0</v>
      </c>
      <c r="BD230" s="66" t="s">
        <v>145</v>
      </c>
      <c r="BE230" s="58" t="b">
        <f>EXACT(Tabla43[[#This Row],[TOTAL APORTES ICBF]],Tabla43[[#This Row],[VALOR TOTAL]])</f>
        <v>1</v>
      </c>
      <c r="BF230" s="64">
        <f>SUM(Tabla43[[#This Row],[VALOR FASE PREPARATORIA DE ALISTAMIENTO]:[VALOR RACION PREPARADA]])-Tabla43[[#This Row],[VALOR TOTAL]]</f>
        <v>0</v>
      </c>
      <c r="BG230" s="58" t="b">
        <f>EXACT(Tabla43[[#This Row],[VALOR TOTAL]],Tabla43[[#This Row],[TOTAL DESEMBOLSOS]])</f>
        <v>1</v>
      </c>
      <c r="BH230" s="67">
        <f>Tabla43[[#This Row],[TOTAL DESEMBOLSOS]]-Tabla43[[#This Row],[VALOR TOTAL]]</f>
        <v>0</v>
      </c>
      <c r="BJ230" s="68" t="s">
        <v>3924</v>
      </c>
    </row>
    <row r="231" spans="1:62" s="68" customFormat="1" hidden="1">
      <c r="A231" s="69" t="s">
        <v>4263</v>
      </c>
      <c r="B231" s="57"/>
      <c r="C231" s="58" t="s">
        <v>87</v>
      </c>
      <c r="D231" s="58" t="s">
        <v>462</v>
      </c>
      <c r="E231" s="58" t="s">
        <v>3891</v>
      </c>
      <c r="F231" s="58" t="s">
        <v>16</v>
      </c>
      <c r="G231" s="58" t="s">
        <v>90</v>
      </c>
      <c r="H231" s="58" t="s">
        <v>2452</v>
      </c>
      <c r="I231" s="58">
        <v>58731138937</v>
      </c>
      <c r="J231" s="58" t="s">
        <v>4275</v>
      </c>
      <c r="K231" s="58">
        <v>1</v>
      </c>
      <c r="L231" s="58">
        <v>19</v>
      </c>
      <c r="M231" s="58"/>
      <c r="N231" s="69" t="s">
        <v>4263</v>
      </c>
      <c r="O231" s="58" t="s">
        <v>93</v>
      </c>
      <c r="P231" s="58"/>
      <c r="Q231" s="58"/>
      <c r="R231" s="58" t="s">
        <v>94</v>
      </c>
      <c r="S231" s="58">
        <v>10</v>
      </c>
      <c r="T231" s="58" t="s">
        <v>2502</v>
      </c>
      <c r="U231" s="58" t="s">
        <v>2503</v>
      </c>
      <c r="V231" s="58">
        <f>VLOOKUP(Tabla43[[#This Row],[ZONA DEFINITIVO]],Hoja1!$A$1:$D$129,3,0)</f>
        <v>232288</v>
      </c>
      <c r="W231" s="58">
        <f>VLOOKUP(Tabla43[[#This Row],[ZONA DEFINITIVO]],Hoja1!$A$1:$D$129,2,0)</f>
        <v>18593</v>
      </c>
      <c r="X231" s="58">
        <f>VLOOKUP(Tabla43[[#This Row],[ZONA DEFINITIVO]],Hoja1!$A$1:$D$129,4,0)</f>
        <v>117525</v>
      </c>
      <c r="Y231" s="58" t="str">
        <f>+IF(Tabla43[[#This Row],[AGRUPACIONES]]=1,SUMIFS(Tabla43[UDS],Tabla43[ZONA DEFINITIVO],Tabla43[[#This Row],[ZONA DEFINITIVO]])," ")</f>
        <v xml:space="preserve"> </v>
      </c>
      <c r="Z231" s="58" t="str">
        <f>+IF(Tabla43[[#This Row],[AGRUPACIONES]]=1,SUMIFS(Tabla43[TOTAL COBERTURA],Tabla43[ZONA DEFINITIVO],Tabla43[[#This Row],[ZONA DEFINITIVO]])," ")</f>
        <v xml:space="preserve"> </v>
      </c>
      <c r="AA231" s="58"/>
      <c r="AB231" s="53">
        <v>64026713</v>
      </c>
      <c r="AC231" s="79">
        <v>0.02</v>
      </c>
      <c r="AD231" s="54">
        <f>Tabla43[[#This Row],[VALOR ATENCIÓN (7 MESES)]]*Tabla43[[#This Row],[% CONTRAPARTIDA]]</f>
        <v>1280534.26</v>
      </c>
      <c r="AE231" s="58"/>
      <c r="AF231" s="58">
        <f>COUNTIF($A$22:A231,A231)</f>
        <v>7</v>
      </c>
      <c r="AG231" s="53">
        <v>64026713</v>
      </c>
      <c r="AH231" s="54">
        <f>Tabla43[[#This Row],[VALOR CONTRAPARTIDA]]+Tabla43[[#This Row],[TOTAL APORTES ICBF]]</f>
        <v>65307247.259999998</v>
      </c>
      <c r="AI231" s="55" t="str">
        <f>+IF(Tabla43[[#This Row],[AGRUPACIONES]]=1,SUMIFS(Tabla43[TOTAL APORTES ICBF],Tabla43[ZONA DEFINITIVO],Tabla43[[#This Row],[ZONA DEFINITIVO]])," ")</f>
        <v xml:space="preserve"> </v>
      </c>
      <c r="AJ231" s="54"/>
      <c r="AK231" s="54"/>
      <c r="AL231" s="64"/>
      <c r="AM231" s="55">
        <f>VLOOKUP(Tabla43[[#This Row],[SERVICIO 2025]],$J$2:$V$16,5,0)*Tabla43[[#This Row],[TOTAL COBERTURA]]</f>
        <v>1405335</v>
      </c>
      <c r="AN231" s="55">
        <f>VLOOKUP(Tabla43[[#This Row],[SERVICIO 2025]],$J$2:$V$16,6,0)*Tabla43[[#This Row],[TOTAL COBERTURA]]</f>
        <v>620369</v>
      </c>
      <c r="AO231" s="55">
        <f>VLOOKUP(Tabla43[[#This Row],[SERVICIO 2025]],$J$2:$V$16,8,0)*Tabla43[[#This Row],[TOTAL COBERTURA]]</f>
        <v>552881</v>
      </c>
      <c r="AP231" s="55">
        <f>VLOOKUP(Tabla43[[#This Row],[SERVICIO 2025]],$J$2:$V$16,3,0)*Tabla43[[#This Row],[TOTAL COBERTURA]]*7</f>
        <v>61448128</v>
      </c>
      <c r="AQ231" s="55">
        <f>VLOOKUP(Tabla43[[#This Row],[SERVICIO 2025]],$J$2:$V$16,10,0)*Tabla43[[#This Row],[TOTAL COBERTURA]]*7</f>
        <v>0</v>
      </c>
      <c r="AR231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64026713</v>
      </c>
      <c r="AS231" s="55" t="str">
        <f>+IF(Tabla43[[#This Row],[AGRUPACIONES]]=1,SUMIFS(Tabla43[VALOR TOTAL],Tabla43[ZONA DEFINITIVO],Tabla43[[#This Row],[ZONA DEFINITIVO]])," ")</f>
        <v xml:space="preserve"> </v>
      </c>
      <c r="AT231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10736520</v>
      </c>
      <c r="AU231" s="55">
        <f>VLOOKUP(Tabla43[[#This Row],[SERVICIO 2025]],$J$2:$V$16,3,0)*Tabla43[[#This Row],[TOTAL COBERTURA]]+Tabla43[[#This Row],[VALOR RACION PREPARADA]]/7</f>
        <v>8778304</v>
      </c>
      <c r="AV231" s="55">
        <f>VLOOKUP(Tabla43[[#This Row],[SERVICIO 2025]],$J$2:$V$16,3,0)*Tabla43[[#This Row],[TOTAL COBERTURA]]+Tabla43[[#This Row],[VALOR RACION PREPARADA]]/7</f>
        <v>8778304</v>
      </c>
      <c r="AW231" s="55">
        <f>VLOOKUP(Tabla43[[#This Row],[SERVICIO 2025]],$J$2:$V$16,3,0)*Tabla43[[#This Row],[TOTAL COBERTURA]]+Tabla43[[#This Row],[VALOR RACION PREPARADA]]/7</f>
        <v>8778304</v>
      </c>
      <c r="AX231" s="55">
        <f>VLOOKUP(Tabla43[[#This Row],[SERVICIO 2025]],$J$2:$V$16,3,0)*Tabla43[[#This Row],[TOTAL COBERTURA]]+Tabla43[[#This Row],[VALOR RACION PREPARADA]]/7</f>
        <v>8778304</v>
      </c>
      <c r="AY231" s="55">
        <f>VLOOKUP(Tabla43[[#This Row],[SERVICIO 2025]],$J$2:$V$16,3,0)*Tabla43[[#This Row],[TOTAL COBERTURA]]+Tabla43[[#This Row],[VALOR RACION PREPARADA]]/7</f>
        <v>8778304</v>
      </c>
      <c r="AZ231" s="55">
        <f>VLOOKUP(Tabla43[[#This Row],[SERVICIO 2025]],$J$2:$V$16,3,0)*Tabla43[[#This Row],[TOTAL COBERTURA]]+Tabla43[[#This Row],[VALOR RACION PREPARADA]]/7+Tabla43[[#This Row],[VALOR FASE PREPARATORIA DE CIERRE]]</f>
        <v>9398673</v>
      </c>
      <c r="BA231" s="55"/>
      <c r="BB231" s="55">
        <f>SUM(Tabla43[[#This Row],[DESEMBOLSO 1]:[DESEMBOLSO 8]])</f>
        <v>64026713</v>
      </c>
      <c r="BC231" s="55">
        <f>VLOOKUP(Tabla43[[#This Row],[SERVICIO 2025]],$J$2:$V$16,10,0)*Tabla43[[#This Row],[TOTAL COBERTURA]]*$W$3</f>
        <v>0</v>
      </c>
      <c r="BD231" s="66" t="s">
        <v>145</v>
      </c>
      <c r="BE231" s="58" t="b">
        <f>EXACT(Tabla43[[#This Row],[TOTAL APORTES ICBF]],Tabla43[[#This Row],[VALOR TOTAL]])</f>
        <v>1</v>
      </c>
      <c r="BF231" s="64">
        <f>SUM(Tabla43[[#This Row],[VALOR FASE PREPARATORIA DE ALISTAMIENTO]:[VALOR RACION PREPARADA]])-Tabla43[[#This Row],[VALOR TOTAL]]</f>
        <v>0</v>
      </c>
      <c r="BG231" s="58" t="b">
        <f>EXACT(Tabla43[[#This Row],[VALOR TOTAL]],Tabla43[[#This Row],[TOTAL DESEMBOLSOS]])</f>
        <v>1</v>
      </c>
      <c r="BH231" s="67">
        <f>Tabla43[[#This Row],[TOTAL DESEMBOLSOS]]-Tabla43[[#This Row],[VALOR TOTAL]]</f>
        <v>0</v>
      </c>
      <c r="BJ231" s="68" t="s">
        <v>3924</v>
      </c>
    </row>
    <row r="232" spans="1:62" s="68" customFormat="1" hidden="1">
      <c r="A232" s="69" t="s">
        <v>4263</v>
      </c>
      <c r="B232" s="57"/>
      <c r="C232" s="58" t="s">
        <v>87</v>
      </c>
      <c r="D232" s="58" t="s">
        <v>462</v>
      </c>
      <c r="E232" s="58" t="s">
        <v>3891</v>
      </c>
      <c r="F232" s="58" t="s">
        <v>16</v>
      </c>
      <c r="G232" s="58" t="s">
        <v>90</v>
      </c>
      <c r="H232" s="58" t="s">
        <v>4276</v>
      </c>
      <c r="I232" s="58">
        <v>58731139139</v>
      </c>
      <c r="J232" s="58" t="s">
        <v>4277</v>
      </c>
      <c r="K232" s="58">
        <v>1</v>
      </c>
      <c r="L232" s="58">
        <v>30</v>
      </c>
      <c r="M232" s="58"/>
      <c r="N232" s="69" t="s">
        <v>4263</v>
      </c>
      <c r="O232" s="58" t="s">
        <v>93</v>
      </c>
      <c r="P232" s="58"/>
      <c r="Q232" s="58"/>
      <c r="R232" s="58" t="s">
        <v>94</v>
      </c>
      <c r="S232" s="58">
        <v>10</v>
      </c>
      <c r="T232" s="58" t="s">
        <v>2502</v>
      </c>
      <c r="U232" s="58" t="s">
        <v>2503</v>
      </c>
      <c r="V232" s="58">
        <f>VLOOKUP(Tabla43[[#This Row],[ZONA DEFINITIVO]],Hoja1!$A$1:$D$129,3,0)</f>
        <v>232288</v>
      </c>
      <c r="W232" s="58">
        <f>VLOOKUP(Tabla43[[#This Row],[ZONA DEFINITIVO]],Hoja1!$A$1:$D$129,2,0)</f>
        <v>18593</v>
      </c>
      <c r="X232" s="58">
        <f>VLOOKUP(Tabla43[[#This Row],[ZONA DEFINITIVO]],Hoja1!$A$1:$D$129,4,0)</f>
        <v>117525</v>
      </c>
      <c r="Y232" s="58" t="str">
        <f>+IF(Tabla43[[#This Row],[AGRUPACIONES]]=1,SUMIFS(Tabla43[UDS],Tabla43[ZONA DEFINITIVO],Tabla43[[#This Row],[ZONA DEFINITIVO]])," ")</f>
        <v xml:space="preserve"> </v>
      </c>
      <c r="Z232" s="58" t="str">
        <f>+IF(Tabla43[[#This Row],[AGRUPACIONES]]=1,SUMIFS(Tabla43[TOTAL COBERTURA],Tabla43[ZONA DEFINITIVO],Tabla43[[#This Row],[ZONA DEFINITIVO]])," ")</f>
        <v xml:space="preserve"> </v>
      </c>
      <c r="AA232" s="58"/>
      <c r="AB232" s="53">
        <v>101094810</v>
      </c>
      <c r="AC232" s="79">
        <v>0.02</v>
      </c>
      <c r="AD232" s="54">
        <f>Tabla43[[#This Row],[VALOR ATENCIÓN (7 MESES)]]*Tabla43[[#This Row],[% CONTRAPARTIDA]]</f>
        <v>2021896.2</v>
      </c>
      <c r="AE232" s="58"/>
      <c r="AF232" s="58">
        <f>COUNTIF($A$22:A232,A232)</f>
        <v>8</v>
      </c>
      <c r="AG232" s="53">
        <v>101094810</v>
      </c>
      <c r="AH232" s="54">
        <f>Tabla43[[#This Row],[VALOR CONTRAPARTIDA]]+Tabla43[[#This Row],[TOTAL APORTES ICBF]]</f>
        <v>103116706.2</v>
      </c>
      <c r="AI232" s="55" t="str">
        <f>+IF(Tabla43[[#This Row],[AGRUPACIONES]]=1,SUMIFS(Tabla43[TOTAL APORTES ICBF],Tabla43[ZONA DEFINITIVO],Tabla43[[#This Row],[ZONA DEFINITIVO]])," ")</f>
        <v xml:space="preserve"> </v>
      </c>
      <c r="AJ232" s="54"/>
      <c r="AK232" s="54"/>
      <c r="AL232" s="64"/>
      <c r="AM232" s="55">
        <f>VLOOKUP(Tabla43[[#This Row],[SERVICIO 2025]],$J$2:$V$16,5,0)*Tabla43[[#This Row],[TOTAL COBERTURA]]</f>
        <v>2218950</v>
      </c>
      <c r="AN232" s="55">
        <f>VLOOKUP(Tabla43[[#This Row],[SERVICIO 2025]],$J$2:$V$16,6,0)*Tabla43[[#This Row],[TOTAL COBERTURA]]</f>
        <v>979530</v>
      </c>
      <c r="AO232" s="55">
        <f>VLOOKUP(Tabla43[[#This Row],[SERVICIO 2025]],$J$2:$V$16,8,0)*Tabla43[[#This Row],[TOTAL COBERTURA]]</f>
        <v>872970</v>
      </c>
      <c r="AP232" s="55">
        <f>VLOOKUP(Tabla43[[#This Row],[SERVICIO 2025]],$J$2:$V$16,3,0)*Tabla43[[#This Row],[TOTAL COBERTURA]]*7</f>
        <v>97023360</v>
      </c>
      <c r="AQ232" s="55">
        <f>VLOOKUP(Tabla43[[#This Row],[SERVICIO 2025]],$J$2:$V$16,10,0)*Tabla43[[#This Row],[TOTAL COBERTURA]]*7</f>
        <v>0</v>
      </c>
      <c r="AR232" s="55">
        <f>Tabla43[[#This Row],[VALOR FASE PREPARATORIA DE ALISTAMIENTO]]+Tabla43[[#This Row],[VALOR FASE PREPARATORIA DE CIERRE]]+Tabla43[[#This Row],[DOTACIÓN ÚNICA]]+Tabla43[[#This Row],[VALOR ATENCIÓN]]+Tabla43[[#This Row],[VALOR RACION PREPARADA]]</f>
        <v>101094810</v>
      </c>
      <c r="AS232" s="55" t="str">
        <f>+IF(Tabla43[[#This Row],[AGRUPACIONES]]=1,SUMIFS(Tabla43[VALOR TOTAL],Tabla43[ZONA DEFINITIVO],Tabla43[[#This Row],[ZONA DEFINITIVO]])," ")</f>
        <v xml:space="preserve"> </v>
      </c>
      <c r="AT232" s="65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16952400</v>
      </c>
      <c r="AU232" s="55">
        <f>VLOOKUP(Tabla43[[#This Row],[SERVICIO 2025]],$J$2:$V$16,3,0)*Tabla43[[#This Row],[TOTAL COBERTURA]]+Tabla43[[#This Row],[VALOR RACION PREPARADA]]/7</f>
        <v>13860480</v>
      </c>
      <c r="AV232" s="55">
        <f>VLOOKUP(Tabla43[[#This Row],[SERVICIO 2025]],$J$2:$V$16,3,0)*Tabla43[[#This Row],[TOTAL COBERTURA]]+Tabla43[[#This Row],[VALOR RACION PREPARADA]]/7</f>
        <v>13860480</v>
      </c>
      <c r="AW232" s="55">
        <f>VLOOKUP(Tabla43[[#This Row],[SERVICIO 2025]],$J$2:$V$16,3,0)*Tabla43[[#This Row],[TOTAL COBERTURA]]+Tabla43[[#This Row],[VALOR RACION PREPARADA]]/7</f>
        <v>13860480</v>
      </c>
      <c r="AX232" s="55">
        <f>VLOOKUP(Tabla43[[#This Row],[SERVICIO 2025]],$J$2:$V$16,3,0)*Tabla43[[#This Row],[TOTAL COBERTURA]]+Tabla43[[#This Row],[VALOR RACION PREPARADA]]/7</f>
        <v>13860480</v>
      </c>
      <c r="AY232" s="55">
        <f>VLOOKUP(Tabla43[[#This Row],[SERVICIO 2025]],$J$2:$V$16,3,0)*Tabla43[[#This Row],[TOTAL COBERTURA]]+Tabla43[[#This Row],[VALOR RACION PREPARADA]]/7</f>
        <v>13860480</v>
      </c>
      <c r="AZ232" s="55">
        <f>VLOOKUP(Tabla43[[#This Row],[SERVICIO 2025]],$J$2:$V$16,3,0)*Tabla43[[#This Row],[TOTAL COBERTURA]]+Tabla43[[#This Row],[VALOR RACION PREPARADA]]/7+Tabla43[[#This Row],[VALOR FASE PREPARATORIA DE CIERRE]]</f>
        <v>14840010</v>
      </c>
      <c r="BA232" s="55"/>
      <c r="BB232" s="55">
        <f>SUM(Tabla43[[#This Row],[DESEMBOLSO 1]:[DESEMBOLSO 8]])</f>
        <v>101094810</v>
      </c>
      <c r="BC232" s="55">
        <f>VLOOKUP(Tabla43[[#This Row],[SERVICIO 2025]],$J$2:$V$16,10,0)*Tabla43[[#This Row],[TOTAL COBERTURA]]*$W$3</f>
        <v>0</v>
      </c>
      <c r="BD232" s="66" t="s">
        <v>145</v>
      </c>
      <c r="BE232" s="58" t="b">
        <f>EXACT(Tabla43[[#This Row],[TOTAL APORTES ICBF]],Tabla43[[#This Row],[VALOR TOTAL]])</f>
        <v>1</v>
      </c>
      <c r="BF232" s="64">
        <f>SUM(Tabla43[[#This Row],[VALOR FASE PREPARATORIA DE ALISTAMIENTO]:[VALOR RACION PREPARADA]])-Tabla43[[#This Row],[VALOR TOTAL]]</f>
        <v>0</v>
      </c>
      <c r="BG232" s="58" t="b">
        <f>EXACT(Tabla43[[#This Row],[VALOR TOTAL]],Tabla43[[#This Row],[TOTAL DESEMBOLSOS]])</f>
        <v>1</v>
      </c>
      <c r="BH232" s="67">
        <f>Tabla43[[#This Row],[TOTAL DESEMBOLSOS]]-Tabla43[[#This Row],[VALOR TOTAL]]</f>
        <v>0</v>
      </c>
      <c r="BJ232" s="68" t="s">
        <v>3924</v>
      </c>
    </row>
    <row r="233" spans="1:62" hidden="1">
      <c r="A233" s="71" t="s">
        <v>4278</v>
      </c>
      <c r="B233" s="13"/>
      <c r="C233" s="12" t="s">
        <v>87</v>
      </c>
      <c r="D233" s="12" t="s">
        <v>579</v>
      </c>
      <c r="E233" s="12" t="s">
        <v>3919</v>
      </c>
      <c r="F233" s="12" t="s">
        <v>2843</v>
      </c>
      <c r="G233" s="12" t="s">
        <v>90</v>
      </c>
      <c r="H233" s="12" t="s">
        <v>4279</v>
      </c>
      <c r="I233" s="12">
        <v>52841119132</v>
      </c>
      <c r="J233" s="12" t="s">
        <v>4280</v>
      </c>
      <c r="K233" s="12">
        <v>1</v>
      </c>
      <c r="L233" s="12">
        <v>16</v>
      </c>
      <c r="M233" s="12"/>
      <c r="N233" s="71" t="s">
        <v>4278</v>
      </c>
      <c r="O233" s="12" t="s">
        <v>3894</v>
      </c>
      <c r="P233" s="12"/>
      <c r="Q233" s="12"/>
      <c r="R233" s="12" t="s">
        <v>94</v>
      </c>
      <c r="S233" s="12">
        <v>10</v>
      </c>
      <c r="T233" s="12">
        <v>811019041</v>
      </c>
      <c r="U233" s="12" t="s">
        <v>4246</v>
      </c>
      <c r="V233" s="12">
        <f>VLOOKUP(Tabla43[[#This Row],[ZONA DEFINITIVO]],Hoja1!$A$1:$D$129,3,0)</f>
        <v>232291</v>
      </c>
      <c r="W233" s="12">
        <f>VLOOKUP(Tabla43[[#This Row],[ZONA DEFINITIVO]],Hoja1!$A$1:$D$129,2,0)</f>
        <v>18588</v>
      </c>
      <c r="X233" s="12">
        <f>VLOOKUP(Tabla43[[#This Row],[ZONA DEFINITIVO]],Hoja1!$A$1:$D$129,4,0)</f>
        <v>117125</v>
      </c>
      <c r="Y233" s="12">
        <f>+IF(Tabla43[[#This Row],[AGRUPACIONES]]=1,SUMIFS(Tabla43[UDS],Tabla43[ZONA DEFINITIVO],Tabla43[[#This Row],[ZONA DEFINITIVO]])," ")</f>
        <v>6</v>
      </c>
      <c r="Z233" s="12">
        <f>+IF(Tabla43[[#This Row],[AGRUPACIONES]]=1,SUMIFS(Tabla43[TOTAL COBERTURA],Tabla43[ZONA DEFINITIVO],Tabla43[[#This Row],[ZONA DEFINITIVO]])," ")</f>
        <v>164</v>
      </c>
      <c r="AA233" s="12"/>
      <c r="AB233" s="51">
        <v>50964608</v>
      </c>
      <c r="AC233" s="51"/>
      <c r="AD233" s="38">
        <f>Tabla43[[#This Row],[VALOR ATENCIÓN (7 MESES)]]*Tabla43[[#This Row],[% CONTRAPARTIDA]]</f>
        <v>0</v>
      </c>
      <c r="AE233" s="12"/>
      <c r="AF233" s="12">
        <f>COUNTIF($A$22:A233,A233)</f>
        <v>1</v>
      </c>
      <c r="AG233" s="51">
        <v>50964608</v>
      </c>
      <c r="AH233" s="38">
        <f>Tabla43[[#This Row],[VALOR CONTRAPARTIDA]]+Tabla43[[#This Row],[TOTAL APORTES ICBF]]</f>
        <v>50964608</v>
      </c>
      <c r="AI233" s="35">
        <f>+IF(Tabla43[[#This Row],[AGRUPACIONES]]=1,SUMIFS(Tabla43[TOTAL APORTES ICBF],Tabla43[ZONA DEFINITIVO],Tabla43[[#This Row],[ZONA DEFINITIVO]])," ")</f>
        <v>522387232</v>
      </c>
      <c r="AJ233" s="38">
        <f>ROUND(+IF(Tabla43[[#This Row],[AGRUPACIONES]]=1,SUMIFS(Tabla43[VALOR CONTRAPARTIDA],Tabla43[ZONA DEFINITIVO],Tabla43[[#This Row],[ZONA DEFINITIVO]])," "),0)</f>
        <v>0</v>
      </c>
      <c r="AK233" s="38">
        <f>Tabla43[[#This Row],[TOTAL APORTES ICBF AGRUPADO]]+Tabla43[[#This Row],[TOTAL CONTRAPARTIDA AGRUPADO]]</f>
        <v>522387232</v>
      </c>
      <c r="AL233" s="23">
        <f>Tabla43[[#This Row],[TOTAL APORTES ICBF AGRUPADO]]/$AL$20</f>
        <v>366.97381945907972</v>
      </c>
      <c r="AM233" s="35">
        <f>VLOOKUP(Tabla43[[#This Row],[SERVICIO 2025]],$J$2:$V$16,5,0)*Tabla43[[#This Row],[TOTAL COBERTURA]]</f>
        <v>790016</v>
      </c>
      <c r="AN233" s="35">
        <f>VLOOKUP(Tabla43[[#This Row],[SERVICIO 2025]],$J$2:$V$16,6,0)*Tabla43[[#This Row],[TOTAL COBERTURA]]</f>
        <v>656464</v>
      </c>
      <c r="AO233" s="35">
        <f>VLOOKUP(Tabla43[[#This Row],[SERVICIO 2025]],$J$2:$V$16,8,0)*Tabla43[[#This Row],[TOTAL COBERTURA]]</f>
        <v>465600</v>
      </c>
      <c r="AP233" s="35">
        <f>VLOOKUP(Tabla43[[#This Row],[SERVICIO 2025]],$J$2:$V$16,3,0)*Tabla43[[#This Row],[TOTAL COBERTURA]]*7</f>
        <v>49052528</v>
      </c>
      <c r="AQ233" s="35">
        <f>VLOOKUP(Tabla43[[#This Row],[SERVICIO 2025]],$J$2:$V$16,10,0)*Tabla43[[#This Row],[TOTAL COBERTURA]]*7</f>
        <v>0</v>
      </c>
      <c r="AR23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50964608</v>
      </c>
      <c r="AS233" s="35">
        <f>+IF(Tabla43[[#This Row],[AGRUPACIONES]]=1,SUMIFS(Tabla43[VALOR TOTAL],Tabla43[ZONA DEFINITIVO],Tabla43[[#This Row],[ZONA DEFINITIVO]])," ")</f>
        <v>522387232</v>
      </c>
      <c r="AT23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8263120</v>
      </c>
      <c r="AU233" s="35">
        <f>VLOOKUP(Tabla43[[#This Row],[SERVICIO 2025]],$J$2:$V$16,3,0)*Tabla43[[#This Row],[TOTAL COBERTURA]]+Tabla43[[#This Row],[VALOR RACION PREPARADA]]/7</f>
        <v>7007504</v>
      </c>
      <c r="AV233" s="35">
        <f>VLOOKUP(Tabla43[[#This Row],[SERVICIO 2025]],$J$2:$V$16,3,0)*Tabla43[[#This Row],[TOTAL COBERTURA]]+Tabla43[[#This Row],[VALOR RACION PREPARADA]]/7</f>
        <v>7007504</v>
      </c>
      <c r="AW233" s="35">
        <f>VLOOKUP(Tabla43[[#This Row],[SERVICIO 2025]],$J$2:$V$16,3,0)*Tabla43[[#This Row],[TOTAL COBERTURA]]+Tabla43[[#This Row],[VALOR RACION PREPARADA]]/7</f>
        <v>7007504</v>
      </c>
      <c r="AX233" s="35">
        <f>VLOOKUP(Tabla43[[#This Row],[SERVICIO 2025]],$J$2:$V$16,3,0)*Tabla43[[#This Row],[TOTAL COBERTURA]]+Tabla43[[#This Row],[VALOR RACION PREPARADA]]/7</f>
        <v>7007504</v>
      </c>
      <c r="AY233" s="35">
        <f>VLOOKUP(Tabla43[[#This Row],[SERVICIO 2025]],$J$2:$V$16,3,0)*Tabla43[[#This Row],[TOTAL COBERTURA]]+Tabla43[[#This Row],[VALOR RACION PREPARADA]]/7</f>
        <v>7007504</v>
      </c>
      <c r="AZ233" s="35">
        <f>VLOOKUP(Tabla43[[#This Row],[SERVICIO 2025]],$J$2:$V$16,3,0)*Tabla43[[#This Row],[TOTAL COBERTURA]]+Tabla43[[#This Row],[VALOR RACION PREPARADA]]/7+Tabla43[[#This Row],[VALOR FASE PREPARATORIA DE CIERRE]]</f>
        <v>7663968</v>
      </c>
      <c r="BA233" s="35"/>
      <c r="BB233" s="35">
        <f>SUM(Tabla43[[#This Row],[DESEMBOLSO 1]:[DESEMBOLSO 8]])</f>
        <v>50964608</v>
      </c>
      <c r="BC233" s="55">
        <f>VLOOKUP(Tabla43[[#This Row],[SERVICIO 2025]],$J$2:$V$16,10,0)*Tabla43[[#This Row],[TOTAL COBERTURA]]*$W$3</f>
        <v>0</v>
      </c>
      <c r="BD233" s="66" t="s">
        <v>145</v>
      </c>
      <c r="BE233" s="12" t="b">
        <f>EXACT(Tabla43[[#This Row],[TOTAL APORTES ICBF]],Tabla43[[#This Row],[VALOR TOTAL]])</f>
        <v>1</v>
      </c>
      <c r="BF233" s="23">
        <f>SUM(Tabla43[[#This Row],[VALOR FASE PREPARATORIA DE ALISTAMIENTO]:[VALOR RACION PREPARADA]])-Tabla43[[#This Row],[VALOR TOTAL]]</f>
        <v>0</v>
      </c>
      <c r="BG233" s="12" t="b">
        <f>EXACT(Tabla43[[#This Row],[VALOR TOTAL]],Tabla43[[#This Row],[TOTAL DESEMBOLSOS]])</f>
        <v>1</v>
      </c>
      <c r="BH233" s="29">
        <f>Tabla43[[#This Row],[TOTAL DESEMBOLSOS]]-Tabla43[[#This Row],[VALOR TOTAL]]</f>
        <v>0</v>
      </c>
      <c r="BJ233" t="s">
        <v>3896</v>
      </c>
    </row>
    <row r="234" spans="1:62" hidden="1">
      <c r="A234" s="71" t="s">
        <v>4278</v>
      </c>
      <c r="B234" s="13"/>
      <c r="C234" s="12" t="s">
        <v>87</v>
      </c>
      <c r="D234" s="12" t="s">
        <v>579</v>
      </c>
      <c r="E234" s="12" t="s">
        <v>3919</v>
      </c>
      <c r="F234" s="12" t="s">
        <v>2843</v>
      </c>
      <c r="G234" s="12" t="s">
        <v>90</v>
      </c>
      <c r="H234" s="12" t="s">
        <v>4281</v>
      </c>
      <c r="I234" s="12">
        <v>52841136873</v>
      </c>
      <c r="J234" s="12" t="s">
        <v>4282</v>
      </c>
      <c r="K234" s="12">
        <v>1</v>
      </c>
      <c r="L234" s="12">
        <v>54</v>
      </c>
      <c r="M234" s="12"/>
      <c r="N234" s="71" t="s">
        <v>4278</v>
      </c>
      <c r="O234" s="12" t="s">
        <v>3894</v>
      </c>
      <c r="P234" s="12"/>
      <c r="Q234" s="12"/>
      <c r="R234" s="12" t="s">
        <v>94</v>
      </c>
      <c r="S234" s="12">
        <v>10</v>
      </c>
      <c r="T234" s="12">
        <v>811019041</v>
      </c>
      <c r="U234" s="12" t="s">
        <v>4246</v>
      </c>
      <c r="V234" s="12">
        <f>VLOOKUP(Tabla43[[#This Row],[ZONA DEFINITIVO]],Hoja1!$A$1:$D$129,3,0)</f>
        <v>232291</v>
      </c>
      <c r="W234" s="12">
        <f>VLOOKUP(Tabla43[[#This Row],[ZONA DEFINITIVO]],Hoja1!$A$1:$D$129,2,0)</f>
        <v>18588</v>
      </c>
      <c r="X234" s="12">
        <f>VLOOKUP(Tabla43[[#This Row],[ZONA DEFINITIVO]],Hoja1!$A$1:$D$129,4,0)</f>
        <v>117125</v>
      </c>
      <c r="Y234" s="12" t="str">
        <f>+IF(Tabla43[[#This Row],[AGRUPACIONES]]=1,SUMIFS(Tabla43[UDS],Tabla43[ZONA DEFINITIVO],Tabla43[[#This Row],[ZONA DEFINITIVO]])," ")</f>
        <v xml:space="preserve"> </v>
      </c>
      <c r="Z234" s="12" t="str">
        <f>+IF(Tabla43[[#This Row],[AGRUPACIONES]]=1,SUMIFS(Tabla43[TOTAL COBERTURA],Tabla43[ZONA DEFINITIVO],Tabla43[[#This Row],[ZONA DEFINITIVO]])," ")</f>
        <v xml:space="preserve"> </v>
      </c>
      <c r="AA234" s="12"/>
      <c r="AB234" s="51">
        <v>172005552</v>
      </c>
      <c r="AC234" s="51"/>
      <c r="AD234" s="38">
        <f>Tabla43[[#This Row],[VALOR ATENCIÓN (7 MESES)]]*Tabla43[[#This Row],[% CONTRAPARTIDA]]</f>
        <v>0</v>
      </c>
      <c r="AE234" s="12"/>
      <c r="AF234" s="12">
        <f>COUNTIF($A$22:A234,A234)</f>
        <v>2</v>
      </c>
      <c r="AG234" s="51">
        <v>172005552</v>
      </c>
      <c r="AH234" s="38">
        <f>Tabla43[[#This Row],[VALOR CONTRAPARTIDA]]+Tabla43[[#This Row],[TOTAL APORTES ICBF]]</f>
        <v>172005552</v>
      </c>
      <c r="AI234" s="35" t="str">
        <f>+IF(Tabla43[[#This Row],[AGRUPACIONES]]=1,SUMIFS(Tabla43[TOTAL APORTES ICBF],Tabla43[ZONA DEFINITIVO],Tabla43[[#This Row],[ZONA DEFINITIVO]])," ")</f>
        <v xml:space="preserve"> </v>
      </c>
      <c r="AJ234" s="38"/>
      <c r="AK234" s="38"/>
      <c r="AL234" s="23"/>
      <c r="AM234" s="35">
        <f>VLOOKUP(Tabla43[[#This Row],[SERVICIO 2025]],$J$2:$V$16,5,0)*Tabla43[[#This Row],[TOTAL COBERTURA]]</f>
        <v>2666304</v>
      </c>
      <c r="AN234" s="35">
        <f>VLOOKUP(Tabla43[[#This Row],[SERVICIO 2025]],$J$2:$V$16,6,0)*Tabla43[[#This Row],[TOTAL COBERTURA]]</f>
        <v>2215566</v>
      </c>
      <c r="AO234" s="35">
        <f>VLOOKUP(Tabla43[[#This Row],[SERVICIO 2025]],$J$2:$V$16,8,0)*Tabla43[[#This Row],[TOTAL COBERTURA]]</f>
        <v>1571400</v>
      </c>
      <c r="AP234" s="35">
        <f>VLOOKUP(Tabla43[[#This Row],[SERVICIO 2025]],$J$2:$V$16,3,0)*Tabla43[[#This Row],[TOTAL COBERTURA]]*7</f>
        <v>165552282</v>
      </c>
      <c r="AQ234" s="35">
        <f>VLOOKUP(Tabla43[[#This Row],[SERVICIO 2025]],$J$2:$V$16,10,0)*Tabla43[[#This Row],[TOTAL COBERTURA]]*7</f>
        <v>0</v>
      </c>
      <c r="AR23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172005552</v>
      </c>
      <c r="AS234" s="35" t="str">
        <f>+IF(Tabla43[[#This Row],[AGRUPACIONES]]=1,SUMIFS(Tabla43[VALOR TOTAL],Tabla43[ZONA DEFINITIVO],Tabla43[[#This Row],[ZONA DEFINITIVO]])," ")</f>
        <v xml:space="preserve"> </v>
      </c>
      <c r="AT23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27888030</v>
      </c>
      <c r="AU234" s="35">
        <f>VLOOKUP(Tabla43[[#This Row],[SERVICIO 2025]],$J$2:$V$16,3,0)*Tabla43[[#This Row],[TOTAL COBERTURA]]+Tabla43[[#This Row],[VALOR RACION PREPARADA]]/7</f>
        <v>23650326</v>
      </c>
      <c r="AV234" s="35">
        <f>VLOOKUP(Tabla43[[#This Row],[SERVICIO 2025]],$J$2:$V$16,3,0)*Tabla43[[#This Row],[TOTAL COBERTURA]]+Tabla43[[#This Row],[VALOR RACION PREPARADA]]/7</f>
        <v>23650326</v>
      </c>
      <c r="AW234" s="35">
        <f>VLOOKUP(Tabla43[[#This Row],[SERVICIO 2025]],$J$2:$V$16,3,0)*Tabla43[[#This Row],[TOTAL COBERTURA]]+Tabla43[[#This Row],[VALOR RACION PREPARADA]]/7</f>
        <v>23650326</v>
      </c>
      <c r="AX234" s="35">
        <f>VLOOKUP(Tabla43[[#This Row],[SERVICIO 2025]],$J$2:$V$16,3,0)*Tabla43[[#This Row],[TOTAL COBERTURA]]+Tabla43[[#This Row],[VALOR RACION PREPARADA]]/7</f>
        <v>23650326</v>
      </c>
      <c r="AY234" s="35">
        <f>VLOOKUP(Tabla43[[#This Row],[SERVICIO 2025]],$J$2:$V$16,3,0)*Tabla43[[#This Row],[TOTAL COBERTURA]]+Tabla43[[#This Row],[VALOR RACION PREPARADA]]/7</f>
        <v>23650326</v>
      </c>
      <c r="AZ234" s="35">
        <f>VLOOKUP(Tabla43[[#This Row],[SERVICIO 2025]],$J$2:$V$16,3,0)*Tabla43[[#This Row],[TOTAL COBERTURA]]+Tabla43[[#This Row],[VALOR RACION PREPARADA]]/7+Tabla43[[#This Row],[VALOR FASE PREPARATORIA DE CIERRE]]</f>
        <v>25865892</v>
      </c>
      <c r="BA234" s="35"/>
      <c r="BB234" s="35">
        <f>SUM(Tabla43[[#This Row],[DESEMBOLSO 1]:[DESEMBOLSO 8]])</f>
        <v>172005552</v>
      </c>
      <c r="BC234" s="55">
        <f>VLOOKUP(Tabla43[[#This Row],[SERVICIO 2025]],$J$2:$V$16,10,0)*Tabla43[[#This Row],[TOTAL COBERTURA]]*$W$3</f>
        <v>0</v>
      </c>
      <c r="BD234" s="66" t="s">
        <v>145</v>
      </c>
      <c r="BE234" s="12" t="b">
        <f>EXACT(Tabla43[[#This Row],[TOTAL APORTES ICBF]],Tabla43[[#This Row],[VALOR TOTAL]])</f>
        <v>1</v>
      </c>
      <c r="BF234" s="23">
        <f>SUM(Tabla43[[#This Row],[VALOR FASE PREPARATORIA DE ALISTAMIENTO]:[VALOR RACION PREPARADA]])-Tabla43[[#This Row],[VALOR TOTAL]]</f>
        <v>0</v>
      </c>
      <c r="BG234" s="12" t="b">
        <f>EXACT(Tabla43[[#This Row],[VALOR TOTAL]],Tabla43[[#This Row],[TOTAL DESEMBOLSOS]])</f>
        <v>1</v>
      </c>
      <c r="BH234" s="29">
        <f>Tabla43[[#This Row],[TOTAL DESEMBOLSOS]]-Tabla43[[#This Row],[VALOR TOTAL]]</f>
        <v>0</v>
      </c>
      <c r="BJ234" t="s">
        <v>3896</v>
      </c>
    </row>
    <row r="235" spans="1:62" hidden="1">
      <c r="A235" s="71" t="s">
        <v>4278</v>
      </c>
      <c r="B235" s="13"/>
      <c r="C235" s="12" t="s">
        <v>87</v>
      </c>
      <c r="D235" s="12" t="s">
        <v>579</v>
      </c>
      <c r="E235" s="12" t="s">
        <v>3919</v>
      </c>
      <c r="F235" s="12" t="s">
        <v>2843</v>
      </c>
      <c r="G235" s="12" t="s">
        <v>90</v>
      </c>
      <c r="H235" s="12" t="s">
        <v>4283</v>
      </c>
      <c r="I235" s="12">
        <v>52841144515</v>
      </c>
      <c r="J235" s="12" t="s">
        <v>4284</v>
      </c>
      <c r="K235" s="12">
        <v>1</v>
      </c>
      <c r="L235" s="12">
        <v>26</v>
      </c>
      <c r="M235" s="12"/>
      <c r="N235" s="71" t="s">
        <v>4278</v>
      </c>
      <c r="O235" s="12" t="s">
        <v>3894</v>
      </c>
      <c r="P235" s="12"/>
      <c r="Q235" s="12"/>
      <c r="R235" s="12" t="s">
        <v>94</v>
      </c>
      <c r="S235" s="12">
        <v>10</v>
      </c>
      <c r="T235" s="12">
        <v>811019041</v>
      </c>
      <c r="U235" s="12" t="s">
        <v>4246</v>
      </c>
      <c r="V235" s="12">
        <f>VLOOKUP(Tabla43[[#This Row],[ZONA DEFINITIVO]],Hoja1!$A$1:$D$129,3,0)</f>
        <v>232291</v>
      </c>
      <c r="W235" s="12">
        <f>VLOOKUP(Tabla43[[#This Row],[ZONA DEFINITIVO]],Hoja1!$A$1:$D$129,2,0)</f>
        <v>18588</v>
      </c>
      <c r="X235" s="12">
        <f>VLOOKUP(Tabla43[[#This Row],[ZONA DEFINITIVO]],Hoja1!$A$1:$D$129,4,0)</f>
        <v>117125</v>
      </c>
      <c r="Y235" s="12" t="str">
        <f>+IF(Tabla43[[#This Row],[AGRUPACIONES]]=1,SUMIFS(Tabla43[UDS],Tabla43[ZONA DEFINITIVO],Tabla43[[#This Row],[ZONA DEFINITIVO]])," ")</f>
        <v xml:space="preserve"> </v>
      </c>
      <c r="Z235" s="12" t="str">
        <f>+IF(Tabla43[[#This Row],[AGRUPACIONES]]=1,SUMIFS(Tabla43[TOTAL COBERTURA],Tabla43[ZONA DEFINITIVO],Tabla43[[#This Row],[ZONA DEFINITIVO]])," ")</f>
        <v xml:space="preserve"> </v>
      </c>
      <c r="AA235" s="12"/>
      <c r="AB235" s="51">
        <v>82817488</v>
      </c>
      <c r="AC235" s="51"/>
      <c r="AD235" s="38">
        <f>Tabla43[[#This Row],[VALOR ATENCIÓN (7 MESES)]]*Tabla43[[#This Row],[% CONTRAPARTIDA]]</f>
        <v>0</v>
      </c>
      <c r="AE235" s="12"/>
      <c r="AF235" s="12">
        <f>COUNTIF($A$22:A235,A235)</f>
        <v>3</v>
      </c>
      <c r="AG235" s="51">
        <v>82817488</v>
      </c>
      <c r="AH235" s="38">
        <f>Tabla43[[#This Row],[VALOR CONTRAPARTIDA]]+Tabla43[[#This Row],[TOTAL APORTES ICBF]]</f>
        <v>82817488</v>
      </c>
      <c r="AI235" s="35" t="str">
        <f>+IF(Tabla43[[#This Row],[AGRUPACIONES]]=1,SUMIFS(Tabla43[TOTAL APORTES ICBF],Tabla43[ZONA DEFINITIVO],Tabla43[[#This Row],[ZONA DEFINITIVO]])," ")</f>
        <v xml:space="preserve"> </v>
      </c>
      <c r="AJ235" s="38"/>
      <c r="AK235" s="38"/>
      <c r="AL235" s="23"/>
      <c r="AM235" s="35">
        <f>VLOOKUP(Tabla43[[#This Row],[SERVICIO 2025]],$J$2:$V$16,5,0)*Tabla43[[#This Row],[TOTAL COBERTURA]]</f>
        <v>1283776</v>
      </c>
      <c r="AN235" s="35">
        <f>VLOOKUP(Tabla43[[#This Row],[SERVICIO 2025]],$J$2:$V$16,6,0)*Tabla43[[#This Row],[TOTAL COBERTURA]]</f>
        <v>1066754</v>
      </c>
      <c r="AO235" s="35">
        <f>VLOOKUP(Tabla43[[#This Row],[SERVICIO 2025]],$J$2:$V$16,8,0)*Tabla43[[#This Row],[TOTAL COBERTURA]]</f>
        <v>756600</v>
      </c>
      <c r="AP235" s="35">
        <f>VLOOKUP(Tabla43[[#This Row],[SERVICIO 2025]],$J$2:$V$16,3,0)*Tabla43[[#This Row],[TOTAL COBERTURA]]*7</f>
        <v>79710358</v>
      </c>
      <c r="AQ235" s="35">
        <f>VLOOKUP(Tabla43[[#This Row],[SERVICIO 2025]],$J$2:$V$16,10,0)*Tabla43[[#This Row],[TOTAL COBERTURA]]*7</f>
        <v>0</v>
      </c>
      <c r="AR23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82817488</v>
      </c>
      <c r="AS235" s="35" t="str">
        <f>+IF(Tabla43[[#This Row],[AGRUPACIONES]]=1,SUMIFS(Tabla43[VALOR TOTAL],Tabla43[ZONA DEFINITIVO],Tabla43[[#This Row],[ZONA DEFINITIVO]])," ")</f>
        <v xml:space="preserve"> </v>
      </c>
      <c r="AT23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13427570</v>
      </c>
      <c r="AU235" s="35">
        <f>VLOOKUP(Tabla43[[#This Row],[SERVICIO 2025]],$J$2:$V$16,3,0)*Tabla43[[#This Row],[TOTAL COBERTURA]]+Tabla43[[#This Row],[VALOR RACION PREPARADA]]/7</f>
        <v>11387194</v>
      </c>
      <c r="AV235" s="35">
        <f>VLOOKUP(Tabla43[[#This Row],[SERVICIO 2025]],$J$2:$V$16,3,0)*Tabla43[[#This Row],[TOTAL COBERTURA]]+Tabla43[[#This Row],[VALOR RACION PREPARADA]]/7</f>
        <v>11387194</v>
      </c>
      <c r="AW235" s="35">
        <f>VLOOKUP(Tabla43[[#This Row],[SERVICIO 2025]],$J$2:$V$16,3,0)*Tabla43[[#This Row],[TOTAL COBERTURA]]+Tabla43[[#This Row],[VALOR RACION PREPARADA]]/7</f>
        <v>11387194</v>
      </c>
      <c r="AX235" s="35">
        <f>VLOOKUP(Tabla43[[#This Row],[SERVICIO 2025]],$J$2:$V$16,3,0)*Tabla43[[#This Row],[TOTAL COBERTURA]]+Tabla43[[#This Row],[VALOR RACION PREPARADA]]/7</f>
        <v>11387194</v>
      </c>
      <c r="AY235" s="35">
        <f>VLOOKUP(Tabla43[[#This Row],[SERVICIO 2025]],$J$2:$V$16,3,0)*Tabla43[[#This Row],[TOTAL COBERTURA]]+Tabla43[[#This Row],[VALOR RACION PREPARADA]]/7</f>
        <v>11387194</v>
      </c>
      <c r="AZ235" s="35">
        <f>VLOOKUP(Tabla43[[#This Row],[SERVICIO 2025]],$J$2:$V$16,3,0)*Tabla43[[#This Row],[TOTAL COBERTURA]]+Tabla43[[#This Row],[VALOR RACION PREPARADA]]/7+Tabla43[[#This Row],[VALOR FASE PREPARATORIA DE CIERRE]]</f>
        <v>12453948</v>
      </c>
      <c r="BA235" s="35"/>
      <c r="BB235" s="35">
        <f>SUM(Tabla43[[#This Row],[DESEMBOLSO 1]:[DESEMBOLSO 8]])</f>
        <v>82817488</v>
      </c>
      <c r="BC235" s="55">
        <f>VLOOKUP(Tabla43[[#This Row],[SERVICIO 2025]],$J$2:$V$16,10,0)*Tabla43[[#This Row],[TOTAL COBERTURA]]*$W$3</f>
        <v>0</v>
      </c>
      <c r="BD235" s="66" t="s">
        <v>145</v>
      </c>
      <c r="BE235" s="12" t="b">
        <f>EXACT(Tabla43[[#This Row],[TOTAL APORTES ICBF]],Tabla43[[#This Row],[VALOR TOTAL]])</f>
        <v>1</v>
      </c>
      <c r="BF235" s="23">
        <f>SUM(Tabla43[[#This Row],[VALOR FASE PREPARATORIA DE ALISTAMIENTO]:[VALOR RACION PREPARADA]])-Tabla43[[#This Row],[VALOR TOTAL]]</f>
        <v>0</v>
      </c>
      <c r="BG235" s="12" t="b">
        <f>EXACT(Tabla43[[#This Row],[VALOR TOTAL]],Tabla43[[#This Row],[TOTAL DESEMBOLSOS]])</f>
        <v>1</v>
      </c>
      <c r="BH235" s="29">
        <f>Tabla43[[#This Row],[TOTAL DESEMBOLSOS]]-Tabla43[[#This Row],[VALOR TOTAL]]</f>
        <v>0</v>
      </c>
      <c r="BJ235" t="s">
        <v>3896</v>
      </c>
    </row>
    <row r="236" spans="1:62" hidden="1">
      <c r="A236" s="71" t="s">
        <v>4278</v>
      </c>
      <c r="B236" s="13"/>
      <c r="C236" s="12" t="s">
        <v>87</v>
      </c>
      <c r="D236" s="12" t="s">
        <v>579</v>
      </c>
      <c r="E236" s="12" t="s">
        <v>3919</v>
      </c>
      <c r="F236" s="12" t="s">
        <v>2843</v>
      </c>
      <c r="G236" s="12" t="s">
        <v>90</v>
      </c>
      <c r="H236" s="12" t="s">
        <v>4285</v>
      </c>
      <c r="I236" s="12">
        <v>52841144517</v>
      </c>
      <c r="J236" s="12" t="s">
        <v>4286</v>
      </c>
      <c r="K236" s="12">
        <v>1</v>
      </c>
      <c r="L236" s="12">
        <v>33</v>
      </c>
      <c r="M236" s="12"/>
      <c r="N236" s="71" t="s">
        <v>4278</v>
      </c>
      <c r="O236" s="12" t="s">
        <v>3894</v>
      </c>
      <c r="P236" s="12"/>
      <c r="Q236" s="12"/>
      <c r="R236" s="12" t="s">
        <v>94</v>
      </c>
      <c r="S236" s="12">
        <v>10</v>
      </c>
      <c r="T236" s="12">
        <v>811019041</v>
      </c>
      <c r="U236" s="12" t="s">
        <v>4246</v>
      </c>
      <c r="V236" s="12">
        <f>VLOOKUP(Tabla43[[#This Row],[ZONA DEFINITIVO]],Hoja1!$A$1:$D$129,3,0)</f>
        <v>232291</v>
      </c>
      <c r="W236" s="12">
        <f>VLOOKUP(Tabla43[[#This Row],[ZONA DEFINITIVO]],Hoja1!$A$1:$D$129,2,0)</f>
        <v>18588</v>
      </c>
      <c r="X236" s="12">
        <f>VLOOKUP(Tabla43[[#This Row],[ZONA DEFINITIVO]],Hoja1!$A$1:$D$129,4,0)</f>
        <v>117125</v>
      </c>
      <c r="Y236" s="12" t="str">
        <f>+IF(Tabla43[[#This Row],[AGRUPACIONES]]=1,SUMIFS(Tabla43[UDS],Tabla43[ZONA DEFINITIVO],Tabla43[[#This Row],[ZONA DEFINITIVO]])," ")</f>
        <v xml:space="preserve"> </v>
      </c>
      <c r="Z236" s="12" t="str">
        <f>+IF(Tabla43[[#This Row],[AGRUPACIONES]]=1,SUMIFS(Tabla43[TOTAL COBERTURA],Tabla43[ZONA DEFINITIVO],Tabla43[[#This Row],[ZONA DEFINITIVO]])," ")</f>
        <v xml:space="preserve"> </v>
      </c>
      <c r="AA236" s="12"/>
      <c r="AB236" s="51">
        <v>105114504</v>
      </c>
      <c r="AC236" s="51"/>
      <c r="AD236" s="38">
        <f>Tabla43[[#This Row],[VALOR ATENCIÓN (7 MESES)]]*Tabla43[[#This Row],[% CONTRAPARTIDA]]</f>
        <v>0</v>
      </c>
      <c r="AE236" s="12"/>
      <c r="AF236" s="12">
        <f>COUNTIF($A$22:A236,A236)</f>
        <v>4</v>
      </c>
      <c r="AG236" s="51">
        <v>105114504</v>
      </c>
      <c r="AH236" s="38">
        <f>Tabla43[[#This Row],[VALOR CONTRAPARTIDA]]+Tabla43[[#This Row],[TOTAL APORTES ICBF]]</f>
        <v>105114504</v>
      </c>
      <c r="AI236" s="35" t="str">
        <f>+IF(Tabla43[[#This Row],[AGRUPACIONES]]=1,SUMIFS(Tabla43[TOTAL APORTES ICBF],Tabla43[ZONA DEFINITIVO],Tabla43[[#This Row],[ZONA DEFINITIVO]])," ")</f>
        <v xml:space="preserve"> </v>
      </c>
      <c r="AJ236" s="38"/>
      <c r="AK236" s="38"/>
      <c r="AL236" s="23"/>
      <c r="AM236" s="35">
        <f>VLOOKUP(Tabla43[[#This Row],[SERVICIO 2025]],$J$2:$V$16,5,0)*Tabla43[[#This Row],[TOTAL COBERTURA]]</f>
        <v>1629408</v>
      </c>
      <c r="AN236" s="35">
        <f>VLOOKUP(Tabla43[[#This Row],[SERVICIO 2025]],$J$2:$V$16,6,0)*Tabla43[[#This Row],[TOTAL COBERTURA]]</f>
        <v>1353957</v>
      </c>
      <c r="AO236" s="35">
        <f>VLOOKUP(Tabla43[[#This Row],[SERVICIO 2025]],$J$2:$V$16,8,0)*Tabla43[[#This Row],[TOTAL COBERTURA]]</f>
        <v>960300</v>
      </c>
      <c r="AP236" s="35">
        <f>VLOOKUP(Tabla43[[#This Row],[SERVICIO 2025]],$J$2:$V$16,3,0)*Tabla43[[#This Row],[TOTAL COBERTURA]]*7</f>
        <v>101170839</v>
      </c>
      <c r="AQ236" s="35">
        <f>VLOOKUP(Tabla43[[#This Row],[SERVICIO 2025]],$J$2:$V$16,10,0)*Tabla43[[#This Row],[TOTAL COBERTURA]]*7</f>
        <v>0</v>
      </c>
      <c r="AR23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105114504</v>
      </c>
      <c r="AS236" s="35" t="str">
        <f>+IF(Tabla43[[#This Row],[AGRUPACIONES]]=1,SUMIFS(Tabla43[VALOR TOTAL],Tabla43[ZONA DEFINITIVO],Tabla43[[#This Row],[ZONA DEFINITIVO]])," ")</f>
        <v xml:space="preserve"> </v>
      </c>
      <c r="AT23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17042685</v>
      </c>
      <c r="AU236" s="35">
        <f>VLOOKUP(Tabla43[[#This Row],[SERVICIO 2025]],$J$2:$V$16,3,0)*Tabla43[[#This Row],[TOTAL COBERTURA]]+Tabla43[[#This Row],[VALOR RACION PREPARADA]]/7</f>
        <v>14452977</v>
      </c>
      <c r="AV236" s="35">
        <f>VLOOKUP(Tabla43[[#This Row],[SERVICIO 2025]],$J$2:$V$16,3,0)*Tabla43[[#This Row],[TOTAL COBERTURA]]+Tabla43[[#This Row],[VALOR RACION PREPARADA]]/7</f>
        <v>14452977</v>
      </c>
      <c r="AW236" s="35">
        <f>VLOOKUP(Tabla43[[#This Row],[SERVICIO 2025]],$J$2:$V$16,3,0)*Tabla43[[#This Row],[TOTAL COBERTURA]]+Tabla43[[#This Row],[VALOR RACION PREPARADA]]/7</f>
        <v>14452977</v>
      </c>
      <c r="AX236" s="35">
        <f>VLOOKUP(Tabla43[[#This Row],[SERVICIO 2025]],$J$2:$V$16,3,0)*Tabla43[[#This Row],[TOTAL COBERTURA]]+Tabla43[[#This Row],[VALOR RACION PREPARADA]]/7</f>
        <v>14452977</v>
      </c>
      <c r="AY236" s="35">
        <f>VLOOKUP(Tabla43[[#This Row],[SERVICIO 2025]],$J$2:$V$16,3,0)*Tabla43[[#This Row],[TOTAL COBERTURA]]+Tabla43[[#This Row],[VALOR RACION PREPARADA]]/7</f>
        <v>14452977</v>
      </c>
      <c r="AZ236" s="35">
        <f>VLOOKUP(Tabla43[[#This Row],[SERVICIO 2025]],$J$2:$V$16,3,0)*Tabla43[[#This Row],[TOTAL COBERTURA]]+Tabla43[[#This Row],[VALOR RACION PREPARADA]]/7+Tabla43[[#This Row],[VALOR FASE PREPARATORIA DE CIERRE]]</f>
        <v>15806934</v>
      </c>
      <c r="BA236" s="35"/>
      <c r="BB236" s="35">
        <f>SUM(Tabla43[[#This Row],[DESEMBOLSO 1]:[DESEMBOLSO 8]])</f>
        <v>105114504</v>
      </c>
      <c r="BC236" s="55">
        <f>VLOOKUP(Tabla43[[#This Row],[SERVICIO 2025]],$J$2:$V$16,10,0)*Tabla43[[#This Row],[TOTAL COBERTURA]]*$W$3</f>
        <v>0</v>
      </c>
      <c r="BD236" s="66" t="s">
        <v>145</v>
      </c>
      <c r="BE236" s="12" t="b">
        <f>EXACT(Tabla43[[#This Row],[TOTAL APORTES ICBF]],Tabla43[[#This Row],[VALOR TOTAL]])</f>
        <v>1</v>
      </c>
      <c r="BF236" s="23">
        <f>SUM(Tabla43[[#This Row],[VALOR FASE PREPARATORIA DE ALISTAMIENTO]:[VALOR RACION PREPARADA]])-Tabla43[[#This Row],[VALOR TOTAL]]</f>
        <v>0</v>
      </c>
      <c r="BG236" s="12" t="b">
        <f>EXACT(Tabla43[[#This Row],[VALOR TOTAL]],Tabla43[[#This Row],[TOTAL DESEMBOLSOS]])</f>
        <v>1</v>
      </c>
      <c r="BH236" s="29">
        <f>Tabla43[[#This Row],[TOTAL DESEMBOLSOS]]-Tabla43[[#This Row],[VALOR TOTAL]]</f>
        <v>0</v>
      </c>
      <c r="BJ236" t="s">
        <v>3896</v>
      </c>
    </row>
    <row r="237" spans="1:62" hidden="1">
      <c r="A237" s="71" t="s">
        <v>4278</v>
      </c>
      <c r="B237" s="13"/>
      <c r="C237" s="12" t="s">
        <v>87</v>
      </c>
      <c r="D237" s="12" t="s">
        <v>579</v>
      </c>
      <c r="E237" s="12" t="s">
        <v>3919</v>
      </c>
      <c r="F237" s="12" t="s">
        <v>2843</v>
      </c>
      <c r="G237" s="12" t="s">
        <v>90</v>
      </c>
      <c r="H237" s="12" t="s">
        <v>4287</v>
      </c>
      <c r="I237" s="12">
        <v>52841152155</v>
      </c>
      <c r="J237" s="12" t="s">
        <v>4288</v>
      </c>
      <c r="K237" s="12">
        <v>1</v>
      </c>
      <c r="L237" s="12">
        <v>23</v>
      </c>
      <c r="M237" s="12"/>
      <c r="N237" s="71" t="s">
        <v>4278</v>
      </c>
      <c r="O237" s="12" t="s">
        <v>3894</v>
      </c>
      <c r="P237" s="12"/>
      <c r="Q237" s="12"/>
      <c r="R237" s="12" t="s">
        <v>94</v>
      </c>
      <c r="S237" s="12">
        <v>10</v>
      </c>
      <c r="T237" s="12">
        <v>811019041</v>
      </c>
      <c r="U237" s="12" t="s">
        <v>4246</v>
      </c>
      <c r="V237" s="12">
        <f>VLOOKUP(Tabla43[[#This Row],[ZONA DEFINITIVO]],Hoja1!$A$1:$D$129,3,0)</f>
        <v>232291</v>
      </c>
      <c r="W237" s="12">
        <f>VLOOKUP(Tabla43[[#This Row],[ZONA DEFINITIVO]],Hoja1!$A$1:$D$129,2,0)</f>
        <v>18588</v>
      </c>
      <c r="X237" s="12">
        <f>VLOOKUP(Tabla43[[#This Row],[ZONA DEFINITIVO]],Hoja1!$A$1:$D$129,4,0)</f>
        <v>117125</v>
      </c>
      <c r="Y237" s="12" t="str">
        <f>+IF(Tabla43[[#This Row],[AGRUPACIONES]]=1,SUMIFS(Tabla43[UDS],Tabla43[ZONA DEFINITIVO],Tabla43[[#This Row],[ZONA DEFINITIVO]])," ")</f>
        <v xml:space="preserve"> </v>
      </c>
      <c r="Z237" s="12" t="str">
        <f>+IF(Tabla43[[#This Row],[AGRUPACIONES]]=1,SUMIFS(Tabla43[TOTAL COBERTURA],Tabla43[ZONA DEFINITIVO],Tabla43[[#This Row],[ZONA DEFINITIVO]])," ")</f>
        <v xml:space="preserve"> </v>
      </c>
      <c r="AA237" s="12"/>
      <c r="AB237" s="51">
        <v>73261624</v>
      </c>
      <c r="AC237" s="51"/>
      <c r="AD237" s="38">
        <f>Tabla43[[#This Row],[VALOR ATENCIÓN (7 MESES)]]*Tabla43[[#This Row],[% CONTRAPARTIDA]]</f>
        <v>0</v>
      </c>
      <c r="AE237" s="12"/>
      <c r="AF237" s="12">
        <f>COUNTIF($A$22:A237,A237)</f>
        <v>5</v>
      </c>
      <c r="AG237" s="51">
        <v>73261624</v>
      </c>
      <c r="AH237" s="38">
        <f>Tabla43[[#This Row],[VALOR CONTRAPARTIDA]]+Tabla43[[#This Row],[TOTAL APORTES ICBF]]</f>
        <v>73261624</v>
      </c>
      <c r="AI237" s="35" t="str">
        <f>+IF(Tabla43[[#This Row],[AGRUPACIONES]]=1,SUMIFS(Tabla43[TOTAL APORTES ICBF],Tabla43[ZONA DEFINITIVO],Tabla43[[#This Row],[ZONA DEFINITIVO]])," ")</f>
        <v xml:space="preserve"> </v>
      </c>
      <c r="AJ237" s="38"/>
      <c r="AK237" s="38"/>
      <c r="AL237" s="23"/>
      <c r="AM237" s="35">
        <f>VLOOKUP(Tabla43[[#This Row],[SERVICIO 2025]],$J$2:$V$16,5,0)*Tabla43[[#This Row],[TOTAL COBERTURA]]</f>
        <v>1135648</v>
      </c>
      <c r="AN237" s="35">
        <f>VLOOKUP(Tabla43[[#This Row],[SERVICIO 2025]],$J$2:$V$16,6,0)*Tabla43[[#This Row],[TOTAL COBERTURA]]</f>
        <v>943667</v>
      </c>
      <c r="AO237" s="35">
        <f>VLOOKUP(Tabla43[[#This Row],[SERVICIO 2025]],$J$2:$V$16,8,0)*Tabla43[[#This Row],[TOTAL COBERTURA]]</f>
        <v>669300</v>
      </c>
      <c r="AP237" s="35">
        <f>VLOOKUP(Tabla43[[#This Row],[SERVICIO 2025]],$J$2:$V$16,3,0)*Tabla43[[#This Row],[TOTAL COBERTURA]]*7</f>
        <v>70513009</v>
      </c>
      <c r="AQ237" s="35">
        <f>VLOOKUP(Tabla43[[#This Row],[SERVICIO 2025]],$J$2:$V$16,10,0)*Tabla43[[#This Row],[TOTAL COBERTURA]]*7</f>
        <v>0</v>
      </c>
      <c r="AR23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73261624</v>
      </c>
      <c r="AS237" s="35" t="str">
        <f>+IF(Tabla43[[#This Row],[AGRUPACIONES]]=1,SUMIFS(Tabla43[VALOR TOTAL],Tabla43[ZONA DEFINITIVO],Tabla43[[#This Row],[ZONA DEFINITIVO]])," ")</f>
        <v xml:space="preserve"> </v>
      </c>
      <c r="AT23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11878235</v>
      </c>
      <c r="AU237" s="35">
        <f>VLOOKUP(Tabla43[[#This Row],[SERVICIO 2025]],$J$2:$V$16,3,0)*Tabla43[[#This Row],[TOTAL COBERTURA]]+Tabla43[[#This Row],[VALOR RACION PREPARADA]]/7</f>
        <v>10073287</v>
      </c>
      <c r="AV237" s="35">
        <f>VLOOKUP(Tabla43[[#This Row],[SERVICIO 2025]],$J$2:$V$16,3,0)*Tabla43[[#This Row],[TOTAL COBERTURA]]+Tabla43[[#This Row],[VALOR RACION PREPARADA]]/7</f>
        <v>10073287</v>
      </c>
      <c r="AW237" s="35">
        <f>VLOOKUP(Tabla43[[#This Row],[SERVICIO 2025]],$J$2:$V$16,3,0)*Tabla43[[#This Row],[TOTAL COBERTURA]]+Tabla43[[#This Row],[VALOR RACION PREPARADA]]/7</f>
        <v>10073287</v>
      </c>
      <c r="AX237" s="35">
        <f>VLOOKUP(Tabla43[[#This Row],[SERVICIO 2025]],$J$2:$V$16,3,0)*Tabla43[[#This Row],[TOTAL COBERTURA]]+Tabla43[[#This Row],[VALOR RACION PREPARADA]]/7</f>
        <v>10073287</v>
      </c>
      <c r="AY237" s="35">
        <f>VLOOKUP(Tabla43[[#This Row],[SERVICIO 2025]],$J$2:$V$16,3,0)*Tabla43[[#This Row],[TOTAL COBERTURA]]+Tabla43[[#This Row],[VALOR RACION PREPARADA]]/7</f>
        <v>10073287</v>
      </c>
      <c r="AZ237" s="35">
        <f>VLOOKUP(Tabla43[[#This Row],[SERVICIO 2025]],$J$2:$V$16,3,0)*Tabla43[[#This Row],[TOTAL COBERTURA]]+Tabla43[[#This Row],[VALOR RACION PREPARADA]]/7+Tabla43[[#This Row],[VALOR FASE PREPARATORIA DE CIERRE]]</f>
        <v>11016954</v>
      </c>
      <c r="BA237" s="35"/>
      <c r="BB237" s="35">
        <f>SUM(Tabla43[[#This Row],[DESEMBOLSO 1]:[DESEMBOLSO 8]])</f>
        <v>73261624</v>
      </c>
      <c r="BC237" s="55">
        <f>VLOOKUP(Tabla43[[#This Row],[SERVICIO 2025]],$J$2:$V$16,10,0)*Tabla43[[#This Row],[TOTAL COBERTURA]]*$W$3</f>
        <v>0</v>
      </c>
      <c r="BD237" s="66" t="s">
        <v>145</v>
      </c>
      <c r="BE237" s="12" t="b">
        <f>EXACT(Tabla43[[#This Row],[TOTAL APORTES ICBF]],Tabla43[[#This Row],[VALOR TOTAL]])</f>
        <v>1</v>
      </c>
      <c r="BF237" s="23">
        <f>SUM(Tabla43[[#This Row],[VALOR FASE PREPARATORIA DE ALISTAMIENTO]:[VALOR RACION PREPARADA]])-Tabla43[[#This Row],[VALOR TOTAL]]</f>
        <v>0</v>
      </c>
      <c r="BG237" s="12" t="b">
        <f>EXACT(Tabla43[[#This Row],[VALOR TOTAL]],Tabla43[[#This Row],[TOTAL DESEMBOLSOS]])</f>
        <v>1</v>
      </c>
      <c r="BH237" s="29">
        <f>Tabla43[[#This Row],[TOTAL DESEMBOLSOS]]-Tabla43[[#This Row],[VALOR TOTAL]]</f>
        <v>0</v>
      </c>
      <c r="BJ237" t="s">
        <v>3896</v>
      </c>
    </row>
    <row r="238" spans="1:62" hidden="1">
      <c r="A238" s="71" t="s">
        <v>4278</v>
      </c>
      <c r="B238" s="13"/>
      <c r="C238" s="12" t="s">
        <v>87</v>
      </c>
      <c r="D238" s="12" t="s">
        <v>579</v>
      </c>
      <c r="E238" s="12" t="s">
        <v>3919</v>
      </c>
      <c r="F238" s="12" t="s">
        <v>2843</v>
      </c>
      <c r="G238" s="12" t="s">
        <v>90</v>
      </c>
      <c r="H238" s="12" t="s">
        <v>3074</v>
      </c>
      <c r="I238" s="12">
        <v>52841152911</v>
      </c>
      <c r="J238" s="12" t="s">
        <v>4289</v>
      </c>
      <c r="K238" s="12">
        <v>1</v>
      </c>
      <c r="L238" s="12">
        <v>12</v>
      </c>
      <c r="M238" s="12"/>
      <c r="N238" s="71" t="s">
        <v>4278</v>
      </c>
      <c r="O238" s="12" t="s">
        <v>3894</v>
      </c>
      <c r="P238" s="12"/>
      <c r="Q238" s="12"/>
      <c r="R238" s="12" t="s">
        <v>94</v>
      </c>
      <c r="S238" s="12">
        <v>10</v>
      </c>
      <c r="T238" s="12">
        <v>811019041</v>
      </c>
      <c r="U238" s="12" t="s">
        <v>4246</v>
      </c>
      <c r="V238" s="12">
        <f>VLOOKUP(Tabla43[[#This Row],[ZONA DEFINITIVO]],Hoja1!$A$1:$D$129,3,0)</f>
        <v>232291</v>
      </c>
      <c r="W238" s="12">
        <f>VLOOKUP(Tabla43[[#This Row],[ZONA DEFINITIVO]],Hoja1!$A$1:$D$129,2,0)</f>
        <v>18588</v>
      </c>
      <c r="X238" s="12">
        <f>VLOOKUP(Tabla43[[#This Row],[ZONA DEFINITIVO]],Hoja1!$A$1:$D$129,4,0)</f>
        <v>117125</v>
      </c>
      <c r="Y238" s="12" t="str">
        <f>+IF(Tabla43[[#This Row],[AGRUPACIONES]]=1,SUMIFS(Tabla43[UDS],Tabla43[ZONA DEFINITIVO],Tabla43[[#This Row],[ZONA DEFINITIVO]])," ")</f>
        <v xml:space="preserve"> </v>
      </c>
      <c r="Z238" s="12" t="str">
        <f>+IF(Tabla43[[#This Row],[AGRUPACIONES]]=1,SUMIFS(Tabla43[TOTAL COBERTURA],Tabla43[ZONA DEFINITIVO],Tabla43[[#This Row],[ZONA DEFINITIVO]])," ")</f>
        <v xml:space="preserve"> </v>
      </c>
      <c r="AA238" s="12"/>
      <c r="AB238" s="51">
        <v>38223456</v>
      </c>
      <c r="AC238" s="51"/>
      <c r="AD238" s="38">
        <f>Tabla43[[#This Row],[VALOR ATENCIÓN (7 MESES)]]*Tabla43[[#This Row],[% CONTRAPARTIDA]]</f>
        <v>0</v>
      </c>
      <c r="AE238" s="12"/>
      <c r="AF238" s="12">
        <f>COUNTIF($A$22:A238,A238)</f>
        <v>6</v>
      </c>
      <c r="AG238" s="51">
        <v>38223456</v>
      </c>
      <c r="AH238" s="38">
        <f>Tabla43[[#This Row],[VALOR CONTRAPARTIDA]]+Tabla43[[#This Row],[TOTAL APORTES ICBF]]</f>
        <v>38223456</v>
      </c>
      <c r="AI238" s="35" t="str">
        <f>+IF(Tabla43[[#This Row],[AGRUPACIONES]]=1,SUMIFS(Tabla43[TOTAL APORTES ICBF],Tabla43[ZONA DEFINITIVO],Tabla43[[#This Row],[ZONA DEFINITIVO]])," ")</f>
        <v xml:space="preserve"> </v>
      </c>
      <c r="AJ238" s="38"/>
      <c r="AK238" s="38"/>
      <c r="AL238" s="23"/>
      <c r="AM238" s="35">
        <f>VLOOKUP(Tabla43[[#This Row],[SERVICIO 2025]],$J$2:$V$16,5,0)*Tabla43[[#This Row],[TOTAL COBERTURA]]</f>
        <v>592512</v>
      </c>
      <c r="AN238" s="35">
        <f>VLOOKUP(Tabla43[[#This Row],[SERVICIO 2025]],$J$2:$V$16,6,0)*Tabla43[[#This Row],[TOTAL COBERTURA]]</f>
        <v>492348</v>
      </c>
      <c r="AO238" s="35">
        <f>VLOOKUP(Tabla43[[#This Row],[SERVICIO 2025]],$J$2:$V$16,8,0)*Tabla43[[#This Row],[TOTAL COBERTURA]]</f>
        <v>349200</v>
      </c>
      <c r="AP238" s="35">
        <f>VLOOKUP(Tabla43[[#This Row],[SERVICIO 2025]],$J$2:$V$16,3,0)*Tabla43[[#This Row],[TOTAL COBERTURA]]*7</f>
        <v>36789396</v>
      </c>
      <c r="AQ238" s="35">
        <f>VLOOKUP(Tabla43[[#This Row],[SERVICIO 2025]],$J$2:$V$16,10,0)*Tabla43[[#This Row],[TOTAL COBERTURA]]*7</f>
        <v>0</v>
      </c>
      <c r="AR23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38223456</v>
      </c>
      <c r="AS238" s="35" t="str">
        <f>+IF(Tabla43[[#This Row],[AGRUPACIONES]]=1,SUMIFS(Tabla43[VALOR TOTAL],Tabla43[ZONA DEFINITIVO],Tabla43[[#This Row],[ZONA DEFINITIVO]])," ")</f>
        <v xml:space="preserve"> </v>
      </c>
      <c r="AT23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6197340</v>
      </c>
      <c r="AU238" s="35">
        <f>VLOOKUP(Tabla43[[#This Row],[SERVICIO 2025]],$J$2:$V$16,3,0)*Tabla43[[#This Row],[TOTAL COBERTURA]]+Tabla43[[#This Row],[VALOR RACION PREPARADA]]/7</f>
        <v>5255628</v>
      </c>
      <c r="AV238" s="35">
        <f>VLOOKUP(Tabla43[[#This Row],[SERVICIO 2025]],$J$2:$V$16,3,0)*Tabla43[[#This Row],[TOTAL COBERTURA]]+Tabla43[[#This Row],[VALOR RACION PREPARADA]]/7</f>
        <v>5255628</v>
      </c>
      <c r="AW238" s="35">
        <f>VLOOKUP(Tabla43[[#This Row],[SERVICIO 2025]],$J$2:$V$16,3,0)*Tabla43[[#This Row],[TOTAL COBERTURA]]+Tabla43[[#This Row],[VALOR RACION PREPARADA]]/7</f>
        <v>5255628</v>
      </c>
      <c r="AX238" s="35">
        <f>VLOOKUP(Tabla43[[#This Row],[SERVICIO 2025]],$J$2:$V$16,3,0)*Tabla43[[#This Row],[TOTAL COBERTURA]]+Tabla43[[#This Row],[VALOR RACION PREPARADA]]/7</f>
        <v>5255628</v>
      </c>
      <c r="AY238" s="35">
        <f>VLOOKUP(Tabla43[[#This Row],[SERVICIO 2025]],$J$2:$V$16,3,0)*Tabla43[[#This Row],[TOTAL COBERTURA]]+Tabla43[[#This Row],[VALOR RACION PREPARADA]]/7</f>
        <v>5255628</v>
      </c>
      <c r="AZ238" s="35">
        <f>VLOOKUP(Tabla43[[#This Row],[SERVICIO 2025]],$J$2:$V$16,3,0)*Tabla43[[#This Row],[TOTAL COBERTURA]]+Tabla43[[#This Row],[VALOR RACION PREPARADA]]/7+Tabla43[[#This Row],[VALOR FASE PREPARATORIA DE CIERRE]]</f>
        <v>5747976</v>
      </c>
      <c r="BA238" s="35"/>
      <c r="BB238" s="35">
        <f>SUM(Tabla43[[#This Row],[DESEMBOLSO 1]:[DESEMBOLSO 8]])</f>
        <v>38223456</v>
      </c>
      <c r="BC238" s="55">
        <f>VLOOKUP(Tabla43[[#This Row],[SERVICIO 2025]],$J$2:$V$16,10,0)*Tabla43[[#This Row],[TOTAL COBERTURA]]*$W$3</f>
        <v>0</v>
      </c>
      <c r="BD238" s="66" t="s">
        <v>145</v>
      </c>
      <c r="BE238" s="12" t="b">
        <f>EXACT(Tabla43[[#This Row],[TOTAL APORTES ICBF]],Tabla43[[#This Row],[VALOR TOTAL]])</f>
        <v>1</v>
      </c>
      <c r="BF238" s="23">
        <f>SUM(Tabla43[[#This Row],[VALOR FASE PREPARATORIA DE ALISTAMIENTO]:[VALOR RACION PREPARADA]])-Tabla43[[#This Row],[VALOR TOTAL]]</f>
        <v>0</v>
      </c>
      <c r="BG238" s="12" t="b">
        <f>EXACT(Tabla43[[#This Row],[VALOR TOTAL]],Tabla43[[#This Row],[TOTAL DESEMBOLSOS]])</f>
        <v>1</v>
      </c>
      <c r="BH238" s="29">
        <f>Tabla43[[#This Row],[TOTAL DESEMBOLSOS]]-Tabla43[[#This Row],[VALOR TOTAL]]</f>
        <v>0</v>
      </c>
      <c r="BJ238" t="s">
        <v>3896</v>
      </c>
    </row>
    <row r="239" spans="1:62">
      <c r="A239" s="71" t="s">
        <v>4290</v>
      </c>
      <c r="B239" s="13"/>
      <c r="C239" s="12" t="s">
        <v>87</v>
      </c>
      <c r="D239" s="12" t="s">
        <v>987</v>
      </c>
      <c r="E239" s="12" t="s">
        <v>1143</v>
      </c>
      <c r="F239" s="12" t="s">
        <v>2843</v>
      </c>
      <c r="G239" s="12" t="s">
        <v>90</v>
      </c>
      <c r="H239" s="12" t="s">
        <v>4291</v>
      </c>
      <c r="I239" s="12">
        <v>51541115133</v>
      </c>
      <c r="J239" s="12" t="s">
        <v>4292</v>
      </c>
      <c r="K239" s="12">
        <v>1</v>
      </c>
      <c r="L239" s="12">
        <v>33</v>
      </c>
      <c r="M239" s="12"/>
      <c r="N239" s="71" t="s">
        <v>4290</v>
      </c>
      <c r="O239" s="12" t="s">
        <v>3894</v>
      </c>
      <c r="P239" s="12"/>
      <c r="Q239" s="12"/>
      <c r="R239" s="12" t="s">
        <v>94</v>
      </c>
      <c r="S239" s="12">
        <v>10</v>
      </c>
      <c r="T239" s="12">
        <v>800044785</v>
      </c>
      <c r="U239" s="58" t="s">
        <v>3895</v>
      </c>
      <c r="V239" s="12">
        <f>VLOOKUP(Tabla43[[#This Row],[ZONA DEFINITIVO]],Hoja1!$A$1:$D$129,3,0)</f>
        <v>232293</v>
      </c>
      <c r="W239" s="12">
        <f>VLOOKUP(Tabla43[[#This Row],[ZONA DEFINITIVO]],Hoja1!$A$1:$D$129,2,0)</f>
        <v>18601</v>
      </c>
      <c r="X239" s="12">
        <f>VLOOKUP(Tabla43[[#This Row],[ZONA DEFINITIVO]],Hoja1!$A$1:$D$129,4,0)</f>
        <v>118025</v>
      </c>
      <c r="Y239" s="12">
        <f>+IF(Tabla43[[#This Row],[AGRUPACIONES]]=1,SUMIFS(Tabla43[UDS],Tabla43[ZONA DEFINITIVO],Tabla43[[#This Row],[ZONA DEFINITIVO]])," ")</f>
        <v>6</v>
      </c>
      <c r="Z239" s="12">
        <f>+IF(Tabla43[[#This Row],[AGRUPACIONES]]=1,SUMIFS(Tabla43[TOTAL COBERTURA],Tabla43[ZONA DEFINITIVO],Tabla43[[#This Row],[ZONA DEFINITIVO]])," ")</f>
        <v>165</v>
      </c>
      <c r="AA239" s="12"/>
      <c r="AB239" s="51">
        <v>105114504</v>
      </c>
      <c r="AC239" s="51"/>
      <c r="AD239" s="38">
        <f>Tabla43[[#This Row],[VALOR ATENCIÓN (7 MESES)]]*Tabla43[[#This Row],[% CONTRAPARTIDA]]</f>
        <v>0</v>
      </c>
      <c r="AE239" s="12"/>
      <c r="AF239" s="12">
        <f>COUNTIF($A$22:A239,A239)</f>
        <v>1</v>
      </c>
      <c r="AG239" s="51">
        <v>105114504</v>
      </c>
      <c r="AH239" s="38">
        <f>Tabla43[[#This Row],[VALOR CONTRAPARTIDA]]+Tabla43[[#This Row],[TOTAL APORTES ICBF]]</f>
        <v>105114504</v>
      </c>
      <c r="AI239" s="35">
        <f>+IF(Tabla43[[#This Row],[AGRUPACIONES]]=1,SUMIFS(Tabla43[TOTAL APORTES ICBF],Tabla43[ZONA DEFINITIVO],Tabla43[[#This Row],[ZONA DEFINITIVO]])," ")</f>
        <v>525572520</v>
      </c>
      <c r="AJ239" s="38">
        <f>ROUND(+IF(Tabla43[[#This Row],[AGRUPACIONES]]=1,SUMIFS(Tabla43[VALOR CONTRAPARTIDA],Tabla43[ZONA DEFINITIVO],Tabla43[[#This Row],[ZONA DEFINITIVO]])," "),0)</f>
        <v>0</v>
      </c>
      <c r="AK239" s="38">
        <f>Tabla43[[#This Row],[TOTAL APORTES ICBF AGRUPADO]]+Tabla43[[#This Row],[TOTAL CONTRAPARTIDA AGRUPADO]]</f>
        <v>525572520</v>
      </c>
      <c r="AL239" s="23">
        <f>Tabla43[[#This Row],[TOTAL APORTES ICBF AGRUPADO]]/$AL$20</f>
        <v>369.21146469968386</v>
      </c>
      <c r="AM239" s="35">
        <f>VLOOKUP(Tabla43[[#This Row],[SERVICIO 2025]],$J$2:$V$16,5,0)*Tabla43[[#This Row],[TOTAL COBERTURA]]</f>
        <v>1629408</v>
      </c>
      <c r="AN239" s="35">
        <f>VLOOKUP(Tabla43[[#This Row],[SERVICIO 2025]],$J$2:$V$16,6,0)*Tabla43[[#This Row],[TOTAL COBERTURA]]</f>
        <v>1353957</v>
      </c>
      <c r="AO239" s="35">
        <f>VLOOKUP(Tabla43[[#This Row],[SERVICIO 2025]],$J$2:$V$16,8,0)*Tabla43[[#This Row],[TOTAL COBERTURA]]</f>
        <v>960300</v>
      </c>
      <c r="AP239" s="35">
        <f>VLOOKUP(Tabla43[[#This Row],[SERVICIO 2025]],$J$2:$V$16,3,0)*Tabla43[[#This Row],[TOTAL COBERTURA]]*7</f>
        <v>101170839</v>
      </c>
      <c r="AQ239" s="35">
        <f>VLOOKUP(Tabla43[[#This Row],[SERVICIO 2025]],$J$2:$V$16,10,0)*Tabla43[[#This Row],[TOTAL COBERTURA]]*7</f>
        <v>0</v>
      </c>
      <c r="AR23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105114504</v>
      </c>
      <c r="AS239" s="35">
        <f>+IF(Tabla43[[#This Row],[AGRUPACIONES]]=1,SUMIFS(Tabla43[VALOR TOTAL],Tabla43[ZONA DEFINITIVO],Tabla43[[#This Row],[ZONA DEFINITIVO]])," ")</f>
        <v>525572520</v>
      </c>
      <c r="AT23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17042685</v>
      </c>
      <c r="AU239" s="35">
        <f>VLOOKUP(Tabla43[[#This Row],[SERVICIO 2025]],$J$2:$V$16,3,0)*Tabla43[[#This Row],[TOTAL COBERTURA]]+Tabla43[[#This Row],[VALOR RACION PREPARADA]]/7</f>
        <v>14452977</v>
      </c>
      <c r="AV239" s="35">
        <f>VLOOKUP(Tabla43[[#This Row],[SERVICIO 2025]],$J$2:$V$16,3,0)*Tabla43[[#This Row],[TOTAL COBERTURA]]+Tabla43[[#This Row],[VALOR RACION PREPARADA]]/7</f>
        <v>14452977</v>
      </c>
      <c r="AW239" s="35">
        <f>VLOOKUP(Tabla43[[#This Row],[SERVICIO 2025]],$J$2:$V$16,3,0)*Tabla43[[#This Row],[TOTAL COBERTURA]]+Tabla43[[#This Row],[VALOR RACION PREPARADA]]/7</f>
        <v>14452977</v>
      </c>
      <c r="AX239" s="35">
        <f>VLOOKUP(Tabla43[[#This Row],[SERVICIO 2025]],$J$2:$V$16,3,0)*Tabla43[[#This Row],[TOTAL COBERTURA]]+Tabla43[[#This Row],[VALOR RACION PREPARADA]]/7</f>
        <v>14452977</v>
      </c>
      <c r="AY239" s="35">
        <f>VLOOKUP(Tabla43[[#This Row],[SERVICIO 2025]],$J$2:$V$16,3,0)*Tabla43[[#This Row],[TOTAL COBERTURA]]+Tabla43[[#This Row],[VALOR RACION PREPARADA]]/7</f>
        <v>14452977</v>
      </c>
      <c r="AZ239" s="35">
        <f>VLOOKUP(Tabla43[[#This Row],[SERVICIO 2025]],$J$2:$V$16,3,0)*Tabla43[[#This Row],[TOTAL COBERTURA]]+Tabla43[[#This Row],[VALOR RACION PREPARADA]]/7+Tabla43[[#This Row],[VALOR FASE PREPARATORIA DE CIERRE]]</f>
        <v>15806934</v>
      </c>
      <c r="BA239" s="35"/>
      <c r="BB239" s="35">
        <f>SUM(Tabla43[[#This Row],[DESEMBOLSO 1]:[DESEMBOLSO 8]])</f>
        <v>105114504</v>
      </c>
      <c r="BC239" s="55">
        <f>VLOOKUP(Tabla43[[#This Row],[SERVICIO 2025]],$J$2:$V$16,10,0)*Tabla43[[#This Row],[TOTAL COBERTURA]]*$W$3</f>
        <v>0</v>
      </c>
      <c r="BD239" s="66" t="s">
        <v>145</v>
      </c>
      <c r="BE239" s="12" t="b">
        <f>EXACT(Tabla43[[#This Row],[TOTAL APORTES ICBF]],Tabla43[[#This Row],[VALOR TOTAL]])</f>
        <v>1</v>
      </c>
      <c r="BF239" s="23">
        <f>SUM(Tabla43[[#This Row],[VALOR FASE PREPARATORIA DE ALISTAMIENTO]:[VALOR RACION PREPARADA]])-Tabla43[[#This Row],[VALOR TOTAL]]</f>
        <v>0</v>
      </c>
      <c r="BG239" s="12" t="b">
        <f>EXACT(Tabla43[[#This Row],[VALOR TOTAL]],Tabla43[[#This Row],[TOTAL DESEMBOLSOS]])</f>
        <v>1</v>
      </c>
      <c r="BH239" s="29">
        <f>Tabla43[[#This Row],[TOTAL DESEMBOLSOS]]-Tabla43[[#This Row],[VALOR TOTAL]]</f>
        <v>0</v>
      </c>
      <c r="BJ239" t="s">
        <v>3896</v>
      </c>
    </row>
    <row r="240" spans="1:62">
      <c r="A240" s="71" t="s">
        <v>4290</v>
      </c>
      <c r="B240" s="13"/>
      <c r="C240" s="12" t="s">
        <v>87</v>
      </c>
      <c r="D240" s="12" t="s">
        <v>987</v>
      </c>
      <c r="E240" s="12" t="s">
        <v>1143</v>
      </c>
      <c r="F240" s="12" t="s">
        <v>2843</v>
      </c>
      <c r="G240" s="12" t="s">
        <v>90</v>
      </c>
      <c r="H240" s="12" t="s">
        <v>1159</v>
      </c>
      <c r="I240" s="12">
        <v>51541151140</v>
      </c>
      <c r="J240" s="12" t="s">
        <v>4293</v>
      </c>
      <c r="K240" s="12">
        <v>1</v>
      </c>
      <c r="L240" s="12">
        <v>16</v>
      </c>
      <c r="M240" s="12"/>
      <c r="N240" s="71" t="s">
        <v>4290</v>
      </c>
      <c r="O240" s="12" t="s">
        <v>3894</v>
      </c>
      <c r="P240" s="12"/>
      <c r="Q240" s="12"/>
      <c r="R240" s="12" t="s">
        <v>94</v>
      </c>
      <c r="S240" s="12">
        <v>10</v>
      </c>
      <c r="T240" s="12">
        <v>800044785</v>
      </c>
      <c r="U240" s="58" t="s">
        <v>3895</v>
      </c>
      <c r="V240" s="12">
        <f>VLOOKUP(Tabla43[[#This Row],[ZONA DEFINITIVO]],Hoja1!$A$1:$D$129,3,0)</f>
        <v>232293</v>
      </c>
      <c r="W240" s="12">
        <f>VLOOKUP(Tabla43[[#This Row],[ZONA DEFINITIVO]],Hoja1!$A$1:$D$129,2,0)</f>
        <v>18601</v>
      </c>
      <c r="X240" s="12">
        <f>VLOOKUP(Tabla43[[#This Row],[ZONA DEFINITIVO]],Hoja1!$A$1:$D$129,4,0)</f>
        <v>118025</v>
      </c>
      <c r="Y240" s="12" t="str">
        <f>+IF(Tabla43[[#This Row],[AGRUPACIONES]]=1,SUMIFS(Tabla43[UDS],Tabla43[ZONA DEFINITIVO],Tabla43[[#This Row],[ZONA DEFINITIVO]])," ")</f>
        <v xml:space="preserve"> </v>
      </c>
      <c r="Z240" s="12" t="str">
        <f>+IF(Tabla43[[#This Row],[AGRUPACIONES]]=1,SUMIFS(Tabla43[TOTAL COBERTURA],Tabla43[ZONA DEFINITIVO],Tabla43[[#This Row],[ZONA DEFINITIVO]])," ")</f>
        <v xml:space="preserve"> </v>
      </c>
      <c r="AA240" s="12"/>
      <c r="AB240" s="51">
        <v>50964608</v>
      </c>
      <c r="AC240" s="51"/>
      <c r="AD240" s="38">
        <f>Tabla43[[#This Row],[VALOR ATENCIÓN (7 MESES)]]*Tabla43[[#This Row],[% CONTRAPARTIDA]]</f>
        <v>0</v>
      </c>
      <c r="AE240" s="12"/>
      <c r="AF240" s="12">
        <f>COUNTIF($A$22:A240,A240)</f>
        <v>2</v>
      </c>
      <c r="AG240" s="51">
        <v>50964608</v>
      </c>
      <c r="AH240" s="38">
        <f>Tabla43[[#This Row],[VALOR CONTRAPARTIDA]]+Tabla43[[#This Row],[TOTAL APORTES ICBF]]</f>
        <v>50964608</v>
      </c>
      <c r="AI240" s="35" t="str">
        <f>+IF(Tabla43[[#This Row],[AGRUPACIONES]]=1,SUMIFS(Tabla43[TOTAL APORTES ICBF],Tabla43[ZONA DEFINITIVO],Tabla43[[#This Row],[ZONA DEFINITIVO]])," ")</f>
        <v xml:space="preserve"> </v>
      </c>
      <c r="AJ240" s="38"/>
      <c r="AK240" s="38"/>
      <c r="AL240" s="23"/>
      <c r="AM240" s="35">
        <f>VLOOKUP(Tabla43[[#This Row],[SERVICIO 2025]],$J$2:$V$16,5,0)*Tabla43[[#This Row],[TOTAL COBERTURA]]</f>
        <v>790016</v>
      </c>
      <c r="AN240" s="35">
        <f>VLOOKUP(Tabla43[[#This Row],[SERVICIO 2025]],$J$2:$V$16,6,0)*Tabla43[[#This Row],[TOTAL COBERTURA]]</f>
        <v>656464</v>
      </c>
      <c r="AO240" s="35">
        <f>VLOOKUP(Tabla43[[#This Row],[SERVICIO 2025]],$J$2:$V$16,8,0)*Tabla43[[#This Row],[TOTAL COBERTURA]]</f>
        <v>465600</v>
      </c>
      <c r="AP240" s="35">
        <f>VLOOKUP(Tabla43[[#This Row],[SERVICIO 2025]],$J$2:$V$16,3,0)*Tabla43[[#This Row],[TOTAL COBERTURA]]*7</f>
        <v>49052528</v>
      </c>
      <c r="AQ240" s="35">
        <f>VLOOKUP(Tabla43[[#This Row],[SERVICIO 2025]],$J$2:$V$16,10,0)*Tabla43[[#This Row],[TOTAL COBERTURA]]*7</f>
        <v>0</v>
      </c>
      <c r="AR24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50964608</v>
      </c>
      <c r="AS240" s="35" t="str">
        <f>+IF(Tabla43[[#This Row],[AGRUPACIONES]]=1,SUMIFS(Tabla43[VALOR TOTAL],Tabla43[ZONA DEFINITIVO],Tabla43[[#This Row],[ZONA DEFINITIVO]])," ")</f>
        <v xml:space="preserve"> </v>
      </c>
      <c r="AT24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8263120</v>
      </c>
      <c r="AU240" s="35">
        <f>VLOOKUP(Tabla43[[#This Row],[SERVICIO 2025]],$J$2:$V$16,3,0)*Tabla43[[#This Row],[TOTAL COBERTURA]]+Tabla43[[#This Row],[VALOR RACION PREPARADA]]/7</f>
        <v>7007504</v>
      </c>
      <c r="AV240" s="35">
        <f>VLOOKUP(Tabla43[[#This Row],[SERVICIO 2025]],$J$2:$V$16,3,0)*Tabla43[[#This Row],[TOTAL COBERTURA]]+Tabla43[[#This Row],[VALOR RACION PREPARADA]]/7</f>
        <v>7007504</v>
      </c>
      <c r="AW240" s="35">
        <f>VLOOKUP(Tabla43[[#This Row],[SERVICIO 2025]],$J$2:$V$16,3,0)*Tabla43[[#This Row],[TOTAL COBERTURA]]+Tabla43[[#This Row],[VALOR RACION PREPARADA]]/7</f>
        <v>7007504</v>
      </c>
      <c r="AX240" s="35">
        <f>VLOOKUP(Tabla43[[#This Row],[SERVICIO 2025]],$J$2:$V$16,3,0)*Tabla43[[#This Row],[TOTAL COBERTURA]]+Tabla43[[#This Row],[VALOR RACION PREPARADA]]/7</f>
        <v>7007504</v>
      </c>
      <c r="AY240" s="35">
        <f>VLOOKUP(Tabla43[[#This Row],[SERVICIO 2025]],$J$2:$V$16,3,0)*Tabla43[[#This Row],[TOTAL COBERTURA]]+Tabla43[[#This Row],[VALOR RACION PREPARADA]]/7</f>
        <v>7007504</v>
      </c>
      <c r="AZ240" s="35">
        <f>VLOOKUP(Tabla43[[#This Row],[SERVICIO 2025]],$J$2:$V$16,3,0)*Tabla43[[#This Row],[TOTAL COBERTURA]]+Tabla43[[#This Row],[VALOR RACION PREPARADA]]/7+Tabla43[[#This Row],[VALOR FASE PREPARATORIA DE CIERRE]]</f>
        <v>7663968</v>
      </c>
      <c r="BA240" s="35"/>
      <c r="BB240" s="35">
        <f>SUM(Tabla43[[#This Row],[DESEMBOLSO 1]:[DESEMBOLSO 8]])</f>
        <v>50964608</v>
      </c>
      <c r="BC240" s="55">
        <f>VLOOKUP(Tabla43[[#This Row],[SERVICIO 2025]],$J$2:$V$16,10,0)*Tabla43[[#This Row],[TOTAL COBERTURA]]*$W$3</f>
        <v>0</v>
      </c>
      <c r="BD240" s="66" t="s">
        <v>145</v>
      </c>
      <c r="BE240" s="12" t="b">
        <f>EXACT(Tabla43[[#This Row],[TOTAL APORTES ICBF]],Tabla43[[#This Row],[VALOR TOTAL]])</f>
        <v>1</v>
      </c>
      <c r="BF240" s="23">
        <f>SUM(Tabla43[[#This Row],[VALOR FASE PREPARATORIA DE ALISTAMIENTO]:[VALOR RACION PREPARADA]])-Tabla43[[#This Row],[VALOR TOTAL]]</f>
        <v>0</v>
      </c>
      <c r="BG240" s="12" t="b">
        <f>EXACT(Tabla43[[#This Row],[VALOR TOTAL]],Tabla43[[#This Row],[TOTAL DESEMBOLSOS]])</f>
        <v>1</v>
      </c>
      <c r="BH240" s="29">
        <f>Tabla43[[#This Row],[TOTAL DESEMBOLSOS]]-Tabla43[[#This Row],[VALOR TOTAL]]</f>
        <v>0</v>
      </c>
      <c r="BJ240" t="s">
        <v>3896</v>
      </c>
    </row>
    <row r="241" spans="1:62">
      <c r="A241" s="71" t="s">
        <v>4290</v>
      </c>
      <c r="B241" s="13"/>
      <c r="C241" s="12" t="s">
        <v>87</v>
      </c>
      <c r="D241" s="12" t="s">
        <v>987</v>
      </c>
      <c r="E241" s="12" t="s">
        <v>1143</v>
      </c>
      <c r="F241" s="12" t="s">
        <v>2843</v>
      </c>
      <c r="G241" s="12" t="s">
        <v>90</v>
      </c>
      <c r="H241" s="12" t="s">
        <v>4294</v>
      </c>
      <c r="I241" s="12">
        <v>515400095572</v>
      </c>
      <c r="J241" s="12" t="s">
        <v>4295</v>
      </c>
      <c r="K241" s="12">
        <v>1</v>
      </c>
      <c r="L241" s="12">
        <v>13</v>
      </c>
      <c r="M241" s="12"/>
      <c r="N241" s="71" t="s">
        <v>4290</v>
      </c>
      <c r="O241" s="12" t="s">
        <v>3894</v>
      </c>
      <c r="P241" s="12"/>
      <c r="Q241" s="12"/>
      <c r="R241" s="12" t="s">
        <v>94</v>
      </c>
      <c r="S241" s="12">
        <v>10</v>
      </c>
      <c r="T241" s="12">
        <v>800044785</v>
      </c>
      <c r="U241" s="58" t="s">
        <v>3895</v>
      </c>
      <c r="V241" s="12">
        <f>VLOOKUP(Tabla43[[#This Row],[ZONA DEFINITIVO]],Hoja1!$A$1:$D$129,3,0)</f>
        <v>232293</v>
      </c>
      <c r="W241" s="12">
        <f>VLOOKUP(Tabla43[[#This Row],[ZONA DEFINITIVO]],Hoja1!$A$1:$D$129,2,0)</f>
        <v>18601</v>
      </c>
      <c r="X241" s="12">
        <f>VLOOKUP(Tabla43[[#This Row],[ZONA DEFINITIVO]],Hoja1!$A$1:$D$129,4,0)</f>
        <v>118025</v>
      </c>
      <c r="Y241" s="12" t="str">
        <f>+IF(Tabla43[[#This Row],[AGRUPACIONES]]=1,SUMIFS(Tabla43[UDS],Tabla43[ZONA DEFINITIVO],Tabla43[[#This Row],[ZONA DEFINITIVO]])," ")</f>
        <v xml:space="preserve"> </v>
      </c>
      <c r="Z241" s="12" t="str">
        <f>+IF(Tabla43[[#This Row],[AGRUPACIONES]]=1,SUMIFS(Tabla43[TOTAL COBERTURA],Tabla43[ZONA DEFINITIVO],Tabla43[[#This Row],[ZONA DEFINITIVO]])," ")</f>
        <v xml:space="preserve"> </v>
      </c>
      <c r="AA241" s="12"/>
      <c r="AB241" s="51">
        <v>41408744</v>
      </c>
      <c r="AC241" s="51"/>
      <c r="AD241" s="38">
        <f>Tabla43[[#This Row],[VALOR ATENCIÓN (7 MESES)]]*Tabla43[[#This Row],[% CONTRAPARTIDA]]</f>
        <v>0</v>
      </c>
      <c r="AE241" s="12"/>
      <c r="AF241" s="12">
        <f>COUNTIF($A$22:A241,A241)</f>
        <v>3</v>
      </c>
      <c r="AG241" s="51">
        <v>41408744</v>
      </c>
      <c r="AH241" s="38">
        <f>Tabla43[[#This Row],[VALOR CONTRAPARTIDA]]+Tabla43[[#This Row],[TOTAL APORTES ICBF]]</f>
        <v>41408744</v>
      </c>
      <c r="AI241" s="35" t="str">
        <f>+IF(Tabla43[[#This Row],[AGRUPACIONES]]=1,SUMIFS(Tabla43[TOTAL APORTES ICBF],Tabla43[ZONA DEFINITIVO],Tabla43[[#This Row],[ZONA DEFINITIVO]])," ")</f>
        <v xml:space="preserve"> </v>
      </c>
      <c r="AJ241" s="38"/>
      <c r="AK241" s="38"/>
      <c r="AL241" s="23"/>
      <c r="AM241" s="35">
        <f>VLOOKUP(Tabla43[[#This Row],[SERVICIO 2025]],$J$2:$V$16,5,0)*Tabla43[[#This Row],[TOTAL COBERTURA]]</f>
        <v>641888</v>
      </c>
      <c r="AN241" s="35">
        <f>VLOOKUP(Tabla43[[#This Row],[SERVICIO 2025]],$J$2:$V$16,6,0)*Tabla43[[#This Row],[TOTAL COBERTURA]]</f>
        <v>533377</v>
      </c>
      <c r="AO241" s="35">
        <f>VLOOKUP(Tabla43[[#This Row],[SERVICIO 2025]],$J$2:$V$16,8,0)*Tabla43[[#This Row],[TOTAL COBERTURA]]</f>
        <v>378300</v>
      </c>
      <c r="AP241" s="35">
        <f>VLOOKUP(Tabla43[[#This Row],[SERVICIO 2025]],$J$2:$V$16,3,0)*Tabla43[[#This Row],[TOTAL COBERTURA]]*7</f>
        <v>39855179</v>
      </c>
      <c r="AQ241" s="35">
        <f>VLOOKUP(Tabla43[[#This Row],[SERVICIO 2025]],$J$2:$V$16,10,0)*Tabla43[[#This Row],[TOTAL COBERTURA]]*7</f>
        <v>0</v>
      </c>
      <c r="AR24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41408744</v>
      </c>
      <c r="AS241" s="35" t="str">
        <f>+IF(Tabla43[[#This Row],[AGRUPACIONES]]=1,SUMIFS(Tabla43[VALOR TOTAL],Tabla43[ZONA DEFINITIVO],Tabla43[[#This Row],[ZONA DEFINITIVO]])," ")</f>
        <v xml:space="preserve"> </v>
      </c>
      <c r="AT24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6713785</v>
      </c>
      <c r="AU241" s="35">
        <f>VLOOKUP(Tabla43[[#This Row],[SERVICIO 2025]],$J$2:$V$16,3,0)*Tabla43[[#This Row],[TOTAL COBERTURA]]+Tabla43[[#This Row],[VALOR RACION PREPARADA]]/7</f>
        <v>5693597</v>
      </c>
      <c r="AV241" s="35">
        <f>VLOOKUP(Tabla43[[#This Row],[SERVICIO 2025]],$J$2:$V$16,3,0)*Tabla43[[#This Row],[TOTAL COBERTURA]]+Tabla43[[#This Row],[VALOR RACION PREPARADA]]/7</f>
        <v>5693597</v>
      </c>
      <c r="AW241" s="35">
        <f>VLOOKUP(Tabla43[[#This Row],[SERVICIO 2025]],$J$2:$V$16,3,0)*Tabla43[[#This Row],[TOTAL COBERTURA]]+Tabla43[[#This Row],[VALOR RACION PREPARADA]]/7</f>
        <v>5693597</v>
      </c>
      <c r="AX241" s="35">
        <f>VLOOKUP(Tabla43[[#This Row],[SERVICIO 2025]],$J$2:$V$16,3,0)*Tabla43[[#This Row],[TOTAL COBERTURA]]+Tabla43[[#This Row],[VALOR RACION PREPARADA]]/7</f>
        <v>5693597</v>
      </c>
      <c r="AY241" s="35">
        <f>VLOOKUP(Tabla43[[#This Row],[SERVICIO 2025]],$J$2:$V$16,3,0)*Tabla43[[#This Row],[TOTAL COBERTURA]]+Tabla43[[#This Row],[VALOR RACION PREPARADA]]/7</f>
        <v>5693597</v>
      </c>
      <c r="AZ241" s="35">
        <f>VLOOKUP(Tabla43[[#This Row],[SERVICIO 2025]],$J$2:$V$16,3,0)*Tabla43[[#This Row],[TOTAL COBERTURA]]+Tabla43[[#This Row],[VALOR RACION PREPARADA]]/7+Tabla43[[#This Row],[VALOR FASE PREPARATORIA DE CIERRE]]</f>
        <v>6226974</v>
      </c>
      <c r="BA241" s="35"/>
      <c r="BB241" s="35">
        <f>SUM(Tabla43[[#This Row],[DESEMBOLSO 1]:[DESEMBOLSO 8]])</f>
        <v>41408744</v>
      </c>
      <c r="BC241" s="55">
        <f>VLOOKUP(Tabla43[[#This Row],[SERVICIO 2025]],$J$2:$V$16,10,0)*Tabla43[[#This Row],[TOTAL COBERTURA]]*$W$3</f>
        <v>0</v>
      </c>
      <c r="BD241" s="66" t="s">
        <v>145</v>
      </c>
      <c r="BE241" s="12" t="b">
        <f>EXACT(Tabla43[[#This Row],[TOTAL APORTES ICBF]],Tabla43[[#This Row],[VALOR TOTAL]])</f>
        <v>1</v>
      </c>
      <c r="BF241" s="23">
        <f>SUM(Tabla43[[#This Row],[VALOR FASE PREPARATORIA DE ALISTAMIENTO]:[VALOR RACION PREPARADA]])-Tabla43[[#This Row],[VALOR TOTAL]]</f>
        <v>0</v>
      </c>
      <c r="BG241" s="12" t="b">
        <f>EXACT(Tabla43[[#This Row],[VALOR TOTAL]],Tabla43[[#This Row],[TOTAL DESEMBOLSOS]])</f>
        <v>1</v>
      </c>
      <c r="BH241" s="29">
        <f>Tabla43[[#This Row],[TOTAL DESEMBOLSOS]]-Tabla43[[#This Row],[VALOR TOTAL]]</f>
        <v>0</v>
      </c>
      <c r="BJ241" t="s">
        <v>3896</v>
      </c>
    </row>
    <row r="242" spans="1:62">
      <c r="A242" s="71" t="s">
        <v>4290</v>
      </c>
      <c r="B242" s="13"/>
      <c r="C242" s="12" t="s">
        <v>87</v>
      </c>
      <c r="D242" s="12" t="s">
        <v>987</v>
      </c>
      <c r="E242" s="12" t="s">
        <v>1404</v>
      </c>
      <c r="F242" s="12" t="s">
        <v>2843</v>
      </c>
      <c r="G242" s="12" t="s">
        <v>90</v>
      </c>
      <c r="H242" s="12" t="s">
        <v>4296</v>
      </c>
      <c r="I242" s="12">
        <v>52501148778</v>
      </c>
      <c r="J242" s="12" t="s">
        <v>4297</v>
      </c>
      <c r="K242" s="12">
        <v>1</v>
      </c>
      <c r="L242" s="12">
        <v>53</v>
      </c>
      <c r="M242" s="12"/>
      <c r="N242" s="71" t="s">
        <v>4290</v>
      </c>
      <c r="O242" s="12" t="s">
        <v>3894</v>
      </c>
      <c r="P242" s="12"/>
      <c r="Q242" s="12"/>
      <c r="R242" s="12" t="s">
        <v>94</v>
      </c>
      <c r="S242" s="12">
        <v>10</v>
      </c>
      <c r="T242" s="12">
        <v>800044785</v>
      </c>
      <c r="U242" s="58" t="s">
        <v>3895</v>
      </c>
      <c r="V242" s="12">
        <f>VLOOKUP(Tabla43[[#This Row],[ZONA DEFINITIVO]],Hoja1!$A$1:$D$129,3,0)</f>
        <v>232293</v>
      </c>
      <c r="W242" s="12">
        <f>VLOOKUP(Tabla43[[#This Row],[ZONA DEFINITIVO]],Hoja1!$A$1:$D$129,2,0)</f>
        <v>18601</v>
      </c>
      <c r="X242" s="12">
        <f>VLOOKUP(Tabla43[[#This Row],[ZONA DEFINITIVO]],Hoja1!$A$1:$D$129,4,0)</f>
        <v>118025</v>
      </c>
      <c r="Y242" s="12" t="str">
        <f>+IF(Tabla43[[#This Row],[AGRUPACIONES]]=1,SUMIFS(Tabla43[UDS],Tabla43[ZONA DEFINITIVO],Tabla43[[#This Row],[ZONA DEFINITIVO]])," ")</f>
        <v xml:space="preserve"> </v>
      </c>
      <c r="Z242" s="12" t="str">
        <f>+IF(Tabla43[[#This Row],[AGRUPACIONES]]=1,SUMIFS(Tabla43[TOTAL COBERTURA],Tabla43[ZONA DEFINITIVO],Tabla43[[#This Row],[ZONA DEFINITIVO]])," ")</f>
        <v xml:space="preserve"> </v>
      </c>
      <c r="AA242" s="12"/>
      <c r="AB242" s="51">
        <v>168820264</v>
      </c>
      <c r="AC242" s="51"/>
      <c r="AD242" s="38">
        <f>Tabla43[[#This Row],[VALOR ATENCIÓN (7 MESES)]]*Tabla43[[#This Row],[% CONTRAPARTIDA]]</f>
        <v>0</v>
      </c>
      <c r="AE242" s="12"/>
      <c r="AF242" s="12">
        <f>COUNTIF($A$22:A242,A242)</f>
        <v>4</v>
      </c>
      <c r="AG242" s="51">
        <v>168820264</v>
      </c>
      <c r="AH242" s="38">
        <f>Tabla43[[#This Row],[VALOR CONTRAPARTIDA]]+Tabla43[[#This Row],[TOTAL APORTES ICBF]]</f>
        <v>168820264</v>
      </c>
      <c r="AI242" s="35" t="str">
        <f>+IF(Tabla43[[#This Row],[AGRUPACIONES]]=1,SUMIFS(Tabla43[TOTAL APORTES ICBF],Tabla43[ZONA DEFINITIVO],Tabla43[[#This Row],[ZONA DEFINITIVO]])," ")</f>
        <v xml:space="preserve"> </v>
      </c>
      <c r="AJ242" s="38"/>
      <c r="AK242" s="38"/>
      <c r="AL242" s="23"/>
      <c r="AM242" s="35">
        <f>VLOOKUP(Tabla43[[#This Row],[SERVICIO 2025]],$J$2:$V$16,5,0)*Tabla43[[#This Row],[TOTAL COBERTURA]]</f>
        <v>2616928</v>
      </c>
      <c r="AN242" s="35">
        <f>VLOOKUP(Tabla43[[#This Row],[SERVICIO 2025]],$J$2:$V$16,6,0)*Tabla43[[#This Row],[TOTAL COBERTURA]]</f>
        <v>2174537</v>
      </c>
      <c r="AO242" s="35">
        <f>VLOOKUP(Tabla43[[#This Row],[SERVICIO 2025]],$J$2:$V$16,8,0)*Tabla43[[#This Row],[TOTAL COBERTURA]]</f>
        <v>1542300</v>
      </c>
      <c r="AP242" s="35">
        <f>VLOOKUP(Tabla43[[#This Row],[SERVICIO 2025]],$J$2:$V$16,3,0)*Tabla43[[#This Row],[TOTAL COBERTURA]]*7</f>
        <v>162486499</v>
      </c>
      <c r="AQ242" s="35">
        <f>VLOOKUP(Tabla43[[#This Row],[SERVICIO 2025]],$J$2:$V$16,10,0)*Tabla43[[#This Row],[TOTAL COBERTURA]]*7</f>
        <v>0</v>
      </c>
      <c r="AR24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168820264</v>
      </c>
      <c r="AS242" s="35" t="str">
        <f>+IF(Tabla43[[#This Row],[AGRUPACIONES]]=1,SUMIFS(Tabla43[VALOR TOTAL],Tabla43[ZONA DEFINITIVO],Tabla43[[#This Row],[ZONA DEFINITIVO]])," ")</f>
        <v xml:space="preserve"> </v>
      </c>
      <c r="AT24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27371585</v>
      </c>
      <c r="AU242" s="35">
        <f>VLOOKUP(Tabla43[[#This Row],[SERVICIO 2025]],$J$2:$V$16,3,0)*Tabla43[[#This Row],[TOTAL COBERTURA]]+Tabla43[[#This Row],[VALOR RACION PREPARADA]]/7</f>
        <v>23212357</v>
      </c>
      <c r="AV242" s="35">
        <f>VLOOKUP(Tabla43[[#This Row],[SERVICIO 2025]],$J$2:$V$16,3,0)*Tabla43[[#This Row],[TOTAL COBERTURA]]+Tabla43[[#This Row],[VALOR RACION PREPARADA]]/7</f>
        <v>23212357</v>
      </c>
      <c r="AW242" s="35">
        <f>VLOOKUP(Tabla43[[#This Row],[SERVICIO 2025]],$J$2:$V$16,3,0)*Tabla43[[#This Row],[TOTAL COBERTURA]]+Tabla43[[#This Row],[VALOR RACION PREPARADA]]/7</f>
        <v>23212357</v>
      </c>
      <c r="AX242" s="35">
        <f>VLOOKUP(Tabla43[[#This Row],[SERVICIO 2025]],$J$2:$V$16,3,0)*Tabla43[[#This Row],[TOTAL COBERTURA]]+Tabla43[[#This Row],[VALOR RACION PREPARADA]]/7</f>
        <v>23212357</v>
      </c>
      <c r="AY242" s="35">
        <f>VLOOKUP(Tabla43[[#This Row],[SERVICIO 2025]],$J$2:$V$16,3,0)*Tabla43[[#This Row],[TOTAL COBERTURA]]+Tabla43[[#This Row],[VALOR RACION PREPARADA]]/7</f>
        <v>23212357</v>
      </c>
      <c r="AZ242" s="35">
        <f>VLOOKUP(Tabla43[[#This Row],[SERVICIO 2025]],$J$2:$V$16,3,0)*Tabla43[[#This Row],[TOTAL COBERTURA]]+Tabla43[[#This Row],[VALOR RACION PREPARADA]]/7+Tabla43[[#This Row],[VALOR FASE PREPARATORIA DE CIERRE]]</f>
        <v>25386894</v>
      </c>
      <c r="BA242" s="35"/>
      <c r="BB242" s="35">
        <f>SUM(Tabla43[[#This Row],[DESEMBOLSO 1]:[DESEMBOLSO 8]])</f>
        <v>168820264</v>
      </c>
      <c r="BC242" s="55">
        <f>VLOOKUP(Tabla43[[#This Row],[SERVICIO 2025]],$J$2:$V$16,10,0)*Tabla43[[#This Row],[TOTAL COBERTURA]]*$W$3</f>
        <v>0</v>
      </c>
      <c r="BD242" s="66" t="s">
        <v>145</v>
      </c>
      <c r="BE242" s="12" t="b">
        <f>EXACT(Tabla43[[#This Row],[TOTAL APORTES ICBF]],Tabla43[[#This Row],[VALOR TOTAL]])</f>
        <v>1</v>
      </c>
      <c r="BF242" s="23">
        <f>SUM(Tabla43[[#This Row],[VALOR FASE PREPARATORIA DE ALISTAMIENTO]:[VALOR RACION PREPARADA]])-Tabla43[[#This Row],[VALOR TOTAL]]</f>
        <v>0</v>
      </c>
      <c r="BG242" s="12" t="b">
        <f>EXACT(Tabla43[[#This Row],[VALOR TOTAL]],Tabla43[[#This Row],[TOTAL DESEMBOLSOS]])</f>
        <v>1</v>
      </c>
      <c r="BH242" s="29">
        <f>Tabla43[[#This Row],[TOTAL DESEMBOLSOS]]-Tabla43[[#This Row],[VALOR TOTAL]]</f>
        <v>0</v>
      </c>
      <c r="BJ242" t="s">
        <v>3896</v>
      </c>
    </row>
    <row r="243" spans="1:62">
      <c r="A243" s="71" t="s">
        <v>4290</v>
      </c>
      <c r="B243" s="13"/>
      <c r="C243" s="12" t="s">
        <v>87</v>
      </c>
      <c r="D243" s="12" t="s">
        <v>987</v>
      </c>
      <c r="E243" s="12" t="s">
        <v>1404</v>
      </c>
      <c r="F243" s="12" t="s">
        <v>2843</v>
      </c>
      <c r="G243" s="12" t="s">
        <v>90</v>
      </c>
      <c r="H243" s="12" t="s">
        <v>4298</v>
      </c>
      <c r="I243" s="12">
        <v>52501152436</v>
      </c>
      <c r="J243" s="12" t="s">
        <v>4299</v>
      </c>
      <c r="K243" s="12">
        <v>1</v>
      </c>
      <c r="L243" s="12">
        <v>35</v>
      </c>
      <c r="M243" s="12"/>
      <c r="N243" s="71" t="s">
        <v>4290</v>
      </c>
      <c r="O243" s="12" t="s">
        <v>3894</v>
      </c>
      <c r="P243" s="12"/>
      <c r="Q243" s="12"/>
      <c r="R243" s="12" t="s">
        <v>94</v>
      </c>
      <c r="S243" s="12">
        <v>10</v>
      </c>
      <c r="T243" s="12">
        <v>800044785</v>
      </c>
      <c r="U243" s="58" t="s">
        <v>3895</v>
      </c>
      <c r="V243" s="12">
        <f>VLOOKUP(Tabla43[[#This Row],[ZONA DEFINITIVO]],Hoja1!$A$1:$D$129,3,0)</f>
        <v>232293</v>
      </c>
      <c r="W243" s="12">
        <f>VLOOKUP(Tabla43[[#This Row],[ZONA DEFINITIVO]],Hoja1!$A$1:$D$129,2,0)</f>
        <v>18601</v>
      </c>
      <c r="X243" s="12">
        <f>VLOOKUP(Tabla43[[#This Row],[ZONA DEFINITIVO]],Hoja1!$A$1:$D$129,4,0)</f>
        <v>118025</v>
      </c>
      <c r="Y243" s="12" t="str">
        <f>+IF(Tabla43[[#This Row],[AGRUPACIONES]]=1,SUMIFS(Tabla43[UDS],Tabla43[ZONA DEFINITIVO],Tabla43[[#This Row],[ZONA DEFINITIVO]])," ")</f>
        <v xml:space="preserve"> </v>
      </c>
      <c r="Z243" s="12" t="str">
        <f>+IF(Tabla43[[#This Row],[AGRUPACIONES]]=1,SUMIFS(Tabla43[TOTAL COBERTURA],Tabla43[ZONA DEFINITIVO],Tabla43[[#This Row],[ZONA DEFINITIVO]])," ")</f>
        <v xml:space="preserve"> </v>
      </c>
      <c r="AA243" s="12"/>
      <c r="AB243" s="51">
        <v>111485080</v>
      </c>
      <c r="AC243" s="51"/>
      <c r="AD243" s="38">
        <f>Tabla43[[#This Row],[VALOR ATENCIÓN (7 MESES)]]*Tabla43[[#This Row],[% CONTRAPARTIDA]]</f>
        <v>0</v>
      </c>
      <c r="AE243" s="12"/>
      <c r="AF243" s="12">
        <f>COUNTIF($A$22:A243,A243)</f>
        <v>5</v>
      </c>
      <c r="AG243" s="51">
        <v>111485080</v>
      </c>
      <c r="AH243" s="38">
        <f>Tabla43[[#This Row],[VALOR CONTRAPARTIDA]]+Tabla43[[#This Row],[TOTAL APORTES ICBF]]</f>
        <v>111485080</v>
      </c>
      <c r="AI243" s="35" t="str">
        <f>+IF(Tabla43[[#This Row],[AGRUPACIONES]]=1,SUMIFS(Tabla43[TOTAL APORTES ICBF],Tabla43[ZONA DEFINITIVO],Tabla43[[#This Row],[ZONA DEFINITIVO]])," ")</f>
        <v xml:space="preserve"> </v>
      </c>
      <c r="AJ243" s="38"/>
      <c r="AK243" s="38"/>
      <c r="AL243" s="23"/>
      <c r="AM243" s="35">
        <f>VLOOKUP(Tabla43[[#This Row],[SERVICIO 2025]],$J$2:$V$16,5,0)*Tabla43[[#This Row],[TOTAL COBERTURA]]</f>
        <v>1728160</v>
      </c>
      <c r="AN243" s="35">
        <f>VLOOKUP(Tabla43[[#This Row],[SERVICIO 2025]],$J$2:$V$16,6,0)*Tabla43[[#This Row],[TOTAL COBERTURA]]</f>
        <v>1436015</v>
      </c>
      <c r="AO243" s="35">
        <f>VLOOKUP(Tabla43[[#This Row],[SERVICIO 2025]],$J$2:$V$16,8,0)*Tabla43[[#This Row],[TOTAL COBERTURA]]</f>
        <v>1018500</v>
      </c>
      <c r="AP243" s="35">
        <f>VLOOKUP(Tabla43[[#This Row],[SERVICIO 2025]],$J$2:$V$16,3,0)*Tabla43[[#This Row],[TOTAL COBERTURA]]*7</f>
        <v>107302405</v>
      </c>
      <c r="AQ243" s="35">
        <f>VLOOKUP(Tabla43[[#This Row],[SERVICIO 2025]],$J$2:$V$16,10,0)*Tabla43[[#This Row],[TOTAL COBERTURA]]*7</f>
        <v>0</v>
      </c>
      <c r="AR24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111485080</v>
      </c>
      <c r="AS243" s="35" t="str">
        <f>+IF(Tabla43[[#This Row],[AGRUPACIONES]]=1,SUMIFS(Tabla43[VALOR TOTAL],Tabla43[ZONA DEFINITIVO],Tabla43[[#This Row],[ZONA DEFINITIVO]])," ")</f>
        <v xml:space="preserve"> </v>
      </c>
      <c r="AT24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18075575</v>
      </c>
      <c r="AU243" s="35">
        <f>VLOOKUP(Tabla43[[#This Row],[SERVICIO 2025]],$J$2:$V$16,3,0)*Tabla43[[#This Row],[TOTAL COBERTURA]]+Tabla43[[#This Row],[VALOR RACION PREPARADA]]/7</f>
        <v>15328915</v>
      </c>
      <c r="AV243" s="35">
        <f>VLOOKUP(Tabla43[[#This Row],[SERVICIO 2025]],$J$2:$V$16,3,0)*Tabla43[[#This Row],[TOTAL COBERTURA]]+Tabla43[[#This Row],[VALOR RACION PREPARADA]]/7</f>
        <v>15328915</v>
      </c>
      <c r="AW243" s="35">
        <f>VLOOKUP(Tabla43[[#This Row],[SERVICIO 2025]],$J$2:$V$16,3,0)*Tabla43[[#This Row],[TOTAL COBERTURA]]+Tabla43[[#This Row],[VALOR RACION PREPARADA]]/7</f>
        <v>15328915</v>
      </c>
      <c r="AX243" s="35">
        <f>VLOOKUP(Tabla43[[#This Row],[SERVICIO 2025]],$J$2:$V$16,3,0)*Tabla43[[#This Row],[TOTAL COBERTURA]]+Tabla43[[#This Row],[VALOR RACION PREPARADA]]/7</f>
        <v>15328915</v>
      </c>
      <c r="AY243" s="35">
        <f>VLOOKUP(Tabla43[[#This Row],[SERVICIO 2025]],$J$2:$V$16,3,0)*Tabla43[[#This Row],[TOTAL COBERTURA]]+Tabla43[[#This Row],[VALOR RACION PREPARADA]]/7</f>
        <v>15328915</v>
      </c>
      <c r="AZ243" s="35">
        <f>VLOOKUP(Tabla43[[#This Row],[SERVICIO 2025]],$J$2:$V$16,3,0)*Tabla43[[#This Row],[TOTAL COBERTURA]]+Tabla43[[#This Row],[VALOR RACION PREPARADA]]/7+Tabla43[[#This Row],[VALOR FASE PREPARATORIA DE CIERRE]]</f>
        <v>16764930</v>
      </c>
      <c r="BA243" s="35"/>
      <c r="BB243" s="35">
        <f>SUM(Tabla43[[#This Row],[DESEMBOLSO 1]:[DESEMBOLSO 8]])</f>
        <v>111485080</v>
      </c>
      <c r="BC243" s="55">
        <f>VLOOKUP(Tabla43[[#This Row],[SERVICIO 2025]],$J$2:$V$16,10,0)*Tabla43[[#This Row],[TOTAL COBERTURA]]*$W$3</f>
        <v>0</v>
      </c>
      <c r="BD243" s="66" t="s">
        <v>145</v>
      </c>
      <c r="BE243" s="12" t="b">
        <f>EXACT(Tabla43[[#This Row],[TOTAL APORTES ICBF]],Tabla43[[#This Row],[VALOR TOTAL]])</f>
        <v>1</v>
      </c>
      <c r="BF243" s="23">
        <f>SUM(Tabla43[[#This Row],[VALOR FASE PREPARATORIA DE ALISTAMIENTO]:[VALOR RACION PREPARADA]])-Tabla43[[#This Row],[VALOR TOTAL]]</f>
        <v>0</v>
      </c>
      <c r="BG243" s="12" t="b">
        <f>EXACT(Tabla43[[#This Row],[VALOR TOTAL]],Tabla43[[#This Row],[TOTAL DESEMBOLSOS]])</f>
        <v>1</v>
      </c>
      <c r="BH243" s="29">
        <f>Tabla43[[#This Row],[TOTAL DESEMBOLSOS]]-Tabla43[[#This Row],[VALOR TOTAL]]</f>
        <v>0</v>
      </c>
      <c r="BJ243" t="s">
        <v>3896</v>
      </c>
    </row>
    <row r="244" spans="1:62">
      <c r="A244" s="71" t="s">
        <v>4290</v>
      </c>
      <c r="B244" s="13"/>
      <c r="C244" s="12" t="s">
        <v>87</v>
      </c>
      <c r="D244" s="12" t="s">
        <v>987</v>
      </c>
      <c r="E244" s="12" t="s">
        <v>1404</v>
      </c>
      <c r="F244" s="12" t="s">
        <v>2843</v>
      </c>
      <c r="G244" s="12" t="s">
        <v>90</v>
      </c>
      <c r="H244" s="12" t="s">
        <v>4300</v>
      </c>
      <c r="I244" s="12">
        <v>52501152437</v>
      </c>
      <c r="J244" s="12" t="s">
        <v>4301</v>
      </c>
      <c r="K244" s="12">
        <v>1</v>
      </c>
      <c r="L244" s="12">
        <v>15</v>
      </c>
      <c r="M244" s="12"/>
      <c r="N244" s="71" t="s">
        <v>4290</v>
      </c>
      <c r="O244" s="12" t="s">
        <v>3894</v>
      </c>
      <c r="P244" s="12"/>
      <c r="Q244" s="12"/>
      <c r="R244" s="12" t="s">
        <v>94</v>
      </c>
      <c r="S244" s="12">
        <v>10</v>
      </c>
      <c r="T244" s="12">
        <v>800044785</v>
      </c>
      <c r="U244" s="58" t="s">
        <v>3895</v>
      </c>
      <c r="V244" s="12">
        <f>VLOOKUP(Tabla43[[#This Row],[ZONA DEFINITIVO]],Hoja1!$A$1:$D$129,3,0)</f>
        <v>232293</v>
      </c>
      <c r="W244" s="12">
        <f>VLOOKUP(Tabla43[[#This Row],[ZONA DEFINITIVO]],Hoja1!$A$1:$D$129,2,0)</f>
        <v>18601</v>
      </c>
      <c r="X244" s="12">
        <f>VLOOKUP(Tabla43[[#This Row],[ZONA DEFINITIVO]],Hoja1!$A$1:$D$129,4,0)</f>
        <v>118025</v>
      </c>
      <c r="Y244" s="12" t="str">
        <f>+IF(Tabla43[[#This Row],[AGRUPACIONES]]=1,SUMIFS(Tabla43[UDS],Tabla43[ZONA DEFINITIVO],Tabla43[[#This Row],[ZONA DEFINITIVO]])," ")</f>
        <v xml:space="preserve"> </v>
      </c>
      <c r="Z244" s="12" t="str">
        <f>+IF(Tabla43[[#This Row],[AGRUPACIONES]]=1,SUMIFS(Tabla43[TOTAL COBERTURA],Tabla43[ZONA DEFINITIVO],Tabla43[[#This Row],[ZONA DEFINITIVO]])," ")</f>
        <v xml:space="preserve"> </v>
      </c>
      <c r="AA244" s="12"/>
      <c r="AB244" s="51">
        <v>47779320</v>
      </c>
      <c r="AC244" s="51"/>
      <c r="AD244" s="38">
        <f>Tabla43[[#This Row],[VALOR ATENCIÓN (7 MESES)]]*Tabla43[[#This Row],[% CONTRAPARTIDA]]</f>
        <v>0</v>
      </c>
      <c r="AE244" s="12"/>
      <c r="AF244" s="12">
        <f>COUNTIF($A$22:A244,A244)</f>
        <v>6</v>
      </c>
      <c r="AG244" s="51">
        <v>47779320</v>
      </c>
      <c r="AH244" s="38">
        <f>Tabla43[[#This Row],[VALOR CONTRAPARTIDA]]+Tabla43[[#This Row],[TOTAL APORTES ICBF]]</f>
        <v>47779320</v>
      </c>
      <c r="AI244" s="35" t="str">
        <f>+IF(Tabla43[[#This Row],[AGRUPACIONES]]=1,SUMIFS(Tabla43[TOTAL APORTES ICBF],Tabla43[ZONA DEFINITIVO],Tabla43[[#This Row],[ZONA DEFINITIVO]])," ")</f>
        <v xml:space="preserve"> </v>
      </c>
      <c r="AJ244" s="38"/>
      <c r="AK244" s="38"/>
      <c r="AL244" s="23"/>
      <c r="AM244" s="35">
        <f>VLOOKUP(Tabla43[[#This Row],[SERVICIO 2025]],$J$2:$V$16,5,0)*Tabla43[[#This Row],[TOTAL COBERTURA]]</f>
        <v>740640</v>
      </c>
      <c r="AN244" s="35">
        <f>VLOOKUP(Tabla43[[#This Row],[SERVICIO 2025]],$J$2:$V$16,6,0)*Tabla43[[#This Row],[TOTAL COBERTURA]]</f>
        <v>615435</v>
      </c>
      <c r="AO244" s="35">
        <f>VLOOKUP(Tabla43[[#This Row],[SERVICIO 2025]],$J$2:$V$16,8,0)*Tabla43[[#This Row],[TOTAL COBERTURA]]</f>
        <v>436500</v>
      </c>
      <c r="AP244" s="35">
        <f>VLOOKUP(Tabla43[[#This Row],[SERVICIO 2025]],$J$2:$V$16,3,0)*Tabla43[[#This Row],[TOTAL COBERTURA]]*7</f>
        <v>45986745</v>
      </c>
      <c r="AQ244" s="35">
        <f>VLOOKUP(Tabla43[[#This Row],[SERVICIO 2025]],$J$2:$V$16,10,0)*Tabla43[[#This Row],[TOTAL COBERTURA]]*7</f>
        <v>0</v>
      </c>
      <c r="AR24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47779320</v>
      </c>
      <c r="AS244" s="35" t="str">
        <f>+IF(Tabla43[[#This Row],[AGRUPACIONES]]=1,SUMIFS(Tabla43[VALOR TOTAL],Tabla43[ZONA DEFINITIVO],Tabla43[[#This Row],[ZONA DEFINITIVO]])," ")</f>
        <v xml:space="preserve"> </v>
      </c>
      <c r="AT24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7746675</v>
      </c>
      <c r="AU244" s="35">
        <f>VLOOKUP(Tabla43[[#This Row],[SERVICIO 2025]],$J$2:$V$16,3,0)*Tabla43[[#This Row],[TOTAL COBERTURA]]+Tabla43[[#This Row],[VALOR RACION PREPARADA]]/7</f>
        <v>6569535</v>
      </c>
      <c r="AV244" s="35">
        <f>VLOOKUP(Tabla43[[#This Row],[SERVICIO 2025]],$J$2:$V$16,3,0)*Tabla43[[#This Row],[TOTAL COBERTURA]]+Tabla43[[#This Row],[VALOR RACION PREPARADA]]/7</f>
        <v>6569535</v>
      </c>
      <c r="AW244" s="35">
        <f>VLOOKUP(Tabla43[[#This Row],[SERVICIO 2025]],$J$2:$V$16,3,0)*Tabla43[[#This Row],[TOTAL COBERTURA]]+Tabla43[[#This Row],[VALOR RACION PREPARADA]]/7</f>
        <v>6569535</v>
      </c>
      <c r="AX244" s="35">
        <f>VLOOKUP(Tabla43[[#This Row],[SERVICIO 2025]],$J$2:$V$16,3,0)*Tabla43[[#This Row],[TOTAL COBERTURA]]+Tabla43[[#This Row],[VALOR RACION PREPARADA]]/7</f>
        <v>6569535</v>
      </c>
      <c r="AY244" s="35">
        <f>VLOOKUP(Tabla43[[#This Row],[SERVICIO 2025]],$J$2:$V$16,3,0)*Tabla43[[#This Row],[TOTAL COBERTURA]]+Tabla43[[#This Row],[VALOR RACION PREPARADA]]/7</f>
        <v>6569535</v>
      </c>
      <c r="AZ244" s="35">
        <f>VLOOKUP(Tabla43[[#This Row],[SERVICIO 2025]],$J$2:$V$16,3,0)*Tabla43[[#This Row],[TOTAL COBERTURA]]+Tabla43[[#This Row],[VALOR RACION PREPARADA]]/7+Tabla43[[#This Row],[VALOR FASE PREPARATORIA DE CIERRE]]</f>
        <v>7184970</v>
      </c>
      <c r="BA244" s="35"/>
      <c r="BB244" s="35">
        <f>SUM(Tabla43[[#This Row],[DESEMBOLSO 1]:[DESEMBOLSO 8]])</f>
        <v>47779320</v>
      </c>
      <c r="BC244" s="55">
        <f>VLOOKUP(Tabla43[[#This Row],[SERVICIO 2025]],$J$2:$V$16,10,0)*Tabla43[[#This Row],[TOTAL COBERTURA]]*$W$3</f>
        <v>0</v>
      </c>
      <c r="BD244" s="66" t="s">
        <v>145</v>
      </c>
      <c r="BE244" s="12" t="b">
        <f>EXACT(Tabla43[[#This Row],[TOTAL APORTES ICBF]],Tabla43[[#This Row],[VALOR TOTAL]])</f>
        <v>1</v>
      </c>
      <c r="BF244" s="23">
        <f>SUM(Tabla43[[#This Row],[VALOR FASE PREPARATORIA DE ALISTAMIENTO]:[VALOR RACION PREPARADA]])-Tabla43[[#This Row],[VALOR TOTAL]]</f>
        <v>0</v>
      </c>
      <c r="BG244" s="12" t="b">
        <f>EXACT(Tabla43[[#This Row],[VALOR TOTAL]],Tabla43[[#This Row],[TOTAL DESEMBOLSOS]])</f>
        <v>1</v>
      </c>
      <c r="BH244" s="29">
        <f>Tabla43[[#This Row],[TOTAL DESEMBOLSOS]]-Tabla43[[#This Row],[VALOR TOTAL]]</f>
        <v>0</v>
      </c>
      <c r="BJ244" t="s">
        <v>3896</v>
      </c>
    </row>
    <row r="245" spans="1:62" hidden="1">
      <c r="A245" s="71" t="s">
        <v>4302</v>
      </c>
      <c r="B245" s="13"/>
      <c r="C245" s="12" t="s">
        <v>87</v>
      </c>
      <c r="D245" s="12" t="s">
        <v>462</v>
      </c>
      <c r="E245" s="12" t="s">
        <v>4151</v>
      </c>
      <c r="F245" s="12" t="s">
        <v>2843</v>
      </c>
      <c r="G245" s="12" t="s">
        <v>90</v>
      </c>
      <c r="H245" s="12" t="s">
        <v>4303</v>
      </c>
      <c r="I245" s="12">
        <v>549000102894</v>
      </c>
      <c r="J245" s="12" t="s">
        <v>4304</v>
      </c>
      <c r="K245" s="12">
        <v>1</v>
      </c>
      <c r="L245" s="12">
        <v>34</v>
      </c>
      <c r="M245" s="12"/>
      <c r="N245" s="71" t="s">
        <v>4302</v>
      </c>
      <c r="O245" s="12" t="s">
        <v>3894</v>
      </c>
      <c r="P245" s="12"/>
      <c r="Q245" s="12"/>
      <c r="R245" s="12" t="s">
        <v>94</v>
      </c>
      <c r="S245" s="12">
        <v>10</v>
      </c>
      <c r="T245" s="12">
        <v>900553223</v>
      </c>
      <c r="U245" s="74" t="s">
        <v>4305</v>
      </c>
      <c r="V245" s="12">
        <f>VLOOKUP(Tabla43[[#This Row],[ZONA DEFINITIVO]],Hoja1!$A$1:$D$129,3,0)</f>
        <v>232294</v>
      </c>
      <c r="W245" s="12">
        <f>VLOOKUP(Tabla43[[#This Row],[ZONA DEFINITIVO]],Hoja1!$A$1:$D$129,2,0)</f>
        <v>18595</v>
      </c>
      <c r="X245" s="12">
        <f>VLOOKUP(Tabla43[[#This Row],[ZONA DEFINITIVO]],Hoja1!$A$1:$D$129,4,0)</f>
        <v>117725</v>
      </c>
      <c r="Y245" s="12">
        <f>+IF(Tabla43[[#This Row],[AGRUPACIONES]]=1,SUMIFS(Tabla43[UDS],Tabla43[ZONA DEFINITIVO],Tabla43[[#This Row],[ZONA DEFINITIVO]])," ")</f>
        <v>10</v>
      </c>
      <c r="Z245" s="12">
        <f>+IF(Tabla43[[#This Row],[AGRUPACIONES]]=1,SUMIFS(Tabla43[TOTAL COBERTURA],Tabla43[ZONA DEFINITIVO],Tabla43[[#This Row],[ZONA DEFINITIVO]])," ")</f>
        <v>401</v>
      </c>
      <c r="AA245" s="12"/>
      <c r="AB245" s="51">
        <v>108299792</v>
      </c>
      <c r="AC245" s="51"/>
      <c r="AD245" s="38">
        <f>Tabla43[[#This Row],[VALOR ATENCIÓN (7 MESES)]]*Tabla43[[#This Row],[% CONTRAPARTIDA]]</f>
        <v>0</v>
      </c>
      <c r="AE245" s="12"/>
      <c r="AF245" s="12">
        <f>COUNTIF($A$22:A245,A245)</f>
        <v>1</v>
      </c>
      <c r="AG245" s="51">
        <v>108299792</v>
      </c>
      <c r="AH245" s="38">
        <f>Tabla43[[#This Row],[VALOR CONTRAPARTIDA]]+Tabla43[[#This Row],[TOTAL APORTES ICBF]]</f>
        <v>108299792</v>
      </c>
      <c r="AI245" s="35">
        <f>+IF(Tabla43[[#This Row],[AGRUPACIONES]]=1,SUMIFS(Tabla43[TOTAL APORTES ICBF],Tabla43[ZONA DEFINITIVO],Tabla43[[#This Row],[ZONA DEFINITIVO]])," ")</f>
        <v>1345611337</v>
      </c>
      <c r="AJ245" s="38">
        <f>ROUND(+IF(Tabla43[[#This Row],[AGRUPACIONES]]=1,SUMIFS(Tabla43[VALOR CONTRAPARTIDA],Tabla43[ZONA DEFINITIVO],Tabla43[[#This Row],[ZONA DEFINITIVO]])," "),0)</f>
        <v>0</v>
      </c>
      <c r="AK245" s="38">
        <f>Tabla43[[#This Row],[TOTAL APORTES ICBF AGRUPADO]]+Tabla43[[#This Row],[TOTAL CONTRAPARTIDA AGRUPADO]]</f>
        <v>1345611337</v>
      </c>
      <c r="AL245" s="23">
        <f>Tabla43[[#This Row],[TOTAL APORTES ICBF AGRUPADO]]/$AL$20</f>
        <v>945.2836930101862</v>
      </c>
      <c r="AM245" s="35">
        <f>VLOOKUP(Tabla43[[#This Row],[SERVICIO 2025]],$J$2:$V$16,5,0)*Tabla43[[#This Row],[TOTAL COBERTURA]]</f>
        <v>1678784</v>
      </c>
      <c r="AN245" s="35">
        <f>VLOOKUP(Tabla43[[#This Row],[SERVICIO 2025]],$J$2:$V$16,6,0)*Tabla43[[#This Row],[TOTAL COBERTURA]]</f>
        <v>1394986</v>
      </c>
      <c r="AO245" s="35">
        <f>VLOOKUP(Tabla43[[#This Row],[SERVICIO 2025]],$J$2:$V$16,8,0)*Tabla43[[#This Row],[TOTAL COBERTURA]]</f>
        <v>989400</v>
      </c>
      <c r="AP245" s="35">
        <f>VLOOKUP(Tabla43[[#This Row],[SERVICIO 2025]],$J$2:$V$16,3,0)*Tabla43[[#This Row],[TOTAL COBERTURA]]*7</f>
        <v>104236622</v>
      </c>
      <c r="AQ245" s="35">
        <f>VLOOKUP(Tabla43[[#This Row],[SERVICIO 2025]],$J$2:$V$16,10,0)*Tabla43[[#This Row],[TOTAL COBERTURA]]*7</f>
        <v>0</v>
      </c>
      <c r="AR24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108299792</v>
      </c>
      <c r="AS245" s="35">
        <f>+IF(Tabla43[[#This Row],[AGRUPACIONES]]=1,SUMIFS(Tabla43[VALOR TOTAL],Tabla43[ZONA DEFINITIVO],Tabla43[[#This Row],[ZONA DEFINITIVO]])," ")</f>
        <v>1345611337</v>
      </c>
      <c r="AT24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17559130</v>
      </c>
      <c r="AU245" s="35">
        <f>VLOOKUP(Tabla43[[#This Row],[SERVICIO 2025]],$J$2:$V$16,3,0)*Tabla43[[#This Row],[TOTAL COBERTURA]]+Tabla43[[#This Row],[VALOR RACION PREPARADA]]/7</f>
        <v>14890946</v>
      </c>
      <c r="AV245" s="35">
        <f>VLOOKUP(Tabla43[[#This Row],[SERVICIO 2025]],$J$2:$V$16,3,0)*Tabla43[[#This Row],[TOTAL COBERTURA]]+Tabla43[[#This Row],[VALOR RACION PREPARADA]]/7</f>
        <v>14890946</v>
      </c>
      <c r="AW245" s="35">
        <f>VLOOKUP(Tabla43[[#This Row],[SERVICIO 2025]],$J$2:$V$16,3,0)*Tabla43[[#This Row],[TOTAL COBERTURA]]+Tabla43[[#This Row],[VALOR RACION PREPARADA]]/7</f>
        <v>14890946</v>
      </c>
      <c r="AX245" s="35">
        <f>VLOOKUP(Tabla43[[#This Row],[SERVICIO 2025]],$J$2:$V$16,3,0)*Tabla43[[#This Row],[TOTAL COBERTURA]]+Tabla43[[#This Row],[VALOR RACION PREPARADA]]/7</f>
        <v>14890946</v>
      </c>
      <c r="AY245" s="35">
        <f>VLOOKUP(Tabla43[[#This Row],[SERVICIO 2025]],$J$2:$V$16,3,0)*Tabla43[[#This Row],[TOTAL COBERTURA]]+Tabla43[[#This Row],[VALOR RACION PREPARADA]]/7</f>
        <v>14890946</v>
      </c>
      <c r="AZ245" s="35">
        <f>VLOOKUP(Tabla43[[#This Row],[SERVICIO 2025]],$J$2:$V$16,3,0)*Tabla43[[#This Row],[TOTAL COBERTURA]]+Tabla43[[#This Row],[VALOR RACION PREPARADA]]/7+Tabla43[[#This Row],[VALOR FASE PREPARATORIA DE CIERRE]]</f>
        <v>16285932</v>
      </c>
      <c r="BA245" s="35"/>
      <c r="BB245" s="35">
        <f>SUM(Tabla43[[#This Row],[DESEMBOLSO 1]:[DESEMBOLSO 8]])</f>
        <v>108299792</v>
      </c>
      <c r="BC245" s="55">
        <f>VLOOKUP(Tabla43[[#This Row],[SERVICIO 2025]],$J$2:$V$16,10,0)*Tabla43[[#This Row],[TOTAL COBERTURA]]*$W$3</f>
        <v>0</v>
      </c>
      <c r="BD245" s="66" t="s">
        <v>145</v>
      </c>
      <c r="BE245" s="12" t="b">
        <f>EXACT(Tabla43[[#This Row],[TOTAL APORTES ICBF]],Tabla43[[#This Row],[VALOR TOTAL]])</f>
        <v>1</v>
      </c>
      <c r="BF245" s="23">
        <f>SUM(Tabla43[[#This Row],[VALOR FASE PREPARATORIA DE ALISTAMIENTO]:[VALOR RACION PREPARADA]])-Tabla43[[#This Row],[VALOR TOTAL]]</f>
        <v>0</v>
      </c>
      <c r="BG245" s="12" t="b">
        <f>EXACT(Tabla43[[#This Row],[VALOR TOTAL]],Tabla43[[#This Row],[TOTAL DESEMBOLSOS]])</f>
        <v>1</v>
      </c>
      <c r="BH245" s="29">
        <f>Tabla43[[#This Row],[TOTAL DESEMBOLSOS]]-Tabla43[[#This Row],[VALOR TOTAL]]</f>
        <v>0</v>
      </c>
      <c r="BJ245" t="s">
        <v>3896</v>
      </c>
    </row>
    <row r="246" spans="1:62" hidden="1">
      <c r="A246" s="71" t="s">
        <v>4302</v>
      </c>
      <c r="B246" s="13"/>
      <c r="C246" s="12" t="s">
        <v>87</v>
      </c>
      <c r="D246" s="12" t="s">
        <v>462</v>
      </c>
      <c r="E246" s="12" t="s">
        <v>4151</v>
      </c>
      <c r="F246" s="12" t="s">
        <v>16</v>
      </c>
      <c r="G246" s="12" t="s">
        <v>90</v>
      </c>
      <c r="H246" s="12" t="s">
        <v>4306</v>
      </c>
      <c r="I246" s="12">
        <v>54901136764</v>
      </c>
      <c r="J246" s="12" t="s">
        <v>4307</v>
      </c>
      <c r="K246" s="12">
        <v>1</v>
      </c>
      <c r="L246" s="12">
        <v>25</v>
      </c>
      <c r="M246" s="12"/>
      <c r="N246" s="71" t="s">
        <v>4302</v>
      </c>
      <c r="O246" s="12" t="s">
        <v>3894</v>
      </c>
      <c r="P246" s="12"/>
      <c r="Q246" s="12"/>
      <c r="R246" s="12" t="s">
        <v>94</v>
      </c>
      <c r="S246" s="12">
        <v>10</v>
      </c>
      <c r="T246" s="12">
        <v>900553223</v>
      </c>
      <c r="U246" s="74" t="s">
        <v>4305</v>
      </c>
      <c r="V246" s="12">
        <f>VLOOKUP(Tabla43[[#This Row],[ZONA DEFINITIVO]],Hoja1!$A$1:$D$129,3,0)</f>
        <v>232294</v>
      </c>
      <c r="W246" s="12">
        <f>VLOOKUP(Tabla43[[#This Row],[ZONA DEFINITIVO]],Hoja1!$A$1:$D$129,2,0)</f>
        <v>18595</v>
      </c>
      <c r="X246" s="12">
        <f>VLOOKUP(Tabla43[[#This Row],[ZONA DEFINITIVO]],Hoja1!$A$1:$D$129,4,0)</f>
        <v>117725</v>
      </c>
      <c r="Y246" s="12" t="str">
        <f>+IF(Tabla43[[#This Row],[AGRUPACIONES]]=1,SUMIFS(Tabla43[UDS],Tabla43[ZONA DEFINITIVO],Tabla43[[#This Row],[ZONA DEFINITIVO]])," ")</f>
        <v xml:space="preserve"> </v>
      </c>
      <c r="Z246" s="12" t="str">
        <f>+IF(Tabla43[[#This Row],[AGRUPACIONES]]=1,SUMIFS(Tabla43[TOTAL COBERTURA],Tabla43[ZONA DEFINITIVO],Tabla43[[#This Row],[ZONA DEFINITIVO]])," ")</f>
        <v xml:space="preserve"> </v>
      </c>
      <c r="AA246" s="12"/>
      <c r="AB246" s="51">
        <v>84245675</v>
      </c>
      <c r="AC246" s="51"/>
      <c r="AD246" s="38">
        <f>Tabla43[[#This Row],[VALOR ATENCIÓN (7 MESES)]]*Tabla43[[#This Row],[% CONTRAPARTIDA]]</f>
        <v>0</v>
      </c>
      <c r="AE246" s="12"/>
      <c r="AF246" s="12">
        <f>COUNTIF($A$22:A246,A246)</f>
        <v>2</v>
      </c>
      <c r="AG246" s="51">
        <v>84245675</v>
      </c>
      <c r="AH246" s="38">
        <f>Tabla43[[#This Row],[VALOR CONTRAPARTIDA]]+Tabla43[[#This Row],[TOTAL APORTES ICBF]]</f>
        <v>84245675</v>
      </c>
      <c r="AI246" s="35" t="str">
        <f>+IF(Tabla43[[#This Row],[AGRUPACIONES]]=1,SUMIFS(Tabla43[TOTAL APORTES ICBF],Tabla43[ZONA DEFINITIVO],Tabla43[[#This Row],[ZONA DEFINITIVO]])," ")</f>
        <v xml:space="preserve"> </v>
      </c>
      <c r="AJ246" s="38"/>
      <c r="AK246" s="38"/>
      <c r="AL246" s="23"/>
      <c r="AM246" s="35">
        <f>VLOOKUP(Tabla43[[#This Row],[SERVICIO 2025]],$J$2:$V$16,5,0)*Tabla43[[#This Row],[TOTAL COBERTURA]]</f>
        <v>1849125</v>
      </c>
      <c r="AN246" s="35">
        <f>VLOOKUP(Tabla43[[#This Row],[SERVICIO 2025]],$J$2:$V$16,6,0)*Tabla43[[#This Row],[TOTAL COBERTURA]]</f>
        <v>816275</v>
      </c>
      <c r="AO246" s="35">
        <f>VLOOKUP(Tabla43[[#This Row],[SERVICIO 2025]],$J$2:$V$16,8,0)*Tabla43[[#This Row],[TOTAL COBERTURA]]</f>
        <v>727475</v>
      </c>
      <c r="AP246" s="35">
        <f>VLOOKUP(Tabla43[[#This Row],[SERVICIO 2025]],$J$2:$V$16,3,0)*Tabla43[[#This Row],[TOTAL COBERTURA]]*7</f>
        <v>80852800</v>
      </c>
      <c r="AQ246" s="35">
        <f>VLOOKUP(Tabla43[[#This Row],[SERVICIO 2025]],$J$2:$V$16,10,0)*Tabla43[[#This Row],[TOTAL COBERTURA]]*7</f>
        <v>0</v>
      </c>
      <c r="AR24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84245675</v>
      </c>
      <c r="AS246" s="35" t="str">
        <f>+IF(Tabla43[[#This Row],[AGRUPACIONES]]=1,SUMIFS(Tabla43[VALOR TOTAL],Tabla43[ZONA DEFINITIVO],Tabla43[[#This Row],[ZONA DEFINITIVO]])," ")</f>
        <v xml:space="preserve"> </v>
      </c>
      <c r="AT24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14127000</v>
      </c>
      <c r="AU246" s="35">
        <f>VLOOKUP(Tabla43[[#This Row],[SERVICIO 2025]],$J$2:$V$16,3,0)*Tabla43[[#This Row],[TOTAL COBERTURA]]+Tabla43[[#This Row],[VALOR RACION PREPARADA]]/7</f>
        <v>11550400</v>
      </c>
      <c r="AV246" s="35">
        <f>VLOOKUP(Tabla43[[#This Row],[SERVICIO 2025]],$J$2:$V$16,3,0)*Tabla43[[#This Row],[TOTAL COBERTURA]]+Tabla43[[#This Row],[VALOR RACION PREPARADA]]/7</f>
        <v>11550400</v>
      </c>
      <c r="AW246" s="35">
        <f>VLOOKUP(Tabla43[[#This Row],[SERVICIO 2025]],$J$2:$V$16,3,0)*Tabla43[[#This Row],[TOTAL COBERTURA]]+Tabla43[[#This Row],[VALOR RACION PREPARADA]]/7</f>
        <v>11550400</v>
      </c>
      <c r="AX246" s="35">
        <f>VLOOKUP(Tabla43[[#This Row],[SERVICIO 2025]],$J$2:$V$16,3,0)*Tabla43[[#This Row],[TOTAL COBERTURA]]+Tabla43[[#This Row],[VALOR RACION PREPARADA]]/7</f>
        <v>11550400</v>
      </c>
      <c r="AY246" s="35">
        <f>VLOOKUP(Tabla43[[#This Row],[SERVICIO 2025]],$J$2:$V$16,3,0)*Tabla43[[#This Row],[TOTAL COBERTURA]]+Tabla43[[#This Row],[VALOR RACION PREPARADA]]/7</f>
        <v>11550400</v>
      </c>
      <c r="AZ246" s="35">
        <f>VLOOKUP(Tabla43[[#This Row],[SERVICIO 2025]],$J$2:$V$16,3,0)*Tabla43[[#This Row],[TOTAL COBERTURA]]+Tabla43[[#This Row],[VALOR RACION PREPARADA]]/7+Tabla43[[#This Row],[VALOR FASE PREPARATORIA DE CIERRE]]</f>
        <v>12366675</v>
      </c>
      <c r="BA246" s="35"/>
      <c r="BB246" s="35">
        <f>SUM(Tabla43[[#This Row],[DESEMBOLSO 1]:[DESEMBOLSO 8]])</f>
        <v>84245675</v>
      </c>
      <c r="BC246" s="55">
        <f>VLOOKUP(Tabla43[[#This Row],[SERVICIO 2025]],$J$2:$V$16,10,0)*Tabla43[[#This Row],[TOTAL COBERTURA]]*$W$3</f>
        <v>0</v>
      </c>
      <c r="BD246" s="66" t="s">
        <v>145</v>
      </c>
      <c r="BE246" s="12" t="b">
        <f>EXACT(Tabla43[[#This Row],[TOTAL APORTES ICBF]],Tabla43[[#This Row],[VALOR TOTAL]])</f>
        <v>1</v>
      </c>
      <c r="BF246" s="23">
        <f>SUM(Tabla43[[#This Row],[VALOR FASE PREPARATORIA DE ALISTAMIENTO]:[VALOR RACION PREPARADA]])-Tabla43[[#This Row],[VALOR TOTAL]]</f>
        <v>0</v>
      </c>
      <c r="BG246" s="12" t="b">
        <f>EXACT(Tabla43[[#This Row],[VALOR TOTAL]],Tabla43[[#This Row],[TOTAL DESEMBOLSOS]])</f>
        <v>1</v>
      </c>
      <c r="BH246" s="29">
        <f>Tabla43[[#This Row],[TOTAL DESEMBOLSOS]]-Tabla43[[#This Row],[VALOR TOTAL]]</f>
        <v>0</v>
      </c>
      <c r="BJ246" t="s">
        <v>3896</v>
      </c>
    </row>
    <row r="247" spans="1:62" hidden="1">
      <c r="A247" s="75" t="s">
        <v>4302</v>
      </c>
      <c r="B247" s="13"/>
      <c r="C247" s="12" t="s">
        <v>3915</v>
      </c>
      <c r="D247" s="49" t="s">
        <v>462</v>
      </c>
      <c r="E247" s="12" t="s">
        <v>1172</v>
      </c>
      <c r="F247" s="74" t="s">
        <v>3888</v>
      </c>
      <c r="G247" s="12" t="s">
        <v>90</v>
      </c>
      <c r="H247" s="12"/>
      <c r="I247" s="76">
        <v>51721151878</v>
      </c>
      <c r="J247" s="77" t="s">
        <v>4308</v>
      </c>
      <c r="K247" s="12">
        <v>1</v>
      </c>
      <c r="L247" s="78">
        <v>18</v>
      </c>
      <c r="M247" s="12"/>
      <c r="N247" s="75" t="s">
        <v>4302</v>
      </c>
      <c r="O247" s="12" t="s">
        <v>3894</v>
      </c>
      <c r="P247" s="12"/>
      <c r="Q247" s="12"/>
      <c r="R247" s="12" t="s">
        <v>94</v>
      </c>
      <c r="S247" s="12">
        <v>10</v>
      </c>
      <c r="T247" s="12">
        <v>900553223</v>
      </c>
      <c r="U247" s="74" t="s">
        <v>4305</v>
      </c>
      <c r="V247" s="12">
        <f>VLOOKUP(Tabla43[[#This Row],[ZONA DEFINITIVO]],Hoja1!$A$1:$D$129,3,0)</f>
        <v>232294</v>
      </c>
      <c r="W247" s="12">
        <f>VLOOKUP(Tabla43[[#This Row],[ZONA DEFINITIVO]],Hoja1!$A$1:$D$129,2,0)</f>
        <v>18595</v>
      </c>
      <c r="X247" s="12">
        <f>VLOOKUP(Tabla43[[#This Row],[ZONA DEFINITIVO]],Hoja1!$A$1:$D$129,4,0)</f>
        <v>117725</v>
      </c>
      <c r="Y247" s="12" t="str">
        <f>+IF(Tabla43[[#This Row],[AGRUPACIONES]]=1,SUMIFS(Tabla43[UDS],Tabla43[ZONA DEFINITIVO],Tabla43[[#This Row],[ZONA DEFINITIVO]])," ")</f>
        <v xml:space="preserve"> </v>
      </c>
      <c r="Z247" s="12" t="str">
        <f>+IF(Tabla43[[#This Row],[AGRUPACIONES]]=1,SUMIFS(Tabla43[TOTAL COBERTURA],Tabla43[ZONA DEFINITIVO],Tabla43[[#This Row],[ZONA DEFINITIVO]])," ")</f>
        <v xml:space="preserve"> </v>
      </c>
      <c r="AA247" s="12"/>
      <c r="AB247" s="51">
        <v>61241922</v>
      </c>
      <c r="AC247" s="51"/>
      <c r="AD247" s="38">
        <f>Tabla43[[#This Row],[VALOR ATENCIÓN (7 MESES)]]*Tabla43[[#This Row],[% CONTRAPARTIDA]]</f>
        <v>0</v>
      </c>
      <c r="AE247" s="12"/>
      <c r="AF247" s="12">
        <f>COUNTIF($A$22:A247,A247)</f>
        <v>3</v>
      </c>
      <c r="AG247" s="51">
        <v>61241922</v>
      </c>
      <c r="AH247" s="38">
        <f>Tabla43[[#This Row],[VALOR CONTRAPARTIDA]]+Tabla43[[#This Row],[TOTAL APORTES ICBF]]</f>
        <v>61241922</v>
      </c>
      <c r="AI247" s="35" t="str">
        <f>+IF(Tabla43[[#This Row],[AGRUPACIONES]]=1,SUMIFS(Tabla43[TOTAL APORTES ICBF],Tabla43[ZONA DEFINITIVO],Tabla43[[#This Row],[ZONA DEFINITIVO]])," ")</f>
        <v xml:space="preserve"> </v>
      </c>
      <c r="AJ247" s="38"/>
      <c r="AK247" s="38"/>
      <c r="AL247" s="23"/>
      <c r="AM247" s="35">
        <f>VLOOKUP(Tabla43[[#This Row],[SERVICIO 2025]],$J$2:$V$16,5,0)*Tabla43[[#This Row],[TOTAL COBERTURA]]</f>
        <v>1192392</v>
      </c>
      <c r="AN247" s="35">
        <f>VLOOKUP(Tabla43[[#This Row],[SERVICIO 2025]],$J$2:$V$16,6,0)*Tabla43[[#This Row],[TOTAL COBERTURA]]</f>
        <v>507978</v>
      </c>
      <c r="AO247" s="35">
        <f>VLOOKUP(Tabla43[[#This Row],[SERVICIO 2025]],$J$2:$V$16,8,0)*Tabla43[[#This Row],[TOTAL COBERTURA]]</f>
        <v>523782</v>
      </c>
      <c r="AP247" s="35">
        <f>VLOOKUP(Tabla43[[#This Row],[SERVICIO 2025]],$J$2:$V$16,3,0)*Tabla43[[#This Row],[TOTAL COBERTURA]]*7</f>
        <v>59017770</v>
      </c>
      <c r="AQ247" s="35">
        <f>VLOOKUP(Tabla43[[#This Row],[SERVICIO 2025]],$J$2:$V$16,10,0)*Tabla43[[#This Row],[TOTAL COBERTURA]]*7</f>
        <v>0</v>
      </c>
      <c r="AR24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61241922</v>
      </c>
      <c r="AS247" s="35" t="str">
        <f>+IF(Tabla43[[#This Row],[AGRUPACIONES]]=1,SUMIFS(Tabla43[VALOR TOTAL],Tabla43[ZONA DEFINITIVO],Tabla43[[#This Row],[ZONA DEFINITIVO]])," ")</f>
        <v xml:space="preserve"> </v>
      </c>
      <c r="AT24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10147284</v>
      </c>
      <c r="AU247" s="35">
        <f>VLOOKUP(Tabla43[[#This Row],[SERVICIO 2025]],$J$2:$V$16,3,0)*Tabla43[[#This Row],[TOTAL COBERTURA]]+Tabla43[[#This Row],[VALOR RACION PREPARADA]]/7</f>
        <v>8431110</v>
      </c>
      <c r="AV247" s="35">
        <f>VLOOKUP(Tabla43[[#This Row],[SERVICIO 2025]],$J$2:$V$16,3,0)*Tabla43[[#This Row],[TOTAL COBERTURA]]+Tabla43[[#This Row],[VALOR RACION PREPARADA]]/7</f>
        <v>8431110</v>
      </c>
      <c r="AW247" s="35">
        <f>VLOOKUP(Tabla43[[#This Row],[SERVICIO 2025]],$J$2:$V$16,3,0)*Tabla43[[#This Row],[TOTAL COBERTURA]]+Tabla43[[#This Row],[VALOR RACION PREPARADA]]/7</f>
        <v>8431110</v>
      </c>
      <c r="AX247" s="35">
        <f>VLOOKUP(Tabla43[[#This Row],[SERVICIO 2025]],$J$2:$V$16,3,0)*Tabla43[[#This Row],[TOTAL COBERTURA]]+Tabla43[[#This Row],[VALOR RACION PREPARADA]]/7</f>
        <v>8431110</v>
      </c>
      <c r="AY247" s="35">
        <f>VLOOKUP(Tabla43[[#This Row],[SERVICIO 2025]],$J$2:$V$16,3,0)*Tabla43[[#This Row],[TOTAL COBERTURA]]+Tabla43[[#This Row],[VALOR RACION PREPARADA]]/7</f>
        <v>8431110</v>
      </c>
      <c r="AZ247" s="35">
        <f>VLOOKUP(Tabla43[[#This Row],[SERVICIO 2025]],$J$2:$V$16,3,0)*Tabla43[[#This Row],[TOTAL COBERTURA]]+Tabla43[[#This Row],[VALOR RACION PREPARADA]]/7+Tabla43[[#This Row],[VALOR FASE PREPARATORIA DE CIERRE]]</f>
        <v>8939088</v>
      </c>
      <c r="BA247" s="35"/>
      <c r="BB247" s="35">
        <f>SUM(Tabla43[[#This Row],[DESEMBOLSO 1]:[DESEMBOLSO 8]])</f>
        <v>61241922</v>
      </c>
      <c r="BC247" s="55">
        <f>VLOOKUP(Tabla43[[#This Row],[SERVICIO 2025]],$J$2:$V$16,10,0)*Tabla43[[#This Row],[TOTAL COBERTURA]]*$W$3</f>
        <v>0</v>
      </c>
      <c r="BD247" s="66" t="s">
        <v>145</v>
      </c>
      <c r="BE247" s="12" t="b">
        <f>EXACT(Tabla43[[#This Row],[TOTAL APORTES ICBF]],Tabla43[[#This Row],[VALOR TOTAL]])</f>
        <v>1</v>
      </c>
      <c r="BF247" s="23">
        <f>SUM(Tabla43[[#This Row],[VALOR FASE PREPARATORIA DE ALISTAMIENTO]:[VALOR RACION PREPARADA]])-Tabla43[[#This Row],[VALOR TOTAL]]</f>
        <v>0</v>
      </c>
      <c r="BG247" s="12" t="b">
        <f>EXACT(Tabla43[[#This Row],[VALOR TOTAL]],Tabla43[[#This Row],[TOTAL DESEMBOLSOS]])</f>
        <v>1</v>
      </c>
      <c r="BH247" s="29">
        <f>Tabla43[[#This Row],[TOTAL DESEMBOLSOS]]-Tabla43[[#This Row],[VALOR TOTAL]]</f>
        <v>0</v>
      </c>
      <c r="BJ247" t="s">
        <v>3896</v>
      </c>
    </row>
    <row r="248" spans="1:62" hidden="1">
      <c r="A248" s="75" t="s">
        <v>4302</v>
      </c>
      <c r="B248" s="13"/>
      <c r="C248" s="12" t="s">
        <v>3915</v>
      </c>
      <c r="D248" s="49" t="s">
        <v>462</v>
      </c>
      <c r="E248" s="12" t="s">
        <v>1172</v>
      </c>
      <c r="F248" s="74" t="s">
        <v>16</v>
      </c>
      <c r="G248" s="12" t="s">
        <v>90</v>
      </c>
      <c r="H248" s="12"/>
      <c r="I248" s="76">
        <v>51721137141</v>
      </c>
      <c r="J248" s="77" t="s">
        <v>4309</v>
      </c>
      <c r="K248" s="12">
        <v>1</v>
      </c>
      <c r="L248" s="78">
        <v>66</v>
      </c>
      <c r="M248" s="12"/>
      <c r="N248" s="75" t="s">
        <v>4302</v>
      </c>
      <c r="O248" s="12" t="s">
        <v>3894</v>
      </c>
      <c r="P248" s="12"/>
      <c r="Q248" s="12"/>
      <c r="R248" s="12" t="s">
        <v>94</v>
      </c>
      <c r="S248" s="12">
        <v>10</v>
      </c>
      <c r="T248" s="12">
        <v>900553223</v>
      </c>
      <c r="U248" s="74" t="s">
        <v>4305</v>
      </c>
      <c r="V248" s="12">
        <f>VLOOKUP(Tabla43[[#This Row],[ZONA DEFINITIVO]],Hoja1!$A$1:$D$129,3,0)</f>
        <v>232294</v>
      </c>
      <c r="W248" s="12">
        <f>VLOOKUP(Tabla43[[#This Row],[ZONA DEFINITIVO]],Hoja1!$A$1:$D$129,2,0)</f>
        <v>18595</v>
      </c>
      <c r="X248" s="12">
        <f>VLOOKUP(Tabla43[[#This Row],[ZONA DEFINITIVO]],Hoja1!$A$1:$D$129,4,0)</f>
        <v>117725</v>
      </c>
      <c r="Y248" s="12" t="str">
        <f>+IF(Tabla43[[#This Row],[AGRUPACIONES]]=1,SUMIFS(Tabla43[UDS],Tabla43[ZONA DEFINITIVO],Tabla43[[#This Row],[ZONA DEFINITIVO]])," ")</f>
        <v xml:space="preserve"> </v>
      </c>
      <c r="Z248" s="12" t="str">
        <f>+IF(Tabla43[[#This Row],[AGRUPACIONES]]=1,SUMIFS(Tabla43[TOTAL COBERTURA],Tabla43[ZONA DEFINITIVO],Tabla43[[#This Row],[ZONA DEFINITIVO]])," ")</f>
        <v xml:space="preserve"> </v>
      </c>
      <c r="AA248" s="12"/>
      <c r="AB248" s="51">
        <v>222408582</v>
      </c>
      <c r="AC248" s="51"/>
      <c r="AD248" s="38">
        <f>Tabla43[[#This Row],[VALOR ATENCIÓN (7 MESES)]]*Tabla43[[#This Row],[% CONTRAPARTIDA]]</f>
        <v>0</v>
      </c>
      <c r="AE248" s="12"/>
      <c r="AF248" s="12">
        <f>COUNTIF($A$22:A248,A248)</f>
        <v>4</v>
      </c>
      <c r="AG248" s="51">
        <v>222408582</v>
      </c>
      <c r="AH248" s="38">
        <f>Tabla43[[#This Row],[VALOR CONTRAPARTIDA]]+Tabla43[[#This Row],[TOTAL APORTES ICBF]]</f>
        <v>222408582</v>
      </c>
      <c r="AI248" s="35" t="str">
        <f>+IF(Tabla43[[#This Row],[AGRUPACIONES]]=1,SUMIFS(Tabla43[TOTAL APORTES ICBF],Tabla43[ZONA DEFINITIVO],Tabla43[[#This Row],[ZONA DEFINITIVO]])," ")</f>
        <v xml:space="preserve"> </v>
      </c>
      <c r="AJ248" s="38"/>
      <c r="AK248" s="38"/>
      <c r="AL248" s="23"/>
      <c r="AM248" s="35">
        <f>VLOOKUP(Tabla43[[#This Row],[SERVICIO 2025]],$J$2:$V$16,5,0)*Tabla43[[#This Row],[TOTAL COBERTURA]]</f>
        <v>4881690</v>
      </c>
      <c r="AN248" s="35">
        <f>VLOOKUP(Tabla43[[#This Row],[SERVICIO 2025]],$J$2:$V$16,6,0)*Tabla43[[#This Row],[TOTAL COBERTURA]]</f>
        <v>2154966</v>
      </c>
      <c r="AO248" s="35">
        <f>VLOOKUP(Tabla43[[#This Row],[SERVICIO 2025]],$J$2:$V$16,8,0)*Tabla43[[#This Row],[TOTAL COBERTURA]]</f>
        <v>1920534</v>
      </c>
      <c r="AP248" s="35">
        <f>VLOOKUP(Tabla43[[#This Row],[SERVICIO 2025]],$J$2:$V$16,3,0)*Tabla43[[#This Row],[TOTAL COBERTURA]]*7</f>
        <v>213451392</v>
      </c>
      <c r="AQ248" s="35">
        <f>VLOOKUP(Tabla43[[#This Row],[SERVICIO 2025]],$J$2:$V$16,10,0)*Tabla43[[#This Row],[TOTAL COBERTURA]]*7</f>
        <v>0</v>
      </c>
      <c r="AR24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222408582</v>
      </c>
      <c r="AS248" s="35" t="str">
        <f>+IF(Tabla43[[#This Row],[AGRUPACIONES]]=1,SUMIFS(Tabla43[VALOR TOTAL],Tabla43[ZONA DEFINITIVO],Tabla43[[#This Row],[ZONA DEFINITIVO]])," ")</f>
        <v xml:space="preserve"> </v>
      </c>
      <c r="AT24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37295280</v>
      </c>
      <c r="AU248" s="35">
        <f>VLOOKUP(Tabla43[[#This Row],[SERVICIO 2025]],$J$2:$V$16,3,0)*Tabla43[[#This Row],[TOTAL COBERTURA]]+Tabla43[[#This Row],[VALOR RACION PREPARADA]]/7</f>
        <v>30493056</v>
      </c>
      <c r="AV248" s="35">
        <f>VLOOKUP(Tabla43[[#This Row],[SERVICIO 2025]],$J$2:$V$16,3,0)*Tabla43[[#This Row],[TOTAL COBERTURA]]+Tabla43[[#This Row],[VALOR RACION PREPARADA]]/7</f>
        <v>30493056</v>
      </c>
      <c r="AW248" s="35">
        <f>VLOOKUP(Tabla43[[#This Row],[SERVICIO 2025]],$J$2:$V$16,3,0)*Tabla43[[#This Row],[TOTAL COBERTURA]]+Tabla43[[#This Row],[VALOR RACION PREPARADA]]/7</f>
        <v>30493056</v>
      </c>
      <c r="AX248" s="35">
        <f>VLOOKUP(Tabla43[[#This Row],[SERVICIO 2025]],$J$2:$V$16,3,0)*Tabla43[[#This Row],[TOTAL COBERTURA]]+Tabla43[[#This Row],[VALOR RACION PREPARADA]]/7</f>
        <v>30493056</v>
      </c>
      <c r="AY248" s="35">
        <f>VLOOKUP(Tabla43[[#This Row],[SERVICIO 2025]],$J$2:$V$16,3,0)*Tabla43[[#This Row],[TOTAL COBERTURA]]+Tabla43[[#This Row],[VALOR RACION PREPARADA]]/7</f>
        <v>30493056</v>
      </c>
      <c r="AZ248" s="35">
        <f>VLOOKUP(Tabla43[[#This Row],[SERVICIO 2025]],$J$2:$V$16,3,0)*Tabla43[[#This Row],[TOTAL COBERTURA]]+Tabla43[[#This Row],[VALOR RACION PREPARADA]]/7+Tabla43[[#This Row],[VALOR FASE PREPARATORIA DE CIERRE]]</f>
        <v>32648022</v>
      </c>
      <c r="BA248" s="35"/>
      <c r="BB248" s="35">
        <f>SUM(Tabla43[[#This Row],[DESEMBOLSO 1]:[DESEMBOLSO 8]])</f>
        <v>222408582</v>
      </c>
      <c r="BC248" s="55">
        <f>VLOOKUP(Tabla43[[#This Row],[SERVICIO 2025]],$J$2:$V$16,10,0)*Tabla43[[#This Row],[TOTAL COBERTURA]]*$W$3</f>
        <v>0</v>
      </c>
      <c r="BD248" s="66" t="s">
        <v>145</v>
      </c>
      <c r="BE248" s="12" t="b">
        <f>EXACT(Tabla43[[#This Row],[TOTAL APORTES ICBF]],Tabla43[[#This Row],[VALOR TOTAL]])</f>
        <v>1</v>
      </c>
      <c r="BF248" s="23">
        <f>SUM(Tabla43[[#This Row],[VALOR FASE PREPARATORIA DE ALISTAMIENTO]:[VALOR RACION PREPARADA]])-Tabla43[[#This Row],[VALOR TOTAL]]</f>
        <v>0</v>
      </c>
      <c r="BG248" s="12" t="b">
        <f>EXACT(Tabla43[[#This Row],[VALOR TOTAL]],Tabla43[[#This Row],[TOTAL DESEMBOLSOS]])</f>
        <v>1</v>
      </c>
      <c r="BH248" s="29">
        <f>Tabla43[[#This Row],[TOTAL DESEMBOLSOS]]-Tabla43[[#This Row],[VALOR TOTAL]]</f>
        <v>0</v>
      </c>
      <c r="BJ248" t="s">
        <v>3896</v>
      </c>
    </row>
    <row r="249" spans="1:62" hidden="1">
      <c r="A249" s="75" t="s">
        <v>4302</v>
      </c>
      <c r="B249" s="13"/>
      <c r="C249" s="12" t="s">
        <v>3915</v>
      </c>
      <c r="D249" s="49" t="s">
        <v>462</v>
      </c>
      <c r="E249" s="12" t="s">
        <v>1172</v>
      </c>
      <c r="F249" s="74" t="s">
        <v>16</v>
      </c>
      <c r="G249" s="12" t="s">
        <v>90</v>
      </c>
      <c r="H249" s="12"/>
      <c r="I249" s="76">
        <v>51721137143</v>
      </c>
      <c r="J249" s="77" t="s">
        <v>4310</v>
      </c>
      <c r="K249" s="12">
        <v>1</v>
      </c>
      <c r="L249" s="78">
        <v>48</v>
      </c>
      <c r="M249" s="12"/>
      <c r="N249" s="75" t="s">
        <v>4302</v>
      </c>
      <c r="O249" s="12" t="s">
        <v>3894</v>
      </c>
      <c r="P249" s="12"/>
      <c r="Q249" s="12"/>
      <c r="R249" s="12" t="s">
        <v>94</v>
      </c>
      <c r="S249" s="12">
        <v>10</v>
      </c>
      <c r="T249" s="12">
        <v>900553223</v>
      </c>
      <c r="U249" s="74" t="s">
        <v>4305</v>
      </c>
      <c r="V249" s="12">
        <f>VLOOKUP(Tabla43[[#This Row],[ZONA DEFINITIVO]],Hoja1!$A$1:$D$129,3,0)</f>
        <v>232294</v>
      </c>
      <c r="W249" s="12">
        <f>VLOOKUP(Tabla43[[#This Row],[ZONA DEFINITIVO]],Hoja1!$A$1:$D$129,2,0)</f>
        <v>18595</v>
      </c>
      <c r="X249" s="12">
        <f>VLOOKUP(Tabla43[[#This Row],[ZONA DEFINITIVO]],Hoja1!$A$1:$D$129,4,0)</f>
        <v>117725</v>
      </c>
      <c r="Y249" s="12" t="str">
        <f>+IF(Tabla43[[#This Row],[AGRUPACIONES]]=1,SUMIFS(Tabla43[UDS],Tabla43[ZONA DEFINITIVO],Tabla43[[#This Row],[ZONA DEFINITIVO]])," ")</f>
        <v xml:space="preserve"> </v>
      </c>
      <c r="Z249" s="12" t="str">
        <f>+IF(Tabla43[[#This Row],[AGRUPACIONES]]=1,SUMIFS(Tabla43[TOTAL COBERTURA],Tabla43[ZONA DEFINITIVO],Tabla43[[#This Row],[ZONA DEFINITIVO]])," ")</f>
        <v xml:space="preserve"> </v>
      </c>
      <c r="AA249" s="12"/>
      <c r="AB249" s="51">
        <v>161751696</v>
      </c>
      <c r="AC249" s="51"/>
      <c r="AD249" s="38">
        <f>Tabla43[[#This Row],[VALOR ATENCIÓN (7 MESES)]]*Tabla43[[#This Row],[% CONTRAPARTIDA]]</f>
        <v>0</v>
      </c>
      <c r="AE249" s="12"/>
      <c r="AF249" s="12">
        <f>COUNTIF($A$22:A249,A249)</f>
        <v>5</v>
      </c>
      <c r="AG249" s="51">
        <v>161751696</v>
      </c>
      <c r="AH249" s="38">
        <f>Tabla43[[#This Row],[VALOR CONTRAPARTIDA]]+Tabla43[[#This Row],[TOTAL APORTES ICBF]]</f>
        <v>161751696</v>
      </c>
      <c r="AI249" s="35" t="str">
        <f>+IF(Tabla43[[#This Row],[AGRUPACIONES]]=1,SUMIFS(Tabla43[TOTAL APORTES ICBF],Tabla43[ZONA DEFINITIVO],Tabla43[[#This Row],[ZONA DEFINITIVO]])," ")</f>
        <v xml:space="preserve"> </v>
      </c>
      <c r="AJ249" s="38"/>
      <c r="AK249" s="38"/>
      <c r="AL249" s="23"/>
      <c r="AM249" s="35">
        <f>VLOOKUP(Tabla43[[#This Row],[SERVICIO 2025]],$J$2:$V$16,5,0)*Tabla43[[#This Row],[TOTAL COBERTURA]]</f>
        <v>3550320</v>
      </c>
      <c r="AN249" s="35">
        <f>VLOOKUP(Tabla43[[#This Row],[SERVICIO 2025]],$J$2:$V$16,6,0)*Tabla43[[#This Row],[TOTAL COBERTURA]]</f>
        <v>1567248</v>
      </c>
      <c r="AO249" s="35">
        <f>VLOOKUP(Tabla43[[#This Row],[SERVICIO 2025]],$J$2:$V$16,8,0)*Tabla43[[#This Row],[TOTAL COBERTURA]]</f>
        <v>1396752</v>
      </c>
      <c r="AP249" s="35">
        <f>VLOOKUP(Tabla43[[#This Row],[SERVICIO 2025]],$J$2:$V$16,3,0)*Tabla43[[#This Row],[TOTAL COBERTURA]]*7</f>
        <v>155237376</v>
      </c>
      <c r="AQ249" s="35">
        <f>VLOOKUP(Tabla43[[#This Row],[SERVICIO 2025]],$J$2:$V$16,10,0)*Tabla43[[#This Row],[TOTAL COBERTURA]]*7</f>
        <v>0</v>
      </c>
      <c r="AR24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161751696</v>
      </c>
      <c r="AS249" s="35" t="str">
        <f>+IF(Tabla43[[#This Row],[AGRUPACIONES]]=1,SUMIFS(Tabla43[VALOR TOTAL],Tabla43[ZONA DEFINITIVO],Tabla43[[#This Row],[ZONA DEFINITIVO]])," ")</f>
        <v xml:space="preserve"> </v>
      </c>
      <c r="AT24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27123840</v>
      </c>
      <c r="AU249" s="35">
        <f>VLOOKUP(Tabla43[[#This Row],[SERVICIO 2025]],$J$2:$V$16,3,0)*Tabla43[[#This Row],[TOTAL COBERTURA]]+Tabla43[[#This Row],[VALOR RACION PREPARADA]]/7</f>
        <v>22176768</v>
      </c>
      <c r="AV249" s="35">
        <f>VLOOKUP(Tabla43[[#This Row],[SERVICIO 2025]],$J$2:$V$16,3,0)*Tabla43[[#This Row],[TOTAL COBERTURA]]+Tabla43[[#This Row],[VALOR RACION PREPARADA]]/7</f>
        <v>22176768</v>
      </c>
      <c r="AW249" s="35">
        <f>VLOOKUP(Tabla43[[#This Row],[SERVICIO 2025]],$J$2:$V$16,3,0)*Tabla43[[#This Row],[TOTAL COBERTURA]]+Tabla43[[#This Row],[VALOR RACION PREPARADA]]/7</f>
        <v>22176768</v>
      </c>
      <c r="AX249" s="35">
        <f>VLOOKUP(Tabla43[[#This Row],[SERVICIO 2025]],$J$2:$V$16,3,0)*Tabla43[[#This Row],[TOTAL COBERTURA]]+Tabla43[[#This Row],[VALOR RACION PREPARADA]]/7</f>
        <v>22176768</v>
      </c>
      <c r="AY249" s="35">
        <f>VLOOKUP(Tabla43[[#This Row],[SERVICIO 2025]],$J$2:$V$16,3,0)*Tabla43[[#This Row],[TOTAL COBERTURA]]+Tabla43[[#This Row],[VALOR RACION PREPARADA]]/7</f>
        <v>22176768</v>
      </c>
      <c r="AZ249" s="35">
        <f>VLOOKUP(Tabla43[[#This Row],[SERVICIO 2025]],$J$2:$V$16,3,0)*Tabla43[[#This Row],[TOTAL COBERTURA]]+Tabla43[[#This Row],[VALOR RACION PREPARADA]]/7+Tabla43[[#This Row],[VALOR FASE PREPARATORIA DE CIERRE]]</f>
        <v>23744016</v>
      </c>
      <c r="BA249" s="35"/>
      <c r="BB249" s="35">
        <f>SUM(Tabla43[[#This Row],[DESEMBOLSO 1]:[DESEMBOLSO 8]])</f>
        <v>161751696</v>
      </c>
      <c r="BC249" s="55">
        <f>VLOOKUP(Tabla43[[#This Row],[SERVICIO 2025]],$J$2:$V$16,10,0)*Tabla43[[#This Row],[TOTAL COBERTURA]]*$W$3</f>
        <v>0</v>
      </c>
      <c r="BD249" s="66" t="s">
        <v>145</v>
      </c>
      <c r="BE249" s="12" t="b">
        <f>EXACT(Tabla43[[#This Row],[TOTAL APORTES ICBF]],Tabla43[[#This Row],[VALOR TOTAL]])</f>
        <v>1</v>
      </c>
      <c r="BF249" s="23">
        <f>SUM(Tabla43[[#This Row],[VALOR FASE PREPARATORIA DE ALISTAMIENTO]:[VALOR RACION PREPARADA]])-Tabla43[[#This Row],[VALOR TOTAL]]</f>
        <v>0</v>
      </c>
      <c r="BG249" s="12" t="b">
        <f>EXACT(Tabla43[[#This Row],[VALOR TOTAL]],Tabla43[[#This Row],[TOTAL DESEMBOLSOS]])</f>
        <v>1</v>
      </c>
      <c r="BH249" s="29">
        <f>Tabla43[[#This Row],[TOTAL DESEMBOLSOS]]-Tabla43[[#This Row],[VALOR TOTAL]]</f>
        <v>0</v>
      </c>
      <c r="BJ249" t="s">
        <v>3896</v>
      </c>
    </row>
    <row r="250" spans="1:62" hidden="1">
      <c r="A250" s="75" t="s">
        <v>4302</v>
      </c>
      <c r="B250" s="13"/>
      <c r="C250" s="12" t="s">
        <v>3915</v>
      </c>
      <c r="D250" s="49" t="s">
        <v>462</v>
      </c>
      <c r="E250" s="12" t="s">
        <v>1172</v>
      </c>
      <c r="F250" s="74" t="s">
        <v>16</v>
      </c>
      <c r="G250" s="12" t="s">
        <v>90</v>
      </c>
      <c r="H250" s="12"/>
      <c r="I250" s="76">
        <v>51721137144</v>
      </c>
      <c r="J250" s="77" t="s">
        <v>4311</v>
      </c>
      <c r="K250" s="12">
        <v>1</v>
      </c>
      <c r="L250" s="78">
        <v>49</v>
      </c>
      <c r="M250" s="12"/>
      <c r="N250" s="75" t="s">
        <v>4302</v>
      </c>
      <c r="O250" s="12" t="s">
        <v>3894</v>
      </c>
      <c r="P250" s="12"/>
      <c r="Q250" s="12"/>
      <c r="R250" s="12" t="s">
        <v>94</v>
      </c>
      <c r="S250" s="12">
        <v>10</v>
      </c>
      <c r="T250" s="12">
        <v>900553223</v>
      </c>
      <c r="U250" s="74" t="s">
        <v>4305</v>
      </c>
      <c r="V250" s="12">
        <f>VLOOKUP(Tabla43[[#This Row],[ZONA DEFINITIVO]],Hoja1!$A$1:$D$129,3,0)</f>
        <v>232294</v>
      </c>
      <c r="W250" s="12">
        <f>VLOOKUP(Tabla43[[#This Row],[ZONA DEFINITIVO]],Hoja1!$A$1:$D$129,2,0)</f>
        <v>18595</v>
      </c>
      <c r="X250" s="12">
        <f>VLOOKUP(Tabla43[[#This Row],[ZONA DEFINITIVO]],Hoja1!$A$1:$D$129,4,0)</f>
        <v>117725</v>
      </c>
      <c r="Y250" s="12" t="str">
        <f>+IF(Tabla43[[#This Row],[AGRUPACIONES]]=1,SUMIFS(Tabla43[UDS],Tabla43[ZONA DEFINITIVO],Tabla43[[#This Row],[ZONA DEFINITIVO]])," ")</f>
        <v xml:space="preserve"> </v>
      </c>
      <c r="Z250" s="12" t="str">
        <f>+IF(Tabla43[[#This Row],[AGRUPACIONES]]=1,SUMIFS(Tabla43[TOTAL COBERTURA],Tabla43[ZONA DEFINITIVO],Tabla43[[#This Row],[ZONA DEFINITIVO]])," ")</f>
        <v xml:space="preserve"> </v>
      </c>
      <c r="AA250" s="12"/>
      <c r="AB250" s="51">
        <v>165121523</v>
      </c>
      <c r="AC250" s="51"/>
      <c r="AD250" s="38">
        <f>Tabla43[[#This Row],[VALOR ATENCIÓN (7 MESES)]]*Tabla43[[#This Row],[% CONTRAPARTIDA]]</f>
        <v>0</v>
      </c>
      <c r="AE250" s="12"/>
      <c r="AF250" s="12">
        <f>COUNTIF($A$22:A250,A250)</f>
        <v>6</v>
      </c>
      <c r="AG250" s="51">
        <v>165121523</v>
      </c>
      <c r="AH250" s="38">
        <f>Tabla43[[#This Row],[VALOR CONTRAPARTIDA]]+Tabla43[[#This Row],[TOTAL APORTES ICBF]]</f>
        <v>165121523</v>
      </c>
      <c r="AI250" s="35" t="str">
        <f>+IF(Tabla43[[#This Row],[AGRUPACIONES]]=1,SUMIFS(Tabla43[TOTAL APORTES ICBF],Tabla43[ZONA DEFINITIVO],Tabla43[[#This Row],[ZONA DEFINITIVO]])," ")</f>
        <v xml:space="preserve"> </v>
      </c>
      <c r="AJ250" s="38"/>
      <c r="AK250" s="38"/>
      <c r="AL250" s="23"/>
      <c r="AM250" s="35">
        <f>VLOOKUP(Tabla43[[#This Row],[SERVICIO 2025]],$J$2:$V$16,5,0)*Tabla43[[#This Row],[TOTAL COBERTURA]]</f>
        <v>3624285</v>
      </c>
      <c r="AN250" s="35">
        <f>VLOOKUP(Tabla43[[#This Row],[SERVICIO 2025]],$J$2:$V$16,6,0)*Tabla43[[#This Row],[TOTAL COBERTURA]]</f>
        <v>1599899</v>
      </c>
      <c r="AO250" s="35">
        <f>VLOOKUP(Tabla43[[#This Row],[SERVICIO 2025]],$J$2:$V$16,8,0)*Tabla43[[#This Row],[TOTAL COBERTURA]]</f>
        <v>1425851</v>
      </c>
      <c r="AP250" s="35">
        <f>VLOOKUP(Tabla43[[#This Row],[SERVICIO 2025]],$J$2:$V$16,3,0)*Tabla43[[#This Row],[TOTAL COBERTURA]]*7</f>
        <v>158471488</v>
      </c>
      <c r="AQ250" s="35">
        <f>VLOOKUP(Tabla43[[#This Row],[SERVICIO 2025]],$J$2:$V$16,10,0)*Tabla43[[#This Row],[TOTAL COBERTURA]]*7</f>
        <v>0</v>
      </c>
      <c r="AR25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165121523</v>
      </c>
      <c r="AS250" s="35" t="str">
        <f>+IF(Tabla43[[#This Row],[AGRUPACIONES]]=1,SUMIFS(Tabla43[VALOR TOTAL],Tabla43[ZONA DEFINITIVO],Tabla43[[#This Row],[ZONA DEFINITIVO]])," ")</f>
        <v xml:space="preserve"> </v>
      </c>
      <c r="AT25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27688920</v>
      </c>
      <c r="AU250" s="35">
        <f>VLOOKUP(Tabla43[[#This Row],[SERVICIO 2025]],$J$2:$V$16,3,0)*Tabla43[[#This Row],[TOTAL COBERTURA]]+Tabla43[[#This Row],[VALOR RACION PREPARADA]]/7</f>
        <v>22638784</v>
      </c>
      <c r="AV250" s="35">
        <f>VLOOKUP(Tabla43[[#This Row],[SERVICIO 2025]],$J$2:$V$16,3,0)*Tabla43[[#This Row],[TOTAL COBERTURA]]+Tabla43[[#This Row],[VALOR RACION PREPARADA]]/7</f>
        <v>22638784</v>
      </c>
      <c r="AW250" s="35">
        <f>VLOOKUP(Tabla43[[#This Row],[SERVICIO 2025]],$J$2:$V$16,3,0)*Tabla43[[#This Row],[TOTAL COBERTURA]]+Tabla43[[#This Row],[VALOR RACION PREPARADA]]/7</f>
        <v>22638784</v>
      </c>
      <c r="AX250" s="35">
        <f>VLOOKUP(Tabla43[[#This Row],[SERVICIO 2025]],$J$2:$V$16,3,0)*Tabla43[[#This Row],[TOTAL COBERTURA]]+Tabla43[[#This Row],[VALOR RACION PREPARADA]]/7</f>
        <v>22638784</v>
      </c>
      <c r="AY250" s="35">
        <f>VLOOKUP(Tabla43[[#This Row],[SERVICIO 2025]],$J$2:$V$16,3,0)*Tabla43[[#This Row],[TOTAL COBERTURA]]+Tabla43[[#This Row],[VALOR RACION PREPARADA]]/7</f>
        <v>22638784</v>
      </c>
      <c r="AZ250" s="35">
        <f>VLOOKUP(Tabla43[[#This Row],[SERVICIO 2025]],$J$2:$V$16,3,0)*Tabla43[[#This Row],[TOTAL COBERTURA]]+Tabla43[[#This Row],[VALOR RACION PREPARADA]]/7+Tabla43[[#This Row],[VALOR FASE PREPARATORIA DE CIERRE]]</f>
        <v>24238683</v>
      </c>
      <c r="BA250" s="35"/>
      <c r="BB250" s="35">
        <f>SUM(Tabla43[[#This Row],[DESEMBOLSO 1]:[DESEMBOLSO 8]])</f>
        <v>165121523</v>
      </c>
      <c r="BC250" s="55">
        <f>VLOOKUP(Tabla43[[#This Row],[SERVICIO 2025]],$J$2:$V$16,10,0)*Tabla43[[#This Row],[TOTAL COBERTURA]]*$W$3</f>
        <v>0</v>
      </c>
      <c r="BD250" s="66" t="s">
        <v>145</v>
      </c>
      <c r="BE250" s="12" t="b">
        <f>EXACT(Tabla43[[#This Row],[TOTAL APORTES ICBF]],Tabla43[[#This Row],[VALOR TOTAL]])</f>
        <v>1</v>
      </c>
      <c r="BF250" s="23">
        <f>SUM(Tabla43[[#This Row],[VALOR FASE PREPARATORIA DE ALISTAMIENTO]:[VALOR RACION PREPARADA]])-Tabla43[[#This Row],[VALOR TOTAL]]</f>
        <v>0</v>
      </c>
      <c r="BG250" s="12" t="b">
        <f>EXACT(Tabla43[[#This Row],[VALOR TOTAL]],Tabla43[[#This Row],[TOTAL DESEMBOLSOS]])</f>
        <v>1</v>
      </c>
      <c r="BH250" s="29">
        <f>Tabla43[[#This Row],[TOTAL DESEMBOLSOS]]-Tabla43[[#This Row],[VALOR TOTAL]]</f>
        <v>0</v>
      </c>
      <c r="BJ250" t="s">
        <v>3896</v>
      </c>
    </row>
    <row r="251" spans="1:62" hidden="1">
      <c r="A251" s="75" t="s">
        <v>4302</v>
      </c>
      <c r="B251" s="13"/>
      <c r="C251" s="12" t="s">
        <v>3915</v>
      </c>
      <c r="D251" s="49" t="s">
        <v>462</v>
      </c>
      <c r="E251" s="12" t="s">
        <v>4151</v>
      </c>
      <c r="F251" s="74" t="s">
        <v>16</v>
      </c>
      <c r="G251" s="12" t="s">
        <v>90</v>
      </c>
      <c r="H251" s="12"/>
      <c r="I251" s="76">
        <v>54901140388</v>
      </c>
      <c r="J251" s="77" t="s">
        <v>4312</v>
      </c>
      <c r="K251" s="12">
        <v>1</v>
      </c>
      <c r="L251" s="78">
        <v>49</v>
      </c>
      <c r="M251" s="12"/>
      <c r="N251" s="75" t="s">
        <v>4302</v>
      </c>
      <c r="O251" s="12" t="s">
        <v>3894</v>
      </c>
      <c r="P251" s="12"/>
      <c r="Q251" s="12"/>
      <c r="R251" s="12" t="s">
        <v>94</v>
      </c>
      <c r="S251" s="12">
        <v>10</v>
      </c>
      <c r="T251" s="12">
        <v>900553223</v>
      </c>
      <c r="U251" s="74" t="s">
        <v>4305</v>
      </c>
      <c r="V251" s="12">
        <f>VLOOKUP(Tabla43[[#This Row],[ZONA DEFINITIVO]],Hoja1!$A$1:$D$129,3,0)</f>
        <v>232294</v>
      </c>
      <c r="W251" s="12">
        <f>VLOOKUP(Tabla43[[#This Row],[ZONA DEFINITIVO]],Hoja1!$A$1:$D$129,2,0)</f>
        <v>18595</v>
      </c>
      <c r="X251" s="12">
        <f>VLOOKUP(Tabla43[[#This Row],[ZONA DEFINITIVO]],Hoja1!$A$1:$D$129,4,0)</f>
        <v>117725</v>
      </c>
      <c r="Y251" s="12" t="str">
        <f>+IF(Tabla43[[#This Row],[AGRUPACIONES]]=1,SUMIFS(Tabla43[UDS],Tabla43[ZONA DEFINITIVO],Tabla43[[#This Row],[ZONA DEFINITIVO]])," ")</f>
        <v xml:space="preserve"> </v>
      </c>
      <c r="Z251" s="12" t="str">
        <f>+IF(Tabla43[[#This Row],[AGRUPACIONES]]=1,SUMIFS(Tabla43[TOTAL COBERTURA],Tabla43[ZONA DEFINITIVO],Tabla43[[#This Row],[ZONA DEFINITIVO]])," ")</f>
        <v xml:space="preserve"> </v>
      </c>
      <c r="AA251" s="12"/>
      <c r="AB251" s="51">
        <v>165121523</v>
      </c>
      <c r="AC251" s="51"/>
      <c r="AD251" s="38">
        <f>Tabla43[[#This Row],[VALOR ATENCIÓN (7 MESES)]]*Tabla43[[#This Row],[% CONTRAPARTIDA]]</f>
        <v>0</v>
      </c>
      <c r="AE251" s="12"/>
      <c r="AF251" s="12">
        <f>COUNTIF($A$22:A251,A251)</f>
        <v>7</v>
      </c>
      <c r="AG251" s="51">
        <v>165121523</v>
      </c>
      <c r="AH251" s="38">
        <f>Tabla43[[#This Row],[VALOR CONTRAPARTIDA]]+Tabla43[[#This Row],[TOTAL APORTES ICBF]]</f>
        <v>165121523</v>
      </c>
      <c r="AI251" s="35" t="str">
        <f>+IF(Tabla43[[#This Row],[AGRUPACIONES]]=1,SUMIFS(Tabla43[TOTAL APORTES ICBF],Tabla43[ZONA DEFINITIVO],Tabla43[[#This Row],[ZONA DEFINITIVO]])," ")</f>
        <v xml:space="preserve"> </v>
      </c>
      <c r="AJ251" s="38"/>
      <c r="AK251" s="38"/>
      <c r="AL251" s="23"/>
      <c r="AM251" s="35">
        <f>VLOOKUP(Tabla43[[#This Row],[SERVICIO 2025]],$J$2:$V$16,5,0)*Tabla43[[#This Row],[TOTAL COBERTURA]]</f>
        <v>3624285</v>
      </c>
      <c r="AN251" s="35">
        <f>VLOOKUP(Tabla43[[#This Row],[SERVICIO 2025]],$J$2:$V$16,6,0)*Tabla43[[#This Row],[TOTAL COBERTURA]]</f>
        <v>1599899</v>
      </c>
      <c r="AO251" s="35">
        <f>VLOOKUP(Tabla43[[#This Row],[SERVICIO 2025]],$J$2:$V$16,8,0)*Tabla43[[#This Row],[TOTAL COBERTURA]]</f>
        <v>1425851</v>
      </c>
      <c r="AP251" s="35">
        <f>VLOOKUP(Tabla43[[#This Row],[SERVICIO 2025]],$J$2:$V$16,3,0)*Tabla43[[#This Row],[TOTAL COBERTURA]]*7</f>
        <v>158471488</v>
      </c>
      <c r="AQ251" s="35">
        <f>VLOOKUP(Tabla43[[#This Row],[SERVICIO 2025]],$J$2:$V$16,10,0)*Tabla43[[#This Row],[TOTAL COBERTURA]]*7</f>
        <v>0</v>
      </c>
      <c r="AR25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165121523</v>
      </c>
      <c r="AS251" s="35" t="str">
        <f>+IF(Tabla43[[#This Row],[AGRUPACIONES]]=1,SUMIFS(Tabla43[VALOR TOTAL],Tabla43[ZONA DEFINITIVO],Tabla43[[#This Row],[ZONA DEFINITIVO]])," ")</f>
        <v xml:space="preserve"> </v>
      </c>
      <c r="AT25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27688920</v>
      </c>
      <c r="AU251" s="35">
        <f>VLOOKUP(Tabla43[[#This Row],[SERVICIO 2025]],$J$2:$V$16,3,0)*Tabla43[[#This Row],[TOTAL COBERTURA]]+Tabla43[[#This Row],[VALOR RACION PREPARADA]]/7</f>
        <v>22638784</v>
      </c>
      <c r="AV251" s="35">
        <f>VLOOKUP(Tabla43[[#This Row],[SERVICIO 2025]],$J$2:$V$16,3,0)*Tabla43[[#This Row],[TOTAL COBERTURA]]+Tabla43[[#This Row],[VALOR RACION PREPARADA]]/7</f>
        <v>22638784</v>
      </c>
      <c r="AW251" s="35">
        <f>VLOOKUP(Tabla43[[#This Row],[SERVICIO 2025]],$J$2:$V$16,3,0)*Tabla43[[#This Row],[TOTAL COBERTURA]]+Tabla43[[#This Row],[VALOR RACION PREPARADA]]/7</f>
        <v>22638784</v>
      </c>
      <c r="AX251" s="35">
        <f>VLOOKUP(Tabla43[[#This Row],[SERVICIO 2025]],$J$2:$V$16,3,0)*Tabla43[[#This Row],[TOTAL COBERTURA]]+Tabla43[[#This Row],[VALOR RACION PREPARADA]]/7</f>
        <v>22638784</v>
      </c>
      <c r="AY251" s="35">
        <f>VLOOKUP(Tabla43[[#This Row],[SERVICIO 2025]],$J$2:$V$16,3,0)*Tabla43[[#This Row],[TOTAL COBERTURA]]+Tabla43[[#This Row],[VALOR RACION PREPARADA]]/7</f>
        <v>22638784</v>
      </c>
      <c r="AZ251" s="35">
        <f>VLOOKUP(Tabla43[[#This Row],[SERVICIO 2025]],$J$2:$V$16,3,0)*Tabla43[[#This Row],[TOTAL COBERTURA]]+Tabla43[[#This Row],[VALOR RACION PREPARADA]]/7+Tabla43[[#This Row],[VALOR FASE PREPARATORIA DE CIERRE]]</f>
        <v>24238683</v>
      </c>
      <c r="BA251" s="35"/>
      <c r="BB251" s="35">
        <f>SUM(Tabla43[[#This Row],[DESEMBOLSO 1]:[DESEMBOLSO 8]])</f>
        <v>165121523</v>
      </c>
      <c r="BC251" s="55">
        <f>VLOOKUP(Tabla43[[#This Row],[SERVICIO 2025]],$J$2:$V$16,10,0)*Tabla43[[#This Row],[TOTAL COBERTURA]]*$W$3</f>
        <v>0</v>
      </c>
      <c r="BD251" s="66" t="s">
        <v>145</v>
      </c>
      <c r="BE251" s="12" t="b">
        <f>EXACT(Tabla43[[#This Row],[TOTAL APORTES ICBF]],Tabla43[[#This Row],[VALOR TOTAL]])</f>
        <v>1</v>
      </c>
      <c r="BF251" s="23">
        <f>SUM(Tabla43[[#This Row],[VALOR FASE PREPARATORIA DE ALISTAMIENTO]:[VALOR RACION PREPARADA]])-Tabla43[[#This Row],[VALOR TOTAL]]</f>
        <v>0</v>
      </c>
      <c r="BG251" s="12" t="b">
        <f>EXACT(Tabla43[[#This Row],[VALOR TOTAL]],Tabla43[[#This Row],[TOTAL DESEMBOLSOS]])</f>
        <v>1</v>
      </c>
      <c r="BH251" s="29">
        <f>Tabla43[[#This Row],[TOTAL DESEMBOLSOS]]-Tabla43[[#This Row],[VALOR TOTAL]]</f>
        <v>0</v>
      </c>
      <c r="BJ251" t="s">
        <v>3896</v>
      </c>
    </row>
    <row r="252" spans="1:62" hidden="1">
      <c r="A252" s="75" t="s">
        <v>4302</v>
      </c>
      <c r="B252" s="13"/>
      <c r="C252" s="12" t="s">
        <v>3915</v>
      </c>
      <c r="D252" s="49" t="s">
        <v>462</v>
      </c>
      <c r="E252" s="12" t="s">
        <v>4151</v>
      </c>
      <c r="F252" s="74" t="s">
        <v>16</v>
      </c>
      <c r="G252" s="12" t="s">
        <v>90</v>
      </c>
      <c r="H252" s="12"/>
      <c r="I252" s="76">
        <v>54901141353</v>
      </c>
      <c r="J252" s="77" t="s">
        <v>4313</v>
      </c>
      <c r="K252" s="12">
        <v>1</v>
      </c>
      <c r="L252" s="78">
        <v>59</v>
      </c>
      <c r="M252" s="12"/>
      <c r="N252" s="75" t="s">
        <v>4302</v>
      </c>
      <c r="O252" s="12" t="s">
        <v>3894</v>
      </c>
      <c r="P252" s="12"/>
      <c r="Q252" s="12"/>
      <c r="R252" s="12" t="s">
        <v>94</v>
      </c>
      <c r="S252" s="12">
        <v>10</v>
      </c>
      <c r="T252" s="12">
        <v>900553223</v>
      </c>
      <c r="U252" s="74" t="s">
        <v>4305</v>
      </c>
      <c r="V252" s="12">
        <f>VLOOKUP(Tabla43[[#This Row],[ZONA DEFINITIVO]],Hoja1!$A$1:$D$129,3,0)</f>
        <v>232294</v>
      </c>
      <c r="W252" s="12">
        <f>VLOOKUP(Tabla43[[#This Row],[ZONA DEFINITIVO]],Hoja1!$A$1:$D$129,2,0)</f>
        <v>18595</v>
      </c>
      <c r="X252" s="12">
        <f>VLOOKUP(Tabla43[[#This Row],[ZONA DEFINITIVO]],Hoja1!$A$1:$D$129,4,0)</f>
        <v>117725</v>
      </c>
      <c r="Y252" s="12" t="str">
        <f>+IF(Tabla43[[#This Row],[AGRUPACIONES]]=1,SUMIFS(Tabla43[UDS],Tabla43[ZONA DEFINITIVO],Tabla43[[#This Row],[ZONA DEFINITIVO]])," ")</f>
        <v xml:space="preserve"> </v>
      </c>
      <c r="Z252" s="12" t="str">
        <f>+IF(Tabla43[[#This Row],[AGRUPACIONES]]=1,SUMIFS(Tabla43[TOTAL COBERTURA],Tabla43[ZONA DEFINITIVO],Tabla43[[#This Row],[ZONA DEFINITIVO]])," ")</f>
        <v xml:space="preserve"> </v>
      </c>
      <c r="AA252" s="12"/>
      <c r="AB252" s="51">
        <v>198819793</v>
      </c>
      <c r="AC252" s="51"/>
      <c r="AD252" s="38">
        <f>Tabla43[[#This Row],[VALOR ATENCIÓN (7 MESES)]]*Tabla43[[#This Row],[% CONTRAPARTIDA]]</f>
        <v>0</v>
      </c>
      <c r="AE252" s="12"/>
      <c r="AF252" s="12">
        <f>COUNTIF($A$22:A252,A252)</f>
        <v>8</v>
      </c>
      <c r="AG252" s="51">
        <v>198819793</v>
      </c>
      <c r="AH252" s="38">
        <f>Tabla43[[#This Row],[VALOR CONTRAPARTIDA]]+Tabla43[[#This Row],[TOTAL APORTES ICBF]]</f>
        <v>198819793</v>
      </c>
      <c r="AI252" s="35" t="str">
        <f>+IF(Tabla43[[#This Row],[AGRUPACIONES]]=1,SUMIFS(Tabla43[TOTAL APORTES ICBF],Tabla43[ZONA DEFINITIVO],Tabla43[[#This Row],[ZONA DEFINITIVO]])," ")</f>
        <v xml:space="preserve"> </v>
      </c>
      <c r="AJ252" s="38"/>
      <c r="AK252" s="38"/>
      <c r="AL252" s="23"/>
      <c r="AM252" s="35">
        <f>VLOOKUP(Tabla43[[#This Row],[SERVICIO 2025]],$J$2:$V$16,5,0)*Tabla43[[#This Row],[TOTAL COBERTURA]]</f>
        <v>4363935</v>
      </c>
      <c r="AN252" s="35">
        <f>VLOOKUP(Tabla43[[#This Row],[SERVICIO 2025]],$J$2:$V$16,6,0)*Tabla43[[#This Row],[TOTAL COBERTURA]]</f>
        <v>1926409</v>
      </c>
      <c r="AO252" s="35">
        <f>VLOOKUP(Tabla43[[#This Row],[SERVICIO 2025]],$J$2:$V$16,8,0)*Tabla43[[#This Row],[TOTAL COBERTURA]]</f>
        <v>1716841</v>
      </c>
      <c r="AP252" s="35">
        <f>VLOOKUP(Tabla43[[#This Row],[SERVICIO 2025]],$J$2:$V$16,3,0)*Tabla43[[#This Row],[TOTAL COBERTURA]]*7</f>
        <v>190812608</v>
      </c>
      <c r="AQ252" s="35">
        <f>VLOOKUP(Tabla43[[#This Row],[SERVICIO 2025]],$J$2:$V$16,10,0)*Tabla43[[#This Row],[TOTAL COBERTURA]]*7</f>
        <v>0</v>
      </c>
      <c r="AR25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198819793</v>
      </c>
      <c r="AS252" s="35" t="str">
        <f>+IF(Tabla43[[#This Row],[AGRUPACIONES]]=1,SUMIFS(Tabla43[VALOR TOTAL],Tabla43[ZONA DEFINITIVO],Tabla43[[#This Row],[ZONA DEFINITIVO]])," ")</f>
        <v xml:space="preserve"> </v>
      </c>
      <c r="AT25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33339720</v>
      </c>
      <c r="AU252" s="35">
        <f>VLOOKUP(Tabla43[[#This Row],[SERVICIO 2025]],$J$2:$V$16,3,0)*Tabla43[[#This Row],[TOTAL COBERTURA]]+Tabla43[[#This Row],[VALOR RACION PREPARADA]]/7</f>
        <v>27258944</v>
      </c>
      <c r="AV252" s="35">
        <f>VLOOKUP(Tabla43[[#This Row],[SERVICIO 2025]],$J$2:$V$16,3,0)*Tabla43[[#This Row],[TOTAL COBERTURA]]+Tabla43[[#This Row],[VALOR RACION PREPARADA]]/7</f>
        <v>27258944</v>
      </c>
      <c r="AW252" s="35">
        <f>VLOOKUP(Tabla43[[#This Row],[SERVICIO 2025]],$J$2:$V$16,3,0)*Tabla43[[#This Row],[TOTAL COBERTURA]]+Tabla43[[#This Row],[VALOR RACION PREPARADA]]/7</f>
        <v>27258944</v>
      </c>
      <c r="AX252" s="35">
        <f>VLOOKUP(Tabla43[[#This Row],[SERVICIO 2025]],$J$2:$V$16,3,0)*Tabla43[[#This Row],[TOTAL COBERTURA]]+Tabla43[[#This Row],[VALOR RACION PREPARADA]]/7</f>
        <v>27258944</v>
      </c>
      <c r="AY252" s="35">
        <f>VLOOKUP(Tabla43[[#This Row],[SERVICIO 2025]],$J$2:$V$16,3,0)*Tabla43[[#This Row],[TOTAL COBERTURA]]+Tabla43[[#This Row],[VALOR RACION PREPARADA]]/7</f>
        <v>27258944</v>
      </c>
      <c r="AZ252" s="35">
        <f>VLOOKUP(Tabla43[[#This Row],[SERVICIO 2025]],$J$2:$V$16,3,0)*Tabla43[[#This Row],[TOTAL COBERTURA]]+Tabla43[[#This Row],[VALOR RACION PREPARADA]]/7+Tabla43[[#This Row],[VALOR FASE PREPARATORIA DE CIERRE]]</f>
        <v>29185353</v>
      </c>
      <c r="BA252" s="35"/>
      <c r="BB252" s="35">
        <f>SUM(Tabla43[[#This Row],[DESEMBOLSO 1]:[DESEMBOLSO 8]])</f>
        <v>198819793</v>
      </c>
      <c r="BC252" s="55">
        <f>VLOOKUP(Tabla43[[#This Row],[SERVICIO 2025]],$J$2:$V$16,10,0)*Tabla43[[#This Row],[TOTAL COBERTURA]]*$W$3</f>
        <v>0</v>
      </c>
      <c r="BD252" s="66" t="s">
        <v>145</v>
      </c>
      <c r="BE252" s="12" t="b">
        <f>EXACT(Tabla43[[#This Row],[TOTAL APORTES ICBF]],Tabla43[[#This Row],[VALOR TOTAL]])</f>
        <v>1</v>
      </c>
      <c r="BF252" s="23">
        <f>SUM(Tabla43[[#This Row],[VALOR FASE PREPARATORIA DE ALISTAMIENTO]:[VALOR RACION PREPARADA]])-Tabla43[[#This Row],[VALOR TOTAL]]</f>
        <v>0</v>
      </c>
      <c r="BG252" s="12" t="b">
        <f>EXACT(Tabla43[[#This Row],[VALOR TOTAL]],Tabla43[[#This Row],[TOTAL DESEMBOLSOS]])</f>
        <v>1</v>
      </c>
      <c r="BH252" s="29">
        <f>Tabla43[[#This Row],[TOTAL DESEMBOLSOS]]-Tabla43[[#This Row],[VALOR TOTAL]]</f>
        <v>0</v>
      </c>
      <c r="BJ252" t="s">
        <v>3896</v>
      </c>
    </row>
    <row r="253" spans="1:62" hidden="1">
      <c r="A253" s="80" t="s">
        <v>4302</v>
      </c>
      <c r="B253" s="13"/>
      <c r="C253" s="12" t="s">
        <v>3915</v>
      </c>
      <c r="D253" s="49" t="s">
        <v>462</v>
      </c>
      <c r="E253" s="12" t="s">
        <v>4151</v>
      </c>
      <c r="F253" s="74" t="s">
        <v>16</v>
      </c>
      <c r="G253" s="12" t="s">
        <v>90</v>
      </c>
      <c r="H253" s="12"/>
      <c r="I253" s="76">
        <v>54901150099</v>
      </c>
      <c r="J253" s="77" t="s">
        <v>4314</v>
      </c>
      <c r="K253" s="12">
        <v>1</v>
      </c>
      <c r="L253" s="78">
        <v>24</v>
      </c>
      <c r="M253" s="12"/>
      <c r="N253" s="80" t="s">
        <v>4302</v>
      </c>
      <c r="O253" s="12" t="s">
        <v>3894</v>
      </c>
      <c r="P253" s="12"/>
      <c r="Q253" s="12"/>
      <c r="R253" s="12" t="s">
        <v>94</v>
      </c>
      <c r="S253" s="12">
        <v>10</v>
      </c>
      <c r="T253" s="12">
        <v>900553223</v>
      </c>
      <c r="U253" s="74" t="s">
        <v>4305</v>
      </c>
      <c r="V253" s="12">
        <f>VLOOKUP(Tabla43[[#This Row],[ZONA DEFINITIVO]],Hoja1!$A$1:$D$129,3,0)</f>
        <v>232294</v>
      </c>
      <c r="W253" s="12">
        <f>VLOOKUP(Tabla43[[#This Row],[ZONA DEFINITIVO]],Hoja1!$A$1:$D$129,2,0)</f>
        <v>18595</v>
      </c>
      <c r="X253" s="12">
        <f>VLOOKUP(Tabla43[[#This Row],[ZONA DEFINITIVO]],Hoja1!$A$1:$D$129,4,0)</f>
        <v>117725</v>
      </c>
      <c r="Y253" s="12" t="str">
        <f>+IF(Tabla43[[#This Row],[AGRUPACIONES]]=1,SUMIFS(Tabla43[UDS],Tabla43[ZONA DEFINITIVO],Tabla43[[#This Row],[ZONA DEFINITIVO]])," ")</f>
        <v xml:space="preserve"> </v>
      </c>
      <c r="Z253" s="12" t="str">
        <f>+IF(Tabla43[[#This Row],[AGRUPACIONES]]=1,SUMIFS(Tabla43[TOTAL COBERTURA],Tabla43[ZONA DEFINITIVO],Tabla43[[#This Row],[ZONA DEFINITIVO]])," ")</f>
        <v xml:space="preserve"> </v>
      </c>
      <c r="AA253" s="12"/>
      <c r="AB253" s="51">
        <v>80875848</v>
      </c>
      <c r="AC253" s="51"/>
      <c r="AD253" s="38">
        <f>Tabla43[[#This Row],[VALOR ATENCIÓN (7 MESES)]]*Tabla43[[#This Row],[% CONTRAPARTIDA]]</f>
        <v>0</v>
      </c>
      <c r="AE253" s="12"/>
      <c r="AF253" s="12">
        <f>COUNTIF($A$22:A253,A253)</f>
        <v>9</v>
      </c>
      <c r="AG253" s="51">
        <v>80875848</v>
      </c>
      <c r="AH253" s="38">
        <f>Tabla43[[#This Row],[VALOR CONTRAPARTIDA]]+Tabla43[[#This Row],[TOTAL APORTES ICBF]]</f>
        <v>80875848</v>
      </c>
      <c r="AI253" s="35" t="str">
        <f>+IF(Tabla43[[#This Row],[AGRUPACIONES]]=1,SUMIFS(Tabla43[TOTAL APORTES ICBF],Tabla43[ZONA DEFINITIVO],Tabla43[[#This Row],[ZONA DEFINITIVO]])," ")</f>
        <v xml:space="preserve"> </v>
      </c>
      <c r="AJ253" s="38"/>
      <c r="AK253" s="38"/>
      <c r="AL253" s="23"/>
      <c r="AM253" s="35">
        <f>VLOOKUP(Tabla43[[#This Row],[SERVICIO 2025]],$J$2:$V$16,5,0)*Tabla43[[#This Row],[TOTAL COBERTURA]]</f>
        <v>1775160</v>
      </c>
      <c r="AN253" s="35">
        <f>VLOOKUP(Tabla43[[#This Row],[SERVICIO 2025]],$J$2:$V$16,6,0)*Tabla43[[#This Row],[TOTAL COBERTURA]]</f>
        <v>783624</v>
      </c>
      <c r="AO253" s="35">
        <f>VLOOKUP(Tabla43[[#This Row],[SERVICIO 2025]],$J$2:$V$16,8,0)*Tabla43[[#This Row],[TOTAL COBERTURA]]</f>
        <v>698376</v>
      </c>
      <c r="AP253" s="35">
        <f>VLOOKUP(Tabla43[[#This Row],[SERVICIO 2025]],$J$2:$V$16,3,0)*Tabla43[[#This Row],[TOTAL COBERTURA]]*7</f>
        <v>77618688</v>
      </c>
      <c r="AQ253" s="35">
        <f>VLOOKUP(Tabla43[[#This Row],[SERVICIO 2025]],$J$2:$V$16,10,0)*Tabla43[[#This Row],[TOTAL COBERTURA]]*7</f>
        <v>0</v>
      </c>
      <c r="AR25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80875848</v>
      </c>
      <c r="AS253" s="35" t="str">
        <f>+IF(Tabla43[[#This Row],[AGRUPACIONES]]=1,SUMIFS(Tabla43[VALOR TOTAL],Tabla43[ZONA DEFINITIVO],Tabla43[[#This Row],[ZONA DEFINITIVO]])," ")</f>
        <v xml:space="preserve"> </v>
      </c>
      <c r="AT25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13561920</v>
      </c>
      <c r="AU253" s="35">
        <f>VLOOKUP(Tabla43[[#This Row],[SERVICIO 2025]],$J$2:$V$16,3,0)*Tabla43[[#This Row],[TOTAL COBERTURA]]+Tabla43[[#This Row],[VALOR RACION PREPARADA]]/7</f>
        <v>11088384</v>
      </c>
      <c r="AV253" s="35">
        <f>VLOOKUP(Tabla43[[#This Row],[SERVICIO 2025]],$J$2:$V$16,3,0)*Tabla43[[#This Row],[TOTAL COBERTURA]]+Tabla43[[#This Row],[VALOR RACION PREPARADA]]/7</f>
        <v>11088384</v>
      </c>
      <c r="AW253" s="35">
        <f>VLOOKUP(Tabla43[[#This Row],[SERVICIO 2025]],$J$2:$V$16,3,0)*Tabla43[[#This Row],[TOTAL COBERTURA]]+Tabla43[[#This Row],[VALOR RACION PREPARADA]]/7</f>
        <v>11088384</v>
      </c>
      <c r="AX253" s="35">
        <f>VLOOKUP(Tabla43[[#This Row],[SERVICIO 2025]],$J$2:$V$16,3,0)*Tabla43[[#This Row],[TOTAL COBERTURA]]+Tabla43[[#This Row],[VALOR RACION PREPARADA]]/7</f>
        <v>11088384</v>
      </c>
      <c r="AY253" s="35">
        <f>VLOOKUP(Tabla43[[#This Row],[SERVICIO 2025]],$J$2:$V$16,3,0)*Tabla43[[#This Row],[TOTAL COBERTURA]]+Tabla43[[#This Row],[VALOR RACION PREPARADA]]/7</f>
        <v>11088384</v>
      </c>
      <c r="AZ253" s="35">
        <f>VLOOKUP(Tabla43[[#This Row],[SERVICIO 2025]],$J$2:$V$16,3,0)*Tabla43[[#This Row],[TOTAL COBERTURA]]+Tabla43[[#This Row],[VALOR RACION PREPARADA]]/7+Tabla43[[#This Row],[VALOR FASE PREPARATORIA DE CIERRE]]</f>
        <v>11872008</v>
      </c>
      <c r="BA253" s="35"/>
      <c r="BB253" s="35">
        <f>SUM(Tabla43[[#This Row],[DESEMBOLSO 1]:[DESEMBOLSO 8]])</f>
        <v>80875848</v>
      </c>
      <c r="BC253" s="55">
        <f>VLOOKUP(Tabla43[[#This Row],[SERVICIO 2025]],$J$2:$V$16,10,0)*Tabla43[[#This Row],[TOTAL COBERTURA]]*$W$3</f>
        <v>0</v>
      </c>
      <c r="BD253" s="66" t="s">
        <v>145</v>
      </c>
      <c r="BE253" s="12" t="b">
        <f>EXACT(Tabla43[[#This Row],[TOTAL APORTES ICBF]],Tabla43[[#This Row],[VALOR TOTAL]])</f>
        <v>1</v>
      </c>
      <c r="BF253" s="23">
        <f>SUM(Tabla43[[#This Row],[VALOR FASE PREPARATORIA DE ALISTAMIENTO]:[VALOR RACION PREPARADA]])-Tabla43[[#This Row],[VALOR TOTAL]]</f>
        <v>0</v>
      </c>
      <c r="BG253" s="12" t="b">
        <f>EXACT(Tabla43[[#This Row],[VALOR TOTAL]],Tabla43[[#This Row],[TOTAL DESEMBOLSOS]])</f>
        <v>1</v>
      </c>
      <c r="BH253" s="29">
        <f>Tabla43[[#This Row],[TOTAL DESEMBOLSOS]]-Tabla43[[#This Row],[VALOR TOTAL]]</f>
        <v>0</v>
      </c>
      <c r="BJ253" t="s">
        <v>3896</v>
      </c>
    </row>
    <row r="254" spans="1:62" hidden="1">
      <c r="A254" s="80" t="s">
        <v>4302</v>
      </c>
      <c r="B254" s="13"/>
      <c r="C254" s="12" t="s">
        <v>3915</v>
      </c>
      <c r="D254" s="49" t="s">
        <v>462</v>
      </c>
      <c r="E254" s="12" t="s">
        <v>4151</v>
      </c>
      <c r="F254" s="74" t="s">
        <v>16</v>
      </c>
      <c r="G254" s="12" t="s">
        <v>90</v>
      </c>
      <c r="H254" s="12"/>
      <c r="I254" s="76">
        <v>54901150100</v>
      </c>
      <c r="J254" s="77" t="s">
        <v>4315</v>
      </c>
      <c r="K254" s="12">
        <v>1</v>
      </c>
      <c r="L254" s="78">
        <v>29</v>
      </c>
      <c r="M254" s="12"/>
      <c r="N254" s="80" t="s">
        <v>4302</v>
      </c>
      <c r="O254" s="12" t="s">
        <v>3894</v>
      </c>
      <c r="P254" s="12"/>
      <c r="Q254" s="12"/>
      <c r="R254" s="12" t="s">
        <v>94</v>
      </c>
      <c r="S254" s="12">
        <v>10</v>
      </c>
      <c r="T254" s="12">
        <v>900553223</v>
      </c>
      <c r="U254" s="74" t="s">
        <v>4305</v>
      </c>
      <c r="V254" s="12">
        <f>VLOOKUP(Tabla43[[#This Row],[ZONA DEFINITIVO]],Hoja1!$A$1:$D$129,3,0)</f>
        <v>232294</v>
      </c>
      <c r="W254" s="12">
        <f>VLOOKUP(Tabla43[[#This Row],[ZONA DEFINITIVO]],Hoja1!$A$1:$D$129,2,0)</f>
        <v>18595</v>
      </c>
      <c r="X254" s="12">
        <f>VLOOKUP(Tabla43[[#This Row],[ZONA DEFINITIVO]],Hoja1!$A$1:$D$129,4,0)</f>
        <v>117725</v>
      </c>
      <c r="Y254" s="12" t="str">
        <f>+IF(Tabla43[[#This Row],[AGRUPACIONES]]=1,SUMIFS(Tabla43[UDS],Tabla43[ZONA DEFINITIVO],Tabla43[[#This Row],[ZONA DEFINITIVO]])," ")</f>
        <v xml:space="preserve"> </v>
      </c>
      <c r="Z254" s="12" t="str">
        <f>+IF(Tabla43[[#This Row],[AGRUPACIONES]]=1,SUMIFS(Tabla43[TOTAL COBERTURA],Tabla43[ZONA DEFINITIVO],Tabla43[[#This Row],[ZONA DEFINITIVO]])," ")</f>
        <v xml:space="preserve"> </v>
      </c>
      <c r="AA254" s="12"/>
      <c r="AB254" s="51">
        <v>97724983</v>
      </c>
      <c r="AC254" s="51"/>
      <c r="AD254" s="38">
        <f>Tabla43[[#This Row],[VALOR ATENCIÓN (7 MESES)]]*Tabla43[[#This Row],[% CONTRAPARTIDA]]</f>
        <v>0</v>
      </c>
      <c r="AE254" s="12"/>
      <c r="AF254" s="12">
        <f>COUNTIF($A$22:A254,A254)</f>
        <v>10</v>
      </c>
      <c r="AG254" s="51">
        <v>97724983</v>
      </c>
      <c r="AH254" s="38">
        <f>Tabla43[[#This Row],[VALOR CONTRAPARTIDA]]+Tabla43[[#This Row],[TOTAL APORTES ICBF]]</f>
        <v>97724983</v>
      </c>
      <c r="AI254" s="35" t="str">
        <f>+IF(Tabla43[[#This Row],[AGRUPACIONES]]=1,SUMIFS(Tabla43[TOTAL APORTES ICBF],Tabla43[ZONA DEFINITIVO],Tabla43[[#This Row],[ZONA DEFINITIVO]])," ")</f>
        <v xml:space="preserve"> </v>
      </c>
      <c r="AJ254" s="38"/>
      <c r="AK254" s="38"/>
      <c r="AL254" s="23"/>
      <c r="AM254" s="35">
        <f>VLOOKUP(Tabla43[[#This Row],[SERVICIO 2025]],$J$2:$V$16,5,0)*Tabla43[[#This Row],[TOTAL COBERTURA]]</f>
        <v>2144985</v>
      </c>
      <c r="AN254" s="35">
        <f>VLOOKUP(Tabla43[[#This Row],[SERVICIO 2025]],$J$2:$V$16,6,0)*Tabla43[[#This Row],[TOTAL COBERTURA]]</f>
        <v>946879</v>
      </c>
      <c r="AO254" s="35">
        <f>VLOOKUP(Tabla43[[#This Row],[SERVICIO 2025]],$J$2:$V$16,8,0)*Tabla43[[#This Row],[TOTAL COBERTURA]]</f>
        <v>843871</v>
      </c>
      <c r="AP254" s="35">
        <f>VLOOKUP(Tabla43[[#This Row],[SERVICIO 2025]],$J$2:$V$16,3,0)*Tabla43[[#This Row],[TOTAL COBERTURA]]*7</f>
        <v>93789248</v>
      </c>
      <c r="AQ254" s="35">
        <f>VLOOKUP(Tabla43[[#This Row],[SERVICIO 2025]],$J$2:$V$16,10,0)*Tabla43[[#This Row],[TOTAL COBERTURA]]*7</f>
        <v>0</v>
      </c>
      <c r="AR25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97724983</v>
      </c>
      <c r="AS254" s="35" t="str">
        <f>+IF(Tabla43[[#This Row],[AGRUPACIONES]]=1,SUMIFS(Tabla43[VALOR TOTAL],Tabla43[ZONA DEFINITIVO],Tabla43[[#This Row],[ZONA DEFINITIVO]])," ")</f>
        <v xml:space="preserve"> </v>
      </c>
      <c r="AT25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16387320</v>
      </c>
      <c r="AU254" s="35">
        <f>VLOOKUP(Tabla43[[#This Row],[SERVICIO 2025]],$J$2:$V$16,3,0)*Tabla43[[#This Row],[TOTAL COBERTURA]]+Tabla43[[#This Row],[VALOR RACION PREPARADA]]/7</f>
        <v>13398464</v>
      </c>
      <c r="AV254" s="35">
        <f>VLOOKUP(Tabla43[[#This Row],[SERVICIO 2025]],$J$2:$V$16,3,0)*Tabla43[[#This Row],[TOTAL COBERTURA]]+Tabla43[[#This Row],[VALOR RACION PREPARADA]]/7</f>
        <v>13398464</v>
      </c>
      <c r="AW254" s="35">
        <f>VLOOKUP(Tabla43[[#This Row],[SERVICIO 2025]],$J$2:$V$16,3,0)*Tabla43[[#This Row],[TOTAL COBERTURA]]+Tabla43[[#This Row],[VALOR RACION PREPARADA]]/7</f>
        <v>13398464</v>
      </c>
      <c r="AX254" s="35">
        <f>VLOOKUP(Tabla43[[#This Row],[SERVICIO 2025]],$J$2:$V$16,3,0)*Tabla43[[#This Row],[TOTAL COBERTURA]]+Tabla43[[#This Row],[VALOR RACION PREPARADA]]/7</f>
        <v>13398464</v>
      </c>
      <c r="AY254" s="35">
        <f>VLOOKUP(Tabla43[[#This Row],[SERVICIO 2025]],$J$2:$V$16,3,0)*Tabla43[[#This Row],[TOTAL COBERTURA]]+Tabla43[[#This Row],[VALOR RACION PREPARADA]]/7</f>
        <v>13398464</v>
      </c>
      <c r="AZ254" s="35">
        <f>VLOOKUP(Tabla43[[#This Row],[SERVICIO 2025]],$J$2:$V$16,3,0)*Tabla43[[#This Row],[TOTAL COBERTURA]]+Tabla43[[#This Row],[VALOR RACION PREPARADA]]/7+Tabla43[[#This Row],[VALOR FASE PREPARATORIA DE CIERRE]]</f>
        <v>14345343</v>
      </c>
      <c r="BA254" s="35"/>
      <c r="BB254" s="35">
        <f>SUM(Tabla43[[#This Row],[DESEMBOLSO 1]:[DESEMBOLSO 8]])</f>
        <v>97724983</v>
      </c>
      <c r="BC254" s="55">
        <f>VLOOKUP(Tabla43[[#This Row],[SERVICIO 2025]],$J$2:$V$16,10,0)*Tabla43[[#This Row],[TOTAL COBERTURA]]*$W$3</f>
        <v>0</v>
      </c>
      <c r="BD254" s="66" t="s">
        <v>145</v>
      </c>
      <c r="BE254" s="12" t="b">
        <f>EXACT(Tabla43[[#This Row],[TOTAL APORTES ICBF]],Tabla43[[#This Row],[VALOR TOTAL]])</f>
        <v>1</v>
      </c>
      <c r="BF254" s="23">
        <f>SUM(Tabla43[[#This Row],[VALOR FASE PREPARATORIA DE ALISTAMIENTO]:[VALOR RACION PREPARADA]])-Tabla43[[#This Row],[VALOR TOTAL]]</f>
        <v>0</v>
      </c>
      <c r="BG254" s="12" t="b">
        <f>EXACT(Tabla43[[#This Row],[VALOR TOTAL]],Tabla43[[#This Row],[TOTAL DESEMBOLSOS]])</f>
        <v>1</v>
      </c>
      <c r="BH254" s="29">
        <f>Tabla43[[#This Row],[TOTAL DESEMBOLSOS]]-Tabla43[[#This Row],[VALOR TOTAL]]</f>
        <v>0</v>
      </c>
      <c r="BJ254" t="s">
        <v>3896</v>
      </c>
    </row>
    <row r="255" spans="1:62" hidden="1">
      <c r="A255" s="72" t="s">
        <v>4316</v>
      </c>
      <c r="B255" s="13"/>
      <c r="C255" s="12" t="s">
        <v>87</v>
      </c>
      <c r="D255" s="12" t="s">
        <v>579</v>
      </c>
      <c r="E255" s="12" t="s">
        <v>4073</v>
      </c>
      <c r="F255" s="12" t="s">
        <v>2843</v>
      </c>
      <c r="G255" s="12" t="s">
        <v>90</v>
      </c>
      <c r="H255" s="12" t="s">
        <v>4317</v>
      </c>
      <c r="I255" s="12">
        <v>52341119078</v>
      </c>
      <c r="J255" s="12" t="s">
        <v>4318</v>
      </c>
      <c r="K255" s="12">
        <v>1</v>
      </c>
      <c r="L255" s="12">
        <v>26</v>
      </c>
      <c r="M255" s="12"/>
      <c r="N255" s="72" t="s">
        <v>4316</v>
      </c>
      <c r="O255" s="12" t="s">
        <v>3894</v>
      </c>
      <c r="P255" s="12"/>
      <c r="Q255" s="12"/>
      <c r="R255" s="12" t="s">
        <v>94</v>
      </c>
      <c r="S255" s="12">
        <v>10</v>
      </c>
      <c r="T255" s="12">
        <v>800044785</v>
      </c>
      <c r="U255" s="58" t="s">
        <v>3895</v>
      </c>
      <c r="V255" s="12">
        <f>VLOOKUP(Tabla43[[#This Row],[ZONA DEFINITIVO]],Hoja1!$A$1:$D$129,3,0)</f>
        <v>232296</v>
      </c>
      <c r="W255" s="12">
        <f>VLOOKUP(Tabla43[[#This Row],[ZONA DEFINITIVO]],Hoja1!$A$1:$D$129,2,0)</f>
        <v>18589</v>
      </c>
      <c r="X255" s="12">
        <f>VLOOKUP(Tabla43[[#This Row],[ZONA DEFINITIVO]],Hoja1!$A$1:$D$129,4,0)</f>
        <v>117325</v>
      </c>
      <c r="Y255" s="12">
        <f>+IF(Tabla43[[#This Row],[AGRUPACIONES]]=1,SUMIFS(Tabla43[UDS],Tabla43[ZONA DEFINITIVO],Tabla43[[#This Row],[ZONA DEFINITIVO]])," ")</f>
        <v>20</v>
      </c>
      <c r="Z255" s="12">
        <f>+IF(Tabla43[[#This Row],[AGRUPACIONES]]=1,SUMIFS(Tabla43[TOTAL COBERTURA],Tabla43[ZONA DEFINITIVO],Tabla43[[#This Row],[ZONA DEFINITIVO]])," ")</f>
        <v>347</v>
      </c>
      <c r="AA255" s="12"/>
      <c r="AB255" s="51">
        <v>82817488</v>
      </c>
      <c r="AC255" s="51"/>
      <c r="AD255" s="38">
        <f>Tabla43[[#This Row],[VALOR ATENCIÓN (7 MESES)]]*Tabla43[[#This Row],[% CONTRAPARTIDA]]</f>
        <v>0</v>
      </c>
      <c r="AE255" s="12"/>
      <c r="AF255" s="12">
        <f>COUNTIF($A$22:A255,A255)</f>
        <v>1</v>
      </c>
      <c r="AG255" s="51">
        <v>82817488</v>
      </c>
      <c r="AH255" s="38">
        <f>Tabla43[[#This Row],[VALOR CONTRAPARTIDA]]+Tabla43[[#This Row],[TOTAL APORTES ICBF]]</f>
        <v>82817488</v>
      </c>
      <c r="AI255" s="35">
        <f>+IF(Tabla43[[#This Row],[AGRUPACIONES]]=1,SUMIFS(Tabla43[TOTAL APORTES ICBF],Tabla43[ZONA DEFINITIVO],Tabla43[[#This Row],[ZONA DEFINITIVO]])," ")</f>
        <v>1105294936</v>
      </c>
      <c r="AJ255" s="38">
        <f>ROUND(+IF(Tabla43[[#This Row],[AGRUPACIONES]]=1,SUMIFS(Tabla43[VALOR CONTRAPARTIDA],Tabla43[ZONA DEFINITIVO],Tabla43[[#This Row],[ZONA DEFINITIVO]])," "),0)</f>
        <v>0</v>
      </c>
      <c r="AK255" s="38">
        <f>Tabla43[[#This Row],[TOTAL APORTES ICBF AGRUPADO]]+Tabla43[[#This Row],[TOTAL CONTRAPARTIDA AGRUPADO]]</f>
        <v>1105294936</v>
      </c>
      <c r="AL255" s="23">
        <f>Tabla43[[#This Row],[TOTAL APORTES ICBF AGRUPADO]]/$AL$20</f>
        <v>776.46289848963818</v>
      </c>
      <c r="AM255" s="35">
        <f>VLOOKUP(Tabla43[[#This Row],[SERVICIO 2025]],$J$2:$V$16,5,0)*Tabla43[[#This Row],[TOTAL COBERTURA]]</f>
        <v>1283776</v>
      </c>
      <c r="AN255" s="35">
        <f>VLOOKUP(Tabla43[[#This Row],[SERVICIO 2025]],$J$2:$V$16,6,0)*Tabla43[[#This Row],[TOTAL COBERTURA]]</f>
        <v>1066754</v>
      </c>
      <c r="AO255" s="35">
        <f>VLOOKUP(Tabla43[[#This Row],[SERVICIO 2025]],$J$2:$V$16,8,0)*Tabla43[[#This Row],[TOTAL COBERTURA]]</f>
        <v>756600</v>
      </c>
      <c r="AP255" s="35">
        <f>VLOOKUP(Tabla43[[#This Row],[SERVICIO 2025]],$J$2:$V$16,3,0)*Tabla43[[#This Row],[TOTAL COBERTURA]]*7</f>
        <v>79710358</v>
      </c>
      <c r="AQ255" s="35">
        <f>VLOOKUP(Tabla43[[#This Row],[SERVICIO 2025]],$J$2:$V$16,10,0)*Tabla43[[#This Row],[TOTAL COBERTURA]]*7</f>
        <v>0</v>
      </c>
      <c r="AR25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82817488</v>
      </c>
      <c r="AS255" s="35">
        <f>+IF(Tabla43[[#This Row],[AGRUPACIONES]]=1,SUMIFS(Tabla43[VALOR TOTAL],Tabla43[ZONA DEFINITIVO],Tabla43[[#This Row],[ZONA DEFINITIVO]])," ")</f>
        <v>1105294936</v>
      </c>
      <c r="AT25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13427570</v>
      </c>
      <c r="AU255" s="35">
        <f>VLOOKUP(Tabla43[[#This Row],[SERVICIO 2025]],$J$2:$V$16,3,0)*Tabla43[[#This Row],[TOTAL COBERTURA]]+Tabla43[[#This Row],[VALOR RACION PREPARADA]]/7</f>
        <v>11387194</v>
      </c>
      <c r="AV255" s="35">
        <f>VLOOKUP(Tabla43[[#This Row],[SERVICIO 2025]],$J$2:$V$16,3,0)*Tabla43[[#This Row],[TOTAL COBERTURA]]+Tabla43[[#This Row],[VALOR RACION PREPARADA]]/7</f>
        <v>11387194</v>
      </c>
      <c r="AW255" s="35">
        <f>VLOOKUP(Tabla43[[#This Row],[SERVICIO 2025]],$J$2:$V$16,3,0)*Tabla43[[#This Row],[TOTAL COBERTURA]]+Tabla43[[#This Row],[VALOR RACION PREPARADA]]/7</f>
        <v>11387194</v>
      </c>
      <c r="AX255" s="35">
        <f>VLOOKUP(Tabla43[[#This Row],[SERVICIO 2025]],$J$2:$V$16,3,0)*Tabla43[[#This Row],[TOTAL COBERTURA]]+Tabla43[[#This Row],[VALOR RACION PREPARADA]]/7</f>
        <v>11387194</v>
      </c>
      <c r="AY255" s="35">
        <f>VLOOKUP(Tabla43[[#This Row],[SERVICIO 2025]],$J$2:$V$16,3,0)*Tabla43[[#This Row],[TOTAL COBERTURA]]+Tabla43[[#This Row],[VALOR RACION PREPARADA]]/7</f>
        <v>11387194</v>
      </c>
      <c r="AZ255" s="35">
        <f>VLOOKUP(Tabla43[[#This Row],[SERVICIO 2025]],$J$2:$V$16,3,0)*Tabla43[[#This Row],[TOTAL COBERTURA]]+Tabla43[[#This Row],[VALOR RACION PREPARADA]]/7+Tabla43[[#This Row],[VALOR FASE PREPARATORIA DE CIERRE]]</f>
        <v>12453948</v>
      </c>
      <c r="BA255" s="35"/>
      <c r="BB255" s="35">
        <f>SUM(Tabla43[[#This Row],[DESEMBOLSO 1]:[DESEMBOLSO 8]])</f>
        <v>82817488</v>
      </c>
      <c r="BC255" s="55">
        <f>VLOOKUP(Tabla43[[#This Row],[SERVICIO 2025]],$J$2:$V$16,10,0)*Tabla43[[#This Row],[TOTAL COBERTURA]]*$W$3</f>
        <v>0</v>
      </c>
      <c r="BD255" s="66" t="s">
        <v>145</v>
      </c>
      <c r="BE255" s="12" t="b">
        <f>EXACT(Tabla43[[#This Row],[TOTAL APORTES ICBF]],Tabla43[[#This Row],[VALOR TOTAL]])</f>
        <v>1</v>
      </c>
      <c r="BF255" s="23">
        <f>SUM(Tabla43[[#This Row],[VALOR FASE PREPARATORIA DE ALISTAMIENTO]:[VALOR RACION PREPARADA]])-Tabla43[[#This Row],[VALOR TOTAL]]</f>
        <v>0</v>
      </c>
      <c r="BG255" s="12" t="b">
        <f>EXACT(Tabla43[[#This Row],[VALOR TOTAL]],Tabla43[[#This Row],[TOTAL DESEMBOLSOS]])</f>
        <v>1</v>
      </c>
      <c r="BH255" s="29">
        <f>Tabla43[[#This Row],[TOTAL DESEMBOLSOS]]-Tabla43[[#This Row],[VALOR TOTAL]]</f>
        <v>0</v>
      </c>
      <c r="BJ255" t="s">
        <v>3896</v>
      </c>
    </row>
    <row r="256" spans="1:62" hidden="1">
      <c r="A256" s="72" t="s">
        <v>4316</v>
      </c>
      <c r="B256" s="13"/>
      <c r="C256" s="12" t="s">
        <v>87</v>
      </c>
      <c r="D256" s="12" t="s">
        <v>579</v>
      </c>
      <c r="E256" s="12" t="s">
        <v>4073</v>
      </c>
      <c r="F256" s="12" t="s">
        <v>2843</v>
      </c>
      <c r="G256" s="12" t="s">
        <v>90</v>
      </c>
      <c r="H256" s="12" t="s">
        <v>4319</v>
      </c>
      <c r="I256" s="12">
        <v>52341119079</v>
      </c>
      <c r="J256" s="12" t="s">
        <v>4320</v>
      </c>
      <c r="K256" s="12">
        <v>1</v>
      </c>
      <c r="L256" s="12">
        <v>19</v>
      </c>
      <c r="M256" s="12"/>
      <c r="N256" s="72" t="s">
        <v>4316</v>
      </c>
      <c r="O256" s="12" t="s">
        <v>3894</v>
      </c>
      <c r="P256" s="12"/>
      <c r="Q256" s="12"/>
      <c r="R256" s="12" t="s">
        <v>94</v>
      </c>
      <c r="S256" s="12">
        <v>10</v>
      </c>
      <c r="T256" s="12">
        <v>800044785</v>
      </c>
      <c r="U256" s="58" t="s">
        <v>3895</v>
      </c>
      <c r="V256" s="12">
        <f>VLOOKUP(Tabla43[[#This Row],[ZONA DEFINITIVO]],Hoja1!$A$1:$D$129,3,0)</f>
        <v>232296</v>
      </c>
      <c r="W256" s="12">
        <f>VLOOKUP(Tabla43[[#This Row],[ZONA DEFINITIVO]],Hoja1!$A$1:$D$129,2,0)</f>
        <v>18589</v>
      </c>
      <c r="X256" s="12">
        <f>VLOOKUP(Tabla43[[#This Row],[ZONA DEFINITIVO]],Hoja1!$A$1:$D$129,4,0)</f>
        <v>117325</v>
      </c>
      <c r="Y256" s="12" t="str">
        <f>+IF(Tabla43[[#This Row],[AGRUPACIONES]]=1,SUMIFS(Tabla43[UDS],Tabla43[ZONA DEFINITIVO],Tabla43[[#This Row],[ZONA DEFINITIVO]])," ")</f>
        <v xml:space="preserve"> </v>
      </c>
      <c r="Z256" s="12" t="str">
        <f>+IF(Tabla43[[#This Row],[AGRUPACIONES]]=1,SUMIFS(Tabla43[TOTAL COBERTURA],Tabla43[ZONA DEFINITIVO],Tabla43[[#This Row],[ZONA DEFINITIVO]])," ")</f>
        <v xml:space="preserve"> </v>
      </c>
      <c r="AA256" s="12"/>
      <c r="AB256" s="51">
        <v>60520472</v>
      </c>
      <c r="AC256" s="51"/>
      <c r="AD256" s="38">
        <f>Tabla43[[#This Row],[VALOR ATENCIÓN (7 MESES)]]*Tabla43[[#This Row],[% CONTRAPARTIDA]]</f>
        <v>0</v>
      </c>
      <c r="AE256" s="12"/>
      <c r="AF256" s="12">
        <f>COUNTIF($A$22:A256,A256)</f>
        <v>2</v>
      </c>
      <c r="AG256" s="51">
        <v>60520472</v>
      </c>
      <c r="AH256" s="38">
        <f>Tabla43[[#This Row],[VALOR CONTRAPARTIDA]]+Tabla43[[#This Row],[TOTAL APORTES ICBF]]</f>
        <v>60520472</v>
      </c>
      <c r="AI256" s="35" t="str">
        <f>+IF(Tabla43[[#This Row],[AGRUPACIONES]]=1,SUMIFS(Tabla43[TOTAL APORTES ICBF],Tabla43[ZONA DEFINITIVO],Tabla43[[#This Row],[ZONA DEFINITIVO]])," ")</f>
        <v xml:space="preserve"> </v>
      </c>
      <c r="AJ256" s="38"/>
      <c r="AK256" s="38"/>
      <c r="AL256" s="23"/>
      <c r="AM256" s="35">
        <f>VLOOKUP(Tabla43[[#This Row],[SERVICIO 2025]],$J$2:$V$16,5,0)*Tabla43[[#This Row],[TOTAL COBERTURA]]</f>
        <v>938144</v>
      </c>
      <c r="AN256" s="35">
        <f>VLOOKUP(Tabla43[[#This Row],[SERVICIO 2025]],$J$2:$V$16,6,0)*Tabla43[[#This Row],[TOTAL COBERTURA]]</f>
        <v>779551</v>
      </c>
      <c r="AO256" s="35">
        <f>VLOOKUP(Tabla43[[#This Row],[SERVICIO 2025]],$J$2:$V$16,8,0)*Tabla43[[#This Row],[TOTAL COBERTURA]]</f>
        <v>552900</v>
      </c>
      <c r="AP256" s="35">
        <f>VLOOKUP(Tabla43[[#This Row],[SERVICIO 2025]],$J$2:$V$16,3,0)*Tabla43[[#This Row],[TOTAL COBERTURA]]*7</f>
        <v>58249877</v>
      </c>
      <c r="AQ256" s="35">
        <f>VLOOKUP(Tabla43[[#This Row],[SERVICIO 2025]],$J$2:$V$16,10,0)*Tabla43[[#This Row],[TOTAL COBERTURA]]*7</f>
        <v>0</v>
      </c>
      <c r="AR25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60520472</v>
      </c>
      <c r="AS256" s="35" t="str">
        <f>+IF(Tabla43[[#This Row],[AGRUPACIONES]]=1,SUMIFS(Tabla43[VALOR TOTAL],Tabla43[ZONA DEFINITIVO],Tabla43[[#This Row],[ZONA DEFINITIVO]])," ")</f>
        <v xml:space="preserve"> </v>
      </c>
      <c r="AT25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9812455</v>
      </c>
      <c r="AU256" s="35">
        <f>VLOOKUP(Tabla43[[#This Row],[SERVICIO 2025]],$J$2:$V$16,3,0)*Tabla43[[#This Row],[TOTAL COBERTURA]]+Tabla43[[#This Row],[VALOR RACION PREPARADA]]/7</f>
        <v>8321411</v>
      </c>
      <c r="AV256" s="35">
        <f>VLOOKUP(Tabla43[[#This Row],[SERVICIO 2025]],$J$2:$V$16,3,0)*Tabla43[[#This Row],[TOTAL COBERTURA]]+Tabla43[[#This Row],[VALOR RACION PREPARADA]]/7</f>
        <v>8321411</v>
      </c>
      <c r="AW256" s="35">
        <f>VLOOKUP(Tabla43[[#This Row],[SERVICIO 2025]],$J$2:$V$16,3,0)*Tabla43[[#This Row],[TOTAL COBERTURA]]+Tabla43[[#This Row],[VALOR RACION PREPARADA]]/7</f>
        <v>8321411</v>
      </c>
      <c r="AX256" s="35">
        <f>VLOOKUP(Tabla43[[#This Row],[SERVICIO 2025]],$J$2:$V$16,3,0)*Tabla43[[#This Row],[TOTAL COBERTURA]]+Tabla43[[#This Row],[VALOR RACION PREPARADA]]/7</f>
        <v>8321411</v>
      </c>
      <c r="AY256" s="35">
        <f>VLOOKUP(Tabla43[[#This Row],[SERVICIO 2025]],$J$2:$V$16,3,0)*Tabla43[[#This Row],[TOTAL COBERTURA]]+Tabla43[[#This Row],[VALOR RACION PREPARADA]]/7</f>
        <v>8321411</v>
      </c>
      <c r="AZ256" s="35">
        <f>VLOOKUP(Tabla43[[#This Row],[SERVICIO 2025]],$J$2:$V$16,3,0)*Tabla43[[#This Row],[TOTAL COBERTURA]]+Tabla43[[#This Row],[VALOR RACION PREPARADA]]/7+Tabla43[[#This Row],[VALOR FASE PREPARATORIA DE CIERRE]]</f>
        <v>9100962</v>
      </c>
      <c r="BA256" s="35"/>
      <c r="BB256" s="35">
        <f>SUM(Tabla43[[#This Row],[DESEMBOLSO 1]:[DESEMBOLSO 8]])</f>
        <v>60520472</v>
      </c>
      <c r="BC256" s="55">
        <f>VLOOKUP(Tabla43[[#This Row],[SERVICIO 2025]],$J$2:$V$16,10,0)*Tabla43[[#This Row],[TOTAL COBERTURA]]*$W$3</f>
        <v>0</v>
      </c>
      <c r="BD256" s="66" t="s">
        <v>145</v>
      </c>
      <c r="BE256" s="12" t="b">
        <f>EXACT(Tabla43[[#This Row],[TOTAL APORTES ICBF]],Tabla43[[#This Row],[VALOR TOTAL]])</f>
        <v>1</v>
      </c>
      <c r="BF256" s="23">
        <f>SUM(Tabla43[[#This Row],[VALOR FASE PREPARATORIA DE ALISTAMIENTO]:[VALOR RACION PREPARADA]])-Tabla43[[#This Row],[VALOR TOTAL]]</f>
        <v>0</v>
      </c>
      <c r="BG256" s="12" t="b">
        <f>EXACT(Tabla43[[#This Row],[VALOR TOTAL]],Tabla43[[#This Row],[TOTAL DESEMBOLSOS]])</f>
        <v>1</v>
      </c>
      <c r="BH256" s="29">
        <f>Tabla43[[#This Row],[TOTAL DESEMBOLSOS]]-Tabla43[[#This Row],[VALOR TOTAL]]</f>
        <v>0</v>
      </c>
      <c r="BJ256" t="s">
        <v>3896</v>
      </c>
    </row>
    <row r="257" spans="1:62" hidden="1">
      <c r="A257" s="72" t="s">
        <v>4316</v>
      </c>
      <c r="B257" s="13"/>
      <c r="C257" s="12" t="s">
        <v>87</v>
      </c>
      <c r="D257" s="12" t="s">
        <v>579</v>
      </c>
      <c r="E257" s="12" t="s">
        <v>4073</v>
      </c>
      <c r="F257" s="12" t="s">
        <v>2843</v>
      </c>
      <c r="G257" s="12" t="s">
        <v>90</v>
      </c>
      <c r="H257" s="12" t="s">
        <v>4321</v>
      </c>
      <c r="I257" s="12">
        <v>52341119083</v>
      </c>
      <c r="J257" s="12" t="s">
        <v>4322</v>
      </c>
      <c r="K257" s="12">
        <v>1</v>
      </c>
      <c r="L257" s="12">
        <v>22</v>
      </c>
      <c r="M257" s="12"/>
      <c r="N257" s="72" t="s">
        <v>4316</v>
      </c>
      <c r="O257" s="12" t="s">
        <v>3894</v>
      </c>
      <c r="P257" s="12"/>
      <c r="Q257" s="12"/>
      <c r="R257" s="12" t="s">
        <v>94</v>
      </c>
      <c r="S257" s="12">
        <v>10</v>
      </c>
      <c r="T257" s="12">
        <v>800044785</v>
      </c>
      <c r="U257" s="58" t="s">
        <v>3895</v>
      </c>
      <c r="V257" s="12">
        <f>VLOOKUP(Tabla43[[#This Row],[ZONA DEFINITIVO]],Hoja1!$A$1:$D$129,3,0)</f>
        <v>232296</v>
      </c>
      <c r="W257" s="12">
        <f>VLOOKUP(Tabla43[[#This Row],[ZONA DEFINITIVO]],Hoja1!$A$1:$D$129,2,0)</f>
        <v>18589</v>
      </c>
      <c r="X257" s="12">
        <f>VLOOKUP(Tabla43[[#This Row],[ZONA DEFINITIVO]],Hoja1!$A$1:$D$129,4,0)</f>
        <v>117325</v>
      </c>
      <c r="Y257" s="12" t="str">
        <f>+IF(Tabla43[[#This Row],[AGRUPACIONES]]=1,SUMIFS(Tabla43[UDS],Tabla43[ZONA DEFINITIVO],Tabla43[[#This Row],[ZONA DEFINITIVO]])," ")</f>
        <v xml:space="preserve"> </v>
      </c>
      <c r="Z257" s="12" t="str">
        <f>+IF(Tabla43[[#This Row],[AGRUPACIONES]]=1,SUMIFS(Tabla43[TOTAL COBERTURA],Tabla43[ZONA DEFINITIVO],Tabla43[[#This Row],[ZONA DEFINITIVO]])," ")</f>
        <v xml:space="preserve"> </v>
      </c>
      <c r="AA257" s="12"/>
      <c r="AB257" s="51">
        <v>70076336</v>
      </c>
      <c r="AC257" s="51"/>
      <c r="AD257" s="38">
        <f>Tabla43[[#This Row],[VALOR ATENCIÓN (7 MESES)]]*Tabla43[[#This Row],[% CONTRAPARTIDA]]</f>
        <v>0</v>
      </c>
      <c r="AE257" s="12"/>
      <c r="AF257" s="12">
        <f>COUNTIF($A$22:A257,A257)</f>
        <v>3</v>
      </c>
      <c r="AG257" s="51">
        <v>70076336</v>
      </c>
      <c r="AH257" s="38">
        <f>Tabla43[[#This Row],[VALOR CONTRAPARTIDA]]+Tabla43[[#This Row],[TOTAL APORTES ICBF]]</f>
        <v>70076336</v>
      </c>
      <c r="AI257" s="35" t="str">
        <f>+IF(Tabla43[[#This Row],[AGRUPACIONES]]=1,SUMIFS(Tabla43[TOTAL APORTES ICBF],Tabla43[ZONA DEFINITIVO],Tabla43[[#This Row],[ZONA DEFINITIVO]])," ")</f>
        <v xml:space="preserve"> </v>
      </c>
      <c r="AJ257" s="38"/>
      <c r="AK257" s="38"/>
      <c r="AL257" s="23"/>
      <c r="AM257" s="35">
        <f>VLOOKUP(Tabla43[[#This Row],[SERVICIO 2025]],$J$2:$V$16,5,0)*Tabla43[[#This Row],[TOTAL COBERTURA]]</f>
        <v>1086272</v>
      </c>
      <c r="AN257" s="35">
        <f>VLOOKUP(Tabla43[[#This Row],[SERVICIO 2025]],$J$2:$V$16,6,0)*Tabla43[[#This Row],[TOTAL COBERTURA]]</f>
        <v>902638</v>
      </c>
      <c r="AO257" s="35">
        <f>VLOOKUP(Tabla43[[#This Row],[SERVICIO 2025]],$J$2:$V$16,8,0)*Tabla43[[#This Row],[TOTAL COBERTURA]]</f>
        <v>640200</v>
      </c>
      <c r="AP257" s="35">
        <f>VLOOKUP(Tabla43[[#This Row],[SERVICIO 2025]],$J$2:$V$16,3,0)*Tabla43[[#This Row],[TOTAL COBERTURA]]*7</f>
        <v>67447226</v>
      </c>
      <c r="AQ257" s="35">
        <f>VLOOKUP(Tabla43[[#This Row],[SERVICIO 2025]],$J$2:$V$16,10,0)*Tabla43[[#This Row],[TOTAL COBERTURA]]*7</f>
        <v>0</v>
      </c>
      <c r="AR25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70076336</v>
      </c>
      <c r="AS257" s="35" t="str">
        <f>+IF(Tabla43[[#This Row],[AGRUPACIONES]]=1,SUMIFS(Tabla43[VALOR TOTAL],Tabla43[ZONA DEFINITIVO],Tabla43[[#This Row],[ZONA DEFINITIVO]])," ")</f>
        <v xml:space="preserve"> </v>
      </c>
      <c r="AT25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11361790</v>
      </c>
      <c r="AU257" s="35">
        <f>VLOOKUP(Tabla43[[#This Row],[SERVICIO 2025]],$J$2:$V$16,3,0)*Tabla43[[#This Row],[TOTAL COBERTURA]]+Tabla43[[#This Row],[VALOR RACION PREPARADA]]/7</f>
        <v>9635318</v>
      </c>
      <c r="AV257" s="35">
        <f>VLOOKUP(Tabla43[[#This Row],[SERVICIO 2025]],$J$2:$V$16,3,0)*Tabla43[[#This Row],[TOTAL COBERTURA]]+Tabla43[[#This Row],[VALOR RACION PREPARADA]]/7</f>
        <v>9635318</v>
      </c>
      <c r="AW257" s="35">
        <f>VLOOKUP(Tabla43[[#This Row],[SERVICIO 2025]],$J$2:$V$16,3,0)*Tabla43[[#This Row],[TOTAL COBERTURA]]+Tabla43[[#This Row],[VALOR RACION PREPARADA]]/7</f>
        <v>9635318</v>
      </c>
      <c r="AX257" s="35">
        <f>VLOOKUP(Tabla43[[#This Row],[SERVICIO 2025]],$J$2:$V$16,3,0)*Tabla43[[#This Row],[TOTAL COBERTURA]]+Tabla43[[#This Row],[VALOR RACION PREPARADA]]/7</f>
        <v>9635318</v>
      </c>
      <c r="AY257" s="35">
        <f>VLOOKUP(Tabla43[[#This Row],[SERVICIO 2025]],$J$2:$V$16,3,0)*Tabla43[[#This Row],[TOTAL COBERTURA]]+Tabla43[[#This Row],[VALOR RACION PREPARADA]]/7</f>
        <v>9635318</v>
      </c>
      <c r="AZ257" s="35">
        <f>VLOOKUP(Tabla43[[#This Row],[SERVICIO 2025]],$J$2:$V$16,3,0)*Tabla43[[#This Row],[TOTAL COBERTURA]]+Tabla43[[#This Row],[VALOR RACION PREPARADA]]/7+Tabla43[[#This Row],[VALOR FASE PREPARATORIA DE CIERRE]]</f>
        <v>10537956</v>
      </c>
      <c r="BA257" s="35"/>
      <c r="BB257" s="35">
        <f>SUM(Tabla43[[#This Row],[DESEMBOLSO 1]:[DESEMBOLSO 8]])</f>
        <v>70076336</v>
      </c>
      <c r="BC257" s="55">
        <f>VLOOKUP(Tabla43[[#This Row],[SERVICIO 2025]],$J$2:$V$16,10,0)*Tabla43[[#This Row],[TOTAL COBERTURA]]*$W$3</f>
        <v>0</v>
      </c>
      <c r="BD257" s="66" t="s">
        <v>145</v>
      </c>
      <c r="BE257" s="12" t="b">
        <f>EXACT(Tabla43[[#This Row],[TOTAL APORTES ICBF]],Tabla43[[#This Row],[VALOR TOTAL]])</f>
        <v>1</v>
      </c>
      <c r="BF257" s="23">
        <f>SUM(Tabla43[[#This Row],[VALOR FASE PREPARATORIA DE ALISTAMIENTO]:[VALOR RACION PREPARADA]])-Tabla43[[#This Row],[VALOR TOTAL]]</f>
        <v>0</v>
      </c>
      <c r="BG257" s="12" t="b">
        <f>EXACT(Tabla43[[#This Row],[VALOR TOTAL]],Tabla43[[#This Row],[TOTAL DESEMBOLSOS]])</f>
        <v>1</v>
      </c>
      <c r="BH257" s="29">
        <f>Tabla43[[#This Row],[TOTAL DESEMBOLSOS]]-Tabla43[[#This Row],[VALOR TOTAL]]</f>
        <v>0</v>
      </c>
      <c r="BJ257" t="s">
        <v>3896</v>
      </c>
    </row>
    <row r="258" spans="1:62" hidden="1">
      <c r="A258" s="72" t="s">
        <v>4316</v>
      </c>
      <c r="B258" s="13"/>
      <c r="C258" s="12" t="s">
        <v>87</v>
      </c>
      <c r="D258" s="12" t="s">
        <v>579</v>
      </c>
      <c r="E258" s="12" t="s">
        <v>4073</v>
      </c>
      <c r="F258" s="12" t="s">
        <v>2843</v>
      </c>
      <c r="G258" s="12" t="s">
        <v>90</v>
      </c>
      <c r="H258" s="12" t="s">
        <v>4323</v>
      </c>
      <c r="I258" s="12">
        <v>52341119108</v>
      </c>
      <c r="J258" s="12" t="s">
        <v>4324</v>
      </c>
      <c r="K258" s="12">
        <v>1</v>
      </c>
      <c r="L258" s="12">
        <v>21</v>
      </c>
      <c r="M258" s="12"/>
      <c r="N258" s="72" t="s">
        <v>4316</v>
      </c>
      <c r="O258" s="12" t="s">
        <v>3894</v>
      </c>
      <c r="P258" s="12"/>
      <c r="Q258" s="12"/>
      <c r="R258" s="12" t="s">
        <v>94</v>
      </c>
      <c r="S258" s="12">
        <v>10</v>
      </c>
      <c r="T258" s="12">
        <v>800044785</v>
      </c>
      <c r="U258" s="58" t="s">
        <v>3895</v>
      </c>
      <c r="V258" s="12">
        <f>VLOOKUP(Tabla43[[#This Row],[ZONA DEFINITIVO]],Hoja1!$A$1:$D$129,3,0)</f>
        <v>232296</v>
      </c>
      <c r="W258" s="12">
        <f>VLOOKUP(Tabla43[[#This Row],[ZONA DEFINITIVO]],Hoja1!$A$1:$D$129,2,0)</f>
        <v>18589</v>
      </c>
      <c r="X258" s="12">
        <f>VLOOKUP(Tabla43[[#This Row],[ZONA DEFINITIVO]],Hoja1!$A$1:$D$129,4,0)</f>
        <v>117325</v>
      </c>
      <c r="Y258" s="12" t="str">
        <f>+IF(Tabla43[[#This Row],[AGRUPACIONES]]=1,SUMIFS(Tabla43[UDS],Tabla43[ZONA DEFINITIVO],Tabla43[[#This Row],[ZONA DEFINITIVO]])," ")</f>
        <v xml:space="preserve"> </v>
      </c>
      <c r="Z258" s="12" t="str">
        <f>+IF(Tabla43[[#This Row],[AGRUPACIONES]]=1,SUMIFS(Tabla43[TOTAL COBERTURA],Tabla43[ZONA DEFINITIVO],Tabla43[[#This Row],[ZONA DEFINITIVO]])," ")</f>
        <v xml:space="preserve"> </v>
      </c>
      <c r="AA258" s="12"/>
      <c r="AB258" s="51">
        <v>66891048</v>
      </c>
      <c r="AC258" s="51"/>
      <c r="AD258" s="38">
        <f>Tabla43[[#This Row],[VALOR ATENCIÓN (7 MESES)]]*Tabla43[[#This Row],[% CONTRAPARTIDA]]</f>
        <v>0</v>
      </c>
      <c r="AE258" s="12"/>
      <c r="AF258" s="12">
        <f>COUNTIF($A$22:A258,A258)</f>
        <v>4</v>
      </c>
      <c r="AG258" s="51">
        <v>66891048</v>
      </c>
      <c r="AH258" s="38">
        <f>Tabla43[[#This Row],[VALOR CONTRAPARTIDA]]+Tabla43[[#This Row],[TOTAL APORTES ICBF]]</f>
        <v>66891048</v>
      </c>
      <c r="AI258" s="35" t="str">
        <f>+IF(Tabla43[[#This Row],[AGRUPACIONES]]=1,SUMIFS(Tabla43[TOTAL APORTES ICBF],Tabla43[ZONA DEFINITIVO],Tabla43[[#This Row],[ZONA DEFINITIVO]])," ")</f>
        <v xml:space="preserve"> </v>
      </c>
      <c r="AJ258" s="38"/>
      <c r="AK258" s="38"/>
      <c r="AL258" s="23"/>
      <c r="AM258" s="35">
        <f>VLOOKUP(Tabla43[[#This Row],[SERVICIO 2025]],$J$2:$V$16,5,0)*Tabla43[[#This Row],[TOTAL COBERTURA]]</f>
        <v>1036896</v>
      </c>
      <c r="AN258" s="35">
        <f>VLOOKUP(Tabla43[[#This Row],[SERVICIO 2025]],$J$2:$V$16,6,0)*Tabla43[[#This Row],[TOTAL COBERTURA]]</f>
        <v>861609</v>
      </c>
      <c r="AO258" s="35">
        <f>VLOOKUP(Tabla43[[#This Row],[SERVICIO 2025]],$J$2:$V$16,8,0)*Tabla43[[#This Row],[TOTAL COBERTURA]]</f>
        <v>611100</v>
      </c>
      <c r="AP258" s="35">
        <f>VLOOKUP(Tabla43[[#This Row],[SERVICIO 2025]],$J$2:$V$16,3,0)*Tabla43[[#This Row],[TOTAL COBERTURA]]*7</f>
        <v>64381443</v>
      </c>
      <c r="AQ258" s="35">
        <f>VLOOKUP(Tabla43[[#This Row],[SERVICIO 2025]],$J$2:$V$16,10,0)*Tabla43[[#This Row],[TOTAL COBERTURA]]*7</f>
        <v>0</v>
      </c>
      <c r="AR25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66891048</v>
      </c>
      <c r="AS258" s="35" t="str">
        <f>+IF(Tabla43[[#This Row],[AGRUPACIONES]]=1,SUMIFS(Tabla43[VALOR TOTAL],Tabla43[ZONA DEFINITIVO],Tabla43[[#This Row],[ZONA DEFINITIVO]])," ")</f>
        <v xml:space="preserve"> </v>
      </c>
      <c r="AT25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10845345</v>
      </c>
      <c r="AU258" s="35">
        <f>VLOOKUP(Tabla43[[#This Row],[SERVICIO 2025]],$J$2:$V$16,3,0)*Tabla43[[#This Row],[TOTAL COBERTURA]]+Tabla43[[#This Row],[VALOR RACION PREPARADA]]/7</f>
        <v>9197349</v>
      </c>
      <c r="AV258" s="35">
        <f>VLOOKUP(Tabla43[[#This Row],[SERVICIO 2025]],$J$2:$V$16,3,0)*Tabla43[[#This Row],[TOTAL COBERTURA]]+Tabla43[[#This Row],[VALOR RACION PREPARADA]]/7</f>
        <v>9197349</v>
      </c>
      <c r="AW258" s="35">
        <f>VLOOKUP(Tabla43[[#This Row],[SERVICIO 2025]],$J$2:$V$16,3,0)*Tabla43[[#This Row],[TOTAL COBERTURA]]+Tabla43[[#This Row],[VALOR RACION PREPARADA]]/7</f>
        <v>9197349</v>
      </c>
      <c r="AX258" s="35">
        <f>VLOOKUP(Tabla43[[#This Row],[SERVICIO 2025]],$J$2:$V$16,3,0)*Tabla43[[#This Row],[TOTAL COBERTURA]]+Tabla43[[#This Row],[VALOR RACION PREPARADA]]/7</f>
        <v>9197349</v>
      </c>
      <c r="AY258" s="35">
        <f>VLOOKUP(Tabla43[[#This Row],[SERVICIO 2025]],$J$2:$V$16,3,0)*Tabla43[[#This Row],[TOTAL COBERTURA]]+Tabla43[[#This Row],[VALOR RACION PREPARADA]]/7</f>
        <v>9197349</v>
      </c>
      <c r="AZ258" s="35">
        <f>VLOOKUP(Tabla43[[#This Row],[SERVICIO 2025]],$J$2:$V$16,3,0)*Tabla43[[#This Row],[TOTAL COBERTURA]]+Tabla43[[#This Row],[VALOR RACION PREPARADA]]/7+Tabla43[[#This Row],[VALOR FASE PREPARATORIA DE CIERRE]]</f>
        <v>10058958</v>
      </c>
      <c r="BA258" s="35"/>
      <c r="BB258" s="35">
        <f>SUM(Tabla43[[#This Row],[DESEMBOLSO 1]:[DESEMBOLSO 8]])</f>
        <v>66891048</v>
      </c>
      <c r="BC258" s="55">
        <f>VLOOKUP(Tabla43[[#This Row],[SERVICIO 2025]],$J$2:$V$16,10,0)*Tabla43[[#This Row],[TOTAL COBERTURA]]*$W$3</f>
        <v>0</v>
      </c>
      <c r="BD258" s="66" t="s">
        <v>145</v>
      </c>
      <c r="BE258" s="12" t="b">
        <f>EXACT(Tabla43[[#This Row],[TOTAL APORTES ICBF]],Tabla43[[#This Row],[VALOR TOTAL]])</f>
        <v>1</v>
      </c>
      <c r="BF258" s="23">
        <f>SUM(Tabla43[[#This Row],[VALOR FASE PREPARATORIA DE ALISTAMIENTO]:[VALOR RACION PREPARADA]])-Tabla43[[#This Row],[VALOR TOTAL]]</f>
        <v>0</v>
      </c>
      <c r="BG258" s="12" t="b">
        <f>EXACT(Tabla43[[#This Row],[VALOR TOTAL]],Tabla43[[#This Row],[TOTAL DESEMBOLSOS]])</f>
        <v>1</v>
      </c>
      <c r="BH258" s="29">
        <f>Tabla43[[#This Row],[TOTAL DESEMBOLSOS]]-Tabla43[[#This Row],[VALOR TOTAL]]</f>
        <v>0</v>
      </c>
      <c r="BJ258" t="s">
        <v>3896</v>
      </c>
    </row>
    <row r="259" spans="1:62" hidden="1">
      <c r="A259" s="72" t="s">
        <v>4316</v>
      </c>
      <c r="B259" s="13"/>
      <c r="C259" s="12" t="s">
        <v>87</v>
      </c>
      <c r="D259" s="12" t="s">
        <v>579</v>
      </c>
      <c r="E259" s="12" t="s">
        <v>4073</v>
      </c>
      <c r="F259" s="12" t="s">
        <v>2843</v>
      </c>
      <c r="G259" s="12" t="s">
        <v>90</v>
      </c>
      <c r="H259" s="12" t="s">
        <v>4325</v>
      </c>
      <c r="I259" s="12">
        <v>52341134917</v>
      </c>
      <c r="J259" s="12" t="s">
        <v>4326</v>
      </c>
      <c r="K259" s="12">
        <v>1</v>
      </c>
      <c r="L259" s="12">
        <v>14</v>
      </c>
      <c r="M259" s="12"/>
      <c r="N259" s="72" t="s">
        <v>4316</v>
      </c>
      <c r="O259" s="12" t="s">
        <v>3894</v>
      </c>
      <c r="P259" s="12"/>
      <c r="Q259" s="12"/>
      <c r="R259" s="12" t="s">
        <v>94</v>
      </c>
      <c r="S259" s="12">
        <v>10</v>
      </c>
      <c r="T259" s="12">
        <v>800044785</v>
      </c>
      <c r="U259" s="58" t="s">
        <v>3895</v>
      </c>
      <c r="V259" s="12">
        <f>VLOOKUP(Tabla43[[#This Row],[ZONA DEFINITIVO]],Hoja1!$A$1:$D$129,3,0)</f>
        <v>232296</v>
      </c>
      <c r="W259" s="12">
        <f>VLOOKUP(Tabla43[[#This Row],[ZONA DEFINITIVO]],Hoja1!$A$1:$D$129,2,0)</f>
        <v>18589</v>
      </c>
      <c r="X259" s="12">
        <f>VLOOKUP(Tabla43[[#This Row],[ZONA DEFINITIVO]],Hoja1!$A$1:$D$129,4,0)</f>
        <v>117325</v>
      </c>
      <c r="Y259" s="12" t="str">
        <f>+IF(Tabla43[[#This Row],[AGRUPACIONES]]=1,SUMIFS(Tabla43[UDS],Tabla43[ZONA DEFINITIVO],Tabla43[[#This Row],[ZONA DEFINITIVO]])," ")</f>
        <v xml:space="preserve"> </v>
      </c>
      <c r="Z259" s="12" t="str">
        <f>+IF(Tabla43[[#This Row],[AGRUPACIONES]]=1,SUMIFS(Tabla43[TOTAL COBERTURA],Tabla43[ZONA DEFINITIVO],Tabla43[[#This Row],[ZONA DEFINITIVO]])," ")</f>
        <v xml:space="preserve"> </v>
      </c>
      <c r="AA259" s="12"/>
      <c r="AB259" s="51">
        <v>44594032</v>
      </c>
      <c r="AC259" s="51"/>
      <c r="AD259" s="38">
        <f>Tabla43[[#This Row],[VALOR ATENCIÓN (7 MESES)]]*Tabla43[[#This Row],[% CONTRAPARTIDA]]</f>
        <v>0</v>
      </c>
      <c r="AE259" s="12"/>
      <c r="AF259" s="12">
        <f>COUNTIF($A$22:A259,A259)</f>
        <v>5</v>
      </c>
      <c r="AG259" s="51">
        <v>44594032</v>
      </c>
      <c r="AH259" s="38">
        <f>Tabla43[[#This Row],[VALOR CONTRAPARTIDA]]+Tabla43[[#This Row],[TOTAL APORTES ICBF]]</f>
        <v>44594032</v>
      </c>
      <c r="AI259" s="35" t="str">
        <f>+IF(Tabla43[[#This Row],[AGRUPACIONES]]=1,SUMIFS(Tabla43[TOTAL APORTES ICBF],Tabla43[ZONA DEFINITIVO],Tabla43[[#This Row],[ZONA DEFINITIVO]])," ")</f>
        <v xml:space="preserve"> </v>
      </c>
      <c r="AJ259" s="38"/>
      <c r="AK259" s="38"/>
      <c r="AL259" s="23"/>
      <c r="AM259" s="35">
        <f>VLOOKUP(Tabla43[[#This Row],[SERVICIO 2025]],$J$2:$V$16,5,0)*Tabla43[[#This Row],[TOTAL COBERTURA]]</f>
        <v>691264</v>
      </c>
      <c r="AN259" s="35">
        <f>VLOOKUP(Tabla43[[#This Row],[SERVICIO 2025]],$J$2:$V$16,6,0)*Tabla43[[#This Row],[TOTAL COBERTURA]]</f>
        <v>574406</v>
      </c>
      <c r="AO259" s="35">
        <f>VLOOKUP(Tabla43[[#This Row],[SERVICIO 2025]],$J$2:$V$16,8,0)*Tabla43[[#This Row],[TOTAL COBERTURA]]</f>
        <v>407400</v>
      </c>
      <c r="AP259" s="35">
        <f>VLOOKUP(Tabla43[[#This Row],[SERVICIO 2025]],$J$2:$V$16,3,0)*Tabla43[[#This Row],[TOTAL COBERTURA]]*7</f>
        <v>42920962</v>
      </c>
      <c r="AQ259" s="35">
        <f>VLOOKUP(Tabla43[[#This Row],[SERVICIO 2025]],$J$2:$V$16,10,0)*Tabla43[[#This Row],[TOTAL COBERTURA]]*7</f>
        <v>0</v>
      </c>
      <c r="AR25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44594032</v>
      </c>
      <c r="AS259" s="35" t="str">
        <f>+IF(Tabla43[[#This Row],[AGRUPACIONES]]=1,SUMIFS(Tabla43[VALOR TOTAL],Tabla43[ZONA DEFINITIVO],Tabla43[[#This Row],[ZONA DEFINITIVO]])," ")</f>
        <v xml:space="preserve"> </v>
      </c>
      <c r="AT25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7230230</v>
      </c>
      <c r="AU259" s="35">
        <f>VLOOKUP(Tabla43[[#This Row],[SERVICIO 2025]],$J$2:$V$16,3,0)*Tabla43[[#This Row],[TOTAL COBERTURA]]+Tabla43[[#This Row],[VALOR RACION PREPARADA]]/7</f>
        <v>6131566</v>
      </c>
      <c r="AV259" s="35">
        <f>VLOOKUP(Tabla43[[#This Row],[SERVICIO 2025]],$J$2:$V$16,3,0)*Tabla43[[#This Row],[TOTAL COBERTURA]]+Tabla43[[#This Row],[VALOR RACION PREPARADA]]/7</f>
        <v>6131566</v>
      </c>
      <c r="AW259" s="35">
        <f>VLOOKUP(Tabla43[[#This Row],[SERVICIO 2025]],$J$2:$V$16,3,0)*Tabla43[[#This Row],[TOTAL COBERTURA]]+Tabla43[[#This Row],[VALOR RACION PREPARADA]]/7</f>
        <v>6131566</v>
      </c>
      <c r="AX259" s="35">
        <f>VLOOKUP(Tabla43[[#This Row],[SERVICIO 2025]],$J$2:$V$16,3,0)*Tabla43[[#This Row],[TOTAL COBERTURA]]+Tabla43[[#This Row],[VALOR RACION PREPARADA]]/7</f>
        <v>6131566</v>
      </c>
      <c r="AY259" s="35">
        <f>VLOOKUP(Tabla43[[#This Row],[SERVICIO 2025]],$J$2:$V$16,3,0)*Tabla43[[#This Row],[TOTAL COBERTURA]]+Tabla43[[#This Row],[VALOR RACION PREPARADA]]/7</f>
        <v>6131566</v>
      </c>
      <c r="AZ259" s="35">
        <f>VLOOKUP(Tabla43[[#This Row],[SERVICIO 2025]],$J$2:$V$16,3,0)*Tabla43[[#This Row],[TOTAL COBERTURA]]+Tabla43[[#This Row],[VALOR RACION PREPARADA]]/7+Tabla43[[#This Row],[VALOR FASE PREPARATORIA DE CIERRE]]</f>
        <v>6705972</v>
      </c>
      <c r="BA259" s="35"/>
      <c r="BB259" s="35">
        <f>SUM(Tabla43[[#This Row],[DESEMBOLSO 1]:[DESEMBOLSO 8]])</f>
        <v>44594032</v>
      </c>
      <c r="BC259" s="55">
        <f>VLOOKUP(Tabla43[[#This Row],[SERVICIO 2025]],$J$2:$V$16,10,0)*Tabla43[[#This Row],[TOTAL COBERTURA]]*$W$3</f>
        <v>0</v>
      </c>
      <c r="BD259" s="66" t="s">
        <v>145</v>
      </c>
      <c r="BE259" s="12" t="b">
        <f>EXACT(Tabla43[[#This Row],[TOTAL APORTES ICBF]],Tabla43[[#This Row],[VALOR TOTAL]])</f>
        <v>1</v>
      </c>
      <c r="BF259" s="23">
        <f>SUM(Tabla43[[#This Row],[VALOR FASE PREPARATORIA DE ALISTAMIENTO]:[VALOR RACION PREPARADA]])-Tabla43[[#This Row],[VALOR TOTAL]]</f>
        <v>0</v>
      </c>
      <c r="BG259" s="12" t="b">
        <f>EXACT(Tabla43[[#This Row],[VALOR TOTAL]],Tabla43[[#This Row],[TOTAL DESEMBOLSOS]])</f>
        <v>1</v>
      </c>
      <c r="BH259" s="29">
        <f>Tabla43[[#This Row],[TOTAL DESEMBOLSOS]]-Tabla43[[#This Row],[VALOR TOTAL]]</f>
        <v>0</v>
      </c>
      <c r="BJ259" t="s">
        <v>3896</v>
      </c>
    </row>
    <row r="260" spans="1:62" hidden="1">
      <c r="A260" s="72" t="s">
        <v>4316</v>
      </c>
      <c r="B260" s="13"/>
      <c r="C260" s="12" t="s">
        <v>87</v>
      </c>
      <c r="D260" s="12" t="s">
        <v>579</v>
      </c>
      <c r="E260" s="12" t="s">
        <v>4073</v>
      </c>
      <c r="F260" s="12" t="s">
        <v>2843</v>
      </c>
      <c r="G260" s="12" t="s">
        <v>90</v>
      </c>
      <c r="H260" s="12" t="s">
        <v>4327</v>
      </c>
      <c r="I260" s="12">
        <v>52341134918</v>
      </c>
      <c r="J260" s="12" t="s">
        <v>4328</v>
      </c>
      <c r="K260" s="12">
        <v>1</v>
      </c>
      <c r="L260" s="12">
        <v>12</v>
      </c>
      <c r="M260" s="12"/>
      <c r="N260" s="72" t="s">
        <v>4316</v>
      </c>
      <c r="O260" s="12" t="s">
        <v>3894</v>
      </c>
      <c r="P260" s="12"/>
      <c r="Q260" s="12"/>
      <c r="R260" s="12" t="s">
        <v>94</v>
      </c>
      <c r="S260" s="12">
        <v>10</v>
      </c>
      <c r="T260" s="12">
        <v>800044785</v>
      </c>
      <c r="U260" s="58" t="s">
        <v>3895</v>
      </c>
      <c r="V260" s="12">
        <f>VLOOKUP(Tabla43[[#This Row],[ZONA DEFINITIVO]],Hoja1!$A$1:$D$129,3,0)</f>
        <v>232296</v>
      </c>
      <c r="W260" s="12">
        <f>VLOOKUP(Tabla43[[#This Row],[ZONA DEFINITIVO]],Hoja1!$A$1:$D$129,2,0)</f>
        <v>18589</v>
      </c>
      <c r="X260" s="12">
        <f>VLOOKUP(Tabla43[[#This Row],[ZONA DEFINITIVO]],Hoja1!$A$1:$D$129,4,0)</f>
        <v>117325</v>
      </c>
      <c r="Y260" s="12" t="str">
        <f>+IF(Tabla43[[#This Row],[AGRUPACIONES]]=1,SUMIFS(Tabla43[UDS],Tabla43[ZONA DEFINITIVO],Tabla43[[#This Row],[ZONA DEFINITIVO]])," ")</f>
        <v xml:space="preserve"> </v>
      </c>
      <c r="Z260" s="12" t="str">
        <f>+IF(Tabla43[[#This Row],[AGRUPACIONES]]=1,SUMIFS(Tabla43[TOTAL COBERTURA],Tabla43[ZONA DEFINITIVO],Tabla43[[#This Row],[ZONA DEFINITIVO]])," ")</f>
        <v xml:space="preserve"> </v>
      </c>
      <c r="AA260" s="12"/>
      <c r="AB260" s="51">
        <v>38223456</v>
      </c>
      <c r="AC260" s="51"/>
      <c r="AD260" s="38">
        <f>Tabla43[[#This Row],[VALOR ATENCIÓN (7 MESES)]]*Tabla43[[#This Row],[% CONTRAPARTIDA]]</f>
        <v>0</v>
      </c>
      <c r="AE260" s="12"/>
      <c r="AF260" s="12">
        <f>COUNTIF($A$22:A260,A260)</f>
        <v>6</v>
      </c>
      <c r="AG260" s="51">
        <v>38223456</v>
      </c>
      <c r="AH260" s="38">
        <f>Tabla43[[#This Row],[VALOR CONTRAPARTIDA]]+Tabla43[[#This Row],[TOTAL APORTES ICBF]]</f>
        <v>38223456</v>
      </c>
      <c r="AI260" s="35" t="str">
        <f>+IF(Tabla43[[#This Row],[AGRUPACIONES]]=1,SUMIFS(Tabla43[TOTAL APORTES ICBF],Tabla43[ZONA DEFINITIVO],Tabla43[[#This Row],[ZONA DEFINITIVO]])," ")</f>
        <v xml:space="preserve"> </v>
      </c>
      <c r="AJ260" s="38"/>
      <c r="AK260" s="38"/>
      <c r="AL260" s="23"/>
      <c r="AM260" s="35">
        <f>VLOOKUP(Tabla43[[#This Row],[SERVICIO 2025]],$J$2:$V$16,5,0)*Tabla43[[#This Row],[TOTAL COBERTURA]]</f>
        <v>592512</v>
      </c>
      <c r="AN260" s="35">
        <f>VLOOKUP(Tabla43[[#This Row],[SERVICIO 2025]],$J$2:$V$16,6,0)*Tabla43[[#This Row],[TOTAL COBERTURA]]</f>
        <v>492348</v>
      </c>
      <c r="AO260" s="35">
        <f>VLOOKUP(Tabla43[[#This Row],[SERVICIO 2025]],$J$2:$V$16,8,0)*Tabla43[[#This Row],[TOTAL COBERTURA]]</f>
        <v>349200</v>
      </c>
      <c r="AP260" s="35">
        <f>VLOOKUP(Tabla43[[#This Row],[SERVICIO 2025]],$J$2:$V$16,3,0)*Tabla43[[#This Row],[TOTAL COBERTURA]]*7</f>
        <v>36789396</v>
      </c>
      <c r="AQ260" s="35">
        <f>VLOOKUP(Tabla43[[#This Row],[SERVICIO 2025]],$J$2:$V$16,10,0)*Tabla43[[#This Row],[TOTAL COBERTURA]]*7</f>
        <v>0</v>
      </c>
      <c r="AR26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38223456</v>
      </c>
      <c r="AS260" s="35" t="str">
        <f>+IF(Tabla43[[#This Row],[AGRUPACIONES]]=1,SUMIFS(Tabla43[VALOR TOTAL],Tabla43[ZONA DEFINITIVO],Tabla43[[#This Row],[ZONA DEFINITIVO]])," ")</f>
        <v xml:space="preserve"> </v>
      </c>
      <c r="AT26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6197340</v>
      </c>
      <c r="AU260" s="35">
        <f>VLOOKUP(Tabla43[[#This Row],[SERVICIO 2025]],$J$2:$V$16,3,0)*Tabla43[[#This Row],[TOTAL COBERTURA]]+Tabla43[[#This Row],[VALOR RACION PREPARADA]]/7</f>
        <v>5255628</v>
      </c>
      <c r="AV260" s="35">
        <f>VLOOKUP(Tabla43[[#This Row],[SERVICIO 2025]],$J$2:$V$16,3,0)*Tabla43[[#This Row],[TOTAL COBERTURA]]+Tabla43[[#This Row],[VALOR RACION PREPARADA]]/7</f>
        <v>5255628</v>
      </c>
      <c r="AW260" s="35">
        <f>VLOOKUP(Tabla43[[#This Row],[SERVICIO 2025]],$J$2:$V$16,3,0)*Tabla43[[#This Row],[TOTAL COBERTURA]]+Tabla43[[#This Row],[VALOR RACION PREPARADA]]/7</f>
        <v>5255628</v>
      </c>
      <c r="AX260" s="35">
        <f>VLOOKUP(Tabla43[[#This Row],[SERVICIO 2025]],$J$2:$V$16,3,0)*Tabla43[[#This Row],[TOTAL COBERTURA]]+Tabla43[[#This Row],[VALOR RACION PREPARADA]]/7</f>
        <v>5255628</v>
      </c>
      <c r="AY260" s="35">
        <f>VLOOKUP(Tabla43[[#This Row],[SERVICIO 2025]],$J$2:$V$16,3,0)*Tabla43[[#This Row],[TOTAL COBERTURA]]+Tabla43[[#This Row],[VALOR RACION PREPARADA]]/7</f>
        <v>5255628</v>
      </c>
      <c r="AZ260" s="35">
        <f>VLOOKUP(Tabla43[[#This Row],[SERVICIO 2025]],$J$2:$V$16,3,0)*Tabla43[[#This Row],[TOTAL COBERTURA]]+Tabla43[[#This Row],[VALOR RACION PREPARADA]]/7+Tabla43[[#This Row],[VALOR FASE PREPARATORIA DE CIERRE]]</f>
        <v>5747976</v>
      </c>
      <c r="BA260" s="35"/>
      <c r="BB260" s="35">
        <f>SUM(Tabla43[[#This Row],[DESEMBOLSO 1]:[DESEMBOLSO 8]])</f>
        <v>38223456</v>
      </c>
      <c r="BC260" s="55">
        <f>VLOOKUP(Tabla43[[#This Row],[SERVICIO 2025]],$J$2:$V$16,10,0)*Tabla43[[#This Row],[TOTAL COBERTURA]]*$W$3</f>
        <v>0</v>
      </c>
      <c r="BD260" s="66" t="s">
        <v>145</v>
      </c>
      <c r="BE260" s="12" t="b">
        <f>EXACT(Tabla43[[#This Row],[TOTAL APORTES ICBF]],Tabla43[[#This Row],[VALOR TOTAL]])</f>
        <v>1</v>
      </c>
      <c r="BF260" s="23">
        <f>SUM(Tabla43[[#This Row],[VALOR FASE PREPARATORIA DE ALISTAMIENTO]:[VALOR RACION PREPARADA]])-Tabla43[[#This Row],[VALOR TOTAL]]</f>
        <v>0</v>
      </c>
      <c r="BG260" s="12" t="b">
        <f>EXACT(Tabla43[[#This Row],[VALOR TOTAL]],Tabla43[[#This Row],[TOTAL DESEMBOLSOS]])</f>
        <v>1</v>
      </c>
      <c r="BH260" s="29">
        <f>Tabla43[[#This Row],[TOTAL DESEMBOLSOS]]-Tabla43[[#This Row],[VALOR TOTAL]]</f>
        <v>0</v>
      </c>
      <c r="BJ260" t="s">
        <v>3896</v>
      </c>
    </row>
    <row r="261" spans="1:62" hidden="1">
      <c r="A261" s="72" t="s">
        <v>4316</v>
      </c>
      <c r="B261" s="13"/>
      <c r="C261" s="12" t="s">
        <v>87</v>
      </c>
      <c r="D261" s="12" t="s">
        <v>579</v>
      </c>
      <c r="E261" s="12" t="s">
        <v>4073</v>
      </c>
      <c r="F261" s="12" t="s">
        <v>2843</v>
      </c>
      <c r="G261" s="12" t="s">
        <v>90</v>
      </c>
      <c r="H261" s="12" t="s">
        <v>4329</v>
      </c>
      <c r="I261" s="12">
        <v>52341134921</v>
      </c>
      <c r="J261" s="12" t="s">
        <v>4330</v>
      </c>
      <c r="K261" s="12">
        <v>1</v>
      </c>
      <c r="L261" s="12">
        <v>17</v>
      </c>
      <c r="M261" s="12"/>
      <c r="N261" s="72" t="s">
        <v>4316</v>
      </c>
      <c r="O261" s="12" t="s">
        <v>3894</v>
      </c>
      <c r="P261" s="12"/>
      <c r="Q261" s="12"/>
      <c r="R261" s="12" t="s">
        <v>94</v>
      </c>
      <c r="S261" s="12">
        <v>10</v>
      </c>
      <c r="T261" s="12">
        <v>800044785</v>
      </c>
      <c r="U261" s="58" t="s">
        <v>3895</v>
      </c>
      <c r="V261" s="12">
        <f>VLOOKUP(Tabla43[[#This Row],[ZONA DEFINITIVO]],Hoja1!$A$1:$D$129,3,0)</f>
        <v>232296</v>
      </c>
      <c r="W261" s="12">
        <f>VLOOKUP(Tabla43[[#This Row],[ZONA DEFINITIVO]],Hoja1!$A$1:$D$129,2,0)</f>
        <v>18589</v>
      </c>
      <c r="X261" s="12">
        <f>VLOOKUP(Tabla43[[#This Row],[ZONA DEFINITIVO]],Hoja1!$A$1:$D$129,4,0)</f>
        <v>117325</v>
      </c>
      <c r="Y261" s="12" t="str">
        <f>+IF(Tabla43[[#This Row],[AGRUPACIONES]]=1,SUMIFS(Tabla43[UDS],Tabla43[ZONA DEFINITIVO],Tabla43[[#This Row],[ZONA DEFINITIVO]])," ")</f>
        <v xml:space="preserve"> </v>
      </c>
      <c r="Z261" s="12" t="str">
        <f>+IF(Tabla43[[#This Row],[AGRUPACIONES]]=1,SUMIFS(Tabla43[TOTAL COBERTURA],Tabla43[ZONA DEFINITIVO],Tabla43[[#This Row],[ZONA DEFINITIVO]])," ")</f>
        <v xml:space="preserve"> </v>
      </c>
      <c r="AA261" s="12"/>
      <c r="AB261" s="51">
        <v>54149896</v>
      </c>
      <c r="AC261" s="51"/>
      <c r="AD261" s="38">
        <f>Tabla43[[#This Row],[VALOR ATENCIÓN (7 MESES)]]*Tabla43[[#This Row],[% CONTRAPARTIDA]]</f>
        <v>0</v>
      </c>
      <c r="AE261" s="12"/>
      <c r="AF261" s="12">
        <f>COUNTIF($A$22:A261,A261)</f>
        <v>7</v>
      </c>
      <c r="AG261" s="51">
        <v>54149896</v>
      </c>
      <c r="AH261" s="38">
        <f>Tabla43[[#This Row],[VALOR CONTRAPARTIDA]]+Tabla43[[#This Row],[TOTAL APORTES ICBF]]</f>
        <v>54149896</v>
      </c>
      <c r="AI261" s="35" t="str">
        <f>+IF(Tabla43[[#This Row],[AGRUPACIONES]]=1,SUMIFS(Tabla43[TOTAL APORTES ICBF],Tabla43[ZONA DEFINITIVO],Tabla43[[#This Row],[ZONA DEFINITIVO]])," ")</f>
        <v xml:space="preserve"> </v>
      </c>
      <c r="AJ261" s="38"/>
      <c r="AK261" s="38"/>
      <c r="AL261" s="23"/>
      <c r="AM261" s="35">
        <f>VLOOKUP(Tabla43[[#This Row],[SERVICIO 2025]],$J$2:$V$16,5,0)*Tabla43[[#This Row],[TOTAL COBERTURA]]</f>
        <v>839392</v>
      </c>
      <c r="AN261" s="35">
        <f>VLOOKUP(Tabla43[[#This Row],[SERVICIO 2025]],$J$2:$V$16,6,0)*Tabla43[[#This Row],[TOTAL COBERTURA]]</f>
        <v>697493</v>
      </c>
      <c r="AO261" s="35">
        <f>VLOOKUP(Tabla43[[#This Row],[SERVICIO 2025]],$J$2:$V$16,8,0)*Tabla43[[#This Row],[TOTAL COBERTURA]]</f>
        <v>494700</v>
      </c>
      <c r="AP261" s="35">
        <f>VLOOKUP(Tabla43[[#This Row],[SERVICIO 2025]],$J$2:$V$16,3,0)*Tabla43[[#This Row],[TOTAL COBERTURA]]*7</f>
        <v>52118311</v>
      </c>
      <c r="AQ261" s="35">
        <f>VLOOKUP(Tabla43[[#This Row],[SERVICIO 2025]],$J$2:$V$16,10,0)*Tabla43[[#This Row],[TOTAL COBERTURA]]*7</f>
        <v>0</v>
      </c>
      <c r="AR26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54149896</v>
      </c>
      <c r="AS261" s="35" t="str">
        <f>+IF(Tabla43[[#This Row],[AGRUPACIONES]]=1,SUMIFS(Tabla43[VALOR TOTAL],Tabla43[ZONA DEFINITIVO],Tabla43[[#This Row],[ZONA DEFINITIVO]])," ")</f>
        <v xml:space="preserve"> </v>
      </c>
      <c r="AT26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8779565</v>
      </c>
      <c r="AU261" s="35">
        <f>VLOOKUP(Tabla43[[#This Row],[SERVICIO 2025]],$J$2:$V$16,3,0)*Tabla43[[#This Row],[TOTAL COBERTURA]]+Tabla43[[#This Row],[VALOR RACION PREPARADA]]/7</f>
        <v>7445473</v>
      </c>
      <c r="AV261" s="35">
        <f>VLOOKUP(Tabla43[[#This Row],[SERVICIO 2025]],$J$2:$V$16,3,0)*Tabla43[[#This Row],[TOTAL COBERTURA]]+Tabla43[[#This Row],[VALOR RACION PREPARADA]]/7</f>
        <v>7445473</v>
      </c>
      <c r="AW261" s="35">
        <f>VLOOKUP(Tabla43[[#This Row],[SERVICIO 2025]],$J$2:$V$16,3,0)*Tabla43[[#This Row],[TOTAL COBERTURA]]+Tabla43[[#This Row],[VALOR RACION PREPARADA]]/7</f>
        <v>7445473</v>
      </c>
      <c r="AX261" s="35">
        <f>VLOOKUP(Tabla43[[#This Row],[SERVICIO 2025]],$J$2:$V$16,3,0)*Tabla43[[#This Row],[TOTAL COBERTURA]]+Tabla43[[#This Row],[VALOR RACION PREPARADA]]/7</f>
        <v>7445473</v>
      </c>
      <c r="AY261" s="35">
        <f>VLOOKUP(Tabla43[[#This Row],[SERVICIO 2025]],$J$2:$V$16,3,0)*Tabla43[[#This Row],[TOTAL COBERTURA]]+Tabla43[[#This Row],[VALOR RACION PREPARADA]]/7</f>
        <v>7445473</v>
      </c>
      <c r="AZ261" s="35">
        <f>VLOOKUP(Tabla43[[#This Row],[SERVICIO 2025]],$J$2:$V$16,3,0)*Tabla43[[#This Row],[TOTAL COBERTURA]]+Tabla43[[#This Row],[VALOR RACION PREPARADA]]/7+Tabla43[[#This Row],[VALOR FASE PREPARATORIA DE CIERRE]]</f>
        <v>8142966</v>
      </c>
      <c r="BA261" s="35"/>
      <c r="BB261" s="35">
        <f>SUM(Tabla43[[#This Row],[DESEMBOLSO 1]:[DESEMBOLSO 8]])</f>
        <v>54149896</v>
      </c>
      <c r="BC261" s="55">
        <f>VLOOKUP(Tabla43[[#This Row],[SERVICIO 2025]],$J$2:$V$16,10,0)*Tabla43[[#This Row],[TOTAL COBERTURA]]*$W$3</f>
        <v>0</v>
      </c>
      <c r="BD261" s="66" t="s">
        <v>145</v>
      </c>
      <c r="BE261" s="12" t="b">
        <f>EXACT(Tabla43[[#This Row],[TOTAL APORTES ICBF]],Tabla43[[#This Row],[VALOR TOTAL]])</f>
        <v>1</v>
      </c>
      <c r="BF261" s="23">
        <f>SUM(Tabla43[[#This Row],[VALOR FASE PREPARATORIA DE ALISTAMIENTO]:[VALOR RACION PREPARADA]])-Tabla43[[#This Row],[VALOR TOTAL]]</f>
        <v>0</v>
      </c>
      <c r="BG261" s="12" t="b">
        <f>EXACT(Tabla43[[#This Row],[VALOR TOTAL]],Tabla43[[#This Row],[TOTAL DESEMBOLSOS]])</f>
        <v>1</v>
      </c>
      <c r="BH261" s="29">
        <f>Tabla43[[#This Row],[TOTAL DESEMBOLSOS]]-Tabla43[[#This Row],[VALOR TOTAL]]</f>
        <v>0</v>
      </c>
      <c r="BJ261" t="s">
        <v>3896</v>
      </c>
    </row>
    <row r="262" spans="1:62" hidden="1">
      <c r="A262" s="72" t="s">
        <v>4316</v>
      </c>
      <c r="B262" s="13"/>
      <c r="C262" s="12" t="s">
        <v>87</v>
      </c>
      <c r="D262" s="12" t="s">
        <v>579</v>
      </c>
      <c r="E262" s="12" t="s">
        <v>4073</v>
      </c>
      <c r="F262" s="12" t="s">
        <v>2843</v>
      </c>
      <c r="G262" s="12" t="s">
        <v>90</v>
      </c>
      <c r="H262" s="12" t="s">
        <v>4331</v>
      </c>
      <c r="I262" s="12">
        <v>52341134923</v>
      </c>
      <c r="J262" s="12" t="s">
        <v>4332</v>
      </c>
      <c r="K262" s="12">
        <v>1</v>
      </c>
      <c r="L262" s="12">
        <v>13</v>
      </c>
      <c r="M262" s="12"/>
      <c r="N262" s="72" t="s">
        <v>4316</v>
      </c>
      <c r="O262" s="12" t="s">
        <v>3894</v>
      </c>
      <c r="P262" s="12"/>
      <c r="Q262" s="12"/>
      <c r="R262" s="12" t="s">
        <v>94</v>
      </c>
      <c r="S262" s="12">
        <v>10</v>
      </c>
      <c r="T262" s="12">
        <v>800044785</v>
      </c>
      <c r="U262" s="58" t="s">
        <v>3895</v>
      </c>
      <c r="V262" s="12">
        <f>VLOOKUP(Tabla43[[#This Row],[ZONA DEFINITIVO]],Hoja1!$A$1:$D$129,3,0)</f>
        <v>232296</v>
      </c>
      <c r="W262" s="12">
        <f>VLOOKUP(Tabla43[[#This Row],[ZONA DEFINITIVO]],Hoja1!$A$1:$D$129,2,0)</f>
        <v>18589</v>
      </c>
      <c r="X262" s="12">
        <f>VLOOKUP(Tabla43[[#This Row],[ZONA DEFINITIVO]],Hoja1!$A$1:$D$129,4,0)</f>
        <v>117325</v>
      </c>
      <c r="Y262" s="12" t="str">
        <f>+IF(Tabla43[[#This Row],[AGRUPACIONES]]=1,SUMIFS(Tabla43[UDS],Tabla43[ZONA DEFINITIVO],Tabla43[[#This Row],[ZONA DEFINITIVO]])," ")</f>
        <v xml:space="preserve"> </v>
      </c>
      <c r="Z262" s="12" t="str">
        <f>+IF(Tabla43[[#This Row],[AGRUPACIONES]]=1,SUMIFS(Tabla43[TOTAL COBERTURA],Tabla43[ZONA DEFINITIVO],Tabla43[[#This Row],[ZONA DEFINITIVO]])," ")</f>
        <v xml:space="preserve"> </v>
      </c>
      <c r="AA262" s="12"/>
      <c r="AB262" s="51">
        <v>41408744</v>
      </c>
      <c r="AC262" s="51"/>
      <c r="AD262" s="38">
        <f>Tabla43[[#This Row],[VALOR ATENCIÓN (7 MESES)]]*Tabla43[[#This Row],[% CONTRAPARTIDA]]</f>
        <v>0</v>
      </c>
      <c r="AE262" s="12"/>
      <c r="AF262" s="12">
        <f>COUNTIF($A$22:A262,A262)</f>
        <v>8</v>
      </c>
      <c r="AG262" s="51">
        <v>41408744</v>
      </c>
      <c r="AH262" s="38">
        <f>Tabla43[[#This Row],[VALOR CONTRAPARTIDA]]+Tabla43[[#This Row],[TOTAL APORTES ICBF]]</f>
        <v>41408744</v>
      </c>
      <c r="AI262" s="35" t="str">
        <f>+IF(Tabla43[[#This Row],[AGRUPACIONES]]=1,SUMIFS(Tabla43[TOTAL APORTES ICBF],Tabla43[ZONA DEFINITIVO],Tabla43[[#This Row],[ZONA DEFINITIVO]])," ")</f>
        <v xml:space="preserve"> </v>
      </c>
      <c r="AJ262" s="38"/>
      <c r="AK262" s="38"/>
      <c r="AL262" s="23"/>
      <c r="AM262" s="35">
        <f>VLOOKUP(Tabla43[[#This Row],[SERVICIO 2025]],$J$2:$V$16,5,0)*Tabla43[[#This Row],[TOTAL COBERTURA]]</f>
        <v>641888</v>
      </c>
      <c r="AN262" s="35">
        <f>VLOOKUP(Tabla43[[#This Row],[SERVICIO 2025]],$J$2:$V$16,6,0)*Tabla43[[#This Row],[TOTAL COBERTURA]]</f>
        <v>533377</v>
      </c>
      <c r="AO262" s="35">
        <f>VLOOKUP(Tabla43[[#This Row],[SERVICIO 2025]],$J$2:$V$16,8,0)*Tabla43[[#This Row],[TOTAL COBERTURA]]</f>
        <v>378300</v>
      </c>
      <c r="AP262" s="35">
        <f>VLOOKUP(Tabla43[[#This Row],[SERVICIO 2025]],$J$2:$V$16,3,0)*Tabla43[[#This Row],[TOTAL COBERTURA]]*7</f>
        <v>39855179</v>
      </c>
      <c r="AQ262" s="35">
        <f>VLOOKUP(Tabla43[[#This Row],[SERVICIO 2025]],$J$2:$V$16,10,0)*Tabla43[[#This Row],[TOTAL COBERTURA]]*7</f>
        <v>0</v>
      </c>
      <c r="AR26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41408744</v>
      </c>
      <c r="AS262" s="35" t="str">
        <f>+IF(Tabla43[[#This Row],[AGRUPACIONES]]=1,SUMIFS(Tabla43[VALOR TOTAL],Tabla43[ZONA DEFINITIVO],Tabla43[[#This Row],[ZONA DEFINITIVO]])," ")</f>
        <v xml:space="preserve"> </v>
      </c>
      <c r="AT26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6713785</v>
      </c>
      <c r="AU262" s="35">
        <f>VLOOKUP(Tabla43[[#This Row],[SERVICIO 2025]],$J$2:$V$16,3,0)*Tabla43[[#This Row],[TOTAL COBERTURA]]+Tabla43[[#This Row],[VALOR RACION PREPARADA]]/7</f>
        <v>5693597</v>
      </c>
      <c r="AV262" s="35">
        <f>VLOOKUP(Tabla43[[#This Row],[SERVICIO 2025]],$J$2:$V$16,3,0)*Tabla43[[#This Row],[TOTAL COBERTURA]]+Tabla43[[#This Row],[VALOR RACION PREPARADA]]/7</f>
        <v>5693597</v>
      </c>
      <c r="AW262" s="35">
        <f>VLOOKUP(Tabla43[[#This Row],[SERVICIO 2025]],$J$2:$V$16,3,0)*Tabla43[[#This Row],[TOTAL COBERTURA]]+Tabla43[[#This Row],[VALOR RACION PREPARADA]]/7</f>
        <v>5693597</v>
      </c>
      <c r="AX262" s="35">
        <f>VLOOKUP(Tabla43[[#This Row],[SERVICIO 2025]],$J$2:$V$16,3,0)*Tabla43[[#This Row],[TOTAL COBERTURA]]+Tabla43[[#This Row],[VALOR RACION PREPARADA]]/7</f>
        <v>5693597</v>
      </c>
      <c r="AY262" s="35">
        <f>VLOOKUP(Tabla43[[#This Row],[SERVICIO 2025]],$J$2:$V$16,3,0)*Tabla43[[#This Row],[TOTAL COBERTURA]]+Tabla43[[#This Row],[VALOR RACION PREPARADA]]/7</f>
        <v>5693597</v>
      </c>
      <c r="AZ262" s="35">
        <f>VLOOKUP(Tabla43[[#This Row],[SERVICIO 2025]],$J$2:$V$16,3,0)*Tabla43[[#This Row],[TOTAL COBERTURA]]+Tabla43[[#This Row],[VALOR RACION PREPARADA]]/7+Tabla43[[#This Row],[VALOR FASE PREPARATORIA DE CIERRE]]</f>
        <v>6226974</v>
      </c>
      <c r="BA262" s="35"/>
      <c r="BB262" s="35">
        <f>SUM(Tabla43[[#This Row],[DESEMBOLSO 1]:[DESEMBOLSO 8]])</f>
        <v>41408744</v>
      </c>
      <c r="BC262" s="55">
        <f>VLOOKUP(Tabla43[[#This Row],[SERVICIO 2025]],$J$2:$V$16,10,0)*Tabla43[[#This Row],[TOTAL COBERTURA]]*$W$3</f>
        <v>0</v>
      </c>
      <c r="BD262" s="66" t="s">
        <v>145</v>
      </c>
      <c r="BE262" s="12" t="b">
        <f>EXACT(Tabla43[[#This Row],[TOTAL APORTES ICBF]],Tabla43[[#This Row],[VALOR TOTAL]])</f>
        <v>1</v>
      </c>
      <c r="BF262" s="23">
        <f>SUM(Tabla43[[#This Row],[VALOR FASE PREPARATORIA DE ALISTAMIENTO]:[VALOR RACION PREPARADA]])-Tabla43[[#This Row],[VALOR TOTAL]]</f>
        <v>0</v>
      </c>
      <c r="BG262" s="12" t="b">
        <f>EXACT(Tabla43[[#This Row],[VALOR TOTAL]],Tabla43[[#This Row],[TOTAL DESEMBOLSOS]])</f>
        <v>1</v>
      </c>
      <c r="BH262" s="29">
        <f>Tabla43[[#This Row],[TOTAL DESEMBOLSOS]]-Tabla43[[#This Row],[VALOR TOTAL]]</f>
        <v>0</v>
      </c>
      <c r="BJ262" t="s">
        <v>3896</v>
      </c>
    </row>
    <row r="263" spans="1:62" hidden="1">
      <c r="A263" s="72" t="s">
        <v>4316</v>
      </c>
      <c r="B263" s="13"/>
      <c r="C263" s="12" t="s">
        <v>87</v>
      </c>
      <c r="D263" s="12" t="s">
        <v>579</v>
      </c>
      <c r="E263" s="12" t="s">
        <v>4073</v>
      </c>
      <c r="F263" s="12" t="s">
        <v>2843</v>
      </c>
      <c r="G263" s="12" t="s">
        <v>90</v>
      </c>
      <c r="H263" s="12" t="s">
        <v>4333</v>
      </c>
      <c r="I263" s="12">
        <v>52341134925</v>
      </c>
      <c r="J263" s="12" t="s">
        <v>4334</v>
      </c>
      <c r="K263" s="12">
        <v>1</v>
      </c>
      <c r="L263" s="12">
        <v>15</v>
      </c>
      <c r="M263" s="12"/>
      <c r="N263" s="72" t="s">
        <v>4316</v>
      </c>
      <c r="O263" s="12" t="s">
        <v>3894</v>
      </c>
      <c r="P263" s="12"/>
      <c r="Q263" s="12"/>
      <c r="R263" s="12" t="s">
        <v>94</v>
      </c>
      <c r="S263" s="12">
        <v>10</v>
      </c>
      <c r="T263" s="12">
        <v>800044785</v>
      </c>
      <c r="U263" s="58" t="s">
        <v>3895</v>
      </c>
      <c r="V263" s="12">
        <f>VLOOKUP(Tabla43[[#This Row],[ZONA DEFINITIVO]],Hoja1!$A$1:$D$129,3,0)</f>
        <v>232296</v>
      </c>
      <c r="W263" s="12">
        <f>VLOOKUP(Tabla43[[#This Row],[ZONA DEFINITIVO]],Hoja1!$A$1:$D$129,2,0)</f>
        <v>18589</v>
      </c>
      <c r="X263" s="12">
        <f>VLOOKUP(Tabla43[[#This Row],[ZONA DEFINITIVO]],Hoja1!$A$1:$D$129,4,0)</f>
        <v>117325</v>
      </c>
      <c r="Y263" s="12" t="str">
        <f>+IF(Tabla43[[#This Row],[AGRUPACIONES]]=1,SUMIFS(Tabla43[UDS],Tabla43[ZONA DEFINITIVO],Tabla43[[#This Row],[ZONA DEFINITIVO]])," ")</f>
        <v xml:space="preserve"> </v>
      </c>
      <c r="Z263" s="12" t="str">
        <f>+IF(Tabla43[[#This Row],[AGRUPACIONES]]=1,SUMIFS(Tabla43[TOTAL COBERTURA],Tabla43[ZONA DEFINITIVO],Tabla43[[#This Row],[ZONA DEFINITIVO]])," ")</f>
        <v xml:space="preserve"> </v>
      </c>
      <c r="AA263" s="12"/>
      <c r="AB263" s="51">
        <v>47779320</v>
      </c>
      <c r="AC263" s="51"/>
      <c r="AD263" s="38">
        <f>Tabla43[[#This Row],[VALOR ATENCIÓN (7 MESES)]]*Tabla43[[#This Row],[% CONTRAPARTIDA]]</f>
        <v>0</v>
      </c>
      <c r="AE263" s="12"/>
      <c r="AF263" s="12">
        <f>COUNTIF($A$22:A263,A263)</f>
        <v>9</v>
      </c>
      <c r="AG263" s="51">
        <v>47779320</v>
      </c>
      <c r="AH263" s="38">
        <f>Tabla43[[#This Row],[VALOR CONTRAPARTIDA]]+Tabla43[[#This Row],[TOTAL APORTES ICBF]]</f>
        <v>47779320</v>
      </c>
      <c r="AI263" s="35" t="str">
        <f>+IF(Tabla43[[#This Row],[AGRUPACIONES]]=1,SUMIFS(Tabla43[TOTAL APORTES ICBF],Tabla43[ZONA DEFINITIVO],Tabla43[[#This Row],[ZONA DEFINITIVO]])," ")</f>
        <v xml:space="preserve"> </v>
      </c>
      <c r="AJ263" s="38"/>
      <c r="AK263" s="38"/>
      <c r="AL263" s="23"/>
      <c r="AM263" s="35">
        <f>VLOOKUP(Tabla43[[#This Row],[SERVICIO 2025]],$J$2:$V$16,5,0)*Tabla43[[#This Row],[TOTAL COBERTURA]]</f>
        <v>740640</v>
      </c>
      <c r="AN263" s="35">
        <f>VLOOKUP(Tabla43[[#This Row],[SERVICIO 2025]],$J$2:$V$16,6,0)*Tabla43[[#This Row],[TOTAL COBERTURA]]</f>
        <v>615435</v>
      </c>
      <c r="AO263" s="35">
        <f>VLOOKUP(Tabla43[[#This Row],[SERVICIO 2025]],$J$2:$V$16,8,0)*Tabla43[[#This Row],[TOTAL COBERTURA]]</f>
        <v>436500</v>
      </c>
      <c r="AP263" s="35">
        <f>VLOOKUP(Tabla43[[#This Row],[SERVICIO 2025]],$J$2:$V$16,3,0)*Tabla43[[#This Row],[TOTAL COBERTURA]]*7</f>
        <v>45986745</v>
      </c>
      <c r="AQ263" s="35">
        <f>VLOOKUP(Tabla43[[#This Row],[SERVICIO 2025]],$J$2:$V$16,10,0)*Tabla43[[#This Row],[TOTAL COBERTURA]]*7</f>
        <v>0</v>
      </c>
      <c r="AR26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47779320</v>
      </c>
      <c r="AS263" s="35" t="str">
        <f>+IF(Tabla43[[#This Row],[AGRUPACIONES]]=1,SUMIFS(Tabla43[VALOR TOTAL],Tabla43[ZONA DEFINITIVO],Tabla43[[#This Row],[ZONA DEFINITIVO]])," ")</f>
        <v xml:space="preserve"> </v>
      </c>
      <c r="AT26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7746675</v>
      </c>
      <c r="AU263" s="35">
        <f>VLOOKUP(Tabla43[[#This Row],[SERVICIO 2025]],$J$2:$V$16,3,0)*Tabla43[[#This Row],[TOTAL COBERTURA]]+Tabla43[[#This Row],[VALOR RACION PREPARADA]]/7</f>
        <v>6569535</v>
      </c>
      <c r="AV263" s="35">
        <f>VLOOKUP(Tabla43[[#This Row],[SERVICIO 2025]],$J$2:$V$16,3,0)*Tabla43[[#This Row],[TOTAL COBERTURA]]+Tabla43[[#This Row],[VALOR RACION PREPARADA]]/7</f>
        <v>6569535</v>
      </c>
      <c r="AW263" s="35">
        <f>VLOOKUP(Tabla43[[#This Row],[SERVICIO 2025]],$J$2:$V$16,3,0)*Tabla43[[#This Row],[TOTAL COBERTURA]]+Tabla43[[#This Row],[VALOR RACION PREPARADA]]/7</f>
        <v>6569535</v>
      </c>
      <c r="AX263" s="35">
        <f>VLOOKUP(Tabla43[[#This Row],[SERVICIO 2025]],$J$2:$V$16,3,0)*Tabla43[[#This Row],[TOTAL COBERTURA]]+Tabla43[[#This Row],[VALOR RACION PREPARADA]]/7</f>
        <v>6569535</v>
      </c>
      <c r="AY263" s="35">
        <f>VLOOKUP(Tabla43[[#This Row],[SERVICIO 2025]],$J$2:$V$16,3,0)*Tabla43[[#This Row],[TOTAL COBERTURA]]+Tabla43[[#This Row],[VALOR RACION PREPARADA]]/7</f>
        <v>6569535</v>
      </c>
      <c r="AZ263" s="35">
        <f>VLOOKUP(Tabla43[[#This Row],[SERVICIO 2025]],$J$2:$V$16,3,0)*Tabla43[[#This Row],[TOTAL COBERTURA]]+Tabla43[[#This Row],[VALOR RACION PREPARADA]]/7+Tabla43[[#This Row],[VALOR FASE PREPARATORIA DE CIERRE]]</f>
        <v>7184970</v>
      </c>
      <c r="BA263" s="35"/>
      <c r="BB263" s="35">
        <f>SUM(Tabla43[[#This Row],[DESEMBOLSO 1]:[DESEMBOLSO 8]])</f>
        <v>47779320</v>
      </c>
      <c r="BC263" s="55">
        <f>VLOOKUP(Tabla43[[#This Row],[SERVICIO 2025]],$J$2:$V$16,10,0)*Tabla43[[#This Row],[TOTAL COBERTURA]]*$W$3</f>
        <v>0</v>
      </c>
      <c r="BD263" s="66" t="s">
        <v>145</v>
      </c>
      <c r="BE263" s="12" t="b">
        <f>EXACT(Tabla43[[#This Row],[TOTAL APORTES ICBF]],Tabla43[[#This Row],[VALOR TOTAL]])</f>
        <v>1</v>
      </c>
      <c r="BF263" s="23">
        <f>SUM(Tabla43[[#This Row],[VALOR FASE PREPARATORIA DE ALISTAMIENTO]:[VALOR RACION PREPARADA]])-Tabla43[[#This Row],[VALOR TOTAL]]</f>
        <v>0</v>
      </c>
      <c r="BG263" s="12" t="b">
        <f>EXACT(Tabla43[[#This Row],[VALOR TOTAL]],Tabla43[[#This Row],[TOTAL DESEMBOLSOS]])</f>
        <v>1</v>
      </c>
      <c r="BH263" s="29">
        <f>Tabla43[[#This Row],[TOTAL DESEMBOLSOS]]-Tabla43[[#This Row],[VALOR TOTAL]]</f>
        <v>0</v>
      </c>
      <c r="BJ263" t="s">
        <v>3896</v>
      </c>
    </row>
    <row r="264" spans="1:62" hidden="1">
      <c r="A264" s="72" t="s">
        <v>4316</v>
      </c>
      <c r="B264" s="13"/>
      <c r="C264" s="12" t="s">
        <v>87</v>
      </c>
      <c r="D264" s="12" t="s">
        <v>579</v>
      </c>
      <c r="E264" s="12" t="s">
        <v>4073</v>
      </c>
      <c r="F264" s="12" t="s">
        <v>2843</v>
      </c>
      <c r="G264" s="12" t="s">
        <v>90</v>
      </c>
      <c r="H264" s="12" t="s">
        <v>4335</v>
      </c>
      <c r="I264" s="12">
        <v>52341134926</v>
      </c>
      <c r="J264" s="12" t="s">
        <v>4336</v>
      </c>
      <c r="K264" s="12">
        <v>1</v>
      </c>
      <c r="L264" s="12">
        <v>15</v>
      </c>
      <c r="M264" s="12"/>
      <c r="N264" s="72" t="s">
        <v>4316</v>
      </c>
      <c r="O264" s="12" t="s">
        <v>3894</v>
      </c>
      <c r="P264" s="12"/>
      <c r="Q264" s="12"/>
      <c r="R264" s="12" t="s">
        <v>94</v>
      </c>
      <c r="S264" s="12">
        <v>10</v>
      </c>
      <c r="T264" s="12">
        <v>800044785</v>
      </c>
      <c r="U264" s="58" t="s">
        <v>3895</v>
      </c>
      <c r="V264" s="12">
        <f>VLOOKUP(Tabla43[[#This Row],[ZONA DEFINITIVO]],Hoja1!$A$1:$D$129,3,0)</f>
        <v>232296</v>
      </c>
      <c r="W264" s="12">
        <f>VLOOKUP(Tabla43[[#This Row],[ZONA DEFINITIVO]],Hoja1!$A$1:$D$129,2,0)</f>
        <v>18589</v>
      </c>
      <c r="X264" s="12">
        <f>VLOOKUP(Tabla43[[#This Row],[ZONA DEFINITIVO]],Hoja1!$A$1:$D$129,4,0)</f>
        <v>117325</v>
      </c>
      <c r="Y264" s="12" t="str">
        <f>+IF(Tabla43[[#This Row],[AGRUPACIONES]]=1,SUMIFS(Tabla43[UDS],Tabla43[ZONA DEFINITIVO],Tabla43[[#This Row],[ZONA DEFINITIVO]])," ")</f>
        <v xml:space="preserve"> </v>
      </c>
      <c r="Z264" s="12" t="str">
        <f>+IF(Tabla43[[#This Row],[AGRUPACIONES]]=1,SUMIFS(Tabla43[TOTAL COBERTURA],Tabla43[ZONA DEFINITIVO],Tabla43[[#This Row],[ZONA DEFINITIVO]])," ")</f>
        <v xml:space="preserve"> </v>
      </c>
      <c r="AA264" s="12"/>
      <c r="AB264" s="51">
        <v>47779320</v>
      </c>
      <c r="AC264" s="51"/>
      <c r="AD264" s="38">
        <f>Tabla43[[#This Row],[VALOR ATENCIÓN (7 MESES)]]*Tabla43[[#This Row],[% CONTRAPARTIDA]]</f>
        <v>0</v>
      </c>
      <c r="AE264" s="12"/>
      <c r="AF264" s="12">
        <f>COUNTIF($A$22:A264,A264)</f>
        <v>10</v>
      </c>
      <c r="AG264" s="51">
        <v>47779320</v>
      </c>
      <c r="AH264" s="38">
        <f>Tabla43[[#This Row],[VALOR CONTRAPARTIDA]]+Tabla43[[#This Row],[TOTAL APORTES ICBF]]</f>
        <v>47779320</v>
      </c>
      <c r="AI264" s="35" t="str">
        <f>+IF(Tabla43[[#This Row],[AGRUPACIONES]]=1,SUMIFS(Tabla43[TOTAL APORTES ICBF],Tabla43[ZONA DEFINITIVO],Tabla43[[#This Row],[ZONA DEFINITIVO]])," ")</f>
        <v xml:space="preserve"> </v>
      </c>
      <c r="AJ264" s="38"/>
      <c r="AK264" s="38"/>
      <c r="AL264" s="23"/>
      <c r="AM264" s="35">
        <f>VLOOKUP(Tabla43[[#This Row],[SERVICIO 2025]],$J$2:$V$16,5,0)*Tabla43[[#This Row],[TOTAL COBERTURA]]</f>
        <v>740640</v>
      </c>
      <c r="AN264" s="35">
        <f>VLOOKUP(Tabla43[[#This Row],[SERVICIO 2025]],$J$2:$V$16,6,0)*Tabla43[[#This Row],[TOTAL COBERTURA]]</f>
        <v>615435</v>
      </c>
      <c r="AO264" s="35">
        <f>VLOOKUP(Tabla43[[#This Row],[SERVICIO 2025]],$J$2:$V$16,8,0)*Tabla43[[#This Row],[TOTAL COBERTURA]]</f>
        <v>436500</v>
      </c>
      <c r="AP264" s="35">
        <f>VLOOKUP(Tabla43[[#This Row],[SERVICIO 2025]],$J$2:$V$16,3,0)*Tabla43[[#This Row],[TOTAL COBERTURA]]*7</f>
        <v>45986745</v>
      </c>
      <c r="AQ264" s="35">
        <f>VLOOKUP(Tabla43[[#This Row],[SERVICIO 2025]],$J$2:$V$16,10,0)*Tabla43[[#This Row],[TOTAL COBERTURA]]*7</f>
        <v>0</v>
      </c>
      <c r="AR26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47779320</v>
      </c>
      <c r="AS264" s="35" t="str">
        <f>+IF(Tabla43[[#This Row],[AGRUPACIONES]]=1,SUMIFS(Tabla43[VALOR TOTAL],Tabla43[ZONA DEFINITIVO],Tabla43[[#This Row],[ZONA DEFINITIVO]])," ")</f>
        <v xml:space="preserve"> </v>
      </c>
      <c r="AT26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7746675</v>
      </c>
      <c r="AU264" s="35">
        <f>VLOOKUP(Tabla43[[#This Row],[SERVICIO 2025]],$J$2:$V$16,3,0)*Tabla43[[#This Row],[TOTAL COBERTURA]]+Tabla43[[#This Row],[VALOR RACION PREPARADA]]/7</f>
        <v>6569535</v>
      </c>
      <c r="AV264" s="35">
        <f>VLOOKUP(Tabla43[[#This Row],[SERVICIO 2025]],$J$2:$V$16,3,0)*Tabla43[[#This Row],[TOTAL COBERTURA]]+Tabla43[[#This Row],[VALOR RACION PREPARADA]]/7</f>
        <v>6569535</v>
      </c>
      <c r="AW264" s="35">
        <f>VLOOKUP(Tabla43[[#This Row],[SERVICIO 2025]],$J$2:$V$16,3,0)*Tabla43[[#This Row],[TOTAL COBERTURA]]+Tabla43[[#This Row],[VALOR RACION PREPARADA]]/7</f>
        <v>6569535</v>
      </c>
      <c r="AX264" s="35">
        <f>VLOOKUP(Tabla43[[#This Row],[SERVICIO 2025]],$J$2:$V$16,3,0)*Tabla43[[#This Row],[TOTAL COBERTURA]]+Tabla43[[#This Row],[VALOR RACION PREPARADA]]/7</f>
        <v>6569535</v>
      </c>
      <c r="AY264" s="35">
        <f>VLOOKUP(Tabla43[[#This Row],[SERVICIO 2025]],$J$2:$V$16,3,0)*Tabla43[[#This Row],[TOTAL COBERTURA]]+Tabla43[[#This Row],[VALOR RACION PREPARADA]]/7</f>
        <v>6569535</v>
      </c>
      <c r="AZ264" s="35">
        <f>VLOOKUP(Tabla43[[#This Row],[SERVICIO 2025]],$J$2:$V$16,3,0)*Tabla43[[#This Row],[TOTAL COBERTURA]]+Tabla43[[#This Row],[VALOR RACION PREPARADA]]/7+Tabla43[[#This Row],[VALOR FASE PREPARATORIA DE CIERRE]]</f>
        <v>7184970</v>
      </c>
      <c r="BA264" s="35"/>
      <c r="BB264" s="35">
        <f>SUM(Tabla43[[#This Row],[DESEMBOLSO 1]:[DESEMBOLSO 8]])</f>
        <v>47779320</v>
      </c>
      <c r="BC264" s="55">
        <f>VLOOKUP(Tabla43[[#This Row],[SERVICIO 2025]],$J$2:$V$16,10,0)*Tabla43[[#This Row],[TOTAL COBERTURA]]*$W$3</f>
        <v>0</v>
      </c>
      <c r="BD264" s="66" t="s">
        <v>145</v>
      </c>
      <c r="BE264" s="12" t="b">
        <f>EXACT(Tabla43[[#This Row],[TOTAL APORTES ICBF]],Tabla43[[#This Row],[VALOR TOTAL]])</f>
        <v>1</v>
      </c>
      <c r="BF264" s="23">
        <f>SUM(Tabla43[[#This Row],[VALOR FASE PREPARATORIA DE ALISTAMIENTO]:[VALOR RACION PREPARADA]])-Tabla43[[#This Row],[VALOR TOTAL]]</f>
        <v>0</v>
      </c>
      <c r="BG264" s="12" t="b">
        <f>EXACT(Tabla43[[#This Row],[VALOR TOTAL]],Tabla43[[#This Row],[TOTAL DESEMBOLSOS]])</f>
        <v>1</v>
      </c>
      <c r="BH264" s="29">
        <f>Tabla43[[#This Row],[TOTAL DESEMBOLSOS]]-Tabla43[[#This Row],[VALOR TOTAL]]</f>
        <v>0</v>
      </c>
      <c r="BJ264" t="s">
        <v>3896</v>
      </c>
    </row>
    <row r="265" spans="1:62" hidden="1">
      <c r="A265" s="72" t="s">
        <v>4316</v>
      </c>
      <c r="B265" s="13"/>
      <c r="C265" s="12" t="s">
        <v>87</v>
      </c>
      <c r="D265" s="12" t="s">
        <v>579</v>
      </c>
      <c r="E265" s="12" t="s">
        <v>4073</v>
      </c>
      <c r="F265" s="12" t="s">
        <v>2843</v>
      </c>
      <c r="G265" s="12" t="s">
        <v>90</v>
      </c>
      <c r="H265" s="12" t="s">
        <v>4337</v>
      </c>
      <c r="I265" s="12">
        <v>52341134927</v>
      </c>
      <c r="J265" s="12" t="s">
        <v>4338</v>
      </c>
      <c r="K265" s="12">
        <v>1</v>
      </c>
      <c r="L265" s="12">
        <v>13</v>
      </c>
      <c r="M265" s="12"/>
      <c r="N265" s="72" t="s">
        <v>4316</v>
      </c>
      <c r="O265" s="12" t="s">
        <v>3894</v>
      </c>
      <c r="P265" s="12"/>
      <c r="Q265" s="12"/>
      <c r="R265" s="12" t="s">
        <v>94</v>
      </c>
      <c r="S265" s="12">
        <v>10</v>
      </c>
      <c r="T265" s="12">
        <v>800044785</v>
      </c>
      <c r="U265" s="58" t="s">
        <v>3895</v>
      </c>
      <c r="V265" s="12">
        <f>VLOOKUP(Tabla43[[#This Row],[ZONA DEFINITIVO]],Hoja1!$A$1:$D$129,3,0)</f>
        <v>232296</v>
      </c>
      <c r="W265" s="12">
        <f>VLOOKUP(Tabla43[[#This Row],[ZONA DEFINITIVO]],Hoja1!$A$1:$D$129,2,0)</f>
        <v>18589</v>
      </c>
      <c r="X265" s="12">
        <f>VLOOKUP(Tabla43[[#This Row],[ZONA DEFINITIVO]],Hoja1!$A$1:$D$129,4,0)</f>
        <v>117325</v>
      </c>
      <c r="Y265" s="12" t="str">
        <f>+IF(Tabla43[[#This Row],[AGRUPACIONES]]=1,SUMIFS(Tabla43[UDS],Tabla43[ZONA DEFINITIVO],Tabla43[[#This Row],[ZONA DEFINITIVO]])," ")</f>
        <v xml:space="preserve"> </v>
      </c>
      <c r="Z265" s="12" t="str">
        <f>+IF(Tabla43[[#This Row],[AGRUPACIONES]]=1,SUMIFS(Tabla43[TOTAL COBERTURA],Tabla43[ZONA DEFINITIVO],Tabla43[[#This Row],[ZONA DEFINITIVO]])," ")</f>
        <v xml:space="preserve"> </v>
      </c>
      <c r="AA265" s="12"/>
      <c r="AB265" s="51">
        <v>41408744</v>
      </c>
      <c r="AC265" s="51"/>
      <c r="AD265" s="38">
        <f>Tabla43[[#This Row],[VALOR ATENCIÓN (7 MESES)]]*Tabla43[[#This Row],[% CONTRAPARTIDA]]</f>
        <v>0</v>
      </c>
      <c r="AE265" s="12"/>
      <c r="AF265" s="12">
        <f>COUNTIF($A$22:A265,A265)</f>
        <v>11</v>
      </c>
      <c r="AG265" s="51">
        <v>41408744</v>
      </c>
      <c r="AH265" s="38">
        <f>Tabla43[[#This Row],[VALOR CONTRAPARTIDA]]+Tabla43[[#This Row],[TOTAL APORTES ICBF]]</f>
        <v>41408744</v>
      </c>
      <c r="AI265" s="35" t="str">
        <f>+IF(Tabla43[[#This Row],[AGRUPACIONES]]=1,SUMIFS(Tabla43[TOTAL APORTES ICBF],Tabla43[ZONA DEFINITIVO],Tabla43[[#This Row],[ZONA DEFINITIVO]])," ")</f>
        <v xml:space="preserve"> </v>
      </c>
      <c r="AJ265" s="38"/>
      <c r="AK265" s="38"/>
      <c r="AL265" s="23"/>
      <c r="AM265" s="35">
        <f>VLOOKUP(Tabla43[[#This Row],[SERVICIO 2025]],$J$2:$V$16,5,0)*Tabla43[[#This Row],[TOTAL COBERTURA]]</f>
        <v>641888</v>
      </c>
      <c r="AN265" s="35">
        <f>VLOOKUP(Tabla43[[#This Row],[SERVICIO 2025]],$J$2:$V$16,6,0)*Tabla43[[#This Row],[TOTAL COBERTURA]]</f>
        <v>533377</v>
      </c>
      <c r="AO265" s="35">
        <f>VLOOKUP(Tabla43[[#This Row],[SERVICIO 2025]],$J$2:$V$16,8,0)*Tabla43[[#This Row],[TOTAL COBERTURA]]</f>
        <v>378300</v>
      </c>
      <c r="AP265" s="35">
        <f>VLOOKUP(Tabla43[[#This Row],[SERVICIO 2025]],$J$2:$V$16,3,0)*Tabla43[[#This Row],[TOTAL COBERTURA]]*7</f>
        <v>39855179</v>
      </c>
      <c r="AQ265" s="35">
        <f>VLOOKUP(Tabla43[[#This Row],[SERVICIO 2025]],$J$2:$V$16,10,0)*Tabla43[[#This Row],[TOTAL COBERTURA]]*7</f>
        <v>0</v>
      </c>
      <c r="AR265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41408744</v>
      </c>
      <c r="AS265" s="35" t="str">
        <f>+IF(Tabla43[[#This Row],[AGRUPACIONES]]=1,SUMIFS(Tabla43[VALOR TOTAL],Tabla43[ZONA DEFINITIVO],Tabla43[[#This Row],[ZONA DEFINITIVO]])," ")</f>
        <v xml:space="preserve"> </v>
      </c>
      <c r="AT265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6713785</v>
      </c>
      <c r="AU265" s="35">
        <f>VLOOKUP(Tabla43[[#This Row],[SERVICIO 2025]],$J$2:$V$16,3,0)*Tabla43[[#This Row],[TOTAL COBERTURA]]+Tabla43[[#This Row],[VALOR RACION PREPARADA]]/7</f>
        <v>5693597</v>
      </c>
      <c r="AV265" s="35">
        <f>VLOOKUP(Tabla43[[#This Row],[SERVICIO 2025]],$J$2:$V$16,3,0)*Tabla43[[#This Row],[TOTAL COBERTURA]]+Tabla43[[#This Row],[VALOR RACION PREPARADA]]/7</f>
        <v>5693597</v>
      </c>
      <c r="AW265" s="35">
        <f>VLOOKUP(Tabla43[[#This Row],[SERVICIO 2025]],$J$2:$V$16,3,0)*Tabla43[[#This Row],[TOTAL COBERTURA]]+Tabla43[[#This Row],[VALOR RACION PREPARADA]]/7</f>
        <v>5693597</v>
      </c>
      <c r="AX265" s="35">
        <f>VLOOKUP(Tabla43[[#This Row],[SERVICIO 2025]],$J$2:$V$16,3,0)*Tabla43[[#This Row],[TOTAL COBERTURA]]+Tabla43[[#This Row],[VALOR RACION PREPARADA]]/7</f>
        <v>5693597</v>
      </c>
      <c r="AY265" s="35">
        <f>VLOOKUP(Tabla43[[#This Row],[SERVICIO 2025]],$J$2:$V$16,3,0)*Tabla43[[#This Row],[TOTAL COBERTURA]]+Tabla43[[#This Row],[VALOR RACION PREPARADA]]/7</f>
        <v>5693597</v>
      </c>
      <c r="AZ265" s="35">
        <f>VLOOKUP(Tabla43[[#This Row],[SERVICIO 2025]],$J$2:$V$16,3,0)*Tabla43[[#This Row],[TOTAL COBERTURA]]+Tabla43[[#This Row],[VALOR RACION PREPARADA]]/7+Tabla43[[#This Row],[VALOR FASE PREPARATORIA DE CIERRE]]</f>
        <v>6226974</v>
      </c>
      <c r="BA265" s="35"/>
      <c r="BB265" s="35">
        <f>SUM(Tabla43[[#This Row],[DESEMBOLSO 1]:[DESEMBOLSO 8]])</f>
        <v>41408744</v>
      </c>
      <c r="BC265" s="55">
        <f>VLOOKUP(Tabla43[[#This Row],[SERVICIO 2025]],$J$2:$V$16,10,0)*Tabla43[[#This Row],[TOTAL COBERTURA]]*$W$3</f>
        <v>0</v>
      </c>
      <c r="BD265" s="66" t="s">
        <v>145</v>
      </c>
      <c r="BE265" s="12" t="b">
        <f>EXACT(Tabla43[[#This Row],[TOTAL APORTES ICBF]],Tabla43[[#This Row],[VALOR TOTAL]])</f>
        <v>1</v>
      </c>
      <c r="BF265" s="23">
        <f>SUM(Tabla43[[#This Row],[VALOR FASE PREPARATORIA DE ALISTAMIENTO]:[VALOR RACION PREPARADA]])-Tabla43[[#This Row],[VALOR TOTAL]]</f>
        <v>0</v>
      </c>
      <c r="BG265" s="12" t="b">
        <f>EXACT(Tabla43[[#This Row],[VALOR TOTAL]],Tabla43[[#This Row],[TOTAL DESEMBOLSOS]])</f>
        <v>1</v>
      </c>
      <c r="BH265" s="29">
        <f>Tabla43[[#This Row],[TOTAL DESEMBOLSOS]]-Tabla43[[#This Row],[VALOR TOTAL]]</f>
        <v>0</v>
      </c>
      <c r="BJ265" t="s">
        <v>3896</v>
      </c>
    </row>
    <row r="266" spans="1:62" hidden="1">
      <c r="A266" s="72" t="s">
        <v>4316</v>
      </c>
      <c r="B266" s="13"/>
      <c r="C266" s="12" t="s">
        <v>87</v>
      </c>
      <c r="D266" s="12" t="s">
        <v>579</v>
      </c>
      <c r="E266" s="12" t="s">
        <v>4073</v>
      </c>
      <c r="F266" s="12" t="s">
        <v>2843</v>
      </c>
      <c r="G266" s="12" t="s">
        <v>90</v>
      </c>
      <c r="H266" s="12" t="s">
        <v>591</v>
      </c>
      <c r="I266" s="12">
        <v>52341134929</v>
      </c>
      <c r="J266" s="12" t="s">
        <v>4339</v>
      </c>
      <c r="K266" s="12">
        <v>1</v>
      </c>
      <c r="L266" s="12">
        <v>5</v>
      </c>
      <c r="M266" s="12"/>
      <c r="N266" s="72" t="s">
        <v>4316</v>
      </c>
      <c r="O266" s="12" t="s">
        <v>3894</v>
      </c>
      <c r="P266" s="12"/>
      <c r="Q266" s="12"/>
      <c r="R266" s="12" t="s">
        <v>94</v>
      </c>
      <c r="S266" s="12">
        <v>10</v>
      </c>
      <c r="T266" s="12">
        <v>800044785</v>
      </c>
      <c r="U266" s="58" t="s">
        <v>3895</v>
      </c>
      <c r="V266" s="12">
        <f>VLOOKUP(Tabla43[[#This Row],[ZONA DEFINITIVO]],Hoja1!$A$1:$D$129,3,0)</f>
        <v>232296</v>
      </c>
      <c r="W266" s="12">
        <f>VLOOKUP(Tabla43[[#This Row],[ZONA DEFINITIVO]],Hoja1!$A$1:$D$129,2,0)</f>
        <v>18589</v>
      </c>
      <c r="X266" s="12">
        <f>VLOOKUP(Tabla43[[#This Row],[ZONA DEFINITIVO]],Hoja1!$A$1:$D$129,4,0)</f>
        <v>117325</v>
      </c>
      <c r="Y266" s="12" t="str">
        <f>+IF(Tabla43[[#This Row],[AGRUPACIONES]]=1,SUMIFS(Tabla43[UDS],Tabla43[ZONA DEFINITIVO],Tabla43[[#This Row],[ZONA DEFINITIVO]])," ")</f>
        <v xml:space="preserve"> </v>
      </c>
      <c r="Z266" s="12" t="str">
        <f>+IF(Tabla43[[#This Row],[AGRUPACIONES]]=1,SUMIFS(Tabla43[TOTAL COBERTURA],Tabla43[ZONA DEFINITIVO],Tabla43[[#This Row],[ZONA DEFINITIVO]])," ")</f>
        <v xml:space="preserve"> </v>
      </c>
      <c r="AA266" s="12"/>
      <c r="AB266" s="51">
        <v>15926440</v>
      </c>
      <c r="AC266" s="51"/>
      <c r="AD266" s="38">
        <f>Tabla43[[#This Row],[VALOR ATENCIÓN (7 MESES)]]*Tabla43[[#This Row],[% CONTRAPARTIDA]]</f>
        <v>0</v>
      </c>
      <c r="AE266" s="12"/>
      <c r="AF266" s="12">
        <f>COUNTIF($A$22:A266,A266)</f>
        <v>12</v>
      </c>
      <c r="AG266" s="51">
        <v>15926440</v>
      </c>
      <c r="AH266" s="38">
        <f>Tabla43[[#This Row],[VALOR CONTRAPARTIDA]]+Tabla43[[#This Row],[TOTAL APORTES ICBF]]</f>
        <v>15926440</v>
      </c>
      <c r="AI266" s="35" t="str">
        <f>+IF(Tabla43[[#This Row],[AGRUPACIONES]]=1,SUMIFS(Tabla43[TOTAL APORTES ICBF],Tabla43[ZONA DEFINITIVO],Tabla43[[#This Row],[ZONA DEFINITIVO]])," ")</f>
        <v xml:space="preserve"> </v>
      </c>
      <c r="AJ266" s="38"/>
      <c r="AK266" s="38"/>
      <c r="AL266" s="23"/>
      <c r="AM266" s="35">
        <f>VLOOKUP(Tabla43[[#This Row],[SERVICIO 2025]],$J$2:$V$16,5,0)*Tabla43[[#This Row],[TOTAL COBERTURA]]</f>
        <v>246880</v>
      </c>
      <c r="AN266" s="35">
        <f>VLOOKUP(Tabla43[[#This Row],[SERVICIO 2025]],$J$2:$V$16,6,0)*Tabla43[[#This Row],[TOTAL COBERTURA]]</f>
        <v>205145</v>
      </c>
      <c r="AO266" s="35">
        <f>VLOOKUP(Tabla43[[#This Row],[SERVICIO 2025]],$J$2:$V$16,8,0)*Tabla43[[#This Row],[TOTAL COBERTURA]]</f>
        <v>145500</v>
      </c>
      <c r="AP266" s="35">
        <f>VLOOKUP(Tabla43[[#This Row],[SERVICIO 2025]],$J$2:$V$16,3,0)*Tabla43[[#This Row],[TOTAL COBERTURA]]*7</f>
        <v>15328915</v>
      </c>
      <c r="AQ266" s="35">
        <f>VLOOKUP(Tabla43[[#This Row],[SERVICIO 2025]],$J$2:$V$16,10,0)*Tabla43[[#This Row],[TOTAL COBERTURA]]*7</f>
        <v>0</v>
      </c>
      <c r="AR266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15926440</v>
      </c>
      <c r="AS266" s="35" t="str">
        <f>+IF(Tabla43[[#This Row],[AGRUPACIONES]]=1,SUMIFS(Tabla43[VALOR TOTAL],Tabla43[ZONA DEFINITIVO],Tabla43[[#This Row],[ZONA DEFINITIVO]])," ")</f>
        <v xml:space="preserve"> </v>
      </c>
      <c r="AT266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2582225</v>
      </c>
      <c r="AU266" s="35">
        <f>VLOOKUP(Tabla43[[#This Row],[SERVICIO 2025]],$J$2:$V$16,3,0)*Tabla43[[#This Row],[TOTAL COBERTURA]]+Tabla43[[#This Row],[VALOR RACION PREPARADA]]/7</f>
        <v>2189845</v>
      </c>
      <c r="AV266" s="35">
        <f>VLOOKUP(Tabla43[[#This Row],[SERVICIO 2025]],$J$2:$V$16,3,0)*Tabla43[[#This Row],[TOTAL COBERTURA]]+Tabla43[[#This Row],[VALOR RACION PREPARADA]]/7</f>
        <v>2189845</v>
      </c>
      <c r="AW266" s="35">
        <f>VLOOKUP(Tabla43[[#This Row],[SERVICIO 2025]],$J$2:$V$16,3,0)*Tabla43[[#This Row],[TOTAL COBERTURA]]+Tabla43[[#This Row],[VALOR RACION PREPARADA]]/7</f>
        <v>2189845</v>
      </c>
      <c r="AX266" s="35">
        <f>VLOOKUP(Tabla43[[#This Row],[SERVICIO 2025]],$J$2:$V$16,3,0)*Tabla43[[#This Row],[TOTAL COBERTURA]]+Tabla43[[#This Row],[VALOR RACION PREPARADA]]/7</f>
        <v>2189845</v>
      </c>
      <c r="AY266" s="35">
        <f>VLOOKUP(Tabla43[[#This Row],[SERVICIO 2025]],$J$2:$V$16,3,0)*Tabla43[[#This Row],[TOTAL COBERTURA]]+Tabla43[[#This Row],[VALOR RACION PREPARADA]]/7</f>
        <v>2189845</v>
      </c>
      <c r="AZ266" s="35">
        <f>VLOOKUP(Tabla43[[#This Row],[SERVICIO 2025]],$J$2:$V$16,3,0)*Tabla43[[#This Row],[TOTAL COBERTURA]]+Tabla43[[#This Row],[VALOR RACION PREPARADA]]/7+Tabla43[[#This Row],[VALOR FASE PREPARATORIA DE CIERRE]]</f>
        <v>2394990</v>
      </c>
      <c r="BA266" s="35"/>
      <c r="BB266" s="35">
        <f>SUM(Tabla43[[#This Row],[DESEMBOLSO 1]:[DESEMBOLSO 8]])</f>
        <v>15926440</v>
      </c>
      <c r="BC266" s="55">
        <f>VLOOKUP(Tabla43[[#This Row],[SERVICIO 2025]],$J$2:$V$16,10,0)*Tabla43[[#This Row],[TOTAL COBERTURA]]*$W$3</f>
        <v>0</v>
      </c>
      <c r="BD266" s="66" t="s">
        <v>145</v>
      </c>
      <c r="BE266" s="12" t="b">
        <f>EXACT(Tabla43[[#This Row],[TOTAL APORTES ICBF]],Tabla43[[#This Row],[VALOR TOTAL]])</f>
        <v>1</v>
      </c>
      <c r="BF266" s="23">
        <f>SUM(Tabla43[[#This Row],[VALOR FASE PREPARATORIA DE ALISTAMIENTO]:[VALOR RACION PREPARADA]])-Tabla43[[#This Row],[VALOR TOTAL]]</f>
        <v>0</v>
      </c>
      <c r="BG266" s="12" t="b">
        <f>EXACT(Tabla43[[#This Row],[VALOR TOTAL]],Tabla43[[#This Row],[TOTAL DESEMBOLSOS]])</f>
        <v>1</v>
      </c>
      <c r="BH266" s="29">
        <f>Tabla43[[#This Row],[TOTAL DESEMBOLSOS]]-Tabla43[[#This Row],[VALOR TOTAL]]</f>
        <v>0</v>
      </c>
      <c r="BJ266" t="s">
        <v>3896</v>
      </c>
    </row>
    <row r="267" spans="1:62" hidden="1">
      <c r="A267" s="72" t="s">
        <v>4316</v>
      </c>
      <c r="B267" s="13"/>
      <c r="C267" s="12" t="s">
        <v>87</v>
      </c>
      <c r="D267" s="12" t="s">
        <v>579</v>
      </c>
      <c r="E267" s="12" t="s">
        <v>4073</v>
      </c>
      <c r="F267" s="12" t="s">
        <v>2843</v>
      </c>
      <c r="G267" s="12" t="s">
        <v>90</v>
      </c>
      <c r="H267" s="12" t="s">
        <v>4340</v>
      </c>
      <c r="I267" s="12">
        <v>52341134932</v>
      </c>
      <c r="J267" s="12" t="s">
        <v>4341</v>
      </c>
      <c r="K267" s="12">
        <v>1</v>
      </c>
      <c r="L267" s="12">
        <v>23</v>
      </c>
      <c r="M267" s="12"/>
      <c r="N267" s="72" t="s">
        <v>4316</v>
      </c>
      <c r="O267" s="12" t="s">
        <v>3894</v>
      </c>
      <c r="P267" s="12"/>
      <c r="Q267" s="12"/>
      <c r="R267" s="12" t="s">
        <v>94</v>
      </c>
      <c r="S267" s="12">
        <v>10</v>
      </c>
      <c r="T267" s="12">
        <v>800044785</v>
      </c>
      <c r="U267" s="58" t="s">
        <v>3895</v>
      </c>
      <c r="V267" s="12">
        <f>VLOOKUP(Tabla43[[#This Row],[ZONA DEFINITIVO]],Hoja1!$A$1:$D$129,3,0)</f>
        <v>232296</v>
      </c>
      <c r="W267" s="12">
        <f>VLOOKUP(Tabla43[[#This Row],[ZONA DEFINITIVO]],Hoja1!$A$1:$D$129,2,0)</f>
        <v>18589</v>
      </c>
      <c r="X267" s="12">
        <f>VLOOKUP(Tabla43[[#This Row],[ZONA DEFINITIVO]],Hoja1!$A$1:$D$129,4,0)</f>
        <v>117325</v>
      </c>
      <c r="Y267" s="12" t="str">
        <f>+IF(Tabla43[[#This Row],[AGRUPACIONES]]=1,SUMIFS(Tabla43[UDS],Tabla43[ZONA DEFINITIVO],Tabla43[[#This Row],[ZONA DEFINITIVO]])," ")</f>
        <v xml:space="preserve"> </v>
      </c>
      <c r="Z267" s="12" t="str">
        <f>+IF(Tabla43[[#This Row],[AGRUPACIONES]]=1,SUMIFS(Tabla43[TOTAL COBERTURA],Tabla43[ZONA DEFINITIVO],Tabla43[[#This Row],[ZONA DEFINITIVO]])," ")</f>
        <v xml:space="preserve"> </v>
      </c>
      <c r="AA267" s="12"/>
      <c r="AB267" s="51">
        <v>73261624</v>
      </c>
      <c r="AC267" s="51"/>
      <c r="AD267" s="38">
        <f>Tabla43[[#This Row],[VALOR ATENCIÓN (7 MESES)]]*Tabla43[[#This Row],[% CONTRAPARTIDA]]</f>
        <v>0</v>
      </c>
      <c r="AE267" s="12"/>
      <c r="AF267" s="12">
        <f>COUNTIF($A$22:A267,A267)</f>
        <v>13</v>
      </c>
      <c r="AG267" s="51">
        <v>73261624</v>
      </c>
      <c r="AH267" s="38">
        <f>Tabla43[[#This Row],[VALOR CONTRAPARTIDA]]+Tabla43[[#This Row],[TOTAL APORTES ICBF]]</f>
        <v>73261624</v>
      </c>
      <c r="AI267" s="35" t="str">
        <f>+IF(Tabla43[[#This Row],[AGRUPACIONES]]=1,SUMIFS(Tabla43[TOTAL APORTES ICBF],Tabla43[ZONA DEFINITIVO],Tabla43[[#This Row],[ZONA DEFINITIVO]])," ")</f>
        <v xml:space="preserve"> </v>
      </c>
      <c r="AJ267" s="38"/>
      <c r="AK267" s="38"/>
      <c r="AL267" s="23"/>
      <c r="AM267" s="35">
        <f>VLOOKUP(Tabla43[[#This Row],[SERVICIO 2025]],$J$2:$V$16,5,0)*Tabla43[[#This Row],[TOTAL COBERTURA]]</f>
        <v>1135648</v>
      </c>
      <c r="AN267" s="35">
        <f>VLOOKUP(Tabla43[[#This Row],[SERVICIO 2025]],$J$2:$V$16,6,0)*Tabla43[[#This Row],[TOTAL COBERTURA]]</f>
        <v>943667</v>
      </c>
      <c r="AO267" s="35">
        <f>VLOOKUP(Tabla43[[#This Row],[SERVICIO 2025]],$J$2:$V$16,8,0)*Tabla43[[#This Row],[TOTAL COBERTURA]]</f>
        <v>669300</v>
      </c>
      <c r="AP267" s="35">
        <f>VLOOKUP(Tabla43[[#This Row],[SERVICIO 2025]],$J$2:$V$16,3,0)*Tabla43[[#This Row],[TOTAL COBERTURA]]*7</f>
        <v>70513009</v>
      </c>
      <c r="AQ267" s="35">
        <f>VLOOKUP(Tabla43[[#This Row],[SERVICIO 2025]],$J$2:$V$16,10,0)*Tabla43[[#This Row],[TOTAL COBERTURA]]*7</f>
        <v>0</v>
      </c>
      <c r="AR267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73261624</v>
      </c>
      <c r="AS267" s="35" t="str">
        <f>+IF(Tabla43[[#This Row],[AGRUPACIONES]]=1,SUMIFS(Tabla43[VALOR TOTAL],Tabla43[ZONA DEFINITIVO],Tabla43[[#This Row],[ZONA DEFINITIVO]])," ")</f>
        <v xml:space="preserve"> </v>
      </c>
      <c r="AT267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11878235</v>
      </c>
      <c r="AU267" s="35">
        <f>VLOOKUP(Tabla43[[#This Row],[SERVICIO 2025]],$J$2:$V$16,3,0)*Tabla43[[#This Row],[TOTAL COBERTURA]]+Tabla43[[#This Row],[VALOR RACION PREPARADA]]/7</f>
        <v>10073287</v>
      </c>
      <c r="AV267" s="35">
        <f>VLOOKUP(Tabla43[[#This Row],[SERVICIO 2025]],$J$2:$V$16,3,0)*Tabla43[[#This Row],[TOTAL COBERTURA]]+Tabla43[[#This Row],[VALOR RACION PREPARADA]]/7</f>
        <v>10073287</v>
      </c>
      <c r="AW267" s="35">
        <f>VLOOKUP(Tabla43[[#This Row],[SERVICIO 2025]],$J$2:$V$16,3,0)*Tabla43[[#This Row],[TOTAL COBERTURA]]+Tabla43[[#This Row],[VALOR RACION PREPARADA]]/7</f>
        <v>10073287</v>
      </c>
      <c r="AX267" s="35">
        <f>VLOOKUP(Tabla43[[#This Row],[SERVICIO 2025]],$J$2:$V$16,3,0)*Tabla43[[#This Row],[TOTAL COBERTURA]]+Tabla43[[#This Row],[VALOR RACION PREPARADA]]/7</f>
        <v>10073287</v>
      </c>
      <c r="AY267" s="35">
        <f>VLOOKUP(Tabla43[[#This Row],[SERVICIO 2025]],$J$2:$V$16,3,0)*Tabla43[[#This Row],[TOTAL COBERTURA]]+Tabla43[[#This Row],[VALOR RACION PREPARADA]]/7</f>
        <v>10073287</v>
      </c>
      <c r="AZ267" s="35">
        <f>VLOOKUP(Tabla43[[#This Row],[SERVICIO 2025]],$J$2:$V$16,3,0)*Tabla43[[#This Row],[TOTAL COBERTURA]]+Tabla43[[#This Row],[VALOR RACION PREPARADA]]/7+Tabla43[[#This Row],[VALOR FASE PREPARATORIA DE CIERRE]]</f>
        <v>11016954</v>
      </c>
      <c r="BA267" s="35"/>
      <c r="BB267" s="35">
        <f>SUM(Tabla43[[#This Row],[DESEMBOLSO 1]:[DESEMBOLSO 8]])</f>
        <v>73261624</v>
      </c>
      <c r="BC267" s="55">
        <f>VLOOKUP(Tabla43[[#This Row],[SERVICIO 2025]],$J$2:$V$16,10,0)*Tabla43[[#This Row],[TOTAL COBERTURA]]*$W$3</f>
        <v>0</v>
      </c>
      <c r="BD267" s="66" t="s">
        <v>145</v>
      </c>
      <c r="BE267" s="12" t="b">
        <f>EXACT(Tabla43[[#This Row],[TOTAL APORTES ICBF]],Tabla43[[#This Row],[VALOR TOTAL]])</f>
        <v>1</v>
      </c>
      <c r="BF267" s="23">
        <f>SUM(Tabla43[[#This Row],[VALOR FASE PREPARATORIA DE ALISTAMIENTO]:[VALOR RACION PREPARADA]])-Tabla43[[#This Row],[VALOR TOTAL]]</f>
        <v>0</v>
      </c>
      <c r="BG267" s="12" t="b">
        <f>EXACT(Tabla43[[#This Row],[VALOR TOTAL]],Tabla43[[#This Row],[TOTAL DESEMBOLSOS]])</f>
        <v>1</v>
      </c>
      <c r="BH267" s="29">
        <f>Tabla43[[#This Row],[TOTAL DESEMBOLSOS]]-Tabla43[[#This Row],[VALOR TOTAL]]</f>
        <v>0</v>
      </c>
      <c r="BJ267" t="s">
        <v>3896</v>
      </c>
    </row>
    <row r="268" spans="1:62" hidden="1">
      <c r="A268" s="72" t="s">
        <v>4316</v>
      </c>
      <c r="B268" s="13"/>
      <c r="C268" s="12" t="s">
        <v>87</v>
      </c>
      <c r="D268" s="12" t="s">
        <v>579</v>
      </c>
      <c r="E268" s="12" t="s">
        <v>4073</v>
      </c>
      <c r="F268" s="12" t="s">
        <v>2843</v>
      </c>
      <c r="G268" s="12" t="s">
        <v>90</v>
      </c>
      <c r="H268" s="12" t="s">
        <v>4342</v>
      </c>
      <c r="I268" s="12">
        <v>52341135538</v>
      </c>
      <c r="J268" s="12" t="s">
        <v>4343</v>
      </c>
      <c r="K268" s="12">
        <v>1</v>
      </c>
      <c r="L268" s="12">
        <v>15</v>
      </c>
      <c r="M268" s="12"/>
      <c r="N268" s="72" t="s">
        <v>4316</v>
      </c>
      <c r="O268" s="12" t="s">
        <v>3894</v>
      </c>
      <c r="P268" s="12"/>
      <c r="Q268" s="12"/>
      <c r="R268" s="12" t="s">
        <v>94</v>
      </c>
      <c r="S268" s="12">
        <v>10</v>
      </c>
      <c r="T268" s="12">
        <v>800044785</v>
      </c>
      <c r="U268" s="58" t="s">
        <v>3895</v>
      </c>
      <c r="V268" s="12">
        <f>VLOOKUP(Tabla43[[#This Row],[ZONA DEFINITIVO]],Hoja1!$A$1:$D$129,3,0)</f>
        <v>232296</v>
      </c>
      <c r="W268" s="12">
        <f>VLOOKUP(Tabla43[[#This Row],[ZONA DEFINITIVO]],Hoja1!$A$1:$D$129,2,0)</f>
        <v>18589</v>
      </c>
      <c r="X268" s="12">
        <f>VLOOKUP(Tabla43[[#This Row],[ZONA DEFINITIVO]],Hoja1!$A$1:$D$129,4,0)</f>
        <v>117325</v>
      </c>
      <c r="Y268" s="12" t="str">
        <f>+IF(Tabla43[[#This Row],[AGRUPACIONES]]=1,SUMIFS(Tabla43[UDS],Tabla43[ZONA DEFINITIVO],Tabla43[[#This Row],[ZONA DEFINITIVO]])," ")</f>
        <v xml:space="preserve"> </v>
      </c>
      <c r="Z268" s="12" t="str">
        <f>+IF(Tabla43[[#This Row],[AGRUPACIONES]]=1,SUMIFS(Tabla43[TOTAL COBERTURA],Tabla43[ZONA DEFINITIVO],Tabla43[[#This Row],[ZONA DEFINITIVO]])," ")</f>
        <v xml:space="preserve"> </v>
      </c>
      <c r="AA268" s="12"/>
      <c r="AB268" s="51">
        <v>47779320</v>
      </c>
      <c r="AC268" s="51"/>
      <c r="AD268" s="38">
        <f>Tabla43[[#This Row],[VALOR ATENCIÓN (7 MESES)]]*Tabla43[[#This Row],[% CONTRAPARTIDA]]</f>
        <v>0</v>
      </c>
      <c r="AE268" s="12"/>
      <c r="AF268" s="12">
        <f>COUNTIF($A$22:A268,A268)</f>
        <v>14</v>
      </c>
      <c r="AG268" s="51">
        <v>47779320</v>
      </c>
      <c r="AH268" s="38">
        <f>Tabla43[[#This Row],[VALOR CONTRAPARTIDA]]+Tabla43[[#This Row],[TOTAL APORTES ICBF]]</f>
        <v>47779320</v>
      </c>
      <c r="AI268" s="35" t="str">
        <f>+IF(Tabla43[[#This Row],[AGRUPACIONES]]=1,SUMIFS(Tabla43[TOTAL APORTES ICBF],Tabla43[ZONA DEFINITIVO],Tabla43[[#This Row],[ZONA DEFINITIVO]])," ")</f>
        <v xml:space="preserve"> </v>
      </c>
      <c r="AJ268" s="38"/>
      <c r="AK268" s="38"/>
      <c r="AL268" s="23"/>
      <c r="AM268" s="35">
        <f>VLOOKUP(Tabla43[[#This Row],[SERVICIO 2025]],$J$2:$V$16,5,0)*Tabla43[[#This Row],[TOTAL COBERTURA]]</f>
        <v>740640</v>
      </c>
      <c r="AN268" s="35">
        <f>VLOOKUP(Tabla43[[#This Row],[SERVICIO 2025]],$J$2:$V$16,6,0)*Tabla43[[#This Row],[TOTAL COBERTURA]]</f>
        <v>615435</v>
      </c>
      <c r="AO268" s="35">
        <f>VLOOKUP(Tabla43[[#This Row],[SERVICIO 2025]],$J$2:$V$16,8,0)*Tabla43[[#This Row],[TOTAL COBERTURA]]</f>
        <v>436500</v>
      </c>
      <c r="AP268" s="35">
        <f>VLOOKUP(Tabla43[[#This Row],[SERVICIO 2025]],$J$2:$V$16,3,0)*Tabla43[[#This Row],[TOTAL COBERTURA]]*7</f>
        <v>45986745</v>
      </c>
      <c r="AQ268" s="35">
        <f>VLOOKUP(Tabla43[[#This Row],[SERVICIO 2025]],$J$2:$V$16,10,0)*Tabla43[[#This Row],[TOTAL COBERTURA]]*7</f>
        <v>0</v>
      </c>
      <c r="AR268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47779320</v>
      </c>
      <c r="AS268" s="35" t="str">
        <f>+IF(Tabla43[[#This Row],[AGRUPACIONES]]=1,SUMIFS(Tabla43[VALOR TOTAL],Tabla43[ZONA DEFINITIVO],Tabla43[[#This Row],[ZONA DEFINITIVO]])," ")</f>
        <v xml:space="preserve"> </v>
      </c>
      <c r="AT268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7746675</v>
      </c>
      <c r="AU268" s="35">
        <f>VLOOKUP(Tabla43[[#This Row],[SERVICIO 2025]],$J$2:$V$16,3,0)*Tabla43[[#This Row],[TOTAL COBERTURA]]+Tabla43[[#This Row],[VALOR RACION PREPARADA]]/7</f>
        <v>6569535</v>
      </c>
      <c r="AV268" s="35">
        <f>VLOOKUP(Tabla43[[#This Row],[SERVICIO 2025]],$J$2:$V$16,3,0)*Tabla43[[#This Row],[TOTAL COBERTURA]]+Tabla43[[#This Row],[VALOR RACION PREPARADA]]/7</f>
        <v>6569535</v>
      </c>
      <c r="AW268" s="35">
        <f>VLOOKUP(Tabla43[[#This Row],[SERVICIO 2025]],$J$2:$V$16,3,0)*Tabla43[[#This Row],[TOTAL COBERTURA]]+Tabla43[[#This Row],[VALOR RACION PREPARADA]]/7</f>
        <v>6569535</v>
      </c>
      <c r="AX268" s="35">
        <f>VLOOKUP(Tabla43[[#This Row],[SERVICIO 2025]],$J$2:$V$16,3,0)*Tabla43[[#This Row],[TOTAL COBERTURA]]+Tabla43[[#This Row],[VALOR RACION PREPARADA]]/7</f>
        <v>6569535</v>
      </c>
      <c r="AY268" s="35">
        <f>VLOOKUP(Tabla43[[#This Row],[SERVICIO 2025]],$J$2:$V$16,3,0)*Tabla43[[#This Row],[TOTAL COBERTURA]]+Tabla43[[#This Row],[VALOR RACION PREPARADA]]/7</f>
        <v>6569535</v>
      </c>
      <c r="AZ268" s="35">
        <f>VLOOKUP(Tabla43[[#This Row],[SERVICIO 2025]],$J$2:$V$16,3,0)*Tabla43[[#This Row],[TOTAL COBERTURA]]+Tabla43[[#This Row],[VALOR RACION PREPARADA]]/7+Tabla43[[#This Row],[VALOR FASE PREPARATORIA DE CIERRE]]</f>
        <v>7184970</v>
      </c>
      <c r="BA268" s="35"/>
      <c r="BB268" s="35">
        <f>SUM(Tabla43[[#This Row],[DESEMBOLSO 1]:[DESEMBOLSO 8]])</f>
        <v>47779320</v>
      </c>
      <c r="BC268" s="55">
        <f>VLOOKUP(Tabla43[[#This Row],[SERVICIO 2025]],$J$2:$V$16,10,0)*Tabla43[[#This Row],[TOTAL COBERTURA]]*$W$3</f>
        <v>0</v>
      </c>
      <c r="BD268" s="66" t="s">
        <v>145</v>
      </c>
      <c r="BE268" s="12" t="b">
        <f>EXACT(Tabla43[[#This Row],[TOTAL APORTES ICBF]],Tabla43[[#This Row],[VALOR TOTAL]])</f>
        <v>1</v>
      </c>
      <c r="BF268" s="23">
        <f>SUM(Tabla43[[#This Row],[VALOR FASE PREPARATORIA DE ALISTAMIENTO]:[VALOR RACION PREPARADA]])-Tabla43[[#This Row],[VALOR TOTAL]]</f>
        <v>0</v>
      </c>
      <c r="BG268" s="12" t="b">
        <f>EXACT(Tabla43[[#This Row],[VALOR TOTAL]],Tabla43[[#This Row],[TOTAL DESEMBOLSOS]])</f>
        <v>1</v>
      </c>
      <c r="BH268" s="29">
        <f>Tabla43[[#This Row],[TOTAL DESEMBOLSOS]]-Tabla43[[#This Row],[VALOR TOTAL]]</f>
        <v>0</v>
      </c>
      <c r="BJ268" t="s">
        <v>3896</v>
      </c>
    </row>
    <row r="269" spans="1:62" hidden="1">
      <c r="A269" s="72" t="s">
        <v>4316</v>
      </c>
      <c r="B269" s="13"/>
      <c r="C269" s="12" t="s">
        <v>87</v>
      </c>
      <c r="D269" s="12" t="s">
        <v>579</v>
      </c>
      <c r="E269" s="12" t="s">
        <v>4073</v>
      </c>
      <c r="F269" s="12" t="s">
        <v>2843</v>
      </c>
      <c r="G269" s="12" t="s">
        <v>90</v>
      </c>
      <c r="H269" s="12" t="s">
        <v>4344</v>
      </c>
      <c r="I269" s="12">
        <v>52341151152</v>
      </c>
      <c r="J269" s="12" t="s">
        <v>4345</v>
      </c>
      <c r="K269" s="12">
        <v>1</v>
      </c>
      <c r="L269" s="12">
        <v>26</v>
      </c>
      <c r="M269" s="12"/>
      <c r="N269" s="72" t="s">
        <v>4316</v>
      </c>
      <c r="O269" s="12" t="s">
        <v>3894</v>
      </c>
      <c r="P269" s="12"/>
      <c r="Q269" s="12"/>
      <c r="R269" s="12" t="s">
        <v>94</v>
      </c>
      <c r="S269" s="12">
        <v>10</v>
      </c>
      <c r="T269" s="12">
        <v>800044785</v>
      </c>
      <c r="U269" s="58" t="s">
        <v>3895</v>
      </c>
      <c r="V269" s="12">
        <f>VLOOKUP(Tabla43[[#This Row],[ZONA DEFINITIVO]],Hoja1!$A$1:$D$129,3,0)</f>
        <v>232296</v>
      </c>
      <c r="W269" s="12">
        <f>VLOOKUP(Tabla43[[#This Row],[ZONA DEFINITIVO]],Hoja1!$A$1:$D$129,2,0)</f>
        <v>18589</v>
      </c>
      <c r="X269" s="12">
        <f>VLOOKUP(Tabla43[[#This Row],[ZONA DEFINITIVO]],Hoja1!$A$1:$D$129,4,0)</f>
        <v>117325</v>
      </c>
      <c r="Y269" s="12" t="str">
        <f>+IF(Tabla43[[#This Row],[AGRUPACIONES]]=1,SUMIFS(Tabla43[UDS],Tabla43[ZONA DEFINITIVO],Tabla43[[#This Row],[ZONA DEFINITIVO]])," ")</f>
        <v xml:space="preserve"> </v>
      </c>
      <c r="Z269" s="12" t="str">
        <f>+IF(Tabla43[[#This Row],[AGRUPACIONES]]=1,SUMIFS(Tabla43[TOTAL COBERTURA],Tabla43[ZONA DEFINITIVO],Tabla43[[#This Row],[ZONA DEFINITIVO]])," ")</f>
        <v xml:space="preserve"> </v>
      </c>
      <c r="AA269" s="12"/>
      <c r="AB269" s="51">
        <v>82817488</v>
      </c>
      <c r="AC269" s="51"/>
      <c r="AD269" s="38">
        <f>Tabla43[[#This Row],[VALOR ATENCIÓN (7 MESES)]]*Tabla43[[#This Row],[% CONTRAPARTIDA]]</f>
        <v>0</v>
      </c>
      <c r="AE269" s="12"/>
      <c r="AF269" s="12">
        <f>COUNTIF($A$22:A269,A269)</f>
        <v>15</v>
      </c>
      <c r="AG269" s="51">
        <v>82817488</v>
      </c>
      <c r="AH269" s="38">
        <f>Tabla43[[#This Row],[VALOR CONTRAPARTIDA]]+Tabla43[[#This Row],[TOTAL APORTES ICBF]]</f>
        <v>82817488</v>
      </c>
      <c r="AI269" s="35" t="str">
        <f>+IF(Tabla43[[#This Row],[AGRUPACIONES]]=1,SUMIFS(Tabla43[TOTAL APORTES ICBF],Tabla43[ZONA DEFINITIVO],Tabla43[[#This Row],[ZONA DEFINITIVO]])," ")</f>
        <v xml:space="preserve"> </v>
      </c>
      <c r="AJ269" s="38"/>
      <c r="AK269" s="38"/>
      <c r="AL269" s="23"/>
      <c r="AM269" s="35">
        <f>VLOOKUP(Tabla43[[#This Row],[SERVICIO 2025]],$J$2:$V$16,5,0)*Tabla43[[#This Row],[TOTAL COBERTURA]]</f>
        <v>1283776</v>
      </c>
      <c r="AN269" s="35">
        <f>VLOOKUP(Tabla43[[#This Row],[SERVICIO 2025]],$J$2:$V$16,6,0)*Tabla43[[#This Row],[TOTAL COBERTURA]]</f>
        <v>1066754</v>
      </c>
      <c r="AO269" s="35">
        <f>VLOOKUP(Tabla43[[#This Row],[SERVICIO 2025]],$J$2:$V$16,8,0)*Tabla43[[#This Row],[TOTAL COBERTURA]]</f>
        <v>756600</v>
      </c>
      <c r="AP269" s="35">
        <f>VLOOKUP(Tabla43[[#This Row],[SERVICIO 2025]],$J$2:$V$16,3,0)*Tabla43[[#This Row],[TOTAL COBERTURA]]*7</f>
        <v>79710358</v>
      </c>
      <c r="AQ269" s="35">
        <f>VLOOKUP(Tabla43[[#This Row],[SERVICIO 2025]],$J$2:$V$16,10,0)*Tabla43[[#This Row],[TOTAL COBERTURA]]*7</f>
        <v>0</v>
      </c>
      <c r="AR269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82817488</v>
      </c>
      <c r="AS269" s="35" t="str">
        <f>+IF(Tabla43[[#This Row],[AGRUPACIONES]]=1,SUMIFS(Tabla43[VALOR TOTAL],Tabla43[ZONA DEFINITIVO],Tabla43[[#This Row],[ZONA DEFINITIVO]])," ")</f>
        <v xml:space="preserve"> </v>
      </c>
      <c r="AT269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13427570</v>
      </c>
      <c r="AU269" s="35">
        <f>VLOOKUP(Tabla43[[#This Row],[SERVICIO 2025]],$J$2:$V$16,3,0)*Tabla43[[#This Row],[TOTAL COBERTURA]]+Tabla43[[#This Row],[VALOR RACION PREPARADA]]/7</f>
        <v>11387194</v>
      </c>
      <c r="AV269" s="35">
        <f>VLOOKUP(Tabla43[[#This Row],[SERVICIO 2025]],$J$2:$V$16,3,0)*Tabla43[[#This Row],[TOTAL COBERTURA]]+Tabla43[[#This Row],[VALOR RACION PREPARADA]]/7</f>
        <v>11387194</v>
      </c>
      <c r="AW269" s="35">
        <f>VLOOKUP(Tabla43[[#This Row],[SERVICIO 2025]],$J$2:$V$16,3,0)*Tabla43[[#This Row],[TOTAL COBERTURA]]+Tabla43[[#This Row],[VALOR RACION PREPARADA]]/7</f>
        <v>11387194</v>
      </c>
      <c r="AX269" s="35">
        <f>VLOOKUP(Tabla43[[#This Row],[SERVICIO 2025]],$J$2:$V$16,3,0)*Tabla43[[#This Row],[TOTAL COBERTURA]]+Tabla43[[#This Row],[VALOR RACION PREPARADA]]/7</f>
        <v>11387194</v>
      </c>
      <c r="AY269" s="35">
        <f>VLOOKUP(Tabla43[[#This Row],[SERVICIO 2025]],$J$2:$V$16,3,0)*Tabla43[[#This Row],[TOTAL COBERTURA]]+Tabla43[[#This Row],[VALOR RACION PREPARADA]]/7</f>
        <v>11387194</v>
      </c>
      <c r="AZ269" s="35">
        <f>VLOOKUP(Tabla43[[#This Row],[SERVICIO 2025]],$J$2:$V$16,3,0)*Tabla43[[#This Row],[TOTAL COBERTURA]]+Tabla43[[#This Row],[VALOR RACION PREPARADA]]/7+Tabla43[[#This Row],[VALOR FASE PREPARATORIA DE CIERRE]]</f>
        <v>12453948</v>
      </c>
      <c r="BA269" s="35"/>
      <c r="BB269" s="35">
        <f>SUM(Tabla43[[#This Row],[DESEMBOLSO 1]:[DESEMBOLSO 8]])</f>
        <v>82817488</v>
      </c>
      <c r="BC269" s="55">
        <f>VLOOKUP(Tabla43[[#This Row],[SERVICIO 2025]],$J$2:$V$16,10,0)*Tabla43[[#This Row],[TOTAL COBERTURA]]*$W$3</f>
        <v>0</v>
      </c>
      <c r="BD269" s="66" t="s">
        <v>145</v>
      </c>
      <c r="BE269" s="12" t="b">
        <f>EXACT(Tabla43[[#This Row],[TOTAL APORTES ICBF]],Tabla43[[#This Row],[VALOR TOTAL]])</f>
        <v>1</v>
      </c>
      <c r="BF269" s="23">
        <f>SUM(Tabla43[[#This Row],[VALOR FASE PREPARATORIA DE ALISTAMIENTO]:[VALOR RACION PREPARADA]])-Tabla43[[#This Row],[VALOR TOTAL]]</f>
        <v>0</v>
      </c>
      <c r="BG269" s="12" t="b">
        <f>EXACT(Tabla43[[#This Row],[VALOR TOTAL]],Tabla43[[#This Row],[TOTAL DESEMBOLSOS]])</f>
        <v>1</v>
      </c>
      <c r="BH269" s="29">
        <f>Tabla43[[#This Row],[TOTAL DESEMBOLSOS]]-Tabla43[[#This Row],[VALOR TOTAL]]</f>
        <v>0</v>
      </c>
      <c r="BJ269" t="s">
        <v>3896</v>
      </c>
    </row>
    <row r="270" spans="1:62" hidden="1">
      <c r="A270" s="72" t="s">
        <v>4316</v>
      </c>
      <c r="B270" s="13"/>
      <c r="C270" s="12" t="s">
        <v>87</v>
      </c>
      <c r="D270" s="12" t="s">
        <v>579</v>
      </c>
      <c r="E270" s="12" t="s">
        <v>4073</v>
      </c>
      <c r="F270" s="12" t="s">
        <v>2843</v>
      </c>
      <c r="G270" s="12" t="s">
        <v>90</v>
      </c>
      <c r="H270" s="12" t="s">
        <v>4346</v>
      </c>
      <c r="I270" s="12">
        <v>52341151153</v>
      </c>
      <c r="J270" s="12" t="s">
        <v>4347</v>
      </c>
      <c r="K270" s="12">
        <v>1</v>
      </c>
      <c r="L270" s="12">
        <v>24</v>
      </c>
      <c r="M270" s="12"/>
      <c r="N270" s="72" t="s">
        <v>4316</v>
      </c>
      <c r="O270" s="12" t="s">
        <v>3894</v>
      </c>
      <c r="P270" s="12"/>
      <c r="Q270" s="12"/>
      <c r="R270" s="12" t="s">
        <v>94</v>
      </c>
      <c r="S270" s="12">
        <v>10</v>
      </c>
      <c r="T270" s="12">
        <v>800044785</v>
      </c>
      <c r="U270" s="58" t="s">
        <v>3895</v>
      </c>
      <c r="V270" s="12">
        <f>VLOOKUP(Tabla43[[#This Row],[ZONA DEFINITIVO]],Hoja1!$A$1:$D$129,3,0)</f>
        <v>232296</v>
      </c>
      <c r="W270" s="12">
        <f>VLOOKUP(Tabla43[[#This Row],[ZONA DEFINITIVO]],Hoja1!$A$1:$D$129,2,0)</f>
        <v>18589</v>
      </c>
      <c r="X270" s="12">
        <f>VLOOKUP(Tabla43[[#This Row],[ZONA DEFINITIVO]],Hoja1!$A$1:$D$129,4,0)</f>
        <v>117325</v>
      </c>
      <c r="Y270" s="12" t="str">
        <f>+IF(Tabla43[[#This Row],[AGRUPACIONES]]=1,SUMIFS(Tabla43[UDS],Tabla43[ZONA DEFINITIVO],Tabla43[[#This Row],[ZONA DEFINITIVO]])," ")</f>
        <v xml:space="preserve"> </v>
      </c>
      <c r="Z270" s="12" t="str">
        <f>+IF(Tabla43[[#This Row],[AGRUPACIONES]]=1,SUMIFS(Tabla43[TOTAL COBERTURA],Tabla43[ZONA DEFINITIVO],Tabla43[[#This Row],[ZONA DEFINITIVO]])," ")</f>
        <v xml:space="preserve"> </v>
      </c>
      <c r="AA270" s="12"/>
      <c r="AB270" s="51">
        <v>76446912</v>
      </c>
      <c r="AC270" s="51"/>
      <c r="AD270" s="38">
        <f>Tabla43[[#This Row],[VALOR ATENCIÓN (7 MESES)]]*Tabla43[[#This Row],[% CONTRAPARTIDA]]</f>
        <v>0</v>
      </c>
      <c r="AE270" s="12"/>
      <c r="AF270" s="12">
        <f>COUNTIF($A$22:A270,A270)</f>
        <v>16</v>
      </c>
      <c r="AG270" s="51">
        <v>76446912</v>
      </c>
      <c r="AH270" s="38">
        <f>Tabla43[[#This Row],[VALOR CONTRAPARTIDA]]+Tabla43[[#This Row],[TOTAL APORTES ICBF]]</f>
        <v>76446912</v>
      </c>
      <c r="AI270" s="35" t="str">
        <f>+IF(Tabla43[[#This Row],[AGRUPACIONES]]=1,SUMIFS(Tabla43[TOTAL APORTES ICBF],Tabla43[ZONA DEFINITIVO],Tabla43[[#This Row],[ZONA DEFINITIVO]])," ")</f>
        <v xml:space="preserve"> </v>
      </c>
      <c r="AJ270" s="38"/>
      <c r="AK270" s="38"/>
      <c r="AL270" s="23"/>
      <c r="AM270" s="35">
        <f>VLOOKUP(Tabla43[[#This Row],[SERVICIO 2025]],$J$2:$V$16,5,0)*Tabla43[[#This Row],[TOTAL COBERTURA]]</f>
        <v>1185024</v>
      </c>
      <c r="AN270" s="35">
        <f>VLOOKUP(Tabla43[[#This Row],[SERVICIO 2025]],$J$2:$V$16,6,0)*Tabla43[[#This Row],[TOTAL COBERTURA]]</f>
        <v>984696</v>
      </c>
      <c r="AO270" s="35">
        <f>VLOOKUP(Tabla43[[#This Row],[SERVICIO 2025]],$J$2:$V$16,8,0)*Tabla43[[#This Row],[TOTAL COBERTURA]]</f>
        <v>698400</v>
      </c>
      <c r="AP270" s="35">
        <f>VLOOKUP(Tabla43[[#This Row],[SERVICIO 2025]],$J$2:$V$16,3,0)*Tabla43[[#This Row],[TOTAL COBERTURA]]*7</f>
        <v>73578792</v>
      </c>
      <c r="AQ270" s="35">
        <f>VLOOKUP(Tabla43[[#This Row],[SERVICIO 2025]],$J$2:$V$16,10,0)*Tabla43[[#This Row],[TOTAL COBERTURA]]*7</f>
        <v>0</v>
      </c>
      <c r="AR270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76446912</v>
      </c>
      <c r="AS270" s="35" t="str">
        <f>+IF(Tabla43[[#This Row],[AGRUPACIONES]]=1,SUMIFS(Tabla43[VALOR TOTAL],Tabla43[ZONA DEFINITIVO],Tabla43[[#This Row],[ZONA DEFINITIVO]])," ")</f>
        <v xml:space="preserve"> </v>
      </c>
      <c r="AT270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12394680</v>
      </c>
      <c r="AU270" s="35">
        <f>VLOOKUP(Tabla43[[#This Row],[SERVICIO 2025]],$J$2:$V$16,3,0)*Tabla43[[#This Row],[TOTAL COBERTURA]]+Tabla43[[#This Row],[VALOR RACION PREPARADA]]/7</f>
        <v>10511256</v>
      </c>
      <c r="AV270" s="35">
        <f>VLOOKUP(Tabla43[[#This Row],[SERVICIO 2025]],$J$2:$V$16,3,0)*Tabla43[[#This Row],[TOTAL COBERTURA]]+Tabla43[[#This Row],[VALOR RACION PREPARADA]]/7</f>
        <v>10511256</v>
      </c>
      <c r="AW270" s="35">
        <f>VLOOKUP(Tabla43[[#This Row],[SERVICIO 2025]],$J$2:$V$16,3,0)*Tabla43[[#This Row],[TOTAL COBERTURA]]+Tabla43[[#This Row],[VALOR RACION PREPARADA]]/7</f>
        <v>10511256</v>
      </c>
      <c r="AX270" s="35">
        <f>VLOOKUP(Tabla43[[#This Row],[SERVICIO 2025]],$J$2:$V$16,3,0)*Tabla43[[#This Row],[TOTAL COBERTURA]]+Tabla43[[#This Row],[VALOR RACION PREPARADA]]/7</f>
        <v>10511256</v>
      </c>
      <c r="AY270" s="35">
        <f>VLOOKUP(Tabla43[[#This Row],[SERVICIO 2025]],$J$2:$V$16,3,0)*Tabla43[[#This Row],[TOTAL COBERTURA]]+Tabla43[[#This Row],[VALOR RACION PREPARADA]]/7</f>
        <v>10511256</v>
      </c>
      <c r="AZ270" s="35">
        <f>VLOOKUP(Tabla43[[#This Row],[SERVICIO 2025]],$J$2:$V$16,3,0)*Tabla43[[#This Row],[TOTAL COBERTURA]]+Tabla43[[#This Row],[VALOR RACION PREPARADA]]/7+Tabla43[[#This Row],[VALOR FASE PREPARATORIA DE CIERRE]]</f>
        <v>11495952</v>
      </c>
      <c r="BA270" s="35"/>
      <c r="BB270" s="35">
        <f>SUM(Tabla43[[#This Row],[DESEMBOLSO 1]:[DESEMBOLSO 8]])</f>
        <v>76446912</v>
      </c>
      <c r="BC270" s="55">
        <f>VLOOKUP(Tabla43[[#This Row],[SERVICIO 2025]],$J$2:$V$16,10,0)*Tabla43[[#This Row],[TOTAL COBERTURA]]*$W$3</f>
        <v>0</v>
      </c>
      <c r="BD270" s="66" t="s">
        <v>145</v>
      </c>
      <c r="BE270" s="12" t="b">
        <f>EXACT(Tabla43[[#This Row],[TOTAL APORTES ICBF]],Tabla43[[#This Row],[VALOR TOTAL]])</f>
        <v>1</v>
      </c>
      <c r="BF270" s="23">
        <f>SUM(Tabla43[[#This Row],[VALOR FASE PREPARATORIA DE ALISTAMIENTO]:[VALOR RACION PREPARADA]])-Tabla43[[#This Row],[VALOR TOTAL]]</f>
        <v>0</v>
      </c>
      <c r="BG270" s="12" t="b">
        <f>EXACT(Tabla43[[#This Row],[VALOR TOTAL]],Tabla43[[#This Row],[TOTAL DESEMBOLSOS]])</f>
        <v>1</v>
      </c>
      <c r="BH270" s="29">
        <f>Tabla43[[#This Row],[TOTAL DESEMBOLSOS]]-Tabla43[[#This Row],[VALOR TOTAL]]</f>
        <v>0</v>
      </c>
      <c r="BJ270" t="s">
        <v>3896</v>
      </c>
    </row>
    <row r="271" spans="1:62" hidden="1">
      <c r="A271" s="72" t="s">
        <v>4316</v>
      </c>
      <c r="B271" s="13"/>
      <c r="C271" s="12" t="s">
        <v>87</v>
      </c>
      <c r="D271" s="12" t="s">
        <v>579</v>
      </c>
      <c r="E271" s="12" t="s">
        <v>4073</v>
      </c>
      <c r="F271" s="12" t="s">
        <v>2843</v>
      </c>
      <c r="G271" s="12" t="s">
        <v>90</v>
      </c>
      <c r="H271" s="12" t="s">
        <v>4348</v>
      </c>
      <c r="I271" s="12">
        <v>52341151154</v>
      </c>
      <c r="J271" s="12" t="s">
        <v>4349</v>
      </c>
      <c r="K271" s="12">
        <v>1</v>
      </c>
      <c r="L271" s="12">
        <v>22</v>
      </c>
      <c r="M271" s="12"/>
      <c r="N271" s="72" t="s">
        <v>4316</v>
      </c>
      <c r="O271" s="12" t="s">
        <v>3894</v>
      </c>
      <c r="P271" s="12"/>
      <c r="Q271" s="12"/>
      <c r="R271" s="12" t="s">
        <v>94</v>
      </c>
      <c r="S271" s="12">
        <v>10</v>
      </c>
      <c r="T271" s="12">
        <v>800044785</v>
      </c>
      <c r="U271" s="58" t="s">
        <v>3895</v>
      </c>
      <c r="V271" s="12">
        <f>VLOOKUP(Tabla43[[#This Row],[ZONA DEFINITIVO]],Hoja1!$A$1:$D$129,3,0)</f>
        <v>232296</v>
      </c>
      <c r="W271" s="12">
        <f>VLOOKUP(Tabla43[[#This Row],[ZONA DEFINITIVO]],Hoja1!$A$1:$D$129,2,0)</f>
        <v>18589</v>
      </c>
      <c r="X271" s="12">
        <f>VLOOKUP(Tabla43[[#This Row],[ZONA DEFINITIVO]],Hoja1!$A$1:$D$129,4,0)</f>
        <v>117325</v>
      </c>
      <c r="Y271" s="12" t="str">
        <f>+IF(Tabla43[[#This Row],[AGRUPACIONES]]=1,SUMIFS(Tabla43[UDS],Tabla43[ZONA DEFINITIVO],Tabla43[[#This Row],[ZONA DEFINITIVO]])," ")</f>
        <v xml:space="preserve"> </v>
      </c>
      <c r="Z271" s="12" t="str">
        <f>+IF(Tabla43[[#This Row],[AGRUPACIONES]]=1,SUMIFS(Tabla43[TOTAL COBERTURA],Tabla43[ZONA DEFINITIVO],Tabla43[[#This Row],[ZONA DEFINITIVO]])," ")</f>
        <v xml:space="preserve"> </v>
      </c>
      <c r="AA271" s="12"/>
      <c r="AB271" s="51">
        <v>70076336</v>
      </c>
      <c r="AC271" s="51"/>
      <c r="AD271" s="38">
        <f>Tabla43[[#This Row],[VALOR ATENCIÓN (7 MESES)]]*Tabla43[[#This Row],[% CONTRAPARTIDA]]</f>
        <v>0</v>
      </c>
      <c r="AE271" s="12"/>
      <c r="AF271" s="12">
        <f>COUNTIF($A$22:A271,A271)</f>
        <v>17</v>
      </c>
      <c r="AG271" s="51">
        <v>70076336</v>
      </c>
      <c r="AH271" s="38">
        <f>Tabla43[[#This Row],[VALOR CONTRAPARTIDA]]+Tabla43[[#This Row],[TOTAL APORTES ICBF]]</f>
        <v>70076336</v>
      </c>
      <c r="AI271" s="35" t="str">
        <f>+IF(Tabla43[[#This Row],[AGRUPACIONES]]=1,SUMIFS(Tabla43[TOTAL APORTES ICBF],Tabla43[ZONA DEFINITIVO],Tabla43[[#This Row],[ZONA DEFINITIVO]])," ")</f>
        <v xml:space="preserve"> </v>
      </c>
      <c r="AJ271" s="38"/>
      <c r="AK271" s="38"/>
      <c r="AL271" s="23"/>
      <c r="AM271" s="35">
        <f>VLOOKUP(Tabla43[[#This Row],[SERVICIO 2025]],$J$2:$V$16,5,0)*Tabla43[[#This Row],[TOTAL COBERTURA]]</f>
        <v>1086272</v>
      </c>
      <c r="AN271" s="35">
        <f>VLOOKUP(Tabla43[[#This Row],[SERVICIO 2025]],$J$2:$V$16,6,0)*Tabla43[[#This Row],[TOTAL COBERTURA]]</f>
        <v>902638</v>
      </c>
      <c r="AO271" s="35">
        <f>VLOOKUP(Tabla43[[#This Row],[SERVICIO 2025]],$J$2:$V$16,8,0)*Tabla43[[#This Row],[TOTAL COBERTURA]]</f>
        <v>640200</v>
      </c>
      <c r="AP271" s="35">
        <f>VLOOKUP(Tabla43[[#This Row],[SERVICIO 2025]],$J$2:$V$16,3,0)*Tabla43[[#This Row],[TOTAL COBERTURA]]*7</f>
        <v>67447226</v>
      </c>
      <c r="AQ271" s="35">
        <f>VLOOKUP(Tabla43[[#This Row],[SERVICIO 2025]],$J$2:$V$16,10,0)*Tabla43[[#This Row],[TOTAL COBERTURA]]*7</f>
        <v>0</v>
      </c>
      <c r="AR271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70076336</v>
      </c>
      <c r="AS271" s="35" t="str">
        <f>+IF(Tabla43[[#This Row],[AGRUPACIONES]]=1,SUMIFS(Tabla43[VALOR TOTAL],Tabla43[ZONA DEFINITIVO],Tabla43[[#This Row],[ZONA DEFINITIVO]])," ")</f>
        <v xml:space="preserve"> </v>
      </c>
      <c r="AT271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11361790</v>
      </c>
      <c r="AU271" s="35">
        <f>VLOOKUP(Tabla43[[#This Row],[SERVICIO 2025]],$J$2:$V$16,3,0)*Tabla43[[#This Row],[TOTAL COBERTURA]]+Tabla43[[#This Row],[VALOR RACION PREPARADA]]/7</f>
        <v>9635318</v>
      </c>
      <c r="AV271" s="35">
        <f>VLOOKUP(Tabla43[[#This Row],[SERVICIO 2025]],$J$2:$V$16,3,0)*Tabla43[[#This Row],[TOTAL COBERTURA]]+Tabla43[[#This Row],[VALOR RACION PREPARADA]]/7</f>
        <v>9635318</v>
      </c>
      <c r="AW271" s="35">
        <f>VLOOKUP(Tabla43[[#This Row],[SERVICIO 2025]],$J$2:$V$16,3,0)*Tabla43[[#This Row],[TOTAL COBERTURA]]+Tabla43[[#This Row],[VALOR RACION PREPARADA]]/7</f>
        <v>9635318</v>
      </c>
      <c r="AX271" s="35">
        <f>VLOOKUP(Tabla43[[#This Row],[SERVICIO 2025]],$J$2:$V$16,3,0)*Tabla43[[#This Row],[TOTAL COBERTURA]]+Tabla43[[#This Row],[VALOR RACION PREPARADA]]/7</f>
        <v>9635318</v>
      </c>
      <c r="AY271" s="35">
        <f>VLOOKUP(Tabla43[[#This Row],[SERVICIO 2025]],$J$2:$V$16,3,0)*Tabla43[[#This Row],[TOTAL COBERTURA]]+Tabla43[[#This Row],[VALOR RACION PREPARADA]]/7</f>
        <v>9635318</v>
      </c>
      <c r="AZ271" s="35">
        <f>VLOOKUP(Tabla43[[#This Row],[SERVICIO 2025]],$J$2:$V$16,3,0)*Tabla43[[#This Row],[TOTAL COBERTURA]]+Tabla43[[#This Row],[VALOR RACION PREPARADA]]/7+Tabla43[[#This Row],[VALOR FASE PREPARATORIA DE CIERRE]]</f>
        <v>10537956</v>
      </c>
      <c r="BA271" s="35"/>
      <c r="BB271" s="35">
        <f>SUM(Tabla43[[#This Row],[DESEMBOLSO 1]:[DESEMBOLSO 8]])</f>
        <v>70076336</v>
      </c>
      <c r="BC271" s="55">
        <f>VLOOKUP(Tabla43[[#This Row],[SERVICIO 2025]],$J$2:$V$16,10,0)*Tabla43[[#This Row],[TOTAL COBERTURA]]*$W$3</f>
        <v>0</v>
      </c>
      <c r="BD271" s="66" t="s">
        <v>145</v>
      </c>
      <c r="BE271" s="12" t="b">
        <f>EXACT(Tabla43[[#This Row],[TOTAL APORTES ICBF]],Tabla43[[#This Row],[VALOR TOTAL]])</f>
        <v>1</v>
      </c>
      <c r="BF271" s="23">
        <f>SUM(Tabla43[[#This Row],[VALOR FASE PREPARATORIA DE ALISTAMIENTO]:[VALOR RACION PREPARADA]])-Tabla43[[#This Row],[VALOR TOTAL]]</f>
        <v>0</v>
      </c>
      <c r="BG271" s="12" t="b">
        <f>EXACT(Tabla43[[#This Row],[VALOR TOTAL]],Tabla43[[#This Row],[TOTAL DESEMBOLSOS]])</f>
        <v>1</v>
      </c>
      <c r="BH271" s="29">
        <f>Tabla43[[#This Row],[TOTAL DESEMBOLSOS]]-Tabla43[[#This Row],[VALOR TOTAL]]</f>
        <v>0</v>
      </c>
      <c r="BJ271" t="s">
        <v>3896</v>
      </c>
    </row>
    <row r="272" spans="1:62" hidden="1">
      <c r="A272" s="72" t="s">
        <v>4316</v>
      </c>
      <c r="B272" s="13"/>
      <c r="C272" s="12" t="s">
        <v>87</v>
      </c>
      <c r="D272" s="12" t="s">
        <v>579</v>
      </c>
      <c r="E272" s="12" t="s">
        <v>4073</v>
      </c>
      <c r="F272" s="12" t="s">
        <v>2843</v>
      </c>
      <c r="G272" s="12" t="s">
        <v>90</v>
      </c>
      <c r="H272" s="12" t="s">
        <v>4350</v>
      </c>
      <c r="I272" s="12">
        <v>52341151155</v>
      </c>
      <c r="J272" s="12" t="s">
        <v>4351</v>
      </c>
      <c r="K272" s="12">
        <v>1</v>
      </c>
      <c r="L272" s="12">
        <v>8</v>
      </c>
      <c r="M272" s="12"/>
      <c r="N272" s="72" t="s">
        <v>4316</v>
      </c>
      <c r="O272" s="12" t="s">
        <v>3894</v>
      </c>
      <c r="P272" s="12"/>
      <c r="Q272" s="12"/>
      <c r="R272" s="12" t="s">
        <v>94</v>
      </c>
      <c r="S272" s="12">
        <v>10</v>
      </c>
      <c r="T272" s="12">
        <v>800044785</v>
      </c>
      <c r="U272" s="58" t="s">
        <v>3895</v>
      </c>
      <c r="V272" s="12">
        <f>VLOOKUP(Tabla43[[#This Row],[ZONA DEFINITIVO]],Hoja1!$A$1:$D$129,3,0)</f>
        <v>232296</v>
      </c>
      <c r="W272" s="12">
        <f>VLOOKUP(Tabla43[[#This Row],[ZONA DEFINITIVO]],Hoja1!$A$1:$D$129,2,0)</f>
        <v>18589</v>
      </c>
      <c r="X272" s="12">
        <f>VLOOKUP(Tabla43[[#This Row],[ZONA DEFINITIVO]],Hoja1!$A$1:$D$129,4,0)</f>
        <v>117325</v>
      </c>
      <c r="Y272" s="12" t="str">
        <f>+IF(Tabla43[[#This Row],[AGRUPACIONES]]=1,SUMIFS(Tabla43[UDS],Tabla43[ZONA DEFINITIVO],Tabla43[[#This Row],[ZONA DEFINITIVO]])," ")</f>
        <v xml:space="preserve"> </v>
      </c>
      <c r="Z272" s="12" t="str">
        <f>+IF(Tabla43[[#This Row],[AGRUPACIONES]]=1,SUMIFS(Tabla43[TOTAL COBERTURA],Tabla43[ZONA DEFINITIVO],Tabla43[[#This Row],[ZONA DEFINITIVO]])," ")</f>
        <v xml:space="preserve"> </v>
      </c>
      <c r="AA272" s="12"/>
      <c r="AB272" s="51">
        <v>25482304</v>
      </c>
      <c r="AC272" s="51"/>
      <c r="AD272" s="38">
        <f>Tabla43[[#This Row],[VALOR ATENCIÓN (7 MESES)]]*Tabla43[[#This Row],[% CONTRAPARTIDA]]</f>
        <v>0</v>
      </c>
      <c r="AE272" s="12"/>
      <c r="AF272" s="12">
        <f>COUNTIF($A$22:A272,A272)</f>
        <v>18</v>
      </c>
      <c r="AG272" s="51">
        <v>25482304</v>
      </c>
      <c r="AH272" s="38">
        <f>Tabla43[[#This Row],[VALOR CONTRAPARTIDA]]+Tabla43[[#This Row],[TOTAL APORTES ICBF]]</f>
        <v>25482304</v>
      </c>
      <c r="AI272" s="35" t="str">
        <f>+IF(Tabla43[[#This Row],[AGRUPACIONES]]=1,SUMIFS(Tabla43[TOTAL APORTES ICBF],Tabla43[ZONA DEFINITIVO],Tabla43[[#This Row],[ZONA DEFINITIVO]])," ")</f>
        <v xml:space="preserve"> </v>
      </c>
      <c r="AJ272" s="38"/>
      <c r="AK272" s="38"/>
      <c r="AL272" s="23"/>
      <c r="AM272" s="35">
        <f>VLOOKUP(Tabla43[[#This Row],[SERVICIO 2025]],$J$2:$V$16,5,0)*Tabla43[[#This Row],[TOTAL COBERTURA]]</f>
        <v>395008</v>
      </c>
      <c r="AN272" s="35">
        <f>VLOOKUP(Tabla43[[#This Row],[SERVICIO 2025]],$J$2:$V$16,6,0)*Tabla43[[#This Row],[TOTAL COBERTURA]]</f>
        <v>328232</v>
      </c>
      <c r="AO272" s="35">
        <f>VLOOKUP(Tabla43[[#This Row],[SERVICIO 2025]],$J$2:$V$16,8,0)*Tabla43[[#This Row],[TOTAL COBERTURA]]</f>
        <v>232800</v>
      </c>
      <c r="AP272" s="35">
        <f>VLOOKUP(Tabla43[[#This Row],[SERVICIO 2025]],$J$2:$V$16,3,0)*Tabla43[[#This Row],[TOTAL COBERTURA]]*7</f>
        <v>24526264</v>
      </c>
      <c r="AQ272" s="35">
        <f>VLOOKUP(Tabla43[[#This Row],[SERVICIO 2025]],$J$2:$V$16,10,0)*Tabla43[[#This Row],[TOTAL COBERTURA]]*7</f>
        <v>0</v>
      </c>
      <c r="AR272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25482304</v>
      </c>
      <c r="AS272" s="35" t="str">
        <f>+IF(Tabla43[[#This Row],[AGRUPACIONES]]=1,SUMIFS(Tabla43[VALOR TOTAL],Tabla43[ZONA DEFINITIVO],Tabla43[[#This Row],[ZONA DEFINITIVO]])," ")</f>
        <v xml:space="preserve"> </v>
      </c>
      <c r="AT272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4131560</v>
      </c>
      <c r="AU272" s="35">
        <f>VLOOKUP(Tabla43[[#This Row],[SERVICIO 2025]],$J$2:$V$16,3,0)*Tabla43[[#This Row],[TOTAL COBERTURA]]+Tabla43[[#This Row],[VALOR RACION PREPARADA]]/7</f>
        <v>3503752</v>
      </c>
      <c r="AV272" s="35">
        <f>VLOOKUP(Tabla43[[#This Row],[SERVICIO 2025]],$J$2:$V$16,3,0)*Tabla43[[#This Row],[TOTAL COBERTURA]]+Tabla43[[#This Row],[VALOR RACION PREPARADA]]/7</f>
        <v>3503752</v>
      </c>
      <c r="AW272" s="35">
        <f>VLOOKUP(Tabla43[[#This Row],[SERVICIO 2025]],$J$2:$V$16,3,0)*Tabla43[[#This Row],[TOTAL COBERTURA]]+Tabla43[[#This Row],[VALOR RACION PREPARADA]]/7</f>
        <v>3503752</v>
      </c>
      <c r="AX272" s="35">
        <f>VLOOKUP(Tabla43[[#This Row],[SERVICIO 2025]],$J$2:$V$16,3,0)*Tabla43[[#This Row],[TOTAL COBERTURA]]+Tabla43[[#This Row],[VALOR RACION PREPARADA]]/7</f>
        <v>3503752</v>
      </c>
      <c r="AY272" s="35">
        <f>VLOOKUP(Tabla43[[#This Row],[SERVICIO 2025]],$J$2:$V$16,3,0)*Tabla43[[#This Row],[TOTAL COBERTURA]]+Tabla43[[#This Row],[VALOR RACION PREPARADA]]/7</f>
        <v>3503752</v>
      </c>
      <c r="AZ272" s="35">
        <f>VLOOKUP(Tabla43[[#This Row],[SERVICIO 2025]],$J$2:$V$16,3,0)*Tabla43[[#This Row],[TOTAL COBERTURA]]+Tabla43[[#This Row],[VALOR RACION PREPARADA]]/7+Tabla43[[#This Row],[VALOR FASE PREPARATORIA DE CIERRE]]</f>
        <v>3831984</v>
      </c>
      <c r="BA272" s="35"/>
      <c r="BB272" s="35">
        <f>SUM(Tabla43[[#This Row],[DESEMBOLSO 1]:[DESEMBOLSO 8]])</f>
        <v>25482304</v>
      </c>
      <c r="BC272" s="55">
        <f>VLOOKUP(Tabla43[[#This Row],[SERVICIO 2025]],$J$2:$V$16,10,0)*Tabla43[[#This Row],[TOTAL COBERTURA]]*$W$3</f>
        <v>0</v>
      </c>
      <c r="BD272" s="66" t="s">
        <v>145</v>
      </c>
      <c r="BE272" s="12" t="b">
        <f>EXACT(Tabla43[[#This Row],[TOTAL APORTES ICBF]],Tabla43[[#This Row],[VALOR TOTAL]])</f>
        <v>1</v>
      </c>
      <c r="BF272" s="23">
        <f>SUM(Tabla43[[#This Row],[VALOR FASE PREPARATORIA DE ALISTAMIENTO]:[VALOR RACION PREPARADA]])-Tabla43[[#This Row],[VALOR TOTAL]]</f>
        <v>0</v>
      </c>
      <c r="BG272" s="12" t="b">
        <f>EXACT(Tabla43[[#This Row],[VALOR TOTAL]],Tabla43[[#This Row],[TOTAL DESEMBOLSOS]])</f>
        <v>1</v>
      </c>
      <c r="BH272" s="29">
        <f>Tabla43[[#This Row],[TOTAL DESEMBOLSOS]]-Tabla43[[#This Row],[VALOR TOTAL]]</f>
        <v>0</v>
      </c>
      <c r="BJ272" t="s">
        <v>3896</v>
      </c>
    </row>
    <row r="273" spans="1:62" hidden="1">
      <c r="A273" s="72" t="s">
        <v>4316</v>
      </c>
      <c r="B273" s="13"/>
      <c r="C273" s="12" t="s">
        <v>87</v>
      </c>
      <c r="D273" s="12" t="s">
        <v>579</v>
      </c>
      <c r="E273" s="12" t="s">
        <v>4073</v>
      </c>
      <c r="F273" s="12" t="s">
        <v>2843</v>
      </c>
      <c r="G273" s="12" t="s">
        <v>90</v>
      </c>
      <c r="H273" s="12" t="s">
        <v>591</v>
      </c>
      <c r="I273" s="12">
        <v>52341153053</v>
      </c>
      <c r="J273" s="12" t="s">
        <v>4352</v>
      </c>
      <c r="K273" s="12">
        <v>1</v>
      </c>
      <c r="L273" s="12">
        <v>15</v>
      </c>
      <c r="M273" s="12"/>
      <c r="N273" s="72" t="s">
        <v>4316</v>
      </c>
      <c r="O273" s="12" t="s">
        <v>3894</v>
      </c>
      <c r="P273" s="12"/>
      <c r="Q273" s="12"/>
      <c r="R273" s="12" t="s">
        <v>94</v>
      </c>
      <c r="S273" s="12">
        <v>10</v>
      </c>
      <c r="T273" s="12">
        <v>800044785</v>
      </c>
      <c r="U273" s="58" t="s">
        <v>3895</v>
      </c>
      <c r="V273" s="12">
        <f>VLOOKUP(Tabla43[[#This Row],[ZONA DEFINITIVO]],Hoja1!$A$1:$D$129,3,0)</f>
        <v>232296</v>
      </c>
      <c r="W273" s="12">
        <f>VLOOKUP(Tabla43[[#This Row],[ZONA DEFINITIVO]],Hoja1!$A$1:$D$129,2,0)</f>
        <v>18589</v>
      </c>
      <c r="X273" s="12">
        <f>VLOOKUP(Tabla43[[#This Row],[ZONA DEFINITIVO]],Hoja1!$A$1:$D$129,4,0)</f>
        <v>117325</v>
      </c>
      <c r="Y273" s="12" t="str">
        <f>+IF(Tabla43[[#This Row],[AGRUPACIONES]]=1,SUMIFS(Tabla43[UDS],Tabla43[ZONA DEFINITIVO],Tabla43[[#This Row],[ZONA DEFINITIVO]])," ")</f>
        <v xml:space="preserve"> </v>
      </c>
      <c r="Z273" s="12" t="str">
        <f>+IF(Tabla43[[#This Row],[AGRUPACIONES]]=1,SUMIFS(Tabla43[TOTAL COBERTURA],Tabla43[ZONA DEFINITIVO],Tabla43[[#This Row],[ZONA DEFINITIVO]])," ")</f>
        <v xml:space="preserve"> </v>
      </c>
      <c r="AA273" s="12"/>
      <c r="AB273" s="51">
        <v>47779320</v>
      </c>
      <c r="AC273" s="51"/>
      <c r="AD273" s="38">
        <f>Tabla43[[#This Row],[VALOR ATENCIÓN (7 MESES)]]*Tabla43[[#This Row],[% CONTRAPARTIDA]]</f>
        <v>0</v>
      </c>
      <c r="AE273" s="12"/>
      <c r="AF273" s="12">
        <f>COUNTIF($A$22:A273,A273)</f>
        <v>19</v>
      </c>
      <c r="AG273" s="51">
        <v>47779320</v>
      </c>
      <c r="AH273" s="38">
        <f>Tabla43[[#This Row],[VALOR CONTRAPARTIDA]]+Tabla43[[#This Row],[TOTAL APORTES ICBF]]</f>
        <v>47779320</v>
      </c>
      <c r="AI273" s="35" t="str">
        <f>+IF(Tabla43[[#This Row],[AGRUPACIONES]]=1,SUMIFS(Tabla43[TOTAL APORTES ICBF],Tabla43[ZONA DEFINITIVO],Tabla43[[#This Row],[ZONA DEFINITIVO]])," ")</f>
        <v xml:space="preserve"> </v>
      </c>
      <c r="AJ273" s="38"/>
      <c r="AK273" s="38"/>
      <c r="AL273" s="23"/>
      <c r="AM273" s="35">
        <f>VLOOKUP(Tabla43[[#This Row],[SERVICIO 2025]],$J$2:$V$16,5,0)*Tabla43[[#This Row],[TOTAL COBERTURA]]</f>
        <v>740640</v>
      </c>
      <c r="AN273" s="35">
        <f>VLOOKUP(Tabla43[[#This Row],[SERVICIO 2025]],$J$2:$V$16,6,0)*Tabla43[[#This Row],[TOTAL COBERTURA]]</f>
        <v>615435</v>
      </c>
      <c r="AO273" s="35">
        <f>VLOOKUP(Tabla43[[#This Row],[SERVICIO 2025]],$J$2:$V$16,8,0)*Tabla43[[#This Row],[TOTAL COBERTURA]]</f>
        <v>436500</v>
      </c>
      <c r="AP273" s="35">
        <f>VLOOKUP(Tabla43[[#This Row],[SERVICIO 2025]],$J$2:$V$16,3,0)*Tabla43[[#This Row],[TOTAL COBERTURA]]*7</f>
        <v>45986745</v>
      </c>
      <c r="AQ273" s="35">
        <f>VLOOKUP(Tabla43[[#This Row],[SERVICIO 2025]],$J$2:$V$16,10,0)*Tabla43[[#This Row],[TOTAL COBERTURA]]*7</f>
        <v>0</v>
      </c>
      <c r="AR273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47779320</v>
      </c>
      <c r="AS273" s="35" t="str">
        <f>+IF(Tabla43[[#This Row],[AGRUPACIONES]]=1,SUMIFS(Tabla43[VALOR TOTAL],Tabla43[ZONA DEFINITIVO],Tabla43[[#This Row],[ZONA DEFINITIVO]])," ")</f>
        <v xml:space="preserve"> </v>
      </c>
      <c r="AT273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7746675</v>
      </c>
      <c r="AU273" s="35">
        <f>VLOOKUP(Tabla43[[#This Row],[SERVICIO 2025]],$J$2:$V$16,3,0)*Tabla43[[#This Row],[TOTAL COBERTURA]]+Tabla43[[#This Row],[VALOR RACION PREPARADA]]/7</f>
        <v>6569535</v>
      </c>
      <c r="AV273" s="35">
        <f>VLOOKUP(Tabla43[[#This Row],[SERVICIO 2025]],$J$2:$V$16,3,0)*Tabla43[[#This Row],[TOTAL COBERTURA]]+Tabla43[[#This Row],[VALOR RACION PREPARADA]]/7</f>
        <v>6569535</v>
      </c>
      <c r="AW273" s="35">
        <f>VLOOKUP(Tabla43[[#This Row],[SERVICIO 2025]],$J$2:$V$16,3,0)*Tabla43[[#This Row],[TOTAL COBERTURA]]+Tabla43[[#This Row],[VALOR RACION PREPARADA]]/7</f>
        <v>6569535</v>
      </c>
      <c r="AX273" s="35">
        <f>VLOOKUP(Tabla43[[#This Row],[SERVICIO 2025]],$J$2:$V$16,3,0)*Tabla43[[#This Row],[TOTAL COBERTURA]]+Tabla43[[#This Row],[VALOR RACION PREPARADA]]/7</f>
        <v>6569535</v>
      </c>
      <c r="AY273" s="35">
        <f>VLOOKUP(Tabla43[[#This Row],[SERVICIO 2025]],$J$2:$V$16,3,0)*Tabla43[[#This Row],[TOTAL COBERTURA]]+Tabla43[[#This Row],[VALOR RACION PREPARADA]]/7</f>
        <v>6569535</v>
      </c>
      <c r="AZ273" s="35">
        <f>VLOOKUP(Tabla43[[#This Row],[SERVICIO 2025]],$J$2:$V$16,3,0)*Tabla43[[#This Row],[TOTAL COBERTURA]]+Tabla43[[#This Row],[VALOR RACION PREPARADA]]/7+Tabla43[[#This Row],[VALOR FASE PREPARATORIA DE CIERRE]]</f>
        <v>7184970</v>
      </c>
      <c r="BA273" s="35"/>
      <c r="BB273" s="35">
        <f>SUM(Tabla43[[#This Row],[DESEMBOLSO 1]:[DESEMBOLSO 8]])</f>
        <v>47779320</v>
      </c>
      <c r="BC273" s="55">
        <f>VLOOKUP(Tabla43[[#This Row],[SERVICIO 2025]],$J$2:$V$16,10,0)*Tabla43[[#This Row],[TOTAL COBERTURA]]*$W$3</f>
        <v>0</v>
      </c>
      <c r="BD273" s="66" t="s">
        <v>145</v>
      </c>
      <c r="BE273" s="12" t="b">
        <f>EXACT(Tabla43[[#This Row],[TOTAL APORTES ICBF]],Tabla43[[#This Row],[VALOR TOTAL]])</f>
        <v>1</v>
      </c>
      <c r="BF273" s="23">
        <f>SUM(Tabla43[[#This Row],[VALOR FASE PREPARATORIA DE ALISTAMIENTO]:[VALOR RACION PREPARADA]])-Tabla43[[#This Row],[VALOR TOTAL]]</f>
        <v>0</v>
      </c>
      <c r="BG273" s="12" t="b">
        <f>EXACT(Tabla43[[#This Row],[VALOR TOTAL]],Tabla43[[#This Row],[TOTAL DESEMBOLSOS]])</f>
        <v>1</v>
      </c>
      <c r="BH273" s="29">
        <f>Tabla43[[#This Row],[TOTAL DESEMBOLSOS]]-Tabla43[[#This Row],[VALOR TOTAL]]</f>
        <v>0</v>
      </c>
      <c r="BJ273" t="s">
        <v>3896</v>
      </c>
    </row>
    <row r="274" spans="1:62" hidden="1">
      <c r="A274" s="72" t="s">
        <v>4316</v>
      </c>
      <c r="B274" s="21"/>
      <c r="C274" s="12" t="s">
        <v>87</v>
      </c>
      <c r="D274" s="12" t="s">
        <v>579</v>
      </c>
      <c r="E274" s="22" t="s">
        <v>4073</v>
      </c>
      <c r="F274" s="12" t="s">
        <v>2843</v>
      </c>
      <c r="G274" s="12" t="s">
        <v>90</v>
      </c>
      <c r="H274" s="22" t="s">
        <v>4353</v>
      </c>
      <c r="I274" s="12">
        <v>523400112968</v>
      </c>
      <c r="J274" s="12" t="s">
        <v>4354</v>
      </c>
      <c r="K274" s="12">
        <v>1</v>
      </c>
      <c r="L274" s="12">
        <v>22</v>
      </c>
      <c r="M274" s="22"/>
      <c r="N274" s="72" t="s">
        <v>4316</v>
      </c>
      <c r="O274" s="12" t="s">
        <v>3894</v>
      </c>
      <c r="P274" s="22"/>
      <c r="Q274" s="22"/>
      <c r="R274" s="12" t="s">
        <v>94</v>
      </c>
      <c r="S274" s="12">
        <v>10</v>
      </c>
      <c r="T274" s="12">
        <v>800044785</v>
      </c>
      <c r="U274" s="58" t="s">
        <v>3895</v>
      </c>
      <c r="V274" s="22">
        <f>VLOOKUP(Tabla43[[#This Row],[ZONA DEFINITIVO]],Hoja1!$A$1:$D$129,3,0)</f>
        <v>232296</v>
      </c>
      <c r="W274" s="22">
        <f>VLOOKUP(Tabla43[[#This Row],[ZONA DEFINITIVO]],Hoja1!$A$1:$D$129,2,0)</f>
        <v>18589</v>
      </c>
      <c r="X274" s="22">
        <f>VLOOKUP(Tabla43[[#This Row],[ZONA DEFINITIVO]],Hoja1!$A$1:$D$129,4,0)</f>
        <v>117325</v>
      </c>
      <c r="Y274" s="22" t="str">
        <f>+IF(Tabla43[[#This Row],[AGRUPACIONES]]=1,SUMIFS(Tabla43[UDS],Tabla43[ZONA DEFINITIVO],Tabla43[[#This Row],[ZONA DEFINITIVO]])," ")</f>
        <v xml:space="preserve"> </v>
      </c>
      <c r="Z274" s="22" t="str">
        <f>+IF(Tabla43[[#This Row],[AGRUPACIONES]]=1,SUMIFS(Tabla43[TOTAL COBERTURA],Tabla43[ZONA DEFINITIVO],Tabla43[[#This Row],[ZONA DEFINITIVO]])," ")</f>
        <v xml:space="preserve"> </v>
      </c>
      <c r="AA274" s="22"/>
      <c r="AB274" s="52">
        <v>70076336</v>
      </c>
      <c r="AC274" s="52"/>
      <c r="AD274" s="41">
        <f>Tabla43[[#This Row],[VALOR ATENCIÓN (7 MESES)]]*Tabla43[[#This Row],[% CONTRAPARTIDA]]</f>
        <v>0</v>
      </c>
      <c r="AE274" s="22"/>
      <c r="AF274" s="22">
        <f>COUNTIF($A$22:A296,A274)</f>
        <v>20</v>
      </c>
      <c r="AG274" s="52">
        <v>70076336</v>
      </c>
      <c r="AH274" s="41">
        <f>Tabla43[[#This Row],[VALOR CONTRAPARTIDA]]+Tabla43[[#This Row],[TOTAL APORTES ICBF]]</f>
        <v>70076336</v>
      </c>
      <c r="AI274" s="40" t="str">
        <f>+IF(Tabla43[[#This Row],[AGRUPACIONES]]=1,SUMIFS(Tabla43[TOTAL APORTES ICBF],Tabla43[ZONA DEFINITIVO],Tabla43[[#This Row],[ZONA DEFINITIVO]])," ")</f>
        <v xml:space="preserve"> </v>
      </c>
      <c r="AJ274" s="38"/>
      <c r="AK274" s="38"/>
      <c r="AL274" s="23"/>
      <c r="AM274" s="35">
        <f>VLOOKUP(Tabla43[[#This Row],[SERVICIO 2025]],$J$2:$V$16,5,0)*Tabla43[[#This Row],[TOTAL COBERTURA]]</f>
        <v>1086272</v>
      </c>
      <c r="AN274" s="35">
        <f>VLOOKUP(Tabla43[[#This Row],[SERVICIO 2025]],$J$2:$V$16,6,0)*Tabla43[[#This Row],[TOTAL COBERTURA]]</f>
        <v>902638</v>
      </c>
      <c r="AO274" s="35">
        <f>VLOOKUP(Tabla43[[#This Row],[SERVICIO 2025]],$J$2:$V$16,8,0)*Tabla43[[#This Row],[TOTAL COBERTURA]]</f>
        <v>640200</v>
      </c>
      <c r="AP274" s="40">
        <f>VLOOKUP(Tabla43[[#This Row],[SERVICIO 2025]],$J$2:$V$16,3,0)*Tabla43[[#This Row],[TOTAL COBERTURA]]*7</f>
        <v>67447226</v>
      </c>
      <c r="AQ274" s="40">
        <f>VLOOKUP(Tabla43[[#This Row],[SERVICIO 2025]],$J$2:$V$16,10,0)*Tabla43[[#This Row],[TOTAL COBERTURA]]*7</f>
        <v>0</v>
      </c>
      <c r="AR274" s="35">
        <f>Tabla43[[#This Row],[VALOR FASE PREPARATORIA DE ALISTAMIENTO]]+Tabla43[[#This Row],[VALOR FASE PREPARATORIA DE CIERRE]]+Tabla43[[#This Row],[DOTACIÓN ÚNICA]]+Tabla43[[#This Row],[VALOR ATENCIÓN]]+Tabla43[[#This Row],[VALOR RACION PREPARADA]]</f>
        <v>70076336</v>
      </c>
      <c r="AS274" s="35" t="str">
        <f>+IF(Tabla43[[#This Row],[AGRUPACIONES]]=1,SUMIFS(Tabla43[VALOR TOTAL],Tabla43[ZONA DEFINITIVO],Tabla43[[#This Row],[ZONA DEFINITIVO]])," ")</f>
        <v xml:space="preserve"> </v>
      </c>
      <c r="AT274" s="27">
        <f>VLOOKUP(Tabla43[[#This Row],[SERVICIO 2025]],$J$2:$V$16,3,0)*Tabla43[[#This Row],[TOTAL COBERTURA]]+Tabla43[[#This Row],[VALOR FASE PREPARATORIA DE ALISTAMIENTO]]+Tabla43[[#This Row],[DOTACIÓN ÚNICA]]+Tabla43[[#This Row],[VALOR RACION PREPARADA]]/7</f>
        <v>11361790</v>
      </c>
      <c r="AU274" s="35">
        <f>VLOOKUP(Tabla43[[#This Row],[SERVICIO 2025]],$J$2:$V$16,3,0)*Tabla43[[#This Row],[TOTAL COBERTURA]]+Tabla43[[#This Row],[VALOR RACION PREPARADA]]/7</f>
        <v>9635318</v>
      </c>
      <c r="AV274" s="40">
        <f>VLOOKUP(Tabla43[[#This Row],[SERVICIO 2025]],$J$2:$V$16,3,0)*Tabla43[[#This Row],[TOTAL COBERTURA]]+Tabla43[[#This Row],[VALOR RACION PREPARADA]]/7</f>
        <v>9635318</v>
      </c>
      <c r="AW274" s="40">
        <f>VLOOKUP(Tabla43[[#This Row],[SERVICIO 2025]],$J$2:$V$16,3,0)*Tabla43[[#This Row],[TOTAL COBERTURA]]+Tabla43[[#This Row],[VALOR RACION PREPARADA]]/7</f>
        <v>9635318</v>
      </c>
      <c r="AX274" s="40">
        <f>VLOOKUP(Tabla43[[#This Row],[SERVICIO 2025]],$J$2:$V$16,3,0)*Tabla43[[#This Row],[TOTAL COBERTURA]]+Tabla43[[#This Row],[VALOR RACION PREPARADA]]/7</f>
        <v>9635318</v>
      </c>
      <c r="AY274" s="40">
        <f>VLOOKUP(Tabla43[[#This Row],[SERVICIO 2025]],$J$2:$V$16,3,0)*Tabla43[[#This Row],[TOTAL COBERTURA]]+Tabla43[[#This Row],[VALOR RACION PREPARADA]]/7</f>
        <v>9635318</v>
      </c>
      <c r="AZ274" s="35">
        <f>VLOOKUP(Tabla43[[#This Row],[SERVICIO 2025]],$J$2:$V$16,3,0)*Tabla43[[#This Row],[TOTAL COBERTURA]]+Tabla43[[#This Row],[VALOR RACION PREPARADA]]/7+Tabla43[[#This Row],[VALOR FASE PREPARATORIA DE CIERRE]]</f>
        <v>10537956</v>
      </c>
      <c r="BA274" s="40"/>
      <c r="BB274" s="40">
        <f>SUM(Tabla43[[#This Row],[DESEMBOLSO 1]:[DESEMBOLSO 8]])</f>
        <v>70076336</v>
      </c>
      <c r="BC274" s="55">
        <f>VLOOKUP(Tabla43[[#This Row],[SERVICIO 2025]],$J$2:$V$16,10,0)*Tabla43[[#This Row],[TOTAL COBERTURA]]*$W$3</f>
        <v>0</v>
      </c>
      <c r="BD274" s="66" t="s">
        <v>145</v>
      </c>
      <c r="BE274" s="22" t="b">
        <f>EXACT(Tabla43[[#This Row],[TOTAL APORTES ICBF]],Tabla43[[#This Row],[VALOR TOTAL]])</f>
        <v>1</v>
      </c>
      <c r="BF274" s="28">
        <f>SUM(Tabla43[[#This Row],[VALOR FASE PREPARATORIA DE ALISTAMIENTO]:[VALOR RACION PREPARADA]])-Tabla43[[#This Row],[VALOR TOTAL]]</f>
        <v>0</v>
      </c>
      <c r="BG274" s="22" t="b">
        <f>EXACT(Tabla43[[#This Row],[VALOR TOTAL]],Tabla43[[#This Row],[TOTAL DESEMBOLSOS]])</f>
        <v>1</v>
      </c>
      <c r="BH274" s="73">
        <f>Tabla43[[#This Row],[TOTAL DESEMBOLSOS]]-Tabla43[[#This Row],[VALOR TOTAL]]</f>
        <v>0</v>
      </c>
      <c r="BJ274" t="s">
        <v>3896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7D4BD-B2B1-4808-AEE9-0550ED9D1A02}">
  <dimension ref="A3:I412"/>
  <sheetViews>
    <sheetView workbookViewId="0">
      <selection activeCell="B23" sqref="B23"/>
    </sheetView>
  </sheetViews>
  <sheetFormatPr defaultColWidth="11.42578125" defaultRowHeight="14.45"/>
  <cols>
    <col min="1" max="1" width="18.5703125" bestFit="1" customWidth="1"/>
    <col min="2" max="2" width="136.28515625" bestFit="1" customWidth="1"/>
    <col min="3" max="3" width="11.7109375" bestFit="1" customWidth="1"/>
    <col min="4" max="4" width="12.7109375" bestFit="1" customWidth="1"/>
    <col min="5" max="5" width="12.7109375" style="45" bestFit="1" customWidth="1"/>
    <col min="6" max="6" width="26" bestFit="1" customWidth="1"/>
    <col min="7" max="7" width="30.7109375" bestFit="1" customWidth="1"/>
    <col min="8" max="8" width="27.7109375" style="11" bestFit="1" customWidth="1"/>
    <col min="9" max="9" width="35.28515625" bestFit="1" customWidth="1"/>
    <col min="10" max="11" width="26" bestFit="1" customWidth="1"/>
    <col min="12" max="18" width="27.7109375" bestFit="1" customWidth="1"/>
  </cols>
  <sheetData>
    <row r="3" spans="1:9">
      <c r="A3" s="31" t="s">
        <v>25</v>
      </c>
      <c r="B3" s="31" t="s">
        <v>45</v>
      </c>
      <c r="C3" s="31" t="s">
        <v>44</v>
      </c>
      <c r="D3" s="31" t="s">
        <v>84</v>
      </c>
      <c r="E3" t="s">
        <v>4355</v>
      </c>
      <c r="F3" t="s">
        <v>4356</v>
      </c>
      <c r="G3" t="s">
        <v>4357</v>
      </c>
      <c r="H3" t="s">
        <v>4358</v>
      </c>
      <c r="I3" t="s">
        <v>4359</v>
      </c>
    </row>
    <row r="4" spans="1:9">
      <c r="A4">
        <v>1886</v>
      </c>
      <c r="B4" t="s">
        <v>2503</v>
      </c>
      <c r="C4" t="s">
        <v>2502</v>
      </c>
      <c r="D4" t="s">
        <v>4360</v>
      </c>
      <c r="E4">
        <v>13</v>
      </c>
      <c r="F4">
        <v>388</v>
      </c>
      <c r="G4" s="33">
        <v>29735101.68</v>
      </c>
      <c r="H4" s="33">
        <v>1486755084</v>
      </c>
      <c r="I4" s="33">
        <v>1516490185.6799996</v>
      </c>
    </row>
    <row r="5" spans="1:9">
      <c r="A5">
        <v>1899</v>
      </c>
      <c r="B5" t="s">
        <v>4361</v>
      </c>
      <c r="C5" t="s">
        <v>3922</v>
      </c>
      <c r="D5" t="s">
        <v>4360</v>
      </c>
      <c r="E5">
        <v>27</v>
      </c>
      <c r="F5">
        <v>659</v>
      </c>
      <c r="G5" s="33">
        <v>35397491.640000001</v>
      </c>
      <c r="H5" s="33">
        <v>1769874582</v>
      </c>
      <c r="I5" s="33">
        <v>1805272073.6400003</v>
      </c>
    </row>
    <row r="6" spans="1:9">
      <c r="A6">
        <v>1914</v>
      </c>
      <c r="B6" t="s">
        <v>4362</v>
      </c>
      <c r="C6" t="s">
        <v>3962</v>
      </c>
      <c r="D6" t="s">
        <v>4360</v>
      </c>
      <c r="E6">
        <v>26</v>
      </c>
      <c r="F6">
        <v>915</v>
      </c>
      <c r="G6" s="33">
        <v>39897531.899999999</v>
      </c>
      <c r="H6" s="33">
        <v>1994876595</v>
      </c>
      <c r="I6" s="33">
        <v>2034774126.8999999</v>
      </c>
    </row>
    <row r="7" spans="1:9">
      <c r="A7">
        <v>1935</v>
      </c>
      <c r="B7" t="s">
        <v>4010</v>
      </c>
      <c r="C7" t="s">
        <v>4009</v>
      </c>
      <c r="D7" t="s">
        <v>4360</v>
      </c>
      <c r="E7">
        <v>36</v>
      </c>
      <c r="F7">
        <v>741</v>
      </c>
      <c r="G7" s="33">
        <v>32310460.260000002</v>
      </c>
      <c r="H7" s="33">
        <v>1615523013</v>
      </c>
      <c r="I7" s="33">
        <v>1647833473.2599998</v>
      </c>
    </row>
    <row r="8" spans="1:9">
      <c r="A8">
        <v>1943</v>
      </c>
      <c r="B8" t="s">
        <v>2630</v>
      </c>
      <c r="C8" t="s">
        <v>2629</v>
      </c>
      <c r="D8" t="s">
        <v>2033</v>
      </c>
      <c r="E8">
        <v>43</v>
      </c>
      <c r="F8">
        <v>857</v>
      </c>
      <c r="G8" s="33">
        <v>46246771.960000008</v>
      </c>
      <c r="H8" s="33">
        <v>2312338598</v>
      </c>
      <c r="I8" s="33">
        <v>2358585369.96</v>
      </c>
    </row>
    <row r="9" spans="1:9">
      <c r="A9">
        <v>1946</v>
      </c>
      <c r="B9" t="s">
        <v>1408</v>
      </c>
      <c r="C9" t="s">
        <v>1407</v>
      </c>
      <c r="D9" t="s">
        <v>4360</v>
      </c>
      <c r="E9">
        <v>10</v>
      </c>
      <c r="F9">
        <v>713</v>
      </c>
      <c r="G9" s="33">
        <v>46811228.980000004</v>
      </c>
      <c r="H9" s="33">
        <v>2340561449</v>
      </c>
      <c r="I9" s="33">
        <v>2387372677.98</v>
      </c>
    </row>
    <row r="10" spans="1:9">
      <c r="A10">
        <v>1947</v>
      </c>
      <c r="B10" t="s">
        <v>992</v>
      </c>
      <c r="C10" t="s">
        <v>991</v>
      </c>
      <c r="D10" t="s">
        <v>4360</v>
      </c>
      <c r="E10">
        <v>23</v>
      </c>
      <c r="F10">
        <v>692</v>
      </c>
      <c r="G10" s="33">
        <v>30173871.11999999</v>
      </c>
      <c r="H10" s="33">
        <v>1508693556</v>
      </c>
      <c r="I10" s="33">
        <v>1538867427.1200004</v>
      </c>
    </row>
    <row r="11" spans="1:9">
      <c r="A11">
        <v>1948</v>
      </c>
      <c r="B11" t="s">
        <v>1430</v>
      </c>
      <c r="C11" t="s">
        <v>1429</v>
      </c>
      <c r="D11" t="s">
        <v>4360</v>
      </c>
      <c r="E11">
        <v>26</v>
      </c>
      <c r="F11">
        <v>417</v>
      </c>
      <c r="G11" s="33">
        <v>18182809.620000001</v>
      </c>
      <c r="H11" s="33">
        <v>909140481</v>
      </c>
      <c r="I11" s="33">
        <v>927323290.62</v>
      </c>
    </row>
    <row r="12" spans="1:9">
      <c r="A12">
        <v>1973</v>
      </c>
      <c r="B12" t="s">
        <v>2503</v>
      </c>
      <c r="C12" t="s">
        <v>2502</v>
      </c>
      <c r="D12" t="s">
        <v>4360</v>
      </c>
      <c r="E12">
        <v>14</v>
      </c>
      <c r="F12">
        <v>710</v>
      </c>
      <c r="G12" s="33">
        <v>35897363.280000001</v>
      </c>
      <c r="H12" s="33">
        <v>1794868164</v>
      </c>
      <c r="I12" s="33">
        <v>1830765527.28</v>
      </c>
    </row>
    <row r="13" spans="1:9">
      <c r="A13">
        <v>1974</v>
      </c>
      <c r="B13" t="s">
        <v>4177</v>
      </c>
      <c r="C13" t="s">
        <v>4176</v>
      </c>
      <c r="D13" t="s">
        <v>4360</v>
      </c>
      <c r="E13">
        <v>37</v>
      </c>
      <c r="F13">
        <v>749</v>
      </c>
      <c r="G13" s="33">
        <v>40357006.979999997</v>
      </c>
      <c r="H13" s="33">
        <v>2017850349</v>
      </c>
      <c r="I13" s="33">
        <v>2058207355.9799998</v>
      </c>
    </row>
    <row r="14" spans="1:9">
      <c r="A14">
        <v>2012</v>
      </c>
      <c r="B14" t="s">
        <v>2503</v>
      </c>
      <c r="C14" t="s">
        <v>2502</v>
      </c>
      <c r="D14" t="s">
        <v>4360</v>
      </c>
      <c r="E14">
        <v>6</v>
      </c>
      <c r="F14">
        <v>510</v>
      </c>
      <c r="G14" s="33">
        <v>40975522.800000004</v>
      </c>
      <c r="H14" s="33">
        <v>2048776140</v>
      </c>
      <c r="I14" s="33">
        <v>2089751662.8</v>
      </c>
    </row>
    <row r="15" spans="1:9">
      <c r="A15">
        <v>2021</v>
      </c>
      <c r="B15" t="s">
        <v>4235</v>
      </c>
      <c r="C15" t="s">
        <v>2841</v>
      </c>
      <c r="D15" t="s">
        <v>2033</v>
      </c>
      <c r="E15">
        <v>12</v>
      </c>
      <c r="F15">
        <v>789</v>
      </c>
      <c r="G15" s="33">
        <v>41185218.880000003</v>
      </c>
      <c r="H15" s="33">
        <v>2059260944</v>
      </c>
      <c r="I15" s="33">
        <v>2100446162.8800001</v>
      </c>
    </row>
    <row r="16" spans="1:9">
      <c r="E16"/>
      <c r="H16"/>
    </row>
    <row r="17" spans="5:8">
      <c r="E17"/>
      <c r="H17"/>
    </row>
    <row r="18" spans="5:8">
      <c r="E18"/>
      <c r="H18"/>
    </row>
    <row r="19" spans="5:8">
      <c r="E19"/>
      <c r="H19"/>
    </row>
    <row r="20" spans="5:8">
      <c r="E20"/>
      <c r="H20"/>
    </row>
    <row r="21" spans="5:8">
      <c r="E21"/>
      <c r="H21"/>
    </row>
    <row r="22" spans="5:8">
      <c r="E22"/>
      <c r="H22"/>
    </row>
    <row r="23" spans="5:8">
      <c r="E23"/>
      <c r="H23"/>
    </row>
    <row r="24" spans="5:8">
      <c r="E24"/>
      <c r="H24"/>
    </row>
    <row r="25" spans="5:8">
      <c r="E25"/>
      <c r="H25"/>
    </row>
    <row r="26" spans="5:8">
      <c r="E26"/>
      <c r="H26"/>
    </row>
    <row r="27" spans="5:8">
      <c r="E27"/>
      <c r="H27"/>
    </row>
    <row r="28" spans="5:8">
      <c r="E28"/>
      <c r="H28"/>
    </row>
    <row r="29" spans="5:8">
      <c r="E29"/>
      <c r="H29"/>
    </row>
    <row r="30" spans="5:8">
      <c r="E30"/>
      <c r="H30"/>
    </row>
    <row r="31" spans="5:8">
      <c r="E31"/>
      <c r="H31"/>
    </row>
    <row r="32" spans="5:8">
      <c r="E32"/>
      <c r="H32"/>
    </row>
    <row r="33" spans="5:8">
      <c r="E33"/>
      <c r="H33"/>
    </row>
    <row r="34" spans="5:8">
      <c r="E34"/>
      <c r="H34"/>
    </row>
    <row r="35" spans="5:8">
      <c r="E35"/>
      <c r="H35"/>
    </row>
    <row r="36" spans="5:8">
      <c r="E36"/>
      <c r="H36"/>
    </row>
    <row r="37" spans="5:8">
      <c r="E37"/>
      <c r="H37"/>
    </row>
    <row r="38" spans="5:8">
      <c r="E38"/>
      <c r="H38"/>
    </row>
    <row r="39" spans="5:8">
      <c r="E39"/>
      <c r="H39"/>
    </row>
    <row r="40" spans="5:8">
      <c r="E40"/>
      <c r="H40"/>
    </row>
    <row r="41" spans="5:8">
      <c r="E41"/>
      <c r="H41"/>
    </row>
    <row r="42" spans="5:8">
      <c r="E42"/>
      <c r="H42"/>
    </row>
    <row r="43" spans="5:8">
      <c r="E43"/>
      <c r="H43"/>
    </row>
    <row r="44" spans="5:8">
      <c r="E44"/>
      <c r="H44"/>
    </row>
    <row r="45" spans="5:8">
      <c r="E45"/>
      <c r="H45"/>
    </row>
    <row r="46" spans="5:8">
      <c r="E46"/>
      <c r="H46"/>
    </row>
    <row r="47" spans="5:8">
      <c r="E47"/>
      <c r="H47"/>
    </row>
    <row r="48" spans="5:8">
      <c r="E48"/>
      <c r="H48"/>
    </row>
    <row r="49" spans="5:8">
      <c r="E49"/>
      <c r="H49"/>
    </row>
    <row r="50" spans="5:8">
      <c r="E50"/>
      <c r="H50"/>
    </row>
    <row r="51" spans="5:8">
      <c r="E51"/>
      <c r="H51"/>
    </row>
    <row r="52" spans="5:8">
      <c r="E52"/>
      <c r="H52"/>
    </row>
    <row r="53" spans="5:8">
      <c r="E53"/>
      <c r="H53"/>
    </row>
    <row r="54" spans="5:8">
      <c r="E54"/>
      <c r="H54"/>
    </row>
    <row r="55" spans="5:8">
      <c r="E55"/>
      <c r="H55"/>
    </row>
    <row r="56" spans="5:8">
      <c r="E56"/>
      <c r="H56"/>
    </row>
    <row r="57" spans="5:8">
      <c r="E57"/>
      <c r="H57"/>
    </row>
    <row r="58" spans="5:8">
      <c r="E58"/>
      <c r="H58"/>
    </row>
    <row r="59" spans="5:8">
      <c r="E59"/>
      <c r="H59"/>
    </row>
    <row r="60" spans="5:8">
      <c r="E60"/>
      <c r="H60"/>
    </row>
    <row r="61" spans="5:8">
      <c r="E61"/>
      <c r="H61"/>
    </row>
    <row r="62" spans="5:8">
      <c r="E62"/>
      <c r="H62"/>
    </row>
    <row r="63" spans="5:8">
      <c r="E63"/>
      <c r="H63"/>
    </row>
    <row r="64" spans="5:8">
      <c r="E64"/>
      <c r="H64"/>
    </row>
    <row r="65" spans="5:8">
      <c r="E65"/>
      <c r="H65"/>
    </row>
    <row r="66" spans="5:8">
      <c r="E66"/>
      <c r="H66"/>
    </row>
    <row r="67" spans="5:8">
      <c r="E67"/>
      <c r="H67"/>
    </row>
    <row r="68" spans="5:8">
      <c r="E68"/>
      <c r="H68"/>
    </row>
    <row r="69" spans="5:8">
      <c r="E69"/>
      <c r="H69"/>
    </row>
    <row r="70" spans="5:8">
      <c r="E70"/>
      <c r="H70"/>
    </row>
    <row r="71" spans="5:8">
      <c r="E71"/>
      <c r="H71"/>
    </row>
    <row r="72" spans="5:8">
      <c r="E72"/>
      <c r="H72"/>
    </row>
    <row r="73" spans="5:8">
      <c r="E73"/>
      <c r="H73"/>
    </row>
    <row r="74" spans="5:8">
      <c r="E74"/>
      <c r="H74"/>
    </row>
    <row r="75" spans="5:8">
      <c r="E75"/>
      <c r="H75"/>
    </row>
    <row r="76" spans="5:8">
      <c r="E76"/>
      <c r="H76"/>
    </row>
    <row r="77" spans="5:8">
      <c r="E77"/>
      <c r="H77"/>
    </row>
    <row r="78" spans="5:8">
      <c r="E78"/>
      <c r="H78"/>
    </row>
    <row r="79" spans="5:8">
      <c r="E79"/>
      <c r="H79"/>
    </row>
    <row r="80" spans="5:8">
      <c r="E80"/>
      <c r="H80"/>
    </row>
    <row r="81" spans="5:8">
      <c r="E81"/>
      <c r="H81"/>
    </row>
    <row r="82" spans="5:8">
      <c r="E82"/>
      <c r="H82"/>
    </row>
    <row r="83" spans="5:8">
      <c r="E83"/>
      <c r="H83"/>
    </row>
    <row r="84" spans="5:8">
      <c r="E84"/>
      <c r="H84"/>
    </row>
    <row r="85" spans="5:8">
      <c r="E85"/>
      <c r="H85"/>
    </row>
    <row r="86" spans="5:8">
      <c r="E86"/>
      <c r="H86"/>
    </row>
    <row r="87" spans="5:8">
      <c r="E87"/>
      <c r="H87"/>
    </row>
    <row r="88" spans="5:8">
      <c r="E88"/>
      <c r="H88"/>
    </row>
    <row r="89" spans="5:8">
      <c r="E89"/>
      <c r="H89"/>
    </row>
    <row r="90" spans="5:8">
      <c r="E90"/>
      <c r="H90"/>
    </row>
    <row r="91" spans="5:8">
      <c r="E91"/>
      <c r="H91"/>
    </row>
    <row r="92" spans="5:8">
      <c r="E92"/>
      <c r="H92"/>
    </row>
    <row r="93" spans="5:8">
      <c r="E93"/>
      <c r="H93"/>
    </row>
    <row r="94" spans="5:8">
      <c r="E94"/>
      <c r="H94"/>
    </row>
    <row r="95" spans="5:8">
      <c r="E95"/>
      <c r="H95"/>
    </row>
    <row r="96" spans="5:8">
      <c r="E96"/>
      <c r="H96"/>
    </row>
    <row r="97" spans="5:8">
      <c r="E97"/>
      <c r="H97"/>
    </row>
    <row r="98" spans="5:8">
      <c r="E98"/>
      <c r="H98"/>
    </row>
    <row r="99" spans="5:8">
      <c r="E99"/>
      <c r="H99"/>
    </row>
    <row r="100" spans="5:8">
      <c r="E100"/>
      <c r="H100"/>
    </row>
    <row r="101" spans="5:8">
      <c r="E101"/>
      <c r="H101"/>
    </row>
    <row r="102" spans="5:8">
      <c r="E102"/>
      <c r="H102"/>
    </row>
    <row r="103" spans="5:8">
      <c r="E103"/>
      <c r="H103"/>
    </row>
    <row r="104" spans="5:8">
      <c r="E104"/>
      <c r="H104"/>
    </row>
    <row r="105" spans="5:8">
      <c r="E105"/>
      <c r="H105"/>
    </row>
    <row r="106" spans="5:8">
      <c r="E106"/>
      <c r="H106"/>
    </row>
    <row r="107" spans="5:8">
      <c r="E107"/>
      <c r="H107"/>
    </row>
    <row r="108" spans="5:8">
      <c r="E108"/>
      <c r="H108"/>
    </row>
    <row r="109" spans="5:8">
      <c r="E109"/>
      <c r="H109"/>
    </row>
    <row r="110" spans="5:8">
      <c r="E110"/>
      <c r="H110"/>
    </row>
    <row r="111" spans="5:8">
      <c r="E111"/>
      <c r="H111"/>
    </row>
    <row r="112" spans="5:8">
      <c r="E112"/>
      <c r="H112"/>
    </row>
    <row r="113" spans="5:8">
      <c r="E113"/>
      <c r="H113"/>
    </row>
    <row r="114" spans="5:8">
      <c r="E114"/>
      <c r="H114"/>
    </row>
    <row r="115" spans="5:8">
      <c r="E115"/>
      <c r="H115"/>
    </row>
    <row r="116" spans="5:8">
      <c r="E116"/>
      <c r="H116"/>
    </row>
    <row r="117" spans="5:8">
      <c r="E117"/>
      <c r="H117"/>
    </row>
    <row r="118" spans="5:8">
      <c r="E118"/>
      <c r="H118"/>
    </row>
    <row r="119" spans="5:8">
      <c r="E119"/>
      <c r="H119"/>
    </row>
    <row r="120" spans="5:8">
      <c r="E120"/>
      <c r="H120"/>
    </row>
    <row r="121" spans="5:8">
      <c r="E121"/>
      <c r="H121"/>
    </row>
    <row r="122" spans="5:8">
      <c r="E122"/>
      <c r="H122"/>
    </row>
    <row r="123" spans="5:8">
      <c r="E123"/>
      <c r="H123"/>
    </row>
    <row r="124" spans="5:8">
      <c r="E124"/>
      <c r="H124"/>
    </row>
    <row r="125" spans="5:8">
      <c r="E125"/>
      <c r="H125"/>
    </row>
    <row r="126" spans="5:8">
      <c r="E126"/>
      <c r="H126"/>
    </row>
    <row r="127" spans="5:8">
      <c r="E127"/>
      <c r="H127"/>
    </row>
    <row r="128" spans="5:8">
      <c r="E128"/>
      <c r="H128"/>
    </row>
    <row r="129" spans="5:8">
      <c r="E129"/>
      <c r="H129"/>
    </row>
    <row r="130" spans="5:8">
      <c r="E130"/>
      <c r="H130"/>
    </row>
    <row r="131" spans="5:8">
      <c r="E131"/>
      <c r="H131"/>
    </row>
    <row r="132" spans="5:8">
      <c r="E132"/>
      <c r="H132"/>
    </row>
    <row r="133" spans="5:8">
      <c r="E133"/>
      <c r="H133"/>
    </row>
    <row r="134" spans="5:8">
      <c r="E134"/>
      <c r="H134"/>
    </row>
    <row r="135" spans="5:8">
      <c r="E135"/>
      <c r="H135"/>
    </row>
    <row r="136" spans="5:8">
      <c r="E136"/>
      <c r="H136"/>
    </row>
    <row r="137" spans="5:8">
      <c r="E137"/>
      <c r="H137"/>
    </row>
    <row r="138" spans="5:8">
      <c r="E138"/>
      <c r="H138"/>
    </row>
    <row r="139" spans="5:8">
      <c r="E139"/>
      <c r="H139"/>
    </row>
    <row r="140" spans="5:8">
      <c r="E140"/>
      <c r="H140"/>
    </row>
    <row r="141" spans="5:8">
      <c r="E141"/>
      <c r="H141"/>
    </row>
    <row r="142" spans="5:8">
      <c r="E142"/>
      <c r="H142"/>
    </row>
    <row r="143" spans="5:8">
      <c r="E143"/>
      <c r="H143"/>
    </row>
    <row r="144" spans="5:8">
      <c r="E144"/>
      <c r="H144"/>
    </row>
    <row r="145" spans="5:8">
      <c r="E145"/>
      <c r="H145"/>
    </row>
    <row r="146" spans="5:8">
      <c r="E146"/>
      <c r="H146"/>
    </row>
    <row r="147" spans="5:8">
      <c r="E147"/>
      <c r="H147"/>
    </row>
    <row r="148" spans="5:8">
      <c r="E148"/>
      <c r="H148"/>
    </row>
    <row r="149" spans="5:8">
      <c r="E149"/>
      <c r="H149"/>
    </row>
    <row r="150" spans="5:8">
      <c r="E150"/>
      <c r="H150"/>
    </row>
    <row r="151" spans="5:8">
      <c r="E151"/>
      <c r="H151"/>
    </row>
    <row r="152" spans="5:8">
      <c r="E152"/>
      <c r="H152"/>
    </row>
    <row r="153" spans="5:8">
      <c r="E153"/>
      <c r="H153"/>
    </row>
    <row r="154" spans="5:8">
      <c r="E154"/>
      <c r="H154"/>
    </row>
    <row r="155" spans="5:8">
      <c r="E155"/>
      <c r="H155"/>
    </row>
    <row r="156" spans="5:8">
      <c r="E156"/>
      <c r="H156"/>
    </row>
    <row r="157" spans="5:8">
      <c r="E157"/>
      <c r="H157"/>
    </row>
    <row r="158" spans="5:8">
      <c r="E158"/>
      <c r="H158"/>
    </row>
    <row r="159" spans="5:8">
      <c r="E159"/>
      <c r="H159"/>
    </row>
    <row r="160" spans="5:8">
      <c r="E160"/>
      <c r="H160"/>
    </row>
    <row r="161" spans="5:8">
      <c r="E161"/>
      <c r="H161"/>
    </row>
    <row r="162" spans="5:8">
      <c r="E162"/>
      <c r="H162"/>
    </row>
    <row r="163" spans="5:8">
      <c r="E163"/>
      <c r="H163"/>
    </row>
    <row r="164" spans="5:8">
      <c r="E164"/>
      <c r="H164"/>
    </row>
    <row r="165" spans="5:8">
      <c r="E165"/>
      <c r="H165"/>
    </row>
    <row r="166" spans="5:8">
      <c r="E166"/>
      <c r="H166"/>
    </row>
    <row r="167" spans="5:8">
      <c r="E167"/>
      <c r="H167"/>
    </row>
    <row r="168" spans="5:8">
      <c r="E168"/>
      <c r="H168"/>
    </row>
    <row r="169" spans="5:8">
      <c r="E169"/>
      <c r="H169"/>
    </row>
    <row r="170" spans="5:8">
      <c r="E170"/>
      <c r="H170"/>
    </row>
    <row r="171" spans="5:8">
      <c r="E171"/>
      <c r="H171"/>
    </row>
    <row r="172" spans="5:8">
      <c r="E172"/>
      <c r="H172"/>
    </row>
    <row r="173" spans="5:8">
      <c r="E173"/>
      <c r="H173"/>
    </row>
    <row r="174" spans="5:8">
      <c r="E174"/>
      <c r="H174"/>
    </row>
    <row r="175" spans="5:8">
      <c r="E175"/>
      <c r="H175"/>
    </row>
    <row r="176" spans="5:8">
      <c r="E176"/>
      <c r="H176"/>
    </row>
    <row r="177" spans="5:8">
      <c r="E177"/>
      <c r="H177"/>
    </row>
    <row r="178" spans="5:8">
      <c r="E178"/>
      <c r="H178"/>
    </row>
    <row r="179" spans="5:8">
      <c r="E179"/>
      <c r="H179"/>
    </row>
    <row r="180" spans="5:8">
      <c r="E180"/>
      <c r="H180"/>
    </row>
    <row r="181" spans="5:8">
      <c r="E181"/>
      <c r="H181"/>
    </row>
    <row r="182" spans="5:8">
      <c r="E182"/>
      <c r="H182"/>
    </row>
    <row r="183" spans="5:8">
      <c r="E183"/>
      <c r="H183"/>
    </row>
    <row r="184" spans="5:8">
      <c r="E184"/>
      <c r="H184"/>
    </row>
    <row r="185" spans="5:8">
      <c r="E185"/>
      <c r="H185"/>
    </row>
    <row r="186" spans="5:8">
      <c r="E186"/>
      <c r="H186"/>
    </row>
    <row r="187" spans="5:8">
      <c r="E187"/>
      <c r="H187"/>
    </row>
    <row r="188" spans="5:8">
      <c r="E188"/>
      <c r="H188"/>
    </row>
    <row r="189" spans="5:8">
      <c r="E189"/>
      <c r="H189"/>
    </row>
    <row r="190" spans="5:8">
      <c r="E190"/>
      <c r="H190"/>
    </row>
    <row r="191" spans="5:8">
      <c r="E191"/>
      <c r="H191"/>
    </row>
    <row r="192" spans="5:8">
      <c r="E192"/>
      <c r="H192"/>
    </row>
    <row r="193" spans="5:8">
      <c r="E193"/>
      <c r="H193"/>
    </row>
    <row r="194" spans="5:8">
      <c r="E194"/>
      <c r="H194"/>
    </row>
    <row r="195" spans="5:8">
      <c r="E195"/>
      <c r="H195"/>
    </row>
    <row r="196" spans="5:8">
      <c r="E196"/>
      <c r="H196"/>
    </row>
    <row r="197" spans="5:8">
      <c r="E197"/>
      <c r="H197"/>
    </row>
    <row r="198" spans="5:8">
      <c r="E198"/>
      <c r="H198"/>
    </row>
    <row r="199" spans="5:8">
      <c r="E199"/>
      <c r="H199"/>
    </row>
    <row r="200" spans="5:8">
      <c r="E200"/>
      <c r="H200"/>
    </row>
    <row r="201" spans="5:8">
      <c r="E201"/>
      <c r="H201"/>
    </row>
    <row r="202" spans="5:8">
      <c r="E202"/>
      <c r="H202"/>
    </row>
    <row r="203" spans="5:8">
      <c r="E203"/>
      <c r="H203"/>
    </row>
    <row r="204" spans="5:8">
      <c r="E204"/>
      <c r="H204"/>
    </row>
    <row r="205" spans="5:8">
      <c r="E205"/>
      <c r="H205"/>
    </row>
    <row r="206" spans="5:8">
      <c r="E206"/>
      <c r="H206"/>
    </row>
    <row r="207" spans="5:8">
      <c r="E207"/>
      <c r="H207"/>
    </row>
    <row r="208" spans="5:8">
      <c r="E208"/>
      <c r="H208"/>
    </row>
    <row r="209" spans="5:8">
      <c r="E209"/>
      <c r="H209"/>
    </row>
    <row r="210" spans="5:8">
      <c r="E210"/>
      <c r="H210"/>
    </row>
    <row r="211" spans="5:8">
      <c r="E211"/>
      <c r="H211"/>
    </row>
    <row r="212" spans="5:8">
      <c r="E212"/>
      <c r="H212"/>
    </row>
    <row r="213" spans="5:8">
      <c r="E213"/>
      <c r="H213"/>
    </row>
    <row r="214" spans="5:8">
      <c r="E214"/>
      <c r="H214"/>
    </row>
    <row r="215" spans="5:8">
      <c r="E215"/>
      <c r="H215"/>
    </row>
    <row r="216" spans="5:8">
      <c r="E216"/>
      <c r="H216"/>
    </row>
    <row r="217" spans="5:8">
      <c r="E217"/>
      <c r="H217"/>
    </row>
    <row r="218" spans="5:8">
      <c r="E218"/>
      <c r="H218"/>
    </row>
    <row r="219" spans="5:8">
      <c r="E219"/>
      <c r="H219"/>
    </row>
    <row r="220" spans="5:8">
      <c r="E220"/>
      <c r="H220"/>
    </row>
    <row r="221" spans="5:8">
      <c r="E221"/>
      <c r="H221"/>
    </row>
    <row r="222" spans="5:8">
      <c r="E222"/>
      <c r="H222"/>
    </row>
    <row r="223" spans="5:8">
      <c r="E223"/>
      <c r="H223"/>
    </row>
    <row r="224" spans="5:8">
      <c r="E224"/>
      <c r="H224"/>
    </row>
    <row r="225" spans="5:8">
      <c r="E225"/>
      <c r="H225"/>
    </row>
    <row r="226" spans="5:8">
      <c r="E226"/>
      <c r="H226"/>
    </row>
    <row r="227" spans="5:8">
      <c r="E227"/>
      <c r="H227"/>
    </row>
    <row r="228" spans="5:8">
      <c r="E228"/>
      <c r="H228"/>
    </row>
    <row r="229" spans="5:8">
      <c r="E229"/>
      <c r="H229"/>
    </row>
    <row r="230" spans="5:8">
      <c r="E230"/>
      <c r="H230"/>
    </row>
    <row r="231" spans="5:8">
      <c r="E231"/>
      <c r="H231"/>
    </row>
    <row r="232" spans="5:8">
      <c r="E232"/>
      <c r="H232"/>
    </row>
    <row r="233" spans="5:8">
      <c r="E233"/>
      <c r="H233"/>
    </row>
    <row r="234" spans="5:8">
      <c r="E234"/>
      <c r="H234"/>
    </row>
    <row r="235" spans="5:8">
      <c r="E235"/>
      <c r="H235"/>
    </row>
    <row r="236" spans="5:8">
      <c r="E236"/>
      <c r="H236"/>
    </row>
    <row r="237" spans="5:8">
      <c r="E237"/>
      <c r="H237"/>
    </row>
    <row r="238" spans="5:8">
      <c r="E238"/>
      <c r="H238"/>
    </row>
    <row r="239" spans="5:8">
      <c r="E239"/>
      <c r="H239"/>
    </row>
    <row r="240" spans="5:8">
      <c r="E240"/>
      <c r="H240"/>
    </row>
    <row r="241" spans="5:8">
      <c r="E241"/>
      <c r="H241"/>
    </row>
    <row r="242" spans="5:8">
      <c r="E242"/>
      <c r="H242"/>
    </row>
    <row r="243" spans="5:8">
      <c r="E243"/>
      <c r="H243"/>
    </row>
    <row r="244" spans="5:8">
      <c r="E244"/>
      <c r="H244"/>
    </row>
    <row r="245" spans="5:8">
      <c r="E245"/>
      <c r="H245"/>
    </row>
    <row r="246" spans="5:8">
      <c r="E246"/>
      <c r="H246"/>
    </row>
    <row r="247" spans="5:8">
      <c r="E247"/>
      <c r="H247"/>
    </row>
    <row r="248" spans="5:8">
      <c r="E248"/>
      <c r="H248"/>
    </row>
    <row r="249" spans="5:8">
      <c r="E249"/>
      <c r="H249"/>
    </row>
    <row r="250" spans="5:8">
      <c r="E250"/>
      <c r="H250"/>
    </row>
    <row r="251" spans="5:8">
      <c r="E251"/>
      <c r="H251"/>
    </row>
    <row r="252" spans="5:8">
      <c r="E252"/>
      <c r="H252"/>
    </row>
    <row r="253" spans="5:8">
      <c r="E253"/>
      <c r="H253"/>
    </row>
    <row r="254" spans="5:8">
      <c r="E254"/>
      <c r="H254"/>
    </row>
    <row r="255" spans="5:8">
      <c r="E255"/>
      <c r="H255"/>
    </row>
    <row r="256" spans="5:8">
      <c r="E256"/>
      <c r="H256"/>
    </row>
    <row r="257" spans="5:8">
      <c r="E257"/>
      <c r="H257"/>
    </row>
    <row r="258" spans="5:8">
      <c r="E258"/>
      <c r="H258"/>
    </row>
    <row r="259" spans="5:8">
      <c r="E259"/>
      <c r="H259"/>
    </row>
    <row r="260" spans="5:8">
      <c r="E260"/>
      <c r="H260"/>
    </row>
    <row r="261" spans="5:8">
      <c r="E261"/>
      <c r="H261"/>
    </row>
    <row r="262" spans="5:8">
      <c r="E262"/>
      <c r="H262"/>
    </row>
    <row r="263" spans="5:8">
      <c r="E263"/>
      <c r="H263"/>
    </row>
    <row r="264" spans="5:8">
      <c r="E264"/>
      <c r="H264"/>
    </row>
    <row r="265" spans="5:8">
      <c r="E265"/>
      <c r="H265"/>
    </row>
    <row r="266" spans="5:8">
      <c r="E266"/>
      <c r="H266"/>
    </row>
    <row r="267" spans="5:8">
      <c r="E267"/>
      <c r="H267"/>
    </row>
    <row r="268" spans="5:8">
      <c r="E268"/>
      <c r="H268"/>
    </row>
    <row r="269" spans="5:8">
      <c r="E269"/>
      <c r="H269"/>
    </row>
    <row r="270" spans="5:8">
      <c r="E270"/>
      <c r="H270"/>
    </row>
    <row r="271" spans="5:8">
      <c r="E271"/>
      <c r="H271"/>
    </row>
    <row r="272" spans="5:8">
      <c r="E272"/>
      <c r="H272"/>
    </row>
    <row r="273" spans="5:8">
      <c r="E273"/>
      <c r="H273"/>
    </row>
    <row r="274" spans="5:8">
      <c r="E274"/>
      <c r="H274"/>
    </row>
    <row r="275" spans="5:8">
      <c r="E275"/>
      <c r="H275"/>
    </row>
    <row r="276" spans="5:8">
      <c r="E276"/>
      <c r="H276"/>
    </row>
    <row r="277" spans="5:8">
      <c r="E277"/>
      <c r="H277"/>
    </row>
    <row r="278" spans="5:8">
      <c r="E278"/>
      <c r="H278"/>
    </row>
    <row r="279" spans="5:8">
      <c r="E279"/>
      <c r="H279"/>
    </row>
    <row r="280" spans="5:8">
      <c r="E280"/>
      <c r="H280"/>
    </row>
    <row r="281" spans="5:8">
      <c r="E281"/>
      <c r="H281"/>
    </row>
    <row r="282" spans="5:8">
      <c r="E282"/>
      <c r="H282"/>
    </row>
    <row r="283" spans="5:8">
      <c r="E283"/>
      <c r="H283"/>
    </row>
    <row r="284" spans="5:8">
      <c r="E284"/>
      <c r="H284"/>
    </row>
    <row r="285" spans="5:8">
      <c r="E285"/>
      <c r="H285"/>
    </row>
    <row r="286" spans="5:8">
      <c r="E286"/>
      <c r="H286"/>
    </row>
    <row r="287" spans="5:8">
      <c r="E287"/>
      <c r="H287"/>
    </row>
    <row r="288" spans="5:8">
      <c r="E288"/>
      <c r="H288"/>
    </row>
    <row r="289" spans="5:8">
      <c r="E289"/>
      <c r="H289"/>
    </row>
    <row r="290" spans="5:8">
      <c r="E290"/>
      <c r="H290"/>
    </row>
    <row r="291" spans="5:8">
      <c r="E291"/>
      <c r="H291"/>
    </row>
    <row r="292" spans="5:8">
      <c r="E292"/>
      <c r="H292"/>
    </row>
    <row r="293" spans="5:8">
      <c r="E293"/>
      <c r="H293"/>
    </row>
    <row r="294" spans="5:8">
      <c r="E294"/>
      <c r="H294"/>
    </row>
    <row r="295" spans="5:8">
      <c r="E295"/>
      <c r="H295"/>
    </row>
    <row r="296" spans="5:8">
      <c r="E296"/>
      <c r="H296"/>
    </row>
    <row r="297" spans="5:8">
      <c r="E297"/>
      <c r="H297"/>
    </row>
    <row r="298" spans="5:8">
      <c r="E298"/>
      <c r="H298"/>
    </row>
    <row r="299" spans="5:8">
      <c r="E299"/>
      <c r="H299"/>
    </row>
    <row r="300" spans="5:8">
      <c r="E300"/>
      <c r="H300"/>
    </row>
    <row r="301" spans="5:8">
      <c r="E301"/>
      <c r="H301"/>
    </row>
    <row r="302" spans="5:8">
      <c r="E302"/>
      <c r="H302"/>
    </row>
    <row r="303" spans="5:8">
      <c r="E303"/>
      <c r="H303"/>
    </row>
    <row r="304" spans="5:8">
      <c r="E304"/>
      <c r="H304"/>
    </row>
    <row r="305" spans="5:8">
      <c r="E305"/>
      <c r="H305"/>
    </row>
    <row r="306" spans="5:8">
      <c r="E306"/>
      <c r="H306"/>
    </row>
    <row r="307" spans="5:8">
      <c r="E307"/>
      <c r="H307"/>
    </row>
    <row r="308" spans="5:8">
      <c r="E308"/>
      <c r="H308"/>
    </row>
    <row r="309" spans="5:8">
      <c r="E309"/>
      <c r="H309"/>
    </row>
    <row r="310" spans="5:8">
      <c r="E310"/>
      <c r="H310"/>
    </row>
    <row r="311" spans="5:8">
      <c r="E311"/>
      <c r="H311"/>
    </row>
    <row r="312" spans="5:8">
      <c r="E312"/>
      <c r="H312"/>
    </row>
    <row r="313" spans="5:8">
      <c r="E313"/>
      <c r="H313"/>
    </row>
    <row r="314" spans="5:8">
      <c r="E314"/>
      <c r="H314"/>
    </row>
    <row r="315" spans="5:8">
      <c r="E315"/>
      <c r="H315"/>
    </row>
    <row r="316" spans="5:8">
      <c r="E316"/>
      <c r="H316"/>
    </row>
    <row r="317" spans="5:8">
      <c r="E317"/>
      <c r="H317"/>
    </row>
    <row r="318" spans="5:8">
      <c r="E318"/>
      <c r="H318"/>
    </row>
    <row r="319" spans="5:8">
      <c r="E319"/>
      <c r="H319"/>
    </row>
    <row r="320" spans="5:8">
      <c r="E320"/>
      <c r="H320"/>
    </row>
    <row r="321" spans="5:8">
      <c r="E321"/>
      <c r="H321"/>
    </row>
    <row r="322" spans="5:8">
      <c r="E322"/>
      <c r="H322"/>
    </row>
    <row r="323" spans="5:8">
      <c r="E323"/>
      <c r="H323"/>
    </row>
    <row r="324" spans="5:8">
      <c r="E324"/>
      <c r="H324"/>
    </row>
    <row r="325" spans="5:8">
      <c r="E325"/>
      <c r="H325"/>
    </row>
    <row r="326" spans="5:8">
      <c r="E326"/>
      <c r="H326"/>
    </row>
    <row r="327" spans="5:8">
      <c r="E327"/>
      <c r="H327"/>
    </row>
    <row r="328" spans="5:8">
      <c r="E328"/>
      <c r="H328"/>
    </row>
    <row r="329" spans="5:8">
      <c r="E329"/>
      <c r="H329"/>
    </row>
    <row r="330" spans="5:8">
      <c r="E330"/>
      <c r="H330"/>
    </row>
    <row r="331" spans="5:8">
      <c r="E331"/>
      <c r="H331"/>
    </row>
    <row r="332" spans="5:8">
      <c r="E332"/>
      <c r="H332"/>
    </row>
    <row r="333" spans="5:8">
      <c r="E333"/>
      <c r="H333"/>
    </row>
    <row r="334" spans="5:8">
      <c r="E334"/>
      <c r="H334"/>
    </row>
    <row r="335" spans="5:8">
      <c r="E335"/>
      <c r="H335"/>
    </row>
    <row r="336" spans="5:8">
      <c r="E336"/>
      <c r="H336"/>
    </row>
    <row r="337" spans="5:8">
      <c r="E337"/>
      <c r="H337"/>
    </row>
    <row r="338" spans="5:8">
      <c r="E338"/>
      <c r="H338"/>
    </row>
    <row r="339" spans="5:8">
      <c r="E339"/>
      <c r="H339"/>
    </row>
    <row r="340" spans="5:8">
      <c r="E340"/>
      <c r="H340"/>
    </row>
    <row r="341" spans="5:8">
      <c r="E341"/>
      <c r="H341"/>
    </row>
    <row r="342" spans="5:8">
      <c r="E342"/>
      <c r="H342"/>
    </row>
    <row r="343" spans="5:8">
      <c r="E343"/>
      <c r="H343"/>
    </row>
    <row r="344" spans="5:8">
      <c r="E344"/>
      <c r="H344"/>
    </row>
    <row r="345" spans="5:8">
      <c r="E345"/>
      <c r="H345"/>
    </row>
    <row r="346" spans="5:8">
      <c r="E346"/>
      <c r="H346"/>
    </row>
    <row r="347" spans="5:8">
      <c r="E347"/>
      <c r="H347"/>
    </row>
    <row r="348" spans="5:8">
      <c r="E348"/>
      <c r="H348"/>
    </row>
    <row r="349" spans="5:8">
      <c r="E349"/>
      <c r="H349"/>
    </row>
    <row r="350" spans="5:8">
      <c r="E350"/>
      <c r="H350"/>
    </row>
    <row r="351" spans="5:8">
      <c r="E351"/>
      <c r="H351"/>
    </row>
    <row r="352" spans="5:8">
      <c r="E352"/>
      <c r="H352"/>
    </row>
    <row r="353" spans="5:8">
      <c r="E353"/>
      <c r="H353"/>
    </row>
    <row r="354" spans="5:8">
      <c r="E354"/>
      <c r="H354"/>
    </row>
    <row r="355" spans="5:8">
      <c r="E355"/>
      <c r="H355"/>
    </row>
    <row r="356" spans="5:8">
      <c r="E356"/>
      <c r="H356"/>
    </row>
    <row r="357" spans="5:8">
      <c r="E357"/>
      <c r="H357"/>
    </row>
    <row r="358" spans="5:8">
      <c r="E358"/>
      <c r="H358"/>
    </row>
    <row r="359" spans="5:8">
      <c r="E359"/>
      <c r="H359"/>
    </row>
    <row r="360" spans="5:8">
      <c r="E360"/>
      <c r="H360"/>
    </row>
    <row r="361" spans="5:8">
      <c r="E361"/>
      <c r="H361"/>
    </row>
    <row r="362" spans="5:8">
      <c r="E362"/>
      <c r="H362"/>
    </row>
    <row r="363" spans="5:8">
      <c r="E363"/>
      <c r="H363"/>
    </row>
    <row r="364" spans="5:8">
      <c r="E364"/>
      <c r="H364"/>
    </row>
    <row r="365" spans="5:8">
      <c r="E365"/>
      <c r="H365"/>
    </row>
    <row r="366" spans="5:8">
      <c r="E366"/>
      <c r="H366"/>
    </row>
    <row r="367" spans="5:8">
      <c r="E367"/>
      <c r="H367"/>
    </row>
    <row r="368" spans="5:8">
      <c r="E368"/>
      <c r="H368"/>
    </row>
    <row r="369" spans="5:8">
      <c r="E369"/>
      <c r="H369"/>
    </row>
    <row r="370" spans="5:8">
      <c r="E370"/>
      <c r="H370"/>
    </row>
    <row r="371" spans="5:8">
      <c r="E371"/>
      <c r="H371"/>
    </row>
    <row r="372" spans="5:8">
      <c r="E372"/>
      <c r="H372"/>
    </row>
    <row r="373" spans="5:8">
      <c r="E373"/>
      <c r="H373"/>
    </row>
    <row r="374" spans="5:8">
      <c r="E374"/>
      <c r="H374"/>
    </row>
    <row r="375" spans="5:8">
      <c r="E375"/>
      <c r="H375"/>
    </row>
    <row r="376" spans="5:8">
      <c r="E376"/>
      <c r="H376"/>
    </row>
    <row r="377" spans="5:8">
      <c r="E377"/>
      <c r="H377"/>
    </row>
    <row r="378" spans="5:8">
      <c r="E378"/>
      <c r="H378"/>
    </row>
    <row r="379" spans="5:8">
      <c r="E379"/>
      <c r="H379"/>
    </row>
    <row r="380" spans="5:8">
      <c r="E380"/>
      <c r="H380"/>
    </row>
    <row r="381" spans="5:8">
      <c r="E381"/>
      <c r="H381"/>
    </row>
    <row r="382" spans="5:8">
      <c r="E382"/>
      <c r="H382"/>
    </row>
    <row r="383" spans="5:8">
      <c r="E383"/>
      <c r="H383"/>
    </row>
    <row r="384" spans="5:8">
      <c r="E384"/>
      <c r="H384"/>
    </row>
    <row r="385" spans="5:8">
      <c r="E385"/>
      <c r="H385"/>
    </row>
    <row r="386" spans="5:8">
      <c r="E386"/>
      <c r="H386"/>
    </row>
    <row r="387" spans="5:8">
      <c r="E387"/>
      <c r="H387"/>
    </row>
    <row r="388" spans="5:8">
      <c r="E388"/>
      <c r="H388"/>
    </row>
    <row r="389" spans="5:8">
      <c r="E389"/>
      <c r="H389"/>
    </row>
    <row r="390" spans="5:8">
      <c r="E390"/>
      <c r="H390"/>
    </row>
    <row r="391" spans="5:8">
      <c r="E391"/>
      <c r="H391"/>
    </row>
    <row r="392" spans="5:8">
      <c r="E392"/>
      <c r="H392"/>
    </row>
    <row r="393" spans="5:8">
      <c r="E393"/>
      <c r="H393"/>
    </row>
    <row r="394" spans="5:8">
      <c r="E394"/>
      <c r="H394"/>
    </row>
    <row r="395" spans="5:8">
      <c r="E395"/>
      <c r="H395"/>
    </row>
    <row r="396" spans="5:8">
      <c r="E396"/>
      <c r="H396"/>
    </row>
    <row r="397" spans="5:8">
      <c r="E397"/>
      <c r="H397"/>
    </row>
    <row r="398" spans="5:8">
      <c r="E398"/>
      <c r="H398"/>
    </row>
    <row r="399" spans="5:8">
      <c r="E399"/>
      <c r="H399"/>
    </row>
    <row r="400" spans="5:8">
      <c r="E400"/>
      <c r="H400"/>
    </row>
    <row r="401" spans="5:8">
      <c r="E401"/>
      <c r="H401"/>
    </row>
    <row r="402" spans="5:8">
      <c r="E402"/>
      <c r="H402"/>
    </row>
    <row r="403" spans="5:8">
      <c r="E403"/>
      <c r="H403"/>
    </row>
    <row r="404" spans="5:8">
      <c r="E404"/>
      <c r="H404"/>
    </row>
    <row r="405" spans="5:8">
      <c r="E405"/>
      <c r="H405"/>
    </row>
    <row r="406" spans="5:8">
      <c r="E406"/>
      <c r="H406"/>
    </row>
    <row r="407" spans="5:8">
      <c r="E407"/>
      <c r="H407"/>
    </row>
    <row r="408" spans="5:8">
      <c r="E408"/>
      <c r="H408"/>
    </row>
    <row r="409" spans="5:8">
      <c r="E409"/>
      <c r="H409"/>
    </row>
    <row r="410" spans="5:8">
      <c r="E410"/>
      <c r="H410"/>
    </row>
    <row r="411" spans="5:8">
      <c r="E411"/>
      <c r="H411"/>
    </row>
    <row r="412" spans="5:8">
      <c r="E412"/>
      <c r="H41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BA441-31F9-447B-9AC2-0D2B36EC350D}">
  <dimension ref="A1:H134"/>
  <sheetViews>
    <sheetView zoomScale="115" zoomScaleNormal="115" workbookViewId="0">
      <pane ySplit="1" topLeftCell="A111" activePane="bottomLeft" state="frozen"/>
      <selection pane="bottomLeft" activeCell="A127" sqref="A127"/>
    </sheetView>
  </sheetViews>
  <sheetFormatPr defaultColWidth="11.42578125" defaultRowHeight="14.45"/>
  <cols>
    <col min="2" max="2" width="19.42578125" customWidth="1"/>
  </cols>
  <sheetData>
    <row r="1" spans="1:4">
      <c r="A1" t="s">
        <v>4363</v>
      </c>
      <c r="B1" t="s">
        <v>4364</v>
      </c>
      <c r="C1" t="s">
        <v>46</v>
      </c>
      <c r="D1" t="s">
        <v>48</v>
      </c>
    </row>
    <row r="2" spans="1:4">
      <c r="A2">
        <v>1887</v>
      </c>
      <c r="B2">
        <v>15146</v>
      </c>
      <c r="C2">
        <v>228985</v>
      </c>
      <c r="D2">
        <v>90725</v>
      </c>
    </row>
    <row r="3" spans="1:4">
      <c r="A3">
        <v>1890</v>
      </c>
      <c r="B3">
        <v>15150</v>
      </c>
      <c r="C3">
        <v>228990</v>
      </c>
      <c r="D3">
        <v>90625</v>
      </c>
    </row>
    <row r="4" spans="1:4">
      <c r="A4">
        <v>1895</v>
      </c>
      <c r="B4">
        <v>15153</v>
      </c>
      <c r="C4">
        <v>228998</v>
      </c>
      <c r="D4">
        <v>90825</v>
      </c>
    </row>
    <row r="5" spans="1:4">
      <c r="A5">
        <v>1901</v>
      </c>
      <c r="B5">
        <v>15158</v>
      </c>
      <c r="C5">
        <v>229063</v>
      </c>
      <c r="D5">
        <v>90925</v>
      </c>
    </row>
    <row r="6" spans="1:4">
      <c r="A6">
        <v>1904</v>
      </c>
      <c r="B6">
        <v>15166</v>
      </c>
      <c r="C6">
        <v>229068</v>
      </c>
      <c r="D6">
        <v>87225</v>
      </c>
    </row>
    <row r="7" spans="1:4">
      <c r="A7">
        <v>1888</v>
      </c>
      <c r="B7">
        <v>15168</v>
      </c>
      <c r="C7">
        <v>228987</v>
      </c>
      <c r="D7">
        <v>91025</v>
      </c>
    </row>
    <row r="8" spans="1:4">
      <c r="A8">
        <v>1892</v>
      </c>
      <c r="B8">
        <v>15170</v>
      </c>
      <c r="C8">
        <v>228992</v>
      </c>
      <c r="D8">
        <v>91125</v>
      </c>
    </row>
    <row r="9" spans="1:4">
      <c r="A9">
        <v>1908</v>
      </c>
      <c r="B9">
        <v>15172</v>
      </c>
      <c r="C9">
        <v>229073</v>
      </c>
      <c r="D9">
        <v>91225</v>
      </c>
    </row>
    <row r="10" spans="1:4">
      <c r="A10">
        <v>1896</v>
      </c>
      <c r="B10">
        <v>15174</v>
      </c>
      <c r="C10">
        <v>229060</v>
      </c>
      <c r="D10">
        <v>81925</v>
      </c>
    </row>
    <row r="11" spans="1:4">
      <c r="A11">
        <v>1902</v>
      </c>
      <c r="B11">
        <v>15177</v>
      </c>
      <c r="C11">
        <v>229066</v>
      </c>
      <c r="D11">
        <v>91325</v>
      </c>
    </row>
    <row r="12" spans="1:4">
      <c r="A12">
        <v>1889</v>
      </c>
      <c r="B12">
        <v>15178</v>
      </c>
      <c r="C12">
        <v>228989</v>
      </c>
      <c r="D12">
        <v>82025</v>
      </c>
    </row>
    <row r="13" spans="1:4">
      <c r="A13">
        <v>1905</v>
      </c>
      <c r="B13">
        <v>15180</v>
      </c>
      <c r="C13">
        <v>229071</v>
      </c>
      <c r="D13">
        <v>82125</v>
      </c>
    </row>
    <row r="14" spans="1:4">
      <c r="A14">
        <v>1909</v>
      </c>
      <c r="B14">
        <v>15181</v>
      </c>
      <c r="C14">
        <v>229074</v>
      </c>
      <c r="D14">
        <v>82225</v>
      </c>
    </row>
    <row r="15" spans="1:4">
      <c r="A15">
        <v>1893</v>
      </c>
      <c r="B15">
        <v>15182</v>
      </c>
      <c r="C15">
        <v>228995</v>
      </c>
      <c r="D15">
        <v>91425</v>
      </c>
    </row>
    <row r="16" spans="1:4">
      <c r="A16">
        <v>1915</v>
      </c>
      <c r="B16">
        <v>15183</v>
      </c>
      <c r="C16">
        <v>229094</v>
      </c>
      <c r="D16">
        <v>91525</v>
      </c>
    </row>
    <row r="17" spans="1:4">
      <c r="A17">
        <v>1900</v>
      </c>
      <c r="B17">
        <v>15184</v>
      </c>
      <c r="C17">
        <v>229062</v>
      </c>
      <c r="D17">
        <v>91625</v>
      </c>
    </row>
    <row r="18" spans="1:4">
      <c r="A18">
        <v>1920</v>
      </c>
      <c r="B18">
        <v>15185</v>
      </c>
      <c r="C18">
        <v>229098</v>
      </c>
      <c r="D18">
        <v>91725</v>
      </c>
    </row>
    <row r="19" spans="1:4">
      <c r="A19">
        <v>1930</v>
      </c>
      <c r="B19">
        <v>15186</v>
      </c>
      <c r="C19">
        <v>229101</v>
      </c>
      <c r="D19">
        <v>87625</v>
      </c>
    </row>
    <row r="20" spans="1:4">
      <c r="A20">
        <v>1913</v>
      </c>
      <c r="B20">
        <v>15187</v>
      </c>
      <c r="C20">
        <v>229093</v>
      </c>
      <c r="D20">
        <v>87425</v>
      </c>
    </row>
    <row r="21" spans="1:4">
      <c r="A21">
        <v>1903</v>
      </c>
      <c r="B21">
        <v>15188</v>
      </c>
      <c r="C21">
        <v>229067</v>
      </c>
      <c r="D21">
        <v>82325</v>
      </c>
    </row>
    <row r="22" spans="1:4">
      <c r="A22">
        <v>1934</v>
      </c>
      <c r="B22">
        <v>15189</v>
      </c>
      <c r="C22">
        <v>229104</v>
      </c>
      <c r="D22">
        <v>82425</v>
      </c>
    </row>
    <row r="23" spans="1:4">
      <c r="A23">
        <v>1919</v>
      </c>
      <c r="B23">
        <v>15190</v>
      </c>
      <c r="C23">
        <v>229097</v>
      </c>
      <c r="D23">
        <v>82525</v>
      </c>
    </row>
    <row r="24" spans="1:4">
      <c r="A24">
        <v>1938</v>
      </c>
      <c r="B24">
        <v>15191</v>
      </c>
      <c r="C24">
        <v>229107</v>
      </c>
      <c r="D24">
        <v>82625</v>
      </c>
    </row>
    <row r="25" spans="1:4">
      <c r="A25">
        <v>1907</v>
      </c>
      <c r="B25">
        <v>15192</v>
      </c>
      <c r="C25">
        <v>229072</v>
      </c>
      <c r="D25">
        <v>82725</v>
      </c>
    </row>
    <row r="26" spans="1:4">
      <c r="A26">
        <v>1929</v>
      </c>
      <c r="B26">
        <v>15193</v>
      </c>
      <c r="C26">
        <v>229100</v>
      </c>
      <c r="D26">
        <v>82825</v>
      </c>
    </row>
    <row r="27" spans="1:4">
      <c r="A27">
        <v>1942</v>
      </c>
      <c r="B27">
        <v>15194</v>
      </c>
      <c r="C27">
        <v>229112</v>
      </c>
      <c r="D27">
        <v>82925</v>
      </c>
    </row>
    <row r="28" spans="1:4">
      <c r="A28">
        <v>1910</v>
      </c>
      <c r="B28">
        <v>15195</v>
      </c>
      <c r="C28">
        <v>229092</v>
      </c>
      <c r="D28">
        <v>83025</v>
      </c>
    </row>
    <row r="29" spans="1:4">
      <c r="A29">
        <v>1933</v>
      </c>
      <c r="B29">
        <v>15196</v>
      </c>
      <c r="C29">
        <v>229103</v>
      </c>
      <c r="D29">
        <v>83125</v>
      </c>
    </row>
    <row r="30" spans="1:4">
      <c r="A30">
        <v>1937</v>
      </c>
      <c r="B30">
        <v>15197</v>
      </c>
      <c r="C30">
        <v>229106</v>
      </c>
      <c r="D30">
        <v>83225</v>
      </c>
    </row>
    <row r="31" spans="1:4">
      <c r="A31">
        <v>1951</v>
      </c>
      <c r="B31">
        <v>15198</v>
      </c>
      <c r="C31">
        <v>229115</v>
      </c>
      <c r="D31">
        <v>83325</v>
      </c>
    </row>
    <row r="32" spans="1:4">
      <c r="A32">
        <v>1916</v>
      </c>
      <c r="B32">
        <v>15199</v>
      </c>
      <c r="C32">
        <v>229095</v>
      </c>
      <c r="D32">
        <v>83425</v>
      </c>
    </row>
    <row r="33" spans="1:4">
      <c r="A33">
        <v>1940</v>
      </c>
      <c r="B33">
        <v>15201</v>
      </c>
      <c r="C33">
        <v>229110</v>
      </c>
      <c r="D33">
        <v>83525</v>
      </c>
    </row>
    <row r="34" spans="1:4">
      <c r="A34">
        <v>1954</v>
      </c>
      <c r="B34">
        <v>15202</v>
      </c>
      <c r="C34">
        <v>229118</v>
      </c>
      <c r="D34">
        <v>91825</v>
      </c>
    </row>
    <row r="35" spans="1:4">
      <c r="A35">
        <v>1960</v>
      </c>
      <c r="B35">
        <v>15203</v>
      </c>
      <c r="C35">
        <v>229121</v>
      </c>
      <c r="D35">
        <v>91925</v>
      </c>
    </row>
    <row r="36" spans="1:4">
      <c r="A36">
        <v>1926</v>
      </c>
      <c r="B36">
        <v>15204</v>
      </c>
      <c r="C36">
        <v>229099</v>
      </c>
      <c r="D36">
        <v>92025</v>
      </c>
    </row>
    <row r="37" spans="1:4">
      <c r="A37">
        <v>1964</v>
      </c>
      <c r="B37">
        <v>15205</v>
      </c>
      <c r="C37">
        <v>229125</v>
      </c>
      <c r="D37">
        <v>92125</v>
      </c>
    </row>
    <row r="38" spans="1:4">
      <c r="A38">
        <v>1969</v>
      </c>
      <c r="B38">
        <v>15206</v>
      </c>
      <c r="C38">
        <v>229128</v>
      </c>
      <c r="D38">
        <v>92225</v>
      </c>
    </row>
    <row r="39" spans="1:4">
      <c r="A39">
        <v>1949</v>
      </c>
      <c r="B39">
        <v>15207</v>
      </c>
      <c r="C39">
        <v>229114</v>
      </c>
      <c r="D39">
        <v>92525</v>
      </c>
    </row>
    <row r="40" spans="1:4">
      <c r="A40">
        <v>1931</v>
      </c>
      <c r="B40">
        <v>15208</v>
      </c>
      <c r="C40">
        <v>229102</v>
      </c>
      <c r="D40">
        <v>92425</v>
      </c>
    </row>
    <row r="41" spans="1:4">
      <c r="A41">
        <v>1976</v>
      </c>
      <c r="B41">
        <v>15209</v>
      </c>
      <c r="C41">
        <v>229133</v>
      </c>
      <c r="D41">
        <v>92325</v>
      </c>
    </row>
    <row r="42" spans="1:4">
      <c r="A42">
        <v>1936</v>
      </c>
      <c r="B42">
        <v>15210</v>
      </c>
      <c r="C42">
        <v>229105</v>
      </c>
      <c r="D42">
        <v>85925</v>
      </c>
    </row>
    <row r="43" spans="1:4">
      <c r="A43">
        <v>1953</v>
      </c>
      <c r="B43">
        <v>15211</v>
      </c>
      <c r="C43">
        <v>229117</v>
      </c>
      <c r="D43">
        <v>86025</v>
      </c>
    </row>
    <row r="44" spans="1:4">
      <c r="A44">
        <v>1980</v>
      </c>
      <c r="B44">
        <v>15212</v>
      </c>
      <c r="C44">
        <v>229137</v>
      </c>
      <c r="D44">
        <v>86125</v>
      </c>
    </row>
    <row r="45" spans="1:4">
      <c r="A45">
        <v>1984</v>
      </c>
      <c r="B45">
        <v>15213</v>
      </c>
      <c r="C45">
        <v>229141</v>
      </c>
      <c r="D45">
        <v>86225</v>
      </c>
    </row>
    <row r="46" spans="1:4">
      <c r="A46">
        <v>1959</v>
      </c>
      <c r="B46">
        <v>15214</v>
      </c>
      <c r="C46">
        <v>229120</v>
      </c>
      <c r="D46">
        <v>86325</v>
      </c>
    </row>
    <row r="47" spans="1:4">
      <c r="A47">
        <v>1939</v>
      </c>
      <c r="B47">
        <v>15215</v>
      </c>
      <c r="C47">
        <v>229109</v>
      </c>
      <c r="D47">
        <v>86425</v>
      </c>
    </row>
    <row r="48" spans="1:4">
      <c r="A48">
        <v>1962</v>
      </c>
      <c r="B48">
        <v>15216</v>
      </c>
      <c r="C48">
        <v>229123</v>
      </c>
      <c r="D48">
        <v>86525</v>
      </c>
    </row>
    <row r="49" spans="1:4">
      <c r="A49">
        <v>1988</v>
      </c>
      <c r="B49">
        <v>15217</v>
      </c>
      <c r="C49">
        <v>229145</v>
      </c>
      <c r="D49">
        <v>86625</v>
      </c>
    </row>
    <row r="50" spans="1:4">
      <c r="A50">
        <v>1944</v>
      </c>
      <c r="B50">
        <v>15219</v>
      </c>
      <c r="C50">
        <v>229113</v>
      </c>
      <c r="D50">
        <v>86725</v>
      </c>
    </row>
    <row r="51" spans="1:4">
      <c r="A51">
        <v>2000</v>
      </c>
      <c r="B51">
        <v>15220</v>
      </c>
      <c r="C51">
        <v>229154</v>
      </c>
      <c r="D51">
        <v>87325</v>
      </c>
    </row>
    <row r="52" spans="1:4">
      <c r="A52">
        <v>2005</v>
      </c>
      <c r="B52">
        <v>15221</v>
      </c>
      <c r="C52">
        <v>229157</v>
      </c>
      <c r="D52">
        <v>86825</v>
      </c>
    </row>
    <row r="53" spans="1:4">
      <c r="A53">
        <v>1952</v>
      </c>
      <c r="B53">
        <v>15222</v>
      </c>
      <c r="C53">
        <v>229116</v>
      </c>
      <c r="D53">
        <v>87525</v>
      </c>
    </row>
    <row r="54" spans="1:4">
      <c r="A54">
        <v>2009</v>
      </c>
      <c r="B54">
        <v>15224</v>
      </c>
      <c r="C54">
        <v>229161</v>
      </c>
      <c r="D54">
        <v>86925</v>
      </c>
    </row>
    <row r="55" spans="1:4">
      <c r="A55">
        <v>1956</v>
      </c>
      <c r="B55">
        <v>15225</v>
      </c>
      <c r="C55">
        <v>229119</v>
      </c>
      <c r="D55">
        <v>83625</v>
      </c>
    </row>
    <row r="56" spans="1:4">
      <c r="A56">
        <v>2016</v>
      </c>
      <c r="B56">
        <v>15226</v>
      </c>
      <c r="C56">
        <v>229165</v>
      </c>
      <c r="D56">
        <v>83725</v>
      </c>
    </row>
    <row r="57" spans="1:4">
      <c r="A57">
        <v>2027</v>
      </c>
      <c r="B57">
        <v>15228</v>
      </c>
      <c r="C57">
        <v>229172</v>
      </c>
      <c r="D57">
        <v>87025</v>
      </c>
    </row>
    <row r="58" spans="1:4">
      <c r="A58">
        <v>1961</v>
      </c>
      <c r="B58">
        <v>15229</v>
      </c>
      <c r="C58">
        <v>229122</v>
      </c>
      <c r="D58">
        <v>83825</v>
      </c>
    </row>
    <row r="59" spans="1:4">
      <c r="A59">
        <v>2030</v>
      </c>
      <c r="B59">
        <v>15230</v>
      </c>
      <c r="C59">
        <v>229175</v>
      </c>
      <c r="D59">
        <v>87125</v>
      </c>
    </row>
    <row r="60" spans="1:4">
      <c r="A60">
        <v>1966</v>
      </c>
      <c r="B60">
        <v>15234</v>
      </c>
      <c r="C60">
        <v>229126</v>
      </c>
      <c r="D60">
        <v>88025</v>
      </c>
    </row>
    <row r="61" spans="1:4">
      <c r="A61">
        <v>1970</v>
      </c>
      <c r="B61">
        <v>15236</v>
      </c>
      <c r="C61">
        <v>229129</v>
      </c>
      <c r="D61">
        <v>88125</v>
      </c>
    </row>
    <row r="62" spans="1:4">
      <c r="A62">
        <v>1967</v>
      </c>
      <c r="B62">
        <v>15238</v>
      </c>
      <c r="C62">
        <v>229127</v>
      </c>
      <c r="D62">
        <v>88225</v>
      </c>
    </row>
    <row r="63" spans="1:4">
      <c r="A63">
        <v>1977</v>
      </c>
      <c r="B63">
        <v>15239</v>
      </c>
      <c r="C63">
        <v>229134</v>
      </c>
      <c r="D63">
        <v>88325</v>
      </c>
    </row>
    <row r="64" spans="1:4">
      <c r="A64">
        <v>1972</v>
      </c>
      <c r="B64">
        <v>15240</v>
      </c>
      <c r="C64">
        <v>229130</v>
      </c>
      <c r="D64">
        <v>88425</v>
      </c>
    </row>
    <row r="65" spans="1:4">
      <c r="A65">
        <v>1981</v>
      </c>
      <c r="B65">
        <v>15242</v>
      </c>
      <c r="C65">
        <v>229138</v>
      </c>
      <c r="D65">
        <v>88525</v>
      </c>
    </row>
    <row r="66" spans="1:4">
      <c r="A66">
        <v>1979</v>
      </c>
      <c r="B66">
        <v>15243</v>
      </c>
      <c r="C66">
        <v>229135</v>
      </c>
      <c r="D66">
        <v>88625</v>
      </c>
    </row>
    <row r="67" spans="1:4">
      <c r="A67">
        <v>1985</v>
      </c>
      <c r="B67">
        <v>15244</v>
      </c>
      <c r="C67">
        <v>229142</v>
      </c>
      <c r="D67">
        <v>88725</v>
      </c>
    </row>
    <row r="68" spans="1:4">
      <c r="A68">
        <v>1982</v>
      </c>
      <c r="B68">
        <v>15245</v>
      </c>
      <c r="C68">
        <v>229140</v>
      </c>
      <c r="D68">
        <v>88825</v>
      </c>
    </row>
    <row r="69" spans="1:4">
      <c r="A69">
        <v>1996</v>
      </c>
      <c r="B69">
        <v>15246</v>
      </c>
      <c r="C69">
        <v>229146</v>
      </c>
      <c r="D69">
        <v>88925</v>
      </c>
    </row>
    <row r="70" spans="1:4">
      <c r="A70">
        <v>2001</v>
      </c>
      <c r="B70">
        <v>15247</v>
      </c>
      <c r="C70">
        <v>229155</v>
      </c>
      <c r="D70">
        <v>89025</v>
      </c>
    </row>
    <row r="71" spans="1:4">
      <c r="A71">
        <v>1987</v>
      </c>
      <c r="B71">
        <v>15248</v>
      </c>
      <c r="C71">
        <v>229143</v>
      </c>
      <c r="D71">
        <v>89125</v>
      </c>
    </row>
    <row r="72" spans="1:4">
      <c r="A72">
        <v>2006</v>
      </c>
      <c r="B72">
        <v>15249</v>
      </c>
      <c r="C72">
        <v>229159</v>
      </c>
      <c r="D72">
        <v>89225</v>
      </c>
    </row>
    <row r="73" spans="1:4">
      <c r="A73">
        <v>2014</v>
      </c>
      <c r="B73">
        <v>15250</v>
      </c>
      <c r="C73">
        <v>229162</v>
      </c>
      <c r="D73">
        <v>89325</v>
      </c>
    </row>
    <row r="74" spans="1:4">
      <c r="A74">
        <v>1998</v>
      </c>
      <c r="B74">
        <v>15251</v>
      </c>
      <c r="C74">
        <v>229150</v>
      </c>
      <c r="D74">
        <v>89425</v>
      </c>
    </row>
    <row r="75" spans="1:4">
      <c r="A75">
        <v>2024</v>
      </c>
      <c r="B75">
        <v>15252</v>
      </c>
      <c r="C75">
        <v>229166</v>
      </c>
      <c r="D75">
        <v>89525</v>
      </c>
    </row>
    <row r="76" spans="1:4">
      <c r="A76">
        <v>2003</v>
      </c>
      <c r="B76">
        <v>15253</v>
      </c>
      <c r="C76">
        <v>229156</v>
      </c>
      <c r="D76">
        <v>89625</v>
      </c>
    </row>
    <row r="77" spans="1:4">
      <c r="A77">
        <v>2028</v>
      </c>
      <c r="B77">
        <v>15254</v>
      </c>
      <c r="C77">
        <v>229173</v>
      </c>
      <c r="D77">
        <v>89725</v>
      </c>
    </row>
    <row r="78" spans="1:4">
      <c r="A78">
        <v>2007</v>
      </c>
      <c r="B78">
        <v>15255</v>
      </c>
      <c r="C78">
        <v>229160</v>
      </c>
      <c r="D78">
        <v>89825</v>
      </c>
    </row>
    <row r="79" spans="1:4">
      <c r="A79">
        <v>2031</v>
      </c>
      <c r="B79">
        <v>15256</v>
      </c>
      <c r="C79">
        <v>229176</v>
      </c>
      <c r="D79">
        <v>89925</v>
      </c>
    </row>
    <row r="80" spans="1:4">
      <c r="A80">
        <v>2015</v>
      </c>
      <c r="B80">
        <v>15257</v>
      </c>
      <c r="C80">
        <v>229164</v>
      </c>
      <c r="D80">
        <v>90025</v>
      </c>
    </row>
    <row r="81" spans="1:4">
      <c r="A81">
        <v>2025</v>
      </c>
      <c r="B81">
        <v>15258</v>
      </c>
      <c r="C81">
        <v>229171</v>
      </c>
      <c r="D81">
        <v>90125</v>
      </c>
    </row>
    <row r="82" spans="1:4">
      <c r="A82">
        <v>2029</v>
      </c>
      <c r="B82">
        <v>15259</v>
      </c>
      <c r="C82">
        <v>229174</v>
      </c>
      <c r="D82">
        <v>90225</v>
      </c>
    </row>
    <row r="83" spans="1:4">
      <c r="A83">
        <v>2034</v>
      </c>
      <c r="B83">
        <v>15261</v>
      </c>
      <c r="C83">
        <v>229177</v>
      </c>
      <c r="D83">
        <v>90325</v>
      </c>
    </row>
    <row r="84" spans="1:4">
      <c r="A84">
        <v>1917</v>
      </c>
      <c r="B84">
        <v>15355</v>
      </c>
      <c r="C84">
        <v>229096</v>
      </c>
      <c r="D84">
        <v>87725</v>
      </c>
    </row>
    <row r="85" spans="1:4">
      <c r="A85" s="34">
        <v>1994</v>
      </c>
      <c r="B85" s="34">
        <v>15356</v>
      </c>
      <c r="C85" s="34">
        <v>229179</v>
      </c>
      <c r="D85">
        <v>87825</v>
      </c>
    </row>
    <row r="86" spans="1:4">
      <c r="A86" s="34">
        <v>1997</v>
      </c>
      <c r="B86" s="34">
        <v>15357</v>
      </c>
      <c r="C86" s="34">
        <v>229180</v>
      </c>
      <c r="D86">
        <v>87925</v>
      </c>
    </row>
    <row r="87" spans="1:4">
      <c r="A87">
        <v>1897</v>
      </c>
      <c r="B87">
        <v>16469</v>
      </c>
      <c r="C87">
        <v>229183</v>
      </c>
      <c r="D87">
        <v>95625</v>
      </c>
    </row>
    <row r="88" spans="1:4">
      <c r="A88">
        <v>1925</v>
      </c>
      <c r="B88">
        <v>16472</v>
      </c>
      <c r="C88">
        <v>229185</v>
      </c>
      <c r="D88">
        <v>95525</v>
      </c>
    </row>
    <row r="89" spans="1:4">
      <c r="A89">
        <v>2013</v>
      </c>
      <c r="B89">
        <v>16474</v>
      </c>
      <c r="C89">
        <v>229186</v>
      </c>
      <c r="D89">
        <v>95425</v>
      </c>
    </row>
    <row r="90" spans="1:4">
      <c r="A90">
        <v>2026</v>
      </c>
      <c r="B90">
        <v>16476</v>
      </c>
      <c r="C90">
        <v>229187</v>
      </c>
      <c r="D90">
        <v>95725</v>
      </c>
    </row>
    <row r="91" spans="1:4">
      <c r="A91">
        <v>1894</v>
      </c>
      <c r="B91">
        <v>17246</v>
      </c>
      <c r="C91">
        <v>229932</v>
      </c>
      <c r="D91">
        <v>103825</v>
      </c>
    </row>
    <row r="92" spans="1:4">
      <c r="A92">
        <v>1918</v>
      </c>
      <c r="B92">
        <v>17248</v>
      </c>
      <c r="C92">
        <v>229933</v>
      </c>
      <c r="D92">
        <v>103925</v>
      </c>
    </row>
    <row r="93" spans="1:4">
      <c r="A93">
        <v>1950</v>
      </c>
      <c r="B93">
        <v>17251</v>
      </c>
      <c r="C93">
        <v>229936</v>
      </c>
      <c r="D93">
        <v>104025</v>
      </c>
    </row>
    <row r="94" spans="1:4">
      <c r="A94">
        <v>1924</v>
      </c>
      <c r="B94">
        <v>17252</v>
      </c>
      <c r="C94">
        <v>229935</v>
      </c>
      <c r="D94">
        <v>104125</v>
      </c>
    </row>
    <row r="95" spans="1:4">
      <c r="A95">
        <v>1978</v>
      </c>
      <c r="B95">
        <v>17253</v>
      </c>
      <c r="C95">
        <v>229938</v>
      </c>
      <c r="D95">
        <v>104225</v>
      </c>
    </row>
    <row r="96" spans="1:4">
      <c r="A96">
        <v>1922</v>
      </c>
      <c r="B96">
        <v>17254</v>
      </c>
      <c r="C96">
        <v>229934</v>
      </c>
      <c r="D96">
        <v>103725</v>
      </c>
    </row>
    <row r="97" spans="1:7">
      <c r="A97">
        <v>1995</v>
      </c>
      <c r="B97">
        <v>17255</v>
      </c>
      <c r="C97">
        <v>229941</v>
      </c>
      <c r="D97">
        <v>104425</v>
      </c>
    </row>
    <row r="98" spans="1:7">
      <c r="A98">
        <v>1963</v>
      </c>
      <c r="B98">
        <v>17256</v>
      </c>
      <c r="C98">
        <v>229937</v>
      </c>
      <c r="D98">
        <v>104525</v>
      </c>
    </row>
    <row r="99" spans="1:7">
      <c r="A99">
        <v>1992</v>
      </c>
      <c r="B99">
        <v>17257</v>
      </c>
      <c r="C99">
        <v>229939</v>
      </c>
      <c r="D99">
        <v>104325</v>
      </c>
    </row>
    <row r="100" spans="1:7">
      <c r="A100">
        <v>2017</v>
      </c>
      <c r="B100">
        <v>17258</v>
      </c>
      <c r="C100">
        <v>229944</v>
      </c>
      <c r="D100">
        <v>104725</v>
      </c>
    </row>
    <row r="101" spans="1:7">
      <c r="A101">
        <v>1993</v>
      </c>
      <c r="B101">
        <v>17259</v>
      </c>
      <c r="C101">
        <v>229940</v>
      </c>
      <c r="D101">
        <v>104625</v>
      </c>
    </row>
    <row r="102" spans="1:7">
      <c r="A102">
        <v>1999</v>
      </c>
      <c r="B102">
        <v>17261</v>
      </c>
      <c r="C102">
        <v>229942</v>
      </c>
      <c r="D102">
        <v>104825</v>
      </c>
    </row>
    <row r="103" spans="1:7">
      <c r="A103">
        <v>2023</v>
      </c>
      <c r="B103">
        <v>17263</v>
      </c>
      <c r="C103">
        <v>229947</v>
      </c>
      <c r="D103">
        <v>104925</v>
      </c>
    </row>
    <row r="104" spans="1:7">
      <c r="A104">
        <v>2008</v>
      </c>
      <c r="B104">
        <v>17264</v>
      </c>
      <c r="C104">
        <v>229943</v>
      </c>
      <c r="D104">
        <v>105025</v>
      </c>
    </row>
    <row r="105" spans="1:7">
      <c r="A105">
        <v>2022</v>
      </c>
      <c r="B105">
        <v>17267</v>
      </c>
      <c r="C105">
        <v>229946</v>
      </c>
      <c r="D105">
        <v>105325</v>
      </c>
    </row>
    <row r="106" spans="1:7">
      <c r="A106">
        <v>2033</v>
      </c>
      <c r="B106">
        <v>17270</v>
      </c>
      <c r="C106">
        <v>229949</v>
      </c>
      <c r="D106">
        <v>105425</v>
      </c>
    </row>
    <row r="107" spans="1:7">
      <c r="A107">
        <v>2019</v>
      </c>
      <c r="B107">
        <v>17271</v>
      </c>
      <c r="C107">
        <v>229945</v>
      </c>
      <c r="D107">
        <v>105125</v>
      </c>
    </row>
    <row r="108" spans="1:7">
      <c r="A108">
        <v>2032</v>
      </c>
      <c r="B108">
        <v>17272</v>
      </c>
      <c r="C108">
        <v>229948</v>
      </c>
      <c r="D108">
        <v>105525</v>
      </c>
    </row>
    <row r="109" spans="1:7">
      <c r="A109">
        <v>1948</v>
      </c>
      <c r="B109">
        <v>17467</v>
      </c>
      <c r="C109">
        <v>229957</v>
      </c>
      <c r="D109">
        <v>107825</v>
      </c>
    </row>
    <row r="110" spans="1:7" ht="15.6">
      <c r="A110">
        <v>2012</v>
      </c>
      <c r="B110">
        <v>17469</v>
      </c>
      <c r="C110">
        <v>229960</v>
      </c>
      <c r="D110">
        <v>107925</v>
      </c>
      <c r="F110" s="46"/>
      <c r="G110">
        <v>105225</v>
      </c>
    </row>
    <row r="111" spans="1:7">
      <c r="A111">
        <v>1946</v>
      </c>
      <c r="B111">
        <v>17471</v>
      </c>
      <c r="C111">
        <v>229955</v>
      </c>
      <c r="D111">
        <v>108125</v>
      </c>
    </row>
    <row r="112" spans="1:7" ht="15.6">
      <c r="A112">
        <v>2588</v>
      </c>
      <c r="B112">
        <v>17718</v>
      </c>
      <c r="C112">
        <v>229181</v>
      </c>
      <c r="F112" s="46"/>
    </row>
    <row r="113" spans="1:8" ht="15.6">
      <c r="A113">
        <v>2596</v>
      </c>
      <c r="B113">
        <v>17719</v>
      </c>
      <c r="C113">
        <v>231807</v>
      </c>
      <c r="F113" s="46"/>
    </row>
    <row r="114" spans="1:8">
      <c r="A114">
        <v>2630</v>
      </c>
      <c r="B114">
        <v>17720</v>
      </c>
      <c r="C114">
        <v>229950</v>
      </c>
    </row>
    <row r="115" spans="1:8">
      <c r="A115">
        <v>1914</v>
      </c>
      <c r="B115">
        <v>18580</v>
      </c>
      <c r="C115">
        <v>229953</v>
      </c>
      <c r="D115">
        <v>116625</v>
      </c>
    </row>
    <row r="116" spans="1:8">
      <c r="A116">
        <v>1947</v>
      </c>
      <c r="B116">
        <v>18583</v>
      </c>
      <c r="C116">
        <v>229956</v>
      </c>
      <c r="D116">
        <v>116725</v>
      </c>
    </row>
    <row r="117" spans="1:8">
      <c r="A117">
        <v>1899</v>
      </c>
      <c r="B117">
        <v>18584</v>
      </c>
      <c r="C117">
        <v>229952</v>
      </c>
      <c r="D117">
        <v>116825</v>
      </c>
    </row>
    <row r="118" spans="1:8" ht="15.6">
      <c r="A118">
        <v>2021</v>
      </c>
      <c r="B118">
        <v>18585</v>
      </c>
      <c r="C118">
        <v>232287</v>
      </c>
      <c r="D118">
        <v>116925</v>
      </c>
      <c r="F118" s="46"/>
    </row>
    <row r="119" spans="1:8" ht="15.6">
      <c r="A119">
        <v>1943</v>
      </c>
      <c r="B119">
        <v>18587</v>
      </c>
      <c r="C119">
        <v>232286</v>
      </c>
      <c r="D119">
        <v>117025</v>
      </c>
      <c r="F119" s="46"/>
    </row>
    <row r="120" spans="1:8" ht="15.6">
      <c r="A120" s="81" t="s">
        <v>4278</v>
      </c>
      <c r="B120">
        <v>18588</v>
      </c>
      <c r="C120">
        <v>232291</v>
      </c>
      <c r="D120">
        <v>117125</v>
      </c>
      <c r="F120" s="46"/>
    </row>
    <row r="121" spans="1:8">
      <c r="A121" s="81" t="s">
        <v>4316</v>
      </c>
      <c r="B121">
        <v>18589</v>
      </c>
      <c r="C121">
        <v>232296</v>
      </c>
      <c r="D121">
        <v>117325</v>
      </c>
    </row>
    <row r="122" spans="1:8">
      <c r="A122">
        <v>1974</v>
      </c>
      <c r="B122">
        <v>18591</v>
      </c>
      <c r="C122">
        <v>229959</v>
      </c>
      <c r="D122">
        <v>117425</v>
      </c>
    </row>
    <row r="123" spans="1:8">
      <c r="A123">
        <v>1886</v>
      </c>
      <c r="B123">
        <v>18592</v>
      </c>
      <c r="C123">
        <v>229951</v>
      </c>
      <c r="D123">
        <v>117225</v>
      </c>
    </row>
    <row r="124" spans="1:8" ht="15.6">
      <c r="A124" s="81" t="s">
        <v>4263</v>
      </c>
      <c r="B124">
        <v>18593</v>
      </c>
      <c r="C124">
        <v>232288</v>
      </c>
      <c r="D124">
        <v>117525</v>
      </c>
      <c r="F124" s="46"/>
    </row>
    <row r="125" spans="1:8">
      <c r="A125">
        <v>1935</v>
      </c>
      <c r="B125">
        <v>18594</v>
      </c>
      <c r="C125">
        <v>229954</v>
      </c>
      <c r="D125">
        <v>117625</v>
      </c>
    </row>
    <row r="126" spans="1:8">
      <c r="A126" s="82" t="s">
        <v>4302</v>
      </c>
      <c r="B126">
        <v>18595</v>
      </c>
      <c r="C126">
        <v>232294</v>
      </c>
      <c r="D126">
        <v>117725</v>
      </c>
    </row>
    <row r="127" spans="1:8" ht="15.6">
      <c r="A127">
        <v>1973</v>
      </c>
      <c r="B127">
        <v>18597</v>
      </c>
      <c r="C127">
        <v>229958</v>
      </c>
      <c r="D127">
        <v>117825</v>
      </c>
      <c r="H127" s="46"/>
    </row>
    <row r="128" spans="1:8" ht="15.6">
      <c r="A128" s="81">
        <v>2586</v>
      </c>
      <c r="B128">
        <v>18598</v>
      </c>
      <c r="C128">
        <v>232290</v>
      </c>
      <c r="D128">
        <v>117925</v>
      </c>
      <c r="F128" s="46"/>
      <c r="H128" s="46"/>
    </row>
    <row r="129" spans="1:8" ht="15.6">
      <c r="A129" s="81" t="s">
        <v>4290</v>
      </c>
      <c r="B129">
        <v>18601</v>
      </c>
      <c r="C129">
        <v>232293</v>
      </c>
      <c r="D129">
        <v>118025</v>
      </c>
      <c r="H129" s="46"/>
    </row>
    <row r="130" spans="1:8" ht="15.6">
      <c r="H130" s="46"/>
    </row>
    <row r="131" spans="1:8" ht="15.6">
      <c r="H131" s="46"/>
    </row>
    <row r="132" spans="1:8" ht="15.6">
      <c r="H132" s="46"/>
    </row>
    <row r="133" spans="1:8" ht="15.6">
      <c r="H133" s="46"/>
    </row>
    <row r="134" spans="1:8" ht="15.6">
      <c r="H134" s="46"/>
    </row>
  </sheetData>
  <autoFilter ref="A1:F129" xr:uid="{65FBA441-31F9-447B-9AC2-0D2B36EC350D}">
    <sortState xmlns:xlrd2="http://schemas.microsoft.com/office/spreadsheetml/2017/richdata2" ref="A2:F129">
      <sortCondition ref="B1:B121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b60e23f88a5a98f5ee94542fc87f9b0d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06a339e106e27385ed817339261a7d28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6853e1-bd4f-403c-adce-06b87032ce67">
      <Terms xmlns="http://schemas.microsoft.com/office/infopath/2007/PartnerControls"/>
    </lcf76f155ced4ddcb4097134ff3c332f>
    <TaxCatchAll xmlns="74ae1db4-9b38-4dee-b734-1e01cd3f2951" xsi:nil="true"/>
    <SharedWithUsers xmlns="74ae1db4-9b38-4dee-b734-1e01cd3f2951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08BE1C-7BEF-4F7E-A4E6-6E0F6C9F7BB8}"/>
</file>

<file path=customXml/itemProps2.xml><?xml version="1.0" encoding="utf-8"?>
<ds:datastoreItem xmlns:ds="http://schemas.openxmlformats.org/officeDocument/2006/customXml" ds:itemID="{EEAA096E-3D4A-44BD-8D21-34E661146A39}"/>
</file>

<file path=customXml/itemProps3.xml><?xml version="1.0" encoding="utf-8"?>
<ds:datastoreItem xmlns:ds="http://schemas.openxmlformats.org/officeDocument/2006/customXml" ds:itemID="{8FF20B62-8AE5-49D9-A912-47220E37A8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Vanessa Giraldo Osorno</dc:creator>
  <cp:keywords/>
  <dc:description/>
  <cp:lastModifiedBy>Juan Pablo Velasquez Gomez</cp:lastModifiedBy>
  <cp:revision/>
  <dcterms:created xsi:type="dcterms:W3CDTF">2025-02-04T02:32:16Z</dcterms:created>
  <dcterms:modified xsi:type="dcterms:W3CDTF">2025-03-12T20:00:49Z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  <property fmtid="{D5CDD505-2E9C-101B-9397-08002B2CF9AE}" pid="3" name="MediaServiceImageTags">
    <vt:lpwstr/>
  </property>
  <property fmtid="{D5CDD505-2E9C-101B-9397-08002B2CF9AE}" pid="4" name="Order">
    <vt:r8>13049500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